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 Block" sheetId="1" r:id="rId4"/>
    <sheet state="hidden" name="Equipconvert" sheetId="2" r:id="rId5"/>
    <sheet state="hidden" name="MobNumbers" sheetId="3" r:id="rId6"/>
    <sheet state="hidden" name="Mobs" sheetId="4" r:id="rId7"/>
    <sheet state="hidden" name="SpellsNatPowers" sheetId="5" r:id="rId8"/>
    <sheet state="hidden" name="Resistances" sheetId="6" r:id="rId9"/>
    <sheet state="hidden" name="Vulnerabilities" sheetId="7" r:id="rId10"/>
    <sheet state="hidden" name="MobsPics" sheetId="8" r:id="rId11"/>
    <sheet state="hidden" name="Equipment" sheetId="9" r:id="rId12"/>
    <sheet state="hidden" name="Loot" sheetId="10" r:id="rId13"/>
    <sheet state="hidden" name="LootTable" sheetId="11" r:id="rId14"/>
    <sheet state="hidden" name="Items" sheetId="12" r:id="rId15"/>
  </sheets>
  <definedNames/>
  <calcPr/>
</workbook>
</file>

<file path=xl/sharedStrings.xml><?xml version="1.0" encoding="utf-8"?>
<sst xmlns="http://schemas.openxmlformats.org/spreadsheetml/2006/main" count="56" uniqueCount="55">
  <si>
    <t>Rolled Mob (D20):</t>
  </si>
  <si>
    <t>Actual Level</t>
  </si>
  <si>
    <t xml:space="preserve">Level Increase: </t>
  </si>
  <si>
    <t>Attack</t>
  </si>
  <si>
    <t>Accuracy</t>
  </si>
  <si>
    <t>Defence</t>
  </si>
  <si>
    <t>Wisdom</t>
  </si>
  <si>
    <t>Mobility</t>
  </si>
  <si>
    <t>Evasion</t>
  </si>
  <si>
    <t>Charisma</t>
  </si>
  <si>
    <t>Intimidation</t>
  </si>
  <si>
    <t>Dmg Taken</t>
  </si>
  <si>
    <t>SP Used</t>
  </si>
  <si>
    <t>Mob Uses</t>
  </si>
  <si>
    <t>👑 (1) Head:</t>
  </si>
  <si>
    <t>📿 (3) Neck:</t>
  </si>
  <si>
    <t>🎒(1) Shoulders</t>
  </si>
  <si>
    <t>🧥 (1) Torso:</t>
  </si>
  <si>
    <t>💪(1) Arms</t>
  </si>
  <si>
    <t>🖐 (1) L. Hand:</t>
  </si>
  <si>
    <t>🖐 (1) R. Hand:</t>
  </si>
  <si>
    <t>💍 (10) Fingers:</t>
  </si>
  <si>
    <t>👖 (1) Legs:</t>
  </si>
  <si>
    <t>🥾 (1) Feet:</t>
  </si>
  <si>
    <t>Actions</t>
  </si>
  <si>
    <t>Rank</t>
  </si>
  <si>
    <t>SP Cost</t>
  </si>
  <si>
    <t>HP Cost</t>
  </si>
  <si>
    <t>Name</t>
  </si>
  <si>
    <t>Effect</t>
  </si>
  <si>
    <t>Type</t>
  </si>
  <si>
    <t>Element</t>
  </si>
  <si>
    <t>Number</t>
  </si>
  <si>
    <t>Mob</t>
  </si>
  <si>
    <t>No Roll Bonuses</t>
  </si>
  <si>
    <t>Slime</t>
  </si>
  <si>
    <t>Haunted Scarecrow</t>
  </si>
  <si>
    <t>Ancient Stone Guard</t>
  </si>
  <si>
    <t>Giant Eagle</t>
  </si>
  <si>
    <t>Giant Spider</t>
  </si>
  <si>
    <t>Fire Wyrm</t>
  </si>
  <si>
    <t>Cultist of Dreadful</t>
  </si>
  <si>
    <t>Deathblade The Dragon Hunter</t>
  </si>
  <si>
    <t>Cultist Leader</t>
  </si>
  <si>
    <t>Desert Titan</t>
  </si>
  <si>
    <t>Ancient Fire Sentinel</t>
  </si>
  <si>
    <t>Bandit</t>
  </si>
  <si>
    <t>Baboon</t>
  </si>
  <si>
    <t>Guardian Of Nature</t>
  </si>
  <si>
    <t>Wolf</t>
  </si>
  <si>
    <t>Assassin Doll</t>
  </si>
  <si>
    <t>Manticore</t>
  </si>
  <si>
    <t>Griffin</t>
  </si>
  <si>
    <t>Ice Slime</t>
  </si>
  <si>
    <t>Shadow Copy- Summons a clone of a target.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</si>
</sst>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15">
    <font>
      <sz val="10.0"/>
      <color rgb="FF000000"/>
      <name val="Arial"/>
      <scheme val="minor"/>
    </font>
    <font>
      <b/>
      <color theme="1"/>
      <name val="Arial"/>
      <scheme val="minor"/>
    </font>
    <font>
      <color theme="1"/>
      <name val="Arial"/>
      <scheme val="minor"/>
    </font>
    <font>
      <color rgb="FF000000"/>
      <name val="Arial"/>
    </font>
    <font>
      <color theme="1"/>
      <name val="Arial"/>
    </font>
    <font>
      <sz val="11.0"/>
      <color theme="1"/>
      <name val="Arial"/>
    </font>
    <font/>
    <font>
      <b/>
      <color theme="1"/>
      <name val="Arial"/>
    </font>
    <font>
      <b/>
      <color rgb="FF6AA84F"/>
      <name val="Arial"/>
    </font>
    <font>
      <sz val="11.0"/>
      <color rgb="FF000000"/>
      <name val="Inconsolata"/>
    </font>
    <font>
      <sz val="11.0"/>
      <color rgb="FF000000"/>
      <name val="Arial"/>
    </font>
    <font>
      <b/>
      <sz val="11.0"/>
      <color theme="1"/>
      <name val="Arial"/>
    </font>
    <font>
      <u/>
      <color rgb="FF0000FF"/>
    </font>
    <font>
      <sz val="11.0"/>
      <color rgb="FF000000"/>
      <name val="Calibri"/>
    </font>
    <font>
      <sz val="10.0"/>
      <color rgb="FF000000"/>
      <name val="Arial"/>
    </font>
  </fonts>
  <fills count="5">
    <fill>
      <patternFill patternType="none"/>
    </fill>
    <fill>
      <patternFill patternType="lightGray"/>
    </fill>
    <fill>
      <patternFill patternType="solid">
        <fgColor rgb="FFFF0000"/>
        <bgColor rgb="FFFF0000"/>
      </patternFill>
    </fill>
    <fill>
      <patternFill patternType="solid">
        <fgColor theme="6"/>
        <bgColor theme="6"/>
      </patternFill>
    </fill>
    <fill>
      <patternFill patternType="solid">
        <fgColor rgb="FFFFFFFF"/>
        <bgColor rgb="FFFFFFFF"/>
      </patternFill>
    </fill>
  </fills>
  <borders count="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horizontal="right" readingOrder="0"/>
    </xf>
    <xf borderId="0" fillId="0" fontId="2" numFmtId="0" xfId="0" applyAlignment="1" applyFont="1">
      <alignment readingOrder="0"/>
    </xf>
    <xf borderId="0" fillId="2" fontId="3" numFmtId="0" xfId="0" applyFill="1" applyFont="1"/>
    <xf borderId="0" fillId="0" fontId="4" numFmtId="0" xfId="0" applyAlignment="1" applyFont="1">
      <alignment readingOrder="0"/>
    </xf>
    <xf borderId="0" fillId="0" fontId="4" numFmtId="0" xfId="0" applyFont="1"/>
    <xf borderId="0" fillId="3" fontId="4" numFmtId="0" xfId="0" applyFill="1" applyFont="1"/>
    <xf borderId="0" fillId="0" fontId="4" numFmtId="3" xfId="0" applyAlignment="1" applyFont="1" applyNumberFormat="1">
      <alignment readingOrder="0"/>
    </xf>
    <xf borderId="1" fillId="0" fontId="5" numFmtId="0" xfId="0" applyAlignment="1" applyBorder="1" applyFont="1">
      <alignment shrinkToFit="0" vertical="bottom" wrapText="1"/>
    </xf>
    <xf borderId="2" fillId="0" fontId="5" numFmtId="0" xfId="0" applyAlignment="1" applyBorder="1" applyFont="1">
      <alignment horizontal="center" shrinkToFit="0" vertical="bottom" wrapText="1"/>
    </xf>
    <xf borderId="3" fillId="0" fontId="6" numFmtId="0" xfId="0" applyBorder="1" applyFont="1"/>
    <xf borderId="4" fillId="0" fontId="5" numFmtId="0" xfId="0" applyAlignment="1" applyBorder="1" applyFont="1">
      <alignment shrinkToFit="0" vertical="bottom" wrapText="1"/>
    </xf>
    <xf borderId="2" fillId="0" fontId="6" numFmtId="0" xfId="0" applyBorder="1" applyFont="1"/>
    <xf borderId="5" fillId="0" fontId="4" numFmtId="0" xfId="0" applyAlignment="1" applyBorder="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4" numFmtId="3" xfId="0" applyAlignment="1" applyFont="1" applyNumberFormat="1">
      <alignment horizontal="right" readingOrder="0" vertical="bottom"/>
    </xf>
    <xf borderId="0" fillId="0" fontId="4" numFmtId="0" xfId="0" applyAlignment="1" applyFont="1">
      <alignment horizontal="right" readingOrder="0" vertical="bottom"/>
    </xf>
    <xf borderId="5" fillId="0" fontId="4" numFmtId="0" xfId="0" applyAlignment="1" applyBorder="1" applyFont="1">
      <alignment vertical="bottom"/>
    </xf>
    <xf borderId="0" fillId="0" fontId="4" numFmtId="0" xfId="0" applyAlignment="1" applyFont="1">
      <alignment vertical="bottom"/>
    </xf>
    <xf borderId="0" fillId="0" fontId="4" numFmtId="0" xfId="0" applyAlignment="1" applyFont="1">
      <alignment vertical="bottom"/>
    </xf>
    <xf borderId="5" fillId="0" fontId="4" numFmtId="3" xfId="0" applyAlignment="1" applyBorder="1" applyFont="1" applyNumberFormat="1">
      <alignment horizontal="right" readingOrder="0" vertical="bottom"/>
    </xf>
    <xf borderId="5" fillId="0" fontId="4" numFmtId="0" xfId="0" applyAlignment="1" applyBorder="1" applyFont="1">
      <alignment vertical="bottom"/>
    </xf>
    <xf borderId="0" fillId="0" fontId="7" numFmtId="0" xfId="0" applyAlignment="1" applyFont="1">
      <alignment readingOrder="0" vertical="bottom"/>
    </xf>
    <xf borderId="0" fillId="0" fontId="8" numFmtId="0" xfId="0" applyAlignment="1" applyFont="1">
      <alignment shrinkToFit="0" vertical="bottom" wrapText="1"/>
    </xf>
    <xf borderId="0" fillId="4" fontId="9" numFmtId="0" xfId="0" applyAlignment="1" applyFill="1" applyFont="1">
      <alignment readingOrder="0"/>
    </xf>
    <xf borderId="0" fillId="0" fontId="4" numFmtId="0" xfId="0" applyAlignment="1" applyFont="1">
      <alignment shrinkToFit="0" wrapText="1"/>
    </xf>
    <xf borderId="4" fillId="0" fontId="10" numFmtId="0" xfId="0" applyAlignment="1" applyBorder="1" applyFont="1">
      <alignment horizontal="left" shrinkToFit="0" wrapText="1"/>
    </xf>
    <xf borderId="4" fillId="0" fontId="10" numFmtId="0" xfId="0" applyAlignment="1" applyBorder="1" applyFont="1">
      <alignment horizontal="left" readingOrder="0" shrinkToFit="0" wrapText="1"/>
    </xf>
    <xf borderId="0" fillId="0" fontId="4" numFmtId="0" xfId="0" applyAlignment="1" applyFont="1">
      <alignment readingOrder="0" shrinkToFit="0" wrapText="1"/>
    </xf>
    <xf borderId="0" fillId="4" fontId="10" numFmtId="0" xfId="0" applyAlignment="1" applyFont="1">
      <alignment shrinkToFit="0" wrapText="1"/>
    </xf>
    <xf borderId="4" fillId="0" fontId="11" numFmtId="0" xfId="0" applyAlignment="1" applyBorder="1" applyFont="1">
      <alignment shrinkToFit="0" vertical="bottom" wrapText="1"/>
    </xf>
    <xf borderId="0" fillId="0" fontId="2" numFmtId="0" xfId="0" applyFont="1"/>
    <xf borderId="0" fillId="0" fontId="2" numFmtId="3" xfId="0" applyFont="1" applyNumberFormat="1"/>
    <xf borderId="0" fillId="0" fontId="2" numFmtId="1" xfId="0" applyFont="1" applyNumberFormat="1"/>
    <xf borderId="0" fillId="0" fontId="2" numFmtId="49" xfId="0" applyFont="1" applyNumberFormat="1"/>
    <xf borderId="0" fillId="4" fontId="9" numFmtId="0" xfId="0" applyFont="1"/>
    <xf borderId="0" fillId="0" fontId="12" numFmtId="0" xfId="0" applyFont="1"/>
    <xf borderId="0" fillId="0" fontId="13" numFmtId="0" xfId="0" applyAlignment="1" applyFont="1">
      <alignment shrinkToFit="0" vertical="bottom" wrapText="0"/>
    </xf>
    <xf borderId="0" fillId="0" fontId="13" numFmtId="0" xfId="0" applyAlignment="1" applyFont="1">
      <alignment readingOrder="0" shrinkToFit="0" vertical="bottom" wrapText="0"/>
    </xf>
    <xf borderId="0" fillId="0" fontId="4" numFmtId="164" xfId="0" applyFont="1" applyNumberFormat="1"/>
    <xf borderId="0" fillId="0" fontId="4" numFmtId="3" xfId="0" applyFont="1" applyNumberFormat="1"/>
    <xf borderId="0" fillId="0" fontId="10" numFmtId="0" xfId="0" applyFont="1"/>
    <xf borderId="0" fillId="0" fontId="14" numFmtId="0" xfId="0" applyFont="1"/>
    <xf borderId="0" fillId="0" fontId="2" numFmtId="164" xfId="0" applyFont="1" applyNumberFormat="1"/>
    <xf borderId="0" fillId="4" fontId="3" numFmtId="164" xfId="0" applyAlignment="1" applyFont="1" applyNumberFormat="1">
      <alignment horizontal="left"/>
    </xf>
    <xf borderId="0" fillId="4" fontId="3" numFmtId="0" xfId="0" applyAlignment="1" applyFont="1">
      <alignment horizontal="left"/>
    </xf>
    <xf borderId="0" fillId="4" fontId="10" numFmtId="0" xfId="0" applyAlignment="1" applyFont="1">
      <alignment horizontal="left"/>
    </xf>
    <xf borderId="0" fillId="0" fontId="10" numFmtId="0" xfId="0" applyAlignment="1" applyFont="1">
      <alignment readingOrder="0"/>
    </xf>
    <xf borderId="4" fillId="0" fontId="10" numFmtId="0" xfId="0" applyBorder="1" applyFont="1"/>
    <xf borderId="4" fillId="0" fontId="4" numFmtId="0" xfId="0" applyBorder="1" applyFont="1"/>
    <xf borderId="0" fillId="0" fontId="4" numFmtId="49" xfId="0" applyFont="1" applyNumberFormat="1"/>
    <xf borderId="4" fillId="0" fontId="4" numFmtId="0" xfId="0" applyAlignment="1" applyBorder="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8.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 customWidth="1" min="2" max="2" width="14.38"/>
    <col customWidth="1" min="3" max="3" width="12.63"/>
    <col customWidth="1" min="4" max="4" width="14.38"/>
    <col customWidth="1" min="5" max="6" width="12.63"/>
  </cols>
  <sheetData>
    <row r="1">
      <c r="A1" s="1" t="s">
        <v>0</v>
      </c>
      <c r="B1" s="2">
        <v>1.0</v>
      </c>
      <c r="G1" s="3" t="s">
        <v>1</v>
      </c>
    </row>
    <row r="2">
      <c r="A2" s="4" t="str">
        <f>VLOOKUP($B$1,MobNumbers!$A$2:$B$21,2,FALSE)</f>
        <v>Slime</v>
      </c>
      <c r="B2" s="5"/>
      <c r="E2" s="6" t="s">
        <v>2</v>
      </c>
      <c r="F2" s="7">
        <v>1.0</v>
      </c>
      <c r="G2" s="7">
        <f>VALUE(VLOOKUP($A$2,Mobs!A2:BY1352,MATCH("Level",Mobs!$1:$1,0),FALSE))+(F2-1)</f>
        <v>1</v>
      </c>
    </row>
    <row r="3">
      <c r="A3" s="2"/>
    </row>
    <row r="4" ht="158.25" customHeight="1">
      <c r="A4" s="8" t="str">
        <f>"👤 Name: "&amp;VLOOKUP($A$2,Mobs!$A:$BP,MATCH("Name",Mobs!$1:$1,0),FALSE)</f>
        <v>👤 Name: Slime</v>
      </c>
      <c r="B4" s="9" t="str">
        <f>IMAGE(VLOOKUP($A$2,MobsPics!$A$2:$C1002,2,FALSE),4,200,200)</f>
        <v/>
      </c>
      <c r="C4" s="10"/>
      <c r="D4" s="11" t="str">
        <f>"⭐ Level: "&amp;G2</f>
        <v>⭐ Level: 1</v>
      </c>
    </row>
    <row r="5">
      <c r="A5" s="8" t="str">
        <f>"Description: "&amp;VLOOKUP($A$2,Mobs!$A:$BP,MATCH("Description",Mobs!$1:$1,0),FALSE)</f>
        <v>Description: A small mindless ball of magical sludge this creature will strike at anything that gets to close and try to absorb it, they are mostly harmless one swing will disrupt its form turning it back to a liquid state.</v>
      </c>
      <c r="B5" s="12"/>
      <c r="C5" s="12"/>
      <c r="D5" s="10"/>
      <c r="E5" s="13" t="s">
        <v>3</v>
      </c>
      <c r="F5" s="14" t="s">
        <v>4</v>
      </c>
      <c r="G5" s="14" t="s">
        <v>5</v>
      </c>
      <c r="H5" s="15" t="s">
        <v>6</v>
      </c>
    </row>
    <row r="6">
      <c r="A6" s="11" t="str">
        <f>"⚔️ Attack:"&amp;CHAR(10)&amp;(VLOOKUP($A$2,Mobs!$A:$BP,MATCH("Attack",Mobs!$1:$1,0),FALSE)+(F2*10-10))+E6</f>
        <v>⚔️ Attack:
1010</v>
      </c>
      <c r="B6" s="11" t="str">
        <f>"🎯 Accuracy: "&amp;CHAR(10)&amp;(VLOOKUP($A$2,Mobs!$A:$BP,MATCH("Accuracy",Mobs!$1:$1,0),FALSE)+(F2*10-10))+F6</f>
        <v>🎯 Accuracy: 
1010</v>
      </c>
      <c r="C6" s="11" t="str">
        <f>"🛡️ Defence: "&amp;CHAR(10)&amp;(VLOOKUP($A$2,Mobs!$A:$BP,MATCH("Defence",Mobs!$1:$1,0),FALSE)+(F2*10-10))+G6</f>
        <v>🛡️ Defence: 
1010</v>
      </c>
      <c r="D6" s="11" t="str">
        <f>"💡 Wisdom: "&amp;CHAR(10)&amp;VLOOKUP($A$2,Mobs!$A:$BP,MATCH("Wisdom",Mobs!$1:$1,0),FALSE)+H6</f>
        <v>💡 Wisdom: 
0</v>
      </c>
      <c r="E6" s="16">
        <v>0.0</v>
      </c>
      <c r="F6" s="16">
        <v>0.0</v>
      </c>
      <c r="G6" s="16">
        <v>0.0</v>
      </c>
      <c r="H6" s="17">
        <v>0.0</v>
      </c>
    </row>
    <row r="7">
      <c r="A7" s="11" t="str">
        <f>"🏃‍♀️ Mobility:"&amp;CHAR(10)&amp;VLOOKUP($A$2,Mobs!$A:$BP,MATCH("Mobility",Mobs!$1:$1,0),FALSE)+E8</f>
        <v>🏃‍♀️ Mobility:
15</v>
      </c>
      <c r="B7" s="11" t="str">
        <f>"🏃‍♀️ Evasion:"&amp;CHAR(10)&amp;VLOOKUP($A$2,Mobs!$A:$BP,MATCH("Evasion",Mobs!$1:$1,0),FALSE)+F8</f>
        <v>🏃‍♀️ Evasion:
10</v>
      </c>
      <c r="C7" s="11" t="str">
        <f>"😇 Charisma:"&amp;CHAR(10)&amp;VLOOKUP($A$2,Mobs!$A:$BP,MATCH("Charisma",Mobs!$1:$1,0),FALSE)+G8</f>
        <v>😇 Charisma:
0</v>
      </c>
      <c r="D7" s="11" t="str">
        <f>"😈 Intimidation:"&amp;CHAR(10)&amp;VLOOKUP($A$2,Mobs!$A:$BP,MATCH("Intimidation",Mobs!$1:$1,0),FALSE)+H8</f>
        <v>😈 Intimidation:
0</v>
      </c>
      <c r="E7" s="18" t="s">
        <v>7</v>
      </c>
      <c r="F7" s="19" t="s">
        <v>8</v>
      </c>
      <c r="G7" s="20" t="s">
        <v>9</v>
      </c>
      <c r="H7" s="20" t="s">
        <v>10</v>
      </c>
    </row>
    <row r="8">
      <c r="A8" s="8" t="str">
        <f>"❤️ HP: "&amp;(VLOOKUP($A$2,Mobs!$A:$BP,MATCH("HP",Mobs!$1:$1,0),FALSE)-$E$10)+(F2*100-100)&amp;"/"&amp;VLOOKUP($A$2,Mobs!$A:$BP,MATCH("HP",Mobs!$1:$1,0),FALSE)+(F2*100-100)</f>
        <v>❤️ HP: 100/100</v>
      </c>
      <c r="B8" s="10"/>
      <c r="C8" s="8" t="str">
        <f>"🧪 SP: "&amp;(VLOOKUP($A$2,Mobs!$A:$BP,MATCH("SP",Mobs!$1:$1,0),FALSE)-$F$10)+(F2*100-100)&amp;"/"&amp;VLOOKUP($A$2,Mobs!$A:$BP,MATCH("SP",Mobs!$1:$1,0),FALSE)+(F2*100-100)</f>
        <v>🧪 SP: 100/100</v>
      </c>
      <c r="D8" s="10"/>
      <c r="E8" s="21">
        <v>0.0</v>
      </c>
      <c r="F8" s="16">
        <v>0.0</v>
      </c>
      <c r="G8" s="17">
        <v>0.0</v>
      </c>
      <c r="H8" s="17">
        <v>0.0</v>
      </c>
    </row>
    <row r="9">
      <c r="A9" s="8" t="str">
        <f>"Resistances: "&amp;IF(ISBLANK(IFNA(VLOOKUP($A2,Resistances!$A$2:$AE1002,MATCH("Fire",Resistances!$A$1:$AF$1,0),FALSE),"")),"","Fire:"&amp;IF(ISNUMBER(VLOOKUP($A2,Resistances!$A$2:$AE1002,MATCH("Fire",Resistances!$A$1:$AF$1,0),FALSE)),VLOOKUP($A2,Resistances!$A$2:$AE1002,MATCH("Fire",Resistances!$A$1:$AF$1,0),FALSE)*ROUNDUP($G$2/14,0),VLOOKUP($A2,Resistances!$A$2:$AE1002,MATCH("Fire",Resistances!$A$1:$AF$1,0),FALSE))&amp;", ")&amp;
IF(ISBLANK(IFNA(VLOOKUP($A2,Resistances!$A$2:$AE1002,MATCH("Water",Resistances!$A$1:$AF$1,0),FALSE),"")),"","Water:"&amp;IF(ISNUMBER(VLOOKUP($A2,Resistances!$A$2:$AE1002,MATCH("Water",Resistances!$A$1:$AF$1,0),FALSE)),VLOOKUP($A2,Resistances!$A$2:$AE1002,MATCH("Water",Resistances!$A$1:$AF$1,0),FALSE)*ROUNDUP($G$2/14,0),VLOOKUP($A2,Resistances!$A$2:$AE1002,MATCH("Water",Resistances!$A$1:$AF$1,0),FALSE))&amp;", ")&amp;
IF(ISBLANK(IFNA(VLOOKUP($A2,Resistances!$A$2:$AE1002,MATCH("Storm",Resistances!$A$1:$AF$1,0),FALSE),"")),"","Storm:"&amp;IF(ISNUMBER(VLOOKUP($A2,Resistances!$A$2:$AE1002,MATCH("Storm",Resistances!$A$1:$AF$1,0),FALSE)),VLOOKUP($A2,Resistances!$A$2:$AE1002,MATCH("Storm",Resistances!$A$1:$AF$1,0),FALSE)*ROUNDUP($G$2/14,0),VLOOKUP($A2,Resistances!$A$2:$AE1002,MATCH("Storm",Resistances!$A$1:$AF$1,0),FALSE))&amp;", ")&amp;
IF(ISBLANK(IFNA(VLOOKUP($A2,Resistances!$A$2:$AE1002,MATCH("Earth",Resistances!$A$1:$AF$1,0),FALSE),"")),"","Earth:"&amp;IF(ISNUMBER(VLOOKUP($A2,Resistances!$A$2:$AE1002,MATCH("Earth",Resistances!$A$1:$AF$1,0),FALSE)),VLOOKUP($A2,Resistances!$A$2:$AE1002,MATCH("Earth",Resistances!$A$1:$AF$1,0),FALSE)*ROUNDUP($G$2/14,0),VLOOKUP($A2,Resistances!$A$2:$AE1002,MATCH("Earth",Resistances!$A$1:$AF$1,0),FALSE))&amp;", ")&amp;
IF(ISBLANK(IFNA(VLOOKUP($A2,Resistances!$A$2:$AE1002,MATCH("Light",Resistances!$A$1:$AF$1,0),FALSE),"")),"","Light:"&amp;IF(ISNUMBER(VLOOKUP($A2,Resistances!$A$2:$AE1002,MATCH("Light",Resistances!$A$1:$AF$1,0),FALSE)),VLOOKUP($A2,Resistances!$A$2:$AE1002,MATCH("Light",Resistances!$A$1:$AF$1,0),FALSE)*ROUNDUP($G$2/14,0),VLOOKUP($A2,Resistances!$A$2:$AE1002,MATCH("Light",Resistances!$A$1:$AF$1,0),FALSE))&amp;", ")&amp;
IF(ISBLANK(IFNA(VLOOKUP($A2,Resistances!$A$2:$AE1002,MATCH("Dark",Resistances!$A$1:$AF$1,0),FALSE),"")),"","Dark:"&amp;IF(ISNUMBER(VLOOKUP($A2,Resistances!$A$2:$AE1002,MATCH("Dark",Resistances!$A$1:$AF$1,0),FALSE)),VLOOKUP($A2,Resistances!$A$2:$AE1002,MATCH("Dark",Resistances!$A$1:$AF$1,0),FALSE)*ROUNDUP($G$2/14,0),VLOOKUP($A2,Resistances!$A$2:$AE1002,MATCH("Dark",Resistances!$A$1:$AF$1,0),FALSE))&amp;", ")&amp;
IF(ISBLANK(IFNA(VLOOKUP($A2,Resistances!$A$2:$AE1002,MATCH("Spirit",Resistances!$A$1:$AF$1,0),FALSE),"")),"","Spirit:"&amp;IF(ISNUMBER(VLOOKUP($A2,Resistances!$A$2:$AE1002,MATCH("Spirit",Resistances!$A$1:$AF$1,0),FALSE)),VLOOKUP($A2,Resistances!$A$2:$AE1002,MATCH("Spirit",Resistances!$A$1:$AF$1,0),FALSE)*ROUNDUP($G$2/14,0),VLOOKUP($A2,Resistances!$A$2:$AE1002,MATCH("Spirit",Resistances!$A$1:$AF$1,0),FALSE))&amp;", ")&amp;
IF(ISBLANK(IFNA(VLOOKUP($A2,Resistances!$A$2:$AE1002,MATCH("Order",Resistances!$A$1:$AF$1,0),FALSE),"")),"","Order:"&amp;IF(ISNUMBER(VLOOKUP($A2,Resistances!$A$2:$AE1002,MATCH("Order",Resistances!$A$1:$AF$1,0),FALSE)),VLOOKUP($A2,Resistances!$A$2:$AE1002,MATCH("Order",Resistances!$A$1:$AF$1,0),FALSE)*ROUNDUP($G$2/14,0),VLOOKUP($A2,Resistances!$A$2:$AE1002,MATCH("Order",Resistances!$A$1:$AF$1,0),FALSE))&amp;", ")&amp;
IF(ISBLANK(IFNA(VLOOKUP($A2,Resistances!$A$2:$AE1002,MATCH("Chaos",Resistances!$A$1:$AF$1,0),FALSE),"")),"","Chaos:"&amp;IF(ISNUMBER(VLOOKUP($A2,Resistances!$A$2:$AE1002,MATCH("Chaos",Resistances!$A$1:$AF$1,0),FALSE)),VLOOKUP($A2,Resistances!$A$2:$AE1002,MATCH("Chaos",Resistances!$A$1:$AF$1,0),FALSE)*ROUNDUP($G$2/14,0),VLOOKUP($A2,Resistances!$A$2:$AE1002,MATCH("Chaos",Resistances!$A$1:$AF$1,0),FALSE))&amp;", ")&amp;
IF(ISBLANK(IFNA(VLOOKUP($A2,Resistances!$A$2:$AE1002,MATCH("Nature",Resistances!$A$1:$AF$1,0),FALSE),"")),"","Nature:"&amp;IF(ISNUMBER(VLOOKUP($A2,Resistances!$A$2:$AE1002,MATCH("Nature",Resistances!$A$1:$AF$1,0),FALSE)),VLOOKUP($A2,Resistances!$A$2:$AE1002,MATCH("Nature",Resistances!$A$1:$AF$1,0),FALSE)*ROUNDUP($G$2/14,0),VLOOKUP($A2,Resistances!$A$2:$AE1002,MATCH("Nature",Resistances!$A$1:$AF$1,0),FALSE))&amp;", ")&amp;
IF(ISBLANK(IFNA(VLOOKUP($A2,Resistances!$A$2:$AE1002,MATCH("Physical",Resistances!$A$1:$AF$1,0),FALSE),"")),"","Physical:"&amp;IF(ISNUMBER(VLOOKUP($A2,Resistances!$A$2:$AE1002,MATCH("Physical",Resistances!$A$1:$AF$1,0),FALSE)),VLOOKUP($A2,Resistances!$A$2:$AE1002,MATCH("Physical",Resistances!$A$1:$AF$1,0),FALSE)*ROUNDUP($G$2/14,0),VLOOKUP($A2,Resistances!$A$2:$AE1002,MATCH("Physical",Resistances!$A$1:$AF$1,0),FALSE))&amp;", ")&amp;
IF(ISBLANK(IFNA(VLOOKUP($A2,Resistances!$A$2:$AE1002,MATCH("Melee",Resistances!$A$1:$AF$1,0),FALSE),"")),"","Melee:"&amp;IF(ISNUMBER(VLOOKUP($A2,Resistances!$A$2:$AE1002,MATCH("Melee",Resistances!$A$1:$AF$1,0),FALSE)),VLOOKUP($A2,Resistances!$A$2:$AE1002,MATCH("Melee",Resistances!$A$1:$AF$1,0),FALSE)*ROUNDUP($G$2/14,0),VLOOKUP($A2,Resistances!$A$2:$AE1002,MATCH("Melee",Resistances!$A$1:$AF$1,0),FALSE))&amp;", ")&amp;
IF(ISBLANK(IFNA(VLOOKUP($A2,Resistances!$A$2:$AE1002,MATCH("Ranged",Resistances!$A$1:$AF$1,0),FALSE),"")),"","Ranged:"&amp;IF(ISNUMBER(VLOOKUP($A2,Resistances!$A$2:$AE1002,MATCH("Ranged",Resistances!$A$1:$AF$1,0),FALSE)),VLOOKUP($A2,Resistances!$A$2:$AE1002,MATCH("Ranged",Resistances!$A$1:$AF$1,0),FALSE)*ROUNDUP($G$2/14,0),VLOOKUP($A2,Resistances!$A$2:$AE1002,MATCH("Ranged",Resistances!$A$1:$AF$1,0),FALSE))&amp;", ")&amp;
IF(ISBLANK(IFNA(VLOOKUP($A2,Resistances!$A$2:$AE1002,MATCH("Stasis",Resistances!$A$1:$AF$1,0),FALSE),"")),"","Stasis:"&amp;IF(ISNUMBER(VLOOKUP($A2,Resistances!$A$2:$AE1002,MATCH("Stasis",Resistances!$A$1:$AF$1,0),FALSE)),VLOOKUP($A2,Resistances!$A$2:$AE1002,MATCH("Stasis",Resistances!$A$1:$AF$1,0),FALSE)*ROUNDUP($G$2/14,0),VLOOKUP($A2,Resistances!$A$2:$AE1002,MATCH("Stasis",Resistances!$A$1:$AF$1,0),FALSE))&amp;", ")&amp;
IF(ISBLANK(IFNA(VLOOKUP($A2,Resistances!$A$2:$AE1002,MATCH("Twilight",Resistances!$A$1:$AF$1,0),FALSE),"")),"","Twilight:"&amp;IF(ISNUMBER(VLOOKUP($A2,Resistances!$A$2:$AE1002,MATCH("Twilight",Resistances!$A$1:$AF$1,0),FALSE)),VLOOKUP($A2,Resistances!$A$2:$AE1002,MATCH("Twilight",Resistances!$A$1:$AF$1,0),FALSE)*ROUNDUP($G$2/14,0),VLOOKUP($A2,Resistances!$A$2:$AE1002,MATCH("Twilight",Resistances!$A$1:$AF$1,0),FALSE))&amp;", ")&amp;
IF(ISBLANK(IFNA(VLOOKUP($A2,Resistances!$A$2:$AE1002,MATCH("Voodoo",Resistances!$A$1:$AF$1,0),FALSE),"")),"","Voodoo:"&amp;IF(ISNUMBER(VLOOKUP($A2,Resistances!$A$2:$AE1002,MATCH("Voodoo",Resistances!$A$1:$AF$1,0),FALSE)),VLOOKUP($A2,Resistances!$A$2:$AE1002,MATCH("Voodoo",Resistances!$A$1:$AF$1,0),FALSE)*ROUNDUP($G$2/14,0),VLOOKUP($A2,Resistances!$A$2:$AE1002,MATCH("Voodoo",Resistances!$A$1:$AF$1,0),FALSE))&amp;", ")&amp;
IF(ISBLANK(IFNA(VLOOKUP($A2,Resistances!$A$2:$AE1002,MATCH("Blood",Resistances!$A$1:$AF$1,0),FALSE),"")),"","Blood:"&amp;IF(ISNUMBER(VLOOKUP($A2,Resistances!$A$2:$AE1002,MATCH("Blood",Resistances!$A$1:$AF$1,0),FALSE)),VLOOKUP($A2,Resistances!$A$2:$AE1002,MATCH("Blood",Resistances!$A$1:$AF$1,0),FALSE)*ROUNDUP($G$2/14,0),VLOOKUP($A2,Resistances!$A$2:$AE1002,MATCH("Blood",Resistances!$A$1:$AF$1,0),FALSE))&amp;", ")&amp;
IF(ISBLANK(IFNA(VLOOKUP($A2,Resistances!$A$2:$AE1002,MATCH("Delta",Resistances!$A$1:$AF$1,0),FALSE),"")),"","Delta:"&amp;IF(ISNUMBER(VLOOKUP($A2,Resistances!$A$2:$AE1002,MATCH("Delta",Resistances!$A$1:$AF$1,0),FALSE)),VLOOKUP($A2,Resistances!$A$2:$AE1002,MATCH("Delta",Resistances!$A$1:$AF$1,0),FALSE)*ROUNDUP($G$2/14,0),VLOOKUP($A2,Resistances!$A$2:$AE1002,MATCH("Delta",Resistances!$A$1:$AF$1,0),FALSE))&amp;", ")&amp;
IF(ISBLANK(IFNA(VLOOKUP($A2,Resistances!$A$2:$AE1002,MATCH("Zen",Resistances!$A$1:$AF$1,0),FALSE),"")),"","Zen:"&amp;IF(ISNUMBER(VLOOKUP($A2,Resistances!$A$2:$AE1002,MATCH("Zen",Resistances!$A$1:$AF$1,0),FALSE)),VLOOKUP($A2,Resistances!$A$2:$AE1002,MATCH("Zen",Resistances!$A$1:$AF$1,0),FALSE)*ROUNDUP($G$2/14,0),VLOOKUP($A2,Resistances!$A$2:$AE1002,MATCH("Zen",Resistances!$A$1:$AF$1,0),FALSE))&amp;", ")&amp;
IF(ISBLANK(IFNA(VLOOKUP($A2,Resistances!$A$2:$AE1002,MATCH("Time",Resistances!$A$1:$AF$1,0),FALSE),"")),"","Time:"&amp;IF(ISNUMBER(VLOOKUP($A2,Resistances!$A$2:$AE1002,MATCH("Time",Resistances!$A$1:$AF$1,0),FALSE)),VLOOKUP($A2,Resistances!$A$2:$AE1002,MATCH("Time",Resistances!$A$1:$AF$1,0),FALSE)*ROUNDUP($G$2/14,0),VLOOKUP($A2,Resistances!$A$2:$AE1002,MATCH("Time",Resistances!$A$1:$AF$1,0),FALSE))&amp;", ")&amp;
IF(ISBLANK(IFNA(VLOOKUP($A2,Resistances!$A$2:$AE1002,MATCH("Astral",Resistances!$A$1:$AF$1,0),FALSE),"")),"","Astral:"&amp;IF(ISNUMBER(VLOOKUP($A2,Resistances!$A$2:$AE1002,MATCH("Astral",Resistances!$A$1:$AF$1,0),FALSE)),VLOOKUP($A2,Resistances!$A$2:$AE1002,MATCH("Astral",Resistances!$A$1:$AF$1,0),FALSE)*ROUNDUP($G$2/14,0),VLOOKUP($A2,Resistances!$A$2:$AE1002,MATCH("Astral",Resistances!$A$1:$AF$1,0),FALSE))&amp;", ")&amp;
IF(ISBLANK(IFNA(VLOOKUP($A2,Resistances!$A$2:$AE1002,MATCH("Celestial",Resistances!$A$1:$AF$1,0),FALSE),"")),"","Celestial:"&amp;IF(ISNUMBER(VLOOKUP($A2,Resistances!$A$2:$AE1002,MATCH("Celestial",Resistances!$A$1:$AF$1,0),FALSE)),VLOOKUP($A2,Resistances!$A$2:$AE1002,MATCH("Celestial",Resistances!$A$1:$AF$1,0),FALSE)*ROUNDUP($G$2/14,0),VLOOKUP($A2,Resistances!$A$2:$AE1002,MATCH("Celestial",Resistances!$A$1:$AF$1,0),FALSE))&amp;", ")&amp;
IF(ISBLANK(IFNA(VLOOKUP($A2,Resistances!$A$2:$AE1002,MATCH("Instant Death",Resistances!$A$1:$AF$1,0),FALSE),"")),"","Instant Death:"&amp;IF(ISNUMBER(VLOOKUP($A2,Resistances!$A$2:$AE1002,MATCH("Instant Death",Resistances!$A$1:$AF$1,0),FALSE)),VLOOKUP($A2,Resistances!$A$2:$AE1002,MATCH("Instant Death",Resistances!$A$1:$AF$1,0),FALSE)*ROUNDUP($G$2/14,0),VLOOKUP($A2,Resistances!$A$2:$AE1002,MATCH("Instant Death",Resistances!$A$1:$AF$1,0),FALSE))&amp;", ")&amp;
IF(ISBLANK(IFNA(VLOOKUP($A2,Resistances!$A$2:$AE1002,MATCH("Banishment",Resistances!$A$1:$AF$1,0),FALSE),"")),"","Banishment:"&amp;IF(ISNUMBER(VLOOKUP($A2,Resistances!$A$2:$AE1002,MATCH("Banishment",Resistances!$A$1:$AF$1,0),FALSE)),VLOOKUP($A2,Resistances!$A$2:$AE1002,MATCH("Banishment",Resistances!$A$1:$AF$1,0),FALSE)*ROUNDUP($G$2/14,0),VLOOKUP($A2,Resistances!$A$2:$AE1002,MATCH("Banishment",Resistances!$A$1:$AF$1,0),FALSE))&amp;", ")&amp;
IF(ISBLANK(IFNA(VLOOKUP($A2,Resistances!$A$2:$AE1002,MATCH("Natural",Resistances!$A$1:$AF$1,0),FALSE),"")),"","Natural:"&amp;IF(ISNUMBER(VLOOKUP($A2,Resistances!$A$2:$AE1002,MATCH("Natural",Resistances!$A$1:$AF$1,0),FALSE)),VLOOKUP($A2,Resistances!$A$2:$AE1002,MATCH("Natural",Resistances!$A$1:$AF$1,0),FALSE)*ROUNDUP($G$2/14,0),VLOOKUP($A2,Resistances!$A$2:$AE1002,MATCH("Natural",Resistances!$A$1:$AF$1,0),FALSE))&amp;", ")&amp;
IF(ISBLANK(IFNA(VLOOKUP($A2,Resistances!$A$2:$AE1002,MATCH("Possesion",Resistances!$A$1:$AF$1,0),FALSE),"")),"","Possesion:"&amp;IF(ISNUMBER(VLOOKUP($A2,Resistances!$A$2:$AE1002,MATCH("Possesion",Resistances!$A$1:$AF$1,0),FALSE)),VLOOKUP($A2,Resistances!$A$2:$AE1002,MATCH("Possesion",Resistances!$A$1:$AF$1,0),FALSE)*ROUNDUP($G$2/14,0),VLOOKUP($A2,Resistances!$A$2:$AE1002,MATCH("Possesion",Resistances!$A$1:$AF$1,0),FALSE))&amp;", ")&amp;
IF(ISBLANK(IFNA(VLOOKUP($A2,Resistances!$A$2:$AE1002,MATCH("Acoustic",Resistances!$A$1:$AF$1,0),FALSE),"")),"","Acoustic:"&amp;IF(ISNUMBER(VLOOKUP($A2,Resistances!$A$2:$AE1002,MATCH("Acoustic",Resistances!$A$1:$AF$1,0),FALSE)),VLOOKUP($A2,Resistances!$A$2:$AE1002,MATCH("Acoustic",Resistances!$A$1:$AF$1,0),FALSE)*ROUNDUP($G$2/14,0),VLOOKUP($A2,Resistances!$A$2:$AE1002,MATCH("Acoustic",Resistances!$A$1:$AF$1,0),FALSE))&amp;", ")&amp;
IF(ISBLANK(IFNA(VLOOKUP($A2,Resistances!$A$2:$AE1002,MATCH("All",Resistances!$A$1:$AF$1,0),FALSE),"")),"","All:"&amp;IF(ISNUMBER(VLOOKUP($A2,Resistances!$A$2:$AE1002,MATCH("All",Resistances!$A$1:$AF$1,0),FALSE)),VLOOKUP($A2,Resistances!$A$2:$AE1002,MATCH("All",Resistances!$A$1:$AF$1,0),FALSE)*ROUNDUP($G$2/14,0),VLOOKUP($A2,Resistances!$A$2:$AE1002,MATCH("All",Resistances!$A$1:$AF$1,0),FALSE))&amp;", ")
&amp;CHAR(10)
&amp;"Vulnerabilities: "&amp;IF(ISBLANK(IFNA(VLOOKUP($A2,Vulnerabilities!$A$2:$AD1002,MATCH("Fire",Vulnerabilities!$A$1:$AE$1,0),FALSE),"")),"","Fire:"&amp;IF(ISNUMBER(VLOOKUP($A2,Vulnerabilities!$A$2:$AD1002,MATCH("Fire",Vulnerabilities!$A$1:$AE$1,0),FALSE)),VLOOKUP($A2,Vulnerabilities!$A$2:$AD1002,MATCH("Fire",Vulnerabilities!$A$1:$AE$1,0),FALSE)*ROUNDUP($G$2/14,0),VLOOKUP($A2,Vulnerabilities!$A$2:$AD1002,MATCH("Fire",Vulnerabilities!$A$1:$AE$1,0),FALSE))&amp;", ")&amp;
IF(ISBLANK(IFNA(VLOOKUP($A2,Vulnerabilities!$A$2:$AD1002,MATCH("Water",Vulnerabilities!$A$1:$AE$1,0),FALSE),"")),"","Water:"&amp;IF(ISNUMBER(VLOOKUP($A2,Vulnerabilities!$A$2:$AD1002,MATCH("Water",Vulnerabilities!$A$1:$AE$1,0),FALSE)),VLOOKUP($A2,Vulnerabilities!$A$2:$AD1002,MATCH("Water",Vulnerabilities!$A$1:$AE$1,0),FALSE)*ROUNDUP($G$2/14,0),VLOOKUP($A2,Vulnerabilities!$A$2:$AD1002,MATCH("Water",Vulnerabilities!$A$1:$AE$1,0),FALSE))&amp;", ")&amp;
IF(ISBLANK(IFNA(VLOOKUP($A2,Vulnerabilities!$A$2:$AD1002,MATCH("Storm",Vulnerabilities!$A$1:$AE$1,0),FALSE),"")),"","Storm:"&amp;IF(ISNUMBER(VLOOKUP($A2,Vulnerabilities!$A$2:$AD1002,MATCH("Storm",Vulnerabilities!$A$1:$AE$1,0),FALSE)),VLOOKUP($A2,Vulnerabilities!$A$2:$AD1002,MATCH("Storm",Vulnerabilities!$A$1:$AE$1,0),FALSE)*ROUNDUP($G$2/14,0),VLOOKUP($A2,Vulnerabilities!$A$2:$AD1002,MATCH("Storm",Vulnerabilities!$A$1:$AE$1,0),FALSE))&amp;", ")&amp;
IF(ISBLANK(IFNA(VLOOKUP($A2,Vulnerabilities!$A$2:$AD1002,MATCH("Earth",Vulnerabilities!$A$1:$AE$1,0),FALSE),"")),"","Earth:"&amp;IF(ISNUMBER(VLOOKUP($A2,Vulnerabilities!$A$2:$AD1002,MATCH("Earth",Vulnerabilities!$A$1:$AE$1,0),FALSE)),VLOOKUP($A2,Vulnerabilities!$A$2:$AD1002,MATCH("Earth",Vulnerabilities!$A$1:$AE$1,0),FALSE)*ROUNDUP($G$2/14,0),VLOOKUP($A2,Vulnerabilities!$A$2:$AD1002,MATCH("Earth",Vulnerabilities!$A$1:$AE$1,0),FALSE))&amp;", ")&amp;
IF(ISBLANK(IFNA(VLOOKUP($A2,Vulnerabilities!$A$2:$AD1002,MATCH("Light",Vulnerabilities!$A$1:$AE$1,0),FALSE),"")),"","Light:"&amp;IF(ISNUMBER(VLOOKUP($A2,Vulnerabilities!$A$2:$AD1002,MATCH("Light",Vulnerabilities!$A$1:$AE$1,0),FALSE)),VLOOKUP($A2,Vulnerabilities!$A$2:$AD1002,MATCH("Light",Vulnerabilities!$A$1:$AE$1,0),FALSE)*ROUNDUP($G$2/14,0),VLOOKUP($A2,Vulnerabilities!$A$2:$AD1002,MATCH("Light",Vulnerabilities!$A$1:$AE$1,0),FALSE))&amp;", ")&amp;
IF(ISBLANK(IFNA(VLOOKUP($A2,Vulnerabilities!$A$2:$AD1002,MATCH("Dark",Vulnerabilities!$A$1:$AE$1,0),FALSE),"")),"","Dark:"&amp;IF(ISNUMBER(VLOOKUP($A2,Vulnerabilities!$A$2:$AD1002,MATCH("Dark",Vulnerabilities!$A$1:$AE$1,0),FALSE)),VLOOKUP($A2,Vulnerabilities!$A$2:$AD1002,MATCH("Dark",Vulnerabilities!$A$1:$AE$1,0),FALSE)*ROUNDUP($G$2/14,0),VLOOKUP($A2,Vulnerabilities!$A$2:$AD1002,MATCH("Dark",Vulnerabilities!$A$1:$AE$1,0),FALSE))&amp;", ")&amp;
IF(ISBLANK(IFNA(VLOOKUP($A2,Vulnerabilities!$A$2:$AD1002,MATCH("Spirit",Vulnerabilities!$A$1:$AE$1,0),FALSE),"")),"","Spirit:"&amp;IF(ISNUMBER(VLOOKUP($A2,Vulnerabilities!$A$2:$AD1002,MATCH("Spirit",Vulnerabilities!$A$1:$AE$1,0),FALSE)),VLOOKUP($A2,Vulnerabilities!$A$2:$AD1002,MATCH("Spirit",Vulnerabilities!$A$1:$AE$1,0),FALSE)*ROUNDUP($G$2/14,0),VLOOKUP($A2,Vulnerabilities!$A$2:$AD1002,MATCH("Spirit",Vulnerabilities!$A$1:$AE$1,0),FALSE))&amp;", ")&amp;
IF(ISBLANK(IFNA(VLOOKUP($A2,Vulnerabilities!$A$2:$AD1002,MATCH("Order",Vulnerabilities!$A$1:$AE$1,0),FALSE),"")),"","Order:"&amp;IF(ISNUMBER(VLOOKUP($A2,Vulnerabilities!$A$2:$AD1002,MATCH("Order",Vulnerabilities!$A$1:$AE$1,0),FALSE)),VLOOKUP($A2,Vulnerabilities!$A$2:$AD1002,MATCH("Order",Vulnerabilities!$A$1:$AE$1,0),FALSE)*ROUNDUP($G$2/14,0),VLOOKUP($A2,Vulnerabilities!$A$2:$AD1002,MATCH("Order",Vulnerabilities!$A$1:$AE$1,0),FALSE))&amp;", ")&amp;
IF(ISBLANK(IFNA(VLOOKUP($A2,Vulnerabilities!$A$2:$AD1002,MATCH("Chaos",Vulnerabilities!$A$1:$AE$1,0),FALSE),"")),"","Chaos:"&amp;IF(ISNUMBER(VLOOKUP($A2,Vulnerabilities!$A$2:$AD1002,MATCH("Chaos",Vulnerabilities!$A$1:$AE$1,0),FALSE)),VLOOKUP($A2,Vulnerabilities!$A$2:$AD1002,MATCH("Chaos",Vulnerabilities!$A$1:$AE$1,0),FALSE)*ROUNDUP($G$2/14,0),VLOOKUP($A2,Vulnerabilities!$A$2:$AD1002,MATCH("Chaos",Vulnerabilities!$A$1:$AE$1,0),FALSE))&amp;", ")&amp;
IF(ISBLANK(IFNA(VLOOKUP($A2,Vulnerabilities!$A$2:$AD1002,MATCH("Nature",Vulnerabilities!$A$1:$AE$1,0),FALSE),"")),"","Nature:"&amp;IF(ISNUMBER(VLOOKUP($A2,Vulnerabilities!$A$2:$AD1002,MATCH("Nature",Vulnerabilities!$A$1:$AE$1,0),FALSE)),VLOOKUP($A2,Vulnerabilities!$A$2:$AD1002,MATCH("Nature",Vulnerabilities!$A$1:$AE$1,0),FALSE)*ROUNDUP($G$2/14,0),VLOOKUP($A2,Vulnerabilities!$A$2:$AD1002,MATCH("Nature",Vulnerabilities!$A$1:$AE$1,0),FALSE))&amp;", ")&amp;
IF(ISBLANK(IFNA(VLOOKUP($A2,Vulnerabilities!$A$2:$AD1002,MATCH("Physical",Vulnerabilities!$A$1:$AE$1,0),FALSE),"")),"","Physical:"&amp;IF(ISNUMBER(VLOOKUP($A2,Vulnerabilities!$A$2:$AD1002,MATCH("Physical",Vulnerabilities!$A$1:$AE$1,0),FALSE)),VLOOKUP($A2,Vulnerabilities!$A$2:$AD1002,MATCH("Physical",Vulnerabilities!$A$1:$AE$1,0),FALSE)*ROUNDUP($G$2/14,0),VLOOKUP($A2,Vulnerabilities!$A$2:$AD1002,MATCH("Physical",Vulnerabilities!$A$1:$AE$1,0),FALSE))&amp;", ")&amp;
IF(ISBLANK(IFNA(VLOOKUP($A2,Vulnerabilities!$A$2:$AD1002,MATCH("Melee",Vulnerabilities!$A$1:$AE$1,0),FALSE),"")),"","Melee:"&amp;IF(ISNUMBER(VLOOKUP($A2,Vulnerabilities!$A$2:$AD1002,MATCH("Melee",Vulnerabilities!$A$1:$AE$1,0),FALSE)),VLOOKUP($A2,Vulnerabilities!$A$2:$AD1002,MATCH("Melee",Vulnerabilities!$A$1:$AE$1,0),FALSE)*ROUNDUP($G$2/14,0),VLOOKUP($A2,Vulnerabilities!$A$2:$AD1002,MATCH("Melee",Vulnerabilities!$A$1:$AE$1,0),FALSE))&amp;", ")&amp;
IF(ISBLANK(IFNA(VLOOKUP($A2,Vulnerabilities!$A$2:$AD1002,MATCH("Ranged",Vulnerabilities!$A$1:$AE$1,0),FALSE),"")),"","Ranged:"&amp;IF(ISNUMBER(VLOOKUP($A2,Vulnerabilities!$A$2:$AD1002,MATCH("Ranged",Vulnerabilities!$A$1:$AE$1,0),FALSE)),VLOOKUP($A2,Vulnerabilities!$A$2:$AD1002,MATCH("Ranged",Vulnerabilities!$A$1:$AE$1,0),FALSE)*ROUNDUP($G$2/14,0),VLOOKUP($A2,Vulnerabilities!$A$2:$AD1002,MATCH("Ranged",Vulnerabilities!$A$1:$AE$1,0),FALSE))&amp;", ")&amp;
IF(ISBLANK(IFNA(VLOOKUP($A2,Vulnerabilities!$A$2:$AD1002,MATCH("Stasis",Vulnerabilities!$A$1:$AE$1,0),FALSE),"")),"","Stasis:"&amp;IF(ISNUMBER(VLOOKUP($A2,Vulnerabilities!$A$2:$AD1002,MATCH("Stasis",Vulnerabilities!$A$1:$AE$1,0),FALSE)),VLOOKUP($A2,Vulnerabilities!$A$2:$AD1002,MATCH("Stasis",Vulnerabilities!$A$1:$AE$1,0),FALSE)*ROUNDUP($G$2/14,0),VLOOKUP($A2,Vulnerabilities!$A$2:$AD1002,MATCH("Stasis",Vulnerabilities!$A$1:$AE$1,0),FALSE))&amp;", ")&amp;
IF(ISBLANK(IFNA(VLOOKUP($A2,Vulnerabilities!$A$2:$AD1002,MATCH("Twilight",Vulnerabilities!$A$1:$AE$1,0),FALSE),"")),"","Twilight:"&amp;IF(ISNUMBER(VLOOKUP($A2,Vulnerabilities!$A$2:$AD1002,MATCH("Twilight",Vulnerabilities!$A$1:$AE$1,0),FALSE)),VLOOKUP($A2,Vulnerabilities!$A$2:$AD1002,MATCH("Twilight",Vulnerabilities!$A$1:$AE$1,0),FALSE)*ROUNDUP($G$2/14,0),VLOOKUP($A2,Vulnerabilities!$A$2:$AD1002,MATCH("Twilight",Vulnerabilities!$A$1:$AE$1,0),FALSE))&amp;", ")&amp;
IF(ISBLANK(IFNA(VLOOKUP($A2,Vulnerabilities!$A$2:$AD1002,MATCH("Voodoo",Vulnerabilities!$A$1:$AE$1,0),FALSE),"")),"","Voodoo:"&amp;IF(ISNUMBER(VLOOKUP($A2,Vulnerabilities!$A$2:$AD1002,MATCH("Voodoo",Vulnerabilities!$A$1:$AE$1,0),FALSE)),VLOOKUP($A2,Vulnerabilities!$A$2:$AD1002,MATCH("Voodoo",Vulnerabilities!$A$1:$AE$1,0),FALSE)*ROUNDUP($G$2/14,0),VLOOKUP($A2,Vulnerabilities!$A$2:$AD1002,MATCH("Voodoo",Vulnerabilities!$A$1:$AE$1,0),FALSE))&amp;", ")&amp;
IF(ISBLANK(IFNA(VLOOKUP($A2,Vulnerabilities!$A$2:$AD1002,MATCH("Blood",Vulnerabilities!$A$1:$AE$1,0),FALSE),"")),"","Blood:"&amp;IF(ISNUMBER(VLOOKUP($A2,Vulnerabilities!$A$2:$AD1002,MATCH("Blood",Vulnerabilities!$A$1:$AE$1,0),FALSE)),VLOOKUP($A2,Vulnerabilities!$A$2:$AD1002,MATCH("Blood",Vulnerabilities!$A$1:$AE$1,0),FALSE)*ROUNDUP($G$2/14,0),VLOOKUP($A2,Vulnerabilities!$A$2:$AD1002,MATCH("Blood",Vulnerabilities!$A$1:$AE$1,0),FALSE))&amp;", ")&amp;
IF(ISBLANK(IFNA(VLOOKUP($A2,Vulnerabilities!$A$2:$AD1002,MATCH("Delta",Vulnerabilities!$A$1:$AE$1,0),FALSE),"")),"","Delta:"&amp;IF(ISNUMBER(VLOOKUP($A2,Vulnerabilities!$A$2:$AD1002,MATCH("Delta",Vulnerabilities!$A$1:$AE$1,0),FALSE)),VLOOKUP($A2,Vulnerabilities!$A$2:$AD1002,MATCH("Delta",Vulnerabilities!$A$1:$AE$1,0),FALSE)*ROUNDUP($G$2/14,0),VLOOKUP($A2,Vulnerabilities!$A$2:$AD1002,MATCH("Delta",Vulnerabilities!$A$1:$AE$1,0),FALSE))&amp;", ")&amp;
IF(ISBLANK(IFNA(VLOOKUP($A2,Vulnerabilities!$A$2:$AD1002,MATCH("Zen",Vulnerabilities!$A$1:$AE$1,0),FALSE),"")),"","Zen:"&amp;IF(ISNUMBER(VLOOKUP($A2,Vulnerabilities!$A$2:$AD1002,MATCH("Zen",Vulnerabilities!$A$1:$AE$1,0),FALSE)),VLOOKUP($A2,Vulnerabilities!$A$2:$AD1002,MATCH("Zen",Vulnerabilities!$A$1:$AE$1,0),FALSE)*ROUNDUP($G$2/14,0),VLOOKUP($A2,Vulnerabilities!$A$2:$AD1002,MATCH("Zen",Vulnerabilities!$A$1:$AE$1,0),FALSE))&amp;", ")&amp;
IF(ISBLANK(IFNA(VLOOKUP($A2,Vulnerabilities!$A$2:$AD1002,MATCH("Time",Vulnerabilities!$A$1:$AE$1,0),FALSE),"")),"","Time:"&amp;IF(ISNUMBER(VLOOKUP($A2,Vulnerabilities!$A$2:$AD1002,MATCH("Time",Vulnerabilities!$A$1:$AE$1,0),FALSE)),VLOOKUP($A2,Vulnerabilities!$A$2:$AD1002,MATCH("Time",Vulnerabilities!$A$1:$AE$1,0),FALSE)*ROUNDUP($G$2/14,0),VLOOKUP($A2,Vulnerabilities!$A$2:$AD1002,MATCH("Time",Vulnerabilities!$A$1:$AE$1,0),FALSE))&amp;", ")&amp;
IF(ISBLANK(IFNA(VLOOKUP($A2,Vulnerabilities!$A$2:$AD1002,MATCH("Astral",Vulnerabilities!$A$1:$AE$1,0),FALSE),"")),"","Astral:"&amp;IF(ISNUMBER(VLOOKUP($A2,Vulnerabilities!$A$2:$AD1002,MATCH("Astral",Vulnerabilities!$A$1:$AE$1,0),FALSE)),VLOOKUP($A2,Vulnerabilities!$A$2:$AD1002,MATCH("Astral",Vulnerabilities!$A$1:$AE$1,0),FALSE)*ROUNDUP($G$2/14,0),VLOOKUP($A2,Vulnerabilities!$A$2:$AD1002,MATCH("Astral",Vulnerabilities!$A$1:$AE$1,0),FALSE))&amp;", ")&amp;
IF(ISBLANK(IFNA(VLOOKUP($A2,Vulnerabilities!$A$2:$AD1002,MATCH("Celestial",Vulnerabilities!$A$1:$AE$1,0),FALSE),"")),"","Celestial:"&amp;IF(ISNUMBER(VLOOKUP($A2,Vulnerabilities!$A$2:$AD1002,MATCH("Celestial",Vulnerabilities!$A$1:$AE$1,0),FALSE)),VLOOKUP($A2,Vulnerabilities!$A$2:$AD1002,MATCH("Celestial",Vulnerabilities!$A$1:$AE$1,0),FALSE)*ROUNDUP($G$2/14,0),VLOOKUP($A2,Vulnerabilities!$A$2:$AD1002,MATCH("Celestial",Vulnerabilities!$A$1:$AE$1,0),FALSE))&amp;", ")&amp;
IF(ISBLANK(IFNA(VLOOKUP($A2,Vulnerabilities!$A$2:$AD1002,MATCH("Acoustic",Vulnerabilities!$A$1:$AE$1,0),FALSE),"")),"","Acoustic:"&amp;IF(ISNUMBER(VLOOKUP($A2,Vulnerabilities!$A$2:$AD1002,MATCH("Acoustic",Vulnerabilities!$A$1:$AE$1,0),FALSE)),VLOOKUP($A2,Vulnerabilities!$A$2:$AD1002,MATCH("Acoustic",Vulnerabilities!$A$1:$AE$1,0),FALSE)*ROUNDUP($G$2/14,0),VLOOKUP($A2,Vulnerabilities!$A$2:$AD1002,MATCH("Acoustic",Vulnerabilities!$A$1:$AE$1,0),FALSE))&amp;", ")</f>
        <v>Resistances: 
Vulnerabilities: </v>
      </c>
      <c r="B9" s="12"/>
      <c r="C9" s="12"/>
      <c r="D9" s="10"/>
      <c r="E9" s="22" t="s">
        <v>11</v>
      </c>
      <c r="F9" s="20" t="s">
        <v>12</v>
      </c>
      <c r="G9" s="20"/>
      <c r="H9" s="23" t="s">
        <v>13</v>
      </c>
    </row>
    <row r="10">
      <c r="A10" s="8" t="str">
        <f>"Other Bonuses And Abilities: "&amp;CHAR(10)&amp;VLOOKUP($A$2,Mobs!$A:$BP,MATCH("OtherBonusesAndAbilities",Mobs!$1:$1,0),FALSE)</f>
        <v>Other Bonuses And Abilities: 
Absorption: 50% chance to absorb a spell or attack affecting this creature</v>
      </c>
      <c r="B10" s="12"/>
      <c r="C10" s="12"/>
      <c r="D10" s="10"/>
      <c r="E10" s="21">
        <v>0.0</v>
      </c>
      <c r="F10" s="16">
        <v>0.0</v>
      </c>
      <c r="G10" s="20"/>
      <c r="H10" s="24" t="str">
        <f t="array" ref="H10">SWITCH(RANDBETWEEN(1,15),1,"Use an Equipment Ability if possible",2,"Flee",3,"Intimidation",INDEX($D$26:$D$45,RANDBETWEEN(1,COUNTA($D$26:$D$45))))</f>
        <v>Absorb</v>
      </c>
      <c r="I10" s="2" t="b">
        <v>0</v>
      </c>
      <c r="M10" s="25"/>
    </row>
    <row r="11">
      <c r="A11" s="8" t="str">
        <f>"Loot table: "&amp;CHAR(10)&amp;if(ifna(VLOOKUP($A$2,Loot!$A:$K,3,FALSE))="","",VLOOKUP($A$2,Loot!$A:$K,2,FALSE)&amp;": "&amp;VLOOKUP($A$2,Loot!$A:$K,3,FALSE)&amp;" "&amp;VLOOKUP(VLOOKUP($A$2,Loot!$A:$K,3,FALSE),LootTable!A:B,2,FALSE))
&amp;CHAR(10)&amp;if(ifna(VLOOKUP($A$2,Loot!$A:$K,5,FALSE))="","",VLOOKUP($A$2,Loot!$A:$K,4,FALSE)&amp;": "&amp;VLOOKUP($A$2,Loot!$A:$K,5,FALSE)&amp;" "&amp;VLOOKUP(VLOOKUP($A$2,Loot!$A:$K,5,FALSE),LootTable!A:B,2,FALSE))
&amp;CHAR(10)&amp;if(ifna(VLOOKUP($A$2,Loot!$A:$K,7,FALSE))="","",VLOOKUP($A$2,Loot!$A:$K,6,FALSE)&amp;": "&amp;VLOOKUP($A$2,Loot!$A:$K,7,FALSE)&amp;" "&amp;VLOOKUP(VLOOKUP($A$2,Loot!$A:$K,7,FALSE),LootTable!A:B,2,FALSE))
&amp;CHAR(10)&amp;if(ifna(VLOOKUP($A$2,Loot!$A:$K,9,FALSE))="","",VLOOKUP($A$2,Loot!$A:$K,8,FALSE)&amp;": "&amp;VLOOKUP($A$2,Loot!$A:$K,9,FALSE)&amp;" "&amp;VLOOKUP(VLOOKUP($A$2,Loot!$A:$K,9,FALSE),LootTable!A:B,2,FALSE))
&amp;CHAR(10)&amp;if(ifna(VLOOKUP($A$2,Loot!$A:$K,11,FALSE))="","",VLOOKUP($A$2,Loot!$A:$K,10,FALSE)&amp;": "&amp;VLOOKUP($A$2,Loot!$A:$K,11,FALSE)&amp;" "&amp;VLOOKUP(VLOOKUP($A$2,Loot!$A:$K,11,FALSE),LootTable!A:B,2,FALSE))</f>
        <v>Loot table: 
1-5: Slime core restores 5 SP; can be used to make mana potions (Item)
6-10: 1,000G-20,000G roll a d20 to determine amount
11-15: Soul usable can be used to temporarily summon a minion of the creature the soul came from, the minion disappears after battle or when it's killed, If you have 3 or more souls you can gain 1 power from the creature, when you have gained 5 or more souls they can become the creature. (Item)
16-20: Nothing 
21-25: Sticky Slime Guantlets  (Gauntlet) lvl:400, DEF: +20000 ++Slimey Grasp - When these gloves are equipped the natural power "take" Is guaranteed to succeed.</v>
      </c>
      <c r="B11" s="12"/>
      <c r="C11" s="12"/>
      <c r="D11" s="10"/>
    </row>
    <row r="12">
      <c r="H12" s="26"/>
    </row>
    <row r="13">
      <c r="A13" s="27" t="s">
        <v>14</v>
      </c>
      <c r="B13" s="26" t="str">
        <f>IFNA(VLOOKUP(VLOOKUP($A$2,Mobs!$A:$BP,MATCH("Head",Mobs!$1:$1,0),FALSE),Equipconvert!$A:$G,MATCH("Name",Equipconvert!$1:$1,0),0)&amp;" ("&amp;VLOOKUP(VLOOKUP($A$2,Mobs!$A:$BP,MATCH("Head",Mobs!$1:$1,0),FALSE),Equipconvert!$A:$G,MATCH("Type",Equipconvert!$1:$1,0),0)&amp;")")&amp;" - "&amp;IFNA(VLOOKUP(VLOOKUP($A$2,Mobs!$A:$BP,MATCH("Head",Mobs!$1:$1,0),FALSE),Equipconvert!$A:$G,MATCH("Abilities",Equipconvert!$1:$1,0),0))</f>
        <v> - </v>
      </c>
      <c r="C13" s="26"/>
      <c r="D13" s="26"/>
      <c r="E13" s="26"/>
      <c r="F13" s="26"/>
      <c r="I13" s="26"/>
      <c r="J13" s="26"/>
      <c r="K13" s="26"/>
    </row>
    <row r="14">
      <c r="A14" s="27" t="s">
        <v>15</v>
      </c>
      <c r="B14" s="26" t="str">
        <f>IFNA(VLOOKUP(VLOOKUP($A$2,Mobs!$A:$BP,MATCH("Neck 1",Mobs!$1:$1,0),FALSE),Equipconvert!$A:$G,MATCH("Name",Equipconvert!$1:$1,0),0)&amp;" ("&amp;VLOOKUP(VLOOKUP($A$2,Mobs!$A:$BP,MATCH("Neck 1",Mobs!$1:$1,0),FALSE),Equipconvert!$A:$G,MATCH("Type",Equipconvert!$1:$1,0),0)&amp;")")&amp;" - "&amp;IFNA(VLOOKUP(VLOOKUP($A$2,Mobs!$A:$BP,MATCH("Neck 1",Mobs!$1:$1,0),FALSE),Equipconvert!$A:$G,MATCH("Abilities",Equipconvert!$1:$1,0),0))</f>
        <v> - </v>
      </c>
      <c r="C14" s="26" t="str">
        <f>IFNA(VLOOKUP(VLOOKUP($A$2,Mobs!$A:$BP,MATCH("Neck 2",Mobs!$1:$1,0),FALSE),Equipconvert!$A:$G,MATCH("Name",Equipconvert!$1:$1,0),0)&amp;" ("&amp;VLOOKUP(VLOOKUP($A$2,Mobs!$A:$BP,MATCH("Neck 2",Mobs!$1:$1,0),FALSE),Equipconvert!$A:$G,MATCH("Type",Equipconvert!$1:$1,0),0)&amp;")")&amp;" - "&amp;IFNA(VLOOKUP(VLOOKUP($A$2,Mobs!$A:$BP,MATCH("Neck 2",Mobs!$1:$1,0),FALSE),Equipconvert!$A:$G,MATCH("Abilities",Equipconvert!$1:$1,0),0))</f>
        <v> - </v>
      </c>
      <c r="D14" s="26" t="str">
        <f>IFNA(VLOOKUP(VLOOKUP($A$2,Mobs!$A:$BP,MATCH("Neck 3",Mobs!$1:$1,0),FALSE),Equipconvert!$A:$G,MATCH("Name",Equipconvert!$1:$1,0),0)&amp;" ("&amp;VLOOKUP(VLOOKUP($A$2,Mobs!$A:$BP,MATCH("Neck 3",Mobs!$1:$1,0),FALSE),Equipconvert!$A:$G,MATCH("Type",Equipconvert!$1:$1,0),0)&amp;")")&amp;" - "&amp;IFNA(VLOOKUP(VLOOKUP($A$2,Mobs!$A:$BP,MATCH("Neck 3",Mobs!$1:$1,0),FALSE),Equipconvert!$A:$G,MATCH("Abilities",Equipconvert!$1:$1,0),0))</f>
        <v> - </v>
      </c>
      <c r="E14" s="26"/>
      <c r="F14" s="26"/>
      <c r="G14" s="26"/>
      <c r="H14" s="26"/>
      <c r="I14" s="26"/>
      <c r="J14" s="26"/>
      <c r="K14" s="26"/>
    </row>
    <row r="15">
      <c r="A15" s="28" t="s">
        <v>16</v>
      </c>
      <c r="B15" s="26" t="str">
        <f>IFNA(VLOOKUP(VLOOKUP($A$2,Mobs!$A:$BP,MATCH("Shoulders",Mobs!$1:$1,0),FALSE),Equipconvert!$A:$G,MATCH("Name",Equipconvert!$1:$1,0),0)&amp;" ("&amp;VLOOKUP(VLOOKUP($A$2,Mobs!$A:$BP,MATCH("Shoulders",Mobs!$1:$1,0),FALSE),Equipconvert!$A:$G,MATCH("Type",Equipconvert!$1:$1,0),0)&amp;")")&amp;" - "&amp;IFNA(VLOOKUP(VLOOKUP($A$2,Mobs!$A:$BP,MATCH("Shoulders",Mobs!$1:$1,0),FALSE),Equipconvert!$A:$G,MATCH("Abilities",Equipconvert!$1:$1,0),0))</f>
        <v> - </v>
      </c>
      <c r="C15" s="26"/>
      <c r="D15" s="26"/>
      <c r="E15" s="26"/>
      <c r="F15" s="26"/>
      <c r="G15" s="26"/>
      <c r="H15" s="26"/>
      <c r="I15" s="26"/>
      <c r="J15" s="26"/>
      <c r="K15" s="26"/>
    </row>
    <row r="16">
      <c r="A16" s="27" t="s">
        <v>17</v>
      </c>
      <c r="B16" s="26" t="str">
        <f>IFNA(VLOOKUP(VLOOKUP($A$2,Mobs!$A:$BP,MATCH("Torso",Mobs!$1:$1,0),FALSE),Equipconvert!$A:$G,MATCH("Name",Equipconvert!$1:$1,0),0)&amp;" ("&amp;VLOOKUP(VLOOKUP($A$2,Mobs!$A:$BP,MATCH("Torso",Mobs!$1:$1,0),FALSE),Equipconvert!$A:$G,MATCH("Type",Equipconvert!$1:$1,0),0)&amp;")")&amp;" - "&amp;IFNA(VLOOKUP(VLOOKUP($A$2,Mobs!$A:$BP,MATCH("Torso",Mobs!$1:$1,0),FALSE),Equipconvert!$A:$G,MATCH("Abilities",Equipconvert!$1:$1,0),0))</f>
        <v> - </v>
      </c>
      <c r="C16" s="26"/>
      <c r="D16" s="26"/>
      <c r="E16" s="29"/>
      <c r="F16" s="26"/>
      <c r="G16" s="26"/>
      <c r="H16" s="26"/>
      <c r="I16" s="26"/>
      <c r="J16" s="26"/>
      <c r="K16" s="26"/>
    </row>
    <row r="17">
      <c r="A17" s="28" t="s">
        <v>18</v>
      </c>
      <c r="B17" s="26" t="str">
        <f>IFNA(VLOOKUP(VLOOKUP($A$2,Mobs!$A:$BP,MATCH("Arms",Mobs!$1:$1,0),FALSE),Equipconvert!$A:$G,MATCH("Name",Equipconvert!$1:$1,0),0)&amp;" ("&amp;VLOOKUP(VLOOKUP($A$2,Mobs!$A:$BP,MATCH("Arms",Mobs!$1:$1,0),FALSE),Equipconvert!$A:$G,MATCH("Type",Equipconvert!$1:$1,0),0)&amp;")")&amp;" - "&amp;IFNA(VLOOKUP(VLOOKUP($A$2,Mobs!$A:$BP,MATCH("Arms",Mobs!$1:$1,0),FALSE),Equipconvert!$A:$G,MATCH("Abilities",Equipconvert!$1:$1,0),0))</f>
        <v> - </v>
      </c>
      <c r="C17" s="26"/>
      <c r="D17" s="26"/>
      <c r="E17" s="26"/>
      <c r="F17" s="26"/>
      <c r="G17" s="26"/>
      <c r="H17" s="26"/>
      <c r="I17" s="26"/>
      <c r="J17" s="26"/>
      <c r="K17" s="26"/>
    </row>
    <row r="18">
      <c r="A18" s="27" t="s">
        <v>19</v>
      </c>
      <c r="B18" s="26" t="str">
        <f>IFNA(VLOOKUP(VLOOKUP($A$2,Mobs!$A:$BP,MATCH("L. Hand",Mobs!$1:$1,0),FALSE),Equipconvert!$A:$G,MATCH("Name",Equipconvert!$1:$1,0),0)&amp;" ("&amp;VLOOKUP(VLOOKUP($A$2,Mobs!$A:$BP,MATCH("L. Hand",Mobs!$1:$1,0),FALSE),Equipconvert!$A:$G,MATCH("Type",Equipconvert!$1:$1,0),0)&amp;")")&amp;" - "&amp;IFNA(VLOOKUP(VLOOKUP($A$2,Mobs!$A:$BP,MATCH("L. Hand",Mobs!$1:$1,0),FALSE),Equipconvert!$A:$G,MATCH("Abilities",Equipconvert!$1:$1,0),0))</f>
        <v> - </v>
      </c>
      <c r="C18" s="26"/>
      <c r="D18" s="26"/>
      <c r="E18" s="26"/>
      <c r="F18" s="26"/>
      <c r="G18" s="26"/>
      <c r="H18" s="26"/>
      <c r="I18" s="26"/>
      <c r="J18" s="26"/>
      <c r="K18" s="26"/>
    </row>
    <row r="19">
      <c r="A19" s="28" t="s">
        <v>20</v>
      </c>
      <c r="B19" s="30" t="str">
        <f>IFNA(VLOOKUP(VLOOKUP($A$2,Mobs!$A:$BP,MATCH("R. Hand",Mobs!$1:$1,0),FALSE),Equipconvert!$A:$G,MATCH("Name",Equipconvert!$1:$1,0),0)&amp;" ("&amp;VLOOKUP(VLOOKUP($A$2,Mobs!$A:$BP,MATCH("R. Hand",Mobs!$1:$1,0),FALSE),Equipconvert!$A:$G,MATCH("Type",Equipconvert!$1:$1,0),0)&amp;")")&amp;
" - "&amp;IFNA(VLOOKUP(VLOOKUP($A$2,Mobs!$A:$BP,MATCH("R. Hand",Mobs!$1:$1,0),FALSE),Equipconvert!$A:$G,MATCH("Abilities",Equipconvert!$1:$1,0),0))</f>
        <v> - </v>
      </c>
      <c r="C19" s="26"/>
      <c r="D19" s="26"/>
      <c r="E19" s="26"/>
      <c r="F19" s="26"/>
      <c r="G19" s="26"/>
      <c r="H19" s="26"/>
      <c r="I19" s="26"/>
      <c r="J19" s="26"/>
      <c r="K19" s="26"/>
    </row>
    <row r="20">
      <c r="A20" s="27" t="s">
        <v>21</v>
      </c>
      <c r="B20" s="30" t="str">
        <f>IFNA(VLOOKUP(VLOOKUP($A$2,Mobs!$A:$BP,MATCH("Finger 1",Mobs!$1:$1,0),FALSE),Equipconvert!$A:$G,MATCH("Name",Equipconvert!$1:$1,0),0)&amp;" ("&amp;VLOOKUP(VLOOKUP($A$2,Mobs!$A:$BP,MATCH("Finger 1",Mobs!$1:$1,0),FALSE),Equipconvert!$A:$G,MATCH("Type",Equipconvert!$1:$1,0),0)&amp;")")&amp;
" - "&amp;IFNA(VLOOKUP(VLOOKUP($A$2,Mobs!$A:$BP,MATCH("Finger 1",Mobs!$1:$1,0),FALSE),Equipconvert!$A:$G,MATCH("Abilities",Equipconvert!$1:$1,0),0))</f>
        <v> - </v>
      </c>
      <c r="C20" s="30" t="str">
        <f>IFNA(VLOOKUP(VLOOKUP($A$2,Mobs!$A:$BP,MATCH("Finger 2",Mobs!$1:$1,0),FALSE),Equipconvert!$A:$G,MATCH("Name",Equipconvert!$1:$1,0),0)&amp;" ("&amp;VLOOKUP(VLOOKUP($A$2,Mobs!$A:$BP,MATCH("Finger 2",Mobs!$1:$1,0),FALSE),Equipconvert!$A:$G,MATCH("Type",Equipconvert!$1:$1,0),0)&amp;")")&amp;
" - "&amp;IFNA(VLOOKUP(VLOOKUP($A$2,Mobs!$A:$BP,MATCH("Finger 2",Mobs!$1:$1,0),FALSE),Equipconvert!$A:$G,MATCH("Abilities",Equipconvert!$1:$1,0),0))</f>
        <v> - </v>
      </c>
      <c r="D20" s="30" t="str">
        <f>IFNA(VLOOKUP(VLOOKUP($A$2,Mobs!$A:$BP,MATCH("Finger 3",Mobs!$1:$1,0),FALSE),Equipconvert!$A:$G,MATCH("Name",Equipconvert!$1:$1,0),0)&amp;" ("&amp;VLOOKUP(VLOOKUP($A$2,Mobs!$A:$BP,MATCH("Finger 3",Mobs!$1:$1,0),FALSE),Equipconvert!$A:$G,MATCH("Type",Equipconvert!$1:$1,0),0)&amp;")")&amp;
" - "&amp;IFNA(VLOOKUP(VLOOKUP($A$2,Mobs!$A:$BP,MATCH("Finger 3",Mobs!$1:$1,0),FALSE),Equipconvert!$A:$G,MATCH("Abilities",Equipconvert!$1:$1,0),0))</f>
        <v> - </v>
      </c>
      <c r="E20" s="30" t="str">
        <f>IFNA(VLOOKUP(VLOOKUP($A$2,Mobs!$A:$BP,MATCH("Finger 4",Mobs!$1:$1,0),FALSE),Equipconvert!$A:$G,MATCH("Name",Equipconvert!$1:$1,0),0)&amp;" ("&amp;VLOOKUP(VLOOKUP($A$2,Mobs!$A:$BP,MATCH("Finger 4",Mobs!$1:$1,0),FALSE),Equipconvert!$A:$G,MATCH("Type",Equipconvert!$1:$1,0),0)&amp;")")&amp;
" - "&amp;IFNA(VLOOKUP(VLOOKUP($A$2,Mobs!$A:$BP,MATCH("Finger 4",Mobs!$1:$1,0),FALSE),Equipconvert!$A:$G,MATCH("Abilities",Equipconvert!$1:$1,0),0))</f>
        <v> - </v>
      </c>
      <c r="F20" s="30" t="str">
        <f>IFNA(VLOOKUP(VLOOKUP($A$2,Mobs!$A:$BP,MATCH("Finger 5",Mobs!$1:$1,0),FALSE),Equipconvert!$A:$G,MATCH("Name",Equipconvert!$1:$1,0),0)&amp;" ("&amp;VLOOKUP(VLOOKUP($A$2,Mobs!$A:$BP,MATCH("Finger 5",Mobs!$1:$1,0),FALSE),Equipconvert!$A:$G,MATCH("Type",Equipconvert!$1:$1,0),0)&amp;")")&amp;
" - "&amp;IFNA(VLOOKUP(VLOOKUP($A$2,Mobs!$A:$BP,MATCH("Finger 5",Mobs!$1:$1,0),FALSE),Equipconvert!$A:$G,MATCH("Abilities",Equipconvert!$1:$1,0),0))</f>
        <v> - </v>
      </c>
      <c r="G20" s="30" t="str">
        <f>IFNA(VLOOKUP(VLOOKUP($A$2,Mobs!$A:$BP,MATCH("Finger 6",Mobs!$1:$1,0),FALSE),Equipconvert!$A:$G,MATCH("Name",Equipconvert!$1:$1,0),0)&amp;" ("&amp;VLOOKUP(VLOOKUP($A$2,Mobs!$A:$BP,MATCH("Finger 6",Mobs!$1:$1,0),FALSE),Equipconvert!$A:$G,MATCH("Type",Equipconvert!$1:$1,0),0)&amp;")")&amp;
" - "&amp;IFNA(VLOOKUP(VLOOKUP($A$2,Mobs!$A:$BP,MATCH("Finger 6",Mobs!$1:$1,0),FALSE),Equipconvert!$A:$G,MATCH("Abilities",Equipconvert!$1:$1,0),0))</f>
        <v> - </v>
      </c>
      <c r="H20" s="30" t="str">
        <f>IFNA(VLOOKUP(VLOOKUP($A$2,Mobs!$A:$BP,MATCH("Finger 7",Mobs!$1:$1,0),FALSE),Equipconvert!$A:$G,MATCH("Name",Equipconvert!$1:$1,0),0)&amp;" ("&amp;VLOOKUP(VLOOKUP($A$2,Mobs!$A:$BP,MATCH("Finger 7",Mobs!$1:$1,0),FALSE),Equipconvert!$A:$G,MATCH("Type",Equipconvert!$1:$1,0),0)&amp;")")&amp;
" - "&amp;IFNA(VLOOKUP(VLOOKUP($A$2,Mobs!$A:$BP,MATCH("Finger 7",Mobs!$1:$1,0),FALSE),Equipconvert!$A:$G,MATCH("Abilities",Equipconvert!$1:$1,0),0))</f>
        <v> - </v>
      </c>
      <c r="I20" s="30" t="str">
        <f>IFNA(VLOOKUP(VLOOKUP($A$2,Mobs!$A:$BP,MATCH("Finger 8",Mobs!$1:$1,0),FALSE),Equipconvert!$A:$G,MATCH("Name",Equipconvert!$1:$1,0),0)&amp;" ("&amp;VLOOKUP(VLOOKUP($A$2,Mobs!$A:$BP,MATCH("Finger 8",Mobs!$1:$1,0),FALSE),Equipconvert!$A:$G,MATCH("Type",Equipconvert!$1:$1,0),0)&amp;")")&amp;
" - "&amp;IFNA(VLOOKUP(VLOOKUP($A$2,Mobs!$A:$BP,MATCH("Finger 8",Mobs!$1:$1,0),FALSE),Equipconvert!$A:$G,MATCH("Abilities",Equipconvert!$1:$1,0),0))</f>
        <v> - </v>
      </c>
      <c r="J20" s="30" t="str">
        <f>IFNA(VLOOKUP(VLOOKUP($A$2,Mobs!$A:$BP,MATCH("Finger 9",Mobs!$1:$1,0),FALSE),Equipconvert!$A:$G,MATCH("Name",Equipconvert!$1:$1,0),0)&amp;" ("&amp;VLOOKUP(VLOOKUP($A$2,Mobs!$A:$BP,MATCH("Finger 9",Mobs!$1:$1,0),FALSE),Equipconvert!$A:$G,MATCH("Type",Equipconvert!$1:$1,0),0)&amp;")")&amp;
" - "&amp;IFNA(VLOOKUP(VLOOKUP($A$2,Mobs!$A:$BP,MATCH("Finger 9",Mobs!$1:$1,0),FALSE),Equipconvert!$A:$G,MATCH("Abilities",Equipconvert!$1:$1,0),0))</f>
        <v> - </v>
      </c>
      <c r="K20" s="30" t="str">
        <f>IFNA(VLOOKUP(VLOOKUP($A$2,Mobs!$A:$BP,MATCH("Finger 10",Mobs!$1:$1,0),FALSE),Equipconvert!$A:$G,MATCH("Name",Equipconvert!$1:$1,0),0)&amp;" ("&amp;VLOOKUP(VLOOKUP($A$2,Mobs!$A:$BP,MATCH("Finger 10",Mobs!$1:$1,0),FALSE),Equipconvert!$A:$G,MATCH("Type",Equipconvert!$1:$1,0),0)&amp;")")&amp;
" - "&amp;IFNA(VLOOKUP(VLOOKUP($A$2,Mobs!$A:$BP,MATCH("Finger 10",Mobs!$1:$1,0),FALSE),Equipconvert!$A:$G,MATCH("Abilities",Equipconvert!$1:$1,0),0))</f>
        <v> - </v>
      </c>
    </row>
    <row r="21">
      <c r="A21" s="27" t="s">
        <v>22</v>
      </c>
      <c r="B21" s="30" t="str">
        <f>IFNA(VLOOKUP(VLOOKUP($A$2,Mobs!$A:$BP,MATCH("Legs",Mobs!$1:$1,0),FALSE),Equipconvert!$A:$G,MATCH("Name",Equipconvert!$1:$1,0),0)&amp;" ("&amp;VLOOKUP(VLOOKUP($A$2,Mobs!$A:$BP,MATCH("Legs",Mobs!$1:$1,0),FALSE),Equipconvert!$A:$G,MATCH("Type",Equipconvert!$1:$1,0),0)&amp;")")&amp;
" - "&amp;IFNA(VLOOKUP(VLOOKUP($A$2,Mobs!$A:$BP,MATCH("Legs",Mobs!$1:$1,0),FALSE),Equipconvert!$A:$G,MATCH("Abilities",Equipconvert!$1:$1,0),0))</f>
        <v> - </v>
      </c>
      <c r="C21" s="26"/>
      <c r="D21" s="26"/>
      <c r="E21" s="26"/>
      <c r="F21" s="26"/>
      <c r="G21" s="26"/>
      <c r="H21" s="26"/>
      <c r="I21" s="26"/>
      <c r="J21" s="26"/>
      <c r="K21" s="26"/>
    </row>
    <row r="22">
      <c r="A22" s="27" t="s">
        <v>23</v>
      </c>
      <c r="B22" s="30" t="str">
        <f>IFNA(VLOOKUP(VLOOKUP($A$2,Mobs!$A:$BP,MATCH("Feet",Mobs!$1:$1,0),FALSE),Equipconvert!$A:$G,MATCH("Name",Equipconvert!$1:$1,0),0)&amp;" ("&amp;VLOOKUP(VLOOKUP($A$2,Mobs!$A:$BP,MATCH("Feet",Mobs!$1:$1,0),FALSE),Equipconvert!$A:$G,MATCH("Type",Equipconvert!$1:$1,0),0)&amp;")")&amp;
" - "&amp;IFNA(VLOOKUP(VLOOKUP($A$2,Mobs!$A:$BP,MATCH("Feet",Mobs!$1:$1,0),FALSE),Equipconvert!$A:$G,MATCH("Abilities",Equipconvert!$1:$1,0),0))</f>
        <v> - </v>
      </c>
      <c r="C22" s="26"/>
      <c r="D22" s="26"/>
      <c r="E22" s="26"/>
      <c r="F22" s="26"/>
      <c r="G22" s="26"/>
      <c r="H22" s="26"/>
      <c r="I22" s="26"/>
      <c r="J22" s="26"/>
      <c r="K22" s="26"/>
    </row>
    <row r="23">
      <c r="J23" s="2"/>
    </row>
    <row r="24">
      <c r="A24" s="4" t="s">
        <v>24</v>
      </c>
    </row>
    <row r="25">
      <c r="A25" s="31" t="s">
        <v>25</v>
      </c>
      <c r="B25" s="31" t="s">
        <v>26</v>
      </c>
      <c r="C25" s="31" t="s">
        <v>27</v>
      </c>
      <c r="D25" s="31" t="s">
        <v>28</v>
      </c>
      <c r="E25" s="31" t="s">
        <v>29</v>
      </c>
      <c r="F25" s="31" t="s">
        <v>30</v>
      </c>
      <c r="G25" s="31" t="s">
        <v>31</v>
      </c>
      <c r="U25" s="2" t="s">
        <v>32</v>
      </c>
    </row>
    <row r="26">
      <c r="A26" s="27">
        <f>ifna(VLOOKUP(VLOOKUP($A$2,Mobs!$A:$BP,MATCH("Spell "&amp;$U26,Mobs!$1:$1,0),FALSE),SpellsNatPowers!$A:$I,MATCH(A$25,SpellsNatPowers!$1:$1,0),FALSE))</f>
        <v>1</v>
      </c>
      <c r="B26" s="27">
        <f>ifna(VLOOKUP(VLOOKUP($A$2,Mobs!$A:$BP,MATCH("Spell "&amp;$U26,Mobs!$1:$1,0),FALSE),SpellsNatPowers!$A:$I,MATCH(B$25,SpellsNatPowers!$1:$1,0),FALSE))</f>
        <v>0</v>
      </c>
      <c r="C26" s="27" t="str">
        <f>ifna(VLOOKUP(VLOOKUP($A$2,Mobs!$A:$BP,MATCH("Spell "&amp;$U26,Mobs!$1:$1,0),FALSE),SpellsNatPowers!$A:$I,MATCH(C$25,SpellsNatPowers!$1:$1,0),FALSE))</f>
        <v/>
      </c>
      <c r="D26" s="27" t="str">
        <f>ifna(VLOOKUP(VLOOKUP($A$2,Mobs!$A:$BP,MATCH("Spell "&amp;$U26,Mobs!$1:$1,0),FALSE),SpellsNatPowers!$A:$I,MATCH(D$25,SpellsNatPowers!$1:$1,0),FALSE))</f>
        <v>Latch on</v>
      </c>
      <c r="E26" s="27" t="str">
        <f>ifna(VLOOKUP(VLOOKUP($A$2,Mobs!$A:$BP,MATCH("Spell "&amp;$U26,Mobs!$1:$1,0),FALSE),SpellsNatPowers!$A:$I,MATCH(E$25,SpellsNatPowers!$1:$1,0),FALSE))</f>
        <v>the target is grappled, target must attack this enemy only. They cannot flee from battle.</v>
      </c>
      <c r="F26" s="27" t="str">
        <f>ifna(VLOOKUP(VLOOKUP($A$2,Mobs!$A:$BP,MATCH("Spell "&amp;$U26,Mobs!$1:$1,0),FALSE),SpellsNatPowers!$A:$I,MATCH(F$25,SpellsNatPowers!$1:$1,0),FALSE))</f>
        <v>Natural/Hit or Miss</v>
      </c>
      <c r="G26" s="27" t="str">
        <f>ifna(VLOOKUP(VLOOKUP($A$2,Mobs!$A:$BP,MATCH("Spell "&amp;$U26,Mobs!$1:$1,0),FALSE),SpellsNatPowers!$A:$I,MATCH(G$25,SpellsNatPowers!$1:$1,0),FALSE))</f>
        <v>Physical</v>
      </c>
      <c r="U26" s="2">
        <v>1.0</v>
      </c>
    </row>
    <row r="27">
      <c r="A27" s="27">
        <f>ifna(VLOOKUP(VLOOKUP($A$2,Mobs!$A:$BP,MATCH("Spell "&amp;$U27,Mobs!$1:$1,0),FALSE),SpellsNatPowers!$A:$I,MATCH(A$25,SpellsNatPowers!$1:$1,0),FALSE))</f>
        <v>1</v>
      </c>
      <c r="B27" s="27">
        <f>ifna(VLOOKUP(VLOOKUP($A$2,Mobs!$A:$BP,MATCH("Spell "&amp;$U27,Mobs!$1:$1,0),FALSE),SpellsNatPowers!$A:$I,MATCH(B$25,SpellsNatPowers!$1:$1,0),FALSE))</f>
        <v>0</v>
      </c>
      <c r="C27" s="27" t="str">
        <f>ifna(VLOOKUP(VLOOKUP($A$2,Mobs!$A:$BP,MATCH("Spell "&amp;$U27,Mobs!$1:$1,0),FALSE),SpellsNatPowers!$A:$I,MATCH(C$25,SpellsNatPowers!$1:$1,0),FALSE))</f>
        <v/>
      </c>
      <c r="D27" s="27" t="str">
        <f>ifna(VLOOKUP(VLOOKUP($A$2,Mobs!$A:$BP,MATCH("Spell "&amp;$U27,Mobs!$1:$1,0),FALSE),SpellsNatPowers!$A:$I,MATCH(D$25,SpellsNatPowers!$1:$1,0),FALSE))</f>
        <v>Absorb</v>
      </c>
      <c r="E27" s="27" t="str">
        <f>ifna(VLOOKUP(VLOOKUP($A$2,Mobs!$A:$BP,MATCH("Spell "&amp;$U27,Mobs!$1:$1,0),FALSE),SpellsNatPowers!$A:$I,MATCH(E$25,SpellsNatPowers!$1:$1,0),FALSE))</f>
        <v>Absorb an item of choice.</v>
      </c>
      <c r="F27" s="27" t="str">
        <f>ifna(VLOOKUP(VLOOKUP($A$2,Mobs!$A:$BP,MATCH("Spell "&amp;$U27,Mobs!$1:$1,0),FALSE),SpellsNatPowers!$A:$I,MATCH(F$25,SpellsNatPowers!$1:$1,0),FALSE))</f>
        <v>Natural/Fail or Succeed</v>
      </c>
      <c r="G27" s="27" t="str">
        <f>ifna(VLOOKUP(VLOOKUP($A$2,Mobs!$A:$BP,MATCH("Spell "&amp;$U27,Mobs!$1:$1,0),FALSE),SpellsNatPowers!$A:$I,MATCH(G$25,SpellsNatPowers!$1:$1,0),FALSE))</f>
        <v>Physical</v>
      </c>
      <c r="U27" s="2">
        <v>2.0</v>
      </c>
    </row>
    <row r="28">
      <c r="A28" s="27">
        <f>ifna(VLOOKUP(VLOOKUP($A$2,Mobs!$A:$BP,MATCH("Spell "&amp;$U28,Mobs!$1:$1,0),FALSE),SpellsNatPowers!$A:$I,MATCH(A$25,SpellsNatPowers!$1:$1,0),FALSE))</f>
        <v>1</v>
      </c>
      <c r="B28" s="27">
        <f>ifna(VLOOKUP(VLOOKUP($A$2,Mobs!$A:$BP,MATCH("Spell "&amp;$U28,Mobs!$1:$1,0),FALSE),SpellsNatPowers!$A:$I,MATCH(B$25,SpellsNatPowers!$1:$1,0),FALSE))</f>
        <v>0</v>
      </c>
      <c r="C28" s="27" t="str">
        <f>ifna(VLOOKUP(VLOOKUP($A$2,Mobs!$A:$BP,MATCH("Spell "&amp;$U28,Mobs!$1:$1,0),FALSE),SpellsNatPowers!$A:$I,MATCH(C$25,SpellsNatPowers!$1:$1,0),FALSE))</f>
        <v/>
      </c>
      <c r="D28" s="27" t="str">
        <f>ifna(VLOOKUP(VLOOKUP($A$2,Mobs!$A:$BP,MATCH("Spell "&amp;$U28,Mobs!$1:$1,0),FALSE),SpellsNatPowers!$A:$I,MATCH(D$25,SpellsNatPowers!$1:$1,0),FALSE))</f>
        <v>Absorb Enemy </v>
      </c>
      <c r="E28" s="27" t="str">
        <f>ifna(VLOOKUP(VLOOKUP($A$2,Mobs!$A:$BP,MATCH("Spell "&amp;$U28,Mobs!$1:$1,0),FALSE),SpellsNatPowers!$A:$I,MATCH(E$25,SpellsNatPowers!$1:$1,0),FALSE))</f>
        <v>Absorb a targeted enemy of choice, The target cannot perform its turn orders while absorbed.</v>
      </c>
      <c r="F28" s="27" t="str">
        <f>ifna(VLOOKUP(VLOOKUP($A$2,Mobs!$A:$BP,MATCH("Spell "&amp;$U28,Mobs!$1:$1,0),FALSE),SpellsNatPowers!$A:$I,MATCH(F$25,SpellsNatPowers!$1:$1,0),FALSE))</f>
        <v>Natural/Hit or Miss</v>
      </c>
      <c r="G28" s="27" t="str">
        <f>ifna(VLOOKUP(VLOOKUP($A$2,Mobs!$A:$BP,MATCH("Spell "&amp;$U28,Mobs!$1:$1,0),FALSE),SpellsNatPowers!$A:$I,MATCH(G$25,SpellsNatPowers!$1:$1,0),FALSE))</f>
        <v>Physical</v>
      </c>
      <c r="U28" s="2">
        <v>3.0</v>
      </c>
    </row>
    <row r="29">
      <c r="A29" s="27" t="str">
        <f>ifna(VLOOKUP(VLOOKUP($A$2,Mobs!$A:$BP,MATCH("Spell "&amp;$U29,Mobs!$1:$1,0),FALSE),SpellsNatPowers!$A:$I,MATCH(A$25,SpellsNatPowers!$1:$1,0),FALSE))</f>
        <v/>
      </c>
      <c r="B29" s="27" t="str">
        <f>ifna(VLOOKUP(VLOOKUP($A$2,Mobs!$A:$BP,MATCH("Spell "&amp;$U29,Mobs!$1:$1,0),FALSE),SpellsNatPowers!$A:$I,MATCH(B$25,SpellsNatPowers!$1:$1,0),FALSE))</f>
        <v/>
      </c>
      <c r="C29" s="27" t="str">
        <f>ifna(VLOOKUP(VLOOKUP($A$2,Mobs!$A:$BP,MATCH("Spell "&amp;$U29,Mobs!$1:$1,0),FALSE),SpellsNatPowers!$A:$I,MATCH(C$25,SpellsNatPowers!$1:$1,0),FALSE))</f>
        <v/>
      </c>
      <c r="D29" s="27" t="str">
        <f>ifna(VLOOKUP(VLOOKUP($A$2,Mobs!$A:$BP,MATCH("Spell "&amp;$U29,Mobs!$1:$1,0),FALSE),SpellsNatPowers!$A:$I,MATCH(D$25,SpellsNatPowers!$1:$1,0),FALSE))</f>
        <v/>
      </c>
      <c r="E29" s="27" t="str">
        <f>ifna(VLOOKUP(VLOOKUP($A$2,Mobs!$A:$BP,MATCH("Spell "&amp;$U29,Mobs!$1:$1,0),FALSE),SpellsNatPowers!$A:$I,MATCH(E$25,SpellsNatPowers!$1:$1,0),FALSE))</f>
        <v/>
      </c>
      <c r="F29" s="27" t="str">
        <f>ifna(VLOOKUP(VLOOKUP($A$2,Mobs!$A:$BP,MATCH("Spell "&amp;$U29,Mobs!$1:$1,0),FALSE),SpellsNatPowers!$A:$I,MATCH(F$25,SpellsNatPowers!$1:$1,0),FALSE))</f>
        <v/>
      </c>
      <c r="G29" s="27" t="str">
        <f>ifna(VLOOKUP(VLOOKUP($A$2,Mobs!$A:$BP,MATCH("Spell "&amp;$U29,Mobs!$1:$1,0),FALSE),SpellsNatPowers!$A:$I,MATCH(G$25,SpellsNatPowers!$1:$1,0),FALSE))</f>
        <v/>
      </c>
      <c r="U29" s="2">
        <v>4.0</v>
      </c>
    </row>
    <row r="30">
      <c r="A30" s="27" t="str">
        <f>ifna(VLOOKUP(VLOOKUP($A$2,Mobs!$A:$BP,MATCH("Spell "&amp;$U30,Mobs!$1:$1,0),FALSE),SpellsNatPowers!$A:$I,MATCH(A$25,SpellsNatPowers!$1:$1,0),FALSE))</f>
        <v/>
      </c>
      <c r="B30" s="27" t="str">
        <f>ifna(VLOOKUP(VLOOKUP($A$2,Mobs!$A:$BP,MATCH("Spell "&amp;$U30,Mobs!$1:$1,0),FALSE),SpellsNatPowers!$A:$I,MATCH(B$25,SpellsNatPowers!$1:$1,0),FALSE))</f>
        <v/>
      </c>
      <c r="C30" s="27" t="str">
        <f>ifna(VLOOKUP(VLOOKUP($A$2,Mobs!$A:$BP,MATCH("Spell "&amp;$U30,Mobs!$1:$1,0),FALSE),SpellsNatPowers!$A:$I,MATCH(C$25,SpellsNatPowers!$1:$1,0),FALSE))</f>
        <v/>
      </c>
      <c r="D30" s="27" t="str">
        <f>ifna(VLOOKUP(VLOOKUP($A$2,Mobs!$A:$BP,MATCH("Spell "&amp;$U30,Mobs!$1:$1,0),FALSE),SpellsNatPowers!$A:$I,MATCH(D$25,SpellsNatPowers!$1:$1,0),FALSE))</f>
        <v/>
      </c>
      <c r="E30" s="27" t="str">
        <f>ifna(VLOOKUP(VLOOKUP($A$2,Mobs!$A:$BP,MATCH("Spell "&amp;$U30,Mobs!$1:$1,0),FALSE),SpellsNatPowers!$A:$I,MATCH(E$25,SpellsNatPowers!$1:$1,0),FALSE))</f>
        <v/>
      </c>
      <c r="F30" s="27" t="str">
        <f>ifna(VLOOKUP(VLOOKUP($A$2,Mobs!$A:$BP,MATCH("Spell "&amp;$U30,Mobs!$1:$1,0),FALSE),SpellsNatPowers!$A:$I,MATCH(F$25,SpellsNatPowers!$1:$1,0),FALSE))</f>
        <v/>
      </c>
      <c r="G30" s="27" t="str">
        <f>ifna(VLOOKUP(VLOOKUP($A$2,Mobs!$A:$BP,MATCH("Spell "&amp;$U30,Mobs!$1:$1,0),FALSE),SpellsNatPowers!$A:$I,MATCH(G$25,SpellsNatPowers!$1:$1,0),FALSE))</f>
        <v/>
      </c>
      <c r="U30" s="2">
        <v>5.0</v>
      </c>
    </row>
    <row r="31">
      <c r="A31" s="27" t="str">
        <f>ifna(VLOOKUP(VLOOKUP($A$2,Mobs!$A:$BP,MATCH("Spell "&amp;$U31,Mobs!$1:$1,0),FALSE),SpellsNatPowers!$A:$I,MATCH(A$25,SpellsNatPowers!$1:$1,0),FALSE))</f>
        <v/>
      </c>
      <c r="B31" s="27" t="str">
        <f>ifna(VLOOKUP(VLOOKUP($A$2,Mobs!$A:$BP,MATCH("Spell "&amp;$U31,Mobs!$1:$1,0),FALSE),SpellsNatPowers!$A:$I,MATCH(B$25,SpellsNatPowers!$1:$1,0),FALSE))</f>
        <v/>
      </c>
      <c r="C31" s="27" t="str">
        <f>ifna(VLOOKUP(VLOOKUP($A$2,Mobs!$A:$BP,MATCH("Spell "&amp;$U31,Mobs!$1:$1,0),FALSE),SpellsNatPowers!$A:$I,MATCH(C$25,SpellsNatPowers!$1:$1,0),FALSE))</f>
        <v/>
      </c>
      <c r="D31" s="27" t="str">
        <f>ifna(VLOOKUP(VLOOKUP($A$2,Mobs!$A:$BP,MATCH("Spell "&amp;$U31,Mobs!$1:$1,0),FALSE),SpellsNatPowers!$A:$I,MATCH(D$25,SpellsNatPowers!$1:$1,0),FALSE))</f>
        <v/>
      </c>
      <c r="E31" s="27" t="str">
        <f>ifna(VLOOKUP(VLOOKUP($A$2,Mobs!$A:$BP,MATCH("Spell "&amp;$U31,Mobs!$1:$1,0),FALSE),SpellsNatPowers!$A:$I,MATCH(E$25,SpellsNatPowers!$1:$1,0),FALSE))</f>
        <v/>
      </c>
      <c r="F31" s="27" t="str">
        <f>ifna(VLOOKUP(VLOOKUP($A$2,Mobs!$A:$BP,MATCH("Spell "&amp;$U31,Mobs!$1:$1,0),FALSE),SpellsNatPowers!$A:$I,MATCH(F$25,SpellsNatPowers!$1:$1,0),FALSE))</f>
        <v/>
      </c>
      <c r="G31" s="27" t="str">
        <f>ifna(VLOOKUP(VLOOKUP($A$2,Mobs!$A:$BP,MATCH("Spell "&amp;$U31,Mobs!$1:$1,0),FALSE),SpellsNatPowers!$A:$I,MATCH(G$25,SpellsNatPowers!$1:$1,0),FALSE))</f>
        <v/>
      </c>
      <c r="U31" s="2">
        <v>6.0</v>
      </c>
    </row>
    <row r="32">
      <c r="A32" s="27" t="str">
        <f>ifna(VLOOKUP(VLOOKUP($A$2,Mobs!$A:$BP,MATCH("Spell "&amp;$U32,Mobs!$1:$1,0),FALSE),SpellsNatPowers!$A:$I,MATCH(A$25,SpellsNatPowers!$1:$1,0),FALSE))</f>
        <v/>
      </c>
      <c r="B32" s="27" t="str">
        <f>ifna(VLOOKUP(VLOOKUP($A$2,Mobs!$A:$BP,MATCH("Spell "&amp;$U32,Mobs!$1:$1,0),FALSE),SpellsNatPowers!$A:$I,MATCH(B$25,SpellsNatPowers!$1:$1,0),FALSE))</f>
        <v/>
      </c>
      <c r="C32" s="27" t="str">
        <f>ifna(VLOOKUP(VLOOKUP($A$2,Mobs!$A:$BP,MATCH("Spell "&amp;$U32,Mobs!$1:$1,0),FALSE),SpellsNatPowers!$A:$I,MATCH(C$25,SpellsNatPowers!$1:$1,0),FALSE))</f>
        <v/>
      </c>
      <c r="D32" s="27" t="str">
        <f>ifna(VLOOKUP(VLOOKUP($A$2,Mobs!$A:$BP,MATCH("Spell "&amp;$U32,Mobs!$1:$1,0),FALSE),SpellsNatPowers!$A:$I,MATCH(D$25,SpellsNatPowers!$1:$1,0),FALSE))</f>
        <v/>
      </c>
      <c r="E32" s="27" t="str">
        <f>ifna(VLOOKUP(VLOOKUP($A$2,Mobs!$A:$BP,MATCH("Spell "&amp;$U32,Mobs!$1:$1,0),FALSE),SpellsNatPowers!$A:$I,MATCH(E$25,SpellsNatPowers!$1:$1,0),FALSE))</f>
        <v/>
      </c>
      <c r="F32" s="27" t="str">
        <f>ifna(VLOOKUP(VLOOKUP($A$2,Mobs!$A:$BP,MATCH("Spell "&amp;$U32,Mobs!$1:$1,0),FALSE),SpellsNatPowers!$A:$I,MATCH(F$25,SpellsNatPowers!$1:$1,0),FALSE))</f>
        <v/>
      </c>
      <c r="G32" s="27" t="str">
        <f>ifna(VLOOKUP(VLOOKUP($A$2,Mobs!$A:$BP,MATCH("Spell "&amp;$U32,Mobs!$1:$1,0),FALSE),SpellsNatPowers!$A:$I,MATCH(G$25,SpellsNatPowers!$1:$1,0),FALSE))</f>
        <v/>
      </c>
      <c r="U32" s="2">
        <v>7.0</v>
      </c>
    </row>
    <row r="33">
      <c r="A33" s="27" t="str">
        <f>ifna(VLOOKUP(VLOOKUP($A$2,Mobs!$A:$BP,MATCH("Spell "&amp;$U33,Mobs!$1:$1,0),FALSE),SpellsNatPowers!$A:$I,MATCH(A$25,SpellsNatPowers!$1:$1,0),FALSE))</f>
        <v/>
      </c>
      <c r="B33" s="27" t="str">
        <f>ifna(VLOOKUP(VLOOKUP($A$2,Mobs!$A:$BP,MATCH("Spell "&amp;$U33,Mobs!$1:$1,0),FALSE),SpellsNatPowers!$A:$I,MATCH(B$25,SpellsNatPowers!$1:$1,0),FALSE))</f>
        <v/>
      </c>
      <c r="C33" s="27" t="str">
        <f>ifna(VLOOKUP(VLOOKUP($A$2,Mobs!$A:$BP,MATCH("Spell "&amp;$U33,Mobs!$1:$1,0),FALSE),SpellsNatPowers!$A:$I,MATCH(C$25,SpellsNatPowers!$1:$1,0),FALSE))</f>
        <v/>
      </c>
      <c r="D33" s="27" t="str">
        <f>ifna(VLOOKUP(VLOOKUP($A$2,Mobs!$A:$BP,MATCH("Spell "&amp;$U33,Mobs!$1:$1,0),FALSE),SpellsNatPowers!$A:$I,MATCH(D$25,SpellsNatPowers!$1:$1,0),FALSE))</f>
        <v/>
      </c>
      <c r="E33" s="27" t="str">
        <f>ifna(VLOOKUP(VLOOKUP($A$2,Mobs!$A:$BP,MATCH("Spell "&amp;$U33,Mobs!$1:$1,0),FALSE),SpellsNatPowers!$A:$I,MATCH(E$25,SpellsNatPowers!$1:$1,0),FALSE))</f>
        <v/>
      </c>
      <c r="F33" s="27" t="str">
        <f>ifna(VLOOKUP(VLOOKUP($A$2,Mobs!$A:$BP,MATCH("Spell "&amp;$U33,Mobs!$1:$1,0),FALSE),SpellsNatPowers!$A:$I,MATCH(F$25,SpellsNatPowers!$1:$1,0),FALSE))</f>
        <v/>
      </c>
      <c r="G33" s="27" t="str">
        <f>ifna(VLOOKUP(VLOOKUP($A$2,Mobs!$A:$BP,MATCH("Spell "&amp;$U33,Mobs!$1:$1,0),FALSE),SpellsNatPowers!$A:$I,MATCH(G$25,SpellsNatPowers!$1:$1,0),FALSE))</f>
        <v/>
      </c>
      <c r="U33" s="2">
        <v>8.0</v>
      </c>
    </row>
    <row r="34">
      <c r="A34" s="27" t="str">
        <f>ifna(VLOOKUP(VLOOKUP($A$2,Mobs!$A:$BP,MATCH("Spell "&amp;$U34,Mobs!$1:$1,0),FALSE),SpellsNatPowers!$A:$I,MATCH(A$25,SpellsNatPowers!$1:$1,0),FALSE))</f>
        <v/>
      </c>
      <c r="B34" s="27" t="str">
        <f>ifna(VLOOKUP(VLOOKUP($A$2,Mobs!$A:$BP,MATCH("Spell "&amp;$U34,Mobs!$1:$1,0),FALSE),SpellsNatPowers!$A:$I,MATCH(B$25,SpellsNatPowers!$1:$1,0),FALSE))</f>
        <v/>
      </c>
      <c r="C34" s="27" t="str">
        <f>ifna(VLOOKUP(VLOOKUP($A$2,Mobs!$A:$BP,MATCH("Spell "&amp;$U34,Mobs!$1:$1,0),FALSE),SpellsNatPowers!$A:$I,MATCH(C$25,SpellsNatPowers!$1:$1,0),FALSE))</f>
        <v/>
      </c>
      <c r="D34" s="27" t="str">
        <f>ifna(VLOOKUP(VLOOKUP($A$2,Mobs!$A:$BP,MATCH("Spell "&amp;$U34,Mobs!$1:$1,0),FALSE),SpellsNatPowers!$A:$I,MATCH(D$25,SpellsNatPowers!$1:$1,0),FALSE))</f>
        <v/>
      </c>
      <c r="E34" s="27" t="str">
        <f>ifna(VLOOKUP(VLOOKUP($A$2,Mobs!$A:$BP,MATCH("Spell "&amp;$U34,Mobs!$1:$1,0),FALSE),SpellsNatPowers!$A:$I,MATCH(E$25,SpellsNatPowers!$1:$1,0),FALSE))</f>
        <v/>
      </c>
      <c r="F34" s="27" t="str">
        <f>ifna(VLOOKUP(VLOOKUP($A$2,Mobs!$A:$BP,MATCH("Spell "&amp;$U34,Mobs!$1:$1,0),FALSE),SpellsNatPowers!$A:$I,MATCH(F$25,SpellsNatPowers!$1:$1,0),FALSE))</f>
        <v/>
      </c>
      <c r="G34" s="27" t="str">
        <f>ifna(VLOOKUP(VLOOKUP($A$2,Mobs!$A:$BP,MATCH("Spell "&amp;$U34,Mobs!$1:$1,0),FALSE),SpellsNatPowers!$A:$I,MATCH(G$25,SpellsNatPowers!$1:$1,0),FALSE))</f>
        <v/>
      </c>
      <c r="U34" s="2">
        <v>9.0</v>
      </c>
    </row>
    <row r="35">
      <c r="A35" s="27" t="str">
        <f>ifna(VLOOKUP(VLOOKUP($A$2,Mobs!$A:$BP,MATCH("Spell "&amp;$U35,Mobs!$1:$1,0),FALSE),SpellsNatPowers!$A:$I,MATCH(A$25,SpellsNatPowers!$1:$1,0),FALSE))</f>
        <v/>
      </c>
      <c r="B35" s="27" t="str">
        <f>ifna(VLOOKUP(VLOOKUP($A$2,Mobs!$A:$BP,MATCH("Spell "&amp;$U35,Mobs!$1:$1,0),FALSE),SpellsNatPowers!$A:$I,MATCH(B$25,SpellsNatPowers!$1:$1,0),FALSE))</f>
        <v/>
      </c>
      <c r="C35" s="27" t="str">
        <f>ifna(VLOOKUP(VLOOKUP($A$2,Mobs!$A:$BP,MATCH("Spell "&amp;$U35,Mobs!$1:$1,0),FALSE),SpellsNatPowers!$A:$I,MATCH(C$25,SpellsNatPowers!$1:$1,0),FALSE))</f>
        <v/>
      </c>
      <c r="D35" s="27" t="str">
        <f>ifna(VLOOKUP(VLOOKUP($A$2,Mobs!$A:$BP,MATCH("Spell "&amp;$U35,Mobs!$1:$1,0),FALSE),SpellsNatPowers!$A:$I,MATCH(D$25,SpellsNatPowers!$1:$1,0),FALSE))</f>
        <v/>
      </c>
      <c r="E35" s="27" t="str">
        <f>ifna(VLOOKUP(VLOOKUP($A$2,Mobs!$A:$BP,MATCH("Spell "&amp;$U35,Mobs!$1:$1,0),FALSE),SpellsNatPowers!$A:$I,MATCH(E$25,SpellsNatPowers!$1:$1,0),FALSE))</f>
        <v/>
      </c>
      <c r="F35" s="27" t="str">
        <f>ifna(VLOOKUP(VLOOKUP($A$2,Mobs!$A:$BP,MATCH("Spell "&amp;$U35,Mobs!$1:$1,0),FALSE),SpellsNatPowers!$A:$I,MATCH(F$25,SpellsNatPowers!$1:$1,0),FALSE))</f>
        <v/>
      </c>
      <c r="G35" s="27" t="str">
        <f>ifna(VLOOKUP(VLOOKUP($A$2,Mobs!$A:$BP,MATCH("Spell "&amp;$U35,Mobs!$1:$1,0),FALSE),SpellsNatPowers!$A:$I,MATCH(G$25,SpellsNatPowers!$1:$1,0),FALSE))</f>
        <v/>
      </c>
      <c r="U35" s="2">
        <v>10.0</v>
      </c>
    </row>
    <row r="36">
      <c r="A36" s="27" t="str">
        <f>ifna(VLOOKUP(VLOOKUP($A$2,Mobs!$A:$BP,MATCH("Spell "&amp;$U36,Mobs!$1:$1,0),FALSE),SpellsNatPowers!$A:$I,MATCH(A$25,SpellsNatPowers!$1:$1,0),FALSE))</f>
        <v/>
      </c>
      <c r="B36" s="27" t="str">
        <f>ifna(VLOOKUP(VLOOKUP($A$2,Mobs!$A:$BP,MATCH("Spell "&amp;$U36,Mobs!$1:$1,0),FALSE),SpellsNatPowers!$A:$I,MATCH(B$25,SpellsNatPowers!$1:$1,0),FALSE))</f>
        <v/>
      </c>
      <c r="C36" s="27" t="str">
        <f>ifna(VLOOKUP(VLOOKUP($A$2,Mobs!$A:$BP,MATCH("Spell "&amp;$U36,Mobs!$1:$1,0),FALSE),SpellsNatPowers!$A:$I,MATCH(C$25,SpellsNatPowers!$1:$1,0),FALSE))</f>
        <v/>
      </c>
      <c r="D36" s="27" t="str">
        <f>ifna(VLOOKUP(VLOOKUP($A$2,Mobs!$A:$BP,MATCH("Spell "&amp;$U36,Mobs!$1:$1,0),FALSE),SpellsNatPowers!$A:$I,MATCH(D$25,SpellsNatPowers!$1:$1,0),FALSE))</f>
        <v/>
      </c>
      <c r="E36" s="27" t="str">
        <f>ifna(VLOOKUP(VLOOKUP($A$2,Mobs!$A:$BP,MATCH("Spell "&amp;$U36,Mobs!$1:$1,0),FALSE),SpellsNatPowers!$A:$I,MATCH(E$25,SpellsNatPowers!$1:$1,0),FALSE))</f>
        <v/>
      </c>
      <c r="F36" s="27" t="str">
        <f>ifna(VLOOKUP(VLOOKUP($A$2,Mobs!$A:$BP,MATCH("Spell "&amp;$U36,Mobs!$1:$1,0),FALSE),SpellsNatPowers!$A:$I,MATCH(F$25,SpellsNatPowers!$1:$1,0),FALSE))</f>
        <v/>
      </c>
      <c r="G36" s="27" t="str">
        <f>ifna(VLOOKUP(VLOOKUP($A$2,Mobs!$A:$BP,MATCH("Spell "&amp;$U36,Mobs!$1:$1,0),FALSE),SpellsNatPowers!$A:$I,MATCH(G$25,SpellsNatPowers!$1:$1,0),FALSE))</f>
        <v/>
      </c>
      <c r="U36" s="2">
        <v>11.0</v>
      </c>
    </row>
    <row r="37">
      <c r="A37" s="27" t="str">
        <f>ifna(VLOOKUP(VLOOKUP($A$2,Mobs!$A:$BP,MATCH("Spell "&amp;$U37,Mobs!$1:$1,0),FALSE),SpellsNatPowers!$A:$I,MATCH(A$25,SpellsNatPowers!$1:$1,0),FALSE))</f>
        <v/>
      </c>
      <c r="B37" s="27" t="str">
        <f>ifna(VLOOKUP(VLOOKUP($A$2,Mobs!$A:$BP,MATCH("Spell "&amp;$U37,Mobs!$1:$1,0),FALSE),SpellsNatPowers!$A:$I,MATCH(B$25,SpellsNatPowers!$1:$1,0),FALSE))</f>
        <v/>
      </c>
      <c r="C37" s="27" t="str">
        <f>ifna(VLOOKUP(VLOOKUP($A$2,Mobs!$A:$BP,MATCH("Spell "&amp;$U37,Mobs!$1:$1,0),FALSE),SpellsNatPowers!$A:$I,MATCH(C$25,SpellsNatPowers!$1:$1,0),FALSE))</f>
        <v/>
      </c>
      <c r="D37" s="27" t="str">
        <f>ifna(VLOOKUP(VLOOKUP($A$2,Mobs!$A:$BP,MATCH("Spell "&amp;$U37,Mobs!$1:$1,0),FALSE),SpellsNatPowers!$A:$I,MATCH(D$25,SpellsNatPowers!$1:$1,0),FALSE))</f>
        <v/>
      </c>
      <c r="E37" s="27" t="str">
        <f>ifna(VLOOKUP(VLOOKUP($A$2,Mobs!$A:$BP,MATCH("Spell "&amp;$U37,Mobs!$1:$1,0),FALSE),SpellsNatPowers!$A:$I,MATCH(E$25,SpellsNatPowers!$1:$1,0),FALSE))</f>
        <v/>
      </c>
      <c r="F37" s="27" t="str">
        <f>ifna(VLOOKUP(VLOOKUP($A$2,Mobs!$A:$BP,MATCH("Spell "&amp;$U37,Mobs!$1:$1,0),FALSE),SpellsNatPowers!$A:$I,MATCH(F$25,SpellsNatPowers!$1:$1,0),FALSE))</f>
        <v/>
      </c>
      <c r="G37" s="27" t="str">
        <f>ifna(VLOOKUP(VLOOKUP($A$2,Mobs!$A:$BP,MATCH("Spell "&amp;$U37,Mobs!$1:$1,0),FALSE),SpellsNatPowers!$A:$I,MATCH(G$25,SpellsNatPowers!$1:$1,0),FALSE))</f>
        <v/>
      </c>
      <c r="U37" s="2">
        <v>12.0</v>
      </c>
    </row>
    <row r="38">
      <c r="A38" s="27" t="str">
        <f>ifna(VLOOKUP(VLOOKUP($A$2,Mobs!$A:$BP,MATCH("Spell "&amp;$U38,Mobs!$1:$1,0),FALSE),SpellsNatPowers!$A:$I,MATCH(A$25,SpellsNatPowers!$1:$1,0),FALSE))</f>
        <v/>
      </c>
      <c r="B38" s="27" t="str">
        <f>ifna(VLOOKUP(VLOOKUP($A$2,Mobs!$A:$BP,MATCH("Spell "&amp;$U38,Mobs!$1:$1,0),FALSE),SpellsNatPowers!$A:$I,MATCH(B$25,SpellsNatPowers!$1:$1,0),FALSE))</f>
        <v/>
      </c>
      <c r="C38" s="27" t="str">
        <f>ifna(VLOOKUP(VLOOKUP($A$2,Mobs!$A:$BP,MATCH("Spell "&amp;$U38,Mobs!$1:$1,0),FALSE),SpellsNatPowers!$A:$I,MATCH(C$25,SpellsNatPowers!$1:$1,0),FALSE))</f>
        <v/>
      </c>
      <c r="D38" s="27" t="str">
        <f>ifna(VLOOKUP(VLOOKUP($A$2,Mobs!$A:$BP,MATCH("Spell "&amp;$U38,Mobs!$1:$1,0),FALSE),SpellsNatPowers!$A:$I,MATCH(D$25,SpellsNatPowers!$1:$1,0),FALSE))</f>
        <v/>
      </c>
      <c r="E38" s="27" t="str">
        <f>ifna(VLOOKUP(VLOOKUP($A$2,Mobs!$A:$BP,MATCH("Spell "&amp;$U38,Mobs!$1:$1,0),FALSE),SpellsNatPowers!$A:$I,MATCH(E$25,SpellsNatPowers!$1:$1,0),FALSE))</f>
        <v/>
      </c>
      <c r="F38" s="27" t="str">
        <f>ifna(VLOOKUP(VLOOKUP($A$2,Mobs!$A:$BP,MATCH("Spell "&amp;$U38,Mobs!$1:$1,0),FALSE),SpellsNatPowers!$A:$I,MATCH(F$25,SpellsNatPowers!$1:$1,0),FALSE))</f>
        <v/>
      </c>
      <c r="G38" s="27" t="str">
        <f>ifna(VLOOKUP(VLOOKUP($A$2,Mobs!$A:$BP,MATCH("Spell "&amp;$U38,Mobs!$1:$1,0),FALSE),SpellsNatPowers!$A:$I,MATCH(G$25,SpellsNatPowers!$1:$1,0),FALSE))</f>
        <v/>
      </c>
      <c r="U38" s="2">
        <v>13.0</v>
      </c>
    </row>
    <row r="39">
      <c r="A39" s="27" t="str">
        <f>ifna(VLOOKUP(VLOOKUP($A$2,Mobs!$A:$BP,MATCH("Spell "&amp;$U39,Mobs!$1:$1,0),FALSE),SpellsNatPowers!$A:$I,MATCH(A$25,SpellsNatPowers!$1:$1,0),FALSE))</f>
        <v/>
      </c>
      <c r="B39" s="27" t="str">
        <f>ifna(VLOOKUP(VLOOKUP($A$2,Mobs!$A:$BP,MATCH("Spell "&amp;$U39,Mobs!$1:$1,0),FALSE),SpellsNatPowers!$A:$I,MATCH(B$25,SpellsNatPowers!$1:$1,0),FALSE))</f>
        <v/>
      </c>
      <c r="C39" s="27" t="str">
        <f>ifna(VLOOKUP(VLOOKUP($A$2,Mobs!$A:$BP,MATCH("Spell "&amp;$U39,Mobs!$1:$1,0),FALSE),SpellsNatPowers!$A:$I,MATCH(C$25,SpellsNatPowers!$1:$1,0),FALSE))</f>
        <v/>
      </c>
      <c r="D39" s="27" t="str">
        <f>ifna(VLOOKUP(VLOOKUP($A$2,Mobs!$A:$BP,MATCH("Spell "&amp;$U39,Mobs!$1:$1,0),FALSE),SpellsNatPowers!$A:$I,MATCH(D$25,SpellsNatPowers!$1:$1,0),FALSE))</f>
        <v/>
      </c>
      <c r="E39" s="27" t="str">
        <f>ifna(VLOOKUP(VLOOKUP($A$2,Mobs!$A:$BP,MATCH("Spell "&amp;$U39,Mobs!$1:$1,0),FALSE),SpellsNatPowers!$A:$I,MATCH(E$25,SpellsNatPowers!$1:$1,0),FALSE))</f>
        <v/>
      </c>
      <c r="F39" s="27" t="str">
        <f>ifna(VLOOKUP(VLOOKUP($A$2,Mobs!$A:$BP,MATCH("Spell "&amp;$U39,Mobs!$1:$1,0),FALSE),SpellsNatPowers!$A:$I,MATCH(F$25,SpellsNatPowers!$1:$1,0),FALSE))</f>
        <v/>
      </c>
      <c r="G39" s="27" t="str">
        <f>ifna(VLOOKUP(VLOOKUP($A$2,Mobs!$A:$BP,MATCH("Spell "&amp;$U39,Mobs!$1:$1,0),FALSE),SpellsNatPowers!$A:$I,MATCH(G$25,SpellsNatPowers!$1:$1,0),FALSE))</f>
        <v/>
      </c>
      <c r="U39" s="2">
        <v>14.0</v>
      </c>
    </row>
    <row r="40">
      <c r="A40" s="27" t="str">
        <f>ifna(VLOOKUP(VLOOKUP($A$2,Mobs!$A:$BP,MATCH("Spell "&amp;$U40,Mobs!$1:$1,0),FALSE),SpellsNatPowers!$A:$I,MATCH(A$25,SpellsNatPowers!$1:$1,0),FALSE))</f>
        <v/>
      </c>
      <c r="B40" s="27" t="str">
        <f>ifna(VLOOKUP(VLOOKUP($A$2,Mobs!$A:$BP,MATCH("Spell "&amp;$U40,Mobs!$1:$1,0),FALSE),SpellsNatPowers!$A:$I,MATCH(B$25,SpellsNatPowers!$1:$1,0),FALSE))</f>
        <v/>
      </c>
      <c r="C40" s="27" t="str">
        <f>ifna(VLOOKUP(VLOOKUP($A$2,Mobs!$A:$BP,MATCH("Spell "&amp;$U40,Mobs!$1:$1,0),FALSE),SpellsNatPowers!$A:$I,MATCH(C$25,SpellsNatPowers!$1:$1,0),FALSE))</f>
        <v/>
      </c>
      <c r="D40" s="27" t="str">
        <f>ifna(VLOOKUP(VLOOKUP($A$2,Mobs!$A:$BP,MATCH("Spell "&amp;$U40,Mobs!$1:$1,0),FALSE),SpellsNatPowers!$A:$I,MATCH(D$25,SpellsNatPowers!$1:$1,0),FALSE))</f>
        <v/>
      </c>
      <c r="E40" s="27" t="str">
        <f>ifna(VLOOKUP(VLOOKUP($A$2,Mobs!$A:$BP,MATCH("Spell "&amp;$U40,Mobs!$1:$1,0),FALSE),SpellsNatPowers!$A:$I,MATCH(E$25,SpellsNatPowers!$1:$1,0),FALSE))</f>
        <v/>
      </c>
      <c r="F40" s="27" t="str">
        <f>ifna(VLOOKUP(VLOOKUP($A$2,Mobs!$A:$BP,MATCH("Spell "&amp;$U40,Mobs!$1:$1,0),FALSE),SpellsNatPowers!$A:$I,MATCH(F$25,SpellsNatPowers!$1:$1,0),FALSE))</f>
        <v/>
      </c>
      <c r="G40" s="27" t="str">
        <f>ifna(VLOOKUP(VLOOKUP($A$2,Mobs!$A:$BP,MATCH("Spell "&amp;$U40,Mobs!$1:$1,0),FALSE),SpellsNatPowers!$A:$I,MATCH(G$25,SpellsNatPowers!$1:$1,0),FALSE))</f>
        <v/>
      </c>
      <c r="U40" s="2">
        <v>15.0</v>
      </c>
    </row>
    <row r="41">
      <c r="A41" s="27" t="str">
        <f>ifna(VLOOKUP(VLOOKUP($A$2,Mobs!$A:$BP,MATCH("Spell "&amp;$U41,Mobs!$1:$1,0),FALSE),SpellsNatPowers!$A:$I,MATCH(A$25,SpellsNatPowers!$1:$1,0),FALSE))</f>
        <v/>
      </c>
      <c r="B41" s="27" t="str">
        <f>ifna(VLOOKUP(VLOOKUP($A$2,Mobs!$A:$BP,MATCH("Spell "&amp;$U41,Mobs!$1:$1,0),FALSE),SpellsNatPowers!$A:$I,MATCH(B$25,SpellsNatPowers!$1:$1,0),FALSE))</f>
        <v/>
      </c>
      <c r="C41" s="27" t="str">
        <f>ifna(VLOOKUP(VLOOKUP($A$2,Mobs!$A:$BP,MATCH("Spell "&amp;$U41,Mobs!$1:$1,0),FALSE),SpellsNatPowers!$A:$I,MATCH(C$25,SpellsNatPowers!$1:$1,0),FALSE))</f>
        <v/>
      </c>
      <c r="D41" s="27" t="str">
        <f>ifna(VLOOKUP(VLOOKUP($A$2,Mobs!$A:$BP,MATCH("Spell "&amp;$U41,Mobs!$1:$1,0),FALSE),SpellsNatPowers!$A:$I,MATCH(D$25,SpellsNatPowers!$1:$1,0),FALSE))</f>
        <v/>
      </c>
      <c r="E41" s="27" t="str">
        <f>ifna(VLOOKUP(VLOOKUP($A$2,Mobs!$A:$BP,MATCH("Spell "&amp;$U41,Mobs!$1:$1,0),FALSE),SpellsNatPowers!$A:$I,MATCH(E$25,SpellsNatPowers!$1:$1,0),FALSE))</f>
        <v/>
      </c>
      <c r="F41" s="27" t="str">
        <f>ifna(VLOOKUP(VLOOKUP($A$2,Mobs!$A:$BP,MATCH("Spell "&amp;$U41,Mobs!$1:$1,0),FALSE),SpellsNatPowers!$A:$I,MATCH(F$25,SpellsNatPowers!$1:$1,0),FALSE))</f>
        <v/>
      </c>
      <c r="G41" s="27" t="str">
        <f>ifna(VLOOKUP(VLOOKUP($A$2,Mobs!$A:$BP,MATCH("Spell "&amp;$U41,Mobs!$1:$1,0),FALSE),SpellsNatPowers!$A:$I,MATCH(G$25,SpellsNatPowers!$1:$1,0),FALSE))</f>
        <v/>
      </c>
      <c r="U41" s="2">
        <v>16.0</v>
      </c>
    </row>
    <row r="42">
      <c r="A42" s="27" t="str">
        <f>ifna(VLOOKUP(VLOOKUP($A$2,Mobs!$A:$BP,MATCH("Spell "&amp;$U42,Mobs!$1:$1,0),FALSE),SpellsNatPowers!$A:$I,MATCH(A$25,SpellsNatPowers!$1:$1,0),FALSE))</f>
        <v/>
      </c>
      <c r="B42" s="27" t="str">
        <f>ifna(VLOOKUP(VLOOKUP($A$2,Mobs!$A:$BP,MATCH("Spell "&amp;$U42,Mobs!$1:$1,0),FALSE),SpellsNatPowers!$A:$I,MATCH(B$25,SpellsNatPowers!$1:$1,0),FALSE))</f>
        <v/>
      </c>
      <c r="C42" s="27" t="str">
        <f>ifna(VLOOKUP(VLOOKUP($A$2,Mobs!$A:$BP,MATCH("Spell "&amp;$U42,Mobs!$1:$1,0),FALSE),SpellsNatPowers!$A:$I,MATCH(C$25,SpellsNatPowers!$1:$1,0),FALSE))</f>
        <v/>
      </c>
      <c r="D42" s="27" t="str">
        <f>ifna(VLOOKUP(VLOOKUP($A$2,Mobs!$A:$BP,MATCH("Spell "&amp;$U42,Mobs!$1:$1,0),FALSE),SpellsNatPowers!$A:$I,MATCH(D$25,SpellsNatPowers!$1:$1,0),FALSE))</f>
        <v/>
      </c>
      <c r="E42" s="27" t="str">
        <f>ifna(VLOOKUP(VLOOKUP($A$2,Mobs!$A:$BP,MATCH("Spell "&amp;$U42,Mobs!$1:$1,0),FALSE),SpellsNatPowers!$A:$I,MATCH(E$25,SpellsNatPowers!$1:$1,0),FALSE))</f>
        <v/>
      </c>
      <c r="F42" s="27" t="str">
        <f>ifna(VLOOKUP(VLOOKUP($A$2,Mobs!$A:$BP,MATCH("Spell "&amp;$U42,Mobs!$1:$1,0),FALSE),SpellsNatPowers!$A:$I,MATCH(F$25,SpellsNatPowers!$1:$1,0),FALSE))</f>
        <v/>
      </c>
      <c r="G42" s="27" t="str">
        <f>ifna(VLOOKUP(VLOOKUP($A$2,Mobs!$A:$BP,MATCH("Spell "&amp;$U42,Mobs!$1:$1,0),FALSE),SpellsNatPowers!$A:$I,MATCH(G$25,SpellsNatPowers!$1:$1,0),FALSE))</f>
        <v/>
      </c>
      <c r="U42" s="2">
        <v>17.0</v>
      </c>
    </row>
    <row r="43">
      <c r="A43" s="27" t="str">
        <f>ifna(VLOOKUP(VLOOKUP($A$2,Mobs!$A:$BP,MATCH("Spell "&amp;$U43,Mobs!$1:$1,0),FALSE),SpellsNatPowers!$A:$I,MATCH(A$25,SpellsNatPowers!$1:$1,0),FALSE))</f>
        <v/>
      </c>
      <c r="B43" s="27" t="str">
        <f>ifna(VLOOKUP(VLOOKUP($A$2,Mobs!$A:$BP,MATCH("Spell "&amp;$U43,Mobs!$1:$1,0),FALSE),SpellsNatPowers!$A:$I,MATCH(B$25,SpellsNatPowers!$1:$1,0),FALSE))</f>
        <v/>
      </c>
      <c r="C43" s="27" t="str">
        <f>ifna(VLOOKUP(VLOOKUP($A$2,Mobs!$A:$BP,MATCH("Spell "&amp;$U43,Mobs!$1:$1,0),FALSE),SpellsNatPowers!$A:$I,MATCH(C$25,SpellsNatPowers!$1:$1,0),FALSE))</f>
        <v/>
      </c>
      <c r="D43" s="27" t="str">
        <f>ifna(VLOOKUP(VLOOKUP($A$2,Mobs!$A:$BP,MATCH("Spell "&amp;$U43,Mobs!$1:$1,0),FALSE),SpellsNatPowers!$A:$I,MATCH(D$25,SpellsNatPowers!$1:$1,0),FALSE))</f>
        <v/>
      </c>
      <c r="E43" s="27" t="str">
        <f>ifna(VLOOKUP(VLOOKUP($A$2,Mobs!$A:$BP,MATCH("Spell "&amp;$U43,Mobs!$1:$1,0),FALSE),SpellsNatPowers!$A:$I,MATCH(E$25,SpellsNatPowers!$1:$1,0),FALSE))</f>
        <v/>
      </c>
      <c r="F43" s="27" t="str">
        <f>ifna(VLOOKUP(VLOOKUP($A$2,Mobs!$A:$BP,MATCH("Spell "&amp;$U43,Mobs!$1:$1,0),FALSE),SpellsNatPowers!$A:$I,MATCH(F$25,SpellsNatPowers!$1:$1,0),FALSE))</f>
        <v/>
      </c>
      <c r="G43" s="27" t="str">
        <f>ifna(VLOOKUP(VLOOKUP($A$2,Mobs!$A:$BP,MATCH("Spell "&amp;$U43,Mobs!$1:$1,0),FALSE),SpellsNatPowers!$A:$I,MATCH(G$25,SpellsNatPowers!$1:$1,0),FALSE))</f>
        <v/>
      </c>
      <c r="U43" s="2">
        <v>18.0</v>
      </c>
    </row>
    <row r="44">
      <c r="A44" s="27" t="str">
        <f>ifna(VLOOKUP(VLOOKUP($A$2,Mobs!$A:$BP,MATCH("Spell "&amp;$U44,Mobs!$1:$1,0),FALSE),SpellsNatPowers!$A:$I,MATCH(A$25,SpellsNatPowers!$1:$1,0),FALSE))</f>
        <v/>
      </c>
      <c r="B44" s="27" t="str">
        <f>ifna(VLOOKUP(VLOOKUP($A$2,Mobs!$A:$BP,MATCH("Spell "&amp;$U44,Mobs!$1:$1,0),FALSE),SpellsNatPowers!$A:$I,MATCH(B$25,SpellsNatPowers!$1:$1,0),FALSE))</f>
        <v/>
      </c>
      <c r="C44" s="27" t="str">
        <f>ifna(VLOOKUP(VLOOKUP($A$2,Mobs!$A:$BP,MATCH("Spell "&amp;$U44,Mobs!$1:$1,0),FALSE),SpellsNatPowers!$A:$I,MATCH(C$25,SpellsNatPowers!$1:$1,0),FALSE))</f>
        <v/>
      </c>
      <c r="D44" s="27" t="str">
        <f>ifna(VLOOKUP(VLOOKUP($A$2,Mobs!$A:$BP,MATCH("Spell "&amp;$U44,Mobs!$1:$1,0),FALSE),SpellsNatPowers!$A:$I,MATCH(D$25,SpellsNatPowers!$1:$1,0),FALSE))</f>
        <v/>
      </c>
      <c r="E44" s="27" t="str">
        <f>ifna(VLOOKUP(VLOOKUP($A$2,Mobs!$A:$BP,MATCH("Spell "&amp;$U44,Mobs!$1:$1,0),FALSE),SpellsNatPowers!$A:$I,MATCH(E$25,SpellsNatPowers!$1:$1,0),FALSE))</f>
        <v/>
      </c>
      <c r="F44" s="27" t="str">
        <f>ifna(VLOOKUP(VLOOKUP($A$2,Mobs!$A:$BP,MATCH("Spell "&amp;$U44,Mobs!$1:$1,0),FALSE),SpellsNatPowers!$A:$I,MATCH(F$25,SpellsNatPowers!$1:$1,0),FALSE))</f>
        <v/>
      </c>
      <c r="G44" s="27" t="str">
        <f>ifna(VLOOKUP(VLOOKUP($A$2,Mobs!$A:$BP,MATCH("Spell "&amp;$U44,Mobs!$1:$1,0),FALSE),SpellsNatPowers!$A:$I,MATCH(G$25,SpellsNatPowers!$1:$1,0),FALSE))</f>
        <v/>
      </c>
      <c r="U44" s="2">
        <v>19.0</v>
      </c>
    </row>
    <row r="45">
      <c r="A45" s="27" t="str">
        <f>ifna(VLOOKUP(VLOOKUP($A$2,Mobs!$A:$BP,MATCH("Spell "&amp;$U45,Mobs!$1:$1,0),FALSE),SpellsNatPowers!$A:$I,MATCH(A$25,SpellsNatPowers!$1:$1,0),FALSE))</f>
        <v/>
      </c>
      <c r="B45" s="27" t="str">
        <f>ifna(VLOOKUP(VLOOKUP($A$2,Mobs!$A:$BP,MATCH("Spell "&amp;$U45,Mobs!$1:$1,0),FALSE),SpellsNatPowers!$A:$I,MATCH(B$25,SpellsNatPowers!$1:$1,0),FALSE))</f>
        <v/>
      </c>
      <c r="C45" s="27" t="str">
        <f>ifna(VLOOKUP(VLOOKUP($A$2,Mobs!$A:$BP,MATCH("Spell "&amp;$U45,Mobs!$1:$1,0),FALSE),SpellsNatPowers!$A:$I,MATCH(C$25,SpellsNatPowers!$1:$1,0),FALSE))</f>
        <v/>
      </c>
      <c r="D45" s="27" t="str">
        <f>ifna(VLOOKUP(VLOOKUP($A$2,Mobs!$A:$BP,MATCH("Spell "&amp;$U45,Mobs!$1:$1,0),FALSE),SpellsNatPowers!$A:$I,MATCH(D$25,SpellsNatPowers!$1:$1,0),FALSE))</f>
        <v/>
      </c>
      <c r="E45" s="27" t="str">
        <f>ifna(VLOOKUP(VLOOKUP($A$2,Mobs!$A:$BP,MATCH("Spell "&amp;$U45,Mobs!$1:$1,0),FALSE),SpellsNatPowers!$A:$I,MATCH(E$25,SpellsNatPowers!$1:$1,0),FALSE))</f>
        <v/>
      </c>
      <c r="F45" s="27" t="str">
        <f>ifna(VLOOKUP(VLOOKUP($A$2,Mobs!$A:$BP,MATCH("Spell "&amp;$U45,Mobs!$1:$1,0),FALSE),SpellsNatPowers!$A:$I,MATCH(F$25,SpellsNatPowers!$1:$1,0),FALSE))</f>
        <v/>
      </c>
      <c r="G45" s="27" t="str">
        <f>ifna(VLOOKUP(VLOOKUP($A$2,Mobs!$A:$BP,MATCH("Spell "&amp;$U45,Mobs!$1:$1,0),FALSE),SpellsNatPowers!$A:$I,MATCH(G$25,SpellsNatPowers!$1:$1,0),FALSE))</f>
        <v/>
      </c>
      <c r="U45" s="2">
        <v>20.0</v>
      </c>
    </row>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sheetData>
  <mergeCells count="7">
    <mergeCell ref="B4:C4"/>
    <mergeCell ref="A5:D5"/>
    <mergeCell ref="A8:B8"/>
    <mergeCell ref="C8:D8"/>
    <mergeCell ref="A9:D9"/>
    <mergeCell ref="A10:D10"/>
    <mergeCell ref="A11:D11"/>
  </mergeCells>
  <conditionalFormatting sqref="D26:D45">
    <cfRule type="expression" dxfId="0" priority="1">
      <formula>IF(D26=$H$10,True,Flase)</formula>
    </cfRule>
  </conditionalFormatting>
  <dataValidations>
    <dataValidation type="decimal" allowBlank="1" showDropDown="1" showErrorMessage="1" sqref="B1">
      <formula1>1.0</formula1>
      <formula2>20.0</formula2>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tr">
        <f>IFERROR(__xludf.DUMMYFUNCTION("IMPORTRANGE(""https://docs.google.com/spreadsheets/d/1HXoAI5UG3zq1UHqU5n7fPdbQk93qOha2VQb1r7iRi1o"",""Equipconvert!A:BJ"")"),"Name")</f>
        <v>Name</v>
      </c>
      <c r="B1" s="32" t="str">
        <f>IFERROR(__xludf.DUMMYFUNCTION("""COMPUTED_VALUE"""),"Description")</f>
        <v>Description</v>
      </c>
      <c r="C1" s="32" t="str">
        <f>IFERROR(__xludf.DUMMYFUNCTION("""COMPUTED_VALUE"""),"Type")</f>
        <v>Type</v>
      </c>
      <c r="D1" s="32" t="str">
        <f>IFERROR(__xludf.DUMMYFUNCTION("""COMPUTED_VALUE"""),"Slot")</f>
        <v>Slot</v>
      </c>
      <c r="E1" s="32" t="str">
        <f>IFERROR(__xludf.DUMMYFUNCTION("""COMPUTED_VALUE"""),"Level Requirement")</f>
        <v>Level Requirement</v>
      </c>
      <c r="F1" s="32" t="str">
        <f>IFERROR(__xludf.DUMMYFUNCTION("""COMPUTED_VALUE"""),"Abilities")</f>
        <v>Abilities</v>
      </c>
      <c r="G1" s="32" t="str">
        <f>IFERROR(__xludf.DUMMYFUNCTION("""COMPUTED_VALUE"""),"Estimated Price")</f>
        <v>Estimated Price</v>
      </c>
      <c r="H1" s="32"/>
      <c r="I1" s="32"/>
      <c r="J1" s="32"/>
      <c r="K1" s="32"/>
      <c r="L1" s="32"/>
      <c r="M1" s="32"/>
      <c r="N1" s="32"/>
      <c r="O1" s="32"/>
      <c r="P1" s="32"/>
      <c r="Q1" s="32"/>
      <c r="R1" s="32"/>
      <c r="S1" s="32"/>
      <c r="T1" s="32"/>
      <c r="U1" s="32"/>
      <c r="V1" s="32"/>
      <c r="W1" s="32"/>
      <c r="X1" s="32"/>
      <c r="Y1" s="32"/>
      <c r="Z1" s="32"/>
    </row>
    <row r="2">
      <c r="A2" s="32" t="str">
        <f>IFERROR(__xludf.DUMMYFUNCTION("""COMPUTED_VALUE"""),"""Hellfire Club"" Vest of Metal Harmony's")</f>
        <v>"Hellfire Club" Vest of Metal Harmony's</v>
      </c>
      <c r="B2" s="32"/>
      <c r="C2" s="32"/>
      <c r="D2" s="32" t="str">
        <f>IFERROR(__xludf.DUMMYFUNCTION("""COMPUTED_VALUE"""),"Torso")</f>
        <v>Torso</v>
      </c>
      <c r="E2" s="32">
        <f>IFERROR(__xludf.DUMMYFUNCTION("""COMPUTED_VALUE"""),200.0)</f>
        <v>200</v>
      </c>
      <c r="F2" s="32" t="str">
        <f>IFERROR(__xludf.DUMMYFUNCTION("""COMPUTED_VALUE"""),"DEF: ++10000 ++When dealing damage with an instrument you will regain sp equal to the damage you caused.")</f>
        <v>DEF: ++10000 ++When dealing damage with an instrument you will regain sp equal to the damage you caused.</v>
      </c>
      <c r="G2" s="32">
        <f>IFERROR(__xludf.DUMMYFUNCTION("""COMPUTED_VALUE"""),1900000.0)</f>
        <v>1900000</v>
      </c>
      <c r="H2" s="32"/>
      <c r="I2" s="32"/>
      <c r="J2" s="32"/>
      <c r="K2" s="32"/>
      <c r="L2" s="32"/>
      <c r="M2" s="32"/>
      <c r="N2" s="32"/>
      <c r="O2" s="32"/>
      <c r="P2" s="32"/>
      <c r="Q2" s="32"/>
      <c r="R2" s="32"/>
      <c r="S2" s="32"/>
      <c r="T2" s="32"/>
      <c r="U2" s="32"/>
      <c r="V2" s="32"/>
      <c r="W2" s="32"/>
      <c r="X2" s="32"/>
      <c r="Y2" s="32"/>
      <c r="Z2" s="32"/>
    </row>
    <row r="3">
      <c r="A3" s="32" t="str">
        <f>IFERROR(__xludf.DUMMYFUNCTION("""COMPUTED_VALUE"""),"""Sweetheart"" Guitar of The Upside Down")</f>
        <v>"Sweetheart" Guitar of The Upside Down</v>
      </c>
      <c r="B3" s="32"/>
      <c r="C3" s="32" t="str">
        <f>IFERROR(__xludf.DUMMYFUNCTION("""COMPUTED_VALUE"""),"Instrument")</f>
        <v>Instrument</v>
      </c>
      <c r="D3" s="32" t="str">
        <f>IFERROR(__xludf.DUMMYFUNCTION("""COMPUTED_VALUE"""),"Hand")</f>
        <v>Hand</v>
      </c>
      <c r="E3" s="32">
        <f>IFERROR(__xludf.DUMMYFUNCTION("""COMPUTED_VALUE"""),200.0)</f>
        <v>200</v>
      </c>
      <c r="F3" s="32"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32">
        <f>IFERROR(__xludf.DUMMYFUNCTION("""COMPUTED_VALUE"""),1900000.0)</f>
        <v>1900000</v>
      </c>
      <c r="H3" s="32"/>
      <c r="I3" s="32"/>
      <c r="J3" s="32"/>
      <c r="K3" s="32"/>
      <c r="L3" s="32"/>
      <c r="M3" s="32"/>
      <c r="N3" s="32"/>
      <c r="O3" s="32"/>
      <c r="P3" s="32"/>
      <c r="Q3" s="32"/>
      <c r="R3" s="32"/>
      <c r="S3" s="32"/>
      <c r="T3" s="32"/>
      <c r="U3" s="32"/>
      <c r="V3" s="32"/>
      <c r="W3" s="32"/>
      <c r="X3" s="32"/>
      <c r="Y3" s="32"/>
      <c r="Z3" s="32"/>
    </row>
    <row r="4">
      <c r="A4" s="32" t="str">
        <f>IFERROR(__xludf.DUMMYFUNCTION("""COMPUTED_VALUE"""),"Alpha Sword")</f>
        <v>Alpha Sword</v>
      </c>
      <c r="B4" s="32"/>
      <c r="C4" s="32" t="str">
        <f>IFERROR(__xludf.DUMMYFUNCTION("""COMPUTED_VALUE"""),"Sword")</f>
        <v>Sword</v>
      </c>
      <c r="D4" s="32" t="str">
        <f>IFERROR(__xludf.DUMMYFUNCTION("""COMPUTED_VALUE"""),"Hand")</f>
        <v>Hand</v>
      </c>
      <c r="E4" s="32">
        <f>IFERROR(__xludf.DUMMYFUNCTION("""COMPUTED_VALUE"""),4000.0)</f>
        <v>4000</v>
      </c>
      <c r="F4" s="32"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32">
        <f>IFERROR(__xludf.DUMMYFUNCTION("""COMPUTED_VALUE"""),7.98E8)</f>
        <v>798000000</v>
      </c>
      <c r="H4" s="32"/>
      <c r="I4" s="32"/>
      <c r="J4" s="32"/>
      <c r="K4" s="32"/>
      <c r="L4" s="32"/>
      <c r="M4" s="32"/>
      <c r="N4" s="32"/>
      <c r="O4" s="32"/>
      <c r="P4" s="32"/>
      <c r="Q4" s="32"/>
      <c r="R4" s="32"/>
      <c r="S4" s="32"/>
      <c r="T4" s="32"/>
      <c r="U4" s="32"/>
      <c r="V4" s="32"/>
      <c r="W4" s="32"/>
      <c r="X4" s="32"/>
      <c r="Y4" s="32"/>
      <c r="Z4" s="32"/>
    </row>
    <row r="5">
      <c r="A5" s="32" t="str">
        <f>IFERROR(__xludf.DUMMYFUNCTION("""COMPUTED_VALUE"""),"Ancient Colossus Forest Hammer")</f>
        <v>Ancient Colossus Forest Hammer</v>
      </c>
      <c r="B5" s="32"/>
      <c r="C5" s="32" t="str">
        <f>IFERROR(__xludf.DUMMYFUNCTION("""COMPUTED_VALUE"""),"Club")</f>
        <v>Club</v>
      </c>
      <c r="D5" s="32" t="str">
        <f>IFERROR(__xludf.DUMMYFUNCTION("""COMPUTED_VALUE"""),"Hand")</f>
        <v>Hand</v>
      </c>
      <c r="E5" s="32">
        <f>IFERROR(__xludf.DUMMYFUNCTION("""COMPUTED_VALUE"""),700.0)</f>
        <v>700</v>
      </c>
      <c r="F5" s="32"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32">
        <f>IFERROR(__xludf.DUMMYFUNCTION("""COMPUTED_VALUE"""),2.415E7)</f>
        <v>24150000</v>
      </c>
      <c r="H5" s="32"/>
      <c r="I5" s="32"/>
      <c r="J5" s="32"/>
      <c r="K5" s="32"/>
      <c r="L5" s="32"/>
      <c r="M5" s="32"/>
      <c r="N5" s="32"/>
      <c r="O5" s="32"/>
      <c r="P5" s="32"/>
      <c r="Q5" s="32"/>
      <c r="R5" s="32"/>
      <c r="S5" s="32"/>
      <c r="T5" s="32"/>
      <c r="U5" s="32"/>
      <c r="V5" s="32"/>
      <c r="W5" s="32"/>
      <c r="X5" s="32"/>
      <c r="Y5" s="32"/>
      <c r="Z5" s="32"/>
    </row>
    <row r="6">
      <c r="A6" s="32" t="str">
        <f>IFERROR(__xludf.DUMMYFUNCTION("""COMPUTED_VALUE"""),"Ancient Samurai Sword")</f>
        <v>Ancient Samurai Sword</v>
      </c>
      <c r="B6" s="32"/>
      <c r="C6" s="32" t="str">
        <f>IFERROR(__xludf.DUMMYFUNCTION("""COMPUTED_VALUE"""),"Sword")</f>
        <v>Sword</v>
      </c>
      <c r="D6" s="32" t="str">
        <f>IFERROR(__xludf.DUMMYFUNCTION("""COMPUTED_VALUE"""),"Hand")</f>
        <v>Hand</v>
      </c>
      <c r="E6" s="32">
        <f>IFERROR(__xludf.DUMMYFUNCTION("""COMPUTED_VALUE"""),800.0)</f>
        <v>800</v>
      </c>
      <c r="F6" s="3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32">
        <f>IFERROR(__xludf.DUMMYFUNCTION("""COMPUTED_VALUE"""),3.16E7)</f>
        <v>31600000</v>
      </c>
      <c r="H6" s="32"/>
      <c r="I6" s="32"/>
      <c r="J6" s="32"/>
      <c r="K6" s="32"/>
      <c r="L6" s="32"/>
      <c r="M6" s="32"/>
      <c r="N6" s="32"/>
      <c r="O6" s="32"/>
      <c r="P6" s="32"/>
      <c r="Q6" s="32"/>
      <c r="R6" s="32"/>
      <c r="S6" s="32"/>
      <c r="T6" s="32"/>
      <c r="U6" s="32"/>
      <c r="V6" s="32"/>
      <c r="W6" s="32"/>
      <c r="X6" s="32"/>
      <c r="Y6" s="32"/>
      <c r="Z6" s="32"/>
    </row>
    <row r="7">
      <c r="A7" s="32" t="str">
        <f>IFERROR(__xludf.DUMMYFUNCTION("""COMPUTED_VALUE"""),"Ancient Stone Guardians Sword")</f>
        <v>Ancient Stone Guardians Sword</v>
      </c>
      <c r="B7" s="32"/>
      <c r="C7" s="32" t="str">
        <f>IFERROR(__xludf.DUMMYFUNCTION("""COMPUTED_VALUE"""),"Sword")</f>
        <v>Sword</v>
      </c>
      <c r="D7" s="32" t="str">
        <f>IFERROR(__xludf.DUMMYFUNCTION("""COMPUTED_VALUE"""),"Hand")</f>
        <v>Hand</v>
      </c>
      <c r="E7" s="32">
        <f>IFERROR(__xludf.DUMMYFUNCTION("""COMPUTED_VALUE"""),1200.0)</f>
        <v>1200</v>
      </c>
      <c r="F7" s="32" t="str">
        <f>IFERROR(__xludf.DUMMYFUNCTION("""COMPUTED_VALUE"""),"DMG: +20000, Earth DMG: +20000, Light DMG: +20000 ++X2 Defense for all allies")</f>
        <v>DMG: +20000, Earth DMG: +20000, Light DMG: +20000 ++X2 Defense for all allies</v>
      </c>
      <c r="G7" s="32">
        <f>IFERROR(__xludf.DUMMYFUNCTION("""COMPUTED_VALUE"""),7.14E7)</f>
        <v>71400000</v>
      </c>
      <c r="H7" s="32"/>
      <c r="I7" s="32"/>
      <c r="J7" s="32"/>
      <c r="K7" s="32"/>
      <c r="L7" s="32"/>
      <c r="M7" s="32"/>
      <c r="N7" s="32"/>
      <c r="O7" s="32"/>
      <c r="P7" s="32"/>
      <c r="Q7" s="32"/>
      <c r="R7" s="32"/>
      <c r="S7" s="32"/>
      <c r="T7" s="32"/>
      <c r="U7" s="32"/>
      <c r="V7" s="32"/>
      <c r="W7" s="32"/>
      <c r="X7" s="32"/>
      <c r="Y7" s="32"/>
      <c r="Z7" s="32"/>
    </row>
    <row r="8">
      <c r="A8" s="32" t="str">
        <f>IFERROR(__xludf.DUMMYFUNCTION("""COMPUTED_VALUE"""),"Aqua Robe")</f>
        <v>Aqua Robe</v>
      </c>
      <c r="B8" s="32"/>
      <c r="C8" s="32"/>
      <c r="D8" s="32" t="str">
        <f>IFERROR(__xludf.DUMMYFUNCTION("""COMPUTED_VALUE"""),"Torso")</f>
        <v>Torso</v>
      </c>
      <c r="E8" s="32">
        <f>IFERROR(__xludf.DUMMYFUNCTION("""COMPUTED_VALUE"""),40.0)</f>
        <v>40</v>
      </c>
      <c r="F8" s="32" t="str">
        <f>IFERROR(__xludf.DUMMYFUNCTION("""COMPUTED_VALUE"""),"DEF: +1000, Water DEF: +1000 ++X4 damage additional water damage for the user.")</f>
        <v>DEF: +1000, Water DEF: +1000 ++X4 damage additional water damage for the user.</v>
      </c>
      <c r="G8" s="32">
        <f>IFERROR(__xludf.DUMMYFUNCTION("""COMPUTED_VALUE"""),60000.0)</f>
        <v>60000</v>
      </c>
      <c r="H8" s="32"/>
      <c r="I8" s="32"/>
      <c r="J8" s="32"/>
      <c r="K8" s="32"/>
      <c r="L8" s="32"/>
      <c r="M8" s="32"/>
      <c r="N8" s="32"/>
      <c r="O8" s="32"/>
      <c r="P8" s="32"/>
      <c r="Q8" s="32"/>
      <c r="R8" s="32"/>
      <c r="S8" s="32"/>
      <c r="T8" s="32"/>
      <c r="U8" s="32"/>
      <c r="V8" s="32"/>
      <c r="W8" s="32"/>
      <c r="X8" s="32"/>
      <c r="Y8" s="32"/>
      <c r="Z8" s="32"/>
    </row>
    <row r="9">
      <c r="A9" s="32" t="str">
        <f>IFERROR(__xludf.DUMMYFUNCTION("""COMPUTED_VALUE"""),"Aquatic Boots of Atlantis")</f>
        <v>Aquatic Boots of Atlantis</v>
      </c>
      <c r="B9" s="32"/>
      <c r="C9" s="32"/>
      <c r="D9" s="32" t="str">
        <f>IFERROR(__xludf.DUMMYFUNCTION("""COMPUTED_VALUE"""),"Feet")</f>
        <v>Feet</v>
      </c>
      <c r="E9" s="32">
        <f>IFERROR(__xludf.DUMMYFUNCTION("""COMPUTED_VALUE"""),300.0)</f>
        <v>300</v>
      </c>
      <c r="F9" s="32" t="str">
        <f>IFERROR(__xludf.DUMMYFUNCTION("""COMPUTED_VALUE"""),"DEF: +7500, Water DEF: +7500 ++X6 additional water damage for self.")</f>
        <v>DEF: +7500, Water DEF: +7500 ++X6 additional water damage for self.</v>
      </c>
      <c r="G9" s="32">
        <f>IFERROR(__xludf.DUMMYFUNCTION("""COMPUTED_VALUE"""),4350000.0)</f>
        <v>4350000</v>
      </c>
      <c r="H9" s="32"/>
      <c r="I9" s="32"/>
      <c r="J9" s="32"/>
      <c r="K9" s="32"/>
      <c r="L9" s="32"/>
      <c r="M9" s="32"/>
      <c r="N9" s="32"/>
      <c r="O9" s="32"/>
      <c r="P9" s="32"/>
      <c r="Q9" s="32"/>
      <c r="R9" s="32"/>
      <c r="S9" s="32"/>
      <c r="T9" s="32"/>
      <c r="U9" s="32"/>
      <c r="V9" s="32"/>
      <c r="W9" s="32"/>
      <c r="X9" s="32"/>
      <c r="Y9" s="32"/>
      <c r="Z9" s="32"/>
    </row>
    <row r="10">
      <c r="A10" s="32" t="str">
        <f>IFERROR(__xludf.DUMMYFUNCTION("""COMPUTED_VALUE"""),"Aquatic Chestplate of Atlantis")</f>
        <v>Aquatic Chestplate of Atlantis</v>
      </c>
      <c r="B10" s="32"/>
      <c r="C10" s="32"/>
      <c r="D10" s="32" t="str">
        <f>IFERROR(__xludf.DUMMYFUNCTION("""COMPUTED_VALUE"""),"Torso")</f>
        <v>Torso</v>
      </c>
      <c r="E10" s="32">
        <f>IFERROR(__xludf.DUMMYFUNCTION("""COMPUTED_VALUE"""),600.0)</f>
        <v>600</v>
      </c>
      <c r="F10" s="3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32">
        <f>IFERROR(__xludf.DUMMYFUNCTION("""COMPUTED_VALUE"""),1.77E7)</f>
        <v>17700000</v>
      </c>
      <c r="H10" s="32"/>
      <c r="I10" s="32"/>
      <c r="J10" s="32"/>
      <c r="K10" s="32"/>
      <c r="L10" s="32"/>
      <c r="M10" s="32"/>
      <c r="N10" s="32"/>
      <c r="O10" s="32"/>
      <c r="P10" s="32"/>
      <c r="Q10" s="32"/>
      <c r="R10" s="32"/>
      <c r="S10" s="32"/>
      <c r="T10" s="32"/>
      <c r="U10" s="32"/>
      <c r="V10" s="32"/>
      <c r="W10" s="32"/>
      <c r="X10" s="32"/>
      <c r="Y10" s="32"/>
      <c r="Z10" s="32"/>
    </row>
    <row r="11">
      <c r="A11" s="32" t="str">
        <f>IFERROR(__xludf.DUMMYFUNCTION("""COMPUTED_VALUE"""),"Aquatic Greaves of Atlantis")</f>
        <v>Aquatic Greaves of Atlantis</v>
      </c>
      <c r="B11" s="32"/>
      <c r="C11" s="32"/>
      <c r="D11" s="32" t="str">
        <f>IFERROR(__xludf.DUMMYFUNCTION("""COMPUTED_VALUE"""),"Legs")</f>
        <v>Legs</v>
      </c>
      <c r="E11" s="32">
        <f>IFERROR(__xludf.DUMMYFUNCTION("""COMPUTED_VALUE"""),300.0)</f>
        <v>300</v>
      </c>
      <c r="F11" s="32" t="str">
        <f>IFERROR(__xludf.DUMMYFUNCTION("""COMPUTED_VALUE"""),"DEF: +7500, Water DEF: +7500 ++X6 additional water damage for self.")</f>
        <v>DEF: +7500, Water DEF: +7500 ++X6 additional water damage for self.</v>
      </c>
      <c r="G11" s="32">
        <f>IFERROR(__xludf.DUMMYFUNCTION("""COMPUTED_VALUE"""),4350000.0)</f>
        <v>4350000</v>
      </c>
      <c r="H11" s="32"/>
      <c r="I11" s="32"/>
      <c r="J11" s="32"/>
      <c r="K11" s="32"/>
      <c r="L11" s="32"/>
      <c r="M11" s="32"/>
      <c r="N11" s="32"/>
      <c r="O11" s="32"/>
      <c r="P11" s="32"/>
      <c r="Q11" s="32"/>
      <c r="R11" s="32"/>
      <c r="S11" s="32"/>
      <c r="T11" s="32"/>
      <c r="U11" s="32"/>
      <c r="V11" s="32"/>
      <c r="W11" s="32"/>
      <c r="X11" s="32"/>
      <c r="Y11" s="32"/>
      <c r="Z11" s="32"/>
    </row>
    <row r="12">
      <c r="A12" s="32" t="str">
        <f>IFERROR(__xludf.DUMMYFUNCTION("""COMPUTED_VALUE"""),"Aquatic Helmet of Atlantis")</f>
        <v>Aquatic Helmet of Atlantis</v>
      </c>
      <c r="B12" s="32"/>
      <c r="C12" s="32"/>
      <c r="D12" s="32" t="str">
        <f>IFERROR(__xludf.DUMMYFUNCTION("""COMPUTED_VALUE"""),"Head")</f>
        <v>Head</v>
      </c>
      <c r="E12" s="32">
        <f>IFERROR(__xludf.DUMMYFUNCTION("""COMPUTED_VALUE"""),300.0)</f>
        <v>300</v>
      </c>
      <c r="F12" s="32" t="str">
        <f>IFERROR(__xludf.DUMMYFUNCTION("""COMPUTED_VALUE"""),"DEF: +7500, Water DEF: +7500 ++X6 additional water damage for self.")</f>
        <v>DEF: +7500, Water DEF: +7500 ++X6 additional water damage for self.</v>
      </c>
      <c r="G12" s="32">
        <f>IFERROR(__xludf.DUMMYFUNCTION("""COMPUTED_VALUE"""),4350000.0)</f>
        <v>4350000</v>
      </c>
      <c r="H12" s="32"/>
      <c r="I12" s="32"/>
      <c r="J12" s="32"/>
      <c r="K12" s="32"/>
      <c r="L12" s="32"/>
      <c r="M12" s="32"/>
      <c r="N12" s="32"/>
      <c r="O12" s="32"/>
      <c r="P12" s="32"/>
      <c r="Q12" s="32"/>
      <c r="R12" s="32"/>
      <c r="S12" s="32"/>
      <c r="T12" s="32"/>
      <c r="U12" s="32"/>
      <c r="V12" s="32"/>
      <c r="W12" s="32"/>
      <c r="X12" s="32"/>
      <c r="Y12" s="32"/>
      <c r="Z12" s="32"/>
    </row>
    <row r="13">
      <c r="A13" s="32" t="str">
        <f>IFERROR(__xludf.DUMMYFUNCTION("""COMPUTED_VALUE"""),"Aquatic Pauldrons of Atlantis")</f>
        <v>Aquatic Pauldrons of Atlantis</v>
      </c>
      <c r="B13" s="32"/>
      <c r="C13" s="32"/>
      <c r="D13" s="32" t="str">
        <f>IFERROR(__xludf.DUMMYFUNCTION("""COMPUTED_VALUE"""),"Shoulders")</f>
        <v>Shoulders</v>
      </c>
      <c r="E13" s="32">
        <f>IFERROR(__xludf.DUMMYFUNCTION("""COMPUTED_VALUE"""),300.0)</f>
        <v>300</v>
      </c>
      <c r="F13" s="32" t="str">
        <f>IFERROR(__xludf.DUMMYFUNCTION("""COMPUTED_VALUE"""),"DEF: +7500, Water DEF: +7500 ++X6 additional water damage for self.")</f>
        <v>DEF: +7500, Water DEF: +7500 ++X6 additional water damage for self.</v>
      </c>
      <c r="G13" s="32">
        <f>IFERROR(__xludf.DUMMYFUNCTION("""COMPUTED_VALUE"""),4350000.0)</f>
        <v>4350000</v>
      </c>
      <c r="H13" s="32"/>
      <c r="I13" s="32"/>
      <c r="J13" s="32"/>
      <c r="K13" s="32"/>
      <c r="L13" s="32"/>
      <c r="M13" s="32"/>
      <c r="N13" s="32"/>
      <c r="O13" s="32"/>
      <c r="P13" s="32"/>
      <c r="Q13" s="32"/>
      <c r="R13" s="32"/>
      <c r="S13" s="32"/>
      <c r="T13" s="32"/>
      <c r="U13" s="32"/>
      <c r="V13" s="32"/>
      <c r="W13" s="32"/>
      <c r="X13" s="32"/>
      <c r="Y13" s="32"/>
      <c r="Z13" s="32"/>
    </row>
    <row r="14">
      <c r="A14" s="32" t="str">
        <f>IFERROR(__xludf.DUMMYFUNCTION("""COMPUTED_VALUE"""),"Aquatic Sword of Atlantis")</f>
        <v>Aquatic Sword of Atlantis</v>
      </c>
      <c r="B14" s="32"/>
      <c r="C14" s="32" t="str">
        <f>IFERROR(__xludf.DUMMYFUNCTION("""COMPUTED_VALUE"""),"Sword")</f>
        <v>Sword</v>
      </c>
      <c r="D14" s="32" t="str">
        <f>IFERROR(__xludf.DUMMYFUNCTION("""COMPUTED_VALUE"""),"Hand")</f>
        <v>Hand</v>
      </c>
      <c r="E14" s="32">
        <f>IFERROR(__xludf.DUMMYFUNCTION("""COMPUTED_VALUE"""),1200.0)</f>
        <v>1200</v>
      </c>
      <c r="F14" s="3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32">
        <f>IFERROR(__xludf.DUMMYFUNCTION("""COMPUTED_VALUE"""),7.14E7)</f>
        <v>71400000</v>
      </c>
      <c r="H14" s="32"/>
      <c r="I14" s="32"/>
      <c r="J14" s="32"/>
      <c r="K14" s="32"/>
      <c r="L14" s="32"/>
      <c r="M14" s="32"/>
      <c r="N14" s="32"/>
      <c r="O14" s="32"/>
      <c r="P14" s="32"/>
      <c r="Q14" s="32"/>
      <c r="R14" s="32"/>
      <c r="S14" s="32"/>
      <c r="T14" s="32"/>
      <c r="U14" s="32"/>
      <c r="V14" s="32"/>
      <c r="W14" s="32"/>
      <c r="X14" s="32"/>
      <c r="Y14" s="32"/>
      <c r="Z14" s="32"/>
    </row>
    <row r="15">
      <c r="A15" s="32" t="str">
        <f>IFERROR(__xludf.DUMMYFUNCTION("""COMPUTED_VALUE"""),"Aquatic Vambraces of Atlantis")</f>
        <v>Aquatic Vambraces of Atlantis</v>
      </c>
      <c r="B15" s="32"/>
      <c r="C15" s="32"/>
      <c r="D15" s="32" t="str">
        <f>IFERROR(__xludf.DUMMYFUNCTION("""COMPUTED_VALUE"""),"Arms")</f>
        <v>Arms</v>
      </c>
      <c r="E15" s="32">
        <f>IFERROR(__xludf.DUMMYFUNCTION("""COMPUTED_VALUE"""),300.0)</f>
        <v>300</v>
      </c>
      <c r="F15" s="32" t="str">
        <f>IFERROR(__xludf.DUMMYFUNCTION("""COMPUTED_VALUE"""),"DEF: +7500, Water DEF: +7500 X6 additional water damage for self.")</f>
        <v>DEF: +7500, Water DEF: +7500 X6 additional water damage for self.</v>
      </c>
      <c r="G15" s="32">
        <f>IFERROR(__xludf.DUMMYFUNCTION("""COMPUTED_VALUE"""),4350000.0)</f>
        <v>4350000</v>
      </c>
      <c r="H15" s="32"/>
      <c r="I15" s="32"/>
      <c r="J15" s="32"/>
      <c r="K15" s="32"/>
      <c r="L15" s="32"/>
      <c r="M15" s="32"/>
      <c r="N15" s="32"/>
      <c r="O15" s="32"/>
      <c r="P15" s="32"/>
      <c r="Q15" s="32"/>
      <c r="R15" s="32"/>
      <c r="S15" s="32"/>
      <c r="T15" s="32"/>
      <c r="U15" s="32"/>
      <c r="V15" s="32"/>
      <c r="W15" s="32"/>
      <c r="X15" s="32"/>
      <c r="Y15" s="32"/>
      <c r="Z15" s="32"/>
    </row>
    <row r="16">
      <c r="A16" s="32" t="str">
        <f>IFERROR(__xludf.DUMMYFUNCTION("""COMPUTED_VALUE"""),"Archer’s Cloaked Vest")</f>
        <v>Archer’s Cloaked Vest</v>
      </c>
      <c r="B16" s="32"/>
      <c r="C16" s="32"/>
      <c r="D16" s="32" t="str">
        <f>IFERROR(__xludf.DUMMYFUNCTION("""COMPUTED_VALUE"""),"Torso")</f>
        <v>Torso</v>
      </c>
      <c r="E16" s="32">
        <f>IFERROR(__xludf.DUMMYFUNCTION("""COMPUTED_VALUE"""),20.0)</f>
        <v>20</v>
      </c>
      <c r="F16" s="3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32">
        <f>IFERROR(__xludf.DUMMYFUNCTION("""COMPUTED_VALUE"""),1000.0)</f>
        <v>1000</v>
      </c>
      <c r="H16" s="32"/>
      <c r="I16" s="32"/>
      <c r="J16" s="32"/>
      <c r="K16" s="32"/>
      <c r="L16" s="32"/>
      <c r="M16" s="32"/>
      <c r="N16" s="32"/>
      <c r="O16" s="32"/>
      <c r="P16" s="32"/>
      <c r="Q16" s="32"/>
      <c r="R16" s="32"/>
      <c r="S16" s="32"/>
      <c r="T16" s="32"/>
      <c r="U16" s="32"/>
      <c r="V16" s="32"/>
      <c r="W16" s="32"/>
      <c r="X16" s="32"/>
      <c r="Y16" s="32"/>
      <c r="Z16" s="32"/>
    </row>
    <row r="17">
      <c r="A17" s="32" t="str">
        <f>IFERROR(__xludf.DUMMYFUNCTION("""COMPUTED_VALUE"""),"Archers Boots")</f>
        <v>Archers Boots</v>
      </c>
      <c r="B17" s="32"/>
      <c r="C17" s="32"/>
      <c r="D17" s="32" t="str">
        <f>IFERROR(__xludf.DUMMYFUNCTION("""COMPUTED_VALUE"""),"Feet")</f>
        <v>Feet</v>
      </c>
      <c r="E17" s="32">
        <f>IFERROR(__xludf.DUMMYFUNCTION("""COMPUTED_VALUE"""),1.0)</f>
        <v>1</v>
      </c>
      <c r="F17" s="32" t="str">
        <f>IFERROR(__xludf.DUMMYFUNCTION("""COMPUTED_VALUE""")," (Ranger Set) ++5 evasion ++Only archers can equip, +-Cannot be duplicated or forged.")</f>
        <v> (Ranger Set) ++5 evasion ++Only archers can equip, +-Cannot be duplicated or forged.</v>
      </c>
      <c r="G17" s="32">
        <f>IFERROR(__xludf.DUMMYFUNCTION("""COMPUTED_VALUE"""),0.0)</f>
        <v>0</v>
      </c>
      <c r="H17" s="32"/>
      <c r="I17" s="32"/>
      <c r="J17" s="32"/>
      <c r="K17" s="32"/>
      <c r="L17" s="32"/>
      <c r="M17" s="32"/>
      <c r="N17" s="32"/>
      <c r="O17" s="32"/>
      <c r="P17" s="32"/>
      <c r="Q17" s="32"/>
      <c r="R17" s="32"/>
      <c r="S17" s="32"/>
      <c r="T17" s="32"/>
      <c r="U17" s="32"/>
      <c r="V17" s="32"/>
      <c r="W17" s="32"/>
      <c r="X17" s="32"/>
      <c r="Y17" s="32"/>
      <c r="Z17" s="32"/>
    </row>
    <row r="18">
      <c r="A18" s="32" t="str">
        <f>IFERROR(__xludf.DUMMYFUNCTION("""COMPUTED_VALUE"""),"Archers Cloak")</f>
        <v>Archers Cloak</v>
      </c>
      <c r="B18" s="32"/>
      <c r="C18" s="32"/>
      <c r="D18" s="32" t="str">
        <f>IFERROR(__xludf.DUMMYFUNCTION("""COMPUTED_VALUE"""),"Torso")</f>
        <v>Torso</v>
      </c>
      <c r="E18" s="32">
        <f>IFERROR(__xludf.DUMMYFUNCTION("""COMPUTED_VALUE"""),1.0)</f>
        <v>1</v>
      </c>
      <c r="F18" s="32" t="str">
        <f>IFERROR(__xludf.DUMMYFUNCTION("""COMPUTED_VALUE""")," (Ranger Set) ++Ranged Spells cost half the sp cost ++Only archers can equip")</f>
        <v> (Ranger Set) ++Ranged Spells cost half the sp cost ++Only archers can equip</v>
      </c>
      <c r="G18" s="32">
        <f>IFERROR(__xludf.DUMMYFUNCTION("""COMPUTED_VALUE"""),0.0)</f>
        <v>0</v>
      </c>
      <c r="H18" s="32"/>
      <c r="I18" s="32"/>
      <c r="J18" s="32"/>
      <c r="K18" s="32"/>
      <c r="L18" s="32"/>
      <c r="M18" s="32"/>
      <c r="N18" s="32"/>
      <c r="O18" s="32"/>
      <c r="P18" s="32"/>
      <c r="Q18" s="32"/>
      <c r="R18" s="32"/>
      <c r="S18" s="32"/>
      <c r="T18" s="32"/>
      <c r="U18" s="32"/>
      <c r="V18" s="32"/>
      <c r="W18" s="32"/>
      <c r="X18" s="32"/>
      <c r="Y18" s="32"/>
      <c r="Z18" s="32"/>
    </row>
    <row r="19">
      <c r="A19" s="32" t="str">
        <f>IFERROR(__xludf.DUMMYFUNCTION("""COMPUTED_VALUE"""),"Armor Of Cthulhu")</f>
        <v>Armor Of Cthulhu</v>
      </c>
      <c r="B19" s="32"/>
      <c r="C19" s="32"/>
      <c r="D19" s="32" t="str">
        <f>IFERROR(__xludf.DUMMYFUNCTION("""COMPUTED_VALUE"""),"Torso")</f>
        <v>Torso</v>
      </c>
      <c r="E19" s="32">
        <f>IFERROR(__xludf.DUMMYFUNCTION("""COMPUTED_VALUE"""),400.0)</f>
        <v>400</v>
      </c>
      <c r="F19" s="3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32">
        <f>IFERROR(__xludf.DUMMYFUNCTION("""COMPUTED_VALUE"""),7800000.0)</f>
        <v>7800000</v>
      </c>
      <c r="H19" s="32"/>
      <c r="I19" s="32"/>
      <c r="J19" s="32"/>
      <c r="K19" s="32"/>
      <c r="L19" s="32"/>
      <c r="M19" s="32"/>
      <c r="N19" s="32"/>
      <c r="O19" s="32"/>
      <c r="P19" s="32"/>
      <c r="Q19" s="32"/>
      <c r="R19" s="32"/>
      <c r="S19" s="32"/>
      <c r="T19" s="32"/>
      <c r="U19" s="32"/>
      <c r="V19" s="32"/>
      <c r="W19" s="32"/>
      <c r="X19" s="32"/>
      <c r="Y19" s="32"/>
      <c r="Z19" s="32"/>
    </row>
    <row r="20">
      <c r="A20" s="32" t="str">
        <f>IFERROR(__xludf.DUMMYFUNCTION("""COMPUTED_VALUE"""),"Armor Of Zeldron")</f>
        <v>Armor Of Zeldron</v>
      </c>
      <c r="B20" s="32" t="str">
        <f>IFERROR(__xludf.DUMMYFUNCTION("""COMPUTED_VALUE"""),"Made of gold")</f>
        <v>Made of gold</v>
      </c>
      <c r="C20" s="32"/>
      <c r="D20" s="32" t="str">
        <f>IFERROR(__xludf.DUMMYFUNCTION("""COMPUTED_VALUE"""),"Torso")</f>
        <v>Torso</v>
      </c>
      <c r="E20" s="32">
        <f>IFERROR(__xludf.DUMMYFUNCTION("""COMPUTED_VALUE"""),400.0)</f>
        <v>400</v>
      </c>
      <c r="F20" s="32" t="str">
        <f>IFERROR(__xludf.DUMMYFUNCTION("""COMPUTED_VALUE"""),"DEF: +10000, Order DEF: +10000")</f>
        <v>DEF: +10000, Order DEF: +10000</v>
      </c>
      <c r="G20" s="32">
        <f>IFERROR(__xludf.DUMMYFUNCTION("""COMPUTED_VALUE"""),7800000.0)</f>
        <v>7800000</v>
      </c>
      <c r="H20" s="32"/>
      <c r="I20" s="32"/>
      <c r="J20" s="32"/>
      <c r="K20" s="32"/>
      <c r="L20" s="32"/>
      <c r="M20" s="32"/>
      <c r="N20" s="32"/>
      <c r="O20" s="32"/>
      <c r="P20" s="32"/>
      <c r="Q20" s="32"/>
      <c r="R20" s="32"/>
      <c r="S20" s="32"/>
      <c r="T20" s="32"/>
      <c r="U20" s="32"/>
      <c r="V20" s="32"/>
      <c r="W20" s="32"/>
      <c r="X20" s="32"/>
      <c r="Y20" s="32"/>
      <c r="Z20" s="32"/>
    </row>
    <row r="21">
      <c r="A21" s="32" t="str">
        <f>IFERROR(__xludf.DUMMYFUNCTION("""COMPUTED_VALUE"""),"Ashen Pole Axe")</f>
        <v>Ashen Pole Axe</v>
      </c>
      <c r="B21" s="32"/>
      <c r="C21" s="32" t="str">
        <f>IFERROR(__xludf.DUMMYFUNCTION("""COMPUTED_VALUE"""),"Axe")</f>
        <v>Axe</v>
      </c>
      <c r="D21" s="32" t="str">
        <f>IFERROR(__xludf.DUMMYFUNCTION("""COMPUTED_VALUE"""),"Hand")</f>
        <v>Hand</v>
      </c>
      <c r="E21" s="32">
        <f>IFERROR(__xludf.DUMMYFUNCTION("""COMPUTED_VALUE"""),20.0)</f>
        <v>20</v>
      </c>
      <c r="F21" s="32" t="str">
        <f>IFERROR(__xludf.DUMMYFUNCTION("""COMPUTED_VALUE"""),"DMG: +500, Fire DMG: +500 ++Inflicts Burn 500")</f>
        <v>DMG: +500, Fire DMG: +500 ++Inflicts Burn 500</v>
      </c>
      <c r="G21" s="32">
        <f>IFERROR(__xludf.DUMMYFUNCTION("""COMPUTED_VALUE"""),10000.0)</f>
        <v>10000</v>
      </c>
      <c r="H21" s="32"/>
      <c r="I21" s="32"/>
      <c r="J21" s="32"/>
      <c r="K21" s="32"/>
      <c r="L21" s="32"/>
      <c r="M21" s="32"/>
      <c r="N21" s="32"/>
      <c r="O21" s="32"/>
      <c r="P21" s="32"/>
      <c r="Q21" s="32"/>
      <c r="R21" s="32"/>
      <c r="S21" s="32"/>
      <c r="T21" s="32"/>
      <c r="U21" s="32"/>
      <c r="V21" s="32"/>
      <c r="W21" s="32"/>
      <c r="X21" s="32"/>
      <c r="Y21" s="32"/>
      <c r="Z21" s="32"/>
    </row>
    <row r="22">
      <c r="A22" s="32" t="str">
        <f>IFERROR(__xludf.DUMMYFUNCTION("""COMPUTED_VALUE"""),"Bamboo Spear")</f>
        <v>Bamboo Spear</v>
      </c>
      <c r="B22" s="32"/>
      <c r="C22" s="32" t="str">
        <f>IFERROR(__xludf.DUMMYFUNCTION("""COMPUTED_VALUE"""),"Spear")</f>
        <v>Spear</v>
      </c>
      <c r="D22" s="32" t="str">
        <f>IFERROR(__xludf.DUMMYFUNCTION("""COMPUTED_VALUE"""),"Hand")</f>
        <v>Hand</v>
      </c>
      <c r="E22" s="32">
        <f>IFERROR(__xludf.DUMMYFUNCTION("""COMPUTED_VALUE"""),60.0)</f>
        <v>60</v>
      </c>
      <c r="F22" s="3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32">
        <f>IFERROR(__xludf.DUMMYFUNCTION("""COMPUTED_VALUE"""),150000.0)</f>
        <v>150000</v>
      </c>
      <c r="H22" s="32"/>
      <c r="I22" s="32"/>
      <c r="J22" s="32"/>
      <c r="K22" s="32"/>
      <c r="L22" s="32"/>
      <c r="M22" s="32"/>
      <c r="N22" s="32"/>
      <c r="O22" s="32"/>
      <c r="P22" s="32"/>
      <c r="Q22" s="32"/>
      <c r="R22" s="32"/>
      <c r="S22" s="32"/>
      <c r="T22" s="32"/>
      <c r="U22" s="32"/>
      <c r="V22" s="32"/>
      <c r="W22" s="32"/>
      <c r="X22" s="32"/>
      <c r="Y22" s="32"/>
      <c r="Z22" s="32"/>
    </row>
    <row r="23">
      <c r="A23" s="32" t="str">
        <f>IFERROR(__xludf.DUMMYFUNCTION("""COMPUTED_VALUE"""),"Baosheng’s Restore Pendant")</f>
        <v>Baosheng’s Restore Pendant</v>
      </c>
      <c r="B23" s="32"/>
      <c r="C23" s="32"/>
      <c r="D23" s="32" t="str">
        <f>IFERROR(__xludf.DUMMYFUNCTION("""COMPUTED_VALUE"""),"Neck")</f>
        <v>Neck</v>
      </c>
      <c r="E23" s="32">
        <f>IFERROR(__xludf.DUMMYFUNCTION("""COMPUTED_VALUE"""),1.0)</f>
        <v>1</v>
      </c>
      <c r="F23" s="32" t="str">
        <f>IFERROR(__xludf.DUMMYFUNCTION("""COMPUTED_VALUE""")," ++Restores 100 HP and SP per round during battle.")</f>
        <v> ++Restores 100 HP and SP per round during battle.</v>
      </c>
      <c r="G23" s="32">
        <f>IFERROR(__xludf.DUMMYFUNCTION("""COMPUTED_VALUE"""),0.0)</f>
        <v>0</v>
      </c>
      <c r="H23" s="32"/>
      <c r="I23" s="32"/>
      <c r="J23" s="32"/>
      <c r="K23" s="32"/>
      <c r="L23" s="32"/>
      <c r="M23" s="32"/>
      <c r="N23" s="32"/>
      <c r="O23" s="32"/>
      <c r="P23" s="32"/>
      <c r="Q23" s="32"/>
      <c r="R23" s="32"/>
      <c r="S23" s="32"/>
      <c r="T23" s="32"/>
      <c r="U23" s="32"/>
      <c r="V23" s="32"/>
      <c r="W23" s="32"/>
      <c r="X23" s="32"/>
      <c r="Y23" s="32"/>
      <c r="Z23" s="32"/>
    </row>
    <row r="24">
      <c r="A24" s="32" t="str">
        <f>IFERROR(__xludf.DUMMYFUNCTION("""COMPUTED_VALUE"""),"Basic Cannon")</f>
        <v>Basic Cannon</v>
      </c>
      <c r="B24" s="32"/>
      <c r="C24" s="32" t="str">
        <f>IFERROR(__xludf.DUMMYFUNCTION("""COMPUTED_VALUE"""),"Firearm")</f>
        <v>Firearm</v>
      </c>
      <c r="D24" s="32" t="str">
        <f>IFERROR(__xludf.DUMMYFUNCTION("""COMPUTED_VALUE"""),"BoatGun")</f>
        <v>BoatGun</v>
      </c>
      <c r="E24" s="32">
        <f>IFERROR(__xludf.DUMMYFUNCTION("""COMPUTED_VALUE"""),400.0)</f>
        <v>400</v>
      </c>
      <c r="F24" s="32" t="str">
        <f>IFERROR(__xludf.DUMMYFUNCTION("""COMPUTED_VALUE"""),"DMG: +20000")</f>
        <v>DMG: +20000</v>
      </c>
      <c r="G24" s="32">
        <f>IFERROR(__xludf.DUMMYFUNCTION("""COMPUTED_VALUE"""),7800000.0)</f>
        <v>7800000</v>
      </c>
      <c r="H24" s="32"/>
      <c r="I24" s="32"/>
      <c r="J24" s="32"/>
      <c r="K24" s="32"/>
      <c r="L24" s="32"/>
      <c r="M24" s="32"/>
      <c r="N24" s="32"/>
      <c r="O24" s="32"/>
      <c r="P24" s="32"/>
      <c r="Q24" s="32"/>
      <c r="R24" s="32"/>
      <c r="S24" s="32"/>
      <c r="T24" s="32"/>
      <c r="U24" s="32"/>
      <c r="V24" s="32"/>
      <c r="W24" s="32"/>
      <c r="X24" s="32"/>
      <c r="Y24" s="32"/>
      <c r="Z24" s="32"/>
    </row>
    <row r="25">
      <c r="A25" s="32" t="str">
        <f>IFERROR(__xludf.DUMMYFUNCTION("""COMPUTED_VALUE"""),"Beltane Floral crown")</f>
        <v>Beltane Floral crown</v>
      </c>
      <c r="B25" s="32"/>
      <c r="C25" s="32"/>
      <c r="D25" s="32" t="str">
        <f>IFERROR(__xludf.DUMMYFUNCTION("""COMPUTED_VALUE"""),"Head")</f>
        <v>Head</v>
      </c>
      <c r="E25" s="32">
        <f>IFERROR(__xludf.DUMMYFUNCTION("""COMPUTED_VALUE"""),1.0)</f>
        <v>1</v>
      </c>
      <c r="F25" s="32" t="str">
        <f>IFERROR(__xludf.DUMMYFUNCTION("""COMPUTED_VALUE""")," ++Grants immunity to Nature.")</f>
        <v> ++Grants immunity to Nature.</v>
      </c>
      <c r="G25" s="32">
        <f>IFERROR(__xludf.DUMMYFUNCTION("""COMPUTED_VALUE"""),0.0)</f>
        <v>0</v>
      </c>
      <c r="H25" s="32"/>
      <c r="I25" s="32"/>
      <c r="J25" s="32"/>
      <c r="K25" s="32"/>
      <c r="L25" s="32"/>
      <c r="M25" s="32"/>
      <c r="N25" s="32"/>
      <c r="O25" s="32"/>
      <c r="P25" s="32"/>
      <c r="Q25" s="32"/>
      <c r="R25" s="32"/>
      <c r="S25" s="32"/>
      <c r="T25" s="32"/>
      <c r="U25" s="32"/>
      <c r="V25" s="32"/>
      <c r="W25" s="32"/>
      <c r="X25" s="32"/>
      <c r="Y25" s="32"/>
      <c r="Z25" s="32"/>
    </row>
    <row r="26">
      <c r="A26" s="32" t="str">
        <f>IFERROR(__xludf.DUMMYFUNCTION("""COMPUTED_VALUE"""),"Beta Sword")</f>
        <v>Beta Sword</v>
      </c>
      <c r="B26" s="32"/>
      <c r="C26" s="32"/>
      <c r="D26" s="32" t="str">
        <f>IFERROR(__xludf.DUMMYFUNCTION("""COMPUTED_VALUE"""),"Hand")</f>
        <v>Hand</v>
      </c>
      <c r="E26" s="32">
        <f>IFERROR(__xludf.DUMMYFUNCTION("""COMPUTED_VALUE"""),3000.0)</f>
        <v>3000</v>
      </c>
      <c r="F26" s="32" t="str">
        <f>IFERROR(__xludf.DUMMYFUNCTION("""COMPUTED_VALUE"""),"DMG: +125000, Dark DMG: +25000 ++Allows you to use another party members companion on your turn as a second action.")</f>
        <v>DMG: +125000, Dark DMG: +25000 ++Allows you to use another party members companion on your turn as a second action.</v>
      </c>
      <c r="G26" s="32">
        <f>IFERROR(__xludf.DUMMYFUNCTION("""COMPUTED_VALUE"""),4.485E8)</f>
        <v>448500000</v>
      </c>
      <c r="H26" s="32"/>
      <c r="I26" s="32"/>
      <c r="J26" s="32"/>
      <c r="K26" s="32"/>
      <c r="L26" s="32"/>
      <c r="M26" s="32"/>
      <c r="N26" s="32"/>
      <c r="O26" s="32"/>
      <c r="P26" s="32"/>
      <c r="Q26" s="32"/>
      <c r="R26" s="32"/>
      <c r="S26" s="32"/>
      <c r="T26" s="32"/>
      <c r="U26" s="32"/>
      <c r="V26" s="32"/>
      <c r="W26" s="32"/>
      <c r="X26" s="32"/>
      <c r="Y26" s="32"/>
      <c r="Z26" s="32"/>
    </row>
    <row r="27">
      <c r="A27" s="32" t="str">
        <f>IFERROR(__xludf.DUMMYFUNCTION("""COMPUTED_VALUE"""),"Black Crystal Necklace of Luck")</f>
        <v>Black Crystal Necklace of Luck</v>
      </c>
      <c r="B27" s="32"/>
      <c r="C27" s="32"/>
      <c r="D27" s="32" t="str">
        <f>IFERROR(__xludf.DUMMYFUNCTION("""COMPUTED_VALUE"""),"Neck")</f>
        <v>Neck</v>
      </c>
      <c r="E27" s="32">
        <f>IFERROR(__xludf.DUMMYFUNCTION("""COMPUTED_VALUE"""),1.0)</f>
        <v>1</v>
      </c>
      <c r="F27" s="32" t="str">
        <f>IFERROR(__xludf.DUMMYFUNCTION("""COMPUTED_VALUE""")," ++Plus 2 is added to whatever number you roll on a d20 ++can only wear one, +-Cannot be forged or duplicated.")</f>
        <v> ++Plus 2 is added to whatever number you roll on a d20 ++can only wear one, +-Cannot be forged or duplicated.</v>
      </c>
      <c r="G27" s="32">
        <f>IFERROR(__xludf.DUMMYFUNCTION("""COMPUTED_VALUE"""),0.0)</f>
        <v>0</v>
      </c>
      <c r="H27" s="32"/>
      <c r="I27" s="32"/>
      <c r="J27" s="32"/>
      <c r="K27" s="32"/>
      <c r="L27" s="32"/>
      <c r="M27" s="32"/>
      <c r="N27" s="32"/>
      <c r="O27" s="32"/>
      <c r="P27" s="32"/>
      <c r="Q27" s="32"/>
      <c r="R27" s="32"/>
      <c r="S27" s="32"/>
      <c r="T27" s="32"/>
      <c r="U27" s="32"/>
      <c r="V27" s="32"/>
      <c r="W27" s="32"/>
      <c r="X27" s="32"/>
      <c r="Y27" s="32"/>
      <c r="Z27" s="32"/>
    </row>
    <row r="28">
      <c r="A28" s="32" t="str">
        <f>IFERROR(__xludf.DUMMYFUNCTION("""COMPUTED_VALUE"""),"Black Serpent Dragon Pendant")</f>
        <v>Black Serpent Dragon Pendant</v>
      </c>
      <c r="B28" s="32"/>
      <c r="C28" s="32"/>
      <c r="D28" s="32" t="str">
        <f>IFERROR(__xludf.DUMMYFUNCTION("""COMPUTED_VALUE"""),"Neck")</f>
        <v>Neck</v>
      </c>
      <c r="E28" s="32">
        <f>IFERROR(__xludf.DUMMYFUNCTION("""COMPUTED_VALUE"""),1.0)</f>
        <v>1</v>
      </c>
      <c r="F28" s="32" t="str">
        <f>IFERROR(__xludf.DUMMYFUNCTION("""COMPUTED_VALUE""")," ++Immunity to dark and water damage. ++X2 additional dark and water damage for the wearer.")</f>
        <v> ++Immunity to dark and water damage. ++X2 additional dark and water damage for the wearer.</v>
      </c>
      <c r="G28" s="32">
        <f>IFERROR(__xludf.DUMMYFUNCTION("""COMPUTED_VALUE"""),0.0)</f>
        <v>0</v>
      </c>
      <c r="H28" s="32"/>
      <c r="I28" s="32"/>
      <c r="J28" s="32"/>
      <c r="K28" s="32"/>
      <c r="L28" s="32"/>
      <c r="M28" s="32"/>
      <c r="N28" s="32"/>
      <c r="O28" s="32"/>
      <c r="P28" s="32"/>
      <c r="Q28" s="32"/>
      <c r="R28" s="32"/>
      <c r="S28" s="32"/>
      <c r="T28" s="32"/>
      <c r="U28" s="32"/>
      <c r="V28" s="32"/>
      <c r="W28" s="32"/>
      <c r="X28" s="32"/>
      <c r="Y28" s="32"/>
      <c r="Z28" s="32"/>
    </row>
    <row r="29">
      <c r="A29" s="32" t="str">
        <f>IFERROR(__xludf.DUMMYFUNCTION("""COMPUTED_VALUE"""),"Blade of Burning Energy")</f>
        <v>Blade of Burning Energy</v>
      </c>
      <c r="B29" s="32"/>
      <c r="C29" s="32" t="str">
        <f>IFERROR(__xludf.DUMMYFUNCTION("""COMPUTED_VALUE"""),"Sword")</f>
        <v>Sword</v>
      </c>
      <c r="D29" s="32" t="str">
        <f>IFERROR(__xludf.DUMMYFUNCTION("""COMPUTED_VALUE"""),"Hand")</f>
        <v>Hand</v>
      </c>
      <c r="E29" s="32">
        <f>IFERROR(__xludf.DUMMYFUNCTION("""COMPUTED_VALUE"""),400.0)</f>
        <v>400</v>
      </c>
      <c r="F29" s="32" t="str">
        <f>IFERROR(__xludf.DUMMYFUNCTION("""COMPUTED_VALUE"""),"DMG: +10000, Fire DMG: +10000 ++Burn 5000")</f>
        <v>DMG: +10000, Fire DMG: +10000 ++Burn 5000</v>
      </c>
      <c r="G29" s="32">
        <f>IFERROR(__xludf.DUMMYFUNCTION("""COMPUTED_VALUE"""),7800000.0)</f>
        <v>7800000</v>
      </c>
      <c r="H29" s="32"/>
      <c r="I29" s="32"/>
      <c r="J29" s="32"/>
      <c r="K29" s="32"/>
      <c r="L29" s="32"/>
      <c r="M29" s="32"/>
      <c r="N29" s="32"/>
      <c r="O29" s="32"/>
      <c r="P29" s="32"/>
      <c r="Q29" s="32"/>
      <c r="R29" s="32"/>
      <c r="S29" s="32"/>
      <c r="T29" s="32"/>
      <c r="U29" s="32"/>
      <c r="V29" s="32"/>
      <c r="W29" s="32"/>
      <c r="X29" s="32"/>
      <c r="Y29" s="32"/>
      <c r="Z29" s="32"/>
    </row>
    <row r="30">
      <c r="A30" s="32" t="str">
        <f>IFERROR(__xludf.DUMMYFUNCTION("""COMPUTED_VALUE"""),"Blood Katana")</f>
        <v>Blood Katana</v>
      </c>
      <c r="B30" s="32"/>
      <c r="C30" s="32" t="str">
        <f>IFERROR(__xludf.DUMMYFUNCTION("""COMPUTED_VALUE"""),"Sword")</f>
        <v>Sword</v>
      </c>
      <c r="D30" s="32" t="str">
        <f>IFERROR(__xludf.DUMMYFUNCTION("""COMPUTED_VALUE"""),"Hand")</f>
        <v>Hand</v>
      </c>
      <c r="E30" s="32">
        <f>IFERROR(__xludf.DUMMYFUNCTION("""COMPUTED_VALUE"""),400.0)</f>
        <v>400</v>
      </c>
      <c r="F30" s="32" t="str">
        <f>IFERROR(__xludf.DUMMYFUNCTION("""COMPUTED_VALUE"""),"DMG: +10000, Blood DMG: +10000 ++X2 blood damage for spells and weapons. +-Cannot be duplicated.")</f>
        <v>DMG: +10000, Blood DMG: +10000 ++X2 blood damage for spells and weapons. +-Cannot be duplicated.</v>
      </c>
      <c r="G30" s="32">
        <f>IFERROR(__xludf.DUMMYFUNCTION("""COMPUTED_VALUE"""),7800000.0)</f>
        <v>7800000</v>
      </c>
      <c r="H30" s="32"/>
      <c r="I30" s="32"/>
      <c r="J30" s="32"/>
      <c r="K30" s="32"/>
      <c r="L30" s="32"/>
      <c r="M30" s="32"/>
      <c r="N30" s="32"/>
      <c r="O30" s="32"/>
      <c r="P30" s="32"/>
      <c r="Q30" s="32"/>
      <c r="R30" s="32"/>
      <c r="S30" s="32"/>
      <c r="T30" s="32"/>
      <c r="U30" s="32"/>
      <c r="V30" s="32"/>
      <c r="W30" s="32"/>
      <c r="X30" s="32"/>
      <c r="Y30" s="32"/>
      <c r="Z30" s="32"/>
    </row>
    <row r="31">
      <c r="A31" s="32" t="str">
        <f>IFERROR(__xludf.DUMMYFUNCTION("""COMPUTED_VALUE"""),"Blue Steel Sword")</f>
        <v>Blue Steel Sword</v>
      </c>
      <c r="B31" s="32"/>
      <c r="C31" s="32" t="str">
        <f>IFERROR(__xludf.DUMMYFUNCTION("""COMPUTED_VALUE"""),"Sword")</f>
        <v>Sword</v>
      </c>
      <c r="D31" s="32" t="str">
        <f>IFERROR(__xludf.DUMMYFUNCTION("""COMPUTED_VALUE"""),"Hand")</f>
        <v>Hand</v>
      </c>
      <c r="E31" s="32">
        <f>IFERROR(__xludf.DUMMYFUNCTION("""COMPUTED_VALUE"""),40.0)</f>
        <v>40</v>
      </c>
      <c r="F31" s="32" t="str">
        <f>IFERROR(__xludf.DUMMYFUNCTION("""COMPUTED_VALUE"""),"DMG: +1000, Water DMG: +1000")</f>
        <v>DMG: +1000, Water DMG: +1000</v>
      </c>
      <c r="G31" s="32">
        <f>IFERROR(__xludf.DUMMYFUNCTION("""COMPUTED_VALUE"""),60000.0)</f>
        <v>60000</v>
      </c>
      <c r="H31" s="32"/>
      <c r="I31" s="32"/>
      <c r="J31" s="32"/>
      <c r="K31" s="32"/>
      <c r="L31" s="32"/>
      <c r="M31" s="32"/>
      <c r="N31" s="32"/>
      <c r="O31" s="32"/>
      <c r="P31" s="32"/>
      <c r="Q31" s="32"/>
      <c r="R31" s="32"/>
      <c r="S31" s="32"/>
      <c r="T31" s="32"/>
      <c r="U31" s="32"/>
      <c r="V31" s="32"/>
      <c r="W31" s="32"/>
      <c r="X31" s="32"/>
      <c r="Y31" s="32"/>
      <c r="Z31" s="32"/>
    </row>
    <row r="32">
      <c r="A32" s="32" t="str">
        <f>IFERROR(__xludf.DUMMYFUNCTION("""COMPUTED_VALUE"""),"Blunderbuss (Exclusive)")</f>
        <v>Blunderbuss (Exclusive)</v>
      </c>
      <c r="B32" s="3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32" t="str">
        <f>IFERROR(__xludf.DUMMYFUNCTION("""COMPUTED_VALUE"""),"Firearm")</f>
        <v>Firearm</v>
      </c>
      <c r="D32" s="32" t="str">
        <f>IFERROR(__xludf.DUMMYFUNCTION("""COMPUTED_VALUE"""),"Hand")</f>
        <v>Hand</v>
      </c>
      <c r="E32" s="32">
        <f>IFERROR(__xludf.DUMMYFUNCTION("""COMPUTED_VALUE"""),200.0)</f>
        <v>200</v>
      </c>
      <c r="F32" s="3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32">
        <f>IFERROR(__xludf.DUMMYFUNCTION("""COMPUTED_VALUE"""),1.99E8)</f>
        <v>199000000</v>
      </c>
      <c r="H32" s="32"/>
      <c r="I32" s="32"/>
      <c r="J32" s="32"/>
      <c r="K32" s="32"/>
      <c r="L32" s="32"/>
      <c r="M32" s="32"/>
      <c r="N32" s="32"/>
      <c r="O32" s="32"/>
      <c r="P32" s="32"/>
      <c r="Q32" s="32"/>
      <c r="R32" s="32"/>
      <c r="S32" s="32"/>
      <c r="T32" s="32"/>
      <c r="U32" s="32"/>
      <c r="V32" s="32"/>
      <c r="W32" s="32"/>
      <c r="X32" s="32"/>
      <c r="Y32" s="32"/>
      <c r="Z32" s="32"/>
    </row>
    <row r="33">
      <c r="A33" s="32" t="str">
        <f>IFERROR(__xludf.DUMMYFUNCTION("""COMPUTED_VALUE"""),"Bone Sword ")</f>
        <v>Bone Sword </v>
      </c>
      <c r="B33" s="32"/>
      <c r="C33" s="32" t="str">
        <f>IFERROR(__xludf.DUMMYFUNCTION("""COMPUTED_VALUE"""),"Sword")</f>
        <v>Sword</v>
      </c>
      <c r="D33" s="32" t="str">
        <f>IFERROR(__xludf.DUMMYFUNCTION("""COMPUTED_VALUE"""),"Hand")</f>
        <v>Hand</v>
      </c>
      <c r="E33" s="32">
        <f>IFERROR(__xludf.DUMMYFUNCTION("""COMPUTED_VALUE"""),300.0)</f>
        <v>300</v>
      </c>
      <c r="F33" s="32" t="str">
        <f>IFERROR(__xludf.DUMMYFUNCTION("""COMPUTED_VALUE"""),"DMG: +5000, Earth DMG: +5000, Dark DMG: +5000 ++X2 Earth damage. ")</f>
        <v>DMG: +5000, Earth DMG: +5000, Dark DMG: +5000 ++X2 Earth damage. </v>
      </c>
      <c r="G33" s="32">
        <f>IFERROR(__xludf.DUMMYFUNCTION("""COMPUTED_VALUE"""),4350000.0)</f>
        <v>4350000</v>
      </c>
      <c r="H33" s="32"/>
      <c r="I33" s="32"/>
      <c r="J33" s="32"/>
      <c r="K33" s="32"/>
      <c r="L33" s="32"/>
      <c r="M33" s="32"/>
      <c r="N33" s="32"/>
      <c r="O33" s="32"/>
      <c r="P33" s="32"/>
      <c r="Q33" s="32"/>
      <c r="R33" s="32"/>
      <c r="S33" s="32"/>
      <c r="T33" s="32"/>
      <c r="U33" s="32"/>
      <c r="V33" s="32"/>
      <c r="W33" s="32"/>
      <c r="X33" s="32"/>
      <c r="Y33" s="32"/>
      <c r="Z33" s="32"/>
    </row>
    <row r="34">
      <c r="A34" s="32" t="str">
        <f>IFERROR(__xludf.DUMMYFUNCTION("""COMPUTED_VALUE"""),"Boots of Waking Waters")</f>
        <v>Boots of Waking Waters</v>
      </c>
      <c r="B34" s="32"/>
      <c r="C34" s="32"/>
      <c r="D34" s="32" t="str">
        <f>IFERROR(__xludf.DUMMYFUNCTION("""COMPUTED_VALUE"""),"Feet")</f>
        <v>Feet</v>
      </c>
      <c r="E34" s="32">
        <f>IFERROR(__xludf.DUMMYFUNCTION("""COMPUTED_VALUE"""),200.0)</f>
        <v>200</v>
      </c>
      <c r="F34" s="32" t="str">
        <f>IFERROR(__xludf.DUMMYFUNCTION("""COMPUTED_VALUE"""),"DEF: +5000, Water DEF: +5000 ++X4 additional water damage for self.")</f>
        <v>DEF: +5000, Water DEF: +5000 ++X4 additional water damage for self.</v>
      </c>
      <c r="G34" s="32">
        <f>IFERROR(__xludf.DUMMYFUNCTION("""COMPUTED_VALUE"""),1900000.0)</f>
        <v>1900000</v>
      </c>
      <c r="H34" s="32"/>
      <c r="I34" s="32"/>
      <c r="J34" s="32"/>
      <c r="K34" s="32"/>
      <c r="L34" s="32"/>
      <c r="M34" s="32"/>
      <c r="N34" s="32"/>
      <c r="O34" s="32"/>
      <c r="P34" s="32"/>
      <c r="Q34" s="32"/>
      <c r="R34" s="32"/>
      <c r="S34" s="32"/>
      <c r="T34" s="32"/>
      <c r="U34" s="32"/>
      <c r="V34" s="32"/>
      <c r="W34" s="32"/>
      <c r="X34" s="32"/>
      <c r="Y34" s="32"/>
      <c r="Z34" s="32"/>
    </row>
    <row r="35">
      <c r="A35" s="32" t="str">
        <f>IFERROR(__xludf.DUMMYFUNCTION("""COMPUTED_VALUE"""),"Bow of Chaotic Darkness")</f>
        <v>Bow of Chaotic Darkness</v>
      </c>
      <c r="B35" s="32"/>
      <c r="C35" s="32" t="str">
        <f>IFERROR(__xludf.DUMMYFUNCTION("""COMPUTED_VALUE"""),"Bow")</f>
        <v>Bow</v>
      </c>
      <c r="D35" s="32" t="str">
        <f>IFERROR(__xludf.DUMMYFUNCTION("""COMPUTED_VALUE"""),"Hand")</f>
        <v>Hand</v>
      </c>
      <c r="E35" s="32">
        <f>IFERROR(__xludf.DUMMYFUNCTION("""COMPUTED_VALUE"""),4400.0)</f>
        <v>4400</v>
      </c>
      <c r="F35" s="32" t="str">
        <f>IFERROR(__xludf.DUMMYFUNCTION("""COMPUTED_VALUE"""),"DMG: +140000, Dark DMG: +40000, Chaos DMG: +40000 ++You may use up to 4 arrows with this bow.")</f>
        <v>DMG: +140000, Dark DMG: +40000, Chaos DMG: +40000 ++You may use up to 4 arrows with this bow.</v>
      </c>
      <c r="G35" s="32">
        <f>IFERROR(__xludf.DUMMYFUNCTION("""COMPUTED_VALUE"""),9.658E8)</f>
        <v>965800000</v>
      </c>
      <c r="H35" s="32"/>
      <c r="I35" s="32"/>
      <c r="J35" s="32"/>
      <c r="K35" s="32"/>
      <c r="L35" s="32"/>
      <c r="M35" s="32"/>
      <c r="N35" s="32"/>
      <c r="O35" s="32"/>
      <c r="P35" s="32"/>
      <c r="Q35" s="32"/>
      <c r="R35" s="32"/>
      <c r="S35" s="32"/>
      <c r="T35" s="32"/>
      <c r="U35" s="32"/>
      <c r="V35" s="32"/>
      <c r="W35" s="32"/>
      <c r="X35" s="32"/>
      <c r="Y35" s="32"/>
      <c r="Z35" s="32"/>
    </row>
    <row r="36">
      <c r="A36" s="32" t="str">
        <f>IFERROR(__xludf.DUMMYFUNCTION("""COMPUTED_VALUE"""),"Bow of Luck")</f>
        <v>Bow of Luck</v>
      </c>
      <c r="B36" s="32"/>
      <c r="C36" s="32" t="str">
        <f>IFERROR(__xludf.DUMMYFUNCTION("""COMPUTED_VALUE"""),"Bow")</f>
        <v>Bow</v>
      </c>
      <c r="D36" s="32" t="str">
        <f>IFERROR(__xludf.DUMMYFUNCTION("""COMPUTED_VALUE"""),"Hand")</f>
        <v>Hand</v>
      </c>
      <c r="E36" s="32">
        <f>IFERROR(__xludf.DUMMYFUNCTION("""COMPUTED_VALUE"""),3000.0)</f>
        <v>3000</v>
      </c>
      <c r="F36" s="3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32">
        <f>IFERROR(__xludf.DUMMYFUNCTION("""COMPUTED_VALUE"""),4.485E8)</f>
        <v>448500000</v>
      </c>
      <c r="H36" s="32"/>
      <c r="I36" s="32"/>
      <c r="J36" s="32"/>
      <c r="K36" s="32"/>
      <c r="L36" s="32"/>
      <c r="M36" s="32"/>
      <c r="N36" s="32"/>
      <c r="O36" s="32"/>
      <c r="P36" s="32"/>
      <c r="Q36" s="32"/>
      <c r="R36" s="32"/>
      <c r="S36" s="32"/>
      <c r="T36" s="32"/>
      <c r="U36" s="32"/>
      <c r="V36" s="32"/>
      <c r="W36" s="32"/>
      <c r="X36" s="32"/>
      <c r="Y36" s="32"/>
      <c r="Z36" s="32"/>
    </row>
    <row r="37">
      <c r="A37" s="32" t="str">
        <f>IFERROR(__xludf.DUMMYFUNCTION("""COMPUTED_VALUE"""),"Bow of The Sacred Druids")</f>
        <v>Bow of The Sacred Druids</v>
      </c>
      <c r="B37" s="32"/>
      <c r="C37" s="32" t="str">
        <f>IFERROR(__xludf.DUMMYFUNCTION("""COMPUTED_VALUE"""),"Bow")</f>
        <v>Bow</v>
      </c>
      <c r="D37" s="32" t="str">
        <f>IFERROR(__xludf.DUMMYFUNCTION("""COMPUTED_VALUE"""),"Hand")</f>
        <v>Hand</v>
      </c>
      <c r="E37" s="32">
        <f>IFERROR(__xludf.DUMMYFUNCTION("""COMPUTED_VALUE"""),200.0)</f>
        <v>200</v>
      </c>
      <c r="F37" s="32" t="str">
        <f>IFERROR(__xludf.DUMMYFUNCTION("""COMPUTED_VALUE"""),"DMG: +5000, Nature DMG: +5000 ++Druids Call - X4 additional damage for ranged weapons.")</f>
        <v>DMG: +5000, Nature DMG: +5000 ++Druids Call - X4 additional damage for ranged weapons.</v>
      </c>
      <c r="G37" s="32">
        <f>IFERROR(__xludf.DUMMYFUNCTION("""COMPUTED_VALUE"""),1900000.0)</f>
        <v>1900000</v>
      </c>
      <c r="H37" s="32"/>
      <c r="I37" s="32"/>
      <c r="J37" s="32"/>
      <c r="K37" s="32"/>
      <c r="L37" s="32"/>
      <c r="M37" s="32"/>
      <c r="N37" s="32"/>
      <c r="O37" s="32"/>
      <c r="P37" s="32"/>
      <c r="Q37" s="32"/>
      <c r="R37" s="32"/>
      <c r="S37" s="32"/>
      <c r="T37" s="32"/>
      <c r="U37" s="32"/>
      <c r="V37" s="32"/>
      <c r="W37" s="32"/>
      <c r="X37" s="32"/>
      <c r="Y37" s="32"/>
      <c r="Z37" s="32"/>
    </row>
    <row r="38">
      <c r="A38" s="32" t="str">
        <f>IFERROR(__xludf.DUMMYFUNCTION("""COMPUTED_VALUE"""),"Bo Staff Of Zhenmay")</f>
        <v>Bo Staff Of Zhenmay</v>
      </c>
      <c r="B38" s="32"/>
      <c r="C38" s="32" t="str">
        <f>IFERROR(__xludf.DUMMYFUNCTION("""COMPUTED_VALUE"""),"Club")</f>
        <v>Club</v>
      </c>
      <c r="D38" s="32" t="str">
        <f>IFERROR(__xludf.DUMMYFUNCTION("""COMPUTED_VALUE"""),"Hand")</f>
        <v>Hand</v>
      </c>
      <c r="E38" s="32">
        <f>IFERROR(__xludf.DUMMYFUNCTION("""COMPUTED_VALUE"""),3000.0)</f>
        <v>3000</v>
      </c>
      <c r="F38" s="32" t="str">
        <f>IFERROR(__xludf.DUMMYFUNCTION("""COMPUTED_VALUE"""),"DMG: +100000, Zen DMG: +50000 ++Blindness 2. ")</f>
        <v>DMG: +100000, Zen DMG: +50000 ++Blindness 2. </v>
      </c>
      <c r="G38" s="32">
        <f>IFERROR(__xludf.DUMMYFUNCTION("""COMPUTED_VALUE"""),4.485E8)</f>
        <v>448500000</v>
      </c>
      <c r="H38" s="32"/>
      <c r="I38" s="32"/>
      <c r="J38" s="32"/>
      <c r="K38" s="32"/>
      <c r="L38" s="32"/>
      <c r="M38" s="32"/>
      <c r="N38" s="32"/>
      <c r="O38" s="32"/>
      <c r="P38" s="32"/>
      <c r="Q38" s="32"/>
      <c r="R38" s="32"/>
      <c r="S38" s="32"/>
      <c r="T38" s="32"/>
      <c r="U38" s="32"/>
      <c r="V38" s="32"/>
      <c r="W38" s="32"/>
      <c r="X38" s="32"/>
      <c r="Y38" s="32"/>
      <c r="Z38" s="32"/>
    </row>
    <row r="39">
      <c r="A39" s="32" t="str">
        <f>IFERROR(__xludf.DUMMYFUNCTION("""COMPUTED_VALUE"""),"Breezy Clothes")</f>
        <v>Breezy Clothes</v>
      </c>
      <c r="B39" s="32"/>
      <c r="C39" s="32"/>
      <c r="D39" s="32" t="str">
        <f>IFERROR(__xludf.DUMMYFUNCTION("""COMPUTED_VALUE"""),"Torso")</f>
        <v>Torso</v>
      </c>
      <c r="E39" s="32">
        <f>IFERROR(__xludf.DUMMYFUNCTION("""COMPUTED_VALUE"""),1.0)</f>
        <v>1</v>
      </c>
      <c r="F39" s="32" t="str">
        <f>IFERROR(__xludf.DUMMYFUNCTION("""COMPUTED_VALUE""")," ++While equipped, Take half damage from fire damage, But decrease water damage you deal by half. ")</f>
        <v> ++While equipped, Take half damage from fire damage, But decrease water damage you deal by half. </v>
      </c>
      <c r="G39" s="32">
        <f>IFERROR(__xludf.DUMMYFUNCTION("""COMPUTED_VALUE"""),0.0)</f>
        <v>0</v>
      </c>
      <c r="H39" s="32"/>
      <c r="I39" s="32"/>
      <c r="J39" s="32"/>
      <c r="K39" s="32"/>
      <c r="L39" s="32"/>
      <c r="M39" s="32"/>
      <c r="N39" s="32"/>
      <c r="O39" s="32"/>
      <c r="P39" s="32"/>
      <c r="Q39" s="32"/>
      <c r="R39" s="32"/>
      <c r="S39" s="32"/>
      <c r="T39" s="32"/>
      <c r="U39" s="32"/>
      <c r="V39" s="32"/>
      <c r="W39" s="32"/>
      <c r="X39" s="32"/>
      <c r="Y39" s="32"/>
      <c r="Z39" s="32"/>
    </row>
    <row r="40">
      <c r="A40" s="32" t="str">
        <f>IFERROR(__xludf.DUMMYFUNCTION("""COMPUTED_VALUE"""),"Bright Flame Sword")</f>
        <v>Bright Flame Sword</v>
      </c>
      <c r="B40" s="32"/>
      <c r="C40" s="32" t="str">
        <f>IFERROR(__xludf.DUMMYFUNCTION("""COMPUTED_VALUE"""),"Sword")</f>
        <v>Sword</v>
      </c>
      <c r="D40" s="32" t="str">
        <f>IFERROR(__xludf.DUMMYFUNCTION("""COMPUTED_VALUE"""),"Hand")</f>
        <v>Hand</v>
      </c>
      <c r="E40" s="32">
        <f>IFERROR(__xludf.DUMMYFUNCTION("""COMPUTED_VALUE"""),300.0)</f>
        <v>300</v>
      </c>
      <c r="F40" s="32" t="str">
        <f>IFERROR(__xludf.DUMMYFUNCTION("""COMPUTED_VALUE"""),"DMG: +10000, Fire DMG: +5000")</f>
        <v>DMG: +10000, Fire DMG: +5000</v>
      </c>
      <c r="G40" s="32">
        <f>IFERROR(__xludf.DUMMYFUNCTION("""COMPUTED_VALUE"""),4350000.0)</f>
        <v>4350000</v>
      </c>
      <c r="H40" s="32"/>
      <c r="I40" s="32"/>
      <c r="J40" s="32"/>
      <c r="K40" s="32"/>
      <c r="L40" s="32"/>
      <c r="M40" s="32"/>
      <c r="N40" s="32"/>
      <c r="O40" s="32"/>
      <c r="P40" s="32"/>
      <c r="Q40" s="32"/>
      <c r="R40" s="32"/>
      <c r="S40" s="32"/>
      <c r="T40" s="32"/>
      <c r="U40" s="32"/>
      <c r="V40" s="32"/>
      <c r="W40" s="32"/>
      <c r="X40" s="32"/>
      <c r="Y40" s="32"/>
      <c r="Z40" s="32"/>
    </row>
    <row r="41">
      <c r="A41" s="32" t="str">
        <f>IFERROR(__xludf.DUMMYFUNCTION("""COMPUTED_VALUE"""),"Broken Sword")</f>
        <v>Broken Sword</v>
      </c>
      <c r="B41" s="32"/>
      <c r="C41" s="32" t="str">
        <f>IFERROR(__xludf.DUMMYFUNCTION("""COMPUTED_VALUE"""),"Knife")</f>
        <v>Knife</v>
      </c>
      <c r="D41" s="32" t="str">
        <f>IFERROR(__xludf.DUMMYFUNCTION("""COMPUTED_VALUE"""),"Hand")</f>
        <v>Hand</v>
      </c>
      <c r="E41" s="32">
        <f>IFERROR(__xludf.DUMMYFUNCTION("""COMPUTED_VALUE"""),1.0)</f>
        <v>1</v>
      </c>
      <c r="F41" s="32" t="str">
        <f>IFERROR(__xludf.DUMMYFUNCTION("""COMPUTED_VALUE"""),"DMG: +1 ++ -1 evasion")</f>
        <v>DMG: +1 ++ -1 evasion</v>
      </c>
      <c r="G41" s="32">
        <f>IFERROR(__xludf.DUMMYFUNCTION("""COMPUTED_VALUE"""),0.0)</f>
        <v>0</v>
      </c>
      <c r="H41" s="32"/>
      <c r="I41" s="32"/>
      <c r="J41" s="32"/>
      <c r="K41" s="32"/>
      <c r="L41" s="32"/>
      <c r="M41" s="32"/>
      <c r="N41" s="32"/>
      <c r="O41" s="32"/>
      <c r="P41" s="32"/>
      <c r="Q41" s="32"/>
      <c r="R41" s="32"/>
      <c r="S41" s="32"/>
      <c r="T41" s="32"/>
      <c r="U41" s="32"/>
      <c r="V41" s="32"/>
      <c r="W41" s="32"/>
      <c r="X41" s="32"/>
      <c r="Y41" s="32"/>
      <c r="Z41" s="32"/>
    </row>
    <row r="42">
      <c r="A42" s="32" t="str">
        <f>IFERROR(__xludf.DUMMYFUNCTION("""COMPUTED_VALUE"""),"Burning Broadsword")</f>
        <v>Burning Broadsword</v>
      </c>
      <c r="B42" s="32"/>
      <c r="C42" s="32" t="str">
        <f>IFERROR(__xludf.DUMMYFUNCTION("""COMPUTED_VALUE"""),"Sword")</f>
        <v>Sword</v>
      </c>
      <c r="D42" s="32" t="str">
        <f>IFERROR(__xludf.DUMMYFUNCTION("""COMPUTED_VALUE"""),"Hand")</f>
        <v>Hand</v>
      </c>
      <c r="E42" s="32">
        <f>IFERROR(__xludf.DUMMYFUNCTION("""COMPUTED_VALUE"""),200.0)</f>
        <v>200</v>
      </c>
      <c r="F42" s="32" t="str">
        <f>IFERROR(__xludf.DUMMYFUNCTION("""COMPUTED_VALUE"""),"DMG: +5000, Fire DMG: +5000 ++10,000 fire damage per round for 3 rounds.")</f>
        <v>DMG: +5000, Fire DMG: +5000 ++10,000 fire damage per round for 3 rounds.</v>
      </c>
      <c r="G42" s="32">
        <f>IFERROR(__xludf.DUMMYFUNCTION("""COMPUTED_VALUE"""),1900000.0)</f>
        <v>1900000</v>
      </c>
      <c r="H42" s="32"/>
      <c r="I42" s="32"/>
      <c r="J42" s="32"/>
      <c r="K42" s="32"/>
      <c r="L42" s="32"/>
      <c r="M42" s="32"/>
      <c r="N42" s="32"/>
      <c r="O42" s="32"/>
      <c r="P42" s="32"/>
      <c r="Q42" s="32"/>
      <c r="R42" s="32"/>
      <c r="S42" s="32"/>
      <c r="T42" s="32"/>
      <c r="U42" s="32"/>
      <c r="V42" s="32"/>
      <c r="W42" s="32"/>
      <c r="X42" s="32"/>
      <c r="Y42" s="32"/>
      <c r="Z42" s="32"/>
    </row>
    <row r="43">
      <c r="A43" s="32" t="str">
        <f>IFERROR(__xludf.DUMMYFUNCTION("""COMPUTED_VALUE"""),"Candy Corn Necklace")</f>
        <v>Candy Corn Necklace</v>
      </c>
      <c r="B43" s="32" t="str">
        <f>IFERROR(__xludf.DUMMYFUNCTION("""COMPUTED_VALUE"""),"Halloween Exclusive")</f>
        <v>Halloween Exclusive</v>
      </c>
      <c r="C43" s="32"/>
      <c r="D43" s="32" t="str">
        <f>IFERROR(__xludf.DUMMYFUNCTION("""COMPUTED_VALUE"""),"Neck")</f>
        <v>Neck</v>
      </c>
      <c r="E43" s="32">
        <f>IFERROR(__xludf.DUMMYFUNCTION("""COMPUTED_VALUE"""),1.0)</f>
        <v>1</v>
      </c>
      <c r="F43" s="32" t="str">
        <f>IFERROR(__xludf.DUMMYFUNCTION("""COMPUTED_VALUE""")," ++Gives Immunity to Dark and Chaos Damage, ++ +2 Intimidation.")</f>
        <v> ++Gives Immunity to Dark and Chaos Damage, ++ +2 Intimidation.</v>
      </c>
      <c r="G43" s="32">
        <f>IFERROR(__xludf.DUMMYFUNCTION("""COMPUTED_VALUE"""),0.0)</f>
        <v>0</v>
      </c>
      <c r="H43" s="32"/>
      <c r="I43" s="32"/>
      <c r="J43" s="32"/>
      <c r="K43" s="32"/>
      <c r="L43" s="32"/>
      <c r="M43" s="32"/>
      <c r="N43" s="32"/>
      <c r="O43" s="32"/>
      <c r="P43" s="32"/>
      <c r="Q43" s="32"/>
      <c r="R43" s="32"/>
      <c r="S43" s="32"/>
      <c r="T43" s="32"/>
      <c r="U43" s="32"/>
      <c r="V43" s="32"/>
      <c r="W43" s="32"/>
      <c r="X43" s="32"/>
      <c r="Y43" s="32"/>
      <c r="Z43" s="32"/>
    </row>
    <row r="44">
      <c r="A44" s="32" t="str">
        <f>IFERROR(__xludf.DUMMYFUNCTION("""COMPUTED_VALUE"""),"Candy Corn Rifle")</f>
        <v>Candy Corn Rifle</v>
      </c>
      <c r="B44" s="32" t="str">
        <f>IFERROR(__xludf.DUMMYFUNCTION("""COMPUTED_VALUE"""),"Halloween Exclusive")</f>
        <v>Halloween Exclusive</v>
      </c>
      <c r="C44" s="32" t="str">
        <f>IFERROR(__xludf.DUMMYFUNCTION("""COMPUTED_VALUE"""),"Firearm")</f>
        <v>Firearm</v>
      </c>
      <c r="D44" s="32" t="str">
        <f>IFERROR(__xludf.DUMMYFUNCTION("""COMPUTED_VALUE"""),"Hand")</f>
        <v>Hand</v>
      </c>
      <c r="E44" s="32">
        <f>IFERROR(__xludf.DUMMYFUNCTION("""COMPUTED_VALUE"""),200.0)</f>
        <v>200</v>
      </c>
      <c r="F44" s="3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32">
        <f>IFERROR(__xludf.DUMMYFUNCTION("""COMPUTED_VALUE"""),1.272E8)</f>
        <v>127200000</v>
      </c>
      <c r="H44" s="32"/>
      <c r="I44" s="32"/>
      <c r="J44" s="32"/>
      <c r="K44" s="32"/>
      <c r="L44" s="32"/>
      <c r="M44" s="32"/>
      <c r="N44" s="32"/>
      <c r="O44" s="32"/>
      <c r="P44" s="32"/>
      <c r="Q44" s="32"/>
      <c r="R44" s="32"/>
      <c r="S44" s="32"/>
      <c r="T44" s="32"/>
      <c r="U44" s="32"/>
      <c r="V44" s="32"/>
      <c r="W44" s="32"/>
      <c r="X44" s="32"/>
      <c r="Y44" s="32"/>
      <c r="Z44" s="32"/>
    </row>
    <row r="45">
      <c r="A45" s="32" t="str">
        <f>IFERROR(__xludf.DUMMYFUNCTION("""COMPUTED_VALUE"""),"Cap of Metal Harmony's")</f>
        <v>Cap of Metal Harmony's</v>
      </c>
      <c r="B45" s="32"/>
      <c r="C45" s="32"/>
      <c r="D45" s="32" t="str">
        <f>IFERROR(__xludf.DUMMYFUNCTION("""COMPUTED_VALUE"""),"Head")</f>
        <v>Head</v>
      </c>
      <c r="E45" s="32">
        <f>IFERROR(__xludf.DUMMYFUNCTION("""COMPUTED_VALUE"""),200.0)</f>
        <v>200</v>
      </c>
      <c r="F45" s="32" t="str">
        <f>IFERROR(__xludf.DUMMYFUNCTION("""COMPUTED_VALUE"""),"DEF: +10000 ++Half the SP cost for Fire, Water, Storm, Earth, and Nature spells.")</f>
        <v>DEF: +10000 ++Half the SP cost for Fire, Water, Storm, Earth, and Nature spells.</v>
      </c>
      <c r="G45" s="32">
        <f>IFERROR(__xludf.DUMMYFUNCTION("""COMPUTED_VALUE"""),1900000.0)</f>
        <v>1900000</v>
      </c>
      <c r="H45" s="32"/>
      <c r="I45" s="32"/>
      <c r="J45" s="32"/>
      <c r="K45" s="32"/>
      <c r="L45" s="32"/>
      <c r="M45" s="32"/>
      <c r="N45" s="32"/>
      <c r="O45" s="32"/>
      <c r="P45" s="32"/>
      <c r="Q45" s="32"/>
      <c r="R45" s="32"/>
      <c r="S45" s="32"/>
      <c r="T45" s="32"/>
      <c r="U45" s="32"/>
      <c r="V45" s="32"/>
      <c r="W45" s="32"/>
      <c r="X45" s="32"/>
      <c r="Y45" s="32"/>
      <c r="Z45" s="32"/>
    </row>
    <row r="46">
      <c r="A46" s="32" t="str">
        <f>IFERROR(__xludf.DUMMYFUNCTION("""COMPUTED_VALUE"""),"Celestian Royal Shield")</f>
        <v>Celestian Royal Shield</v>
      </c>
      <c r="B46" s="32" t="str">
        <f>IFERROR(__xludf.DUMMYFUNCTION("""COMPUTED_VALUE"""),"Quest Item")</f>
        <v>Quest Item</v>
      </c>
      <c r="C46" s="32" t="str">
        <f>IFERROR(__xludf.DUMMYFUNCTION("""COMPUTED_VALUE"""),"Towershield")</f>
        <v>Towershield</v>
      </c>
      <c r="D46" s="32" t="str">
        <f>IFERROR(__xludf.DUMMYFUNCTION("""COMPUTED_VALUE"""),"Hand")</f>
        <v>Hand</v>
      </c>
      <c r="E46" s="32">
        <f>IFERROR(__xludf.DUMMYFUNCTION("""COMPUTED_VALUE"""),200.0)</f>
        <v>200</v>
      </c>
      <c r="F46" s="3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32">
        <f>IFERROR(__xludf.DUMMYFUNCTION("""COMPUTED_VALUE"""),3.196E9)</f>
        <v>3196000000</v>
      </c>
      <c r="H46" s="32"/>
      <c r="I46" s="32"/>
      <c r="J46" s="32"/>
      <c r="K46" s="32"/>
      <c r="L46" s="32"/>
      <c r="M46" s="32"/>
      <c r="N46" s="32"/>
      <c r="O46" s="32"/>
      <c r="P46" s="32"/>
      <c r="Q46" s="32"/>
      <c r="R46" s="32"/>
      <c r="S46" s="32"/>
      <c r="T46" s="32"/>
      <c r="U46" s="32"/>
      <c r="V46" s="32"/>
      <c r="W46" s="32"/>
      <c r="X46" s="32"/>
      <c r="Y46" s="32"/>
      <c r="Z46" s="32"/>
    </row>
    <row r="47">
      <c r="A47" s="32" t="str">
        <f>IFERROR(__xludf.DUMMYFUNCTION("""COMPUTED_VALUE"""),"Celestian Royal Sword")</f>
        <v>Celestian Royal Sword</v>
      </c>
      <c r="B47" s="32" t="str">
        <f>IFERROR(__xludf.DUMMYFUNCTION("""COMPUTED_VALUE"""),"Quest Item")</f>
        <v>Quest Item</v>
      </c>
      <c r="C47" s="32" t="str">
        <f>IFERROR(__xludf.DUMMYFUNCTION("""COMPUTED_VALUE"""),"Sword")</f>
        <v>Sword</v>
      </c>
      <c r="D47" s="32" t="str">
        <f>IFERROR(__xludf.DUMMYFUNCTION("""COMPUTED_VALUE"""),"Hand")</f>
        <v>Hand</v>
      </c>
      <c r="E47" s="32">
        <f>IFERROR(__xludf.DUMMYFUNCTION("""COMPUTED_VALUE"""),200.0)</f>
        <v>200</v>
      </c>
      <c r="F47" s="3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32">
        <f>IFERROR(__xludf.DUMMYFUNCTION("""COMPUTED_VALUE"""),3.196E9)</f>
        <v>3196000000</v>
      </c>
      <c r="H47" s="32"/>
      <c r="I47" s="32"/>
      <c r="J47" s="32"/>
      <c r="K47" s="32"/>
      <c r="L47" s="32"/>
      <c r="M47" s="32"/>
      <c r="N47" s="32"/>
      <c r="O47" s="32"/>
      <c r="P47" s="32"/>
      <c r="Q47" s="32"/>
      <c r="R47" s="32"/>
      <c r="S47" s="32"/>
      <c r="T47" s="32"/>
      <c r="U47" s="32"/>
      <c r="V47" s="32"/>
      <c r="W47" s="32"/>
      <c r="X47" s="32"/>
      <c r="Y47" s="32"/>
      <c r="Z47" s="32"/>
    </row>
    <row r="48">
      <c r="A48" s="32" t="str">
        <f>IFERROR(__xludf.DUMMYFUNCTION("""COMPUTED_VALUE"""),"Chain Link Armor")</f>
        <v>Chain Link Armor</v>
      </c>
      <c r="B48" s="32"/>
      <c r="C48" s="32"/>
      <c r="D48" s="32" t="str">
        <f>IFERROR(__xludf.DUMMYFUNCTION("""COMPUTED_VALUE"""),"Torso")</f>
        <v>Torso</v>
      </c>
      <c r="E48" s="32">
        <f>IFERROR(__xludf.DUMMYFUNCTION("""COMPUTED_VALUE"""),40.0)</f>
        <v>40</v>
      </c>
      <c r="F48" s="3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32">
        <f>IFERROR(__xludf.DUMMYFUNCTION("""COMPUTED_VALUE"""),60000.0)</f>
        <v>60000</v>
      </c>
      <c r="H48" s="32"/>
      <c r="I48" s="32"/>
      <c r="J48" s="32"/>
      <c r="K48" s="32"/>
      <c r="L48" s="32"/>
      <c r="M48" s="32"/>
      <c r="N48" s="32"/>
      <c r="O48" s="32"/>
      <c r="P48" s="32"/>
      <c r="Q48" s="32"/>
      <c r="R48" s="32"/>
      <c r="S48" s="32"/>
      <c r="T48" s="32"/>
      <c r="U48" s="32"/>
      <c r="V48" s="32"/>
      <c r="W48" s="32"/>
      <c r="X48" s="32"/>
      <c r="Y48" s="32"/>
      <c r="Z48" s="32"/>
    </row>
    <row r="49">
      <c r="A49" s="32" t="str">
        <f>IFERROR(__xludf.DUMMYFUNCTION("""COMPUTED_VALUE"""),"Chaos Sword")</f>
        <v>Chaos Sword</v>
      </c>
      <c r="B49" s="32"/>
      <c r="C49" s="32" t="str">
        <f>IFERROR(__xludf.DUMMYFUNCTION("""COMPUTED_VALUE"""),"Sword")</f>
        <v>Sword</v>
      </c>
      <c r="D49" s="32" t="str">
        <f>IFERROR(__xludf.DUMMYFUNCTION("""COMPUTED_VALUE"""),"Hand")</f>
        <v>Hand</v>
      </c>
      <c r="E49" s="32">
        <f>IFERROR(__xludf.DUMMYFUNCTION("""COMPUTED_VALUE"""),90.0)</f>
        <v>90</v>
      </c>
      <c r="F49" s="32" t="str">
        <f>IFERROR(__xludf.DUMMYFUNCTION("""COMPUTED_VALUE"""),"DMG: +2500, Chaos DMG: +2000 ++ +2 Intimidation. +-Cannot be duplicated. +-Can only equip one.")</f>
        <v>DMG: +2500, Chaos DMG: +2000 ++ +2 Intimidation. +-Cannot be duplicated. +-Can only equip one.</v>
      </c>
      <c r="G49" s="32">
        <f>IFERROR(__xludf.DUMMYFUNCTION("""COMPUTED_VALUE"""),360000.0)</f>
        <v>360000</v>
      </c>
      <c r="H49" s="32"/>
      <c r="I49" s="32"/>
      <c r="J49" s="32"/>
      <c r="K49" s="32"/>
      <c r="L49" s="32"/>
      <c r="M49" s="32"/>
      <c r="N49" s="32"/>
      <c r="O49" s="32"/>
      <c r="P49" s="32"/>
      <c r="Q49" s="32"/>
      <c r="R49" s="32"/>
      <c r="S49" s="32"/>
      <c r="T49" s="32"/>
      <c r="U49" s="32"/>
      <c r="V49" s="32"/>
      <c r="W49" s="32"/>
      <c r="X49" s="32"/>
      <c r="Y49" s="32"/>
      <c r="Z49" s="32"/>
    </row>
    <row r="50">
      <c r="A50" s="32" t="str">
        <f>IFERROR(__xludf.DUMMYFUNCTION("""COMPUTED_VALUE"""),"Chaotic Amulet")</f>
        <v>Chaotic Amulet</v>
      </c>
      <c r="B50" s="32"/>
      <c r="C50" s="32"/>
      <c r="D50" s="32" t="str">
        <f>IFERROR(__xludf.DUMMYFUNCTION("""COMPUTED_VALUE"""),"Neck")</f>
        <v>Neck</v>
      </c>
      <c r="E50" s="32">
        <f>IFERROR(__xludf.DUMMYFUNCTION("""COMPUTED_VALUE"""),1.0)</f>
        <v>1</v>
      </c>
      <c r="F50" s="32" t="str">
        <f>IFERROR(__xludf.DUMMYFUNCTION("""COMPUTED_VALUE""")," ++Immunity to all Chaos Dmg, ++Deal 2x more Chaos Dmg.")</f>
        <v> ++Immunity to all Chaos Dmg, ++Deal 2x more Chaos Dmg.</v>
      </c>
      <c r="G50" s="32">
        <f>IFERROR(__xludf.DUMMYFUNCTION("""COMPUTED_VALUE"""),0.0)</f>
        <v>0</v>
      </c>
      <c r="H50" s="32"/>
      <c r="I50" s="32"/>
      <c r="J50" s="32"/>
      <c r="K50" s="32"/>
      <c r="L50" s="32"/>
      <c r="M50" s="32"/>
      <c r="N50" s="32"/>
      <c r="O50" s="32"/>
      <c r="P50" s="32"/>
      <c r="Q50" s="32"/>
      <c r="R50" s="32"/>
      <c r="S50" s="32"/>
      <c r="T50" s="32"/>
      <c r="U50" s="32"/>
      <c r="V50" s="32"/>
      <c r="W50" s="32"/>
      <c r="X50" s="32"/>
      <c r="Y50" s="32"/>
      <c r="Z50" s="32"/>
    </row>
    <row r="51">
      <c r="A51" s="32" t="str">
        <f>IFERROR(__xludf.DUMMYFUNCTION("""COMPUTED_VALUE"""),"Ring")</f>
        <v>Ring</v>
      </c>
      <c r="B51" s="32"/>
      <c r="C51" s="32"/>
      <c r="D51" s="32" t="str">
        <f>IFERROR(__xludf.DUMMYFUNCTION("""COMPUTED_VALUE"""),"Ring")</f>
        <v>Ring</v>
      </c>
      <c r="E51" s="32">
        <f>IFERROR(__xludf.DUMMYFUNCTION("""COMPUTED_VALUE"""),1.0)</f>
        <v>1</v>
      </c>
      <c r="F51" s="32" t="str">
        <f>IFERROR(__xludf.DUMMYFUNCTION("""COMPUTED_VALUE""")," ++X2 additional Chaos and Blood damage")</f>
        <v> ++X2 additional Chaos and Blood damage</v>
      </c>
      <c r="G51" s="32">
        <f>IFERROR(__xludf.DUMMYFUNCTION("""COMPUTED_VALUE"""),0.0)</f>
        <v>0</v>
      </c>
      <c r="H51" s="32"/>
      <c r="I51" s="32"/>
      <c r="J51" s="32"/>
      <c r="K51" s="32"/>
      <c r="L51" s="32"/>
      <c r="M51" s="32"/>
      <c r="N51" s="32"/>
      <c r="O51" s="32"/>
      <c r="P51" s="32"/>
      <c r="Q51" s="32"/>
      <c r="R51" s="32"/>
      <c r="S51" s="32"/>
      <c r="T51" s="32"/>
      <c r="U51" s="32"/>
      <c r="V51" s="32"/>
      <c r="W51" s="32"/>
      <c r="X51" s="32"/>
      <c r="Y51" s="32"/>
      <c r="Z51" s="32"/>
    </row>
    <row r="52">
      <c r="A52" s="32" t="str">
        <f>IFERROR(__xludf.DUMMYFUNCTION("""COMPUTED_VALUE"""),"Chaotic Shadow Life Orb")</f>
        <v>Chaotic Shadow Life Orb</v>
      </c>
      <c r="B52" s="32"/>
      <c r="C52" s="32"/>
      <c r="D52" s="32" t="str">
        <f>IFERROR(__xludf.DUMMYFUNCTION("""COMPUTED_VALUE"""),"Hand")</f>
        <v>Hand</v>
      </c>
      <c r="E52" s="32">
        <f>IFERROR(__xludf.DUMMYFUNCTION("""COMPUTED_VALUE"""),1.0)</f>
        <v>1</v>
      </c>
      <c r="F52" s="3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32">
        <f>IFERROR(__xludf.DUMMYFUNCTION("""COMPUTED_VALUE"""),0.0)</f>
        <v>0</v>
      </c>
      <c r="H52" s="32"/>
      <c r="I52" s="32"/>
      <c r="J52" s="32"/>
      <c r="K52" s="32"/>
      <c r="L52" s="32"/>
      <c r="M52" s="32"/>
      <c r="N52" s="32"/>
      <c r="O52" s="32"/>
      <c r="P52" s="32"/>
      <c r="Q52" s="32"/>
      <c r="R52" s="32"/>
      <c r="S52" s="32"/>
      <c r="T52" s="32"/>
      <c r="U52" s="32"/>
      <c r="V52" s="32"/>
      <c r="W52" s="32"/>
      <c r="X52" s="32"/>
      <c r="Y52" s="32"/>
      <c r="Z52" s="32"/>
    </row>
    <row r="53">
      <c r="A53" s="32" t="str">
        <f>IFERROR(__xludf.DUMMYFUNCTION("""COMPUTED_VALUE"""),"Charm of Awaken")</f>
        <v>Charm of Awaken</v>
      </c>
      <c r="B53" s="32"/>
      <c r="C53" s="32"/>
      <c r="D53" s="32" t="str">
        <f>IFERROR(__xludf.DUMMYFUNCTION("""COMPUTED_VALUE"""),"Neck")</f>
        <v>Neck</v>
      </c>
      <c r="E53" s="32">
        <f>IFERROR(__xludf.DUMMYFUNCTION("""COMPUTED_VALUE"""),1.0)</f>
        <v>1</v>
      </c>
      <c r="F53" s="32" t="str">
        <f>IFERROR(__xludf.DUMMYFUNCTION("""COMPUTED_VALUE""")," ++Immunity to sleep.")</f>
        <v> ++Immunity to sleep.</v>
      </c>
      <c r="G53" s="32">
        <f>IFERROR(__xludf.DUMMYFUNCTION("""COMPUTED_VALUE"""),0.0)</f>
        <v>0</v>
      </c>
      <c r="H53" s="32"/>
      <c r="I53" s="32"/>
      <c r="J53" s="32"/>
      <c r="K53" s="32"/>
      <c r="L53" s="32"/>
      <c r="M53" s="32"/>
      <c r="N53" s="32"/>
      <c r="O53" s="32"/>
      <c r="P53" s="32"/>
      <c r="Q53" s="32"/>
      <c r="R53" s="32"/>
      <c r="S53" s="32"/>
      <c r="T53" s="32"/>
      <c r="U53" s="32"/>
      <c r="V53" s="32"/>
      <c r="W53" s="32"/>
      <c r="X53" s="32"/>
      <c r="Y53" s="32"/>
      <c r="Z53" s="32"/>
    </row>
    <row r="54">
      <c r="A54" s="32" t="str">
        <f>IFERROR(__xludf.DUMMYFUNCTION("""COMPUTED_VALUE"""),"Chestplate of Foul Night")</f>
        <v>Chestplate of Foul Night</v>
      </c>
      <c r="B54" s="32"/>
      <c r="C54" s="32"/>
      <c r="D54" s="32" t="str">
        <f>IFERROR(__xludf.DUMMYFUNCTION("""COMPUTED_VALUE"""),"Torso")</f>
        <v>Torso</v>
      </c>
      <c r="E54" s="32">
        <f>IFERROR(__xludf.DUMMYFUNCTION("""COMPUTED_VALUE"""),200.0)</f>
        <v>200</v>
      </c>
      <c r="F54" s="32" t="str">
        <f>IFERROR(__xludf.DUMMYFUNCTION("""COMPUTED_VALUE"""),"DEF: +5000, Nature DEF: +5000 (Foul Night Set) ++X2 Nature and Poison damage, ++Poison Immunity.")</f>
        <v>DEF: +5000, Nature DEF: +5000 (Foul Night Set) ++X2 Nature and Poison damage, ++Poison Immunity.</v>
      </c>
      <c r="G54" s="32">
        <f>IFERROR(__xludf.DUMMYFUNCTION("""COMPUTED_VALUE"""),1900000.0)</f>
        <v>1900000</v>
      </c>
      <c r="H54" s="32"/>
      <c r="I54" s="32"/>
      <c r="J54" s="32"/>
      <c r="K54" s="32"/>
      <c r="L54" s="32"/>
      <c r="M54" s="32"/>
      <c r="N54" s="32"/>
      <c r="O54" s="32"/>
      <c r="P54" s="32"/>
      <c r="Q54" s="32"/>
      <c r="R54" s="32"/>
      <c r="S54" s="32"/>
      <c r="T54" s="32"/>
      <c r="U54" s="32"/>
      <c r="V54" s="32"/>
      <c r="W54" s="32"/>
      <c r="X54" s="32"/>
      <c r="Y54" s="32"/>
      <c r="Z54" s="32"/>
    </row>
    <row r="55">
      <c r="A55" s="32" t="str">
        <f>IFERROR(__xludf.DUMMYFUNCTION("""COMPUTED_VALUE"""),"Chestplate of Waking Waters")</f>
        <v>Chestplate of Waking Waters</v>
      </c>
      <c r="B55" s="32"/>
      <c r="C55" s="32"/>
      <c r="D55" s="32" t="str">
        <f>IFERROR(__xludf.DUMMYFUNCTION("""COMPUTED_VALUE"""),"Torso")</f>
        <v>Torso</v>
      </c>
      <c r="E55" s="32">
        <f>IFERROR(__xludf.DUMMYFUNCTION("""COMPUTED_VALUE"""),400.0)</f>
        <v>400</v>
      </c>
      <c r="F55" s="32" t="str">
        <f>IFERROR(__xludf.DUMMYFUNCTION("""COMPUTED_VALUE"""),"DEF: +10000, Water DEF: +10000 ++X4 additional water damage for self.")</f>
        <v>DEF: +10000, Water DEF: +10000 ++X4 additional water damage for self.</v>
      </c>
      <c r="G55" s="32">
        <f>IFERROR(__xludf.DUMMYFUNCTION("""COMPUTED_VALUE"""),7800000.0)</f>
        <v>7800000</v>
      </c>
      <c r="H55" s="32"/>
      <c r="I55" s="32"/>
      <c r="J55" s="32"/>
      <c r="K55" s="32"/>
      <c r="L55" s="32"/>
      <c r="M55" s="32"/>
      <c r="N55" s="32"/>
      <c r="O55" s="32"/>
      <c r="P55" s="32"/>
      <c r="Q55" s="32"/>
      <c r="R55" s="32"/>
      <c r="S55" s="32"/>
      <c r="T55" s="32"/>
      <c r="U55" s="32"/>
      <c r="V55" s="32"/>
      <c r="W55" s="32"/>
      <c r="X55" s="32"/>
      <c r="Y55" s="32"/>
      <c r="Z55" s="32"/>
    </row>
    <row r="56">
      <c r="A56" s="32" t="str">
        <f>IFERROR(__xludf.DUMMYFUNCTION("""COMPUTED_VALUE"""),"Cloth Cap")</f>
        <v>Cloth Cap</v>
      </c>
      <c r="B56" s="32"/>
      <c r="C56" s="32"/>
      <c r="D56" s="32" t="str">
        <f>IFERROR(__xludf.DUMMYFUNCTION("""COMPUTED_VALUE"""),"Head")</f>
        <v>Head</v>
      </c>
      <c r="E56" s="32">
        <f>IFERROR(__xludf.DUMMYFUNCTION("""COMPUTED_VALUE"""),50.0)</f>
        <v>50</v>
      </c>
      <c r="F56" s="32" t="str">
        <f>IFERROR(__xludf.DUMMYFUNCTION("""COMPUTED_VALUE"""),"DEF: +2500")</f>
        <v>DEF: +2500</v>
      </c>
      <c r="G56" s="32">
        <f>IFERROR(__xludf.DUMMYFUNCTION("""COMPUTED_VALUE"""),100000.0)</f>
        <v>100000</v>
      </c>
      <c r="H56" s="32"/>
      <c r="I56" s="32"/>
      <c r="J56" s="32"/>
      <c r="K56" s="32"/>
      <c r="L56" s="32"/>
      <c r="M56" s="32"/>
      <c r="N56" s="32"/>
      <c r="O56" s="32"/>
      <c r="P56" s="32"/>
      <c r="Q56" s="32"/>
      <c r="R56" s="32"/>
      <c r="S56" s="32"/>
      <c r="T56" s="32"/>
      <c r="U56" s="32"/>
      <c r="V56" s="32"/>
      <c r="W56" s="32"/>
      <c r="X56" s="32"/>
      <c r="Y56" s="32"/>
      <c r="Z56" s="32"/>
    </row>
    <row r="57">
      <c r="A57" s="32" t="str">
        <f>IFERROR(__xludf.DUMMYFUNCTION("""COMPUTED_VALUE"""),"Colossus Bone Sword")</f>
        <v>Colossus Bone Sword</v>
      </c>
      <c r="B57" s="32" t="str">
        <f>IFERROR(__xludf.DUMMYFUNCTION("""COMPUTED_VALUE"""),"Mob Exclusive")</f>
        <v>Mob Exclusive</v>
      </c>
      <c r="C57" s="32" t="str">
        <f>IFERROR(__xludf.DUMMYFUNCTION("""COMPUTED_VALUE"""),"Sword")</f>
        <v>Sword</v>
      </c>
      <c r="D57" s="32" t="str">
        <f>IFERROR(__xludf.DUMMYFUNCTION("""COMPUTED_VALUE"""),"Hand")</f>
        <v>Hand</v>
      </c>
      <c r="E57" s="32">
        <f>IFERROR(__xludf.DUMMYFUNCTION("""COMPUTED_VALUE"""),1500.0)</f>
        <v>1500</v>
      </c>
      <c r="F57" s="32" t="str">
        <f>IFERROR(__xludf.DUMMYFUNCTION("""COMPUTED_VALUE"""),"DMG: +25000, Earth DMG: +25000, Dark DMG: +25000 ++X2 additional damage for the user.")</f>
        <v>DMG: +25000, Earth DMG: +25000, Dark DMG: +25000 ++X2 additional damage for the user.</v>
      </c>
      <c r="G57" s="32">
        <f>IFERROR(__xludf.DUMMYFUNCTION("""COMPUTED_VALUE"""),1.1175E8)</f>
        <v>111750000</v>
      </c>
      <c r="H57" s="32"/>
      <c r="I57" s="32"/>
      <c r="J57" s="32"/>
      <c r="K57" s="32"/>
      <c r="L57" s="32"/>
      <c r="M57" s="32"/>
      <c r="N57" s="32"/>
      <c r="O57" s="32"/>
      <c r="P57" s="32"/>
      <c r="Q57" s="32"/>
      <c r="R57" s="32"/>
      <c r="S57" s="32"/>
      <c r="T57" s="32"/>
      <c r="U57" s="32"/>
      <c r="V57" s="32"/>
      <c r="W57" s="32"/>
      <c r="X57" s="32"/>
      <c r="Y57" s="32"/>
      <c r="Z57" s="32"/>
    </row>
    <row r="58">
      <c r="A58" s="32" t="str">
        <f>IFERROR(__xludf.DUMMYFUNCTION("""COMPUTED_VALUE"""),"Coral Hat")</f>
        <v>Coral Hat</v>
      </c>
      <c r="B58" s="32"/>
      <c r="C58" s="32"/>
      <c r="D58" s="32" t="str">
        <f>IFERROR(__xludf.DUMMYFUNCTION("""COMPUTED_VALUE"""),"Head")</f>
        <v>Head</v>
      </c>
      <c r="E58" s="32">
        <f>IFERROR(__xludf.DUMMYFUNCTION("""COMPUTED_VALUE"""),20.0)</f>
        <v>20</v>
      </c>
      <c r="F58" s="32" t="str">
        <f>IFERROR(__xludf.DUMMYFUNCTION("""COMPUTED_VALUE"""),"DEF: +800 ++Immunity to water damage.")</f>
        <v>DEF: +800 ++Immunity to water damage.</v>
      </c>
      <c r="G58" s="32">
        <f>IFERROR(__xludf.DUMMYFUNCTION("""COMPUTED_VALUE"""),1000.0)</f>
        <v>1000</v>
      </c>
      <c r="H58" s="32"/>
      <c r="I58" s="32"/>
      <c r="J58" s="32"/>
      <c r="K58" s="32"/>
      <c r="L58" s="32"/>
      <c r="M58" s="32"/>
      <c r="N58" s="32"/>
      <c r="O58" s="32"/>
      <c r="P58" s="32"/>
      <c r="Q58" s="32"/>
      <c r="R58" s="32"/>
      <c r="S58" s="32"/>
      <c r="T58" s="32"/>
      <c r="U58" s="32"/>
      <c r="V58" s="32"/>
      <c r="W58" s="32"/>
      <c r="X58" s="32"/>
      <c r="Y58" s="32"/>
      <c r="Z58" s="32"/>
    </row>
    <row r="59">
      <c r="A59" s="32" t="str">
        <f>IFERROR(__xludf.DUMMYFUNCTION("""COMPUTED_VALUE"""),"Critical Vanish Armor")</f>
        <v>Critical Vanish Armor</v>
      </c>
      <c r="B59" s="32"/>
      <c r="C59" s="32"/>
      <c r="D59" s="32" t="str">
        <f>IFERROR(__xludf.DUMMYFUNCTION("""COMPUTED_VALUE"""),"Torso")</f>
        <v>Torso</v>
      </c>
      <c r="E59" s="32">
        <f>IFERROR(__xludf.DUMMYFUNCTION("""COMPUTED_VALUE"""),10.0)</f>
        <v>10</v>
      </c>
      <c r="F59" s="32" t="str">
        <f>IFERROR(__xludf.DUMMYFUNCTION("""COMPUTED_VALUE"""),"DEF: +500 ++will negate a critical hit to the wearer")</f>
        <v>DEF: +500 ++will negate a critical hit to the wearer</v>
      </c>
      <c r="G59" s="32">
        <f>IFERROR(__xludf.DUMMYFUNCTION("""COMPUTED_VALUE"""),1000.0)</f>
        <v>1000</v>
      </c>
      <c r="H59" s="32"/>
      <c r="I59" s="32"/>
      <c r="J59" s="32"/>
      <c r="K59" s="32"/>
      <c r="L59" s="32"/>
      <c r="M59" s="32"/>
      <c r="N59" s="32"/>
      <c r="O59" s="32"/>
      <c r="P59" s="32"/>
      <c r="Q59" s="32"/>
      <c r="R59" s="32"/>
      <c r="S59" s="32"/>
      <c r="T59" s="32"/>
      <c r="U59" s="32"/>
      <c r="V59" s="32"/>
      <c r="W59" s="32"/>
      <c r="X59" s="32"/>
      <c r="Y59" s="32"/>
      <c r="Z59" s="32"/>
    </row>
    <row r="60">
      <c r="A60" s="32" t="str">
        <f>IFERROR(__xludf.DUMMYFUNCTION("""COMPUTED_VALUE"""),"Crow Staff")</f>
        <v>Crow Staff</v>
      </c>
      <c r="B60" s="32"/>
      <c r="C60" s="32" t="str">
        <f>IFERROR(__xludf.DUMMYFUNCTION("""COMPUTED_VALUE"""),"Staff")</f>
        <v>Staff</v>
      </c>
      <c r="D60" s="32" t="str">
        <f>IFERROR(__xludf.DUMMYFUNCTION("""COMPUTED_VALUE"""),"Hand")</f>
        <v>Hand</v>
      </c>
      <c r="E60" s="32">
        <f>IFERROR(__xludf.DUMMYFUNCTION("""COMPUTED_VALUE"""),400.0)</f>
        <v>400</v>
      </c>
      <c r="F60" s="32" t="str">
        <f>IFERROR(__xludf.DUMMYFUNCTION("""COMPUTED_VALUE"""),"DMG: +10000, Dark DMG: +10000 ++Swarm: inflicts 10000 bleed to all enemies. +- 300SP")</f>
        <v>DMG: +10000, Dark DMG: +10000 ++Swarm: inflicts 10000 bleed to all enemies. +- 300SP</v>
      </c>
      <c r="G60" s="32">
        <f>IFERROR(__xludf.DUMMYFUNCTION("""COMPUTED_VALUE"""),7800000.0)</f>
        <v>7800000</v>
      </c>
      <c r="H60" s="32"/>
      <c r="I60" s="32"/>
      <c r="J60" s="32"/>
      <c r="K60" s="32"/>
      <c r="L60" s="32"/>
      <c r="M60" s="32"/>
      <c r="N60" s="32"/>
      <c r="O60" s="32"/>
      <c r="P60" s="32"/>
      <c r="Q60" s="32"/>
      <c r="R60" s="32"/>
      <c r="S60" s="32"/>
      <c r="T60" s="32"/>
      <c r="U60" s="32"/>
      <c r="V60" s="32"/>
      <c r="W60" s="32"/>
      <c r="X60" s="32"/>
      <c r="Y60" s="32"/>
      <c r="Z60" s="32"/>
    </row>
    <row r="61">
      <c r="A61" s="32" t="str">
        <f>IFERROR(__xludf.DUMMYFUNCTION("""COMPUTED_VALUE"""),"Crown of Control")</f>
        <v>Crown of Control</v>
      </c>
      <c r="B61" s="32"/>
      <c r="C61" s="32"/>
      <c r="D61" s="32" t="str">
        <f>IFERROR(__xludf.DUMMYFUNCTION("""COMPUTED_VALUE"""),"Head")</f>
        <v>Head</v>
      </c>
      <c r="E61" s="32">
        <f>IFERROR(__xludf.DUMMYFUNCTION("""COMPUTED_VALUE"""),300.0)</f>
        <v>300</v>
      </c>
      <c r="F61" s="3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32">
        <f>IFERROR(__xludf.DUMMYFUNCTION("""COMPUTED_VALUE"""),4350000.0)</f>
        <v>4350000</v>
      </c>
      <c r="H61" s="32"/>
      <c r="I61" s="32"/>
      <c r="J61" s="32"/>
      <c r="K61" s="32"/>
      <c r="L61" s="32"/>
      <c r="M61" s="32"/>
      <c r="N61" s="32"/>
      <c r="O61" s="32"/>
      <c r="P61" s="32"/>
      <c r="Q61" s="32"/>
      <c r="R61" s="32"/>
      <c r="S61" s="32"/>
      <c r="T61" s="32"/>
      <c r="U61" s="32"/>
      <c r="V61" s="32"/>
      <c r="W61" s="32"/>
      <c r="X61" s="32"/>
      <c r="Y61" s="32"/>
      <c r="Z61" s="32"/>
    </row>
    <row r="62">
      <c r="A62" s="32" t="str">
        <f>IFERROR(__xludf.DUMMYFUNCTION("""COMPUTED_VALUE"""),"Crown of Ice Spears")</f>
        <v>Crown of Ice Spears</v>
      </c>
      <c r="B62" s="32"/>
      <c r="C62" s="32"/>
      <c r="D62" s="32" t="str">
        <f>IFERROR(__xludf.DUMMYFUNCTION("""COMPUTED_VALUE"""),"Head")</f>
        <v>Head</v>
      </c>
      <c r="E62" s="32">
        <f>IFERROR(__xludf.DUMMYFUNCTION("""COMPUTED_VALUE"""),200.0)</f>
        <v>200</v>
      </c>
      <c r="F62" s="3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32">
        <f>IFERROR(__xludf.DUMMYFUNCTION("""COMPUTED_VALUE"""),1900000.0)</f>
        <v>1900000</v>
      </c>
      <c r="H62" s="32"/>
      <c r="I62" s="32"/>
      <c r="J62" s="32"/>
      <c r="K62" s="32"/>
      <c r="L62" s="32"/>
      <c r="M62" s="32"/>
      <c r="N62" s="32"/>
      <c r="O62" s="32"/>
      <c r="P62" s="32"/>
      <c r="Q62" s="32"/>
      <c r="R62" s="32"/>
      <c r="S62" s="32"/>
      <c r="T62" s="32"/>
      <c r="U62" s="32"/>
      <c r="V62" s="32"/>
      <c r="W62" s="32"/>
      <c r="X62" s="32"/>
      <c r="Y62" s="32"/>
      <c r="Z62" s="32"/>
    </row>
    <row r="63">
      <c r="A63" s="32" t="str">
        <f>IFERROR(__xludf.DUMMYFUNCTION("""COMPUTED_VALUE"""),"Crown of the Forgotten")</f>
        <v>Crown of the Forgotten</v>
      </c>
      <c r="B63" s="32"/>
      <c r="C63" s="32"/>
      <c r="D63" s="32" t="str">
        <f>IFERROR(__xludf.DUMMYFUNCTION("""COMPUTED_VALUE"""),"Head")</f>
        <v>Head</v>
      </c>
      <c r="E63" s="32">
        <f>IFERROR(__xludf.DUMMYFUNCTION("""COMPUTED_VALUE"""),20.0)</f>
        <v>20</v>
      </c>
      <c r="F63" s="3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32">
        <f>IFERROR(__xludf.DUMMYFUNCTION("""COMPUTED_VALUE"""),10000.0)</f>
        <v>10000</v>
      </c>
      <c r="H63" s="32"/>
      <c r="I63" s="32"/>
      <c r="J63" s="32"/>
      <c r="K63" s="32"/>
      <c r="L63" s="32"/>
      <c r="M63" s="32"/>
      <c r="N63" s="32"/>
      <c r="O63" s="32"/>
      <c r="P63" s="32"/>
      <c r="Q63" s="32"/>
      <c r="R63" s="32"/>
      <c r="S63" s="32"/>
      <c r="T63" s="32"/>
      <c r="U63" s="32"/>
      <c r="V63" s="32"/>
      <c r="W63" s="32"/>
      <c r="X63" s="32"/>
      <c r="Y63" s="32"/>
      <c r="Z63" s="32"/>
    </row>
    <row r="64">
      <c r="A64" s="32" t="str">
        <f>IFERROR(__xludf.DUMMYFUNCTION("""COMPUTED_VALUE"""),"Crown Of The Sea Serpent")</f>
        <v>Crown Of The Sea Serpent</v>
      </c>
      <c r="B64" s="32"/>
      <c r="C64" s="32"/>
      <c r="D64" s="32" t="str">
        <f>IFERROR(__xludf.DUMMYFUNCTION("""COMPUTED_VALUE"""),"Head")</f>
        <v>Head</v>
      </c>
      <c r="E64" s="32">
        <f>IFERROR(__xludf.DUMMYFUNCTION("""COMPUTED_VALUE"""),1.0)</f>
        <v>1</v>
      </c>
      <c r="F64" s="32" t="str">
        <f>IFERROR(__xludf.DUMMYFUNCTION("""COMPUTED_VALUE""")," ++X4 additional water damage for the user, ++Water spells cost half sp, +-Cannot be duplicated.")</f>
        <v> ++X4 additional water damage for the user, ++Water spells cost half sp, +-Cannot be duplicated.</v>
      </c>
      <c r="G64" s="32">
        <f>IFERROR(__xludf.DUMMYFUNCTION("""COMPUTED_VALUE"""),0.0)</f>
        <v>0</v>
      </c>
      <c r="H64" s="32"/>
      <c r="I64" s="32"/>
      <c r="J64" s="32"/>
      <c r="K64" s="32"/>
      <c r="L64" s="32"/>
      <c r="M64" s="32"/>
      <c r="N64" s="32"/>
      <c r="O64" s="32"/>
      <c r="P64" s="32"/>
      <c r="Q64" s="32"/>
      <c r="R64" s="32"/>
      <c r="S64" s="32"/>
      <c r="T64" s="32"/>
      <c r="U64" s="32"/>
      <c r="V64" s="32"/>
      <c r="W64" s="32"/>
      <c r="X64" s="32"/>
      <c r="Y64" s="32"/>
      <c r="Z64" s="32"/>
    </row>
    <row r="65">
      <c r="A65" s="32" t="str">
        <f>IFERROR(__xludf.DUMMYFUNCTION("""COMPUTED_VALUE"""),"Crown Of Tritonoch")</f>
        <v>Crown Of Tritonoch</v>
      </c>
      <c r="B65" s="32"/>
      <c r="C65" s="32"/>
      <c r="D65" s="32" t="str">
        <f>IFERROR(__xludf.DUMMYFUNCTION("""COMPUTED_VALUE"""),"Head")</f>
        <v>Head</v>
      </c>
      <c r="E65" s="32">
        <f>IFERROR(__xludf.DUMMYFUNCTION("""COMPUTED_VALUE"""),400.0)</f>
        <v>400</v>
      </c>
      <c r="F65" s="32" t="str">
        <f>IFERROR(__xludf.DUMMYFUNCTION("""COMPUTED_VALUE"""),"DEF: +20000 ++Waves of Entitlement - x5 additional Water damage")</f>
        <v>DEF: +20000 ++Waves of Entitlement - x5 additional Water damage</v>
      </c>
      <c r="G65" s="32">
        <f>IFERROR(__xludf.DUMMYFUNCTION("""COMPUTED_VALUE"""),7800000.0)</f>
        <v>7800000</v>
      </c>
      <c r="H65" s="32"/>
      <c r="I65" s="32"/>
      <c r="J65" s="32"/>
      <c r="K65" s="32"/>
      <c r="L65" s="32"/>
      <c r="M65" s="32"/>
      <c r="N65" s="32"/>
      <c r="O65" s="32"/>
      <c r="P65" s="32"/>
      <c r="Q65" s="32"/>
      <c r="R65" s="32"/>
      <c r="S65" s="32"/>
      <c r="T65" s="32"/>
      <c r="U65" s="32"/>
      <c r="V65" s="32"/>
      <c r="W65" s="32"/>
      <c r="X65" s="32"/>
      <c r="Y65" s="32"/>
      <c r="Z65" s="32"/>
    </row>
    <row r="66">
      <c r="A66" s="32" t="str">
        <f>IFERROR(__xludf.DUMMYFUNCTION("""COMPUTED_VALUE"""),"Cryogenic Claymore")</f>
        <v>Cryogenic Claymore</v>
      </c>
      <c r="B66" s="32" t="str">
        <f>IFERROR(__xludf.DUMMYFUNCTION("""COMPUTED_VALUE"""),"(The Frozen Blade Master Set)")</f>
        <v>(The Frozen Blade Master Set)</v>
      </c>
      <c r="C66" s="32" t="str">
        <f>IFERROR(__xludf.DUMMYFUNCTION("""COMPUTED_VALUE"""),"Sword")</f>
        <v>Sword</v>
      </c>
      <c r="D66" s="32" t="str">
        <f>IFERROR(__xludf.DUMMYFUNCTION("""COMPUTED_VALUE"""),"Hand")</f>
        <v>Hand</v>
      </c>
      <c r="E66" s="32">
        <f>IFERROR(__xludf.DUMMYFUNCTION("""COMPUTED_VALUE"""),400.0)</f>
        <v>400</v>
      </c>
      <c r="F66" s="32" t="str">
        <f>IFERROR(__xludf.DUMMYFUNCTION("""COMPUTED_VALUE"""),"DMG: +10000, Water DMG: +10000 ++10% chance to freeze all enemies.")</f>
        <v>DMG: +10000, Water DMG: +10000 ++10% chance to freeze all enemies.</v>
      </c>
      <c r="G66" s="32">
        <f>IFERROR(__xludf.DUMMYFUNCTION("""COMPUTED_VALUE"""),7800000.0)</f>
        <v>7800000</v>
      </c>
      <c r="H66" s="32"/>
      <c r="I66" s="32"/>
      <c r="J66" s="32"/>
      <c r="K66" s="32"/>
      <c r="L66" s="32"/>
      <c r="M66" s="32"/>
      <c r="N66" s="32"/>
      <c r="O66" s="32"/>
      <c r="P66" s="32"/>
      <c r="Q66" s="32"/>
      <c r="R66" s="32"/>
      <c r="S66" s="32"/>
      <c r="T66" s="32"/>
      <c r="U66" s="32"/>
      <c r="V66" s="32"/>
      <c r="W66" s="32"/>
      <c r="X66" s="32"/>
      <c r="Y66" s="32"/>
      <c r="Z66" s="32"/>
    </row>
    <row r="67">
      <c r="A67" s="32" t="str">
        <f>IFERROR(__xludf.DUMMYFUNCTION("""COMPUTED_VALUE"""),"Crystal Forged Helmet")</f>
        <v>Crystal Forged Helmet</v>
      </c>
      <c r="B67" s="32"/>
      <c r="C67" s="32"/>
      <c r="D67" s="32" t="str">
        <f>IFERROR(__xludf.DUMMYFUNCTION("""COMPUTED_VALUE"""),"Head")</f>
        <v>Head</v>
      </c>
      <c r="E67" s="32">
        <f>IFERROR(__xludf.DUMMYFUNCTION("""COMPUTED_VALUE"""),200.0)</f>
        <v>200</v>
      </c>
      <c r="F67" s="32" t="str">
        <f>IFERROR(__xludf.DUMMYFUNCTION("""COMPUTED_VALUE"""),"DEF: +10000 ++When equipped, Gem and Crystal related weapons deal an additional X2 damage for the user.")</f>
        <v>DEF: +10000 ++When equipped, Gem and Crystal related weapons deal an additional X2 damage for the user.</v>
      </c>
      <c r="G67" s="32">
        <f>IFERROR(__xludf.DUMMYFUNCTION("""COMPUTED_VALUE"""),1900000.0)</f>
        <v>1900000</v>
      </c>
      <c r="H67" s="32"/>
      <c r="I67" s="32"/>
      <c r="J67" s="32"/>
      <c r="K67" s="32"/>
      <c r="L67" s="32"/>
      <c r="M67" s="32"/>
      <c r="N67" s="32"/>
      <c r="O67" s="32"/>
      <c r="P67" s="32"/>
      <c r="Q67" s="32"/>
      <c r="R67" s="32"/>
      <c r="S67" s="32"/>
      <c r="T67" s="32"/>
      <c r="U67" s="32"/>
      <c r="V67" s="32"/>
      <c r="W67" s="32"/>
      <c r="X67" s="32"/>
      <c r="Y67" s="32"/>
      <c r="Z67" s="32"/>
    </row>
    <row r="68">
      <c r="A68" s="32" t="str">
        <f>IFERROR(__xludf.DUMMYFUNCTION("""COMPUTED_VALUE"""),"Crystal Forged Axe")</f>
        <v>Crystal Forged Axe</v>
      </c>
      <c r="B68" s="32"/>
      <c r="C68" s="32"/>
      <c r="D68" s="32" t="str">
        <f>IFERROR(__xludf.DUMMYFUNCTION("""COMPUTED_VALUE"""),"Hand")</f>
        <v>Hand</v>
      </c>
      <c r="E68" s="32">
        <f>IFERROR(__xludf.DUMMYFUNCTION("""COMPUTED_VALUE"""),400.0)</f>
        <v>400</v>
      </c>
      <c r="F68" s="3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32">
        <f>IFERROR(__xludf.DUMMYFUNCTION("""COMPUTED_VALUE"""),7800000.0)</f>
        <v>7800000</v>
      </c>
      <c r="H68" s="32"/>
      <c r="I68" s="32"/>
      <c r="J68" s="32"/>
      <c r="K68" s="32"/>
      <c r="L68" s="32"/>
      <c r="M68" s="32"/>
      <c r="N68" s="32"/>
      <c r="O68" s="32"/>
      <c r="P68" s="32"/>
      <c r="Q68" s="32"/>
      <c r="R68" s="32"/>
      <c r="S68" s="32"/>
      <c r="T68" s="32"/>
      <c r="U68" s="32"/>
      <c r="V68" s="32"/>
      <c r="W68" s="32"/>
      <c r="X68" s="32"/>
      <c r="Y68" s="32"/>
      <c r="Z68" s="32"/>
    </row>
    <row r="69">
      <c r="A69" s="32" t="str">
        <f>IFERROR(__xludf.DUMMYFUNCTION("""COMPUTED_VALUE"""),"Crystal Forged Chestplate")</f>
        <v>Crystal Forged Chestplate</v>
      </c>
      <c r="B69" s="32"/>
      <c r="C69" s="32"/>
      <c r="D69" s="32" t="str">
        <f>IFERROR(__xludf.DUMMYFUNCTION("""COMPUTED_VALUE"""),"Torso")</f>
        <v>Torso</v>
      </c>
      <c r="E69" s="32">
        <f>IFERROR(__xludf.DUMMYFUNCTION("""COMPUTED_VALUE"""),200.0)</f>
        <v>200</v>
      </c>
      <c r="F69" s="3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32">
        <f>IFERROR(__xludf.DUMMYFUNCTION("""COMPUTED_VALUE"""),1900000.0)</f>
        <v>1900000</v>
      </c>
      <c r="H69" s="32"/>
      <c r="I69" s="32"/>
      <c r="J69" s="32"/>
      <c r="K69" s="32"/>
      <c r="L69" s="32"/>
      <c r="M69" s="32"/>
      <c r="N69" s="32"/>
      <c r="O69" s="32"/>
      <c r="P69" s="32"/>
      <c r="Q69" s="32"/>
      <c r="R69" s="32"/>
      <c r="S69" s="32"/>
      <c r="T69" s="32"/>
      <c r="U69" s="32"/>
      <c r="V69" s="32"/>
      <c r="W69" s="32"/>
      <c r="X69" s="32"/>
      <c r="Y69" s="32"/>
      <c r="Z69" s="32"/>
    </row>
    <row r="70">
      <c r="A70" s="32" t="str">
        <f>IFERROR(__xludf.DUMMYFUNCTION("""COMPUTED_VALUE"""),"Crystal Healing Amulet")</f>
        <v>Crystal Healing Amulet</v>
      </c>
      <c r="B70" s="32"/>
      <c r="C70" s="32"/>
      <c r="D70" s="32" t="str">
        <f>IFERROR(__xludf.DUMMYFUNCTION("""COMPUTED_VALUE"""),"Neck")</f>
        <v>Neck</v>
      </c>
      <c r="E70" s="32">
        <f>IFERROR(__xludf.DUMMYFUNCTION("""COMPUTED_VALUE"""),1.0)</f>
        <v>1</v>
      </c>
      <c r="F70" s="3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32">
        <f>IFERROR(__xludf.DUMMYFUNCTION("""COMPUTED_VALUE"""),0.0)</f>
        <v>0</v>
      </c>
      <c r="H70" s="32"/>
      <c r="I70" s="32"/>
      <c r="J70" s="32"/>
      <c r="K70" s="32"/>
      <c r="L70" s="32"/>
      <c r="M70" s="32"/>
      <c r="N70" s="32"/>
      <c r="O70" s="32"/>
      <c r="P70" s="32"/>
      <c r="Q70" s="32"/>
      <c r="R70" s="32"/>
      <c r="S70" s="32"/>
      <c r="T70" s="32"/>
      <c r="U70" s="32"/>
      <c r="V70" s="32"/>
      <c r="W70" s="32"/>
      <c r="X70" s="32"/>
      <c r="Y70" s="32"/>
      <c r="Z70" s="32"/>
    </row>
    <row r="71">
      <c r="A71" s="32" t="str">
        <f>IFERROR(__xludf.DUMMYFUNCTION("""COMPUTED_VALUE"""),"Crystal Longsword")</f>
        <v>Crystal Longsword</v>
      </c>
      <c r="B71" s="32"/>
      <c r="C71" s="32" t="str">
        <f>IFERROR(__xludf.DUMMYFUNCTION("""COMPUTED_VALUE"""),"Sword")</f>
        <v>Sword</v>
      </c>
      <c r="D71" s="32" t="str">
        <f>IFERROR(__xludf.DUMMYFUNCTION("""COMPUTED_VALUE"""),"Hand")</f>
        <v>Hand</v>
      </c>
      <c r="E71" s="32">
        <f>IFERROR(__xludf.DUMMYFUNCTION("""COMPUTED_VALUE"""),200.0)</f>
        <v>200</v>
      </c>
      <c r="F71" s="3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32">
        <f>IFERROR(__xludf.DUMMYFUNCTION("""COMPUTED_VALUE"""),1900000.0)</f>
        <v>1900000</v>
      </c>
      <c r="H71" s="32"/>
      <c r="I71" s="32"/>
      <c r="J71" s="32"/>
      <c r="K71" s="32"/>
      <c r="L71" s="32"/>
      <c r="M71" s="32"/>
      <c r="N71" s="32"/>
      <c r="O71" s="32"/>
      <c r="P71" s="32"/>
      <c r="Q71" s="32"/>
      <c r="R71" s="32"/>
      <c r="S71" s="32"/>
      <c r="T71" s="32"/>
      <c r="U71" s="32"/>
      <c r="V71" s="32"/>
      <c r="W71" s="32"/>
      <c r="X71" s="32"/>
      <c r="Y71" s="32"/>
      <c r="Z71" s="32"/>
    </row>
    <row r="72">
      <c r="A72" s="32" t="str">
        <f>IFERROR(__xludf.DUMMYFUNCTION("""COMPUTED_VALUE"""),"Crystal Ring")</f>
        <v>Crystal Ring</v>
      </c>
      <c r="B72" s="32"/>
      <c r="C72" s="32"/>
      <c r="D72" s="32" t="str">
        <f>IFERROR(__xludf.DUMMYFUNCTION("""COMPUTED_VALUE"""),"Ring")</f>
        <v>Ring</v>
      </c>
      <c r="E72" s="32">
        <f>IFERROR(__xludf.DUMMYFUNCTION("""COMPUTED_VALUE"""),1.0)</f>
        <v>1</v>
      </c>
      <c r="F72" s="32" t="str">
        <f>IFERROR(__xludf.DUMMYFUNCTION("""COMPUTED_VALUE""")," ++When equipped, Gem and Crystal related weapons deal an additional X2 damage for the user.")</f>
        <v> ++When equipped, Gem and Crystal related weapons deal an additional X2 damage for the user.</v>
      </c>
      <c r="G72" s="32">
        <f>IFERROR(__xludf.DUMMYFUNCTION("""COMPUTED_VALUE"""),0.0)</f>
        <v>0</v>
      </c>
      <c r="H72" s="32"/>
      <c r="I72" s="32"/>
      <c r="J72" s="32"/>
      <c r="K72" s="32"/>
      <c r="L72" s="32"/>
      <c r="M72" s="32"/>
      <c r="N72" s="32"/>
      <c r="O72" s="32"/>
      <c r="P72" s="32"/>
      <c r="Q72" s="32"/>
      <c r="R72" s="32"/>
      <c r="S72" s="32"/>
      <c r="T72" s="32"/>
      <c r="U72" s="32"/>
      <c r="V72" s="32"/>
      <c r="W72" s="32"/>
      <c r="X72" s="32"/>
      <c r="Y72" s="32"/>
      <c r="Z72" s="32"/>
    </row>
    <row r="73">
      <c r="A73" s="32" t="str">
        <f>IFERROR(__xludf.DUMMYFUNCTION("""COMPUTED_VALUE"""),"Crystal Shield")</f>
        <v>Crystal Shield</v>
      </c>
      <c r="B73" s="32"/>
      <c r="C73" s="32" t="str">
        <f>IFERROR(__xludf.DUMMYFUNCTION("""COMPUTED_VALUE"""),"Buckler")</f>
        <v>Buckler</v>
      </c>
      <c r="D73" s="32" t="str">
        <f>IFERROR(__xludf.DUMMYFUNCTION("""COMPUTED_VALUE"""),"Hand")</f>
        <v>Hand</v>
      </c>
      <c r="E73" s="32">
        <f>IFERROR(__xludf.DUMMYFUNCTION("""COMPUTED_VALUE"""),200.0)</f>
        <v>200</v>
      </c>
      <c r="F73" s="32" t="str">
        <f>IFERROR(__xludf.DUMMYFUNCTION("""COMPUTED_VALUE"""),"DEF: +10000 ++Take half damage from Gem and Crystal related weapons.")</f>
        <v>DEF: +10000 ++Take half damage from Gem and Crystal related weapons.</v>
      </c>
      <c r="G73" s="32">
        <f>IFERROR(__xludf.DUMMYFUNCTION("""COMPUTED_VALUE"""),1900000.0)</f>
        <v>1900000</v>
      </c>
      <c r="H73" s="32"/>
      <c r="I73" s="32"/>
      <c r="J73" s="32"/>
      <c r="K73" s="32"/>
      <c r="L73" s="32"/>
      <c r="M73" s="32"/>
      <c r="N73" s="32"/>
      <c r="O73" s="32"/>
      <c r="P73" s="32"/>
      <c r="Q73" s="32"/>
      <c r="R73" s="32"/>
      <c r="S73" s="32"/>
      <c r="T73" s="32"/>
      <c r="U73" s="32"/>
      <c r="V73" s="32"/>
      <c r="W73" s="32"/>
      <c r="X73" s="32"/>
      <c r="Y73" s="32"/>
      <c r="Z73" s="32"/>
    </row>
    <row r="74">
      <c r="A74" s="32" t="str">
        <f>IFERROR(__xludf.DUMMYFUNCTION("""COMPUTED_VALUE"""),"Crystal Staff")</f>
        <v>Crystal Staff</v>
      </c>
      <c r="B74" s="32"/>
      <c r="C74" s="32" t="str">
        <f>IFERROR(__xludf.DUMMYFUNCTION("""COMPUTED_VALUE"""),"Staff")</f>
        <v>Staff</v>
      </c>
      <c r="D74" s="32" t="str">
        <f>IFERROR(__xludf.DUMMYFUNCTION("""COMPUTED_VALUE"""),"Hand")</f>
        <v>Hand</v>
      </c>
      <c r="E74" s="32">
        <f>IFERROR(__xludf.DUMMYFUNCTION("""COMPUTED_VALUE"""),1.0)</f>
        <v>1</v>
      </c>
      <c r="F74" s="3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32">
        <f>IFERROR(__xludf.DUMMYFUNCTION("""COMPUTED_VALUE"""),0.0)</f>
        <v>0</v>
      </c>
      <c r="H74" s="32"/>
      <c r="I74" s="32"/>
      <c r="J74" s="32"/>
      <c r="K74" s="32"/>
      <c r="L74" s="32"/>
      <c r="M74" s="32"/>
      <c r="N74" s="32"/>
      <c r="O74" s="32"/>
      <c r="P74" s="32"/>
      <c r="Q74" s="32"/>
      <c r="R74" s="32"/>
      <c r="S74" s="32"/>
      <c r="T74" s="32"/>
      <c r="U74" s="32"/>
      <c r="V74" s="32"/>
      <c r="W74" s="32"/>
      <c r="X74" s="32"/>
      <c r="Y74" s="32"/>
      <c r="Z74" s="32"/>
    </row>
    <row r="75">
      <c r="A75" s="32" t="str">
        <f>IFERROR(__xludf.DUMMYFUNCTION("""COMPUTED_VALUE"""),"Crystal Sword")</f>
        <v>Crystal Sword</v>
      </c>
      <c r="B75" s="32"/>
      <c r="C75" s="32" t="str">
        <f>IFERROR(__xludf.DUMMYFUNCTION("""COMPUTED_VALUE"""),"Sword")</f>
        <v>Sword</v>
      </c>
      <c r="D75" s="32" t="str">
        <f>IFERROR(__xludf.DUMMYFUNCTION("""COMPUTED_VALUE"""),"Hand")</f>
        <v>Hand</v>
      </c>
      <c r="E75" s="32">
        <f>IFERROR(__xludf.DUMMYFUNCTION("""COMPUTED_VALUE"""),80.0)</f>
        <v>80</v>
      </c>
      <c r="F75" s="3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32">
        <f>IFERROR(__xludf.DUMMYFUNCTION("""COMPUTED_VALUE"""),280000.0)</f>
        <v>280000</v>
      </c>
      <c r="H75" s="32"/>
      <c r="I75" s="32"/>
      <c r="J75" s="32"/>
      <c r="K75" s="32"/>
      <c r="L75" s="32"/>
      <c r="M75" s="32"/>
      <c r="N75" s="32"/>
      <c r="O75" s="32"/>
      <c r="P75" s="32"/>
      <c r="Q75" s="32"/>
      <c r="R75" s="32"/>
      <c r="S75" s="32"/>
      <c r="T75" s="32"/>
      <c r="U75" s="32"/>
      <c r="V75" s="32"/>
      <c r="W75" s="32"/>
      <c r="X75" s="32"/>
      <c r="Y75" s="32"/>
      <c r="Z75" s="32"/>
    </row>
    <row r="76">
      <c r="A76" s="32" t="str">
        <f>IFERROR(__xludf.DUMMYFUNCTION("""COMPUTED_VALUE"""),"Cursed Blade")</f>
        <v>Cursed Blade</v>
      </c>
      <c r="B76" s="32"/>
      <c r="C76" s="32" t="str">
        <f>IFERROR(__xludf.DUMMYFUNCTION("""COMPUTED_VALUE"""),"Sword")</f>
        <v>Sword</v>
      </c>
      <c r="D76" s="32" t="str">
        <f>IFERROR(__xludf.DUMMYFUNCTION("""COMPUTED_VALUE"""),"Hand")</f>
        <v>Hand</v>
      </c>
      <c r="E76" s="32">
        <f>IFERROR(__xludf.DUMMYFUNCTION("""COMPUTED_VALUE"""),620.0)</f>
        <v>620</v>
      </c>
      <c r="F76" s="32" t="str">
        <f>IFERROR(__xludf.DUMMYFUNCTION("""COMPUTED_VALUE"""),"DMG: +30000, Dark DMG: +1000 +- -5 evasion and mobility while equipped.")</f>
        <v>DMG: +30000, Dark DMG: +1000 +- -5 evasion and mobility while equipped.</v>
      </c>
      <c r="G76" s="32">
        <f>IFERROR(__xludf.DUMMYFUNCTION("""COMPUTED_VALUE"""),1.891E7)</f>
        <v>18910000</v>
      </c>
      <c r="H76" s="32"/>
      <c r="I76" s="32"/>
      <c r="J76" s="32"/>
      <c r="K76" s="32"/>
      <c r="L76" s="32"/>
      <c r="M76" s="32"/>
      <c r="N76" s="32"/>
      <c r="O76" s="32"/>
      <c r="P76" s="32"/>
      <c r="Q76" s="32"/>
      <c r="R76" s="32"/>
      <c r="S76" s="32"/>
      <c r="T76" s="32"/>
      <c r="U76" s="32"/>
      <c r="V76" s="32"/>
      <c r="W76" s="32"/>
      <c r="X76" s="32"/>
      <c r="Y76" s="32"/>
      <c r="Z76" s="32"/>
    </row>
    <row r="77">
      <c r="A77" s="32" t="str">
        <f>IFERROR(__xludf.DUMMYFUNCTION("""COMPUTED_VALUE"""),"Cursed Blade of The Void Realm")</f>
        <v>Cursed Blade of The Void Realm</v>
      </c>
      <c r="B77" s="32"/>
      <c r="C77" s="32" t="str">
        <f>IFERROR(__xludf.DUMMYFUNCTION("""COMPUTED_VALUE"""),"Sword")</f>
        <v>Sword</v>
      </c>
      <c r="D77" s="32" t="str">
        <f>IFERROR(__xludf.DUMMYFUNCTION("""COMPUTED_VALUE"""),"Hand")</f>
        <v>Hand</v>
      </c>
      <c r="E77" s="32">
        <f>IFERROR(__xludf.DUMMYFUNCTION("""COMPUTED_VALUE"""),1.0)</f>
        <v>1</v>
      </c>
      <c r="F77" s="32" t="str">
        <f>IFERROR(__xludf.DUMMYFUNCTION("""COMPUTED_VALUE""")," +-When equipped this item cannot be unequipped for 3 rounds, +-Depletes 1000 SP per round.")</f>
        <v> +-When equipped this item cannot be unequipped for 3 rounds, +-Depletes 1000 SP per round.</v>
      </c>
      <c r="G77" s="32">
        <f>IFERROR(__xludf.DUMMYFUNCTION("""COMPUTED_VALUE"""),0.0)</f>
        <v>0</v>
      </c>
      <c r="H77" s="32"/>
      <c r="I77" s="32"/>
      <c r="J77" s="32"/>
      <c r="K77" s="32"/>
      <c r="L77" s="32"/>
      <c r="M77" s="32"/>
      <c r="N77" s="32"/>
      <c r="O77" s="32"/>
      <c r="P77" s="32"/>
      <c r="Q77" s="32"/>
      <c r="R77" s="32"/>
      <c r="S77" s="32"/>
      <c r="T77" s="32"/>
      <c r="U77" s="32"/>
      <c r="V77" s="32"/>
      <c r="W77" s="32"/>
      <c r="X77" s="32"/>
      <c r="Y77" s="32"/>
      <c r="Z77" s="32"/>
    </row>
    <row r="78">
      <c r="A78" s="32" t="str">
        <f>IFERROR(__xludf.DUMMYFUNCTION("""COMPUTED_VALUE"""),"Dagger")</f>
        <v>Dagger</v>
      </c>
      <c r="B78" s="32" t="str">
        <f>IFERROR(__xludf.DUMMYFUNCTION("""COMPUTED_VALUE"""),"The first weapon ")</f>
        <v>The first weapon </v>
      </c>
      <c r="C78" s="32" t="str">
        <f>IFERROR(__xludf.DUMMYFUNCTION("""COMPUTED_VALUE"""),"Knife")</f>
        <v>Knife</v>
      </c>
      <c r="D78" s="32" t="str">
        <f>IFERROR(__xludf.DUMMYFUNCTION("""COMPUTED_VALUE"""),"Hand")</f>
        <v>Hand</v>
      </c>
      <c r="E78" s="32">
        <f>IFERROR(__xludf.DUMMYFUNCTION("""COMPUTED_VALUE"""),20.0)</f>
        <v>20</v>
      </c>
      <c r="F78" s="32" t="str">
        <f>IFERROR(__xludf.DUMMYFUNCTION("""COMPUTED_VALUE"""),"DMG: +1000")</f>
        <v>DMG: +1000</v>
      </c>
      <c r="G78" s="32">
        <f>IFERROR(__xludf.DUMMYFUNCTION("""COMPUTED_VALUE"""),10000.0)</f>
        <v>10000</v>
      </c>
      <c r="H78" s="32"/>
      <c r="I78" s="32"/>
      <c r="J78" s="32"/>
      <c r="K78" s="32"/>
      <c r="L78" s="32"/>
      <c r="M78" s="32"/>
      <c r="N78" s="32"/>
      <c r="O78" s="32"/>
      <c r="P78" s="32"/>
      <c r="Q78" s="32"/>
      <c r="R78" s="32"/>
      <c r="S78" s="32"/>
      <c r="T78" s="32"/>
      <c r="U78" s="32"/>
      <c r="V78" s="32"/>
      <c r="W78" s="32"/>
      <c r="X78" s="32"/>
      <c r="Y78" s="32"/>
      <c r="Z78" s="32"/>
    </row>
    <row r="79">
      <c r="A79" s="32" t="str">
        <f>IFERROR(__xludf.DUMMYFUNCTION("""COMPUTED_VALUE"""),"Dagger of Flowers")</f>
        <v>Dagger of Flowers</v>
      </c>
      <c r="B79" s="32" t="str">
        <f>IFERROR(__xludf.DUMMYFUNCTION("""COMPUTED_VALUE"""),"(Event Exclusive)")</f>
        <v>(Event Exclusive)</v>
      </c>
      <c r="C79" s="32" t="str">
        <f>IFERROR(__xludf.DUMMYFUNCTION("""COMPUTED_VALUE"""),"Knife")</f>
        <v>Knife</v>
      </c>
      <c r="D79" s="32" t="str">
        <f>IFERROR(__xludf.DUMMYFUNCTION("""COMPUTED_VALUE"""),"Hand")</f>
        <v>Hand</v>
      </c>
      <c r="E79" s="32">
        <f>IFERROR(__xludf.DUMMYFUNCTION("""COMPUTED_VALUE"""),90.0)</f>
        <v>90</v>
      </c>
      <c r="F79" s="32" t="str">
        <f>IFERROR(__xludf.DUMMYFUNCTION("""COMPUTED_VALUE"""),"DMG: +3000, Nature DMG: +1500")</f>
        <v>DMG: +3000, Nature DMG: +1500</v>
      </c>
      <c r="G79" s="32">
        <f>IFERROR(__xludf.DUMMYFUNCTION("""COMPUTED_VALUE"""),360000.0)</f>
        <v>360000</v>
      </c>
      <c r="H79" s="32"/>
      <c r="I79" s="32"/>
      <c r="J79" s="32"/>
      <c r="K79" s="32"/>
      <c r="L79" s="32"/>
      <c r="M79" s="32"/>
      <c r="N79" s="32"/>
      <c r="O79" s="32"/>
      <c r="P79" s="32"/>
      <c r="Q79" s="32"/>
      <c r="R79" s="32"/>
      <c r="S79" s="32"/>
      <c r="T79" s="32"/>
      <c r="U79" s="32"/>
      <c r="V79" s="32"/>
      <c r="W79" s="32"/>
      <c r="X79" s="32"/>
      <c r="Y79" s="32"/>
      <c r="Z79" s="32"/>
    </row>
    <row r="80">
      <c r="A80" s="32" t="str">
        <f>IFERROR(__xludf.DUMMYFUNCTION("""COMPUTED_VALUE"""),"Dagger of The Cultist")</f>
        <v>Dagger of The Cultist</v>
      </c>
      <c r="B80" s="32"/>
      <c r="C80" s="32" t="str">
        <f>IFERROR(__xludf.DUMMYFUNCTION("""COMPUTED_VALUE"""),"Knife")</f>
        <v>Knife</v>
      </c>
      <c r="D80" s="32" t="str">
        <f>IFERROR(__xludf.DUMMYFUNCTION("""COMPUTED_VALUE"""),"Hand")</f>
        <v>Hand</v>
      </c>
      <c r="E80" s="32">
        <f>IFERROR(__xludf.DUMMYFUNCTION("""COMPUTED_VALUE"""),120.0)</f>
        <v>120</v>
      </c>
      <c r="F80" s="32" t="str">
        <f>IFERROR(__xludf.DUMMYFUNCTION("""COMPUTED_VALUE"""),"DMG: +2000, Dark DMG: +2000, Chaos DMG: +2000 (Cultist Set) ++25% chance of instant death to the target.")</f>
        <v>DMG: +2000, Dark DMG: +2000, Chaos DMG: +2000 (Cultist Set) ++25% chance of instant death to the target.</v>
      </c>
      <c r="G80" s="32">
        <f>IFERROR(__xludf.DUMMYFUNCTION("""COMPUTED_VALUE"""),660000.0)</f>
        <v>660000</v>
      </c>
      <c r="H80" s="32"/>
      <c r="I80" s="32"/>
      <c r="J80" s="32"/>
      <c r="K80" s="32"/>
      <c r="L80" s="32"/>
      <c r="M80" s="32"/>
      <c r="N80" s="32"/>
      <c r="O80" s="32"/>
      <c r="P80" s="32"/>
      <c r="Q80" s="32"/>
      <c r="R80" s="32"/>
      <c r="S80" s="32"/>
      <c r="T80" s="32"/>
      <c r="U80" s="32"/>
      <c r="V80" s="32"/>
      <c r="W80" s="32"/>
      <c r="X80" s="32"/>
      <c r="Y80" s="32"/>
      <c r="Z80" s="32"/>
    </row>
    <row r="81">
      <c r="A81" s="32" t="str">
        <f>IFERROR(__xludf.DUMMYFUNCTION("""COMPUTED_VALUE"""),"Dark Ice Sword")</f>
        <v>Dark Ice Sword</v>
      </c>
      <c r="B81" s="32"/>
      <c r="C81" s="32" t="str">
        <f>IFERROR(__xludf.DUMMYFUNCTION("""COMPUTED_VALUE"""),"Sword")</f>
        <v>Sword</v>
      </c>
      <c r="D81" s="32" t="str">
        <f>IFERROR(__xludf.DUMMYFUNCTION("""COMPUTED_VALUE"""),"Hand")</f>
        <v>Hand</v>
      </c>
      <c r="E81" s="32">
        <f>IFERROR(__xludf.DUMMYFUNCTION("""COMPUTED_VALUE"""),20.0)</f>
        <v>20</v>
      </c>
      <c r="F81" s="32" t="str">
        <f>IFERROR(__xludf.DUMMYFUNCTION("""COMPUTED_VALUE"""),"DMG: +600 ++25% Chance to freeze target.")</f>
        <v>DMG: +600 ++25% Chance to freeze target.</v>
      </c>
      <c r="G81" s="32">
        <f>IFERROR(__xludf.DUMMYFUNCTION("""COMPUTED_VALUE"""),1000.0)</f>
        <v>1000</v>
      </c>
      <c r="H81" s="32"/>
      <c r="I81" s="32"/>
      <c r="J81" s="32"/>
      <c r="K81" s="32"/>
      <c r="L81" s="32"/>
      <c r="M81" s="32"/>
      <c r="N81" s="32"/>
      <c r="O81" s="32"/>
      <c r="P81" s="32"/>
      <c r="Q81" s="32"/>
      <c r="R81" s="32"/>
      <c r="S81" s="32"/>
      <c r="T81" s="32"/>
      <c r="U81" s="32"/>
      <c r="V81" s="32"/>
      <c r="W81" s="32"/>
      <c r="X81" s="32"/>
      <c r="Y81" s="32"/>
      <c r="Z81" s="32"/>
    </row>
    <row r="82">
      <c r="A82" s="32" t="str">
        <f>IFERROR(__xludf.DUMMYFUNCTION("""COMPUTED_VALUE"""),"Dark Knight Helm")</f>
        <v>Dark Knight Helm</v>
      </c>
      <c r="B82" s="32"/>
      <c r="C82" s="32"/>
      <c r="D82" s="32" t="str">
        <f>IFERROR(__xludf.DUMMYFUNCTION("""COMPUTED_VALUE"""),"Head")</f>
        <v>Head</v>
      </c>
      <c r="E82" s="32">
        <f>IFERROR(__xludf.DUMMYFUNCTION("""COMPUTED_VALUE"""),10.0)</f>
        <v>10</v>
      </c>
      <c r="F82" s="32" t="str">
        <f>IFERROR(__xludf.DUMMYFUNCTION("""COMPUTED_VALUE"""),"DEF: +500 ++Immune to dark damage")</f>
        <v>DEF: +500 ++Immune to dark damage</v>
      </c>
      <c r="G82" s="32">
        <f>IFERROR(__xludf.DUMMYFUNCTION("""COMPUTED_VALUE"""),1000.0)</f>
        <v>1000</v>
      </c>
      <c r="H82" s="32"/>
      <c r="I82" s="32"/>
      <c r="J82" s="32"/>
      <c r="K82" s="32"/>
      <c r="L82" s="32"/>
      <c r="M82" s="32"/>
      <c r="N82" s="32"/>
      <c r="O82" s="32"/>
      <c r="P82" s="32"/>
      <c r="Q82" s="32"/>
      <c r="R82" s="32"/>
      <c r="S82" s="32"/>
      <c r="T82" s="32"/>
      <c r="U82" s="32"/>
      <c r="V82" s="32"/>
      <c r="W82" s="32"/>
      <c r="X82" s="32"/>
      <c r="Y82" s="32"/>
      <c r="Z82" s="32"/>
    </row>
    <row r="83">
      <c r="A83" s="32" t="str">
        <f>IFERROR(__xludf.DUMMYFUNCTION("""COMPUTED_VALUE"""),"Dark Wand")</f>
        <v>Dark Wand</v>
      </c>
      <c r="B83" s="32"/>
      <c r="C83" s="32" t="str">
        <f>IFERROR(__xludf.DUMMYFUNCTION("""COMPUTED_VALUE"""),"Wand")</f>
        <v>Wand</v>
      </c>
      <c r="D83" s="32" t="str">
        <f>IFERROR(__xludf.DUMMYFUNCTION("""COMPUTED_VALUE"""),"Hand")</f>
        <v>Hand</v>
      </c>
      <c r="E83" s="32">
        <f>IFERROR(__xludf.DUMMYFUNCTION("""COMPUTED_VALUE"""),1.0)</f>
        <v>1</v>
      </c>
      <c r="F83" s="32" t="str">
        <f>IFERROR(__xludf.DUMMYFUNCTION("""COMPUTED_VALUE""")," ++Half the SP cost of dark spells")</f>
        <v> ++Half the SP cost of dark spells</v>
      </c>
      <c r="G83" s="32">
        <f>IFERROR(__xludf.DUMMYFUNCTION("""COMPUTED_VALUE"""),0.0)</f>
        <v>0</v>
      </c>
      <c r="H83" s="32"/>
      <c r="I83" s="32"/>
      <c r="J83" s="32"/>
      <c r="K83" s="32"/>
      <c r="L83" s="32"/>
      <c r="M83" s="32"/>
      <c r="N83" s="32"/>
      <c r="O83" s="32"/>
      <c r="P83" s="32"/>
      <c r="Q83" s="32"/>
      <c r="R83" s="32"/>
      <c r="S83" s="32"/>
      <c r="T83" s="32"/>
      <c r="U83" s="32"/>
      <c r="V83" s="32"/>
      <c r="W83" s="32"/>
      <c r="X83" s="32"/>
      <c r="Y83" s="32"/>
      <c r="Z83" s="32"/>
    </row>
    <row r="84">
      <c r="A84" s="32" t="str">
        <f>IFERROR(__xludf.DUMMYFUNCTION("""COMPUTED_VALUE"""),"Dead Forest Blade")</f>
        <v>Dead Forest Blade</v>
      </c>
      <c r="B84" s="32"/>
      <c r="C84" s="32" t="str">
        <f>IFERROR(__xludf.DUMMYFUNCTION("""COMPUTED_VALUE"""),"Sword")</f>
        <v>Sword</v>
      </c>
      <c r="D84" s="32" t="str">
        <f>IFERROR(__xludf.DUMMYFUNCTION("""COMPUTED_VALUE"""),"Hand")</f>
        <v>Hand</v>
      </c>
      <c r="E84" s="32">
        <f>IFERROR(__xludf.DUMMYFUNCTION("""COMPUTED_VALUE"""),180.0)</f>
        <v>180</v>
      </c>
      <c r="F84" s="32"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32">
        <f>IFERROR(__xludf.DUMMYFUNCTION("""COMPUTED_VALUE"""),1530000.0)</f>
        <v>1530000</v>
      </c>
      <c r="H84" s="32"/>
      <c r="I84" s="32"/>
      <c r="J84" s="32"/>
      <c r="K84" s="32"/>
      <c r="L84" s="32"/>
      <c r="M84" s="32"/>
      <c r="N84" s="32"/>
      <c r="O84" s="32"/>
      <c r="P84" s="32"/>
      <c r="Q84" s="32"/>
      <c r="R84" s="32"/>
      <c r="S84" s="32"/>
      <c r="T84" s="32"/>
      <c r="U84" s="32"/>
      <c r="V84" s="32"/>
      <c r="W84" s="32"/>
      <c r="X84" s="32"/>
      <c r="Y84" s="32"/>
      <c r="Z84" s="32"/>
    </row>
    <row r="85">
      <c r="A85" s="32" t="str">
        <f>IFERROR(__xludf.DUMMYFUNCTION("""COMPUTED_VALUE"""),"Dead Forest Branch")</f>
        <v>Dead Forest Branch</v>
      </c>
      <c r="B85" s="32"/>
      <c r="C85" s="32" t="str">
        <f>IFERROR(__xludf.DUMMYFUNCTION("""COMPUTED_VALUE"""),"Club")</f>
        <v>Club</v>
      </c>
      <c r="D85" s="32" t="str">
        <f>IFERROR(__xludf.DUMMYFUNCTION("""COMPUTED_VALUE"""),"Hand")</f>
        <v>Hand</v>
      </c>
      <c r="E85" s="32">
        <f>IFERROR(__xludf.DUMMYFUNCTION("""COMPUTED_VALUE"""),200.0)</f>
        <v>200</v>
      </c>
      <c r="F85" s="32" t="str">
        <f>IFERROR(__xludf.DUMMYFUNCTION("""COMPUTED_VALUE"""),", Celestial DMG: +10000000 ++This Branch will deal 10,000,000 celestial damage but it has a 95% chance to break")</f>
        <v>, Celestial DMG: +10000000 ++This Branch will deal 10,000,000 celestial damage but it has a 95% chance to break</v>
      </c>
      <c r="G85" s="32">
        <f>IFERROR(__xludf.DUMMYFUNCTION("""COMPUTED_VALUE"""),2.8788E10)</f>
        <v>28788000000</v>
      </c>
      <c r="H85" s="32"/>
      <c r="I85" s="32"/>
      <c r="J85" s="32"/>
      <c r="K85" s="32"/>
      <c r="L85" s="32"/>
      <c r="M85" s="32"/>
      <c r="N85" s="32"/>
      <c r="O85" s="32"/>
      <c r="P85" s="32"/>
      <c r="Q85" s="32"/>
      <c r="R85" s="32"/>
      <c r="S85" s="32"/>
      <c r="T85" s="32"/>
      <c r="U85" s="32"/>
      <c r="V85" s="32"/>
      <c r="W85" s="32"/>
      <c r="X85" s="32"/>
      <c r="Y85" s="32"/>
      <c r="Z85" s="32"/>
    </row>
    <row r="86">
      <c r="A86" s="32" t="str">
        <f>IFERROR(__xludf.DUMMYFUNCTION("""COMPUTED_VALUE"""),"Death's Scythe")</f>
        <v>Death's Scythe</v>
      </c>
      <c r="B86" s="32"/>
      <c r="C86" s="32" t="str">
        <f>IFERROR(__xludf.DUMMYFUNCTION("""COMPUTED_VALUE"""),"Scythe")</f>
        <v>Scythe</v>
      </c>
      <c r="D86" s="32" t="str">
        <f>IFERROR(__xludf.DUMMYFUNCTION("""COMPUTED_VALUE"""),"Hand")</f>
        <v>Hand</v>
      </c>
      <c r="E86" s="32">
        <f>IFERROR(__xludf.DUMMYFUNCTION("""COMPUTED_VALUE"""),600.0)</f>
        <v>600</v>
      </c>
      <c r="F86" s="3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32">
        <f>IFERROR(__xludf.DUMMYFUNCTION("""COMPUTED_VALUE"""),1.77E7)</f>
        <v>17700000</v>
      </c>
      <c r="H86" s="32"/>
      <c r="I86" s="32"/>
      <c r="J86" s="32"/>
      <c r="K86" s="32"/>
      <c r="L86" s="32"/>
      <c r="M86" s="32"/>
      <c r="N86" s="32"/>
      <c r="O86" s="32"/>
      <c r="P86" s="32"/>
      <c r="Q86" s="32"/>
      <c r="R86" s="32"/>
      <c r="S86" s="32"/>
      <c r="T86" s="32"/>
      <c r="U86" s="32"/>
      <c r="V86" s="32"/>
      <c r="W86" s="32"/>
      <c r="X86" s="32"/>
      <c r="Y86" s="32"/>
      <c r="Z86" s="32"/>
    </row>
    <row r="87">
      <c r="A87" s="32" t="str">
        <f>IFERROR(__xludf.DUMMYFUNCTION("""COMPUTED_VALUE"""),"Demonic Scythe of Chaos ")</f>
        <v>Demonic Scythe of Chaos </v>
      </c>
      <c r="B87" s="32"/>
      <c r="C87" s="32" t="str">
        <f>IFERROR(__xludf.DUMMYFUNCTION("""COMPUTED_VALUE"""),"Scythe")</f>
        <v>Scythe</v>
      </c>
      <c r="D87" s="32" t="str">
        <f>IFERROR(__xludf.DUMMYFUNCTION("""COMPUTED_VALUE"""),"Hand")</f>
        <v>Hand</v>
      </c>
      <c r="E87" s="32">
        <f>IFERROR(__xludf.DUMMYFUNCTION("""COMPUTED_VALUE"""),3000.0)</f>
        <v>3000</v>
      </c>
      <c r="F87" s="32" t="str">
        <f>IFERROR(__xludf.DUMMYFUNCTION("""COMPUTED_VALUE"""),"DMG: +50000, Fire DMG: +50000, Chaos DMG: +50000 ++X2  Additional Fire and Chaos damage. +-Cannot be duplicated.")</f>
        <v>DMG: +50000, Fire DMG: +50000, Chaos DMG: +50000 ++X2  Additional Fire and Chaos damage. +-Cannot be duplicated.</v>
      </c>
      <c r="G87" s="32">
        <f>IFERROR(__xludf.DUMMYFUNCTION("""COMPUTED_VALUE"""),4.485E8)</f>
        <v>448500000</v>
      </c>
      <c r="H87" s="32"/>
      <c r="I87" s="32"/>
      <c r="J87" s="32"/>
      <c r="K87" s="32"/>
      <c r="L87" s="32"/>
      <c r="M87" s="32"/>
      <c r="N87" s="32"/>
      <c r="O87" s="32"/>
      <c r="P87" s="32"/>
      <c r="Q87" s="32"/>
      <c r="R87" s="32"/>
      <c r="S87" s="32"/>
      <c r="T87" s="32"/>
      <c r="U87" s="32"/>
      <c r="V87" s="32"/>
      <c r="W87" s="32"/>
      <c r="X87" s="32"/>
      <c r="Y87" s="32"/>
      <c r="Z87" s="32"/>
    </row>
    <row r="88">
      <c r="A88" s="32" t="str">
        <f>IFERROR(__xludf.DUMMYFUNCTION("""COMPUTED_VALUE"""),"Demonic Sword of The King")</f>
        <v>Demonic Sword of The King</v>
      </c>
      <c r="B88" s="32"/>
      <c r="C88" s="32" t="str">
        <f>IFERROR(__xludf.DUMMYFUNCTION("""COMPUTED_VALUE"""),"Sword")</f>
        <v>Sword</v>
      </c>
      <c r="D88" s="32" t="str">
        <f>IFERROR(__xludf.DUMMYFUNCTION("""COMPUTED_VALUE"""),"Hand")</f>
        <v>Hand</v>
      </c>
      <c r="E88" s="32">
        <f>IFERROR(__xludf.DUMMYFUNCTION("""COMPUTED_VALUE"""),200.0)</f>
        <v>200</v>
      </c>
      <c r="F88" s="3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32">
        <f>IFERROR(__xludf.DUMMYFUNCTION("""COMPUTED_VALUE"""),3.196E9)</f>
        <v>3196000000</v>
      </c>
      <c r="H88" s="32"/>
      <c r="I88" s="32"/>
      <c r="J88" s="32"/>
      <c r="K88" s="32"/>
      <c r="L88" s="32"/>
      <c r="M88" s="32"/>
      <c r="N88" s="32"/>
      <c r="O88" s="32"/>
      <c r="P88" s="32"/>
      <c r="Q88" s="32"/>
      <c r="R88" s="32"/>
      <c r="S88" s="32"/>
      <c r="T88" s="32"/>
      <c r="U88" s="32"/>
      <c r="V88" s="32"/>
      <c r="W88" s="32"/>
      <c r="X88" s="32"/>
      <c r="Y88" s="32"/>
      <c r="Z88" s="32"/>
    </row>
    <row r="89">
      <c r="A89" s="32" t="str">
        <f>IFERROR(__xludf.DUMMYFUNCTION("""COMPUTED_VALUE"""),"Dimensional Dagger")</f>
        <v>Dimensional Dagger</v>
      </c>
      <c r="B89" s="32"/>
      <c r="C89" s="32" t="str">
        <f>IFERROR(__xludf.DUMMYFUNCTION("""COMPUTED_VALUE"""),"Knife")</f>
        <v>Knife</v>
      </c>
      <c r="D89" s="32" t="str">
        <f>IFERROR(__xludf.DUMMYFUNCTION("""COMPUTED_VALUE"""),"Hand")</f>
        <v>Hand</v>
      </c>
      <c r="E89" s="32">
        <f>IFERROR(__xludf.DUMMYFUNCTION("""COMPUTED_VALUE"""),200.0)</f>
        <v>200</v>
      </c>
      <c r="F89" s="32" t="str">
        <f>IFERROR(__xludf.DUMMYFUNCTION("""COMPUTED_VALUE"""),"DMG: +5000, Chaos DMG: +5000 ++25% chance to teleport the target being attacked to a random location.")</f>
        <v>DMG: +5000, Chaos DMG: +5000 ++25% chance to teleport the target being attacked to a random location.</v>
      </c>
      <c r="G89" s="32">
        <f>IFERROR(__xludf.DUMMYFUNCTION("""COMPUTED_VALUE"""),1900000.0)</f>
        <v>1900000</v>
      </c>
      <c r="H89" s="32"/>
      <c r="I89" s="32"/>
      <c r="J89" s="32"/>
      <c r="K89" s="32"/>
      <c r="L89" s="32"/>
      <c r="M89" s="32"/>
      <c r="N89" s="32"/>
      <c r="O89" s="32"/>
      <c r="P89" s="32"/>
      <c r="Q89" s="32"/>
      <c r="R89" s="32"/>
      <c r="S89" s="32"/>
      <c r="T89" s="32"/>
      <c r="U89" s="32"/>
      <c r="V89" s="32"/>
      <c r="W89" s="32"/>
      <c r="X89" s="32"/>
      <c r="Y89" s="32"/>
      <c r="Z89" s="32"/>
    </row>
    <row r="90">
      <c r="A90" s="32" t="str">
        <f>IFERROR(__xludf.DUMMYFUNCTION("""COMPUTED_VALUE"""),"Draconic Shield")</f>
        <v>Draconic Shield</v>
      </c>
      <c r="B90" s="32"/>
      <c r="C90" s="32" t="str">
        <f>IFERROR(__xludf.DUMMYFUNCTION("""COMPUTED_VALUE"""),"Towershield")</f>
        <v>Towershield</v>
      </c>
      <c r="D90" s="32" t="str">
        <f>IFERROR(__xludf.DUMMYFUNCTION("""COMPUTED_VALUE"""),"Hand")</f>
        <v>Hand</v>
      </c>
      <c r="E90" s="32">
        <f>IFERROR(__xludf.DUMMYFUNCTION("""COMPUTED_VALUE"""),5000.0)</f>
        <v>5000</v>
      </c>
      <c r="F90" s="3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32">
        <f>IFERROR(__xludf.DUMMYFUNCTION("""COMPUTED_VALUE"""),1.2475E9)</f>
        <v>1247500000</v>
      </c>
      <c r="H90" s="32"/>
      <c r="I90" s="32"/>
      <c r="J90" s="32"/>
      <c r="K90" s="32"/>
      <c r="L90" s="32"/>
      <c r="M90" s="32"/>
      <c r="N90" s="32"/>
      <c r="O90" s="32"/>
      <c r="P90" s="32"/>
      <c r="Q90" s="32"/>
      <c r="R90" s="32"/>
      <c r="S90" s="32"/>
      <c r="T90" s="32"/>
      <c r="U90" s="32"/>
      <c r="V90" s="32"/>
      <c r="W90" s="32"/>
      <c r="X90" s="32"/>
      <c r="Y90" s="32"/>
      <c r="Z90" s="32"/>
    </row>
    <row r="91">
      <c r="A91" s="32" t="str">
        <f>IFERROR(__xludf.DUMMYFUNCTION("""COMPUTED_VALUE"""),"Dragon's Skull")</f>
        <v>Dragon's Skull</v>
      </c>
      <c r="B91" s="32"/>
      <c r="C91" s="32"/>
      <c r="D91" s="32" t="str">
        <f>IFERROR(__xludf.DUMMYFUNCTION("""COMPUTED_VALUE"""),"Head")</f>
        <v>Head</v>
      </c>
      <c r="E91" s="32">
        <f>IFERROR(__xludf.DUMMYFUNCTION("""COMPUTED_VALUE"""),200.0)</f>
        <v>200</v>
      </c>
      <c r="F91" s="32" t="str">
        <f>IFERROR(__xludf.DUMMYFUNCTION("""COMPUTED_VALUE"""),"DEF: +10000 ++Any damage that is dealt to the wearer by a dragon is negated. ++(Dragon Tamers Cannot Wear This)")</f>
        <v>DEF: +10000 ++Any damage that is dealt to the wearer by a dragon is negated. ++(Dragon Tamers Cannot Wear This)</v>
      </c>
      <c r="G91" s="32">
        <f>IFERROR(__xludf.DUMMYFUNCTION("""COMPUTED_VALUE"""),1900000.0)</f>
        <v>1900000</v>
      </c>
      <c r="H91" s="32"/>
      <c r="I91" s="32"/>
      <c r="J91" s="32"/>
      <c r="K91" s="32"/>
      <c r="L91" s="32"/>
      <c r="M91" s="32"/>
      <c r="N91" s="32"/>
      <c r="O91" s="32"/>
      <c r="P91" s="32"/>
      <c r="Q91" s="32"/>
      <c r="R91" s="32"/>
      <c r="S91" s="32"/>
      <c r="T91" s="32"/>
      <c r="U91" s="32"/>
      <c r="V91" s="32"/>
      <c r="W91" s="32"/>
      <c r="X91" s="32"/>
      <c r="Y91" s="32"/>
      <c r="Z91" s="32"/>
    </row>
    <row r="92">
      <c r="A92" s="32" t="str">
        <f>IFERROR(__xludf.DUMMYFUNCTION("""COMPUTED_VALUE"""),"Dragonbone Greatsword")</f>
        <v>Dragonbone Greatsword</v>
      </c>
      <c r="B92" s="32"/>
      <c r="C92" s="32" t="str">
        <f>IFERROR(__xludf.DUMMYFUNCTION("""COMPUTED_VALUE"""),"Sword")</f>
        <v>Sword</v>
      </c>
      <c r="D92" s="32" t="str">
        <f>IFERROR(__xludf.DUMMYFUNCTION("""COMPUTED_VALUE"""),"Hand")</f>
        <v>Hand</v>
      </c>
      <c r="E92" s="32">
        <f>IFERROR(__xludf.DUMMYFUNCTION("""COMPUTED_VALUE"""),200.0)</f>
        <v>200</v>
      </c>
      <c r="F92" s="3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32">
        <f>IFERROR(__xludf.DUMMYFUNCTION("""COMPUTED_VALUE"""),7.194E9)</f>
        <v>7194000000</v>
      </c>
      <c r="H92" s="32"/>
      <c r="I92" s="32"/>
      <c r="J92" s="32"/>
      <c r="K92" s="32"/>
      <c r="L92" s="32"/>
      <c r="M92" s="32"/>
      <c r="N92" s="32"/>
      <c r="O92" s="32"/>
      <c r="P92" s="32"/>
      <c r="Q92" s="32"/>
      <c r="R92" s="32"/>
      <c r="S92" s="32"/>
      <c r="T92" s="32"/>
      <c r="U92" s="32"/>
      <c r="V92" s="32"/>
      <c r="W92" s="32"/>
      <c r="X92" s="32"/>
      <c r="Y92" s="32"/>
      <c r="Z92" s="32"/>
    </row>
    <row r="93">
      <c r="A93" s="32" t="str">
        <f>IFERROR(__xludf.DUMMYFUNCTION("""COMPUTED_VALUE"""),"Dreading Wand Of Fire")</f>
        <v>Dreading Wand Of Fire</v>
      </c>
      <c r="B93" s="32"/>
      <c r="C93" s="32" t="str">
        <f>IFERROR(__xludf.DUMMYFUNCTION("""COMPUTED_VALUE"""),"Wand")</f>
        <v>Wand</v>
      </c>
      <c r="D93" s="32" t="str">
        <f>IFERROR(__xludf.DUMMYFUNCTION("""COMPUTED_VALUE"""),"Hand")</f>
        <v>Hand</v>
      </c>
      <c r="E93" s="32">
        <f>IFERROR(__xludf.DUMMYFUNCTION("""COMPUTED_VALUE"""),1.0)</f>
        <v>1</v>
      </c>
      <c r="F93" s="32" t="str">
        <f>IFERROR(__xludf.DUMMYFUNCTION("""COMPUTED_VALUE""")," ++Half SP costs for fire spells")</f>
        <v> ++Half SP costs for fire spells</v>
      </c>
      <c r="G93" s="32">
        <f>IFERROR(__xludf.DUMMYFUNCTION("""COMPUTED_VALUE"""),0.0)</f>
        <v>0</v>
      </c>
      <c r="H93" s="32"/>
      <c r="I93" s="32"/>
      <c r="J93" s="32"/>
      <c r="K93" s="32"/>
      <c r="L93" s="32"/>
      <c r="M93" s="32"/>
      <c r="N93" s="32"/>
      <c r="O93" s="32"/>
      <c r="P93" s="32"/>
      <c r="Q93" s="32"/>
      <c r="R93" s="32"/>
      <c r="S93" s="32"/>
      <c r="T93" s="32"/>
      <c r="U93" s="32"/>
      <c r="V93" s="32"/>
      <c r="W93" s="32"/>
      <c r="X93" s="32"/>
      <c r="Y93" s="32"/>
      <c r="Z93" s="32"/>
    </row>
    <row r="94">
      <c r="A94" s="32" t="str">
        <f>IFERROR(__xludf.DUMMYFUNCTION("""COMPUTED_VALUE"""),"Dy Yu’s Plated Armor")</f>
        <v>Dy Yu’s Plated Armor</v>
      </c>
      <c r="B94" s="32"/>
      <c r="C94" s="32"/>
      <c r="D94" s="32" t="str">
        <f>IFERROR(__xludf.DUMMYFUNCTION("""COMPUTED_VALUE"""),"Torso")</f>
        <v>Torso</v>
      </c>
      <c r="E94" s="32">
        <f>IFERROR(__xludf.DUMMYFUNCTION("""COMPUTED_VALUE"""),4000.0)</f>
        <v>4000</v>
      </c>
      <c r="F94" s="32"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32">
        <f>IFERROR(__xludf.DUMMYFUNCTION("""COMPUTED_VALUE"""),7.98E8)</f>
        <v>798000000</v>
      </c>
      <c r="H94" s="32"/>
      <c r="I94" s="32"/>
      <c r="J94" s="32"/>
      <c r="K94" s="32"/>
      <c r="L94" s="32"/>
      <c r="M94" s="32"/>
      <c r="N94" s="32"/>
      <c r="O94" s="32"/>
      <c r="P94" s="32"/>
      <c r="Q94" s="32"/>
      <c r="R94" s="32"/>
      <c r="S94" s="32"/>
      <c r="T94" s="32"/>
      <c r="U94" s="32"/>
      <c r="V94" s="32"/>
      <c r="W94" s="32"/>
      <c r="X94" s="32"/>
      <c r="Y94" s="32"/>
      <c r="Z94" s="32"/>
    </row>
    <row r="95">
      <c r="A95" s="32" t="str">
        <f>IFERROR(__xludf.DUMMYFUNCTION("""COMPUTED_VALUE"""),"Easters Ring (Exclusive)")</f>
        <v>Easters Ring (Exclusive)</v>
      </c>
      <c r="B95" s="32"/>
      <c r="C95" s="32"/>
      <c r="D95" s="32" t="str">
        <f>IFERROR(__xludf.DUMMYFUNCTION("""COMPUTED_VALUE"""),"Ring")</f>
        <v>Ring</v>
      </c>
      <c r="E95" s="32">
        <f>IFERROR(__xludf.DUMMYFUNCTION("""COMPUTED_VALUE"""),1.0)</f>
        <v>1</v>
      </c>
      <c r="F95" s="32" t="str">
        <f>IFERROR(__xludf.DUMMYFUNCTION("""COMPUTED_VALUE""")," ++Can turn one bad day of travel into a good day of travel. +-Cannot be forged")</f>
        <v> ++Can turn one bad day of travel into a good day of travel. +-Cannot be forged</v>
      </c>
      <c r="G95" s="32">
        <f>IFERROR(__xludf.DUMMYFUNCTION("""COMPUTED_VALUE"""),0.0)</f>
        <v>0</v>
      </c>
      <c r="H95" s="32"/>
      <c r="I95" s="32"/>
      <c r="J95" s="32"/>
      <c r="K95" s="32"/>
      <c r="L95" s="32"/>
      <c r="M95" s="32"/>
      <c r="N95" s="32"/>
      <c r="O95" s="32"/>
      <c r="P95" s="32"/>
      <c r="Q95" s="32"/>
      <c r="R95" s="32"/>
      <c r="S95" s="32"/>
      <c r="T95" s="32"/>
      <c r="U95" s="32"/>
      <c r="V95" s="32"/>
      <c r="W95" s="32"/>
      <c r="X95" s="32"/>
      <c r="Y95" s="32"/>
      <c r="Z95" s="32"/>
    </row>
    <row r="96">
      <c r="A96" s="32" t="str">
        <f>IFERROR(__xludf.DUMMYFUNCTION("""COMPUTED_VALUE"""),"Enchanted Chestplate of Defense")</f>
        <v>Enchanted Chestplate of Defense</v>
      </c>
      <c r="B96" s="32"/>
      <c r="C96" s="32"/>
      <c r="D96" s="32" t="str">
        <f>IFERROR(__xludf.DUMMYFUNCTION("""COMPUTED_VALUE"""),"Torso")</f>
        <v>Torso</v>
      </c>
      <c r="E96" s="32">
        <f>IFERROR(__xludf.DUMMYFUNCTION("""COMPUTED_VALUE"""),100.0)</f>
        <v>100</v>
      </c>
      <c r="F96" s="32" t="str">
        <f>IFERROR(__xludf.DUMMYFUNCTION("""COMPUTED_VALUE"""),"DEF: +5000 ++Damage received by Spells and Weapons are reduced to half when wearing this.")</f>
        <v>DEF: +5000 ++Damage received by Spells and Weapons are reduced to half when wearing this.</v>
      </c>
      <c r="G96" s="32">
        <f>IFERROR(__xludf.DUMMYFUNCTION("""COMPUTED_VALUE"""),450000.0)</f>
        <v>450000</v>
      </c>
      <c r="H96" s="32"/>
      <c r="I96" s="32"/>
      <c r="J96" s="32"/>
      <c r="K96" s="32"/>
      <c r="L96" s="32"/>
      <c r="M96" s="32"/>
      <c r="N96" s="32"/>
      <c r="O96" s="32"/>
      <c r="P96" s="32"/>
      <c r="Q96" s="32"/>
      <c r="R96" s="32"/>
      <c r="S96" s="32"/>
      <c r="T96" s="32"/>
      <c r="U96" s="32"/>
      <c r="V96" s="32"/>
      <c r="W96" s="32"/>
      <c r="X96" s="32"/>
      <c r="Y96" s="32"/>
      <c r="Z96" s="32"/>
    </row>
    <row r="97">
      <c r="A97" s="32" t="str">
        <f>IFERROR(__xludf.DUMMYFUNCTION("""COMPUTED_VALUE"""),"Enchanted Dagger")</f>
        <v>Enchanted Dagger</v>
      </c>
      <c r="B97" s="32"/>
      <c r="C97" s="32" t="str">
        <f>IFERROR(__xludf.DUMMYFUNCTION("""COMPUTED_VALUE"""),"Knife")</f>
        <v>Knife</v>
      </c>
      <c r="D97" s="32" t="str">
        <f>IFERROR(__xludf.DUMMYFUNCTION("""COMPUTED_VALUE"""),"Hand")</f>
        <v>Hand</v>
      </c>
      <c r="E97" s="32">
        <f>IFERROR(__xludf.DUMMYFUNCTION("""COMPUTED_VALUE"""),1.0)</f>
        <v>1</v>
      </c>
      <c r="F97" s="32" t="str">
        <f>IFERROR(__xludf.DUMMYFUNCTION("""COMPUTED_VALUE"""),": +1 ++100% of instantly killing the target.")</f>
        <v>: +1 ++100% of instantly killing the target.</v>
      </c>
      <c r="G97" s="32">
        <f>IFERROR(__xludf.DUMMYFUNCTION("""COMPUTED_VALUE"""),0.0)</f>
        <v>0</v>
      </c>
      <c r="H97" s="32"/>
      <c r="I97" s="32"/>
      <c r="J97" s="32"/>
      <c r="K97" s="32"/>
      <c r="L97" s="32"/>
      <c r="M97" s="32"/>
      <c r="N97" s="32"/>
      <c r="O97" s="32"/>
      <c r="P97" s="32"/>
      <c r="Q97" s="32"/>
      <c r="R97" s="32"/>
      <c r="S97" s="32"/>
      <c r="T97" s="32"/>
      <c r="U97" s="32"/>
      <c r="V97" s="32"/>
      <c r="W97" s="32"/>
      <c r="X97" s="32"/>
      <c r="Y97" s="32"/>
      <c r="Z97" s="32"/>
    </row>
    <row r="98">
      <c r="A98" s="32" t="str">
        <f>IFERROR(__xludf.DUMMYFUNCTION("""COMPUTED_VALUE"""),"Enchanted Falcon Blade")</f>
        <v>Enchanted Falcon Blade</v>
      </c>
      <c r="B98" s="32"/>
      <c r="C98" s="32" t="str">
        <f>IFERROR(__xludf.DUMMYFUNCTION("""COMPUTED_VALUE"""),"Sword")</f>
        <v>Sword</v>
      </c>
      <c r="D98" s="32" t="str">
        <f>IFERROR(__xludf.DUMMYFUNCTION("""COMPUTED_VALUE"""),"Hand")</f>
        <v>Hand</v>
      </c>
      <c r="E98" s="32">
        <f>IFERROR(__xludf.DUMMYFUNCTION("""COMPUTED_VALUE"""),60.0)</f>
        <v>60</v>
      </c>
      <c r="F98" s="3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32">
        <f>IFERROR(__xludf.DUMMYFUNCTION("""COMPUTED_VALUE"""),100000.0)</f>
        <v>100000</v>
      </c>
      <c r="H98" s="32"/>
      <c r="I98" s="32"/>
      <c r="J98" s="32"/>
      <c r="K98" s="32"/>
      <c r="L98" s="32"/>
      <c r="M98" s="32"/>
      <c r="N98" s="32"/>
      <c r="O98" s="32"/>
      <c r="P98" s="32"/>
      <c r="Q98" s="32"/>
      <c r="R98" s="32"/>
      <c r="S98" s="32"/>
      <c r="T98" s="32"/>
      <c r="U98" s="32"/>
      <c r="V98" s="32"/>
      <c r="W98" s="32"/>
      <c r="X98" s="32"/>
      <c r="Y98" s="32"/>
      <c r="Z98" s="32"/>
    </row>
    <row r="99">
      <c r="A99" s="32" t="str">
        <f>IFERROR(__xludf.DUMMYFUNCTION("""COMPUTED_VALUE"""),"Energy Prong")</f>
        <v>Energy Prong</v>
      </c>
      <c r="B99" s="32"/>
      <c r="C99" s="32" t="str">
        <f>IFERROR(__xludf.DUMMYFUNCTION("""COMPUTED_VALUE"""),"Spear")</f>
        <v>Spear</v>
      </c>
      <c r="D99" s="32" t="str">
        <f>IFERROR(__xludf.DUMMYFUNCTION("""COMPUTED_VALUE"""),"Hand")</f>
        <v>Hand</v>
      </c>
      <c r="E99" s="32">
        <f>IFERROR(__xludf.DUMMYFUNCTION("""COMPUTED_VALUE"""),10.0)</f>
        <v>10</v>
      </c>
      <c r="F99" s="32" t="str">
        <f>IFERROR(__xludf.DUMMYFUNCTION("""COMPUTED_VALUE"""),"DMG: +500 ++50% chance of stun 3.")</f>
        <v>DMG: +500 ++50% chance of stun 3.</v>
      </c>
      <c r="G99" s="32">
        <f>IFERROR(__xludf.DUMMYFUNCTION("""COMPUTED_VALUE"""),1000.0)</f>
        <v>1000</v>
      </c>
      <c r="H99" s="32"/>
      <c r="I99" s="32"/>
      <c r="J99" s="32"/>
      <c r="K99" s="32"/>
      <c r="L99" s="32"/>
      <c r="M99" s="32"/>
      <c r="N99" s="32"/>
      <c r="O99" s="32"/>
      <c r="P99" s="32"/>
      <c r="Q99" s="32"/>
      <c r="R99" s="32"/>
      <c r="S99" s="32"/>
      <c r="T99" s="32"/>
      <c r="U99" s="32"/>
      <c r="V99" s="32"/>
      <c r="W99" s="32"/>
      <c r="X99" s="32"/>
      <c r="Y99" s="32"/>
      <c r="Z99" s="32"/>
    </row>
    <row r="100">
      <c r="A100" s="32" t="str">
        <f>IFERROR(__xludf.DUMMYFUNCTION("""COMPUTED_VALUE"""),"Faery Kings Sword")</f>
        <v>Faery Kings Sword</v>
      </c>
      <c r="B100" s="32"/>
      <c r="C100" s="32" t="str">
        <f>IFERROR(__xludf.DUMMYFUNCTION("""COMPUTED_VALUE"""),"Sword")</f>
        <v>Sword</v>
      </c>
      <c r="D100" s="32" t="str">
        <f>IFERROR(__xludf.DUMMYFUNCTION("""COMPUTED_VALUE"""),"Hand")</f>
        <v>Hand</v>
      </c>
      <c r="E100" s="32">
        <f>IFERROR(__xludf.DUMMYFUNCTION("""COMPUTED_VALUE"""),200.0)</f>
        <v>200</v>
      </c>
      <c r="F100" s="32" t="str">
        <f>IFERROR(__xludf.DUMMYFUNCTION("""COMPUTED_VALUE"""),"DMG: +500000, Nature DMG: +25000, Celestial DMG: +25000")</f>
        <v>DMG: +500000, Nature DMG: +25000, Celestial DMG: +25000</v>
      </c>
      <c r="G100" s="32">
        <f>IFERROR(__xludf.DUMMYFUNCTION("""COMPUTED_VALUE"""),6.0445E9)</f>
        <v>6044500000</v>
      </c>
      <c r="H100" s="32"/>
      <c r="I100" s="32"/>
      <c r="J100" s="32"/>
      <c r="K100" s="32"/>
      <c r="L100" s="32"/>
      <c r="M100" s="32"/>
      <c r="N100" s="32"/>
      <c r="O100" s="32"/>
      <c r="P100" s="32"/>
      <c r="Q100" s="32"/>
      <c r="R100" s="32"/>
      <c r="S100" s="32"/>
      <c r="T100" s="32"/>
      <c r="U100" s="32"/>
      <c r="V100" s="32"/>
      <c r="W100" s="32"/>
      <c r="X100" s="32"/>
      <c r="Y100" s="32"/>
      <c r="Z100" s="32"/>
    </row>
    <row r="101">
      <c r="A101" s="32" t="str">
        <f>IFERROR(__xludf.DUMMYFUNCTION("""COMPUTED_VALUE"""),"False Helmet")</f>
        <v>False Helmet</v>
      </c>
      <c r="B101" s="32"/>
      <c r="C101" s="32"/>
      <c r="D101" s="32" t="str">
        <f>IFERROR(__xludf.DUMMYFUNCTION("""COMPUTED_VALUE"""),"Head")</f>
        <v>Head</v>
      </c>
      <c r="E101" s="32">
        <f>IFERROR(__xludf.DUMMYFUNCTION("""COMPUTED_VALUE"""),1.0)</f>
        <v>1</v>
      </c>
      <c r="F101" s="32" t="str">
        <f>IFERROR(__xludf.DUMMYFUNCTION("""COMPUTED_VALUE""")," ++ ++5 Intimidation, ++ - 2 Charisma. +-Cannot be forged +-Cannot be duplicated.")</f>
        <v> ++ ++5 Intimidation, ++ - 2 Charisma. +-Cannot be forged +-Cannot be duplicated.</v>
      </c>
      <c r="G101" s="32">
        <f>IFERROR(__xludf.DUMMYFUNCTION("""COMPUTED_VALUE"""),0.0)</f>
        <v>0</v>
      </c>
      <c r="H101" s="32"/>
      <c r="I101" s="32"/>
      <c r="J101" s="32"/>
      <c r="K101" s="32"/>
      <c r="L101" s="32"/>
      <c r="M101" s="32"/>
      <c r="N101" s="32"/>
      <c r="O101" s="32"/>
      <c r="P101" s="32"/>
      <c r="Q101" s="32"/>
      <c r="R101" s="32"/>
      <c r="S101" s="32"/>
      <c r="T101" s="32"/>
      <c r="U101" s="32"/>
      <c r="V101" s="32"/>
      <c r="W101" s="32"/>
      <c r="X101" s="32"/>
      <c r="Y101" s="32"/>
      <c r="Z101" s="32"/>
    </row>
    <row r="102">
      <c r="A102" s="32" t="str">
        <f>IFERROR(__xludf.DUMMYFUNCTION("""COMPUTED_VALUE"""),"Felt Cap")</f>
        <v>Felt Cap</v>
      </c>
      <c r="B102" s="32"/>
      <c r="C102" s="32"/>
      <c r="D102" s="32" t="str">
        <f>IFERROR(__xludf.DUMMYFUNCTION("""COMPUTED_VALUE"""),"Head")</f>
        <v>Head</v>
      </c>
      <c r="E102" s="32">
        <f>IFERROR(__xludf.DUMMYFUNCTION("""COMPUTED_VALUE"""),1.0)</f>
        <v>1</v>
      </c>
      <c r="F102" s="32" t="str">
        <f>IFERROR(__xludf.DUMMYFUNCTION("""COMPUTED_VALUE""")," ++ -1 Evasion ++ +2 Intimidation, +-Can only wear one, +-Cannot be duplicated.")</f>
        <v> ++ -1 Evasion ++ +2 Intimidation, +-Can only wear one, +-Cannot be duplicated.</v>
      </c>
      <c r="G102" s="32">
        <f>IFERROR(__xludf.DUMMYFUNCTION("""COMPUTED_VALUE"""),0.0)</f>
        <v>0</v>
      </c>
      <c r="H102" s="32"/>
      <c r="I102" s="32"/>
      <c r="J102" s="32"/>
      <c r="K102" s="32"/>
      <c r="L102" s="32"/>
      <c r="M102" s="32"/>
      <c r="N102" s="32"/>
      <c r="O102" s="32"/>
      <c r="P102" s="32"/>
      <c r="Q102" s="32"/>
      <c r="R102" s="32"/>
      <c r="S102" s="32"/>
      <c r="T102" s="32"/>
      <c r="U102" s="32"/>
      <c r="V102" s="32"/>
      <c r="W102" s="32"/>
      <c r="X102" s="32"/>
      <c r="Y102" s="32"/>
      <c r="Z102" s="32"/>
    </row>
    <row r="103">
      <c r="A103" s="32" t="str">
        <f>IFERROR(__xludf.DUMMYFUNCTION("""COMPUTED_VALUE"""),"Fire Resistant Boots")</f>
        <v>Fire Resistant Boots</v>
      </c>
      <c r="B103" s="32"/>
      <c r="C103" s="32"/>
      <c r="D103" s="32" t="str">
        <f>IFERROR(__xludf.DUMMYFUNCTION("""COMPUTED_VALUE"""),"Feet")</f>
        <v>Feet</v>
      </c>
      <c r="E103" s="32">
        <f>IFERROR(__xludf.DUMMYFUNCTION("""COMPUTED_VALUE"""),200.0)</f>
        <v>200</v>
      </c>
      <c r="F103" s="32" t="str">
        <f>IFERROR(__xludf.DUMMYFUNCTION("""COMPUTED_VALUE"""),", Fire DEF: +10000 ++Fire Immune, ++X2 Additional fire damage. +-Cannot be duplicated.")</f>
        <v>, Fire DEF: +10000 ++Fire Immune, ++X2 Additional fire damage. +-Cannot be duplicated.</v>
      </c>
      <c r="G103" s="32">
        <f>IFERROR(__xludf.DUMMYFUNCTION("""COMPUTED_VALUE"""),1900000.0)</f>
        <v>1900000</v>
      </c>
      <c r="H103" s="32"/>
      <c r="I103" s="32"/>
      <c r="J103" s="32"/>
      <c r="K103" s="32"/>
      <c r="L103" s="32"/>
      <c r="M103" s="32"/>
      <c r="N103" s="32"/>
      <c r="O103" s="32"/>
      <c r="P103" s="32"/>
      <c r="Q103" s="32"/>
      <c r="R103" s="32"/>
      <c r="S103" s="32"/>
      <c r="T103" s="32"/>
      <c r="U103" s="32"/>
      <c r="V103" s="32"/>
      <c r="W103" s="32"/>
      <c r="X103" s="32"/>
      <c r="Y103" s="32"/>
      <c r="Z103" s="32"/>
    </row>
    <row r="104">
      <c r="A104" s="32" t="str">
        <f>IFERROR(__xludf.DUMMYFUNCTION("""COMPUTED_VALUE"""),"Fire Ring")</f>
        <v>Fire Ring</v>
      </c>
      <c r="B104" s="32"/>
      <c r="C104" s="32"/>
      <c r="D104" s="32" t="str">
        <f>IFERROR(__xludf.DUMMYFUNCTION("""COMPUTED_VALUE"""),"Ring")</f>
        <v>Ring</v>
      </c>
      <c r="E104" s="32">
        <f>IFERROR(__xludf.DUMMYFUNCTION("""COMPUTED_VALUE"""),1.0)</f>
        <v>1</v>
      </c>
      <c r="F104" s="32" t="str">
        <f>IFERROR(__xludf.DUMMYFUNCTION("""COMPUTED_VALUE""")," ++Fire Immune, ++X2 Additional fire damage. +-Cannot be duplicated.")</f>
        <v> ++Fire Immune, ++X2 Additional fire damage. +-Cannot be duplicated.</v>
      </c>
      <c r="G104" s="32">
        <f>IFERROR(__xludf.DUMMYFUNCTION("""COMPUTED_VALUE"""),0.0)</f>
        <v>0</v>
      </c>
      <c r="H104" s="32"/>
      <c r="I104" s="32"/>
      <c r="J104" s="32"/>
      <c r="K104" s="32"/>
      <c r="L104" s="32"/>
      <c r="M104" s="32"/>
      <c r="N104" s="32"/>
      <c r="O104" s="32"/>
      <c r="P104" s="32"/>
      <c r="Q104" s="32"/>
      <c r="R104" s="32"/>
      <c r="S104" s="32"/>
      <c r="T104" s="32"/>
      <c r="U104" s="32"/>
      <c r="V104" s="32"/>
      <c r="W104" s="32"/>
      <c r="X104" s="32"/>
      <c r="Y104" s="32"/>
      <c r="Z104" s="32"/>
    </row>
    <row r="105">
      <c r="A105" s="32" t="str">
        <f>IFERROR(__xludf.DUMMYFUNCTION("""COMPUTED_VALUE"""),"Fire Shield")</f>
        <v>Fire Shield</v>
      </c>
      <c r="B105" s="32"/>
      <c r="C105" s="32" t="str">
        <f>IFERROR(__xludf.DUMMYFUNCTION("""COMPUTED_VALUE"""),"Towershield")</f>
        <v>Towershield</v>
      </c>
      <c r="D105" s="32" t="str">
        <f>IFERROR(__xludf.DUMMYFUNCTION("""COMPUTED_VALUE"""),"Hand")</f>
        <v>Hand</v>
      </c>
      <c r="E105" s="32">
        <f>IFERROR(__xludf.DUMMYFUNCTION("""COMPUTED_VALUE"""),200.0)</f>
        <v>200</v>
      </c>
      <c r="F105" s="32" t="str">
        <f>IFERROR(__xludf.DUMMYFUNCTION("""COMPUTED_VALUE"""),"DEF: +5000, Fire DEF: +5000 ++ Immunity to Fire, ++X2 Additional fire resistance. +-Cannot be duplicated.")</f>
        <v>DEF: +5000, Fire DEF: +5000 ++ Immunity to Fire, ++X2 Additional fire resistance. +-Cannot be duplicated.</v>
      </c>
      <c r="G105" s="32">
        <f>IFERROR(__xludf.DUMMYFUNCTION("""COMPUTED_VALUE"""),1900000.0)</f>
        <v>1900000</v>
      </c>
      <c r="H105" s="32"/>
      <c r="I105" s="32"/>
      <c r="J105" s="32"/>
      <c r="K105" s="32"/>
      <c r="L105" s="32"/>
      <c r="M105" s="32"/>
      <c r="N105" s="32"/>
      <c r="O105" s="32"/>
      <c r="P105" s="32"/>
      <c r="Q105" s="32"/>
      <c r="R105" s="32"/>
      <c r="S105" s="32"/>
      <c r="T105" s="32"/>
      <c r="U105" s="32"/>
      <c r="V105" s="32"/>
      <c r="W105" s="32"/>
      <c r="X105" s="32"/>
      <c r="Y105" s="32"/>
      <c r="Z105" s="32"/>
    </row>
    <row r="106">
      <c r="A106" s="32" t="str">
        <f>IFERROR(__xludf.DUMMYFUNCTION("""COMPUTED_VALUE"""),"Fire Sword")</f>
        <v>Fire Sword</v>
      </c>
      <c r="B106" s="32"/>
      <c r="C106" s="32" t="str">
        <f>IFERROR(__xludf.DUMMYFUNCTION("""COMPUTED_VALUE"""),"Sword")</f>
        <v>Sword</v>
      </c>
      <c r="D106" s="32" t="str">
        <f>IFERROR(__xludf.DUMMYFUNCTION("""COMPUTED_VALUE"""),"Hand")</f>
        <v>Hand</v>
      </c>
      <c r="E106" s="32">
        <f>IFERROR(__xludf.DUMMYFUNCTION("""COMPUTED_VALUE"""),200.0)</f>
        <v>200</v>
      </c>
      <c r="F106" s="32" t="str">
        <f>IFERROR(__xludf.DUMMYFUNCTION("""COMPUTED_VALUE"""),"DMG: +5000, Fire DMG: +5000 ++X2 Additional Fire damage. Burn 2500. Cannot be duplicated.")</f>
        <v>DMG: +5000, Fire DMG: +5000 ++X2 Additional Fire damage. Burn 2500. Cannot be duplicated.</v>
      </c>
      <c r="G106" s="32">
        <f>IFERROR(__xludf.DUMMYFUNCTION("""COMPUTED_VALUE"""),1900000.0)</f>
        <v>1900000</v>
      </c>
      <c r="H106" s="32"/>
      <c r="I106" s="32"/>
      <c r="J106" s="32"/>
      <c r="K106" s="32"/>
      <c r="L106" s="32"/>
      <c r="M106" s="32"/>
      <c r="N106" s="32"/>
      <c r="O106" s="32"/>
      <c r="P106" s="32"/>
      <c r="Q106" s="32"/>
      <c r="R106" s="32"/>
      <c r="S106" s="32"/>
      <c r="T106" s="32"/>
      <c r="U106" s="32"/>
      <c r="V106" s="32"/>
      <c r="W106" s="32"/>
      <c r="X106" s="32"/>
      <c r="Y106" s="32"/>
      <c r="Z106" s="32"/>
    </row>
    <row r="107">
      <c r="A107" s="32" t="str">
        <f>IFERROR(__xludf.DUMMYFUNCTION("""COMPUTED_VALUE"""),"Fireproof Suit")</f>
        <v>Fireproof Suit</v>
      </c>
      <c r="B107" s="32"/>
      <c r="C107" s="32"/>
      <c r="D107" s="32" t="str">
        <f>IFERROR(__xludf.DUMMYFUNCTION("""COMPUTED_VALUE"""),"Torso")</f>
        <v>Torso</v>
      </c>
      <c r="E107" s="32">
        <f>IFERROR(__xludf.DUMMYFUNCTION("""COMPUTED_VALUE"""),400.0)</f>
        <v>400</v>
      </c>
      <c r="F107" s="32" t="str">
        <f>IFERROR(__xludf.DUMMYFUNCTION("""COMPUTED_VALUE"""),"DEF: +5000, Fire DEF: +15000 Fire Immune, X2 Additional fire resistance. Cannot be duplicated.")</f>
        <v>DEF: +5000, Fire DEF: +15000 Fire Immune, X2 Additional fire resistance. Cannot be duplicated.</v>
      </c>
      <c r="G107" s="32">
        <f>IFERROR(__xludf.DUMMYFUNCTION("""COMPUTED_VALUE"""),7800000.0)</f>
        <v>7800000</v>
      </c>
      <c r="H107" s="32"/>
      <c r="I107" s="32"/>
      <c r="J107" s="32"/>
      <c r="K107" s="32"/>
      <c r="L107" s="32"/>
      <c r="M107" s="32"/>
      <c r="N107" s="32"/>
      <c r="O107" s="32"/>
      <c r="P107" s="32"/>
      <c r="Q107" s="32"/>
      <c r="R107" s="32"/>
      <c r="S107" s="32"/>
      <c r="T107" s="32"/>
      <c r="U107" s="32"/>
      <c r="V107" s="32"/>
      <c r="W107" s="32"/>
      <c r="X107" s="32"/>
      <c r="Y107" s="32"/>
      <c r="Z107" s="32"/>
    </row>
    <row r="108">
      <c r="A108" s="32" t="str">
        <f>IFERROR(__xludf.DUMMYFUNCTION("""COMPUTED_VALUE"""),"Fish Pendant")</f>
        <v>Fish Pendant</v>
      </c>
      <c r="B108" s="32"/>
      <c r="C108" s="32"/>
      <c r="D108" s="32" t="str">
        <f>IFERROR(__xludf.DUMMYFUNCTION("""COMPUTED_VALUE"""),"Neck")</f>
        <v>Neck</v>
      </c>
      <c r="E108" s="32">
        <f>IFERROR(__xludf.DUMMYFUNCTION("""COMPUTED_VALUE"""),1.0)</f>
        <v>1</v>
      </c>
      <c r="F108" s="32" t="str">
        <f>IFERROR(__xludf.DUMMYFUNCTION("""COMPUTED_VALUE""")," ++Choose the rarity of the fish when fishing +-Cannot be forged +-Cannot be duplicated +-Can only equip one")</f>
        <v> ++Choose the rarity of the fish when fishing +-Cannot be forged +-Cannot be duplicated +-Can only equip one</v>
      </c>
      <c r="G108" s="32">
        <f>IFERROR(__xludf.DUMMYFUNCTION("""COMPUTED_VALUE"""),0.0)</f>
        <v>0</v>
      </c>
      <c r="H108" s="32"/>
      <c r="I108" s="32"/>
      <c r="J108" s="32"/>
      <c r="K108" s="32"/>
      <c r="L108" s="32"/>
      <c r="M108" s="32"/>
      <c r="N108" s="32"/>
      <c r="O108" s="32"/>
      <c r="P108" s="32"/>
      <c r="Q108" s="32"/>
      <c r="R108" s="32"/>
      <c r="S108" s="32"/>
      <c r="T108" s="32"/>
      <c r="U108" s="32"/>
      <c r="V108" s="32"/>
      <c r="W108" s="32"/>
      <c r="X108" s="32"/>
      <c r="Y108" s="32"/>
      <c r="Z108" s="32"/>
    </row>
    <row r="109">
      <c r="A109" s="32" t="str">
        <f>IFERROR(__xludf.DUMMYFUNCTION("""COMPUTED_VALUE"""),"Flame Band")</f>
        <v>Flame Band</v>
      </c>
      <c r="B109" s="32"/>
      <c r="C109" s="32"/>
      <c r="D109" s="32" t="str">
        <f>IFERROR(__xludf.DUMMYFUNCTION("""COMPUTED_VALUE"""),"Arms")</f>
        <v>Arms</v>
      </c>
      <c r="E109" s="32">
        <f>IFERROR(__xludf.DUMMYFUNCTION("""COMPUTED_VALUE"""),1.0)</f>
        <v>1</v>
      </c>
      <c r="F109" s="32" t="str">
        <f>IFERROR(__xludf.DUMMYFUNCTION("""COMPUTED_VALUE""")," Fire Immune, X2 Additional fire damage. +-Cannot be duplicated")</f>
        <v> Fire Immune, X2 Additional fire damage. +-Cannot be duplicated</v>
      </c>
      <c r="G109" s="32">
        <f>IFERROR(__xludf.DUMMYFUNCTION("""COMPUTED_VALUE"""),0.0)</f>
        <v>0</v>
      </c>
      <c r="H109" s="32"/>
      <c r="I109" s="32"/>
      <c r="J109" s="32"/>
      <c r="K109" s="32"/>
      <c r="L109" s="32"/>
      <c r="M109" s="32"/>
      <c r="N109" s="32"/>
      <c r="O109" s="32"/>
      <c r="P109" s="32"/>
      <c r="Q109" s="32"/>
      <c r="R109" s="32"/>
      <c r="S109" s="32"/>
      <c r="T109" s="32"/>
      <c r="U109" s="32"/>
      <c r="V109" s="32"/>
      <c r="W109" s="32"/>
      <c r="X109" s="32"/>
      <c r="Y109" s="32"/>
      <c r="Z109" s="32"/>
    </row>
    <row r="110">
      <c r="A110" s="32" t="str">
        <f>IFERROR(__xludf.DUMMYFUNCTION("""COMPUTED_VALUE"""),"Flame Mask")</f>
        <v>Flame Mask</v>
      </c>
      <c r="B110" s="32"/>
      <c r="C110" s="32"/>
      <c r="D110" s="32" t="str">
        <f>IFERROR(__xludf.DUMMYFUNCTION("""COMPUTED_VALUE"""),"Head")</f>
        <v>Head</v>
      </c>
      <c r="E110" s="32">
        <f>IFERROR(__xludf.DUMMYFUNCTION("""COMPUTED_VALUE"""),130.0)</f>
        <v>130</v>
      </c>
      <c r="F110" s="32" t="str">
        <f>IFERROR(__xludf.DUMMYFUNCTION("""COMPUTED_VALUE"""),"DEF: +5000, Fire DEF: +1500 ++Fire Immunity, ++X2 Additional fire resistance. +-Cannot be duplicated.")</f>
        <v>DEF: +5000, Fire DEF: +1500 ++Fire Immunity, ++X2 Additional fire resistance. +-Cannot be duplicated.</v>
      </c>
      <c r="G110" s="32">
        <f>IFERROR(__xludf.DUMMYFUNCTION("""COMPUTED_VALUE"""),780000.0)</f>
        <v>780000</v>
      </c>
      <c r="H110" s="32"/>
      <c r="I110" s="32"/>
      <c r="J110" s="32"/>
      <c r="K110" s="32"/>
      <c r="L110" s="32"/>
      <c r="M110" s="32"/>
      <c r="N110" s="32"/>
      <c r="O110" s="32"/>
      <c r="P110" s="32"/>
      <c r="Q110" s="32"/>
      <c r="R110" s="32"/>
      <c r="S110" s="32"/>
      <c r="T110" s="32"/>
      <c r="U110" s="32"/>
      <c r="V110" s="32"/>
      <c r="W110" s="32"/>
      <c r="X110" s="32"/>
      <c r="Y110" s="32"/>
      <c r="Z110" s="32"/>
    </row>
    <row r="111">
      <c r="A111" s="32" t="str">
        <f>IFERROR(__xludf.DUMMYFUNCTION("""COMPUTED_VALUE"""),"Flamethrower")</f>
        <v>Flamethrower</v>
      </c>
      <c r="B111" s="32"/>
      <c r="C111" s="32" t="str">
        <f>IFERROR(__xludf.DUMMYFUNCTION("""COMPUTED_VALUE"""),"Firearm")</f>
        <v>Firearm</v>
      </c>
      <c r="D111" s="32" t="str">
        <f>IFERROR(__xludf.DUMMYFUNCTION("""COMPUTED_VALUE"""),"Hand")</f>
        <v>Hand</v>
      </c>
      <c r="E111" s="32">
        <f>IFERROR(__xludf.DUMMYFUNCTION("""COMPUTED_VALUE"""),700.0)</f>
        <v>700</v>
      </c>
      <c r="F111" s="32" t="str">
        <f>IFERROR(__xludf.DUMMYFUNCTION("""COMPUTED_VALUE"""),", Fire DMG: +35000 ++20% chance of hitting all enemies")</f>
        <v>, Fire DMG: +35000 ++20% chance of hitting all enemies</v>
      </c>
      <c r="G111" s="32">
        <f>IFERROR(__xludf.DUMMYFUNCTION("""COMPUTED_VALUE"""),2.415E7)</f>
        <v>24150000</v>
      </c>
      <c r="H111" s="32"/>
      <c r="I111" s="32"/>
      <c r="J111" s="32"/>
      <c r="K111" s="32"/>
      <c r="L111" s="32"/>
      <c r="M111" s="32"/>
      <c r="N111" s="32"/>
      <c r="O111" s="32"/>
      <c r="P111" s="32"/>
      <c r="Q111" s="32"/>
      <c r="R111" s="32"/>
      <c r="S111" s="32"/>
      <c r="T111" s="32"/>
      <c r="U111" s="32"/>
      <c r="V111" s="32"/>
      <c r="W111" s="32"/>
      <c r="X111" s="32"/>
      <c r="Y111" s="32"/>
      <c r="Z111" s="32"/>
    </row>
    <row r="112">
      <c r="A112" s="32" t="str">
        <f>IFERROR(__xludf.DUMMYFUNCTION("""COMPUTED_VALUE"""),"Flaming Sword")</f>
        <v>Flaming Sword</v>
      </c>
      <c r="B112" s="32"/>
      <c r="C112" s="32" t="str">
        <f>IFERROR(__xludf.DUMMYFUNCTION("""COMPUTED_VALUE"""),"Sword")</f>
        <v>Sword</v>
      </c>
      <c r="D112" s="32" t="str">
        <f>IFERROR(__xludf.DUMMYFUNCTION("""COMPUTED_VALUE"""),"Hand")</f>
        <v>Hand</v>
      </c>
      <c r="E112" s="32">
        <f>IFERROR(__xludf.DUMMYFUNCTION("""COMPUTED_VALUE"""),300.0)</f>
        <v>300</v>
      </c>
      <c r="F112" s="32" t="str">
        <f>IFERROR(__xludf.DUMMYFUNCTION("""COMPUTED_VALUE"""),"DMG: +5000, Fire DMG: +5000, Nature DMG: +5000 ++Burn 1000")</f>
        <v>DMG: +5000, Fire DMG: +5000, Nature DMG: +5000 ++Burn 1000</v>
      </c>
      <c r="G112" s="32">
        <f>IFERROR(__xludf.DUMMYFUNCTION("""COMPUTED_VALUE"""),4350000.0)</f>
        <v>4350000</v>
      </c>
      <c r="H112" s="32"/>
      <c r="I112" s="32"/>
      <c r="J112" s="32"/>
      <c r="K112" s="32"/>
      <c r="L112" s="32"/>
      <c r="M112" s="32"/>
      <c r="N112" s="32"/>
      <c r="O112" s="32"/>
      <c r="P112" s="32"/>
      <c r="Q112" s="32"/>
      <c r="R112" s="32"/>
      <c r="S112" s="32"/>
      <c r="T112" s="32"/>
      <c r="U112" s="32"/>
      <c r="V112" s="32"/>
      <c r="W112" s="32"/>
      <c r="X112" s="32"/>
      <c r="Y112" s="32"/>
      <c r="Z112" s="32"/>
    </row>
    <row r="113">
      <c r="A113" s="32" t="str">
        <f>IFERROR(__xludf.DUMMYFUNCTION("""COMPUTED_VALUE"""),"Foul Night Blade")</f>
        <v>Foul Night Blade</v>
      </c>
      <c r="B113" s="32"/>
      <c r="C113" s="32" t="str">
        <f>IFERROR(__xludf.DUMMYFUNCTION("""COMPUTED_VALUE"""),"Sword")</f>
        <v>Sword</v>
      </c>
      <c r="D113" s="32" t="str">
        <f>IFERROR(__xludf.DUMMYFUNCTION("""COMPUTED_VALUE"""),"Hand")</f>
        <v>Hand</v>
      </c>
      <c r="E113" s="32">
        <f>IFERROR(__xludf.DUMMYFUNCTION("""COMPUTED_VALUE"""),200.0)</f>
        <v>200</v>
      </c>
      <c r="F113" s="32"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32">
        <f>IFERROR(__xludf.DUMMYFUNCTION("""COMPUTED_VALUE"""),1900000.0)</f>
        <v>1900000</v>
      </c>
      <c r="H113" s="32"/>
      <c r="I113" s="32"/>
      <c r="J113" s="32"/>
      <c r="K113" s="32"/>
      <c r="L113" s="32"/>
      <c r="M113" s="32"/>
      <c r="N113" s="32"/>
      <c r="O113" s="32"/>
      <c r="P113" s="32"/>
      <c r="Q113" s="32"/>
      <c r="R113" s="32"/>
      <c r="S113" s="32"/>
      <c r="T113" s="32"/>
      <c r="U113" s="32"/>
      <c r="V113" s="32"/>
      <c r="W113" s="32"/>
      <c r="X113" s="32"/>
      <c r="Y113" s="32"/>
      <c r="Z113" s="32"/>
    </row>
    <row r="114">
      <c r="A114" s="32" t="str">
        <f>IFERROR(__xludf.DUMMYFUNCTION("""COMPUTED_VALUE"""),"Freezing Chains")</f>
        <v>Freezing Chains</v>
      </c>
      <c r="B114" s="32"/>
      <c r="C114" s="32" t="str">
        <f>IFERROR(__xludf.DUMMYFUNCTION("""COMPUTED_VALUE"""),"Club")</f>
        <v>Club</v>
      </c>
      <c r="D114" s="32" t="str">
        <f>IFERROR(__xludf.DUMMYFUNCTION("""COMPUTED_VALUE"""),"Hand")</f>
        <v>Hand</v>
      </c>
      <c r="E114" s="32">
        <f>IFERROR(__xludf.DUMMYFUNCTION("""COMPUTED_VALUE"""),200.0)</f>
        <v>200</v>
      </c>
      <c r="F114" s="32" t="str">
        <f>IFERROR(__xludf.DUMMYFUNCTION("""COMPUTED_VALUE"""),"DMG: +5000, Water DMG: +5000 ++Frost Bind- binds the target freezing them until the end of their next turn")</f>
        <v>DMG: +5000, Water DMG: +5000 ++Frost Bind- binds the target freezing them until the end of their next turn</v>
      </c>
      <c r="G114" s="32">
        <f>IFERROR(__xludf.DUMMYFUNCTION("""COMPUTED_VALUE"""),1900000.0)</f>
        <v>1900000</v>
      </c>
      <c r="H114" s="32"/>
      <c r="I114" s="32"/>
      <c r="J114" s="32"/>
      <c r="K114" s="32"/>
      <c r="L114" s="32"/>
      <c r="M114" s="32"/>
      <c r="N114" s="32"/>
      <c r="O114" s="32"/>
      <c r="P114" s="32"/>
      <c r="Q114" s="32"/>
      <c r="R114" s="32"/>
      <c r="S114" s="32"/>
      <c r="T114" s="32"/>
      <c r="U114" s="32"/>
      <c r="V114" s="32"/>
      <c r="W114" s="32"/>
      <c r="X114" s="32"/>
      <c r="Y114" s="32"/>
      <c r="Z114" s="32"/>
    </row>
    <row r="115">
      <c r="A115" s="32" t="str">
        <f>IFERROR(__xludf.DUMMYFUNCTION("""COMPUTED_VALUE"""),"Frost Bow")</f>
        <v>Frost Bow</v>
      </c>
      <c r="B115" s="32"/>
      <c r="C115" s="32" t="str">
        <f>IFERROR(__xludf.DUMMYFUNCTION("""COMPUTED_VALUE"""),"Bow")</f>
        <v>Bow</v>
      </c>
      <c r="D115" s="32" t="str">
        <f>IFERROR(__xludf.DUMMYFUNCTION("""COMPUTED_VALUE"""),"Hand")</f>
        <v>Hand</v>
      </c>
      <c r="E115" s="32">
        <f>IFERROR(__xludf.DUMMYFUNCTION("""COMPUTED_VALUE"""),180.0)</f>
        <v>180</v>
      </c>
      <c r="F115" s="32" t="str">
        <f>IFERROR(__xludf.DUMMYFUNCTION("""COMPUTED_VALUE"""),"DMG: +5000, Water DMG: +4000 ++Arrows Used with this bow have a 50% chance to freeze the target(s)")</f>
        <v>DMG: +5000, Water DMG: +4000 ++Arrows Used with this bow have a 50% chance to freeze the target(s)</v>
      </c>
      <c r="G115" s="32">
        <f>IFERROR(__xludf.DUMMYFUNCTION("""COMPUTED_VALUE"""),1530000.0)</f>
        <v>1530000</v>
      </c>
      <c r="H115" s="32"/>
      <c r="I115" s="32"/>
      <c r="J115" s="32"/>
      <c r="K115" s="32"/>
      <c r="L115" s="32"/>
      <c r="M115" s="32"/>
      <c r="N115" s="32"/>
      <c r="O115" s="32"/>
      <c r="P115" s="32"/>
      <c r="Q115" s="32"/>
      <c r="R115" s="32"/>
      <c r="S115" s="32"/>
      <c r="T115" s="32"/>
      <c r="U115" s="32"/>
      <c r="V115" s="32"/>
      <c r="W115" s="32"/>
      <c r="X115" s="32"/>
      <c r="Y115" s="32"/>
      <c r="Z115" s="32"/>
    </row>
    <row r="116">
      <c r="A116" s="32" t="str">
        <f>IFERROR(__xludf.DUMMYFUNCTION("""COMPUTED_VALUE"""),"Frost Cloak")</f>
        <v>Frost Cloak</v>
      </c>
      <c r="B116" s="32"/>
      <c r="C116" s="32"/>
      <c r="D116" s="32" t="str">
        <f>IFERROR(__xludf.DUMMYFUNCTION("""COMPUTED_VALUE"""),"Torso")</f>
        <v>Torso</v>
      </c>
      <c r="E116" s="32">
        <f>IFERROR(__xludf.DUMMYFUNCTION("""COMPUTED_VALUE"""),1.0)</f>
        <v>1</v>
      </c>
      <c r="F116" s="32" t="str">
        <f>IFERROR(__xludf.DUMMYFUNCTION("""COMPUTED_VALUE""")," (Frost Mage Set) ++When caster is hit by an enemy,the enemy is frozen for 5r/s caster,s cloak last for 3 r/s 90 sp")</f>
        <v> (Frost Mage Set) ++When caster is hit by an enemy,the enemy is frozen for 5r/s caster,s cloak last for 3 r/s 90 sp</v>
      </c>
      <c r="G116" s="32">
        <f>IFERROR(__xludf.DUMMYFUNCTION("""COMPUTED_VALUE"""),0.0)</f>
        <v>0</v>
      </c>
      <c r="H116" s="32"/>
      <c r="I116" s="32"/>
      <c r="J116" s="32"/>
      <c r="K116" s="32"/>
      <c r="L116" s="32"/>
      <c r="M116" s="32"/>
      <c r="N116" s="32"/>
      <c r="O116" s="32"/>
      <c r="P116" s="32"/>
      <c r="Q116" s="32"/>
      <c r="R116" s="32"/>
      <c r="S116" s="32"/>
      <c r="T116" s="32"/>
      <c r="U116" s="32"/>
      <c r="V116" s="32"/>
      <c r="W116" s="32"/>
      <c r="X116" s="32"/>
      <c r="Y116" s="32"/>
      <c r="Z116" s="32"/>
    </row>
    <row r="117">
      <c r="A117" s="32" t="str">
        <f>IFERROR(__xludf.DUMMYFUNCTION("""COMPUTED_VALUE"""),"Frost Spear")</f>
        <v>Frost Spear</v>
      </c>
      <c r="B117" s="32" t="str">
        <f>IFERROR(__xludf.DUMMYFUNCTION("""COMPUTED_VALUE"""),"Event Exclusive")</f>
        <v>Event Exclusive</v>
      </c>
      <c r="C117" s="32" t="str">
        <f>IFERROR(__xludf.DUMMYFUNCTION("""COMPUTED_VALUE"""),"Spear")</f>
        <v>Spear</v>
      </c>
      <c r="D117" s="32" t="str">
        <f>IFERROR(__xludf.DUMMYFUNCTION("""COMPUTED_VALUE"""),"Hand")</f>
        <v>Hand</v>
      </c>
      <c r="E117" s="32">
        <f>IFERROR(__xludf.DUMMYFUNCTION("""COMPUTED_VALUE"""),1000.0)</f>
        <v>1000</v>
      </c>
      <c r="F117" s="32" t="str">
        <f>IFERROR(__xludf.DUMMYFUNCTION("""COMPUTED_VALUE"""),"DMG: +25000, Storm DMG: +25000 (The Frozen Spear Master Set) ++50% chance to freeze any enemies hit with this weapon")</f>
        <v>DMG: +25000, Storm DMG: +25000 (The Frozen Spear Master Set) ++50% chance to freeze any enemies hit with this weapon</v>
      </c>
      <c r="G117" s="32">
        <f>IFERROR(__xludf.DUMMYFUNCTION("""COMPUTED_VALUE"""),4.95E7)</f>
        <v>49500000</v>
      </c>
      <c r="H117" s="32"/>
      <c r="I117" s="32"/>
      <c r="J117" s="32"/>
      <c r="K117" s="32"/>
      <c r="L117" s="32"/>
      <c r="M117" s="32"/>
      <c r="N117" s="32"/>
      <c r="O117" s="32"/>
      <c r="P117" s="32"/>
      <c r="Q117" s="32"/>
      <c r="R117" s="32"/>
      <c r="S117" s="32"/>
      <c r="T117" s="32"/>
      <c r="U117" s="32"/>
      <c r="V117" s="32"/>
      <c r="W117" s="32"/>
      <c r="X117" s="32"/>
      <c r="Y117" s="32"/>
      <c r="Z117" s="32"/>
    </row>
    <row r="118">
      <c r="A118" s="32" t="str">
        <f>IFERROR(__xludf.DUMMYFUNCTION("""COMPUTED_VALUE"""),"Frozen Carrot Dagger")</f>
        <v>Frozen Carrot Dagger</v>
      </c>
      <c r="B118" s="32" t="str">
        <f>IFERROR(__xludf.DUMMYFUNCTION("""COMPUTED_VALUE"""),"Event Exclusive")</f>
        <v>Event Exclusive</v>
      </c>
      <c r="C118" s="32" t="str">
        <f>IFERROR(__xludf.DUMMYFUNCTION("""COMPUTED_VALUE"""),"Knife")</f>
        <v>Knife</v>
      </c>
      <c r="D118" s="32" t="str">
        <f>IFERROR(__xludf.DUMMYFUNCTION("""COMPUTED_VALUE"""),"Hand")</f>
        <v>Hand</v>
      </c>
      <c r="E118" s="32">
        <f>IFERROR(__xludf.DUMMYFUNCTION("""COMPUTED_VALUE"""),200.0)</f>
        <v>200</v>
      </c>
      <c r="F118" s="32" t="str">
        <f>IFERROR(__xludf.DUMMYFUNCTION("""COMPUTED_VALUE"""),"DMG: +5000, Water DMG: +5000")</f>
        <v>DMG: +5000, Water DMG: +5000</v>
      </c>
      <c r="G118" s="32">
        <f>IFERROR(__xludf.DUMMYFUNCTION("""COMPUTED_VALUE"""),1900000.0)</f>
        <v>1900000</v>
      </c>
      <c r="H118" s="32"/>
      <c r="I118" s="32"/>
      <c r="J118" s="32"/>
      <c r="K118" s="32"/>
      <c r="L118" s="32"/>
      <c r="M118" s="32"/>
      <c r="N118" s="32"/>
      <c r="O118" s="32"/>
      <c r="P118" s="32"/>
      <c r="Q118" s="32"/>
      <c r="R118" s="32"/>
      <c r="S118" s="32"/>
      <c r="T118" s="32"/>
      <c r="U118" s="32"/>
      <c r="V118" s="32"/>
      <c r="W118" s="32"/>
      <c r="X118" s="32"/>
      <c r="Y118" s="32"/>
      <c r="Z118" s="32"/>
    </row>
    <row r="119">
      <c r="A119" s="32" t="str">
        <f>IFERROR(__xludf.DUMMYFUNCTION("""COMPUTED_VALUE"""),"Frozen Falchion")</f>
        <v>Frozen Falchion</v>
      </c>
      <c r="B119" s="32"/>
      <c r="C119" s="32" t="str">
        <f>IFERROR(__xludf.DUMMYFUNCTION("""COMPUTED_VALUE"""),"Sword")</f>
        <v>Sword</v>
      </c>
      <c r="D119" s="32" t="str">
        <f>IFERROR(__xludf.DUMMYFUNCTION("""COMPUTED_VALUE"""),"Hand")</f>
        <v>Hand</v>
      </c>
      <c r="E119" s="32">
        <f>IFERROR(__xludf.DUMMYFUNCTION("""COMPUTED_VALUE"""),400.0)</f>
        <v>400</v>
      </c>
      <c r="F119" s="32"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32">
        <f>IFERROR(__xludf.DUMMYFUNCTION("""COMPUTED_VALUE"""),7800000.0)</f>
        <v>7800000</v>
      </c>
      <c r="H119" s="32"/>
      <c r="I119" s="32"/>
      <c r="J119" s="32"/>
      <c r="K119" s="32"/>
      <c r="L119" s="32"/>
      <c r="M119" s="32"/>
      <c r="N119" s="32"/>
      <c r="O119" s="32"/>
      <c r="P119" s="32"/>
      <c r="Q119" s="32"/>
      <c r="R119" s="32"/>
      <c r="S119" s="32"/>
      <c r="T119" s="32"/>
      <c r="U119" s="32"/>
      <c r="V119" s="32"/>
      <c r="W119" s="32"/>
      <c r="X119" s="32"/>
      <c r="Y119" s="32"/>
      <c r="Z119" s="32"/>
    </row>
    <row r="120">
      <c r="A120" s="32" t="str">
        <f>IFERROR(__xludf.DUMMYFUNCTION("""COMPUTED_VALUE"""),"Frozen Soul Lantern")</f>
        <v>Frozen Soul Lantern</v>
      </c>
      <c r="B120" s="32"/>
      <c r="C120" s="32" t="str">
        <f>IFERROR(__xludf.DUMMYFUNCTION("""COMPUTED_VALUE"""),"Wand")</f>
        <v>Wand</v>
      </c>
      <c r="D120" s="32" t="str">
        <f>IFERROR(__xludf.DUMMYFUNCTION("""COMPUTED_VALUE"""),"Hand")</f>
        <v>Hand</v>
      </c>
      <c r="E120" s="32">
        <f>IFERROR(__xludf.DUMMYFUNCTION("""COMPUTED_VALUE"""),1.0)</f>
        <v>1</v>
      </c>
      <c r="F120" s="32"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32">
        <f>IFERROR(__xludf.DUMMYFUNCTION("""COMPUTED_VALUE"""),0.0)</f>
        <v>0</v>
      </c>
      <c r="H120" s="32"/>
      <c r="I120" s="32"/>
      <c r="J120" s="32"/>
      <c r="K120" s="32"/>
      <c r="L120" s="32"/>
      <c r="M120" s="32"/>
      <c r="N120" s="32"/>
      <c r="O120" s="32"/>
      <c r="P120" s="32"/>
      <c r="Q120" s="32"/>
      <c r="R120" s="32"/>
      <c r="S120" s="32"/>
      <c r="T120" s="32"/>
      <c r="U120" s="32"/>
      <c r="V120" s="32"/>
      <c r="W120" s="32"/>
      <c r="X120" s="32"/>
      <c r="Y120" s="32"/>
      <c r="Z120" s="32"/>
    </row>
    <row r="121">
      <c r="A121" s="32" t="str">
        <f>IFERROR(__xludf.DUMMYFUNCTION("""COMPUTED_VALUE"""),"Gargoyle War Horn")</f>
        <v>Gargoyle War Horn</v>
      </c>
      <c r="B121" s="32"/>
      <c r="C121" s="32" t="str">
        <f>IFERROR(__xludf.DUMMYFUNCTION("""COMPUTED_VALUE"""),"Wand")</f>
        <v>Wand</v>
      </c>
      <c r="D121" s="32" t="str">
        <f>IFERROR(__xludf.DUMMYFUNCTION("""COMPUTED_VALUE"""),"Hand")</f>
        <v>Hand</v>
      </c>
      <c r="E121" s="32">
        <f>IFERROR(__xludf.DUMMYFUNCTION("""COMPUTED_VALUE"""),1.0)</f>
        <v>1</v>
      </c>
      <c r="F121" s="32" t="str">
        <f>IFERROR(__xludf.DUMMYFUNCTION("""COMPUTED_VALUE""")," ++Summons a d2 of Gargoyles to help you in battle. +-Can only be used once per battle.")</f>
        <v> ++Summons a d2 of Gargoyles to help you in battle. +-Can only be used once per battle.</v>
      </c>
      <c r="G121" s="32">
        <f>IFERROR(__xludf.DUMMYFUNCTION("""COMPUTED_VALUE"""),0.0)</f>
        <v>0</v>
      </c>
      <c r="H121" s="32"/>
      <c r="I121" s="32"/>
      <c r="J121" s="32"/>
      <c r="K121" s="32"/>
      <c r="L121" s="32"/>
      <c r="M121" s="32"/>
      <c r="N121" s="32"/>
      <c r="O121" s="32"/>
      <c r="P121" s="32"/>
      <c r="Q121" s="32"/>
      <c r="R121" s="32"/>
      <c r="S121" s="32"/>
      <c r="T121" s="32"/>
      <c r="U121" s="32"/>
      <c r="V121" s="32"/>
      <c r="W121" s="32"/>
      <c r="X121" s="32"/>
      <c r="Y121" s="32"/>
      <c r="Z121" s="32"/>
    </row>
    <row r="122">
      <c r="A122" s="32" t="str">
        <f>IFERROR(__xludf.DUMMYFUNCTION("""COMPUTED_VALUE"""),"Gargoyle’s Heavy Enchanted Bow")</f>
        <v>Gargoyle’s Heavy Enchanted Bow</v>
      </c>
      <c r="B122" s="32"/>
      <c r="C122" s="32" t="str">
        <f>IFERROR(__xludf.DUMMYFUNCTION("""COMPUTED_VALUE"""),"Bow")</f>
        <v>Bow</v>
      </c>
      <c r="D122" s="32" t="str">
        <f>IFERROR(__xludf.DUMMYFUNCTION("""COMPUTED_VALUE"""),"Hand")</f>
        <v>Hand</v>
      </c>
      <c r="E122" s="32">
        <f>IFERROR(__xludf.DUMMYFUNCTION("""COMPUTED_VALUE"""),3000.0)</f>
        <v>3000</v>
      </c>
      <c r="F122" s="32" t="str">
        <f>IFERROR(__xludf.DUMMYFUNCTION("""COMPUTED_VALUE"""),"DMG: +100000, Earth DMG: +50000 ++Damage dealt with this bow gives you hp back equal to the damage you dealt. ")</f>
        <v>DMG: +100000, Earth DMG: +50000 ++Damage dealt with this bow gives you hp back equal to the damage you dealt. </v>
      </c>
      <c r="G122" s="32">
        <f>IFERROR(__xludf.DUMMYFUNCTION("""COMPUTED_VALUE"""),4.485E8)</f>
        <v>448500000</v>
      </c>
      <c r="H122" s="32"/>
      <c r="I122" s="32"/>
      <c r="J122" s="32"/>
      <c r="K122" s="32"/>
      <c r="L122" s="32"/>
      <c r="M122" s="32"/>
      <c r="N122" s="32"/>
      <c r="O122" s="32"/>
      <c r="P122" s="32"/>
      <c r="Q122" s="32"/>
      <c r="R122" s="32"/>
      <c r="S122" s="32"/>
      <c r="T122" s="32"/>
      <c r="U122" s="32"/>
      <c r="V122" s="32"/>
      <c r="W122" s="32"/>
      <c r="X122" s="32"/>
      <c r="Y122" s="32"/>
      <c r="Z122" s="32"/>
    </row>
    <row r="123">
      <c r="A123" s="32" t="str">
        <f>IFERROR(__xludf.DUMMYFUNCTION("""COMPUTED_VALUE"""),"Gargoyle’s Necklace of Luck ")</f>
        <v>Gargoyle’s Necklace of Luck </v>
      </c>
      <c r="B123" s="32"/>
      <c r="C123" s="32"/>
      <c r="D123" s="32" t="str">
        <f>IFERROR(__xludf.DUMMYFUNCTION("""COMPUTED_VALUE"""),"Neck")</f>
        <v>Neck</v>
      </c>
      <c r="E123" s="32">
        <f>IFERROR(__xludf.DUMMYFUNCTION("""COMPUTED_VALUE"""),1.0)</f>
        <v>1</v>
      </c>
      <c r="F123" s="32"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32">
        <f>IFERROR(__xludf.DUMMYFUNCTION("""COMPUTED_VALUE"""),0.0)</f>
        <v>0</v>
      </c>
      <c r="H123" s="32"/>
      <c r="I123" s="32"/>
      <c r="J123" s="32"/>
      <c r="K123" s="32"/>
      <c r="L123" s="32"/>
      <c r="M123" s="32"/>
      <c r="N123" s="32"/>
      <c r="O123" s="32"/>
      <c r="P123" s="32"/>
      <c r="Q123" s="32"/>
      <c r="R123" s="32"/>
      <c r="S123" s="32"/>
      <c r="T123" s="32"/>
      <c r="U123" s="32"/>
      <c r="V123" s="32"/>
      <c r="W123" s="32"/>
      <c r="X123" s="32"/>
      <c r="Y123" s="32"/>
      <c r="Z123" s="32"/>
    </row>
    <row r="124">
      <c r="A124" s="32" t="str">
        <f>IFERROR(__xludf.DUMMYFUNCTION("""COMPUTED_VALUE"""),"Gargoyle’s Ring")</f>
        <v>Gargoyle’s Ring</v>
      </c>
      <c r="B124" s="32"/>
      <c r="C124" s="32"/>
      <c r="D124" s="32" t="str">
        <f>IFERROR(__xludf.DUMMYFUNCTION("""COMPUTED_VALUE"""),"Ring")</f>
        <v>Ring</v>
      </c>
      <c r="E124" s="32">
        <f>IFERROR(__xludf.DUMMYFUNCTION("""COMPUTED_VALUE"""),1.0)</f>
        <v>1</v>
      </c>
      <c r="F124" s="32"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32">
        <f>IFERROR(__xludf.DUMMYFUNCTION("""COMPUTED_VALUE"""),0.0)</f>
        <v>0</v>
      </c>
      <c r="H124" s="32"/>
      <c r="I124" s="32"/>
      <c r="J124" s="32"/>
      <c r="K124" s="32"/>
      <c r="L124" s="32"/>
      <c r="M124" s="32"/>
      <c r="N124" s="32"/>
      <c r="O124" s="32"/>
      <c r="P124" s="32"/>
      <c r="Q124" s="32"/>
      <c r="R124" s="32"/>
      <c r="S124" s="32"/>
      <c r="T124" s="32"/>
      <c r="U124" s="32"/>
      <c r="V124" s="32"/>
      <c r="W124" s="32"/>
      <c r="X124" s="32"/>
      <c r="Y124" s="32"/>
      <c r="Z124" s="32"/>
    </row>
    <row r="125">
      <c r="A125" s="32" t="str">
        <f>IFERROR(__xludf.DUMMYFUNCTION("""COMPUTED_VALUE"""),"Giant Spider Leg")</f>
        <v>Giant Spider Leg</v>
      </c>
      <c r="B125" s="32"/>
      <c r="C125" s="32" t="str">
        <f>IFERROR(__xludf.DUMMYFUNCTION("""COMPUTED_VALUE"""),"Knife")</f>
        <v>Knife</v>
      </c>
      <c r="D125" s="32" t="str">
        <f>IFERROR(__xludf.DUMMYFUNCTION("""COMPUTED_VALUE"""),"Hand")</f>
        <v>Hand</v>
      </c>
      <c r="E125" s="32">
        <f>IFERROR(__xludf.DUMMYFUNCTION("""COMPUTED_VALUE"""),200.0)</f>
        <v>200</v>
      </c>
      <c r="F125" s="32" t="str">
        <f>IFERROR(__xludf.DUMMYFUNCTION("""COMPUTED_VALUE"""),"ATK: +10000 ++When hitting an enemy inflict them with poison 500")</f>
        <v>ATK: +10000 ++When hitting an enemy inflict them with poison 500</v>
      </c>
      <c r="G125" s="32">
        <f>IFERROR(__xludf.DUMMYFUNCTION("""COMPUTED_VALUE"""),1900000.0)</f>
        <v>1900000</v>
      </c>
      <c r="H125" s="32"/>
      <c r="I125" s="32"/>
      <c r="J125" s="32"/>
      <c r="K125" s="32"/>
      <c r="L125" s="32"/>
      <c r="M125" s="32"/>
      <c r="N125" s="32"/>
      <c r="O125" s="32"/>
      <c r="P125" s="32"/>
      <c r="Q125" s="32"/>
      <c r="R125" s="32"/>
      <c r="S125" s="32"/>
      <c r="T125" s="32"/>
      <c r="U125" s="32"/>
      <c r="V125" s="32"/>
      <c r="W125" s="32"/>
      <c r="X125" s="32"/>
      <c r="Y125" s="32"/>
      <c r="Z125" s="32"/>
    </row>
    <row r="126">
      <c r="A126" s="32" t="str">
        <f>IFERROR(__xludf.DUMMYFUNCTION("""COMPUTED_VALUE"""),"Glass Shield")</f>
        <v>Glass Shield</v>
      </c>
      <c r="B126" s="32"/>
      <c r="C126" s="32" t="str">
        <f>IFERROR(__xludf.DUMMYFUNCTION("""COMPUTED_VALUE"""),"Towershield")</f>
        <v>Towershield</v>
      </c>
      <c r="D126" s="32" t="str">
        <f>IFERROR(__xludf.DUMMYFUNCTION("""COMPUTED_VALUE"""),"Hand")</f>
        <v>Hand</v>
      </c>
      <c r="E126" s="32">
        <f>IFERROR(__xludf.DUMMYFUNCTION("""COMPUTED_VALUE"""),1000.0)</f>
        <v>1000</v>
      </c>
      <c r="F126" s="32" t="str">
        <f>IFERROR(__xludf.DUMMYFUNCTION("""COMPUTED_VALUE"""),"DEF: +50000 +-has a 50% chance of breaking upon taking damage")</f>
        <v>DEF: +50000 +-has a 50% chance of breaking upon taking damage</v>
      </c>
      <c r="G126" s="32">
        <f>IFERROR(__xludf.DUMMYFUNCTION("""COMPUTED_VALUE"""),4.95E7)</f>
        <v>49500000</v>
      </c>
      <c r="H126" s="32"/>
      <c r="I126" s="32"/>
      <c r="J126" s="32"/>
      <c r="K126" s="32"/>
      <c r="L126" s="32"/>
      <c r="M126" s="32"/>
      <c r="N126" s="32"/>
      <c r="O126" s="32"/>
      <c r="P126" s="32"/>
      <c r="Q126" s="32"/>
      <c r="R126" s="32"/>
      <c r="S126" s="32"/>
      <c r="T126" s="32"/>
      <c r="U126" s="32"/>
      <c r="V126" s="32"/>
      <c r="W126" s="32"/>
      <c r="X126" s="32"/>
      <c r="Y126" s="32"/>
      <c r="Z126" s="32"/>
    </row>
    <row r="127">
      <c r="A127" s="32" t="str">
        <f>IFERROR(__xludf.DUMMYFUNCTION("""COMPUTED_VALUE"""),"Goose Staff")</f>
        <v>Goose Staff</v>
      </c>
      <c r="B127" s="32"/>
      <c r="C127" s="32" t="str">
        <f>IFERROR(__xludf.DUMMYFUNCTION("""COMPUTED_VALUE"""),"Staff")</f>
        <v>Staff</v>
      </c>
      <c r="D127" s="32" t="str">
        <f>IFERROR(__xludf.DUMMYFUNCTION("""COMPUTED_VALUE"""),"Hand")</f>
        <v>Hand</v>
      </c>
      <c r="E127" s="32">
        <f>IFERROR(__xludf.DUMMYFUNCTION("""COMPUTED_VALUE"""),1.0)</f>
        <v>1</v>
      </c>
      <c r="F127" s="32" t="str">
        <f>IFERROR(__xludf.DUMMYFUNCTION("""COMPUTED_VALUE""")," ++Summons Lord Goose to aid you in battle, 1000 SP.")</f>
        <v> ++Summons Lord Goose to aid you in battle, 1000 SP.</v>
      </c>
      <c r="G127" s="32">
        <f>IFERROR(__xludf.DUMMYFUNCTION("""COMPUTED_VALUE"""),0.0)</f>
        <v>0</v>
      </c>
      <c r="H127" s="32"/>
      <c r="I127" s="32"/>
      <c r="J127" s="32"/>
      <c r="K127" s="32"/>
      <c r="L127" s="32"/>
      <c r="M127" s="32"/>
      <c r="N127" s="32"/>
      <c r="O127" s="32"/>
      <c r="P127" s="32"/>
      <c r="Q127" s="32"/>
      <c r="R127" s="32"/>
      <c r="S127" s="32"/>
      <c r="T127" s="32"/>
      <c r="U127" s="32"/>
      <c r="V127" s="32"/>
      <c r="W127" s="32"/>
      <c r="X127" s="32"/>
      <c r="Y127" s="32"/>
      <c r="Z127" s="32"/>
    </row>
    <row r="128">
      <c r="A128" s="32" t="str">
        <f>IFERROR(__xludf.DUMMYFUNCTION("""COMPUTED_VALUE"""),"Grand Hellfire Sword")</f>
        <v>Grand Hellfire Sword</v>
      </c>
      <c r="B128" s="32"/>
      <c r="C128" s="32" t="str">
        <f>IFERROR(__xludf.DUMMYFUNCTION("""COMPUTED_VALUE"""),"Sword")</f>
        <v>Sword</v>
      </c>
      <c r="D128" s="32" t="str">
        <f>IFERROR(__xludf.DUMMYFUNCTION("""COMPUTED_VALUE"""),"Hand")</f>
        <v>Hand</v>
      </c>
      <c r="E128" s="32">
        <f>IFERROR(__xludf.DUMMYFUNCTION("""COMPUTED_VALUE"""),200.0)</f>
        <v>200</v>
      </c>
      <c r="F128" s="32"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32">
        <f>IFERROR(__xludf.DUMMYFUNCTION("""COMPUTED_VALUE"""),1.797E9)</f>
        <v>1797000000</v>
      </c>
      <c r="H128" s="32"/>
      <c r="I128" s="32"/>
      <c r="J128" s="32"/>
      <c r="K128" s="32"/>
      <c r="L128" s="32"/>
      <c r="M128" s="32"/>
      <c r="N128" s="32"/>
      <c r="O128" s="32"/>
      <c r="P128" s="32"/>
      <c r="Q128" s="32"/>
      <c r="R128" s="32"/>
      <c r="S128" s="32"/>
      <c r="T128" s="32"/>
      <c r="U128" s="32"/>
      <c r="V128" s="32"/>
      <c r="W128" s="32"/>
      <c r="X128" s="32"/>
      <c r="Y128" s="32"/>
      <c r="Z128" s="32"/>
    </row>
    <row r="129">
      <c r="A129" s="32" t="str">
        <f>IFERROR(__xludf.DUMMYFUNCTION("""COMPUTED_VALUE"""),"Grand Master Bow")</f>
        <v>Grand Master Bow</v>
      </c>
      <c r="B129" s="32"/>
      <c r="C129" s="32" t="str">
        <f>IFERROR(__xludf.DUMMYFUNCTION("""COMPUTED_VALUE"""),"Bow")</f>
        <v>Bow</v>
      </c>
      <c r="D129" s="32" t="str">
        <f>IFERROR(__xludf.DUMMYFUNCTION("""COMPUTED_VALUE"""),"Hand")</f>
        <v>Hand</v>
      </c>
      <c r="E129" s="32">
        <f>IFERROR(__xludf.DUMMYFUNCTION("""COMPUTED_VALUE"""),20.0)</f>
        <v>20</v>
      </c>
      <c r="F129" s="32" t="str">
        <f>IFERROR(__xludf.DUMMYFUNCTION("""COMPUTED_VALUE"""),"DMG: +1000 ++X4 additional damage towards ranged attacks. +-Only Archers can equip. +-Cannot be duplicated. ")</f>
        <v>DMG: +1000 ++X4 additional damage towards ranged attacks. +-Only Archers can equip. +-Cannot be duplicated. </v>
      </c>
      <c r="G129" s="32">
        <f>IFERROR(__xludf.DUMMYFUNCTION("""COMPUTED_VALUE"""),10000.0)</f>
        <v>10000</v>
      </c>
      <c r="H129" s="32"/>
      <c r="I129" s="32"/>
      <c r="J129" s="32"/>
      <c r="K129" s="32"/>
      <c r="L129" s="32"/>
      <c r="M129" s="32"/>
      <c r="N129" s="32"/>
      <c r="O129" s="32"/>
      <c r="P129" s="32"/>
      <c r="Q129" s="32"/>
      <c r="R129" s="32"/>
      <c r="S129" s="32"/>
      <c r="T129" s="32"/>
      <c r="U129" s="32"/>
      <c r="V129" s="32"/>
      <c r="W129" s="32"/>
      <c r="X129" s="32"/>
      <c r="Y129" s="32"/>
      <c r="Z129" s="32"/>
    </row>
    <row r="130">
      <c r="A130" s="32" t="str">
        <f>IFERROR(__xludf.DUMMYFUNCTION("""COMPUTED_VALUE"""),"Grass Sword")</f>
        <v>Grass Sword</v>
      </c>
      <c r="B130" s="32" t="str">
        <f>IFERROR(__xludf.DUMMYFUNCTION("""COMPUTED_VALUE"""),"A strong grass entity in the form of a sword")</f>
        <v>A strong grass entity in the form of a sword</v>
      </c>
      <c r="C130" s="32" t="str">
        <f>IFERROR(__xludf.DUMMYFUNCTION("""COMPUTED_VALUE"""),"Sword")</f>
        <v>Sword</v>
      </c>
      <c r="D130" s="32" t="str">
        <f>IFERROR(__xludf.DUMMYFUNCTION("""COMPUTED_VALUE"""),"Hand")</f>
        <v>Hand</v>
      </c>
      <c r="E130" s="32">
        <f>IFERROR(__xludf.DUMMYFUNCTION("""COMPUTED_VALUE"""),1.0)</f>
        <v>1</v>
      </c>
      <c r="F130" s="32" t="str">
        <f>IFERROR(__xludf.DUMMYFUNCTION("""COMPUTED_VALUE"""),"DMG: +250")</f>
        <v>DMG: +250</v>
      </c>
      <c r="G130" s="32">
        <f>IFERROR(__xludf.DUMMYFUNCTION("""COMPUTED_VALUE"""),0.0)</f>
        <v>0</v>
      </c>
      <c r="H130" s="32"/>
      <c r="I130" s="32"/>
      <c r="J130" s="32"/>
      <c r="K130" s="32"/>
      <c r="L130" s="32"/>
      <c r="M130" s="32"/>
      <c r="N130" s="32"/>
      <c r="O130" s="32"/>
      <c r="P130" s="32"/>
      <c r="Q130" s="32"/>
      <c r="R130" s="32"/>
      <c r="S130" s="32"/>
      <c r="T130" s="32"/>
      <c r="U130" s="32"/>
      <c r="V130" s="32"/>
      <c r="W130" s="32"/>
      <c r="X130" s="32"/>
      <c r="Y130" s="32"/>
      <c r="Z130" s="32"/>
    </row>
    <row r="131">
      <c r="A131" s="32" t="str">
        <f>IFERROR(__xludf.DUMMYFUNCTION("""COMPUTED_VALUE"""),"Great Stone Gargoyle Sword")</f>
        <v>Great Stone Gargoyle Sword</v>
      </c>
      <c r="B131" s="32"/>
      <c r="C131" s="32" t="str">
        <f>IFERROR(__xludf.DUMMYFUNCTION("""COMPUTED_VALUE"""),"Sword")</f>
        <v>Sword</v>
      </c>
      <c r="D131" s="32" t="str">
        <f>IFERROR(__xludf.DUMMYFUNCTION("""COMPUTED_VALUE"""),"Hand")</f>
        <v>Hand</v>
      </c>
      <c r="E131" s="32">
        <f>IFERROR(__xludf.DUMMYFUNCTION("""COMPUTED_VALUE"""),4000.0)</f>
        <v>4000</v>
      </c>
      <c r="F131" s="32"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32">
        <f>IFERROR(__xludf.DUMMYFUNCTION("""COMPUTED_VALUE"""),7.98E8)</f>
        <v>798000000</v>
      </c>
      <c r="H131" s="32"/>
      <c r="I131" s="32"/>
      <c r="J131" s="32"/>
      <c r="K131" s="32"/>
      <c r="L131" s="32"/>
      <c r="M131" s="32"/>
      <c r="N131" s="32"/>
      <c r="O131" s="32"/>
      <c r="P131" s="32"/>
      <c r="Q131" s="32"/>
      <c r="R131" s="32"/>
      <c r="S131" s="32"/>
      <c r="T131" s="32"/>
      <c r="U131" s="32"/>
      <c r="V131" s="32"/>
      <c r="W131" s="32"/>
      <c r="X131" s="32"/>
      <c r="Y131" s="32"/>
      <c r="Z131" s="32"/>
    </row>
    <row r="132">
      <c r="A132" s="32" t="str">
        <f>IFERROR(__xludf.DUMMYFUNCTION("""COMPUTED_VALUE"""),"Greaves of The Sea Serpent")</f>
        <v>Greaves of The Sea Serpent</v>
      </c>
      <c r="B132" s="32"/>
      <c r="C132" s="32"/>
      <c r="D132" s="32" t="str">
        <f>IFERROR(__xludf.DUMMYFUNCTION("""COMPUTED_VALUE"""),"Legs")</f>
        <v>Legs</v>
      </c>
      <c r="E132" s="32">
        <f>IFERROR(__xludf.DUMMYFUNCTION("""COMPUTED_VALUE"""),100.0)</f>
        <v>100</v>
      </c>
      <c r="F132" s="32" t="str">
        <f>IFERROR(__xludf.DUMMYFUNCTION("""COMPUTED_VALUE"""),"DEF: +2500, Water DEF: +2500 ++X2 additional water damage for self.")</f>
        <v>DEF: +2500, Water DEF: +2500 ++X2 additional water damage for self.</v>
      </c>
      <c r="G132" s="32">
        <f>IFERROR(__xludf.DUMMYFUNCTION("""COMPUTED_VALUE"""),450000.0)</f>
        <v>450000</v>
      </c>
      <c r="H132" s="32"/>
      <c r="I132" s="32"/>
      <c r="J132" s="32"/>
      <c r="K132" s="32"/>
      <c r="L132" s="32"/>
      <c r="M132" s="32"/>
      <c r="N132" s="32"/>
      <c r="O132" s="32"/>
      <c r="P132" s="32"/>
      <c r="Q132" s="32"/>
      <c r="R132" s="32"/>
      <c r="S132" s="32"/>
      <c r="T132" s="32"/>
      <c r="U132" s="32"/>
      <c r="V132" s="32"/>
      <c r="W132" s="32"/>
      <c r="X132" s="32"/>
      <c r="Y132" s="32"/>
      <c r="Z132" s="32"/>
    </row>
    <row r="133">
      <c r="A133" s="32" t="str">
        <f>IFERROR(__xludf.DUMMYFUNCTION("""COMPUTED_VALUE"""),"Greaves of Waking Waters")</f>
        <v>Greaves of Waking Waters</v>
      </c>
      <c r="B133" s="32"/>
      <c r="C133" s="32"/>
      <c r="D133" s="32" t="str">
        <f>IFERROR(__xludf.DUMMYFUNCTION("""COMPUTED_VALUE"""),"Legs")</f>
        <v>Legs</v>
      </c>
      <c r="E133" s="32">
        <f>IFERROR(__xludf.DUMMYFUNCTION("""COMPUTED_VALUE"""),200.0)</f>
        <v>200</v>
      </c>
      <c r="F133" s="32" t="str">
        <f>IFERROR(__xludf.DUMMYFUNCTION("""COMPUTED_VALUE"""),"DEF: +5000, Water DEF: +5000 ++X4 additional water damage for self.")</f>
        <v>DEF: +5000, Water DEF: +5000 ++X4 additional water damage for self.</v>
      </c>
      <c r="G133" s="32">
        <f>IFERROR(__xludf.DUMMYFUNCTION("""COMPUTED_VALUE"""),1900000.0)</f>
        <v>1900000</v>
      </c>
      <c r="H133" s="32"/>
      <c r="I133" s="32"/>
      <c r="J133" s="32"/>
      <c r="K133" s="32"/>
      <c r="L133" s="32"/>
      <c r="M133" s="32"/>
      <c r="N133" s="32"/>
      <c r="O133" s="32"/>
      <c r="P133" s="32"/>
      <c r="Q133" s="32"/>
      <c r="R133" s="32"/>
      <c r="S133" s="32"/>
      <c r="T133" s="32"/>
      <c r="U133" s="32"/>
      <c r="V133" s="32"/>
      <c r="W133" s="32"/>
      <c r="X133" s="32"/>
      <c r="Y133" s="32"/>
      <c r="Z133" s="32"/>
    </row>
    <row r="134">
      <c r="A134" s="32" t="str">
        <f>IFERROR(__xludf.DUMMYFUNCTION("""COMPUTED_VALUE"""),"Halloween Staff")</f>
        <v>Halloween Staff</v>
      </c>
      <c r="B134" s="32" t="str">
        <f>IFERROR(__xludf.DUMMYFUNCTION("""COMPUTED_VALUE"""),"Halloween exclusive")</f>
        <v>Halloween exclusive</v>
      </c>
      <c r="C134" s="32" t="str">
        <f>IFERROR(__xludf.DUMMYFUNCTION("""COMPUTED_VALUE"""),"Staff")</f>
        <v>Staff</v>
      </c>
      <c r="D134" s="32" t="str">
        <f>IFERROR(__xludf.DUMMYFUNCTION("""COMPUTED_VALUE"""),"Hand")</f>
        <v>Hand</v>
      </c>
      <c r="E134" s="32">
        <f>IFERROR(__xludf.DUMMYFUNCTION("""COMPUTED_VALUE"""),1.0)</f>
        <v>1</v>
      </c>
      <c r="F134" s="32" t="str">
        <f>IFERROR(__xludf.DUMMYFUNCTION("""COMPUTED_VALUE""")," ++Transform into the Headless Horseman for 3 rounds.")</f>
        <v> ++Transform into the Headless Horseman for 3 rounds.</v>
      </c>
      <c r="G134" s="32">
        <f>IFERROR(__xludf.DUMMYFUNCTION("""COMPUTED_VALUE"""),0.0)</f>
        <v>0</v>
      </c>
      <c r="H134" s="32"/>
      <c r="I134" s="32"/>
      <c r="J134" s="32"/>
      <c r="K134" s="32"/>
      <c r="L134" s="32"/>
      <c r="M134" s="32"/>
      <c r="N134" s="32"/>
      <c r="O134" s="32"/>
      <c r="P134" s="32"/>
      <c r="Q134" s="32"/>
      <c r="R134" s="32"/>
      <c r="S134" s="32"/>
      <c r="T134" s="32"/>
      <c r="U134" s="32"/>
      <c r="V134" s="32"/>
      <c r="W134" s="32"/>
      <c r="X134" s="32"/>
      <c r="Y134" s="32"/>
      <c r="Z134" s="32"/>
    </row>
    <row r="135">
      <c r="A135" s="32" t="str">
        <f>IFERROR(__xludf.DUMMYFUNCTION("""COMPUTED_VALUE"""),"Hammer of Chaotic Shadows")</f>
        <v>Hammer of Chaotic Shadows</v>
      </c>
      <c r="B135" s="32"/>
      <c r="C135" s="32" t="str">
        <f>IFERROR(__xludf.DUMMYFUNCTION("""COMPUTED_VALUE"""),"Club")</f>
        <v>Club</v>
      </c>
      <c r="D135" s="32" t="str">
        <f>IFERROR(__xludf.DUMMYFUNCTION("""COMPUTED_VALUE"""),"Hand")</f>
        <v>Hand</v>
      </c>
      <c r="E135" s="32">
        <f>IFERROR(__xludf.DUMMYFUNCTION("""COMPUTED_VALUE"""),300.0)</f>
        <v>300</v>
      </c>
      <c r="F135" s="32" t="str">
        <f>IFERROR(__xludf.DUMMYFUNCTION("""COMPUTED_VALUE"""),"DMG: +5000, Dark DMG: +5000, Chaos DMG: +5000 ++X2 Additional Dark and Chaos Damage. ")</f>
        <v>DMG: +5000, Dark DMG: +5000, Chaos DMG: +5000 ++X2 Additional Dark and Chaos Damage. </v>
      </c>
      <c r="G135" s="32">
        <f>IFERROR(__xludf.DUMMYFUNCTION("""COMPUTED_VALUE"""),4350000.0)</f>
        <v>4350000</v>
      </c>
      <c r="H135" s="32"/>
      <c r="I135" s="32"/>
      <c r="J135" s="32"/>
      <c r="K135" s="32"/>
      <c r="L135" s="32"/>
      <c r="M135" s="32"/>
      <c r="N135" s="32"/>
      <c r="O135" s="32"/>
      <c r="P135" s="32"/>
      <c r="Q135" s="32"/>
      <c r="R135" s="32"/>
      <c r="S135" s="32"/>
      <c r="T135" s="32"/>
      <c r="U135" s="32"/>
      <c r="V135" s="32"/>
      <c r="W135" s="32"/>
      <c r="X135" s="32"/>
      <c r="Y135" s="32"/>
      <c r="Z135" s="32"/>
    </row>
    <row r="136">
      <c r="A136" s="32" t="str">
        <f>IFERROR(__xludf.DUMMYFUNCTION("""COMPUTED_VALUE"""),"Hardened Ice Sickle")</f>
        <v>Hardened Ice Sickle</v>
      </c>
      <c r="B136" s="32" t="str">
        <f>IFERROR(__xludf.DUMMYFUNCTION("""COMPUTED_VALUE"""),"Event Exclusive")</f>
        <v>Event Exclusive</v>
      </c>
      <c r="C136" s="32" t="str">
        <f>IFERROR(__xludf.DUMMYFUNCTION("""COMPUTED_VALUE"""),"Knife")</f>
        <v>Knife</v>
      </c>
      <c r="D136" s="32" t="str">
        <f>IFERROR(__xludf.DUMMYFUNCTION("""COMPUTED_VALUE"""),"Hand")</f>
        <v>Hand</v>
      </c>
      <c r="E136" s="32">
        <f>IFERROR(__xludf.DUMMYFUNCTION("""COMPUTED_VALUE"""),200.0)</f>
        <v>200</v>
      </c>
      <c r="F136" s="32" t="str">
        <f>IFERROR(__xludf.DUMMYFUNCTION("""COMPUTED_VALUE"""),"DMG: +5000, Water DMG: +5000 ++75% chance to freeze the target.")</f>
        <v>DMG: +5000, Water DMG: +5000 ++75% chance to freeze the target.</v>
      </c>
      <c r="G136" s="32">
        <f>IFERROR(__xludf.DUMMYFUNCTION("""COMPUTED_VALUE"""),1900000.0)</f>
        <v>1900000</v>
      </c>
      <c r="H136" s="32"/>
      <c r="I136" s="32"/>
      <c r="J136" s="32"/>
      <c r="K136" s="32"/>
      <c r="L136" s="32"/>
      <c r="M136" s="32"/>
      <c r="N136" s="32"/>
      <c r="O136" s="32"/>
      <c r="P136" s="32"/>
      <c r="Q136" s="32"/>
      <c r="R136" s="32"/>
      <c r="S136" s="32"/>
      <c r="T136" s="32"/>
      <c r="U136" s="32"/>
      <c r="V136" s="32"/>
      <c r="W136" s="32"/>
      <c r="X136" s="32"/>
      <c r="Y136" s="32"/>
      <c r="Z136" s="32"/>
    </row>
    <row r="137">
      <c r="A137" s="32" t="str">
        <f>IFERROR(__xludf.DUMMYFUNCTION("""COMPUTED_VALUE"""),"Haunted Katana")</f>
        <v>Haunted Katana</v>
      </c>
      <c r="B137" s="32"/>
      <c r="C137" s="32" t="str">
        <f>IFERROR(__xludf.DUMMYFUNCTION("""COMPUTED_VALUE"""),"Sword")</f>
        <v>Sword</v>
      </c>
      <c r="D137" s="32" t="str">
        <f>IFERROR(__xludf.DUMMYFUNCTION("""COMPUTED_VALUE"""),"Hand")</f>
        <v>Hand</v>
      </c>
      <c r="E137" s="32">
        <f>IFERROR(__xludf.DUMMYFUNCTION("""COMPUTED_VALUE"""),600.0)</f>
        <v>600</v>
      </c>
      <c r="F137" s="32" t="str">
        <f>IFERROR(__xludf.DUMMYFUNCTION("""COMPUTED_VALUE"""),"DMG: +10000, Dark DMG: +10000, Spirit DMG: +10000 +-You go last during the turn order in battle.. ")</f>
        <v>DMG: +10000, Dark DMG: +10000, Spirit DMG: +10000 +-You go last during the turn order in battle.. </v>
      </c>
      <c r="G137" s="32">
        <f>IFERROR(__xludf.DUMMYFUNCTION("""COMPUTED_VALUE"""),1.77E7)</f>
        <v>17700000</v>
      </c>
      <c r="H137" s="32"/>
      <c r="I137" s="32"/>
      <c r="J137" s="32"/>
      <c r="K137" s="32"/>
      <c r="L137" s="32"/>
      <c r="M137" s="32"/>
      <c r="N137" s="32"/>
      <c r="O137" s="32"/>
      <c r="P137" s="32"/>
      <c r="Q137" s="32"/>
      <c r="R137" s="32"/>
      <c r="S137" s="32"/>
      <c r="T137" s="32"/>
      <c r="U137" s="32"/>
      <c r="V137" s="32"/>
      <c r="W137" s="32"/>
      <c r="X137" s="32"/>
      <c r="Y137" s="32"/>
      <c r="Z137" s="32"/>
    </row>
    <row r="138">
      <c r="A138" s="32" t="str">
        <f>IFERROR(__xludf.DUMMYFUNCTION("""COMPUTED_VALUE"""),"Haunted King's Favorite Shield")</f>
        <v>Haunted King's Favorite Shield</v>
      </c>
      <c r="B138" s="32" t="str">
        <f>IFERROR(__xludf.DUMMYFUNCTION("""COMPUTED_VALUE"""),"Halloween exclusive")</f>
        <v>Halloween exclusive</v>
      </c>
      <c r="C138" s="32" t="str">
        <f>IFERROR(__xludf.DUMMYFUNCTION("""COMPUTED_VALUE"""),"Towershield")</f>
        <v>Towershield</v>
      </c>
      <c r="D138" s="32" t="str">
        <f>IFERROR(__xludf.DUMMYFUNCTION("""COMPUTED_VALUE"""),"Hand")</f>
        <v>Hand</v>
      </c>
      <c r="E138" s="32">
        <f>IFERROR(__xludf.DUMMYFUNCTION("""COMPUTED_VALUE"""),20.0)</f>
        <v>20</v>
      </c>
      <c r="F138" s="32"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32">
        <f>IFERROR(__xludf.DUMMYFUNCTION("""COMPUTED_VALUE"""),10000.0)</f>
        <v>10000</v>
      </c>
      <c r="H138" s="32"/>
      <c r="I138" s="32"/>
      <c r="J138" s="32"/>
      <c r="K138" s="32"/>
      <c r="L138" s="32"/>
      <c r="M138" s="32"/>
      <c r="N138" s="32"/>
      <c r="O138" s="32"/>
      <c r="P138" s="32"/>
      <c r="Q138" s="32"/>
      <c r="R138" s="32"/>
      <c r="S138" s="32"/>
      <c r="T138" s="32"/>
      <c r="U138" s="32"/>
      <c r="V138" s="32"/>
      <c r="W138" s="32"/>
      <c r="X138" s="32"/>
      <c r="Y138" s="32"/>
      <c r="Z138" s="32"/>
    </row>
    <row r="139">
      <c r="A139" s="32" t="str">
        <f>IFERROR(__xludf.DUMMYFUNCTION("""COMPUTED_VALUE"""),"Haunted King's Favorite Sword")</f>
        <v>Haunted King's Favorite Sword</v>
      </c>
      <c r="B139" s="32" t="str">
        <f>IFERROR(__xludf.DUMMYFUNCTION("""COMPUTED_VALUE"""),"Halloween exclusive")</f>
        <v>Halloween exclusive</v>
      </c>
      <c r="C139" s="32" t="str">
        <f>IFERROR(__xludf.DUMMYFUNCTION("""COMPUTED_VALUE"""),"Sword")</f>
        <v>Sword</v>
      </c>
      <c r="D139" s="32" t="str">
        <f>IFERROR(__xludf.DUMMYFUNCTION("""COMPUTED_VALUE"""),"Hand")</f>
        <v>Hand</v>
      </c>
      <c r="E139" s="32">
        <f>IFERROR(__xludf.DUMMYFUNCTION("""COMPUTED_VALUE"""),60.0)</f>
        <v>60</v>
      </c>
      <c r="F139" s="32"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32">
        <f>IFERROR(__xludf.DUMMYFUNCTION("""COMPUTED_VALUE"""),150000.0)</f>
        <v>150000</v>
      </c>
      <c r="H139" s="32"/>
      <c r="I139" s="32"/>
      <c r="J139" s="32"/>
      <c r="K139" s="32"/>
      <c r="L139" s="32"/>
      <c r="M139" s="32"/>
      <c r="N139" s="32"/>
      <c r="O139" s="32"/>
      <c r="P139" s="32"/>
      <c r="Q139" s="32"/>
      <c r="R139" s="32"/>
      <c r="S139" s="32"/>
      <c r="T139" s="32"/>
      <c r="U139" s="32"/>
      <c r="V139" s="32"/>
      <c r="W139" s="32"/>
      <c r="X139" s="32"/>
      <c r="Y139" s="32"/>
      <c r="Z139" s="32"/>
    </row>
    <row r="140">
      <c r="A140" s="32" t="str">
        <f>IFERROR(__xludf.DUMMYFUNCTION("""COMPUTED_VALUE"""),"Heatmore Flame Golem Head")</f>
        <v>Heatmore Flame Golem Head</v>
      </c>
      <c r="B140" s="32"/>
      <c r="C140" s="32"/>
      <c r="D140" s="32" t="str">
        <f>IFERROR(__xludf.DUMMYFUNCTION("""COMPUTED_VALUE"""),"Head")</f>
        <v>Head</v>
      </c>
      <c r="E140" s="32">
        <f>IFERROR(__xludf.DUMMYFUNCTION("""COMPUTED_VALUE"""),300.0)</f>
        <v>300</v>
      </c>
      <c r="F140" s="32" t="str">
        <f>IFERROR(__xludf.DUMMYFUNCTION("""COMPUTED_VALUE"""),"DEF: +5000, Fire DEF: +5000, Earth DEF: +5000 ++X2 additional Earth and Fire Resistance.")</f>
        <v>DEF: +5000, Fire DEF: +5000, Earth DEF: +5000 ++X2 additional Earth and Fire Resistance.</v>
      </c>
      <c r="G140" s="32">
        <f>IFERROR(__xludf.DUMMYFUNCTION("""COMPUTED_VALUE"""),4350000.0)</f>
        <v>4350000</v>
      </c>
      <c r="H140" s="32"/>
      <c r="I140" s="32"/>
      <c r="J140" s="32"/>
      <c r="K140" s="32"/>
      <c r="L140" s="32"/>
      <c r="M140" s="32"/>
      <c r="N140" s="32"/>
      <c r="O140" s="32"/>
      <c r="P140" s="32"/>
      <c r="Q140" s="32"/>
      <c r="R140" s="32"/>
      <c r="S140" s="32"/>
      <c r="T140" s="32"/>
      <c r="U140" s="32"/>
      <c r="V140" s="32"/>
      <c r="W140" s="32"/>
      <c r="X140" s="32"/>
      <c r="Y140" s="32"/>
      <c r="Z140" s="32"/>
    </row>
    <row r="141">
      <c r="A141" s="32" t="str">
        <f>IFERROR(__xludf.DUMMYFUNCTION("""COMPUTED_VALUE"""),"Helmet of Darkness")</f>
        <v>Helmet of Darkness</v>
      </c>
      <c r="B141" s="32"/>
      <c r="C141" s="32"/>
      <c r="D141" s="32" t="str">
        <f>IFERROR(__xludf.DUMMYFUNCTION("""COMPUTED_VALUE"""),"Head")</f>
        <v>Head</v>
      </c>
      <c r="E141" s="32">
        <f>IFERROR(__xludf.DUMMYFUNCTION("""COMPUTED_VALUE"""),400.0)</f>
        <v>400</v>
      </c>
      <c r="F141" s="32" t="str">
        <f>IFERROR(__xludf.DUMMYFUNCTION("""COMPUTED_VALUE"""),"DEF: +10000, Dark DEF: +10000 ++Immunity to Dark damage.")</f>
        <v>DEF: +10000, Dark DEF: +10000 ++Immunity to Dark damage.</v>
      </c>
      <c r="G141" s="32">
        <f>IFERROR(__xludf.DUMMYFUNCTION("""COMPUTED_VALUE"""),7800000.0)</f>
        <v>7800000</v>
      </c>
      <c r="H141" s="32"/>
      <c r="I141" s="32"/>
      <c r="J141" s="32"/>
      <c r="K141" s="32"/>
      <c r="L141" s="32"/>
      <c r="M141" s="32"/>
      <c r="N141" s="32"/>
      <c r="O141" s="32"/>
      <c r="P141" s="32"/>
      <c r="Q141" s="32"/>
      <c r="R141" s="32"/>
      <c r="S141" s="32"/>
      <c r="T141" s="32"/>
      <c r="U141" s="32"/>
      <c r="V141" s="32"/>
      <c r="W141" s="32"/>
      <c r="X141" s="32"/>
      <c r="Y141" s="32"/>
      <c r="Z141" s="32"/>
    </row>
    <row r="142">
      <c r="A142" s="32" t="str">
        <f>IFERROR(__xludf.DUMMYFUNCTION("""COMPUTED_VALUE"""),"Helmet of Waking Waters")</f>
        <v>Helmet of Waking Waters</v>
      </c>
      <c r="B142" s="32"/>
      <c r="C142" s="32"/>
      <c r="D142" s="32" t="str">
        <f>IFERROR(__xludf.DUMMYFUNCTION("""COMPUTED_VALUE"""),"Head")</f>
        <v>Head</v>
      </c>
      <c r="E142" s="32">
        <f>IFERROR(__xludf.DUMMYFUNCTION("""COMPUTED_VALUE"""),200.0)</f>
        <v>200</v>
      </c>
      <c r="F142" s="32" t="str">
        <f>IFERROR(__xludf.DUMMYFUNCTION("""COMPUTED_VALUE"""),"DEF: +5000, Water DEF: +5000 ++X4 additional water damage.")</f>
        <v>DEF: +5000, Water DEF: +5000 ++X4 additional water damage.</v>
      </c>
      <c r="G142" s="32">
        <f>IFERROR(__xludf.DUMMYFUNCTION("""COMPUTED_VALUE"""),1900000.0)</f>
        <v>1900000</v>
      </c>
      <c r="H142" s="32"/>
      <c r="I142" s="32"/>
      <c r="J142" s="32"/>
      <c r="K142" s="32"/>
      <c r="L142" s="32"/>
      <c r="M142" s="32"/>
      <c r="N142" s="32"/>
      <c r="O142" s="32"/>
      <c r="P142" s="32"/>
      <c r="Q142" s="32"/>
      <c r="R142" s="32"/>
      <c r="S142" s="32"/>
      <c r="T142" s="32"/>
      <c r="U142" s="32"/>
      <c r="V142" s="32"/>
      <c r="W142" s="32"/>
      <c r="X142" s="32"/>
      <c r="Y142" s="32"/>
      <c r="Z142" s="32"/>
    </row>
    <row r="143">
      <c r="A143" s="32" t="str">
        <f>IFERROR(__xludf.DUMMYFUNCTION("""COMPUTED_VALUE"""),"High Range Bow")</f>
        <v>High Range Bow</v>
      </c>
      <c r="B143" s="32"/>
      <c r="C143" s="32" t="str">
        <f>IFERROR(__xludf.DUMMYFUNCTION("""COMPUTED_VALUE"""),"Bow")</f>
        <v>Bow</v>
      </c>
      <c r="D143" s="32" t="str">
        <f>IFERROR(__xludf.DUMMYFUNCTION("""COMPUTED_VALUE"""),"Hand")</f>
        <v>Hand</v>
      </c>
      <c r="E143" s="32">
        <f>IFERROR(__xludf.DUMMYFUNCTION("""COMPUTED_VALUE"""),10.0)</f>
        <v>10</v>
      </c>
      <c r="F143" s="32" t="str">
        <f>IFERROR(__xludf.DUMMYFUNCTION("""COMPUTED_VALUE"""),"DMG: +500 ++Hawkeye: X2 more arrow damage and ranged attacks deal half damage that are dealt to the wearer. ")</f>
        <v>DMG: +500 ++Hawkeye: X2 more arrow damage and ranged attacks deal half damage that are dealt to the wearer. </v>
      </c>
      <c r="G143" s="32">
        <f>IFERROR(__xludf.DUMMYFUNCTION("""COMPUTED_VALUE"""),1000.0)</f>
        <v>1000</v>
      </c>
      <c r="H143" s="32"/>
      <c r="I143" s="32"/>
      <c r="J143" s="32"/>
      <c r="K143" s="32"/>
      <c r="L143" s="32"/>
      <c r="M143" s="32"/>
      <c r="N143" s="32"/>
      <c r="O143" s="32"/>
      <c r="P143" s="32"/>
      <c r="Q143" s="32"/>
      <c r="R143" s="32"/>
      <c r="S143" s="32"/>
      <c r="T143" s="32"/>
      <c r="U143" s="32"/>
      <c r="V143" s="32"/>
      <c r="W143" s="32"/>
      <c r="X143" s="32"/>
      <c r="Y143" s="32"/>
      <c r="Z143" s="32"/>
    </row>
    <row r="144">
      <c r="A144" s="32" t="str">
        <f>IFERROR(__xludf.DUMMYFUNCTION("""COMPUTED_VALUE"""),"Horn of The Forgotten")</f>
        <v>Horn of The Forgotten</v>
      </c>
      <c r="B144" s="32"/>
      <c r="C144" s="32" t="str">
        <f>IFERROR(__xludf.DUMMYFUNCTION("""COMPUTED_VALUE"""),"Wand")</f>
        <v>Wand</v>
      </c>
      <c r="D144" s="32" t="str">
        <f>IFERROR(__xludf.DUMMYFUNCTION("""COMPUTED_VALUE"""),"Hand")</f>
        <v>Hand</v>
      </c>
      <c r="E144" s="32">
        <f>IFERROR(__xludf.DUMMYFUNCTION("""COMPUTED_VALUE"""),1.0)</f>
        <v>1</v>
      </c>
      <c r="F144" s="32"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32">
        <f>IFERROR(__xludf.DUMMYFUNCTION("""COMPUTED_VALUE"""),0.0)</f>
        <v>0</v>
      </c>
      <c r="H144" s="32"/>
      <c r="I144" s="32"/>
      <c r="J144" s="32"/>
      <c r="K144" s="32"/>
      <c r="L144" s="32"/>
      <c r="M144" s="32"/>
      <c r="N144" s="32"/>
      <c r="O144" s="32"/>
      <c r="P144" s="32"/>
      <c r="Q144" s="32"/>
      <c r="R144" s="32"/>
      <c r="S144" s="32"/>
      <c r="T144" s="32"/>
      <c r="U144" s="32"/>
      <c r="V144" s="32"/>
      <c r="W144" s="32"/>
      <c r="X144" s="32"/>
      <c r="Y144" s="32"/>
      <c r="Z144" s="32"/>
    </row>
    <row r="145">
      <c r="A145" s="32" t="str">
        <f>IFERROR(__xludf.DUMMYFUNCTION("""COMPUTED_VALUE"""),"Houyi's Bow")</f>
        <v>Houyi's Bow</v>
      </c>
      <c r="B145" s="32"/>
      <c r="C145" s="32" t="str">
        <f>IFERROR(__xludf.DUMMYFUNCTION("""COMPUTED_VALUE"""),"Bow")</f>
        <v>Bow</v>
      </c>
      <c r="D145" s="32" t="str">
        <f>IFERROR(__xludf.DUMMYFUNCTION("""COMPUTED_VALUE"""),"Hand")</f>
        <v>Hand</v>
      </c>
      <c r="E145" s="32">
        <f>IFERROR(__xludf.DUMMYFUNCTION("""COMPUTED_VALUE"""),400.0)</f>
        <v>400</v>
      </c>
      <c r="F145" s="32" t="str">
        <f>IFERROR(__xludf.DUMMYFUNCTION("""COMPUTED_VALUE"""),"DMG: +20000 ++Skill Shot - gives the wielder X2 accuracy and X2 damage for bows.")</f>
        <v>DMG: +20000 ++Skill Shot - gives the wielder X2 accuracy and X2 damage for bows.</v>
      </c>
      <c r="G145" s="32">
        <f>IFERROR(__xludf.DUMMYFUNCTION("""COMPUTED_VALUE"""),7800000.0)</f>
        <v>7800000</v>
      </c>
      <c r="H145" s="32"/>
      <c r="I145" s="32"/>
      <c r="J145" s="32"/>
      <c r="K145" s="32"/>
      <c r="L145" s="32"/>
      <c r="M145" s="32"/>
      <c r="N145" s="32"/>
      <c r="O145" s="32"/>
      <c r="P145" s="32"/>
      <c r="Q145" s="32"/>
      <c r="R145" s="32"/>
      <c r="S145" s="32"/>
      <c r="T145" s="32"/>
      <c r="U145" s="32"/>
      <c r="V145" s="32"/>
      <c r="W145" s="32"/>
      <c r="X145" s="32"/>
      <c r="Y145" s="32"/>
      <c r="Z145" s="32"/>
    </row>
    <row r="146">
      <c r="A146" s="32" t="str">
        <f>IFERROR(__xludf.DUMMYFUNCTION("""COMPUTED_VALUE"""),"Ice Blade")</f>
        <v>Ice Blade</v>
      </c>
      <c r="B146" s="32"/>
      <c r="C146" s="32" t="str">
        <f>IFERROR(__xludf.DUMMYFUNCTION("""COMPUTED_VALUE"""),"Sword")</f>
        <v>Sword</v>
      </c>
      <c r="D146" s="32" t="str">
        <f>IFERROR(__xludf.DUMMYFUNCTION("""COMPUTED_VALUE"""),"Hand")</f>
        <v>Hand</v>
      </c>
      <c r="E146" s="32">
        <f>IFERROR(__xludf.DUMMYFUNCTION("""COMPUTED_VALUE"""),100.0)</f>
        <v>100</v>
      </c>
      <c r="F146" s="32" t="str">
        <f>IFERROR(__xludf.DUMMYFUNCTION("""COMPUTED_VALUE"""),"DMG: +2000, Water DMG: +3000 ++50% chance to freeze the target.")</f>
        <v>DMG: +2000, Water DMG: +3000 ++50% chance to freeze the target.</v>
      </c>
      <c r="G146" s="32">
        <f>IFERROR(__xludf.DUMMYFUNCTION("""COMPUTED_VALUE"""),450000.0)</f>
        <v>450000</v>
      </c>
      <c r="H146" s="32"/>
      <c r="I146" s="32"/>
      <c r="J146" s="32"/>
      <c r="K146" s="32"/>
      <c r="L146" s="32"/>
      <c r="M146" s="32"/>
      <c r="N146" s="32"/>
      <c r="O146" s="32"/>
      <c r="P146" s="32"/>
      <c r="Q146" s="32"/>
      <c r="R146" s="32"/>
      <c r="S146" s="32"/>
      <c r="T146" s="32"/>
      <c r="U146" s="32"/>
      <c r="V146" s="32"/>
      <c r="W146" s="32"/>
      <c r="X146" s="32"/>
      <c r="Y146" s="32"/>
      <c r="Z146" s="32"/>
    </row>
    <row r="147">
      <c r="A147" s="32" t="str">
        <f>IFERROR(__xludf.DUMMYFUNCTION("""COMPUTED_VALUE"""),"Inferno Staff")</f>
        <v>Inferno Staff</v>
      </c>
      <c r="B147" s="32"/>
      <c r="C147" s="32" t="str">
        <f>IFERROR(__xludf.DUMMYFUNCTION("""COMPUTED_VALUE"""),"Staff")</f>
        <v>Staff</v>
      </c>
      <c r="D147" s="32" t="str">
        <f>IFERROR(__xludf.DUMMYFUNCTION("""COMPUTED_VALUE"""),"Hand")</f>
        <v>Hand</v>
      </c>
      <c r="E147" s="32">
        <f>IFERROR(__xludf.DUMMYFUNCTION("""COMPUTED_VALUE"""),200.0)</f>
        <v>200</v>
      </c>
      <c r="F147" s="32" t="str">
        <f>IFERROR(__xludf.DUMMYFUNCTION("""COMPUTED_VALUE"""),", Fire : +10000 ++Burn 10,000 to 1 target for 3 rounds. 100sp.")</f>
        <v>, Fire : +10000 ++Burn 10,000 to 1 target for 3 rounds. 100sp.</v>
      </c>
      <c r="G147" s="32">
        <f>IFERROR(__xludf.DUMMYFUNCTION("""COMPUTED_VALUE"""),1900000.0)</f>
        <v>1900000</v>
      </c>
      <c r="H147" s="32"/>
      <c r="I147" s="32"/>
      <c r="J147" s="32"/>
      <c r="K147" s="32"/>
      <c r="L147" s="32"/>
      <c r="M147" s="32"/>
      <c r="N147" s="32"/>
      <c r="O147" s="32"/>
      <c r="P147" s="32"/>
      <c r="Q147" s="32"/>
      <c r="R147" s="32"/>
      <c r="S147" s="32"/>
      <c r="T147" s="32"/>
      <c r="U147" s="32"/>
      <c r="V147" s="32"/>
      <c r="W147" s="32"/>
      <c r="X147" s="32"/>
      <c r="Y147" s="32"/>
      <c r="Z147" s="32"/>
    </row>
    <row r="148">
      <c r="A148" s="32" t="str">
        <f>IFERROR(__xludf.DUMMYFUNCTION("""COMPUTED_VALUE"""),"Jack's Special Archer Robe")</f>
        <v>Jack's Special Archer Robe</v>
      </c>
      <c r="B148" s="32" t="str">
        <f>IFERROR(__xludf.DUMMYFUNCTION("""COMPUTED_VALUE"""),"Halloween exclusive")</f>
        <v>Halloween exclusive</v>
      </c>
      <c r="C148" s="32"/>
      <c r="D148" s="32" t="str">
        <f>IFERROR(__xludf.DUMMYFUNCTION("""COMPUTED_VALUE"""),"Torso")</f>
        <v>Torso</v>
      </c>
      <c r="E148" s="32">
        <f>IFERROR(__xludf.DUMMYFUNCTION("""COMPUTED_VALUE"""),20.0)</f>
        <v>20</v>
      </c>
      <c r="F148" s="32" t="str">
        <f>IFERROR(__xludf.DUMMYFUNCTION("""COMPUTED_VALUE"""),"DEF: +900 ++Range Spells cost half the SP cost and all damage is doubled for ranged spells +-Archer Class Only")</f>
        <v>DEF: +900 ++Range Spells cost half the SP cost and all damage is doubled for ranged spells +-Archer Class Only</v>
      </c>
      <c r="G148" s="32">
        <f>IFERROR(__xludf.DUMMYFUNCTION("""COMPUTED_VALUE"""),1000.0)</f>
        <v>1000</v>
      </c>
      <c r="H148" s="32"/>
      <c r="I148" s="32"/>
      <c r="J148" s="32"/>
      <c r="K148" s="32"/>
      <c r="L148" s="32"/>
      <c r="M148" s="32"/>
      <c r="N148" s="32"/>
      <c r="O148" s="32"/>
      <c r="P148" s="32"/>
      <c r="Q148" s="32"/>
      <c r="R148" s="32"/>
      <c r="S148" s="32"/>
      <c r="T148" s="32"/>
      <c r="U148" s="32"/>
      <c r="V148" s="32"/>
      <c r="W148" s="32"/>
      <c r="X148" s="32"/>
      <c r="Y148" s="32"/>
      <c r="Z148" s="32"/>
    </row>
    <row r="149">
      <c r="A149" s="32" t="str">
        <f>IFERROR(__xludf.DUMMYFUNCTION("""COMPUTED_VALUE"""),"Jack's Special Ring")</f>
        <v>Jack's Special Ring</v>
      </c>
      <c r="B149" s="32" t="str">
        <f>IFERROR(__xludf.DUMMYFUNCTION("""COMPUTED_VALUE"""),"Halloween exclusive")</f>
        <v>Halloween exclusive</v>
      </c>
      <c r="C149" s="32"/>
      <c r="D149" s="32" t="str">
        <f>IFERROR(__xludf.DUMMYFUNCTION("""COMPUTED_VALUE"""),"Ring")</f>
        <v>Ring</v>
      </c>
      <c r="E149" s="32">
        <f>IFERROR(__xludf.DUMMYFUNCTION("""COMPUTED_VALUE"""),1.0)</f>
        <v>1</v>
      </c>
      <c r="F149" s="32" t="str">
        <f>IFERROR(__xludf.DUMMYFUNCTION("""COMPUTED_VALUE""")," ++Increase all types of damage by X2. +-Cannot be forged +-Cannot be duplicated")</f>
        <v> ++Increase all types of damage by X2. +-Cannot be forged +-Cannot be duplicated</v>
      </c>
      <c r="G149" s="32">
        <f>IFERROR(__xludf.DUMMYFUNCTION("""COMPUTED_VALUE"""),0.0)</f>
        <v>0</v>
      </c>
      <c r="H149" s="32"/>
      <c r="I149" s="32"/>
      <c r="J149" s="32"/>
      <c r="K149" s="32"/>
      <c r="L149" s="32"/>
      <c r="M149" s="32"/>
      <c r="N149" s="32"/>
      <c r="O149" s="32"/>
      <c r="P149" s="32"/>
      <c r="Q149" s="32"/>
      <c r="R149" s="32"/>
      <c r="S149" s="32"/>
      <c r="T149" s="32"/>
      <c r="U149" s="32"/>
      <c r="V149" s="32"/>
      <c r="W149" s="32"/>
      <c r="X149" s="32"/>
      <c r="Y149" s="32"/>
      <c r="Z149" s="32"/>
    </row>
    <row r="150">
      <c r="A150" s="32" t="str">
        <f>IFERROR(__xludf.DUMMYFUNCTION("""COMPUTED_VALUE"""),"Jack's Special Sword")</f>
        <v>Jack's Special Sword</v>
      </c>
      <c r="B150" s="32" t="str">
        <f>IFERROR(__xludf.DUMMYFUNCTION("""COMPUTED_VALUE"""),"Halloween exclusive")</f>
        <v>Halloween exclusive</v>
      </c>
      <c r="C150" s="32" t="str">
        <f>IFERROR(__xludf.DUMMYFUNCTION("""COMPUTED_VALUE"""),"Sword")</f>
        <v>Sword</v>
      </c>
      <c r="D150" s="32" t="str">
        <f>IFERROR(__xludf.DUMMYFUNCTION("""COMPUTED_VALUE"""),"Hand")</f>
        <v>Hand</v>
      </c>
      <c r="E150" s="32">
        <f>IFERROR(__xludf.DUMMYFUNCTION("""COMPUTED_VALUE"""),60.0)</f>
        <v>60</v>
      </c>
      <c r="F150" s="32"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32">
        <f>IFERROR(__xludf.DUMMYFUNCTION("""COMPUTED_VALUE"""),150000.0)</f>
        <v>150000</v>
      </c>
      <c r="H150" s="32"/>
      <c r="I150" s="32"/>
      <c r="J150" s="32"/>
      <c r="K150" s="32"/>
      <c r="L150" s="32"/>
      <c r="M150" s="32"/>
      <c r="N150" s="32"/>
      <c r="O150" s="32"/>
      <c r="P150" s="32"/>
      <c r="Q150" s="32"/>
      <c r="R150" s="32"/>
      <c r="S150" s="32"/>
      <c r="T150" s="32"/>
      <c r="U150" s="32"/>
      <c r="V150" s="32"/>
      <c r="W150" s="32"/>
      <c r="X150" s="32"/>
      <c r="Y150" s="32"/>
      <c r="Z150" s="32"/>
    </row>
    <row r="151">
      <c r="A151" s="32" t="str">
        <f>IFERROR(__xludf.DUMMYFUNCTION("""COMPUTED_VALUE"""),"Jack’o Lantern Helmet of Swampy Hallow")</f>
        <v>Jack’o Lantern Helmet of Swampy Hallow</v>
      </c>
      <c r="B151" s="32" t="str">
        <f>IFERROR(__xludf.DUMMYFUNCTION("""COMPUTED_VALUE"""),"Halloween exclusive")</f>
        <v>Halloween exclusive</v>
      </c>
      <c r="C151" s="32"/>
      <c r="D151" s="32" t="str">
        <f>IFERROR(__xludf.DUMMYFUNCTION("""COMPUTED_VALUE"""),"Head")</f>
        <v>Head</v>
      </c>
      <c r="E151" s="32">
        <f>IFERROR(__xludf.DUMMYFUNCTION("""COMPUTED_VALUE"""),600.0)</f>
        <v>600</v>
      </c>
      <c r="F151" s="32"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32">
        <f>IFERROR(__xludf.DUMMYFUNCTION("""COMPUTED_VALUE"""),1.77E7)</f>
        <v>17700000</v>
      </c>
      <c r="H151" s="32"/>
      <c r="I151" s="32"/>
      <c r="J151" s="32"/>
      <c r="K151" s="32"/>
      <c r="L151" s="32"/>
      <c r="M151" s="32"/>
      <c r="N151" s="32"/>
      <c r="O151" s="32"/>
      <c r="P151" s="32"/>
      <c r="Q151" s="32"/>
      <c r="R151" s="32"/>
      <c r="S151" s="32"/>
      <c r="T151" s="32"/>
      <c r="U151" s="32"/>
      <c r="V151" s="32"/>
      <c r="W151" s="32"/>
      <c r="X151" s="32"/>
      <c r="Y151" s="32"/>
      <c r="Z151" s="32"/>
    </row>
    <row r="152">
      <c r="A152" s="32" t="str">
        <f>IFERROR(__xludf.DUMMYFUNCTION("""COMPUTED_VALUE"""),"Katana")</f>
        <v>Katana</v>
      </c>
      <c r="B152" s="32"/>
      <c r="C152" s="32" t="str">
        <f>IFERROR(__xludf.DUMMYFUNCTION("""COMPUTED_VALUE"""),"Sword")</f>
        <v>Sword</v>
      </c>
      <c r="D152" s="32" t="str">
        <f>IFERROR(__xludf.DUMMYFUNCTION("""COMPUTED_VALUE"""),"Hand")</f>
        <v>Hand</v>
      </c>
      <c r="E152" s="32">
        <f>IFERROR(__xludf.DUMMYFUNCTION("""COMPUTED_VALUE"""),10.0)</f>
        <v>10</v>
      </c>
      <c r="F152" s="32" t="str">
        <f>IFERROR(__xludf.DUMMYFUNCTION("""COMPUTED_VALUE"""),"DMG: +500 ++ +10% chance of the sword ability activating.")</f>
        <v>DMG: +500 ++ +10% chance of the sword ability activating.</v>
      </c>
      <c r="G152" s="32">
        <f>IFERROR(__xludf.DUMMYFUNCTION("""COMPUTED_VALUE"""),1000.0)</f>
        <v>1000</v>
      </c>
      <c r="H152" s="32"/>
      <c r="I152" s="32"/>
      <c r="J152" s="32"/>
      <c r="K152" s="32"/>
      <c r="L152" s="32"/>
      <c r="M152" s="32"/>
      <c r="N152" s="32"/>
      <c r="O152" s="32"/>
      <c r="P152" s="32"/>
      <c r="Q152" s="32"/>
      <c r="R152" s="32"/>
      <c r="S152" s="32"/>
      <c r="T152" s="32"/>
      <c r="U152" s="32"/>
      <c r="V152" s="32"/>
      <c r="W152" s="32"/>
      <c r="X152" s="32"/>
      <c r="Y152" s="32"/>
      <c r="Z152" s="32"/>
    </row>
    <row r="153">
      <c r="A153" s="32" t="str">
        <f>IFERROR(__xludf.DUMMYFUNCTION("""COMPUTED_VALUE"""),"King Of Mekanas Sword")</f>
        <v>King Of Mekanas Sword</v>
      </c>
      <c r="B153" s="32" t="str">
        <f>IFERROR(__xludf.DUMMYFUNCTION("""COMPUTED_VALUE"""),"Mob Exclusive")</f>
        <v>Mob Exclusive</v>
      </c>
      <c r="C153" s="32" t="str">
        <f>IFERROR(__xludf.DUMMYFUNCTION("""COMPUTED_VALUE"""),"Sword")</f>
        <v>Sword</v>
      </c>
      <c r="D153" s="32" t="str">
        <f>IFERROR(__xludf.DUMMYFUNCTION("""COMPUTED_VALUE"""),"Hand")</f>
        <v>Hand</v>
      </c>
      <c r="E153" s="32">
        <f>IFERROR(__xludf.DUMMYFUNCTION("""COMPUTED_VALUE"""),3000.0)</f>
        <v>3000</v>
      </c>
      <c r="F153" s="32" t="str">
        <f>IFERROR(__xludf.DUMMYFUNCTION("""COMPUTED_VALUE"""),"DMG: +50000, Fire DMG: +50000, Storm DMG: +50000 ++X8 additional Fire and Storm damage. ")</f>
        <v>DMG: +50000, Fire DMG: +50000, Storm DMG: +50000 ++X8 additional Fire and Storm damage. </v>
      </c>
      <c r="G153" s="32">
        <f>IFERROR(__xludf.DUMMYFUNCTION("""COMPUTED_VALUE"""),4.485E8)</f>
        <v>448500000</v>
      </c>
      <c r="H153" s="32"/>
      <c r="I153" s="32"/>
      <c r="J153" s="32"/>
      <c r="K153" s="32"/>
      <c r="L153" s="32"/>
      <c r="M153" s="32"/>
      <c r="N153" s="32"/>
      <c r="O153" s="32"/>
      <c r="P153" s="32"/>
      <c r="Q153" s="32"/>
      <c r="R153" s="32"/>
      <c r="S153" s="32"/>
      <c r="T153" s="32"/>
      <c r="U153" s="32"/>
      <c r="V153" s="32"/>
      <c r="W153" s="32"/>
      <c r="X153" s="32"/>
      <c r="Y153" s="32"/>
      <c r="Z153" s="32"/>
    </row>
    <row r="154">
      <c r="A154" s="32" t="str">
        <f>IFERROR(__xludf.DUMMYFUNCTION("""COMPUTED_VALUE"""),"King's Royal Sword")</f>
        <v>King's Royal Sword</v>
      </c>
      <c r="B154" s="32" t="str">
        <f>IFERROR(__xludf.DUMMYFUNCTION("""COMPUTED_VALUE"""),"Quest Item")</f>
        <v>Quest Item</v>
      </c>
      <c r="C154" s="32" t="str">
        <f>IFERROR(__xludf.DUMMYFUNCTION("""COMPUTED_VALUE"""),"Sword")</f>
        <v>Sword</v>
      </c>
      <c r="D154" s="32" t="str">
        <f>IFERROR(__xludf.DUMMYFUNCTION("""COMPUTED_VALUE"""),"Hand")</f>
        <v>Hand</v>
      </c>
      <c r="E154" s="32">
        <f>IFERROR(__xludf.DUMMYFUNCTION("""COMPUTED_VALUE"""),200.0)</f>
        <v>200</v>
      </c>
      <c r="F154" s="32"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32">
        <f>IFERROR(__xludf.DUMMYFUNCTION("""COMPUTED_VALUE"""),7.98E8)</f>
        <v>798000000</v>
      </c>
      <c r="H154" s="32"/>
      <c r="I154" s="32"/>
      <c r="J154" s="32"/>
      <c r="K154" s="32"/>
      <c r="L154" s="32"/>
      <c r="M154" s="32"/>
      <c r="N154" s="32"/>
      <c r="O154" s="32"/>
      <c r="P154" s="32"/>
      <c r="Q154" s="32"/>
      <c r="R154" s="32"/>
      <c r="S154" s="32"/>
      <c r="T154" s="32"/>
      <c r="U154" s="32"/>
      <c r="V154" s="32"/>
      <c r="W154" s="32"/>
      <c r="X154" s="32"/>
      <c r="Y154" s="32"/>
      <c r="Z154" s="32"/>
    </row>
    <row r="155">
      <c r="A155" s="32" t="str">
        <f>IFERROR(__xludf.DUMMYFUNCTION("""COMPUTED_VALUE"""),"Knife")</f>
        <v>Knife</v>
      </c>
      <c r="B155" s="32"/>
      <c r="C155" s="32" t="str">
        <f>IFERROR(__xludf.DUMMYFUNCTION("""COMPUTED_VALUE"""),"Knife")</f>
        <v>Knife</v>
      </c>
      <c r="D155" s="32" t="str">
        <f>IFERROR(__xludf.DUMMYFUNCTION("""COMPUTED_VALUE"""),"Hand")</f>
        <v>Hand</v>
      </c>
      <c r="E155" s="32">
        <f>IFERROR(__xludf.DUMMYFUNCTION("""COMPUTED_VALUE"""),20.0)</f>
        <v>20</v>
      </c>
      <c r="F155" s="32" t="str">
        <f>IFERROR(__xludf.DUMMYFUNCTION("""COMPUTED_VALUE"""),"DMG: +1000")</f>
        <v>DMG: +1000</v>
      </c>
      <c r="G155" s="32">
        <f>IFERROR(__xludf.DUMMYFUNCTION("""COMPUTED_VALUE"""),10000.0)</f>
        <v>10000</v>
      </c>
      <c r="H155" s="32"/>
      <c r="I155" s="32"/>
      <c r="J155" s="32"/>
      <c r="K155" s="32"/>
      <c r="L155" s="32"/>
      <c r="M155" s="32"/>
      <c r="N155" s="32"/>
      <c r="O155" s="32"/>
      <c r="P155" s="32"/>
      <c r="Q155" s="32"/>
      <c r="R155" s="32"/>
      <c r="S155" s="32"/>
      <c r="T155" s="32"/>
      <c r="U155" s="32"/>
      <c r="V155" s="32"/>
      <c r="W155" s="32"/>
      <c r="X155" s="32"/>
      <c r="Y155" s="32"/>
      <c r="Z155" s="32"/>
    </row>
    <row r="156">
      <c r="A156" s="32" t="str">
        <f>IFERROR(__xludf.DUMMYFUNCTION("""COMPUTED_VALUE"""),"Knife of Jinx")</f>
        <v>Knife of Jinx</v>
      </c>
      <c r="B156" s="32"/>
      <c r="C156" s="32" t="str">
        <f>IFERROR(__xludf.DUMMYFUNCTION("""COMPUTED_VALUE"""),"Knife")</f>
        <v>Knife</v>
      </c>
      <c r="D156" s="32" t="str">
        <f>IFERROR(__xludf.DUMMYFUNCTION("""COMPUTED_VALUE"""),"Hand")</f>
        <v>Hand</v>
      </c>
      <c r="E156" s="32">
        <f>IFERROR(__xludf.DUMMYFUNCTION("""COMPUTED_VALUE"""),1.0)</f>
        <v>1</v>
      </c>
      <c r="F156" s="32"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32">
        <f>IFERROR(__xludf.DUMMYFUNCTION("""COMPUTED_VALUE"""),0.0)</f>
        <v>0</v>
      </c>
      <c r="H156" s="32"/>
      <c r="I156" s="32"/>
      <c r="J156" s="32"/>
      <c r="K156" s="32"/>
      <c r="L156" s="32"/>
      <c r="M156" s="32"/>
      <c r="N156" s="32"/>
      <c r="O156" s="32"/>
      <c r="P156" s="32"/>
      <c r="Q156" s="32"/>
      <c r="R156" s="32"/>
      <c r="S156" s="32"/>
      <c r="T156" s="32"/>
      <c r="U156" s="32"/>
      <c r="V156" s="32"/>
      <c r="W156" s="32"/>
      <c r="X156" s="32"/>
      <c r="Y156" s="32"/>
      <c r="Z156" s="32"/>
    </row>
    <row r="157">
      <c r="A157" s="32" t="str">
        <f>IFERROR(__xludf.DUMMYFUNCTION("""COMPUTED_VALUE"""),"kraken's power ring")</f>
        <v>kraken's power ring</v>
      </c>
      <c r="B157" s="32"/>
      <c r="C157" s="32"/>
      <c r="D157" s="32" t="str">
        <f>IFERROR(__xludf.DUMMYFUNCTION("""COMPUTED_VALUE"""),"Ring")</f>
        <v>Ring</v>
      </c>
      <c r="E157" s="32">
        <f>IFERROR(__xludf.DUMMYFUNCTION("""COMPUTED_VALUE"""),1.0)</f>
        <v>1</v>
      </c>
      <c r="F157" s="32" t="str">
        <f>IFERROR(__xludf.DUMMYFUNCTION("""COMPUTED_VALUE""")," ++water based attacks double in damage. ++sp cost is halved for water spells only")</f>
        <v> ++water based attacks double in damage. ++sp cost is halved for water spells only</v>
      </c>
      <c r="G157" s="32">
        <f>IFERROR(__xludf.DUMMYFUNCTION("""COMPUTED_VALUE"""),0.0)</f>
        <v>0</v>
      </c>
      <c r="H157" s="32"/>
      <c r="I157" s="32"/>
      <c r="J157" s="32"/>
      <c r="K157" s="32"/>
      <c r="L157" s="32"/>
      <c r="M157" s="32"/>
      <c r="N157" s="32"/>
      <c r="O157" s="32"/>
      <c r="P157" s="32"/>
      <c r="Q157" s="32"/>
      <c r="R157" s="32"/>
      <c r="S157" s="32"/>
      <c r="T157" s="32"/>
      <c r="U157" s="32"/>
      <c r="V157" s="32"/>
      <c r="W157" s="32"/>
      <c r="X157" s="32"/>
      <c r="Y157" s="32"/>
      <c r="Z157" s="32"/>
    </row>
    <row r="158">
      <c r="A158" s="32" t="str">
        <f>IFERROR(__xludf.DUMMYFUNCTION("""COMPUTED_VALUE"""),"Krakens Power Ring")</f>
        <v>Krakens Power Ring</v>
      </c>
      <c r="B158" s="32"/>
      <c r="C158" s="32"/>
      <c r="D158" s="32" t="str">
        <f>IFERROR(__xludf.DUMMYFUNCTION("""COMPUTED_VALUE"""),"Ring")</f>
        <v>Ring</v>
      </c>
      <c r="E158" s="32">
        <f>IFERROR(__xludf.DUMMYFUNCTION("""COMPUTED_VALUE"""),1.0)</f>
        <v>1</v>
      </c>
      <c r="F158" s="32" t="str">
        <f>IFERROR(__xludf.DUMMYFUNCTION("""COMPUTED_VALUE""")," ++water based attacks deal x2 damage, ++sp is halved for water spells only. +-(one use per battle)")</f>
        <v> ++water based attacks deal x2 damage, ++sp is halved for water spells only. +-(one use per battle)</v>
      </c>
      <c r="G158" s="32">
        <f>IFERROR(__xludf.DUMMYFUNCTION("""COMPUTED_VALUE"""),0.0)</f>
        <v>0</v>
      </c>
      <c r="H158" s="32"/>
      <c r="I158" s="32"/>
      <c r="J158" s="32"/>
      <c r="K158" s="32"/>
      <c r="L158" s="32"/>
      <c r="M158" s="32"/>
      <c r="N158" s="32"/>
      <c r="O158" s="32"/>
      <c r="P158" s="32"/>
      <c r="Q158" s="32"/>
      <c r="R158" s="32"/>
      <c r="S158" s="32"/>
      <c r="T158" s="32"/>
      <c r="U158" s="32"/>
      <c r="V158" s="32"/>
      <c r="W158" s="32"/>
      <c r="X158" s="32"/>
      <c r="Y158" s="32"/>
      <c r="Z158" s="32"/>
    </row>
    <row r="159">
      <c r="A159" s="32" t="str">
        <f>IFERROR(__xludf.DUMMYFUNCTION("""COMPUTED_VALUE"""),"Lava Longsword")</f>
        <v>Lava Longsword</v>
      </c>
      <c r="B159" s="32"/>
      <c r="C159" s="32" t="str">
        <f>IFERROR(__xludf.DUMMYFUNCTION("""COMPUTED_VALUE"""),"Sword")</f>
        <v>Sword</v>
      </c>
      <c r="D159" s="32" t="str">
        <f>IFERROR(__xludf.DUMMYFUNCTION("""COMPUTED_VALUE"""),"Hand")</f>
        <v>Hand</v>
      </c>
      <c r="E159" s="32">
        <f>IFERROR(__xludf.DUMMYFUNCTION("""COMPUTED_VALUE"""),800.0)</f>
        <v>800</v>
      </c>
      <c r="F159" s="32" t="str">
        <f>IFERROR(__xludf.DUMMYFUNCTION("""COMPUTED_VALUE"""),"DMG: +20000, Fire DMG: +20000 ++Burn 10,000 for 3 rounds.")</f>
        <v>DMG: +20000, Fire DMG: +20000 ++Burn 10,000 for 3 rounds.</v>
      </c>
      <c r="G159" s="32">
        <f>IFERROR(__xludf.DUMMYFUNCTION("""COMPUTED_VALUE"""),3.16E7)</f>
        <v>31600000</v>
      </c>
      <c r="H159" s="32"/>
      <c r="I159" s="32"/>
      <c r="J159" s="32"/>
      <c r="K159" s="32"/>
      <c r="L159" s="32"/>
      <c r="M159" s="32"/>
      <c r="N159" s="32"/>
      <c r="O159" s="32"/>
      <c r="P159" s="32"/>
      <c r="Q159" s="32"/>
      <c r="R159" s="32"/>
      <c r="S159" s="32"/>
      <c r="T159" s="32"/>
      <c r="U159" s="32"/>
      <c r="V159" s="32"/>
      <c r="W159" s="32"/>
      <c r="X159" s="32"/>
      <c r="Y159" s="32"/>
      <c r="Z159" s="32"/>
    </row>
    <row r="160">
      <c r="A160" s="32" t="str">
        <f>IFERROR(__xludf.DUMMYFUNCTION("""COMPUTED_VALUE"""),"Lazer Infused Sword")</f>
        <v>Lazer Infused Sword</v>
      </c>
      <c r="B160" s="32"/>
      <c r="C160" s="32" t="str">
        <f>IFERROR(__xludf.DUMMYFUNCTION("""COMPUTED_VALUE"""),"Sword")</f>
        <v>Sword</v>
      </c>
      <c r="D160" s="32" t="str">
        <f>IFERROR(__xludf.DUMMYFUNCTION("""COMPUTED_VALUE"""),"Hand")</f>
        <v>Hand</v>
      </c>
      <c r="E160" s="32">
        <f>IFERROR(__xludf.DUMMYFUNCTION("""COMPUTED_VALUE"""),600.0)</f>
        <v>600</v>
      </c>
      <c r="F160" s="32" t="str">
        <f>IFERROR(__xludf.DUMMYFUNCTION("""COMPUTED_VALUE"""),"DMG: +10000, Fire DMG: +10000, Blood DMG: +10000 ++Ignores Defense. +-Cannot be duplicated.")</f>
        <v>DMG: +10000, Fire DMG: +10000, Blood DMG: +10000 ++Ignores Defense. +-Cannot be duplicated.</v>
      </c>
      <c r="G160" s="32">
        <f>IFERROR(__xludf.DUMMYFUNCTION("""COMPUTED_VALUE"""),1.77E7)</f>
        <v>17700000</v>
      </c>
      <c r="H160" s="32"/>
      <c r="I160" s="32"/>
      <c r="J160" s="32"/>
      <c r="K160" s="32"/>
      <c r="L160" s="32"/>
      <c r="M160" s="32"/>
      <c r="N160" s="32"/>
      <c r="O160" s="32"/>
      <c r="P160" s="32"/>
      <c r="Q160" s="32"/>
      <c r="R160" s="32"/>
      <c r="S160" s="32"/>
      <c r="T160" s="32"/>
      <c r="U160" s="32"/>
      <c r="V160" s="32"/>
      <c r="W160" s="32"/>
      <c r="X160" s="32"/>
      <c r="Y160" s="32"/>
      <c r="Z160" s="32"/>
    </row>
    <row r="161">
      <c r="A161" s="32" t="str">
        <f>IFERROR(__xludf.DUMMYFUNCTION("""COMPUTED_VALUE"""),"Legendary Sword of Heatmore")</f>
        <v>Legendary Sword of Heatmore</v>
      </c>
      <c r="B161" s="32"/>
      <c r="C161" s="32" t="str">
        <f>IFERROR(__xludf.DUMMYFUNCTION("""COMPUTED_VALUE"""),"Sword")</f>
        <v>Sword</v>
      </c>
      <c r="D161" s="32" t="str">
        <f>IFERROR(__xludf.DUMMYFUNCTION("""COMPUTED_VALUE"""),"Hand")</f>
        <v>Hand</v>
      </c>
      <c r="E161" s="32">
        <f>IFERROR(__xludf.DUMMYFUNCTION("""COMPUTED_VALUE"""),200.0)</f>
        <v>200</v>
      </c>
      <c r="F161" s="32"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32">
        <f>IFERROR(__xludf.DUMMYFUNCTION("""COMPUTED_VALUE"""),1.272E8)</f>
        <v>127200000</v>
      </c>
      <c r="H161" s="32"/>
      <c r="I161" s="32"/>
      <c r="J161" s="32"/>
      <c r="K161" s="32"/>
      <c r="L161" s="32"/>
      <c r="M161" s="32"/>
      <c r="N161" s="32"/>
      <c r="O161" s="32"/>
      <c r="P161" s="32"/>
      <c r="Q161" s="32"/>
      <c r="R161" s="32"/>
      <c r="S161" s="32"/>
      <c r="T161" s="32"/>
      <c r="U161" s="32"/>
      <c r="V161" s="32"/>
      <c r="W161" s="32"/>
      <c r="X161" s="32"/>
      <c r="Y161" s="32"/>
      <c r="Z161" s="32"/>
    </row>
    <row r="162">
      <c r="A162" s="32" t="str">
        <f>IFERROR(__xludf.DUMMYFUNCTION("""COMPUTED_VALUE"""),"Legendary Tree Sword")</f>
        <v>Legendary Tree Sword</v>
      </c>
      <c r="B162" s="32"/>
      <c r="C162" s="32" t="str">
        <f>IFERROR(__xludf.DUMMYFUNCTION("""COMPUTED_VALUE"""),"Sword")</f>
        <v>Sword</v>
      </c>
      <c r="D162" s="32" t="str">
        <f>IFERROR(__xludf.DUMMYFUNCTION("""COMPUTED_VALUE"""),"Hand")</f>
        <v>Hand</v>
      </c>
      <c r="E162" s="32">
        <f>IFERROR(__xludf.DUMMYFUNCTION("""COMPUTED_VALUE"""),200.0)</f>
        <v>200</v>
      </c>
      <c r="F162" s="32"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32">
        <f>IFERROR(__xludf.DUMMYFUNCTION("""COMPUTED_VALUE"""),4.485E8)</f>
        <v>448500000</v>
      </c>
      <c r="H162" s="32"/>
      <c r="I162" s="32"/>
      <c r="J162" s="32"/>
      <c r="K162" s="32"/>
      <c r="L162" s="32"/>
      <c r="M162" s="32"/>
      <c r="N162" s="32"/>
      <c r="O162" s="32"/>
      <c r="P162" s="32"/>
      <c r="Q162" s="32"/>
      <c r="R162" s="32"/>
      <c r="S162" s="32"/>
      <c r="T162" s="32"/>
      <c r="U162" s="32"/>
      <c r="V162" s="32"/>
      <c r="W162" s="32"/>
      <c r="X162" s="32"/>
      <c r="Y162" s="32"/>
      <c r="Z162" s="32"/>
    </row>
    <row r="163">
      <c r="A163" s="32" t="str">
        <f>IFERROR(__xludf.DUMMYFUNCTION("""COMPUTED_VALUE"""),"Leggings Of Tritonoch")</f>
        <v>Leggings Of Tritonoch</v>
      </c>
      <c r="B163" s="32"/>
      <c r="C163" s="32"/>
      <c r="D163" s="32" t="str">
        <f>IFERROR(__xludf.DUMMYFUNCTION("""COMPUTED_VALUE"""),"Legs")</f>
        <v>Legs</v>
      </c>
      <c r="E163" s="32">
        <f>IFERROR(__xludf.DUMMYFUNCTION("""COMPUTED_VALUE"""),400.0)</f>
        <v>400</v>
      </c>
      <c r="F163" s="32" t="str">
        <f>IFERROR(__xludf.DUMMYFUNCTION("""COMPUTED_VALUE"""),"DEF: +20000 ++Waves of Entitlement - x5 additional Water damage")</f>
        <v>DEF: +20000 ++Waves of Entitlement - x5 additional Water damage</v>
      </c>
      <c r="G163" s="32">
        <f>IFERROR(__xludf.DUMMYFUNCTION("""COMPUTED_VALUE"""),7800000.0)</f>
        <v>7800000</v>
      </c>
      <c r="H163" s="32"/>
      <c r="I163" s="32"/>
      <c r="J163" s="32"/>
      <c r="K163" s="32"/>
      <c r="L163" s="32"/>
      <c r="M163" s="32"/>
      <c r="N163" s="32"/>
      <c r="O163" s="32"/>
      <c r="P163" s="32"/>
      <c r="Q163" s="32"/>
      <c r="R163" s="32"/>
      <c r="S163" s="32"/>
      <c r="T163" s="32"/>
      <c r="U163" s="32"/>
      <c r="V163" s="32"/>
      <c r="W163" s="32"/>
      <c r="X163" s="32"/>
      <c r="Y163" s="32"/>
      <c r="Z163" s="32"/>
    </row>
    <row r="164">
      <c r="A164" s="32" t="str">
        <f>IFERROR(__xludf.DUMMYFUNCTION("""COMPUTED_VALUE"""),"Lightning Lance")</f>
        <v>Lightning Lance</v>
      </c>
      <c r="B164" s="32"/>
      <c r="C164" s="32" t="str">
        <f>IFERROR(__xludf.DUMMYFUNCTION("""COMPUTED_VALUE"""),"Spear")</f>
        <v>Spear</v>
      </c>
      <c r="D164" s="32" t="str">
        <f>IFERROR(__xludf.DUMMYFUNCTION("""COMPUTED_VALUE"""),"Hand")</f>
        <v>Hand</v>
      </c>
      <c r="E164" s="32">
        <f>IFERROR(__xludf.DUMMYFUNCTION("""COMPUTED_VALUE"""),500.0)</f>
        <v>500</v>
      </c>
      <c r="F164" s="32" t="str">
        <f>IFERROR(__xludf.DUMMYFUNCTION("""COMPUTED_VALUE"""),"DMG: +10000, Storm DMG: +15000 ++Stun 2")</f>
        <v>DMG: +10000, Storm DMG: +15000 ++Stun 2</v>
      </c>
      <c r="G164" s="32">
        <f>IFERROR(__xludf.DUMMYFUNCTION("""COMPUTED_VALUE"""),1.225E7)</f>
        <v>12250000</v>
      </c>
      <c r="H164" s="32"/>
      <c r="I164" s="32"/>
      <c r="J164" s="32"/>
      <c r="K164" s="32"/>
      <c r="L164" s="32"/>
      <c r="M164" s="32"/>
      <c r="N164" s="32"/>
      <c r="O164" s="32"/>
      <c r="P164" s="32"/>
      <c r="Q164" s="32"/>
      <c r="R164" s="32"/>
      <c r="S164" s="32"/>
      <c r="T164" s="32"/>
      <c r="U164" s="32"/>
      <c r="V164" s="32"/>
      <c r="W164" s="32"/>
      <c r="X164" s="32"/>
      <c r="Y164" s="32"/>
      <c r="Z164" s="32"/>
    </row>
    <row r="165">
      <c r="A165" s="32" t="str">
        <f>IFERROR(__xludf.DUMMYFUNCTION("""COMPUTED_VALUE"""),"Long Spear")</f>
        <v>Long Spear</v>
      </c>
      <c r="B165" s="32"/>
      <c r="C165" s="32" t="str">
        <f>IFERROR(__xludf.DUMMYFUNCTION("""COMPUTED_VALUE"""),"Spear")</f>
        <v>Spear</v>
      </c>
      <c r="D165" s="32" t="str">
        <f>IFERROR(__xludf.DUMMYFUNCTION("""COMPUTED_VALUE"""),"Hand")</f>
        <v>Hand</v>
      </c>
      <c r="E165" s="32">
        <f>IFERROR(__xludf.DUMMYFUNCTION("""COMPUTED_VALUE"""),10.0)</f>
        <v>10</v>
      </c>
      <c r="F165" s="32" t="str">
        <f>IFERROR(__xludf.DUMMYFUNCTION("""COMPUTED_VALUE"""),"DMG: +500 ++25% chance of instant death. ")</f>
        <v>DMG: +500 ++25% chance of instant death. </v>
      </c>
      <c r="G165" s="32">
        <f>IFERROR(__xludf.DUMMYFUNCTION("""COMPUTED_VALUE"""),1000.0)</f>
        <v>1000</v>
      </c>
      <c r="H165" s="32"/>
      <c r="I165" s="32"/>
      <c r="J165" s="32"/>
      <c r="K165" s="32"/>
      <c r="L165" s="32"/>
      <c r="M165" s="32"/>
      <c r="N165" s="32"/>
      <c r="O165" s="32"/>
      <c r="P165" s="32"/>
      <c r="Q165" s="32"/>
      <c r="R165" s="32"/>
      <c r="S165" s="32"/>
      <c r="T165" s="32"/>
      <c r="U165" s="32"/>
      <c r="V165" s="32"/>
      <c r="W165" s="32"/>
      <c r="X165" s="32"/>
      <c r="Y165" s="32"/>
      <c r="Z165" s="32"/>
    </row>
    <row r="166">
      <c r="A166" s="32" t="str">
        <f>IFERROR(__xludf.DUMMYFUNCTION("""COMPUTED_VALUE"""),"Lord Dreadfuls Sword")</f>
        <v>Lord Dreadfuls Sword</v>
      </c>
      <c r="B166" s="32"/>
      <c r="C166" s="32" t="str">
        <f>IFERROR(__xludf.DUMMYFUNCTION("""COMPUTED_VALUE"""),"Sword")</f>
        <v>Sword</v>
      </c>
      <c r="D166" s="32" t="str">
        <f>IFERROR(__xludf.DUMMYFUNCTION("""COMPUTED_VALUE"""),"Hand")</f>
        <v>Hand</v>
      </c>
      <c r="E166" s="32">
        <f>IFERROR(__xludf.DUMMYFUNCTION("""COMPUTED_VALUE"""),800.0)</f>
        <v>800</v>
      </c>
      <c r="F166" s="32" t="str">
        <f>IFERROR(__xludf.DUMMYFUNCTION("""COMPUTED_VALUE"""),"DMG: +20000, Dark DMG: +10000, Chaos DMG: +10000")</f>
        <v>DMG: +20000, Dark DMG: +10000, Chaos DMG: +10000</v>
      </c>
      <c r="G166" s="32">
        <f>IFERROR(__xludf.DUMMYFUNCTION("""COMPUTED_VALUE"""),3.16E7)</f>
        <v>31600000</v>
      </c>
      <c r="H166" s="32"/>
      <c r="I166" s="32"/>
      <c r="J166" s="32"/>
      <c r="K166" s="32"/>
      <c r="L166" s="32"/>
      <c r="M166" s="32"/>
      <c r="N166" s="32"/>
      <c r="O166" s="32"/>
      <c r="P166" s="32"/>
      <c r="Q166" s="32"/>
      <c r="R166" s="32"/>
      <c r="S166" s="32"/>
      <c r="T166" s="32"/>
      <c r="U166" s="32"/>
      <c r="V166" s="32"/>
      <c r="W166" s="32"/>
      <c r="X166" s="32"/>
      <c r="Y166" s="32"/>
      <c r="Z166" s="32"/>
    </row>
    <row r="167">
      <c r="A167" s="32" t="str">
        <f>IFERROR(__xludf.DUMMYFUNCTION("""COMPUTED_VALUE"""),"Magma Morningstar")</f>
        <v>Magma Morningstar</v>
      </c>
      <c r="B167" s="32"/>
      <c r="C167" s="32" t="str">
        <f>IFERROR(__xludf.DUMMYFUNCTION("""COMPUTED_VALUE"""),"Club")</f>
        <v>Club</v>
      </c>
      <c r="D167" s="32" t="str">
        <f>IFERROR(__xludf.DUMMYFUNCTION("""COMPUTED_VALUE"""),"Hand")</f>
        <v>Hand</v>
      </c>
      <c r="E167" s="32">
        <f>IFERROR(__xludf.DUMMYFUNCTION("""COMPUTED_VALUE"""),20.0)</f>
        <v>20</v>
      </c>
      <c r="F167" s="32" t="str">
        <f>IFERROR(__xludf.DUMMYFUNCTION("""COMPUTED_VALUE"""),"DMG: +500, Fire DMG: +400 ++Will return to you each round when thrown")</f>
        <v>DMG: +500, Fire DMG: +400 ++Will return to you each round when thrown</v>
      </c>
      <c r="G167" s="32">
        <f>IFERROR(__xludf.DUMMYFUNCTION("""COMPUTED_VALUE"""),1000.0)</f>
        <v>1000</v>
      </c>
      <c r="H167" s="32"/>
      <c r="I167" s="32"/>
      <c r="J167" s="32"/>
      <c r="K167" s="32"/>
      <c r="L167" s="32"/>
      <c r="M167" s="32"/>
      <c r="N167" s="32"/>
      <c r="O167" s="32"/>
      <c r="P167" s="32"/>
      <c r="Q167" s="32"/>
      <c r="R167" s="32"/>
      <c r="S167" s="32"/>
      <c r="T167" s="32"/>
      <c r="U167" s="32"/>
      <c r="V167" s="32"/>
      <c r="W167" s="32"/>
      <c r="X167" s="32"/>
      <c r="Y167" s="32"/>
      <c r="Z167" s="32"/>
    </row>
    <row r="168">
      <c r="A168" s="32" t="str">
        <f>IFERROR(__xludf.DUMMYFUNCTION("""COMPUTED_VALUE"""),"Magma Sword")</f>
        <v>Magma Sword</v>
      </c>
      <c r="B168" s="32" t="str">
        <f>IFERROR(__xludf.DUMMYFUNCTION("""COMPUTED_VALUE"""),"A sword that turned Forest View into Ash View.")</f>
        <v>A sword that turned Forest View into Ash View.</v>
      </c>
      <c r="C168" s="32" t="str">
        <f>IFERROR(__xludf.DUMMYFUNCTION("""COMPUTED_VALUE"""),"Sword")</f>
        <v>Sword</v>
      </c>
      <c r="D168" s="32" t="str">
        <f>IFERROR(__xludf.DUMMYFUNCTION("""COMPUTED_VALUE"""),"Hand")</f>
        <v>Hand</v>
      </c>
      <c r="E168" s="32">
        <f>IFERROR(__xludf.DUMMYFUNCTION("""COMPUTED_VALUE"""),200.0)</f>
        <v>200</v>
      </c>
      <c r="F168" s="32"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32">
        <f>IFERROR(__xludf.DUMMYFUNCTION("""COMPUTED_VALUE"""),4.485E8)</f>
        <v>448500000</v>
      </c>
      <c r="H168" s="32"/>
      <c r="I168" s="32"/>
      <c r="J168" s="32"/>
      <c r="K168" s="32"/>
      <c r="L168" s="32"/>
      <c r="M168" s="32"/>
      <c r="N168" s="32"/>
      <c r="O168" s="32"/>
      <c r="P168" s="32"/>
      <c r="Q168" s="32"/>
      <c r="R168" s="32"/>
      <c r="S168" s="32"/>
      <c r="T168" s="32"/>
      <c r="U168" s="32"/>
      <c r="V168" s="32"/>
      <c r="W168" s="32"/>
      <c r="X168" s="32"/>
      <c r="Y168" s="32"/>
      <c r="Z168" s="32"/>
    </row>
    <row r="169">
      <c r="A169" s="32" t="str">
        <f>IFERROR(__xludf.DUMMYFUNCTION("""COMPUTED_VALUE"""),"Masking Cloak")</f>
        <v>Masking Cloak</v>
      </c>
      <c r="B169" s="32"/>
      <c r="C169" s="32"/>
      <c r="D169" s="32" t="str">
        <f>IFERROR(__xludf.DUMMYFUNCTION("""COMPUTED_VALUE"""),"Torso")</f>
        <v>Torso</v>
      </c>
      <c r="E169" s="32">
        <f>IFERROR(__xludf.DUMMYFUNCTION("""COMPUTED_VALUE"""),1.0)</f>
        <v>1</v>
      </c>
      <c r="F169" s="32" t="str">
        <f>IFERROR(__xludf.DUMMYFUNCTION("""COMPUTED_VALUE""")," ++5 Evasion +-(Cannot be duplicated)")</f>
        <v> ++5 Evasion +-(Cannot be duplicated)</v>
      </c>
      <c r="G169" s="32">
        <f>IFERROR(__xludf.DUMMYFUNCTION("""COMPUTED_VALUE"""),0.0)</f>
        <v>0</v>
      </c>
      <c r="H169" s="32"/>
      <c r="I169" s="32"/>
      <c r="J169" s="32"/>
      <c r="K169" s="32"/>
      <c r="L169" s="32"/>
      <c r="M169" s="32"/>
      <c r="N169" s="32"/>
      <c r="O169" s="32"/>
      <c r="P169" s="32"/>
      <c r="Q169" s="32"/>
      <c r="R169" s="32"/>
      <c r="S169" s="32"/>
      <c r="T169" s="32"/>
      <c r="U169" s="32"/>
      <c r="V169" s="32"/>
      <c r="W169" s="32"/>
      <c r="X169" s="32"/>
      <c r="Y169" s="32"/>
      <c r="Z169" s="32"/>
    </row>
    <row r="170">
      <c r="A170" s="32" t="str">
        <f>IFERROR(__xludf.DUMMYFUNCTION("""COMPUTED_VALUE"""),"Mini Lucky Fish in a Bottle")</f>
        <v>Mini Lucky Fish in a Bottle</v>
      </c>
      <c r="B170" s="32"/>
      <c r="C170" s="32" t="str">
        <f>IFERROR(__xludf.DUMMYFUNCTION("""COMPUTED_VALUE"""),"Wand")</f>
        <v>Wand</v>
      </c>
      <c r="D170" s="32" t="str">
        <f>IFERROR(__xludf.DUMMYFUNCTION("""COMPUTED_VALUE"""),"Hand")</f>
        <v>Hand</v>
      </c>
      <c r="E170" s="32">
        <f>IFERROR(__xludf.DUMMYFUNCTION("""COMPUTED_VALUE"""),1.0)</f>
        <v>1</v>
      </c>
      <c r="F170" s="32" t="str">
        <f>IFERROR(__xludf.DUMMYFUNCTION("""COMPUTED_VALUE""")," ++Percentage rolls are now increased by 10% for caster that holds this item. +-Can only equip one")</f>
        <v> ++Percentage rolls are now increased by 10% for caster that holds this item. +-Can only equip one</v>
      </c>
      <c r="G170" s="32">
        <f>IFERROR(__xludf.DUMMYFUNCTION("""COMPUTED_VALUE"""),0.0)</f>
        <v>0</v>
      </c>
      <c r="H170" s="32"/>
      <c r="I170" s="32"/>
      <c r="J170" s="32"/>
      <c r="K170" s="32"/>
      <c r="L170" s="32"/>
      <c r="M170" s="32"/>
      <c r="N170" s="32"/>
      <c r="O170" s="32"/>
      <c r="P170" s="32"/>
      <c r="Q170" s="32"/>
      <c r="R170" s="32"/>
      <c r="S170" s="32"/>
      <c r="T170" s="32"/>
      <c r="U170" s="32"/>
      <c r="V170" s="32"/>
      <c r="W170" s="32"/>
      <c r="X170" s="32"/>
      <c r="Y170" s="32"/>
      <c r="Z170" s="32"/>
    </row>
    <row r="171">
      <c r="A171" s="32" t="str">
        <f>IFERROR(__xludf.DUMMYFUNCTION("""COMPUTED_VALUE"""),"Nature Faery Wand")</f>
        <v>Nature Faery Wand</v>
      </c>
      <c r="B171" s="32"/>
      <c r="C171" s="32" t="str">
        <f>IFERROR(__xludf.DUMMYFUNCTION("""COMPUTED_VALUE"""),"Wand")</f>
        <v>Wand</v>
      </c>
      <c r="D171" s="32" t="str">
        <f>IFERROR(__xludf.DUMMYFUNCTION("""COMPUTED_VALUE"""),"Hand")</f>
        <v>Hand</v>
      </c>
      <c r="E171" s="32">
        <f>IFERROR(__xludf.DUMMYFUNCTION("""COMPUTED_VALUE"""),1.0)</f>
        <v>1</v>
      </c>
      <c r="F171" s="32" t="str">
        <f>IFERROR(__xludf.DUMMYFUNCTION("""COMPUTED_VALUE""")," ++half the sp cost of nature spells")</f>
        <v> ++half the sp cost of nature spells</v>
      </c>
      <c r="G171" s="32">
        <f>IFERROR(__xludf.DUMMYFUNCTION("""COMPUTED_VALUE"""),0.0)</f>
        <v>0</v>
      </c>
      <c r="H171" s="32"/>
      <c r="I171" s="32"/>
      <c r="J171" s="32"/>
      <c r="K171" s="32"/>
      <c r="L171" s="32"/>
      <c r="M171" s="32"/>
      <c r="N171" s="32"/>
      <c r="O171" s="32"/>
      <c r="P171" s="32"/>
      <c r="Q171" s="32"/>
      <c r="R171" s="32"/>
      <c r="S171" s="32"/>
      <c r="T171" s="32"/>
      <c r="U171" s="32"/>
      <c r="V171" s="32"/>
      <c r="W171" s="32"/>
      <c r="X171" s="32"/>
      <c r="Y171" s="32"/>
      <c r="Z171" s="32"/>
    </row>
    <row r="172">
      <c r="A172" s="32" t="str">
        <f>IFERROR(__xludf.DUMMYFUNCTION("""COMPUTED_VALUE"""),"Nature's Sword")</f>
        <v>Nature's Sword</v>
      </c>
      <c r="B172" s="32"/>
      <c r="C172" s="32" t="str">
        <f>IFERROR(__xludf.DUMMYFUNCTION("""COMPUTED_VALUE"""),"Sword")</f>
        <v>Sword</v>
      </c>
      <c r="D172" s="32" t="str">
        <f>IFERROR(__xludf.DUMMYFUNCTION("""COMPUTED_VALUE"""),"Hand")</f>
        <v>Hand</v>
      </c>
      <c r="E172" s="32">
        <f>IFERROR(__xludf.DUMMYFUNCTION("""COMPUTED_VALUE"""),40.0)</f>
        <v>40</v>
      </c>
      <c r="F172" s="32" t="str">
        <f>IFERROR(__xludf.DUMMYFUNCTION("""COMPUTED_VALUE"""),"DMG: +800, Nature DMG: +800 ++Upon a successful hit, the next turn you will automatically use the spell Tree Stance.")</f>
        <v>DMG: +800, Nature DMG: +800 ++Upon a successful hit, the next turn you will automatically use the spell Tree Stance.</v>
      </c>
      <c r="G172" s="32">
        <f>IFERROR(__xludf.DUMMYFUNCTION("""COMPUTED_VALUE"""),30000.0)</f>
        <v>30000</v>
      </c>
      <c r="H172" s="32"/>
      <c r="I172" s="32"/>
      <c r="J172" s="32"/>
      <c r="K172" s="32"/>
      <c r="L172" s="32"/>
      <c r="M172" s="32"/>
      <c r="N172" s="32"/>
      <c r="O172" s="32"/>
      <c r="P172" s="32"/>
      <c r="Q172" s="32"/>
      <c r="R172" s="32"/>
      <c r="S172" s="32"/>
      <c r="T172" s="32"/>
      <c r="U172" s="32"/>
      <c r="V172" s="32"/>
      <c r="W172" s="32"/>
      <c r="X172" s="32"/>
      <c r="Y172" s="32"/>
      <c r="Z172" s="32"/>
    </row>
    <row r="173">
      <c r="A173" s="32" t="str">
        <f>IFERROR(__xludf.DUMMYFUNCTION("""COMPUTED_VALUE"""),"Necklace o' Lending")</f>
        <v>Necklace o' Lending</v>
      </c>
      <c r="B173" s="32"/>
      <c r="C173" s="32"/>
      <c r="D173" s="32" t="str">
        <f>IFERROR(__xludf.DUMMYFUNCTION("""COMPUTED_VALUE"""),"Neck")</f>
        <v>Neck</v>
      </c>
      <c r="E173" s="32">
        <f>IFERROR(__xludf.DUMMYFUNCTION("""COMPUTED_VALUE"""),1.0)</f>
        <v>1</v>
      </c>
      <c r="F173" s="32" t="str">
        <f>IFERROR(__xludf.DUMMYFUNCTION("""COMPUTED_VALUE""")," ++Decrease XHP and XSP from your character sheet and add that amount to another target.")</f>
        <v> ++Decrease XHP and XSP from your character sheet and add that amount to another target.</v>
      </c>
      <c r="G173" s="32">
        <f>IFERROR(__xludf.DUMMYFUNCTION("""COMPUTED_VALUE"""),0.0)</f>
        <v>0</v>
      </c>
      <c r="H173" s="32"/>
      <c r="I173" s="32"/>
      <c r="J173" s="32"/>
      <c r="K173" s="32"/>
      <c r="L173" s="32"/>
      <c r="M173" s="32"/>
      <c r="N173" s="32"/>
      <c r="O173" s="32"/>
      <c r="P173" s="32"/>
      <c r="Q173" s="32"/>
      <c r="R173" s="32"/>
      <c r="S173" s="32"/>
      <c r="T173" s="32"/>
      <c r="U173" s="32"/>
      <c r="V173" s="32"/>
      <c r="W173" s="32"/>
      <c r="X173" s="32"/>
      <c r="Y173" s="32"/>
      <c r="Z173" s="32"/>
    </row>
    <row r="174">
      <c r="A174" s="32" t="str">
        <f>IFERROR(__xludf.DUMMYFUNCTION("""COMPUTED_VALUE"""),"Necklace Of Ancient Mountains")</f>
        <v>Necklace Of Ancient Mountains</v>
      </c>
      <c r="B174" s="32"/>
      <c r="C174" s="32"/>
      <c r="D174" s="32" t="str">
        <f>IFERROR(__xludf.DUMMYFUNCTION("""COMPUTED_VALUE"""),"Neck")</f>
        <v>Neck</v>
      </c>
      <c r="E174" s="32">
        <f>IFERROR(__xludf.DUMMYFUNCTION("""COMPUTED_VALUE"""),1.0)</f>
        <v>1</v>
      </c>
      <c r="F174" s="32"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32">
        <f>IFERROR(__xludf.DUMMYFUNCTION("""COMPUTED_VALUE"""),0.0)</f>
        <v>0</v>
      </c>
      <c r="H174" s="32"/>
      <c r="I174" s="32"/>
      <c r="J174" s="32"/>
      <c r="K174" s="32"/>
      <c r="L174" s="32"/>
      <c r="M174" s="32"/>
      <c r="N174" s="32"/>
      <c r="O174" s="32"/>
      <c r="P174" s="32"/>
      <c r="Q174" s="32"/>
      <c r="R174" s="32"/>
      <c r="S174" s="32"/>
      <c r="T174" s="32"/>
      <c r="U174" s="32"/>
      <c r="V174" s="32"/>
      <c r="W174" s="32"/>
      <c r="X174" s="32"/>
      <c r="Y174" s="32"/>
      <c r="Z174" s="32"/>
    </row>
    <row r="175">
      <c r="A175" s="32" t="str">
        <f>IFERROR(__xludf.DUMMYFUNCTION("""COMPUTED_VALUE"""),"Necklace Of Heatmore")</f>
        <v>Necklace Of Heatmore</v>
      </c>
      <c r="B175" s="32"/>
      <c r="C175" s="32"/>
      <c r="D175" s="32" t="str">
        <f>IFERROR(__xludf.DUMMYFUNCTION("""COMPUTED_VALUE"""),"Neck")</f>
        <v>Neck</v>
      </c>
      <c r="E175" s="32">
        <f>IFERROR(__xludf.DUMMYFUNCTION("""COMPUTED_VALUE"""),1.0)</f>
        <v>1</v>
      </c>
      <c r="F175" s="32" t="str">
        <f>IFERROR(__xludf.DUMMYFUNCTION("""COMPUTED_VALUE""")," ++ +2 is added to your d20 roll.")</f>
        <v> ++ +2 is added to your d20 roll.</v>
      </c>
      <c r="G175" s="32">
        <f>IFERROR(__xludf.DUMMYFUNCTION("""COMPUTED_VALUE"""),0.0)</f>
        <v>0</v>
      </c>
      <c r="H175" s="32"/>
      <c r="I175" s="32"/>
      <c r="J175" s="32"/>
      <c r="K175" s="32"/>
      <c r="L175" s="32"/>
      <c r="M175" s="32"/>
      <c r="N175" s="32"/>
      <c r="O175" s="32"/>
      <c r="P175" s="32"/>
      <c r="Q175" s="32"/>
      <c r="R175" s="32"/>
      <c r="S175" s="32"/>
      <c r="T175" s="32"/>
      <c r="U175" s="32"/>
      <c r="V175" s="32"/>
      <c r="W175" s="32"/>
      <c r="X175" s="32"/>
      <c r="Y175" s="32"/>
      <c r="Z175" s="32"/>
    </row>
    <row r="176">
      <c r="A176" s="32" t="str">
        <f>IFERROR(__xludf.DUMMYFUNCTION("""COMPUTED_VALUE"""),"Necklace of Shards")</f>
        <v>Necklace of Shards</v>
      </c>
      <c r="B176" s="32"/>
      <c r="C176" s="32"/>
      <c r="D176" s="32" t="str">
        <f>IFERROR(__xludf.DUMMYFUNCTION("""COMPUTED_VALUE"""),"Neck")</f>
        <v>Neck</v>
      </c>
      <c r="E176" s="32">
        <f>IFERROR(__xludf.DUMMYFUNCTION("""COMPUTED_VALUE"""),1.0)</f>
        <v>1</v>
      </c>
      <c r="F176" s="32" t="str">
        <f>IFERROR(__xludf.DUMMYFUNCTION("""COMPUTED_VALUE""")," ++X6 Chaos and Dark Damage. +-Cannot be duplicated.")</f>
        <v> ++X6 Chaos and Dark Damage. +-Cannot be duplicated.</v>
      </c>
      <c r="G176" s="32">
        <f>IFERROR(__xludf.DUMMYFUNCTION("""COMPUTED_VALUE"""),0.0)</f>
        <v>0</v>
      </c>
      <c r="H176" s="32"/>
      <c r="I176" s="32"/>
      <c r="J176" s="32"/>
      <c r="K176" s="32"/>
      <c r="L176" s="32"/>
      <c r="M176" s="32"/>
      <c r="N176" s="32"/>
      <c r="O176" s="32"/>
      <c r="P176" s="32"/>
      <c r="Q176" s="32"/>
      <c r="R176" s="32"/>
      <c r="S176" s="32"/>
      <c r="T176" s="32"/>
      <c r="U176" s="32"/>
      <c r="V176" s="32"/>
      <c r="W176" s="32"/>
      <c r="X176" s="32"/>
      <c r="Y176" s="32"/>
      <c r="Z176" s="32"/>
    </row>
    <row r="177">
      <c r="A177" s="32" t="str">
        <f>IFERROR(__xludf.DUMMYFUNCTION("""COMPUTED_VALUE"""),"Necklace of The Lost Soul")</f>
        <v>Necklace of The Lost Soul</v>
      </c>
      <c r="B177" s="32"/>
      <c r="C177" s="32"/>
      <c r="D177" s="32" t="str">
        <f>IFERROR(__xludf.DUMMYFUNCTION("""COMPUTED_VALUE"""),"Neck")</f>
        <v>Neck</v>
      </c>
      <c r="E177" s="32">
        <f>IFERROR(__xludf.DUMMYFUNCTION("""COMPUTED_VALUE"""),1.0)</f>
        <v>1</v>
      </c>
      <c r="F177" s="32"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32">
        <f>IFERROR(__xludf.DUMMYFUNCTION("""COMPUTED_VALUE"""),0.0)</f>
        <v>0</v>
      </c>
      <c r="H177" s="32"/>
      <c r="I177" s="32"/>
      <c r="J177" s="32"/>
      <c r="K177" s="32"/>
      <c r="L177" s="32"/>
      <c r="M177" s="32"/>
      <c r="N177" s="32"/>
      <c r="O177" s="32"/>
      <c r="P177" s="32"/>
      <c r="Q177" s="32"/>
      <c r="R177" s="32"/>
      <c r="S177" s="32"/>
      <c r="T177" s="32"/>
      <c r="U177" s="32"/>
      <c r="V177" s="32"/>
      <c r="W177" s="32"/>
      <c r="X177" s="32"/>
      <c r="Y177" s="32"/>
      <c r="Z177" s="32"/>
    </row>
    <row r="178">
      <c r="A178" s="32" t="str">
        <f>IFERROR(__xludf.DUMMYFUNCTION("""COMPUTED_VALUE"""),"Necklace of the Pumpkin")</f>
        <v>Necklace of the Pumpkin</v>
      </c>
      <c r="B178" s="32"/>
      <c r="C178" s="32"/>
      <c r="D178" s="32" t="str">
        <f>IFERROR(__xludf.DUMMYFUNCTION("""COMPUTED_VALUE"""),"Neck")</f>
        <v>Neck</v>
      </c>
      <c r="E178" s="32">
        <f>IFERROR(__xludf.DUMMYFUNCTION("""COMPUTED_VALUE"""),1.0)</f>
        <v>1</v>
      </c>
      <c r="F178" s="32" t="str">
        <f>IFERROR(__xludf.DUMMYFUNCTION("""COMPUTED_VALUE""")," ++Gives Immunity to Fire, Dark, and Nature damage")</f>
        <v> ++Gives Immunity to Fire, Dark, and Nature damage</v>
      </c>
      <c r="G178" s="32">
        <f>IFERROR(__xludf.DUMMYFUNCTION("""COMPUTED_VALUE"""),0.0)</f>
        <v>0</v>
      </c>
      <c r="H178" s="32"/>
      <c r="I178" s="32"/>
      <c r="J178" s="32"/>
      <c r="K178" s="32"/>
      <c r="L178" s="32"/>
      <c r="M178" s="32"/>
      <c r="N178" s="32"/>
      <c r="O178" s="32"/>
      <c r="P178" s="32"/>
      <c r="Q178" s="32"/>
      <c r="R178" s="32"/>
      <c r="S178" s="32"/>
      <c r="T178" s="32"/>
      <c r="U178" s="32"/>
      <c r="V178" s="32"/>
      <c r="W178" s="32"/>
      <c r="X178" s="32"/>
      <c r="Y178" s="32"/>
      <c r="Z178" s="32"/>
    </row>
    <row r="179">
      <c r="A179" s="32" t="str">
        <f>IFERROR(__xludf.DUMMYFUNCTION("""COMPUTED_VALUE"""),"Necklace Of Tritonoch")</f>
        <v>Necklace Of Tritonoch</v>
      </c>
      <c r="B179" s="32"/>
      <c r="C179" s="32"/>
      <c r="D179" s="32" t="str">
        <f>IFERROR(__xludf.DUMMYFUNCTION("""COMPUTED_VALUE"""),"Neck")</f>
        <v>Neck</v>
      </c>
      <c r="E179" s="32">
        <f>IFERROR(__xludf.DUMMYFUNCTION("""COMPUTED_VALUE"""),1.0)</f>
        <v>1</v>
      </c>
      <c r="F179" s="32"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32">
        <f>IFERROR(__xludf.DUMMYFUNCTION("""COMPUTED_VALUE"""),0.0)</f>
        <v>0</v>
      </c>
      <c r="H179" s="32"/>
      <c r="I179" s="32"/>
      <c r="J179" s="32"/>
      <c r="K179" s="32"/>
      <c r="L179" s="32"/>
      <c r="M179" s="32"/>
      <c r="N179" s="32"/>
      <c r="O179" s="32"/>
      <c r="P179" s="32"/>
      <c r="Q179" s="32"/>
      <c r="R179" s="32"/>
      <c r="S179" s="32"/>
      <c r="T179" s="32"/>
      <c r="U179" s="32"/>
      <c r="V179" s="32"/>
      <c r="W179" s="32"/>
      <c r="X179" s="32"/>
      <c r="Y179" s="32"/>
      <c r="Z179" s="32"/>
    </row>
    <row r="180">
      <c r="A180" s="32" t="str">
        <f>IFERROR(__xludf.DUMMYFUNCTION("""COMPUTED_VALUE"""),"Necklace of Waking Waters")</f>
        <v>Necklace of Waking Waters</v>
      </c>
      <c r="B180" s="32"/>
      <c r="C180" s="32"/>
      <c r="D180" s="32" t="str">
        <f>IFERROR(__xludf.DUMMYFUNCTION("""COMPUTED_VALUE"""),"Neck")</f>
        <v>Neck</v>
      </c>
      <c r="E180" s="32">
        <f>IFERROR(__xludf.DUMMYFUNCTION("""COMPUTED_VALUE"""),1.0)</f>
        <v>1</v>
      </c>
      <c r="F180" s="32" t="str">
        <f>IFERROR(__xludf.DUMMYFUNCTION("""COMPUTED_VALUE""")," ++Immunity to sleep. ++X4 Water damage.")</f>
        <v> ++Immunity to sleep. ++X4 Water damage.</v>
      </c>
      <c r="G180" s="32">
        <f>IFERROR(__xludf.DUMMYFUNCTION("""COMPUTED_VALUE"""),0.0)</f>
        <v>0</v>
      </c>
      <c r="H180" s="32"/>
      <c r="I180" s="32"/>
      <c r="J180" s="32"/>
      <c r="K180" s="32"/>
      <c r="L180" s="32"/>
      <c r="M180" s="32"/>
      <c r="N180" s="32"/>
      <c r="O180" s="32"/>
      <c r="P180" s="32"/>
      <c r="Q180" s="32"/>
      <c r="R180" s="32"/>
      <c r="S180" s="32"/>
      <c r="T180" s="32"/>
      <c r="U180" s="32"/>
      <c r="V180" s="32"/>
      <c r="W180" s="32"/>
      <c r="X180" s="32"/>
      <c r="Y180" s="32"/>
      <c r="Z180" s="32"/>
    </row>
    <row r="181">
      <c r="A181" s="32" t="str">
        <f>IFERROR(__xludf.DUMMYFUNCTION("""COMPUTED_VALUE"""),"Necklace of Water Breathing")</f>
        <v>Necklace of Water Breathing</v>
      </c>
      <c r="B181" s="32"/>
      <c r="C181" s="32"/>
      <c r="D181" s="32" t="str">
        <f>IFERROR(__xludf.DUMMYFUNCTION("""COMPUTED_VALUE"""),"Neck")</f>
        <v>Neck</v>
      </c>
      <c r="E181" s="32">
        <f>IFERROR(__xludf.DUMMYFUNCTION("""COMPUTED_VALUE"""),1.0)</f>
        <v>1</v>
      </c>
      <c r="F181" s="32" t="str">
        <f>IFERROR(__xludf.DUMMYFUNCTION("""COMPUTED_VALUE""")," ++Allows you to breath underwater.")</f>
        <v> ++Allows you to breath underwater.</v>
      </c>
      <c r="G181" s="32">
        <f>IFERROR(__xludf.DUMMYFUNCTION("""COMPUTED_VALUE"""),0.0)</f>
        <v>0</v>
      </c>
      <c r="H181" s="32"/>
      <c r="I181" s="32"/>
      <c r="J181" s="32"/>
      <c r="K181" s="32"/>
      <c r="L181" s="32"/>
      <c r="M181" s="32"/>
      <c r="N181" s="32"/>
      <c r="O181" s="32"/>
      <c r="P181" s="32"/>
      <c r="Q181" s="32"/>
      <c r="R181" s="32"/>
      <c r="S181" s="32"/>
      <c r="T181" s="32"/>
      <c r="U181" s="32"/>
      <c r="V181" s="32"/>
      <c r="W181" s="32"/>
      <c r="X181" s="32"/>
      <c r="Y181" s="32"/>
      <c r="Z181" s="32"/>
    </row>
    <row r="182">
      <c r="A182" s="32" t="str">
        <f>IFERROR(__xludf.DUMMYFUNCTION("""COMPUTED_VALUE"""),"Obsidian Chestplate")</f>
        <v>Obsidian Chestplate</v>
      </c>
      <c r="B182" s="32" t="str">
        <f>IFERROR(__xludf.DUMMYFUNCTION("""COMPUTED_VALUE"""),"Quest Item")</f>
        <v>Quest Item</v>
      </c>
      <c r="C182" s="32"/>
      <c r="D182" s="32" t="str">
        <f>IFERROR(__xludf.DUMMYFUNCTION("""COMPUTED_VALUE"""),"Torso")</f>
        <v>Torso</v>
      </c>
      <c r="E182" s="32">
        <f>IFERROR(__xludf.DUMMYFUNCTION("""COMPUTED_VALUE"""),4000.0)</f>
        <v>4000</v>
      </c>
      <c r="F182" s="32" t="str">
        <f>IFERROR(__xludf.DUMMYFUNCTION("""COMPUTED_VALUE"""),"DEF: +100000, Fire DEF: +100000 ++Fire Immunity. +-Cannot be duplicated.")</f>
        <v>DEF: +100000, Fire DEF: +100000 ++Fire Immunity. +-Cannot be duplicated.</v>
      </c>
      <c r="G182" s="32">
        <f>IFERROR(__xludf.DUMMYFUNCTION("""COMPUTED_VALUE"""),7.98E8)</f>
        <v>798000000</v>
      </c>
      <c r="H182" s="32"/>
      <c r="I182" s="32"/>
      <c r="J182" s="32"/>
      <c r="K182" s="32"/>
      <c r="L182" s="32"/>
      <c r="M182" s="32"/>
      <c r="N182" s="32"/>
      <c r="O182" s="32"/>
      <c r="P182" s="32"/>
      <c r="Q182" s="32"/>
      <c r="R182" s="32"/>
      <c r="S182" s="32"/>
      <c r="T182" s="32"/>
      <c r="U182" s="32"/>
      <c r="V182" s="32"/>
      <c r="W182" s="32"/>
      <c r="X182" s="32"/>
      <c r="Y182" s="32"/>
      <c r="Z182" s="32"/>
    </row>
    <row r="183">
      <c r="A183" s="32" t="str">
        <f>IFERROR(__xludf.DUMMYFUNCTION("""COMPUTED_VALUE"""),"Ancient Oni Mask")</f>
        <v>Ancient Oni Mask</v>
      </c>
      <c r="B183" s="32" t="str">
        <f>IFERROR(__xludf.DUMMYFUNCTION("""COMPUTED_VALUE"""),"An ancient relic to Zhenmay")</f>
        <v>An ancient relic to Zhenmay</v>
      </c>
      <c r="C183" s="32"/>
      <c r="D183" s="32" t="str">
        <f>IFERROR(__xludf.DUMMYFUNCTION("""COMPUTED_VALUE"""),"Head")</f>
        <v>Head</v>
      </c>
      <c r="E183" s="32">
        <f>IFERROR(__xludf.DUMMYFUNCTION("""COMPUTED_VALUE"""),200.0)</f>
        <v>200</v>
      </c>
      <c r="F183" s="3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32">
        <f>IFERROR(__xludf.DUMMYFUNCTION("""COMPUTED_VALUE"""),5.104E8)</f>
        <v>510400000</v>
      </c>
      <c r="H183" s="32"/>
      <c r="I183" s="32"/>
      <c r="J183" s="32"/>
      <c r="K183" s="32"/>
      <c r="L183" s="32"/>
      <c r="M183" s="32"/>
      <c r="N183" s="32"/>
      <c r="O183" s="32"/>
      <c r="P183" s="32"/>
      <c r="Q183" s="32"/>
      <c r="R183" s="32"/>
      <c r="S183" s="32"/>
      <c r="T183" s="32"/>
      <c r="U183" s="32"/>
      <c r="V183" s="32"/>
      <c r="W183" s="32"/>
      <c r="X183" s="32"/>
      <c r="Y183" s="32"/>
      <c r="Z183" s="32"/>
    </row>
    <row r="184">
      <c r="A184" s="32" t="str">
        <f>IFERROR(__xludf.DUMMYFUNCTION("""COMPUTED_VALUE"""),"Pauldrons of Waking Waters")</f>
        <v>Pauldrons of Waking Waters</v>
      </c>
      <c r="B184" s="32"/>
      <c r="C184" s="32"/>
      <c r="D184" s="32" t="str">
        <f>IFERROR(__xludf.DUMMYFUNCTION("""COMPUTED_VALUE"""),"Shoulders")</f>
        <v>Shoulders</v>
      </c>
      <c r="E184" s="32">
        <f>IFERROR(__xludf.DUMMYFUNCTION("""COMPUTED_VALUE"""),200.0)</f>
        <v>200</v>
      </c>
      <c r="F184" s="32" t="str">
        <f>IFERROR(__xludf.DUMMYFUNCTION("""COMPUTED_VALUE"""),"DEF: +5000, Water DEF: +5000 ++X4 additional water damage for self.")</f>
        <v>DEF: +5000, Water DEF: +5000 ++X4 additional water damage for self.</v>
      </c>
      <c r="G184" s="32">
        <f>IFERROR(__xludf.DUMMYFUNCTION("""COMPUTED_VALUE"""),1900000.0)</f>
        <v>1900000</v>
      </c>
      <c r="H184" s="32"/>
      <c r="I184" s="32"/>
      <c r="J184" s="32"/>
      <c r="K184" s="32"/>
      <c r="L184" s="32"/>
      <c r="M184" s="32"/>
      <c r="N184" s="32"/>
      <c r="O184" s="32"/>
      <c r="P184" s="32"/>
      <c r="Q184" s="32"/>
      <c r="R184" s="32"/>
      <c r="S184" s="32"/>
      <c r="T184" s="32"/>
      <c r="U184" s="32"/>
      <c r="V184" s="32"/>
      <c r="W184" s="32"/>
      <c r="X184" s="32"/>
      <c r="Y184" s="32"/>
      <c r="Z184" s="32"/>
    </row>
    <row r="185">
      <c r="A185" s="32" t="str">
        <f>IFERROR(__xludf.DUMMYFUNCTION("""COMPUTED_VALUE"""),"Pendent of the Sea Serpent")</f>
        <v>Pendent of the Sea Serpent</v>
      </c>
      <c r="B185" s="32"/>
      <c r="C185" s="32"/>
      <c r="D185" s="32" t="str">
        <f>IFERROR(__xludf.DUMMYFUNCTION("""COMPUTED_VALUE"""),"Neck")</f>
        <v>Neck</v>
      </c>
      <c r="E185" s="32">
        <f>IFERROR(__xludf.DUMMYFUNCTION("""COMPUTED_VALUE"""),1.0)</f>
        <v>1</v>
      </c>
      <c r="F185" s="32" t="str">
        <f>IFERROR(__xludf.DUMMYFUNCTION("""COMPUTED_VALUE""")," ++X2 Water Resistance.")</f>
        <v> ++X2 Water Resistance.</v>
      </c>
      <c r="G185" s="32">
        <f>IFERROR(__xludf.DUMMYFUNCTION("""COMPUTED_VALUE"""),0.0)</f>
        <v>0</v>
      </c>
      <c r="H185" s="32"/>
      <c r="I185" s="32"/>
      <c r="J185" s="32"/>
      <c r="K185" s="32"/>
      <c r="L185" s="32"/>
      <c r="M185" s="32"/>
      <c r="N185" s="32"/>
      <c r="O185" s="32"/>
      <c r="P185" s="32"/>
      <c r="Q185" s="32"/>
      <c r="R185" s="32"/>
      <c r="S185" s="32"/>
      <c r="T185" s="32"/>
      <c r="U185" s="32"/>
      <c r="V185" s="32"/>
      <c r="W185" s="32"/>
      <c r="X185" s="32"/>
      <c r="Y185" s="32"/>
      <c r="Z185" s="32"/>
    </row>
    <row r="186">
      <c r="A186" s="32" t="str">
        <f>IFERROR(__xludf.DUMMYFUNCTION("""COMPUTED_VALUE"""),"Pendent of Confusion")</f>
        <v>Pendent of Confusion</v>
      </c>
      <c r="B186" s="32"/>
      <c r="C186" s="32"/>
      <c r="D186" s="32" t="str">
        <f>IFERROR(__xludf.DUMMYFUNCTION("""COMPUTED_VALUE"""),"Neck")</f>
        <v>Neck</v>
      </c>
      <c r="E186" s="32">
        <f>IFERROR(__xludf.DUMMYFUNCTION("""COMPUTED_VALUE"""),1.0)</f>
        <v>1</v>
      </c>
      <c r="F186" s="32"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32">
        <f>IFERROR(__xludf.DUMMYFUNCTION("""COMPUTED_VALUE"""),0.0)</f>
        <v>0</v>
      </c>
      <c r="H186" s="32"/>
      <c r="I186" s="32"/>
      <c r="J186" s="32"/>
      <c r="K186" s="32"/>
      <c r="L186" s="32"/>
      <c r="M186" s="32"/>
      <c r="N186" s="32"/>
      <c r="O186" s="32"/>
      <c r="P186" s="32"/>
      <c r="Q186" s="32"/>
      <c r="R186" s="32"/>
      <c r="S186" s="32"/>
      <c r="T186" s="32"/>
      <c r="U186" s="32"/>
      <c r="V186" s="32"/>
      <c r="W186" s="32"/>
      <c r="X186" s="32"/>
      <c r="Y186" s="32"/>
      <c r="Z186" s="32"/>
    </row>
    <row r="187">
      <c r="A187" s="32" t="str">
        <f>IFERROR(__xludf.DUMMYFUNCTION("""COMPUTED_VALUE"""),"Pendent of Luck")</f>
        <v>Pendent of Luck</v>
      </c>
      <c r="B187" s="32"/>
      <c r="C187" s="32"/>
      <c r="D187" s="32" t="str">
        <f>IFERROR(__xludf.DUMMYFUNCTION("""COMPUTED_VALUE"""),"Neck")</f>
        <v>Neck</v>
      </c>
      <c r="E187" s="32">
        <f>IFERROR(__xludf.DUMMYFUNCTION("""COMPUTED_VALUE"""),1.0)</f>
        <v>1</v>
      </c>
      <c r="F187" s="32" t="str">
        <f>IFERROR(__xludf.DUMMYFUNCTION("""COMPUTED_VALUE""")," ++Plus 100 to each base Stat.")</f>
        <v> ++Plus 100 to each base Stat.</v>
      </c>
      <c r="G187" s="32">
        <f>IFERROR(__xludf.DUMMYFUNCTION("""COMPUTED_VALUE"""),0.0)</f>
        <v>0</v>
      </c>
      <c r="H187" s="32"/>
      <c r="I187" s="32"/>
      <c r="J187" s="32"/>
      <c r="K187" s="32"/>
      <c r="L187" s="32"/>
      <c r="M187" s="32"/>
      <c r="N187" s="32"/>
      <c r="O187" s="32"/>
      <c r="P187" s="32"/>
      <c r="Q187" s="32"/>
      <c r="R187" s="32"/>
      <c r="S187" s="32"/>
      <c r="T187" s="32"/>
      <c r="U187" s="32"/>
      <c r="V187" s="32"/>
      <c r="W187" s="32"/>
      <c r="X187" s="32"/>
      <c r="Y187" s="32"/>
      <c r="Z187" s="32"/>
    </row>
    <row r="188">
      <c r="A188" s="32" t="str">
        <f>IFERROR(__xludf.DUMMYFUNCTION("""COMPUTED_VALUE"""),"Pillow of Dreams")</f>
        <v>Pillow of Dreams</v>
      </c>
      <c r="B188" s="32"/>
      <c r="C188" s="32" t="str">
        <f>IFERROR(__xludf.DUMMYFUNCTION("""COMPUTED_VALUE"""),"Towershield")</f>
        <v>Towershield</v>
      </c>
      <c r="D188" s="32" t="str">
        <f>IFERROR(__xludf.DUMMYFUNCTION("""COMPUTED_VALUE"""),"Hand")</f>
        <v>Hand</v>
      </c>
      <c r="E188" s="32">
        <f>IFERROR(__xludf.DUMMYFUNCTION("""COMPUTED_VALUE"""),200.0)</f>
        <v>200</v>
      </c>
      <c r="F188" s="32"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32">
        <f>IFERROR(__xludf.DUMMYFUNCTION("""COMPUTED_VALUE"""),1.2475E9)</f>
        <v>1247500000</v>
      </c>
      <c r="H188" s="32"/>
      <c r="I188" s="32"/>
      <c r="J188" s="32"/>
      <c r="K188" s="32"/>
      <c r="L188" s="32"/>
      <c r="M188" s="32"/>
      <c r="N188" s="32"/>
      <c r="O188" s="32"/>
      <c r="P188" s="32"/>
      <c r="Q188" s="32"/>
      <c r="R188" s="32"/>
      <c r="S188" s="32"/>
      <c r="T188" s="32"/>
      <c r="U188" s="32"/>
      <c r="V188" s="32"/>
      <c r="W188" s="32"/>
      <c r="X188" s="32"/>
      <c r="Y188" s="32"/>
      <c r="Z188" s="32"/>
    </row>
    <row r="189">
      <c r="A189" s="32" t="str">
        <f>IFERROR(__xludf.DUMMYFUNCTION("""COMPUTED_VALUE"""),"Poison Vine Sword")</f>
        <v>Poison Vine Sword</v>
      </c>
      <c r="B189" s="32"/>
      <c r="C189" s="32" t="str">
        <f>IFERROR(__xludf.DUMMYFUNCTION("""COMPUTED_VALUE"""),"Sword")</f>
        <v>Sword</v>
      </c>
      <c r="D189" s="32" t="str">
        <f>IFERROR(__xludf.DUMMYFUNCTION("""COMPUTED_VALUE"""),"Hand")</f>
        <v>Hand</v>
      </c>
      <c r="E189" s="32">
        <f>IFERROR(__xludf.DUMMYFUNCTION("""COMPUTED_VALUE"""),2000.0)</f>
        <v>2000</v>
      </c>
      <c r="F189" s="32" t="str">
        <f>IFERROR(__xludf.DUMMYFUNCTION("""COMPUTED_VALUE"""),"DMG: +50000, Nature DMG: +50000 ++Poison 25,000")</f>
        <v>DMG: +50000, Nature DMG: +50000 ++Poison 25,000</v>
      </c>
      <c r="G189" s="32">
        <f>IFERROR(__xludf.DUMMYFUNCTION("""COMPUTED_VALUE"""),1.99E8)</f>
        <v>199000000</v>
      </c>
      <c r="H189" s="32"/>
      <c r="I189" s="32"/>
      <c r="J189" s="32"/>
      <c r="K189" s="32"/>
      <c r="L189" s="32"/>
      <c r="M189" s="32"/>
      <c r="N189" s="32"/>
      <c r="O189" s="32"/>
      <c r="P189" s="32"/>
      <c r="Q189" s="32"/>
      <c r="R189" s="32"/>
      <c r="S189" s="32"/>
      <c r="T189" s="32"/>
      <c r="U189" s="32"/>
      <c r="V189" s="32"/>
      <c r="W189" s="32"/>
      <c r="X189" s="32"/>
      <c r="Y189" s="32"/>
      <c r="Z189" s="32"/>
    </row>
    <row r="190">
      <c r="A190" s="32" t="str">
        <f>IFERROR(__xludf.DUMMYFUNCTION("""COMPUTED_VALUE"""),"Poseidon's Boots")</f>
        <v>Poseidon's Boots</v>
      </c>
      <c r="B190" s="32"/>
      <c r="C190" s="32"/>
      <c r="D190" s="32" t="str">
        <f>IFERROR(__xludf.DUMMYFUNCTION("""COMPUTED_VALUE"""),"Feet")</f>
        <v>Feet</v>
      </c>
      <c r="E190" s="32">
        <f>IFERROR(__xludf.DUMMYFUNCTION("""COMPUTED_VALUE"""),400.0)</f>
        <v>400</v>
      </c>
      <c r="F190" s="32" t="str">
        <f>IFERROR(__xludf.DUMMYFUNCTION("""COMPUTED_VALUE"""),"DEF: +10000, Water DEF: +10000 ++X8 additional water damage for self.")</f>
        <v>DEF: +10000, Water DEF: +10000 ++X8 additional water damage for self.</v>
      </c>
      <c r="G190" s="32">
        <f>IFERROR(__xludf.DUMMYFUNCTION("""COMPUTED_VALUE"""),7800000.0)</f>
        <v>7800000</v>
      </c>
      <c r="H190" s="32"/>
      <c r="I190" s="32"/>
      <c r="J190" s="32"/>
      <c r="K190" s="32"/>
      <c r="L190" s="32"/>
      <c r="M190" s="32"/>
      <c r="N190" s="32"/>
      <c r="O190" s="32"/>
      <c r="P190" s="32"/>
      <c r="Q190" s="32"/>
      <c r="R190" s="32"/>
      <c r="S190" s="32"/>
      <c r="T190" s="32"/>
      <c r="U190" s="32"/>
      <c r="V190" s="32"/>
      <c r="W190" s="32"/>
      <c r="X190" s="32"/>
      <c r="Y190" s="32"/>
      <c r="Z190" s="32"/>
    </row>
    <row r="191">
      <c r="A191" s="32" t="str">
        <f>IFERROR(__xludf.DUMMYFUNCTION("""COMPUTED_VALUE"""),"Poseidon's Chestplate")</f>
        <v>Poseidon's Chestplate</v>
      </c>
      <c r="B191" s="32"/>
      <c r="C191" s="32"/>
      <c r="D191" s="32" t="str">
        <f>IFERROR(__xludf.DUMMYFUNCTION("""COMPUTED_VALUE"""),"Torso")</f>
        <v>Torso</v>
      </c>
      <c r="E191" s="32">
        <f>IFERROR(__xludf.DUMMYFUNCTION("""COMPUTED_VALUE"""),800.0)</f>
        <v>800</v>
      </c>
      <c r="F191" s="32"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32">
        <f>IFERROR(__xludf.DUMMYFUNCTION("""COMPUTED_VALUE"""),3.16E7)</f>
        <v>31600000</v>
      </c>
      <c r="H191" s="32"/>
      <c r="I191" s="32"/>
      <c r="J191" s="32"/>
      <c r="K191" s="32"/>
      <c r="L191" s="32"/>
      <c r="M191" s="32"/>
      <c r="N191" s="32"/>
      <c r="O191" s="32"/>
      <c r="P191" s="32"/>
      <c r="Q191" s="32"/>
      <c r="R191" s="32"/>
      <c r="S191" s="32"/>
      <c r="T191" s="32"/>
      <c r="U191" s="32"/>
      <c r="V191" s="32"/>
      <c r="W191" s="32"/>
      <c r="X191" s="32"/>
      <c r="Y191" s="32"/>
      <c r="Z191" s="32"/>
    </row>
    <row r="192">
      <c r="A192" s="32" t="str">
        <f>IFERROR(__xludf.DUMMYFUNCTION("""COMPUTED_VALUE"""),"Poseidon's Greaves")</f>
        <v>Poseidon's Greaves</v>
      </c>
      <c r="B192" s="32"/>
      <c r="C192" s="32"/>
      <c r="D192" s="32" t="str">
        <f>IFERROR(__xludf.DUMMYFUNCTION("""COMPUTED_VALUE"""),"Legs")</f>
        <v>Legs</v>
      </c>
      <c r="E192" s="32">
        <f>IFERROR(__xludf.DUMMYFUNCTION("""COMPUTED_VALUE"""),400.0)</f>
        <v>400</v>
      </c>
      <c r="F192" s="32" t="str">
        <f>IFERROR(__xludf.DUMMYFUNCTION("""COMPUTED_VALUE"""),"DEF: +10000, Water DEF: +10000 ++X8 additional water damage for self.")</f>
        <v>DEF: +10000, Water DEF: +10000 ++X8 additional water damage for self.</v>
      </c>
      <c r="G192" s="32">
        <f>IFERROR(__xludf.DUMMYFUNCTION("""COMPUTED_VALUE"""),7800000.0)</f>
        <v>7800000</v>
      </c>
      <c r="H192" s="32"/>
      <c r="I192" s="32"/>
      <c r="J192" s="32"/>
      <c r="K192" s="32"/>
      <c r="L192" s="32"/>
      <c r="M192" s="32"/>
      <c r="N192" s="32"/>
      <c r="O192" s="32"/>
      <c r="P192" s="32"/>
      <c r="Q192" s="32"/>
      <c r="R192" s="32"/>
      <c r="S192" s="32"/>
      <c r="T192" s="32"/>
      <c r="U192" s="32"/>
      <c r="V192" s="32"/>
      <c r="W192" s="32"/>
      <c r="X192" s="32"/>
      <c r="Y192" s="32"/>
      <c r="Z192" s="32"/>
    </row>
    <row r="193">
      <c r="A193" s="32" t="str">
        <f>IFERROR(__xludf.DUMMYFUNCTION("""COMPUTED_VALUE"""),"Poseidon's Helmet")</f>
        <v>Poseidon's Helmet</v>
      </c>
      <c r="B193" s="32"/>
      <c r="C193" s="32"/>
      <c r="D193" s="32" t="str">
        <f>IFERROR(__xludf.DUMMYFUNCTION("""COMPUTED_VALUE"""),"Head")</f>
        <v>Head</v>
      </c>
      <c r="E193" s="32">
        <f>IFERROR(__xludf.DUMMYFUNCTION("""COMPUTED_VALUE"""),400.0)</f>
        <v>400</v>
      </c>
      <c r="F193" s="32" t="str">
        <f>IFERROR(__xludf.DUMMYFUNCTION("""COMPUTED_VALUE"""),"DEF: +10000, Water DEF: +10000 ++X8 additional water damage for self.")</f>
        <v>DEF: +10000, Water DEF: +10000 ++X8 additional water damage for self.</v>
      </c>
      <c r="G193" s="32">
        <f>IFERROR(__xludf.DUMMYFUNCTION("""COMPUTED_VALUE"""),7800000.0)</f>
        <v>7800000</v>
      </c>
      <c r="H193" s="32"/>
      <c r="I193" s="32"/>
      <c r="J193" s="32"/>
      <c r="K193" s="32"/>
      <c r="L193" s="32"/>
      <c r="M193" s="32"/>
      <c r="N193" s="32"/>
      <c r="O193" s="32"/>
      <c r="P193" s="32"/>
      <c r="Q193" s="32"/>
      <c r="R193" s="32"/>
      <c r="S193" s="32"/>
      <c r="T193" s="32"/>
      <c r="U193" s="32"/>
      <c r="V193" s="32"/>
      <c r="W193" s="32"/>
      <c r="X193" s="32"/>
      <c r="Y193" s="32"/>
      <c r="Z193" s="32"/>
    </row>
    <row r="194">
      <c r="A194" s="32" t="str">
        <f>IFERROR(__xludf.DUMMYFUNCTION("""COMPUTED_VALUE"""),"Poseidon's Pauldrons")</f>
        <v>Poseidon's Pauldrons</v>
      </c>
      <c r="B194" s="32"/>
      <c r="C194" s="32"/>
      <c r="D194" s="32" t="str">
        <f>IFERROR(__xludf.DUMMYFUNCTION("""COMPUTED_VALUE"""),"Shoulders")</f>
        <v>Shoulders</v>
      </c>
      <c r="E194" s="32">
        <f>IFERROR(__xludf.DUMMYFUNCTION("""COMPUTED_VALUE"""),400.0)</f>
        <v>400</v>
      </c>
      <c r="F194" s="32" t="str">
        <f>IFERROR(__xludf.DUMMYFUNCTION("""COMPUTED_VALUE"""),"DEF: +10000, Water DEF: +10000 ++X8 additional water damage for self.")</f>
        <v>DEF: +10000, Water DEF: +10000 ++X8 additional water damage for self.</v>
      </c>
      <c r="G194" s="32">
        <f>IFERROR(__xludf.DUMMYFUNCTION("""COMPUTED_VALUE"""),7800000.0)</f>
        <v>7800000</v>
      </c>
      <c r="H194" s="32"/>
      <c r="I194" s="32"/>
      <c r="J194" s="32"/>
      <c r="K194" s="32"/>
      <c r="L194" s="32"/>
      <c r="M194" s="32"/>
      <c r="N194" s="32"/>
      <c r="O194" s="32"/>
      <c r="P194" s="32"/>
      <c r="Q194" s="32"/>
      <c r="R194" s="32"/>
      <c r="S194" s="32"/>
      <c r="T194" s="32"/>
      <c r="U194" s="32"/>
      <c r="V194" s="32"/>
      <c r="W194" s="32"/>
      <c r="X194" s="32"/>
      <c r="Y194" s="32"/>
      <c r="Z194" s="32"/>
    </row>
    <row r="195">
      <c r="A195" s="32" t="str">
        <f>IFERROR(__xludf.DUMMYFUNCTION("""COMPUTED_VALUE"""),"Poseidon's Ring")</f>
        <v>Poseidon's Ring</v>
      </c>
      <c r="B195" s="32"/>
      <c r="C195" s="32"/>
      <c r="D195" s="32" t="str">
        <f>IFERROR(__xludf.DUMMYFUNCTION("""COMPUTED_VALUE"""),"Ring")</f>
        <v>Ring</v>
      </c>
      <c r="E195" s="32">
        <f>IFERROR(__xludf.DUMMYFUNCTION("""COMPUTED_VALUE"""),20.0)</f>
        <v>20</v>
      </c>
      <c r="F195" s="32" t="str">
        <f>IFERROR(__xludf.DUMMYFUNCTION("""COMPUTED_VALUE"""),"DEF: +1000 ++X8 additional water damage for self. ")</f>
        <v>DEF: +1000 ++X8 additional water damage for self. </v>
      </c>
      <c r="G195" s="32">
        <f>IFERROR(__xludf.DUMMYFUNCTION("""COMPUTED_VALUE"""),10000.0)</f>
        <v>10000</v>
      </c>
      <c r="H195" s="32"/>
      <c r="I195" s="32"/>
      <c r="J195" s="32"/>
      <c r="K195" s="32"/>
      <c r="L195" s="32"/>
      <c r="M195" s="32"/>
      <c r="N195" s="32"/>
      <c r="O195" s="32"/>
      <c r="P195" s="32"/>
      <c r="Q195" s="32"/>
      <c r="R195" s="32"/>
      <c r="S195" s="32"/>
      <c r="T195" s="32"/>
      <c r="U195" s="32"/>
      <c r="V195" s="32"/>
      <c r="W195" s="32"/>
      <c r="X195" s="32"/>
      <c r="Y195" s="32"/>
      <c r="Z195" s="32"/>
    </row>
    <row r="196">
      <c r="A196" s="32" t="str">
        <f>IFERROR(__xludf.DUMMYFUNCTION("""COMPUTED_VALUE"""),"Poseidon's Sword")</f>
        <v>Poseidon's Sword</v>
      </c>
      <c r="B196" s="32"/>
      <c r="C196" s="32" t="str">
        <f>IFERROR(__xludf.DUMMYFUNCTION("""COMPUTED_VALUE"""),"Sword")</f>
        <v>Sword</v>
      </c>
      <c r="D196" s="32" t="str">
        <f>IFERROR(__xludf.DUMMYFUNCTION("""COMPUTED_VALUE"""),"Hand")</f>
        <v>Hand</v>
      </c>
      <c r="E196" s="32">
        <f>IFERROR(__xludf.DUMMYFUNCTION("""COMPUTED_VALUE"""),200.0)</f>
        <v>200</v>
      </c>
      <c r="F196" s="32"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32">
        <f>IFERROR(__xludf.DUMMYFUNCTION("""COMPUTED_VALUE"""),1.99E8)</f>
        <v>199000000</v>
      </c>
      <c r="H196" s="32"/>
      <c r="I196" s="32"/>
      <c r="J196" s="32"/>
      <c r="K196" s="32"/>
      <c r="L196" s="32"/>
      <c r="M196" s="32"/>
      <c r="N196" s="32"/>
      <c r="O196" s="32"/>
      <c r="P196" s="32"/>
      <c r="Q196" s="32"/>
      <c r="R196" s="32"/>
      <c r="S196" s="32"/>
      <c r="T196" s="32"/>
      <c r="U196" s="32"/>
      <c r="V196" s="32"/>
      <c r="W196" s="32"/>
      <c r="X196" s="32"/>
      <c r="Y196" s="32"/>
      <c r="Z196" s="32"/>
    </row>
    <row r="197">
      <c r="A197" s="32" t="str">
        <f>IFERROR(__xludf.DUMMYFUNCTION("""COMPUTED_VALUE"""),"Poseidon's Trident")</f>
        <v>Poseidon's Trident</v>
      </c>
      <c r="B197" s="32"/>
      <c r="C197" s="32" t="str">
        <f>IFERROR(__xludf.DUMMYFUNCTION("""COMPUTED_VALUE"""),"Spear")</f>
        <v>Spear</v>
      </c>
      <c r="D197" s="32" t="str">
        <f>IFERROR(__xludf.DUMMYFUNCTION("""COMPUTED_VALUE"""),"Hand")</f>
        <v>Hand</v>
      </c>
      <c r="E197" s="32">
        <f>IFERROR(__xludf.DUMMYFUNCTION("""COMPUTED_VALUE"""),200.0)</f>
        <v>200</v>
      </c>
      <c r="F197" s="32"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32">
        <f>IFERROR(__xludf.DUMMYFUNCTION("""COMPUTED_VALUE"""),3.1125E8)</f>
        <v>311250000</v>
      </c>
      <c r="H197" s="32"/>
      <c r="I197" s="32"/>
      <c r="J197" s="32"/>
      <c r="K197" s="32"/>
      <c r="L197" s="32"/>
      <c r="M197" s="32"/>
      <c r="N197" s="32"/>
      <c r="O197" s="32"/>
      <c r="P197" s="32"/>
      <c r="Q197" s="32"/>
      <c r="R197" s="32"/>
      <c r="S197" s="32"/>
      <c r="T197" s="32"/>
      <c r="U197" s="32"/>
      <c r="V197" s="32"/>
      <c r="W197" s="32"/>
      <c r="X197" s="32"/>
      <c r="Y197" s="32"/>
      <c r="Z197" s="32"/>
    </row>
    <row r="198">
      <c r="A198" s="32" t="str">
        <f>IFERROR(__xludf.DUMMYFUNCTION("""COMPUTED_VALUE"""),"Poseidon's Vambraces")</f>
        <v>Poseidon's Vambraces</v>
      </c>
      <c r="B198" s="32"/>
      <c r="C198" s="32"/>
      <c r="D198" s="32" t="str">
        <f>IFERROR(__xludf.DUMMYFUNCTION("""COMPUTED_VALUE"""),"Arms")</f>
        <v>Arms</v>
      </c>
      <c r="E198" s="32">
        <f>IFERROR(__xludf.DUMMYFUNCTION("""COMPUTED_VALUE"""),400.0)</f>
        <v>400</v>
      </c>
      <c r="F198" s="32" t="str">
        <f>IFERROR(__xludf.DUMMYFUNCTION("""COMPUTED_VALUE"""),"DEF: +10000, Water DEF: +10000 ++X8 additional water damage for self.")</f>
        <v>DEF: +10000, Water DEF: +10000 ++X8 additional water damage for self.</v>
      </c>
      <c r="G198" s="32">
        <f>IFERROR(__xludf.DUMMYFUNCTION("""COMPUTED_VALUE"""),7800000.0)</f>
        <v>7800000</v>
      </c>
      <c r="H198" s="32"/>
      <c r="I198" s="32"/>
      <c r="J198" s="32"/>
      <c r="K198" s="32"/>
      <c r="L198" s="32"/>
      <c r="M198" s="32"/>
      <c r="N198" s="32"/>
      <c r="O198" s="32"/>
      <c r="P198" s="32"/>
      <c r="Q198" s="32"/>
      <c r="R198" s="32"/>
      <c r="S198" s="32"/>
      <c r="T198" s="32"/>
      <c r="U198" s="32"/>
      <c r="V198" s="32"/>
      <c r="W198" s="32"/>
      <c r="X198" s="32"/>
      <c r="Y198" s="32"/>
      <c r="Z198" s="32"/>
    </row>
    <row r="199">
      <c r="A199" s="32" t="str">
        <f>IFERROR(__xludf.DUMMYFUNCTION("""COMPUTED_VALUE"""),"Riftblade")</f>
        <v>Riftblade</v>
      </c>
      <c r="B199" s="32" t="str">
        <f>IFERROR(__xludf.DUMMYFUNCTION("""COMPUTED_VALUE"""),"An ancient blade from a forgotten time")</f>
        <v>An ancient blade from a forgotten time</v>
      </c>
      <c r="C199" s="32" t="str">
        <f>IFERROR(__xludf.DUMMYFUNCTION("""COMPUTED_VALUE"""),"Sword")</f>
        <v>Sword</v>
      </c>
      <c r="D199" s="32" t="str">
        <f>IFERROR(__xludf.DUMMYFUNCTION("""COMPUTED_VALUE"""),"Hand")</f>
        <v>Hand</v>
      </c>
      <c r="E199" s="32">
        <f>IFERROR(__xludf.DUMMYFUNCTION("""COMPUTED_VALUE"""),600.0)</f>
        <v>600</v>
      </c>
      <c r="F199" s="32" t="str">
        <f>IFERROR(__xludf.DUMMYFUNCTION("""COMPUTED_VALUE"""),"DMG: +10000, Chaos DMG: +10000, Nature DMG: +10000")</f>
        <v>DMG: +10000, Chaos DMG: +10000, Nature DMG: +10000</v>
      </c>
      <c r="G199" s="32">
        <f>IFERROR(__xludf.DUMMYFUNCTION("""COMPUTED_VALUE"""),1.77E7)</f>
        <v>17700000</v>
      </c>
      <c r="H199" s="32"/>
      <c r="I199" s="32"/>
      <c r="J199" s="32"/>
      <c r="K199" s="32"/>
      <c r="L199" s="32"/>
      <c r="M199" s="32"/>
      <c r="N199" s="32"/>
      <c r="O199" s="32"/>
      <c r="P199" s="32"/>
      <c r="Q199" s="32"/>
      <c r="R199" s="32"/>
      <c r="S199" s="32"/>
      <c r="T199" s="32"/>
      <c r="U199" s="32"/>
      <c r="V199" s="32"/>
      <c r="W199" s="32"/>
      <c r="X199" s="32"/>
      <c r="Y199" s="32"/>
      <c r="Z199" s="32"/>
    </row>
    <row r="200">
      <c r="A200" s="32" t="str">
        <f>IFERROR(__xludf.DUMMYFUNCTION("""COMPUTED_VALUE"""),"Ring o’ Luck and Nature")</f>
        <v>Ring o’ Luck and Nature</v>
      </c>
      <c r="B200" s="32"/>
      <c r="C200" s="32"/>
      <c r="D200" s="32" t="str">
        <f>IFERROR(__xludf.DUMMYFUNCTION("""COMPUTED_VALUE"""),"Ring")</f>
        <v>Ring</v>
      </c>
      <c r="E200" s="32">
        <f>IFERROR(__xludf.DUMMYFUNCTION("""COMPUTED_VALUE"""),1.0)</f>
        <v>1</v>
      </c>
      <c r="F200" s="32" t="str">
        <f>IFERROR(__xludf.DUMMYFUNCTION("""COMPUTED_VALUE""")," ++Immunity to nature damage, ++increases the roll of a d20 by 2. +-Can only equip one")</f>
        <v> ++Immunity to nature damage, ++increases the roll of a d20 by 2. +-Can only equip one</v>
      </c>
      <c r="G200" s="32">
        <f>IFERROR(__xludf.DUMMYFUNCTION("""COMPUTED_VALUE"""),0.0)</f>
        <v>0</v>
      </c>
      <c r="H200" s="32"/>
      <c r="I200" s="32"/>
      <c r="J200" s="32"/>
      <c r="K200" s="32"/>
      <c r="L200" s="32"/>
      <c r="M200" s="32"/>
      <c r="N200" s="32"/>
      <c r="O200" s="32"/>
      <c r="P200" s="32"/>
      <c r="Q200" s="32"/>
      <c r="R200" s="32"/>
      <c r="S200" s="32"/>
      <c r="T200" s="32"/>
      <c r="U200" s="32"/>
      <c r="V200" s="32"/>
      <c r="W200" s="32"/>
      <c r="X200" s="32"/>
      <c r="Y200" s="32"/>
      <c r="Z200" s="32"/>
    </row>
    <row r="201">
      <c r="A201" s="32" t="str">
        <f>IFERROR(__xludf.DUMMYFUNCTION("""COMPUTED_VALUE"""),"Ring of Darkness")</f>
        <v>Ring of Darkness</v>
      </c>
      <c r="B201" s="32"/>
      <c r="C201" s="32"/>
      <c r="D201" s="32" t="str">
        <f>IFERROR(__xludf.DUMMYFUNCTION("""COMPUTED_VALUE"""),"Ring")</f>
        <v>Ring</v>
      </c>
      <c r="E201" s="32">
        <f>IFERROR(__xludf.DUMMYFUNCTION("""COMPUTED_VALUE"""),1.0)</f>
        <v>1</v>
      </c>
      <c r="F201" s="32"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32">
        <f>IFERROR(__xludf.DUMMYFUNCTION("""COMPUTED_VALUE"""),0.0)</f>
        <v>0</v>
      </c>
      <c r="H201" s="32"/>
      <c r="I201" s="32"/>
      <c r="J201" s="32"/>
      <c r="K201" s="32"/>
      <c r="L201" s="32"/>
      <c r="M201" s="32"/>
      <c r="N201" s="32"/>
      <c r="O201" s="32"/>
      <c r="P201" s="32"/>
      <c r="Q201" s="32"/>
      <c r="R201" s="32"/>
      <c r="S201" s="32"/>
      <c r="T201" s="32"/>
      <c r="U201" s="32"/>
      <c r="V201" s="32"/>
      <c r="W201" s="32"/>
      <c r="X201" s="32"/>
      <c r="Y201" s="32"/>
      <c r="Z201" s="32"/>
    </row>
    <row r="202">
      <c r="A202" s="32" t="str">
        <f>IFERROR(__xludf.DUMMYFUNCTION("""COMPUTED_VALUE"""),"Ring of Death")</f>
        <v>Ring of Death</v>
      </c>
      <c r="B202" s="32"/>
      <c r="C202" s="32"/>
      <c r="D202" s="32" t="str">
        <f>IFERROR(__xludf.DUMMYFUNCTION("""COMPUTED_VALUE"""),"Ring")</f>
        <v>Ring</v>
      </c>
      <c r="E202" s="32">
        <f>IFERROR(__xludf.DUMMYFUNCTION("""COMPUTED_VALUE"""),1.0)</f>
        <v>1</v>
      </c>
      <c r="F202" s="32" t="str">
        <f>IFERROR(__xludf.DUMMYFUNCTION("""COMPUTED_VALUE""")," ++Causes instant death with a fail/succeed roll.")</f>
        <v> ++Causes instant death with a fail/succeed roll.</v>
      </c>
      <c r="G202" s="32">
        <f>IFERROR(__xludf.DUMMYFUNCTION("""COMPUTED_VALUE"""),0.0)</f>
        <v>0</v>
      </c>
      <c r="H202" s="32"/>
      <c r="I202" s="32"/>
      <c r="J202" s="32"/>
      <c r="K202" s="32"/>
      <c r="L202" s="32"/>
      <c r="M202" s="32"/>
      <c r="N202" s="32"/>
      <c r="O202" s="32"/>
      <c r="P202" s="32"/>
      <c r="Q202" s="32"/>
      <c r="R202" s="32"/>
      <c r="S202" s="32"/>
      <c r="T202" s="32"/>
      <c r="U202" s="32"/>
      <c r="V202" s="32"/>
      <c r="W202" s="32"/>
      <c r="X202" s="32"/>
      <c r="Y202" s="32"/>
      <c r="Z202" s="32"/>
    </row>
    <row r="203">
      <c r="A203" s="32" t="str">
        <f>IFERROR(__xludf.DUMMYFUNCTION("""COMPUTED_VALUE"""),"Ring Of Dwelling Waters")</f>
        <v>Ring Of Dwelling Waters</v>
      </c>
      <c r="B203" s="32"/>
      <c r="C203" s="32"/>
      <c r="D203" s="32" t="str">
        <f>IFERROR(__xludf.DUMMYFUNCTION("""COMPUTED_VALUE"""),"Ring")</f>
        <v>Ring</v>
      </c>
      <c r="E203" s="32">
        <f>IFERROR(__xludf.DUMMYFUNCTION("""COMPUTED_VALUE"""),1.0)</f>
        <v>1</v>
      </c>
      <c r="F203" s="32" t="str">
        <f>IFERROR(__xludf.DUMMYFUNCTION("""COMPUTED_VALUE"""),", Fire : +  ++X2 Water and Dark damage.")</f>
        <v>, Fire : +  ++X2 Water and Dark damage.</v>
      </c>
      <c r="G203" s="32">
        <f>IFERROR(__xludf.DUMMYFUNCTION("""COMPUTED_VALUE"""),0.0)</f>
        <v>0</v>
      </c>
      <c r="H203" s="32"/>
      <c r="I203" s="32"/>
      <c r="J203" s="32"/>
      <c r="K203" s="32"/>
      <c r="L203" s="32"/>
      <c r="M203" s="32"/>
      <c r="N203" s="32"/>
      <c r="O203" s="32"/>
      <c r="P203" s="32"/>
      <c r="Q203" s="32"/>
      <c r="R203" s="32"/>
      <c r="S203" s="32"/>
      <c r="T203" s="32"/>
      <c r="U203" s="32"/>
      <c r="V203" s="32"/>
      <c r="W203" s="32"/>
      <c r="X203" s="32"/>
      <c r="Y203" s="32"/>
      <c r="Z203" s="32"/>
    </row>
    <row r="204">
      <c r="A204" s="32" t="str">
        <f>IFERROR(__xludf.DUMMYFUNCTION("""COMPUTED_VALUE"""),"Ring of Endless Souls")</f>
        <v>Ring of Endless Souls</v>
      </c>
      <c r="B204" s="32"/>
      <c r="C204" s="32"/>
      <c r="D204" s="32" t="str">
        <f>IFERROR(__xludf.DUMMYFUNCTION("""COMPUTED_VALUE"""),"Ring")</f>
        <v>Ring</v>
      </c>
      <c r="E204" s="32">
        <f>IFERROR(__xludf.DUMMYFUNCTION("""COMPUTED_VALUE"""),1.0)</f>
        <v>1</v>
      </c>
      <c r="F204" s="32" t="str">
        <f>IFERROR(__xludf.DUMMYFUNCTION("""COMPUTED_VALUE""")," ++0 Def ++Soul Enchanted - Every time you enchant a soul into this item increase the Def of this item by 10. ")</f>
        <v> ++0 Def ++Soul Enchanted - Every time you enchant a soul into this item increase the Def of this item by 10. </v>
      </c>
      <c r="G204" s="32">
        <f>IFERROR(__xludf.DUMMYFUNCTION("""COMPUTED_VALUE"""),0.0)</f>
        <v>0</v>
      </c>
      <c r="H204" s="32"/>
      <c r="I204" s="32"/>
      <c r="J204" s="32"/>
      <c r="K204" s="32"/>
      <c r="L204" s="32"/>
      <c r="M204" s="32"/>
      <c r="N204" s="32"/>
      <c r="O204" s="32"/>
      <c r="P204" s="32"/>
      <c r="Q204" s="32"/>
      <c r="R204" s="32"/>
      <c r="S204" s="32"/>
      <c r="T204" s="32"/>
      <c r="U204" s="32"/>
      <c r="V204" s="32"/>
      <c r="W204" s="32"/>
      <c r="X204" s="32"/>
      <c r="Y204" s="32"/>
      <c r="Z204" s="32"/>
    </row>
    <row r="205">
      <c r="A205" s="32" t="str">
        <f>IFERROR(__xludf.DUMMYFUNCTION("""COMPUTED_VALUE"""),"Ring of Healing")</f>
        <v>Ring of Healing</v>
      </c>
      <c r="B205" s="32"/>
      <c r="C205" s="32"/>
      <c r="D205" s="32" t="str">
        <f>IFERROR(__xludf.DUMMYFUNCTION("""COMPUTED_VALUE"""),"Ring")</f>
        <v>Ring</v>
      </c>
      <c r="E205" s="32">
        <f>IFERROR(__xludf.DUMMYFUNCTION("""COMPUTED_VALUE"""),1.0)</f>
        <v>1</v>
      </c>
      <c r="F205" s="32" t="str">
        <f>IFERROR(__xludf.DUMMYFUNCTION("""COMPUTED_VALUE""")," ++500 hp per round.")</f>
        <v> ++500 hp per round.</v>
      </c>
      <c r="G205" s="32">
        <f>IFERROR(__xludf.DUMMYFUNCTION("""COMPUTED_VALUE"""),0.0)</f>
        <v>0</v>
      </c>
      <c r="H205" s="32"/>
      <c r="I205" s="32"/>
      <c r="J205" s="32"/>
      <c r="K205" s="32"/>
      <c r="L205" s="32"/>
      <c r="M205" s="32"/>
      <c r="N205" s="32"/>
      <c r="O205" s="32"/>
      <c r="P205" s="32"/>
      <c r="Q205" s="32"/>
      <c r="R205" s="32"/>
      <c r="S205" s="32"/>
      <c r="T205" s="32"/>
      <c r="U205" s="32"/>
      <c r="V205" s="32"/>
      <c r="W205" s="32"/>
      <c r="X205" s="32"/>
      <c r="Y205" s="32"/>
      <c r="Z205" s="32"/>
    </row>
    <row r="206">
      <c r="A206" s="32" t="str">
        <f>IFERROR(__xludf.DUMMYFUNCTION("""COMPUTED_VALUE"""),"Ring of Invulnerability ")</f>
        <v>Ring of Invulnerability </v>
      </c>
      <c r="B206" s="32"/>
      <c r="C206" s="32"/>
      <c r="D206" s="32" t="str">
        <f>IFERROR(__xludf.DUMMYFUNCTION("""COMPUTED_VALUE"""),"Ring")</f>
        <v>Ring</v>
      </c>
      <c r="E206" s="32">
        <f>IFERROR(__xludf.DUMMYFUNCTION("""COMPUTED_VALUE"""),1.0)</f>
        <v>1</v>
      </c>
      <c r="F206" s="32"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32">
        <f>IFERROR(__xludf.DUMMYFUNCTION("""COMPUTED_VALUE"""),0.0)</f>
        <v>0</v>
      </c>
      <c r="H206" s="32"/>
      <c r="I206" s="32"/>
      <c r="J206" s="32"/>
      <c r="K206" s="32"/>
      <c r="L206" s="32"/>
      <c r="M206" s="32"/>
      <c r="N206" s="32"/>
      <c r="O206" s="32"/>
      <c r="P206" s="32"/>
      <c r="Q206" s="32"/>
      <c r="R206" s="32"/>
      <c r="S206" s="32"/>
      <c r="T206" s="32"/>
      <c r="U206" s="32"/>
      <c r="V206" s="32"/>
      <c r="W206" s="32"/>
      <c r="X206" s="32"/>
      <c r="Y206" s="32"/>
      <c r="Z206" s="32"/>
    </row>
    <row r="207">
      <c r="A207" s="32" t="str">
        <f>IFERROR(__xludf.DUMMYFUNCTION("""COMPUTED_VALUE"""),"Ring of Pure Chaos")</f>
        <v>Ring of Pure Chaos</v>
      </c>
      <c r="B207" s="32"/>
      <c r="C207" s="32"/>
      <c r="D207" s="32" t="str">
        <f>IFERROR(__xludf.DUMMYFUNCTION("""COMPUTED_VALUE"""),"Ring")</f>
        <v>Ring</v>
      </c>
      <c r="E207" s="32">
        <f>IFERROR(__xludf.DUMMYFUNCTION("""COMPUTED_VALUE"""),1.0)</f>
        <v>1</v>
      </c>
      <c r="F207" s="32" t="str">
        <f>IFERROR(__xludf.DUMMYFUNCTION("""COMPUTED_VALUE""")," ++X2 Chaos damage, ++ +5 Charisma and Intimidation. +-Cannot be forged +-Cannot be duplicated +-Can only equip one")</f>
        <v> ++X2 Chaos damage, ++ +5 Charisma and Intimidation. +-Cannot be forged +-Cannot be duplicated +-Can only equip one</v>
      </c>
      <c r="G207" s="32">
        <f>IFERROR(__xludf.DUMMYFUNCTION("""COMPUTED_VALUE"""),0.0)</f>
        <v>0</v>
      </c>
      <c r="H207" s="32"/>
      <c r="I207" s="32"/>
      <c r="J207" s="32"/>
      <c r="K207" s="32"/>
      <c r="L207" s="32"/>
      <c r="M207" s="32"/>
      <c r="N207" s="32"/>
      <c r="O207" s="32"/>
      <c r="P207" s="32"/>
      <c r="Q207" s="32"/>
      <c r="R207" s="32"/>
      <c r="S207" s="32"/>
      <c r="T207" s="32"/>
      <c r="U207" s="32"/>
      <c r="V207" s="32"/>
      <c r="W207" s="32"/>
      <c r="X207" s="32"/>
      <c r="Y207" s="32"/>
      <c r="Z207" s="32"/>
    </row>
    <row r="208">
      <c r="A208" s="32" t="str">
        <f>IFERROR(__xludf.DUMMYFUNCTION("""COMPUTED_VALUE"""),"Ring of Pure Defense")</f>
        <v>Ring of Pure Defense</v>
      </c>
      <c r="B208" s="32"/>
      <c r="C208" s="32"/>
      <c r="D208" s="32" t="str">
        <f>IFERROR(__xludf.DUMMYFUNCTION("""COMPUTED_VALUE"""),"Ring")</f>
        <v>Ring</v>
      </c>
      <c r="E208" s="32">
        <f>IFERROR(__xludf.DUMMYFUNCTION("""COMPUTED_VALUE"""),1.0)</f>
        <v>1</v>
      </c>
      <c r="F208" s="32" t="str">
        <f>IFERROR(__xludf.DUMMYFUNCTION("""COMPUTED_VALUE""")," ++Half the damage taken from the next attack 100SP Will Succeed.")</f>
        <v> ++Half the damage taken from the next attack 100SP Will Succeed.</v>
      </c>
      <c r="G208" s="32">
        <f>IFERROR(__xludf.DUMMYFUNCTION("""COMPUTED_VALUE"""),0.0)</f>
        <v>0</v>
      </c>
      <c r="H208" s="32"/>
      <c r="I208" s="32"/>
      <c r="J208" s="32"/>
      <c r="K208" s="32"/>
      <c r="L208" s="32"/>
      <c r="M208" s="32"/>
      <c r="N208" s="32"/>
      <c r="O208" s="32"/>
      <c r="P208" s="32"/>
      <c r="Q208" s="32"/>
      <c r="R208" s="32"/>
      <c r="S208" s="32"/>
      <c r="T208" s="32"/>
      <c r="U208" s="32"/>
      <c r="V208" s="32"/>
      <c r="W208" s="32"/>
      <c r="X208" s="32"/>
      <c r="Y208" s="32"/>
      <c r="Z208" s="32"/>
    </row>
    <row r="209">
      <c r="A209" s="32" t="str">
        <f>IFERROR(__xludf.DUMMYFUNCTION("""COMPUTED_VALUE"""),"Ring of Reflect")</f>
        <v>Ring of Reflect</v>
      </c>
      <c r="B209" s="32"/>
      <c r="C209" s="32"/>
      <c r="D209" s="32" t="str">
        <f>IFERROR(__xludf.DUMMYFUNCTION("""COMPUTED_VALUE"""),"Ring")</f>
        <v>Ring</v>
      </c>
      <c r="E209" s="32">
        <f>IFERROR(__xludf.DUMMYFUNCTION("""COMPUTED_VALUE"""),1.0)</f>
        <v>1</v>
      </c>
      <c r="F209" s="32"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32">
        <f>IFERROR(__xludf.DUMMYFUNCTION("""COMPUTED_VALUE"""),0.0)</f>
        <v>0</v>
      </c>
      <c r="H209" s="32"/>
      <c r="I209" s="32"/>
      <c r="J209" s="32"/>
      <c r="K209" s="32"/>
      <c r="L209" s="32"/>
      <c r="M209" s="32"/>
      <c r="N209" s="32"/>
      <c r="O209" s="32"/>
      <c r="P209" s="32"/>
      <c r="Q209" s="32"/>
      <c r="R209" s="32"/>
      <c r="S209" s="32"/>
      <c r="T209" s="32"/>
      <c r="U209" s="32"/>
      <c r="V209" s="32"/>
      <c r="W209" s="32"/>
      <c r="X209" s="32"/>
      <c r="Y209" s="32"/>
      <c r="Z209" s="32"/>
    </row>
    <row r="210">
      <c r="A210" s="32" t="str">
        <f>IFERROR(__xludf.DUMMYFUNCTION("""COMPUTED_VALUE"""),"Ring of the Bonded Undead")</f>
        <v>Ring of the Bonded Undead</v>
      </c>
      <c r="B210" s="32"/>
      <c r="C210" s="32"/>
      <c r="D210" s="32" t="str">
        <f>IFERROR(__xludf.DUMMYFUNCTION("""COMPUTED_VALUE"""),"Ring")</f>
        <v>Ring</v>
      </c>
      <c r="E210" s="32">
        <f>IFERROR(__xludf.DUMMYFUNCTION("""COMPUTED_VALUE"""),1.0)</f>
        <v>1</v>
      </c>
      <c r="F210" s="32" t="str">
        <f>IFERROR(__xludf.DUMMYFUNCTION("""COMPUTED_VALUE""")," ++When you battle with any Undead target you can deal X2 more damage.")</f>
        <v> ++When you battle with any Undead target you can deal X2 more damage.</v>
      </c>
      <c r="G210" s="32">
        <f>IFERROR(__xludf.DUMMYFUNCTION("""COMPUTED_VALUE"""),0.0)</f>
        <v>0</v>
      </c>
      <c r="H210" s="32"/>
      <c r="I210" s="32"/>
      <c r="J210" s="32"/>
      <c r="K210" s="32"/>
      <c r="L210" s="32"/>
      <c r="M210" s="32"/>
      <c r="N210" s="32"/>
      <c r="O210" s="32"/>
      <c r="P210" s="32"/>
      <c r="Q210" s="32"/>
      <c r="R210" s="32"/>
      <c r="S210" s="32"/>
      <c r="T210" s="32"/>
      <c r="U210" s="32"/>
      <c r="V210" s="32"/>
      <c r="W210" s="32"/>
      <c r="X210" s="32"/>
      <c r="Y210" s="32"/>
      <c r="Z210" s="32"/>
    </row>
    <row r="211">
      <c r="A211" s="32" t="str">
        <f>IFERROR(__xludf.DUMMYFUNCTION("""COMPUTED_VALUE"""),"Ring of the Forgotten")</f>
        <v>Ring of the Forgotten</v>
      </c>
      <c r="B211" s="32"/>
      <c r="C211" s="32"/>
      <c r="D211" s="32" t="str">
        <f>IFERROR(__xludf.DUMMYFUNCTION("""COMPUTED_VALUE"""),"Ring")</f>
        <v>Ring</v>
      </c>
      <c r="E211" s="32">
        <f>IFERROR(__xludf.DUMMYFUNCTION("""COMPUTED_VALUE"""),1.0)</f>
        <v>1</v>
      </c>
      <c r="F211" s="32" t="str">
        <f>IFERROR(__xludf.DUMMYFUNCTION("""COMPUTED_VALUE""")," ++Make a fail/succeed roll to make a target forget they were fighting you. +-Cannot be duplicated")</f>
        <v> ++Make a fail/succeed roll to make a target forget they were fighting you. +-Cannot be duplicated</v>
      </c>
      <c r="G211" s="32">
        <f>IFERROR(__xludf.DUMMYFUNCTION("""COMPUTED_VALUE"""),0.0)</f>
        <v>0</v>
      </c>
      <c r="H211" s="32"/>
      <c r="I211" s="32"/>
      <c r="J211" s="32"/>
      <c r="K211" s="32"/>
      <c r="L211" s="32"/>
      <c r="M211" s="32"/>
      <c r="N211" s="32"/>
      <c r="O211" s="32"/>
      <c r="P211" s="32"/>
      <c r="Q211" s="32"/>
      <c r="R211" s="32"/>
      <c r="S211" s="32"/>
      <c r="T211" s="32"/>
      <c r="U211" s="32"/>
      <c r="V211" s="32"/>
      <c r="W211" s="32"/>
      <c r="X211" s="32"/>
      <c r="Y211" s="32"/>
      <c r="Z211" s="32"/>
    </row>
    <row r="212">
      <c r="A212" s="32" t="str">
        <f>IFERROR(__xludf.DUMMYFUNCTION("""COMPUTED_VALUE"""),"Ring Of Tritonoch")</f>
        <v>Ring Of Tritonoch</v>
      </c>
      <c r="B212" s="32"/>
      <c r="C212" s="32"/>
      <c r="D212" s="32" t="str">
        <f>IFERROR(__xludf.DUMMYFUNCTION("""COMPUTED_VALUE"""),"Ring")</f>
        <v>Ring</v>
      </c>
      <c r="E212" s="32">
        <f>IFERROR(__xludf.DUMMYFUNCTION("""COMPUTED_VALUE"""),1.0)</f>
        <v>1</v>
      </c>
      <c r="F212" s="32" t="str">
        <f>IFERROR(__xludf.DUMMYFUNCTION("""COMPUTED_VALUE""")," ++Waves of Entitlement - x5 additional Water damage")</f>
        <v> ++Waves of Entitlement - x5 additional Water damage</v>
      </c>
      <c r="G212" s="32">
        <f>IFERROR(__xludf.DUMMYFUNCTION("""COMPUTED_VALUE"""),0.0)</f>
        <v>0</v>
      </c>
      <c r="H212" s="32"/>
      <c r="I212" s="32"/>
      <c r="J212" s="32"/>
      <c r="K212" s="32"/>
      <c r="L212" s="32"/>
      <c r="M212" s="32"/>
      <c r="N212" s="32"/>
      <c r="O212" s="32"/>
      <c r="P212" s="32"/>
      <c r="Q212" s="32"/>
      <c r="R212" s="32"/>
      <c r="S212" s="32"/>
      <c r="T212" s="32"/>
      <c r="U212" s="32"/>
      <c r="V212" s="32"/>
      <c r="W212" s="32"/>
      <c r="X212" s="32"/>
      <c r="Y212" s="32"/>
      <c r="Z212" s="32"/>
    </row>
    <row r="213">
      <c r="A213" s="32" t="str">
        <f>IFERROR(__xludf.DUMMYFUNCTION("""COMPUTED_VALUE"""),"Ring of Waking Waters")</f>
        <v>Ring of Waking Waters</v>
      </c>
      <c r="B213" s="32"/>
      <c r="C213" s="32"/>
      <c r="D213" s="32" t="str">
        <f>IFERROR(__xludf.DUMMYFUNCTION("""COMPUTED_VALUE"""),"Ring")</f>
        <v>Ring</v>
      </c>
      <c r="E213" s="32">
        <f>IFERROR(__xludf.DUMMYFUNCTION("""COMPUTED_VALUE"""),100.0)</f>
        <v>100</v>
      </c>
      <c r="F213" s="32" t="str">
        <f>IFERROR(__xludf.DUMMYFUNCTION("""COMPUTED_VALUE"""),", Water DEF: +5000 ++X4 additional water damage for self.")</f>
        <v>, Water DEF: +5000 ++X4 additional water damage for self.</v>
      </c>
      <c r="G213" s="32">
        <f>IFERROR(__xludf.DUMMYFUNCTION("""COMPUTED_VALUE"""),450000.0)</f>
        <v>450000</v>
      </c>
      <c r="H213" s="32"/>
      <c r="I213" s="32"/>
      <c r="J213" s="32"/>
      <c r="K213" s="32"/>
      <c r="L213" s="32"/>
      <c r="M213" s="32"/>
      <c r="N213" s="32"/>
      <c r="O213" s="32"/>
      <c r="P213" s="32"/>
      <c r="Q213" s="32"/>
      <c r="R213" s="32"/>
      <c r="S213" s="32"/>
      <c r="T213" s="32"/>
      <c r="U213" s="32"/>
      <c r="V213" s="32"/>
      <c r="W213" s="32"/>
      <c r="X213" s="32"/>
      <c r="Y213" s="32"/>
      <c r="Z213" s="32"/>
    </row>
    <row r="214">
      <c r="A214" s="32" t="str">
        <f>IFERROR(__xludf.DUMMYFUNCTION("""COMPUTED_VALUE"""),"Robe of The Cultist")</f>
        <v>Robe of The Cultist</v>
      </c>
      <c r="B214" s="32"/>
      <c r="C214" s="32"/>
      <c r="D214" s="32" t="str">
        <f>IFERROR(__xludf.DUMMYFUNCTION("""COMPUTED_VALUE"""),"Torso")</f>
        <v>Torso</v>
      </c>
      <c r="E214" s="32">
        <f>IFERROR(__xludf.DUMMYFUNCTION("""COMPUTED_VALUE"""),80.0)</f>
        <v>80</v>
      </c>
      <c r="F214" s="32" t="str">
        <f>IFERROR(__xludf.DUMMYFUNCTION("""COMPUTED_VALUE"""),"DEF: +2000, Dark DEF: +2000 ++Instant Death Immunity. ++500HP +-Cannot be forged +-Cannot be duplicated")</f>
        <v>DEF: +2000, Dark DEF: +2000 ++Instant Death Immunity. ++500HP +-Cannot be forged +-Cannot be duplicated</v>
      </c>
      <c r="G214" s="32">
        <f>IFERROR(__xludf.DUMMYFUNCTION("""COMPUTED_VALUE"""),280000.0)</f>
        <v>280000</v>
      </c>
      <c r="H214" s="32"/>
      <c r="I214" s="32"/>
      <c r="J214" s="32"/>
      <c r="K214" s="32"/>
      <c r="L214" s="32"/>
      <c r="M214" s="32"/>
      <c r="N214" s="32"/>
      <c r="O214" s="32"/>
      <c r="P214" s="32"/>
      <c r="Q214" s="32"/>
      <c r="R214" s="32"/>
      <c r="S214" s="32"/>
      <c r="T214" s="32"/>
      <c r="U214" s="32"/>
      <c r="V214" s="32"/>
      <c r="W214" s="32"/>
      <c r="X214" s="32"/>
      <c r="Y214" s="32"/>
      <c r="Z214" s="32"/>
    </row>
    <row r="215">
      <c r="A215" s="32" t="str">
        <f>IFERROR(__xludf.DUMMYFUNCTION("""COMPUTED_VALUE"""),"Robe of Vanish")</f>
        <v>Robe of Vanish</v>
      </c>
      <c r="B215" s="32"/>
      <c r="C215" s="32"/>
      <c r="D215" s="32" t="str">
        <f>IFERROR(__xludf.DUMMYFUNCTION("""COMPUTED_VALUE"""),"Torso")</f>
        <v>Torso</v>
      </c>
      <c r="E215" s="32">
        <f>IFERROR(__xludf.DUMMYFUNCTION("""COMPUTED_VALUE"""),20.0)</f>
        <v>20</v>
      </c>
      <c r="F215" s="32" t="str">
        <f>IFERROR(__xludf.DUMMYFUNCTION("""COMPUTED_VALUE"""),"DEF: +900 ++Shadow Disappear - When Equipped you are invulnerable to all damage for the first round of battle. ")</f>
        <v>DEF: +900 ++Shadow Disappear - When Equipped you are invulnerable to all damage for the first round of battle. </v>
      </c>
      <c r="G215" s="32">
        <f>IFERROR(__xludf.DUMMYFUNCTION("""COMPUTED_VALUE"""),1000.0)</f>
        <v>1000</v>
      </c>
      <c r="H215" s="32"/>
      <c r="I215" s="32"/>
      <c r="J215" s="32"/>
      <c r="K215" s="32"/>
      <c r="L215" s="32"/>
      <c r="M215" s="32"/>
      <c r="N215" s="32"/>
      <c r="O215" s="32"/>
      <c r="P215" s="32"/>
      <c r="Q215" s="32"/>
      <c r="R215" s="32"/>
      <c r="S215" s="32"/>
      <c r="T215" s="32"/>
      <c r="U215" s="32"/>
      <c r="V215" s="32"/>
      <c r="W215" s="32"/>
      <c r="X215" s="32"/>
      <c r="Y215" s="32"/>
      <c r="Z215" s="32"/>
    </row>
    <row r="216">
      <c r="A216" s="32" t="str">
        <f>IFERROR(__xludf.DUMMYFUNCTION("""COMPUTED_VALUE"""),"Robes of a Peaceful Immortal")</f>
        <v>Robes of a Peaceful Immortal</v>
      </c>
      <c r="B216" s="32"/>
      <c r="C216" s="32"/>
      <c r="D216" s="32" t="str">
        <f>IFERROR(__xludf.DUMMYFUNCTION("""COMPUTED_VALUE"""),"Torso")</f>
        <v>Torso</v>
      </c>
      <c r="E216" s="32">
        <f>IFERROR(__xludf.DUMMYFUNCTION("""COMPUTED_VALUE"""),1.0)</f>
        <v>1</v>
      </c>
      <c r="F216" s="32" t="str">
        <f>IFERROR(__xludf.DUMMYFUNCTION("""COMPUTED_VALUE""")," ++Peaceful Blessing - Incapable of receiving or dealing damage. +-Cannot be duplicated.")</f>
        <v> ++Peaceful Blessing - Incapable of receiving or dealing damage. +-Cannot be duplicated.</v>
      </c>
      <c r="G216" s="32">
        <f>IFERROR(__xludf.DUMMYFUNCTION("""COMPUTED_VALUE"""),0.0)</f>
        <v>0</v>
      </c>
      <c r="H216" s="32"/>
      <c r="I216" s="32"/>
      <c r="J216" s="32"/>
      <c r="K216" s="32"/>
      <c r="L216" s="32"/>
      <c r="M216" s="32"/>
      <c r="N216" s="32"/>
      <c r="O216" s="32"/>
      <c r="P216" s="32"/>
      <c r="Q216" s="32"/>
      <c r="R216" s="32"/>
      <c r="S216" s="32"/>
      <c r="T216" s="32"/>
      <c r="U216" s="32"/>
      <c r="V216" s="32"/>
      <c r="W216" s="32"/>
      <c r="X216" s="32"/>
      <c r="Y216" s="32"/>
      <c r="Z216" s="32"/>
    </row>
    <row r="217">
      <c r="A217" s="32" t="str">
        <f>IFERROR(__xludf.DUMMYFUNCTION("""COMPUTED_VALUE"""),"Royal Amulet Of Heatmore")</f>
        <v>Royal Amulet Of Heatmore</v>
      </c>
      <c r="B217" s="32"/>
      <c r="C217" s="32"/>
      <c r="D217" s="32" t="str">
        <f>IFERROR(__xludf.DUMMYFUNCTION("""COMPUTED_VALUE"""),"Neck")</f>
        <v>Neck</v>
      </c>
      <c r="E217" s="32">
        <f>IFERROR(__xludf.DUMMYFUNCTION("""COMPUTED_VALUE"""),1.0)</f>
        <v>1</v>
      </c>
      <c r="F217" s="32" t="str">
        <f>IFERROR(__xludf.DUMMYFUNCTION("""COMPUTED_VALUE""")," ++ immune to fire dmg")</f>
        <v> ++ immune to fire dmg</v>
      </c>
      <c r="G217" s="32">
        <f>IFERROR(__xludf.DUMMYFUNCTION("""COMPUTED_VALUE"""),0.0)</f>
        <v>0</v>
      </c>
      <c r="H217" s="32"/>
      <c r="I217" s="32"/>
      <c r="J217" s="32"/>
      <c r="K217" s="32"/>
      <c r="L217" s="32"/>
      <c r="M217" s="32"/>
      <c r="N217" s="32"/>
      <c r="O217" s="32"/>
      <c r="P217" s="32"/>
      <c r="Q217" s="32"/>
      <c r="R217" s="32"/>
      <c r="S217" s="32"/>
      <c r="T217" s="32"/>
      <c r="U217" s="32"/>
      <c r="V217" s="32"/>
      <c r="W217" s="32"/>
      <c r="X217" s="32"/>
      <c r="Y217" s="32"/>
      <c r="Z217" s="32"/>
    </row>
    <row r="218">
      <c r="A218" s="32" t="str">
        <f>IFERROR(__xludf.DUMMYFUNCTION("""COMPUTED_VALUE"""),"Royal Guard Axe")</f>
        <v>Royal Guard Axe</v>
      </c>
      <c r="B218" s="32" t="str">
        <f>IFERROR(__xludf.DUMMYFUNCTION("""COMPUTED_VALUE"""),"Quest Item")</f>
        <v>Quest Item</v>
      </c>
      <c r="C218" s="32"/>
      <c r="D218" s="32" t="str">
        <f>IFERROR(__xludf.DUMMYFUNCTION("""COMPUTED_VALUE"""),"Hand")</f>
        <v>Hand</v>
      </c>
      <c r="E218" s="32">
        <f>IFERROR(__xludf.DUMMYFUNCTION("""COMPUTED_VALUE"""),200.0)</f>
        <v>200</v>
      </c>
      <c r="F218" s="32" t="str">
        <f>IFERROR(__xludf.DUMMYFUNCTION("""COMPUTED_VALUE"""),"DMG: +50000, Light DMG: +50000, Celestial DMG: +50000 ++X4 additional Weapon Damage. +-Cannot be duplicated.")</f>
        <v>DMG: +50000, Light DMG: +50000, Celestial DMG: +50000 ++X4 additional Weapon Damage. +-Cannot be duplicated.</v>
      </c>
      <c r="G218" s="32">
        <f>IFERROR(__xludf.DUMMYFUNCTION("""COMPUTED_VALUE"""),4.485E8)</f>
        <v>448500000</v>
      </c>
      <c r="H218" s="32"/>
      <c r="I218" s="32"/>
      <c r="J218" s="32"/>
      <c r="K218" s="32"/>
      <c r="L218" s="32"/>
      <c r="M218" s="32"/>
      <c r="N218" s="32"/>
      <c r="O218" s="32"/>
      <c r="P218" s="32"/>
      <c r="Q218" s="32"/>
      <c r="R218" s="32"/>
      <c r="S218" s="32"/>
      <c r="T218" s="32"/>
      <c r="U218" s="32"/>
      <c r="V218" s="32"/>
      <c r="W218" s="32"/>
      <c r="X218" s="32"/>
      <c r="Y218" s="32"/>
      <c r="Z218" s="32"/>
    </row>
    <row r="219">
      <c r="A219" s="32" t="str">
        <f>IFERROR(__xludf.DUMMYFUNCTION("""COMPUTED_VALUE"""),"Royal Guard Helmet")</f>
        <v>Royal Guard Helmet</v>
      </c>
      <c r="B219" s="32" t="str">
        <f>IFERROR(__xludf.DUMMYFUNCTION("""COMPUTED_VALUE"""),"Quest Item")</f>
        <v>Quest Item</v>
      </c>
      <c r="C219" s="32"/>
      <c r="D219" s="32" t="str">
        <f>IFERROR(__xludf.DUMMYFUNCTION("""COMPUTED_VALUE"""),"Head")</f>
        <v>Head</v>
      </c>
      <c r="E219" s="32">
        <f>IFERROR(__xludf.DUMMYFUNCTION("""COMPUTED_VALUE"""),200.0)</f>
        <v>200</v>
      </c>
      <c r="F219" s="3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32">
        <f>IFERROR(__xludf.DUMMYFUNCTION("""COMPUTED_VALUE"""),4.485E8)</f>
        <v>448500000</v>
      </c>
      <c r="H219" s="32"/>
      <c r="I219" s="32"/>
      <c r="J219" s="32"/>
      <c r="K219" s="32"/>
      <c r="L219" s="32"/>
      <c r="M219" s="32"/>
      <c r="N219" s="32"/>
      <c r="O219" s="32"/>
      <c r="P219" s="32"/>
      <c r="Q219" s="32"/>
      <c r="R219" s="32"/>
      <c r="S219" s="32"/>
      <c r="T219" s="32"/>
      <c r="U219" s="32"/>
      <c r="V219" s="32"/>
      <c r="W219" s="32"/>
      <c r="X219" s="32"/>
      <c r="Y219" s="32"/>
      <c r="Z219" s="32"/>
    </row>
    <row r="220">
      <c r="A220" s="32" t="str">
        <f>IFERROR(__xludf.DUMMYFUNCTION("""COMPUTED_VALUE"""),"Royal Guard Chestplate")</f>
        <v>Royal Guard Chestplate</v>
      </c>
      <c r="B220" s="32" t="str">
        <f>IFERROR(__xludf.DUMMYFUNCTION("""COMPUTED_VALUE"""),"Quest Item")</f>
        <v>Quest Item</v>
      </c>
      <c r="C220" s="32"/>
      <c r="D220" s="32" t="str">
        <f>IFERROR(__xludf.DUMMYFUNCTION("""COMPUTED_VALUE"""),"Torso")</f>
        <v>Torso</v>
      </c>
      <c r="E220" s="32">
        <f>IFERROR(__xludf.DUMMYFUNCTION("""COMPUTED_VALUE"""),200.0)</f>
        <v>200</v>
      </c>
      <c r="F220" s="3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32">
        <f>IFERROR(__xludf.DUMMYFUNCTION("""COMPUTED_VALUE"""),4.485E8)</f>
        <v>448500000</v>
      </c>
      <c r="H220" s="32"/>
      <c r="I220" s="32"/>
      <c r="J220" s="32"/>
      <c r="K220" s="32"/>
      <c r="L220" s="32"/>
      <c r="M220" s="32"/>
      <c r="N220" s="32"/>
      <c r="O220" s="32"/>
      <c r="P220" s="32"/>
      <c r="Q220" s="32"/>
      <c r="R220" s="32"/>
      <c r="S220" s="32"/>
      <c r="T220" s="32"/>
      <c r="U220" s="32"/>
      <c r="V220" s="32"/>
      <c r="W220" s="32"/>
      <c r="X220" s="32"/>
      <c r="Y220" s="32"/>
      <c r="Z220" s="32"/>
    </row>
    <row r="221">
      <c r="A221" s="32" t="str">
        <f>IFERROR(__xludf.DUMMYFUNCTION("""COMPUTED_VALUE"""),"Royal Guard Boots")</f>
        <v>Royal Guard Boots</v>
      </c>
      <c r="B221" s="32" t="str">
        <f>IFERROR(__xludf.DUMMYFUNCTION("""COMPUTED_VALUE"""),"Quest Item")</f>
        <v>Quest Item</v>
      </c>
      <c r="C221" s="32"/>
      <c r="D221" s="32" t="str">
        <f>IFERROR(__xludf.DUMMYFUNCTION("""COMPUTED_VALUE"""),"Feet")</f>
        <v>Feet</v>
      </c>
      <c r="E221" s="32">
        <f>IFERROR(__xludf.DUMMYFUNCTION("""COMPUTED_VALUE"""),200.0)</f>
        <v>200</v>
      </c>
      <c r="F221" s="3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32">
        <f>IFERROR(__xludf.DUMMYFUNCTION("""COMPUTED_VALUE"""),4.485E8)</f>
        <v>448500000</v>
      </c>
      <c r="H221" s="32"/>
      <c r="I221" s="32"/>
      <c r="J221" s="32"/>
      <c r="K221" s="32"/>
      <c r="L221" s="32"/>
      <c r="M221" s="32"/>
      <c r="N221" s="32"/>
      <c r="O221" s="32"/>
      <c r="P221" s="32"/>
      <c r="Q221" s="32"/>
      <c r="R221" s="32"/>
      <c r="S221" s="32"/>
      <c r="T221" s="32"/>
      <c r="U221" s="32"/>
      <c r="V221" s="32"/>
      <c r="W221" s="32"/>
      <c r="X221" s="32"/>
      <c r="Y221" s="32"/>
      <c r="Z221" s="32"/>
    </row>
    <row r="222">
      <c r="A222" s="32" t="str">
        <f>IFERROR(__xludf.DUMMYFUNCTION("""COMPUTED_VALUE"""),"Royal Guard Greaves")</f>
        <v>Royal Guard Greaves</v>
      </c>
      <c r="B222" s="32" t="str">
        <f>IFERROR(__xludf.DUMMYFUNCTION("""COMPUTED_VALUE"""),"Quest Item")</f>
        <v>Quest Item</v>
      </c>
      <c r="C222" s="32"/>
      <c r="D222" s="32" t="str">
        <f>IFERROR(__xludf.DUMMYFUNCTION("""COMPUTED_VALUE"""),"Legs")</f>
        <v>Legs</v>
      </c>
      <c r="E222" s="32">
        <f>IFERROR(__xludf.DUMMYFUNCTION("""COMPUTED_VALUE"""),200.0)</f>
        <v>200</v>
      </c>
      <c r="F222" s="3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32">
        <f>IFERROR(__xludf.DUMMYFUNCTION("""COMPUTED_VALUE"""),4.485E8)</f>
        <v>448500000</v>
      </c>
      <c r="H222" s="32"/>
      <c r="I222" s="32"/>
      <c r="J222" s="32"/>
      <c r="K222" s="32"/>
      <c r="L222" s="32"/>
      <c r="M222" s="32"/>
      <c r="N222" s="32"/>
      <c r="O222" s="32"/>
      <c r="P222" s="32"/>
      <c r="Q222" s="32"/>
      <c r="R222" s="32"/>
      <c r="S222" s="32"/>
      <c r="T222" s="32"/>
      <c r="U222" s="32"/>
      <c r="V222" s="32"/>
      <c r="W222" s="32"/>
      <c r="X222" s="32"/>
      <c r="Y222" s="32"/>
      <c r="Z222" s="32"/>
    </row>
    <row r="223">
      <c r="A223" s="32" t="str">
        <f>IFERROR(__xludf.DUMMYFUNCTION("""COMPUTED_VALUE"""),"Royal Keeper Shield")</f>
        <v>Royal Keeper Shield</v>
      </c>
      <c r="B223" s="32"/>
      <c r="C223" s="32" t="str">
        <f>IFERROR(__xludf.DUMMYFUNCTION("""COMPUTED_VALUE"""),"Towershield")</f>
        <v>Towershield</v>
      </c>
      <c r="D223" s="32" t="str">
        <f>IFERROR(__xludf.DUMMYFUNCTION("""COMPUTED_VALUE"""),"Hand")</f>
        <v>Hand</v>
      </c>
      <c r="E223" s="32">
        <f>IFERROR(__xludf.DUMMYFUNCTION("""COMPUTED_VALUE"""),20.0)</f>
        <v>20</v>
      </c>
      <c r="F223" s="32" t="str">
        <f>IFERROR(__xludf.DUMMYFUNCTION("""COMPUTED_VALUE"""),"DEF: +1000 ++Royal Block - Gan invulnerability to all damage for 3 rounds of battle. 5000SP Will Succeed.")</f>
        <v>DEF: +1000 ++Royal Block - Gan invulnerability to all damage for 3 rounds of battle. 5000SP Will Succeed.</v>
      </c>
      <c r="G223" s="32">
        <f>IFERROR(__xludf.DUMMYFUNCTION("""COMPUTED_VALUE"""),10000.0)</f>
        <v>10000</v>
      </c>
      <c r="H223" s="32"/>
      <c r="I223" s="32"/>
      <c r="J223" s="32"/>
      <c r="K223" s="32"/>
      <c r="L223" s="32"/>
      <c r="M223" s="32"/>
      <c r="N223" s="32"/>
      <c r="O223" s="32"/>
      <c r="P223" s="32"/>
      <c r="Q223" s="32"/>
      <c r="R223" s="32"/>
      <c r="S223" s="32"/>
      <c r="T223" s="32"/>
      <c r="U223" s="32"/>
      <c r="V223" s="32"/>
      <c r="W223" s="32"/>
      <c r="X223" s="32"/>
      <c r="Y223" s="32"/>
      <c r="Z223" s="32"/>
    </row>
    <row r="224">
      <c r="A224" s="32" t="str">
        <f>IFERROR(__xludf.DUMMYFUNCTION("""COMPUTED_VALUE"""),"Royal Keeper Spear")</f>
        <v>Royal Keeper Spear</v>
      </c>
      <c r="B224" s="32"/>
      <c r="C224" s="32" t="str">
        <f>IFERROR(__xludf.DUMMYFUNCTION("""COMPUTED_VALUE"""),"Spear")</f>
        <v>Spear</v>
      </c>
      <c r="D224" s="32" t="str">
        <f>IFERROR(__xludf.DUMMYFUNCTION("""COMPUTED_VALUE"""),"Hand")</f>
        <v>Hand</v>
      </c>
      <c r="E224" s="32">
        <f>IFERROR(__xludf.DUMMYFUNCTION("""COMPUTED_VALUE"""),400.0)</f>
        <v>400</v>
      </c>
      <c r="F224" s="32" t="str">
        <f>IFERROR(__xludf.DUMMYFUNCTION("""COMPUTED_VALUE"""),"DMG: +10000, Fire DMG: +10000 ++Royal Stance -  Shuttering 1 for the first round of battle.")</f>
        <v>DMG: +10000, Fire DMG: +10000 ++Royal Stance -  Shuttering 1 for the first round of battle.</v>
      </c>
      <c r="G224" s="32">
        <f>IFERROR(__xludf.DUMMYFUNCTION("""COMPUTED_VALUE"""),7800000.0)</f>
        <v>7800000</v>
      </c>
      <c r="H224" s="32"/>
      <c r="I224" s="32"/>
      <c r="J224" s="32"/>
      <c r="K224" s="32"/>
      <c r="L224" s="32"/>
      <c r="M224" s="32"/>
      <c r="N224" s="32"/>
      <c r="O224" s="32"/>
      <c r="P224" s="32"/>
      <c r="Q224" s="32"/>
      <c r="R224" s="32"/>
      <c r="S224" s="32"/>
      <c r="T224" s="32"/>
      <c r="U224" s="32"/>
      <c r="V224" s="32"/>
      <c r="W224" s="32"/>
      <c r="X224" s="32"/>
      <c r="Y224" s="32"/>
      <c r="Z224" s="32"/>
    </row>
    <row r="225">
      <c r="A225" s="32" t="str">
        <f>IFERROR(__xludf.DUMMYFUNCTION("""COMPUTED_VALUE"""),"Royal Sword of Chaotic Shadows")</f>
        <v>Royal Sword of Chaotic Shadows</v>
      </c>
      <c r="B225" s="32"/>
      <c r="C225" s="32" t="str">
        <f>IFERROR(__xludf.DUMMYFUNCTION("""COMPUTED_VALUE"""),"Sword")</f>
        <v>Sword</v>
      </c>
      <c r="D225" s="32" t="str">
        <f>IFERROR(__xludf.DUMMYFUNCTION("""COMPUTED_VALUE"""),"Hand")</f>
        <v>Hand</v>
      </c>
      <c r="E225" s="32">
        <f>IFERROR(__xludf.DUMMYFUNCTION("""COMPUTED_VALUE"""),900.0)</f>
        <v>900</v>
      </c>
      <c r="F225" s="32"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32">
        <f>IFERROR(__xludf.DUMMYFUNCTION("""COMPUTED_VALUE"""),4.005E7)</f>
        <v>40050000</v>
      </c>
      <c r="H225" s="32"/>
      <c r="I225" s="32"/>
      <c r="J225" s="32"/>
      <c r="K225" s="32"/>
      <c r="L225" s="32"/>
      <c r="M225" s="32"/>
      <c r="N225" s="32"/>
      <c r="O225" s="32"/>
      <c r="P225" s="32"/>
      <c r="Q225" s="32"/>
      <c r="R225" s="32"/>
      <c r="S225" s="32"/>
      <c r="T225" s="32"/>
      <c r="U225" s="32"/>
      <c r="V225" s="32"/>
      <c r="W225" s="32"/>
      <c r="X225" s="32"/>
      <c r="Y225" s="32"/>
      <c r="Z225" s="32"/>
    </row>
    <row r="226">
      <c r="A226" s="32" t="str">
        <f>IFERROR(__xludf.DUMMYFUNCTION("""COMPUTED_VALUE"""),"Rusty sword")</f>
        <v>Rusty sword</v>
      </c>
      <c r="B226" s="32"/>
      <c r="C226" s="32" t="str">
        <f>IFERROR(__xludf.DUMMYFUNCTION("""COMPUTED_VALUE"""),"Sword")</f>
        <v>Sword</v>
      </c>
      <c r="D226" s="32" t="str">
        <f>IFERROR(__xludf.DUMMYFUNCTION("""COMPUTED_VALUE"""),"Hand")</f>
        <v>Hand</v>
      </c>
      <c r="E226" s="32">
        <f>IFERROR(__xludf.DUMMYFUNCTION("""COMPUTED_VALUE"""),1.0)</f>
        <v>1</v>
      </c>
      <c r="F226" s="32" t="str">
        <f>IFERROR(__xludf.DUMMYFUNCTION("""COMPUTED_VALUE"""),"DMG: +60 ++25% chance to break with each use")</f>
        <v>DMG: +60 ++25% chance to break with each use</v>
      </c>
      <c r="G226" s="32">
        <f>IFERROR(__xludf.DUMMYFUNCTION("""COMPUTED_VALUE"""),0.0)</f>
        <v>0</v>
      </c>
      <c r="H226" s="32"/>
      <c r="I226" s="32"/>
      <c r="J226" s="32"/>
      <c r="K226" s="32"/>
      <c r="L226" s="32"/>
      <c r="M226" s="32"/>
      <c r="N226" s="32"/>
      <c r="O226" s="32"/>
      <c r="P226" s="32"/>
      <c r="Q226" s="32"/>
      <c r="R226" s="32"/>
      <c r="S226" s="32"/>
      <c r="T226" s="32"/>
      <c r="U226" s="32"/>
      <c r="V226" s="32"/>
      <c r="W226" s="32"/>
      <c r="X226" s="32"/>
      <c r="Y226" s="32"/>
      <c r="Z226" s="32"/>
    </row>
    <row r="227">
      <c r="A227" s="32" t="str">
        <f>IFERROR(__xludf.DUMMYFUNCTION("""COMPUTED_VALUE"""),"Saber Toothed Sword")</f>
        <v>Saber Toothed Sword</v>
      </c>
      <c r="B227" s="32" t="str">
        <f>IFERROR(__xludf.DUMMYFUNCTION("""COMPUTED_VALUE"""),"A sword crafted from the teeth of a saber toothed cat.")</f>
        <v>A sword crafted from the teeth of a saber toothed cat.</v>
      </c>
      <c r="C227" s="32" t="str">
        <f>IFERROR(__xludf.DUMMYFUNCTION("""COMPUTED_VALUE"""),"Sword")</f>
        <v>Sword</v>
      </c>
      <c r="D227" s="32" t="str">
        <f>IFERROR(__xludf.DUMMYFUNCTION("""COMPUTED_VALUE"""),"Hand")</f>
        <v>Hand</v>
      </c>
      <c r="E227" s="32">
        <f>IFERROR(__xludf.DUMMYFUNCTION("""COMPUTED_VALUE"""),2200.0)</f>
        <v>2200</v>
      </c>
      <c r="F227" s="32" t="str">
        <f>IFERROR(__xludf.DUMMYFUNCTION("""COMPUTED_VALUE"""),"DMG: +60000, Blood DMG: +50000 ++X2 additional blood damage.")</f>
        <v>DMG: +60000, Blood DMG: +50000 ++X2 additional blood damage.</v>
      </c>
      <c r="G227" s="32">
        <f>IFERROR(__xludf.DUMMYFUNCTION("""COMPUTED_VALUE"""),2.409E8)</f>
        <v>240900000</v>
      </c>
      <c r="H227" s="32"/>
      <c r="I227" s="32"/>
      <c r="J227" s="32"/>
      <c r="K227" s="32"/>
      <c r="L227" s="32"/>
      <c r="M227" s="32"/>
      <c r="N227" s="32"/>
      <c r="O227" s="32"/>
      <c r="P227" s="32"/>
      <c r="Q227" s="32"/>
      <c r="R227" s="32"/>
      <c r="S227" s="32"/>
      <c r="T227" s="32"/>
      <c r="U227" s="32"/>
      <c r="V227" s="32"/>
      <c r="W227" s="32"/>
      <c r="X227" s="32"/>
      <c r="Y227" s="32"/>
      <c r="Z227" s="32"/>
    </row>
    <row r="228">
      <c r="A228" s="32" t="str">
        <f>IFERROR(__xludf.DUMMYFUNCTION("""COMPUTED_VALUE"""),"Ancient Oni Chestplate")</f>
        <v>Ancient Oni Chestplate</v>
      </c>
      <c r="B228" s="32" t="str">
        <f>IFERROR(__xludf.DUMMYFUNCTION("""COMPUTED_VALUE"""),"An ancient relic to Zhenmay")</f>
        <v>An ancient relic to Zhenmay</v>
      </c>
      <c r="C228" s="32"/>
      <c r="D228" s="32" t="str">
        <f>IFERROR(__xludf.DUMMYFUNCTION("""COMPUTED_VALUE"""),"Torso")</f>
        <v>Torso</v>
      </c>
      <c r="E228" s="32">
        <f>IFERROR(__xludf.DUMMYFUNCTION("""COMPUTED_VALUE"""),200.0)</f>
        <v>200</v>
      </c>
      <c r="F228" s="3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32">
        <f>IFERROR(__xludf.DUMMYFUNCTION("""COMPUTED_VALUE"""),5.104E8)</f>
        <v>510400000</v>
      </c>
      <c r="H228" s="32"/>
      <c r="I228" s="32"/>
      <c r="J228" s="32"/>
      <c r="K228" s="32"/>
      <c r="L228" s="32"/>
      <c r="M228" s="32"/>
      <c r="N228" s="32"/>
      <c r="O228" s="32"/>
      <c r="P228" s="32"/>
      <c r="Q228" s="32"/>
      <c r="R228" s="32"/>
      <c r="S228" s="32"/>
      <c r="T228" s="32"/>
      <c r="U228" s="32"/>
      <c r="V228" s="32"/>
      <c r="W228" s="32"/>
      <c r="X228" s="32"/>
      <c r="Y228" s="32"/>
      <c r="Z228" s="32"/>
    </row>
    <row r="229">
      <c r="A229" s="32" t="str">
        <f>IFERROR(__xludf.DUMMYFUNCTION("""COMPUTED_VALUE"""),"Scythe of Mischief ")</f>
        <v>Scythe of Mischief </v>
      </c>
      <c r="B229" s="32"/>
      <c r="C229" s="32" t="str">
        <f>IFERROR(__xludf.DUMMYFUNCTION("""COMPUTED_VALUE"""),"Scythe")</f>
        <v>Scythe</v>
      </c>
      <c r="D229" s="32" t="str">
        <f>IFERROR(__xludf.DUMMYFUNCTION("""COMPUTED_VALUE"""),"Hand")</f>
        <v>Hand</v>
      </c>
      <c r="E229" s="32">
        <f>IFERROR(__xludf.DUMMYFUNCTION("""COMPUTED_VALUE"""),200.0)</f>
        <v>200</v>
      </c>
      <c r="F229" s="32"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32">
        <f>IFERROR(__xludf.DUMMYFUNCTION("""COMPUTED_VALUE"""),5.995E7)</f>
        <v>59950000</v>
      </c>
      <c r="H229" s="32"/>
      <c r="I229" s="32"/>
      <c r="J229" s="32"/>
      <c r="K229" s="32"/>
      <c r="L229" s="32"/>
      <c r="M229" s="32"/>
      <c r="N229" s="32"/>
      <c r="O229" s="32"/>
      <c r="P229" s="32"/>
      <c r="Q229" s="32"/>
      <c r="R229" s="32"/>
      <c r="S229" s="32"/>
      <c r="T229" s="32"/>
      <c r="U229" s="32"/>
      <c r="V229" s="32"/>
      <c r="W229" s="32"/>
      <c r="X229" s="32"/>
      <c r="Y229" s="32"/>
      <c r="Z229" s="32"/>
    </row>
    <row r="230">
      <c r="A230" s="32" t="str">
        <f>IFERROR(__xludf.DUMMYFUNCTION("""COMPUTED_VALUE"""),"Sea Serpent Boots")</f>
        <v>Sea Serpent Boots</v>
      </c>
      <c r="B230" s="32"/>
      <c r="C230" s="32"/>
      <c r="D230" s="32" t="str">
        <f>IFERROR(__xludf.DUMMYFUNCTION("""COMPUTED_VALUE"""),"Feet")</f>
        <v>Feet</v>
      </c>
      <c r="E230" s="32">
        <f>IFERROR(__xludf.DUMMYFUNCTION("""COMPUTED_VALUE"""),100.0)</f>
        <v>100</v>
      </c>
      <c r="F230" s="32" t="str">
        <f>IFERROR(__xludf.DUMMYFUNCTION("""COMPUTED_VALUE"""),"DEF: +2500, Water DEF: +2500 ++X2 additional water damage for self.")</f>
        <v>DEF: +2500, Water DEF: +2500 ++X2 additional water damage for self.</v>
      </c>
      <c r="G230" s="32">
        <f>IFERROR(__xludf.DUMMYFUNCTION("""COMPUTED_VALUE"""),450000.0)</f>
        <v>450000</v>
      </c>
      <c r="H230" s="32"/>
      <c r="I230" s="32"/>
      <c r="J230" s="32"/>
      <c r="K230" s="32"/>
      <c r="L230" s="32"/>
      <c r="M230" s="32"/>
      <c r="N230" s="32"/>
      <c r="O230" s="32"/>
      <c r="P230" s="32"/>
      <c r="Q230" s="32"/>
      <c r="R230" s="32"/>
      <c r="S230" s="32"/>
      <c r="T230" s="32"/>
      <c r="U230" s="32"/>
      <c r="V230" s="32"/>
      <c r="W230" s="32"/>
      <c r="X230" s="32"/>
      <c r="Y230" s="32"/>
      <c r="Z230" s="32"/>
    </row>
    <row r="231">
      <c r="A231" s="32" t="str">
        <f>IFERROR(__xludf.DUMMYFUNCTION("""COMPUTED_VALUE"""),"Sea Serpent Pauldrons")</f>
        <v>Sea Serpent Pauldrons</v>
      </c>
      <c r="B231" s="32"/>
      <c r="C231" s="32"/>
      <c r="D231" s="32" t="str">
        <f>IFERROR(__xludf.DUMMYFUNCTION("""COMPUTED_VALUE"""),"Shoulders")</f>
        <v>Shoulders</v>
      </c>
      <c r="E231" s="32">
        <f>IFERROR(__xludf.DUMMYFUNCTION("""COMPUTED_VALUE"""),100.0)</f>
        <v>100</v>
      </c>
      <c r="F231" s="32" t="str">
        <f>IFERROR(__xludf.DUMMYFUNCTION("""COMPUTED_VALUE"""),"DEF: +2500, Water DEF: +2500 ++X2 additional water damage for self.")</f>
        <v>DEF: +2500, Water DEF: +2500 ++X2 additional water damage for self.</v>
      </c>
      <c r="G231" s="32">
        <f>IFERROR(__xludf.DUMMYFUNCTION("""COMPUTED_VALUE"""),450000.0)</f>
        <v>450000</v>
      </c>
      <c r="H231" s="32"/>
      <c r="I231" s="32"/>
      <c r="J231" s="32"/>
      <c r="K231" s="32"/>
      <c r="L231" s="32"/>
      <c r="M231" s="32"/>
      <c r="N231" s="32"/>
      <c r="O231" s="32"/>
      <c r="P231" s="32"/>
      <c r="Q231" s="32"/>
      <c r="R231" s="32"/>
      <c r="S231" s="32"/>
      <c r="T231" s="32"/>
      <c r="U231" s="32"/>
      <c r="V231" s="32"/>
      <c r="W231" s="32"/>
      <c r="X231" s="32"/>
      <c r="Y231" s="32"/>
      <c r="Z231" s="32"/>
    </row>
    <row r="232">
      <c r="A232" s="32" t="str">
        <f>IFERROR(__xludf.DUMMYFUNCTION("""COMPUTED_VALUE"""),"Sea Serpent Vambrace")</f>
        <v>Sea Serpent Vambrace</v>
      </c>
      <c r="B232" s="32"/>
      <c r="C232" s="32"/>
      <c r="D232" s="32" t="str">
        <f>IFERROR(__xludf.DUMMYFUNCTION("""COMPUTED_VALUE"""),"Arms")</f>
        <v>Arms</v>
      </c>
      <c r="E232" s="32">
        <f>IFERROR(__xludf.DUMMYFUNCTION("""COMPUTED_VALUE"""),100.0)</f>
        <v>100</v>
      </c>
      <c r="F232" s="32" t="str">
        <f>IFERROR(__xludf.DUMMYFUNCTION("""COMPUTED_VALUE"""),"DEF: +2500, Water DEF: +2500 ++X2 additional water damage for self.")</f>
        <v>DEF: +2500, Water DEF: +2500 ++X2 additional water damage for self.</v>
      </c>
      <c r="G232" s="32">
        <f>IFERROR(__xludf.DUMMYFUNCTION("""COMPUTED_VALUE"""),450000.0)</f>
        <v>450000</v>
      </c>
      <c r="H232" s="32"/>
      <c r="I232" s="32"/>
      <c r="J232" s="32"/>
      <c r="K232" s="32"/>
      <c r="L232" s="32"/>
      <c r="M232" s="32"/>
      <c r="N232" s="32"/>
      <c r="O232" s="32"/>
      <c r="P232" s="32"/>
      <c r="Q232" s="32"/>
      <c r="R232" s="32"/>
      <c r="S232" s="32"/>
      <c r="T232" s="32"/>
      <c r="U232" s="32"/>
      <c r="V232" s="32"/>
      <c r="W232" s="32"/>
      <c r="X232" s="32"/>
      <c r="Y232" s="32"/>
      <c r="Z232" s="32"/>
    </row>
    <row r="233">
      <c r="A233" s="32" t="str">
        <f>IFERROR(__xludf.DUMMYFUNCTION("""COMPUTED_VALUE"""),"Sea Serpents Mythical Chestplate")</f>
        <v>Sea Serpents Mythical Chestplate</v>
      </c>
      <c r="B233" s="32"/>
      <c r="C233" s="32"/>
      <c r="D233" s="32" t="str">
        <f>IFERROR(__xludf.DUMMYFUNCTION("""COMPUTED_VALUE"""),"Torso")</f>
        <v>Torso</v>
      </c>
      <c r="E233" s="32">
        <f>IFERROR(__xludf.DUMMYFUNCTION("""COMPUTED_VALUE"""),200.0)</f>
        <v>200</v>
      </c>
      <c r="F233" s="32"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32">
        <f>IFERROR(__xludf.DUMMYFUNCTION("""COMPUTED_VALUE"""),1900000.0)</f>
        <v>1900000</v>
      </c>
      <c r="H233" s="32"/>
      <c r="I233" s="32"/>
      <c r="J233" s="32"/>
      <c r="K233" s="32"/>
      <c r="L233" s="32"/>
      <c r="M233" s="32"/>
      <c r="N233" s="32"/>
      <c r="O233" s="32"/>
      <c r="P233" s="32"/>
      <c r="Q233" s="32"/>
      <c r="R233" s="32"/>
      <c r="S233" s="32"/>
      <c r="T233" s="32"/>
      <c r="U233" s="32"/>
      <c r="V233" s="32"/>
      <c r="W233" s="32"/>
      <c r="X233" s="32"/>
      <c r="Y233" s="32"/>
      <c r="Z233" s="32"/>
    </row>
    <row r="234">
      <c r="A234" s="32" t="str">
        <f>IFERROR(__xludf.DUMMYFUNCTION("""COMPUTED_VALUE"""),"Shadow Flute")</f>
        <v>Shadow Flute</v>
      </c>
      <c r="B234" s="32"/>
      <c r="C234" s="32"/>
      <c r="D234" s="32" t="str">
        <f>IFERROR(__xludf.DUMMYFUNCTION("""COMPUTED_VALUE"""),"Hand")</f>
        <v>Hand</v>
      </c>
      <c r="E234" s="32">
        <f>IFERROR(__xludf.DUMMYFUNCTION("""COMPUTED_VALUE"""),1.0)</f>
        <v>1</v>
      </c>
      <c r="F234" s="32" t="str">
        <f>IFERROR(__xludf.DUMMYFUNCTION("""COMPUTED_VALUE""")," ++Can summon a chaotic shadow gnome to battle.")</f>
        <v> ++Can summon a chaotic shadow gnome to battle.</v>
      </c>
      <c r="G234" s="32">
        <f>IFERROR(__xludf.DUMMYFUNCTION("""COMPUTED_VALUE"""),0.0)</f>
        <v>0</v>
      </c>
      <c r="H234" s="32"/>
      <c r="I234" s="32"/>
      <c r="J234" s="32"/>
      <c r="K234" s="32"/>
      <c r="L234" s="32"/>
      <c r="M234" s="32"/>
      <c r="N234" s="32"/>
      <c r="O234" s="32"/>
      <c r="P234" s="32"/>
      <c r="Q234" s="32"/>
      <c r="R234" s="32"/>
      <c r="S234" s="32"/>
      <c r="T234" s="32"/>
      <c r="U234" s="32"/>
      <c r="V234" s="32"/>
      <c r="W234" s="32"/>
      <c r="X234" s="32"/>
      <c r="Y234" s="32"/>
      <c r="Z234" s="32"/>
    </row>
    <row r="235">
      <c r="A235" s="32" t="str">
        <f>IFERROR(__xludf.DUMMYFUNCTION("""COMPUTED_VALUE"""),"Shadow Kings Sword")</f>
        <v>Shadow Kings Sword</v>
      </c>
      <c r="B235" s="32"/>
      <c r="C235" s="32" t="str">
        <f>IFERROR(__xludf.DUMMYFUNCTION("""COMPUTED_VALUE"""),"Sword")</f>
        <v>Sword</v>
      </c>
      <c r="D235" s="32" t="str">
        <f>IFERROR(__xludf.DUMMYFUNCTION("""COMPUTED_VALUE"""),"Hand")</f>
        <v>Hand</v>
      </c>
      <c r="E235" s="32">
        <f>IFERROR(__xludf.DUMMYFUNCTION("""COMPUTED_VALUE"""),400.0)</f>
        <v>400</v>
      </c>
      <c r="F235" s="32" t="str">
        <f>IFERROR(__xludf.DUMMYFUNCTION("""COMPUTED_VALUE"""),"DMG: +10000, Dark DMG: +5000, Chaos DMG: +5000")</f>
        <v>DMG: +10000, Dark DMG: +5000, Chaos DMG: +5000</v>
      </c>
      <c r="G235" s="32">
        <f>IFERROR(__xludf.DUMMYFUNCTION("""COMPUTED_VALUE"""),7800000.0)</f>
        <v>7800000</v>
      </c>
      <c r="H235" s="32"/>
      <c r="I235" s="32"/>
      <c r="J235" s="32"/>
      <c r="K235" s="32"/>
      <c r="L235" s="32"/>
      <c r="M235" s="32"/>
      <c r="N235" s="32"/>
      <c r="O235" s="32"/>
      <c r="P235" s="32"/>
      <c r="Q235" s="32"/>
      <c r="R235" s="32"/>
      <c r="S235" s="32"/>
      <c r="T235" s="32"/>
      <c r="U235" s="32"/>
      <c r="V235" s="32"/>
      <c r="W235" s="32"/>
      <c r="X235" s="32"/>
      <c r="Y235" s="32"/>
      <c r="Z235" s="32"/>
    </row>
    <row r="236">
      <c r="A236" s="32" t="str">
        <f>IFERROR(__xludf.DUMMYFUNCTION("""COMPUTED_VALUE"""),"Shield of Guarding Smite")</f>
        <v>Shield of Guarding Smite</v>
      </c>
      <c r="B236" s="32"/>
      <c r="C236" s="32" t="str">
        <f>IFERROR(__xludf.DUMMYFUNCTION("""COMPUTED_VALUE"""),"Towershield")</f>
        <v>Towershield</v>
      </c>
      <c r="D236" s="32" t="str">
        <f>IFERROR(__xludf.DUMMYFUNCTION("""COMPUTED_VALUE"""),"Hand")</f>
        <v>Hand</v>
      </c>
      <c r="E236" s="32">
        <f>IFERROR(__xludf.DUMMYFUNCTION("""COMPUTED_VALUE"""),2000.0)</f>
        <v>2000</v>
      </c>
      <c r="F236" s="32" t="str">
        <f>IFERROR(__xludf.DUMMYFUNCTION("""COMPUTED_VALUE"""),"DEF: +100000 ++75% chance to melt an enemies weapon that dealt damage to you. +-Cannot be duplicated")</f>
        <v>DEF: +100000 ++75% chance to melt an enemies weapon that dealt damage to you. +-Cannot be duplicated</v>
      </c>
      <c r="G236" s="32">
        <f>IFERROR(__xludf.DUMMYFUNCTION("""COMPUTED_VALUE"""),1.99E8)</f>
        <v>199000000</v>
      </c>
      <c r="H236" s="32"/>
      <c r="I236" s="32"/>
      <c r="J236" s="32"/>
      <c r="K236" s="32"/>
      <c r="L236" s="32"/>
      <c r="M236" s="32"/>
      <c r="N236" s="32"/>
      <c r="O236" s="32"/>
      <c r="P236" s="32"/>
      <c r="Q236" s="32"/>
      <c r="R236" s="32"/>
      <c r="S236" s="32"/>
      <c r="T236" s="32"/>
      <c r="U236" s="32"/>
      <c r="V236" s="32"/>
      <c r="W236" s="32"/>
      <c r="X236" s="32"/>
      <c r="Y236" s="32"/>
      <c r="Z236" s="32"/>
    </row>
    <row r="237">
      <c r="A237" s="32" t="str">
        <f>IFERROR(__xludf.DUMMYFUNCTION("""COMPUTED_VALUE"""),"Shield of Targeting")</f>
        <v>Shield of Targeting</v>
      </c>
      <c r="B237" s="32"/>
      <c r="C237" s="32" t="str">
        <f>IFERROR(__xludf.DUMMYFUNCTION("""COMPUTED_VALUE"""),"Buckler")</f>
        <v>Buckler</v>
      </c>
      <c r="D237" s="32" t="str">
        <f>IFERROR(__xludf.DUMMYFUNCTION("""COMPUTED_VALUE"""),"Hand")</f>
        <v>Hand</v>
      </c>
      <c r="E237" s="32">
        <f>IFERROR(__xludf.DUMMYFUNCTION("""COMPUTED_VALUE"""),20.0)</f>
        <v>20</v>
      </c>
      <c r="F237" s="32"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32">
        <f>IFERROR(__xludf.DUMMYFUNCTION("""COMPUTED_VALUE"""),10000.0)</f>
        <v>10000</v>
      </c>
      <c r="H237" s="32"/>
      <c r="I237" s="32"/>
      <c r="J237" s="32"/>
      <c r="K237" s="32"/>
      <c r="L237" s="32"/>
      <c r="M237" s="32"/>
      <c r="N237" s="32"/>
      <c r="O237" s="32"/>
      <c r="P237" s="32"/>
      <c r="Q237" s="32"/>
      <c r="R237" s="32"/>
      <c r="S237" s="32"/>
      <c r="T237" s="32"/>
      <c r="U237" s="32"/>
      <c r="V237" s="32"/>
      <c r="W237" s="32"/>
      <c r="X237" s="32"/>
      <c r="Y237" s="32"/>
      <c r="Z237" s="32"/>
    </row>
    <row r="238">
      <c r="A238" s="32" t="str">
        <f>IFERROR(__xludf.DUMMYFUNCTION("""COMPUTED_VALUE"""),"Shining Katana")</f>
        <v>Shining Katana</v>
      </c>
      <c r="B238" s="32"/>
      <c r="C238" s="32"/>
      <c r="D238" s="32" t="str">
        <f>IFERROR(__xludf.DUMMYFUNCTION("""COMPUTED_VALUE"""),"Hand")</f>
        <v>Hand</v>
      </c>
      <c r="E238" s="32">
        <f>IFERROR(__xludf.DUMMYFUNCTION("""COMPUTED_VALUE"""),200.0)</f>
        <v>200</v>
      </c>
      <c r="F238" s="32" t="str">
        <f>IFERROR(__xludf.DUMMYFUNCTION("""COMPUTED_VALUE"""),"DMG: +10000 ++++500 bleeding damage p/r.")</f>
        <v>DMG: +10000 ++++500 bleeding damage p/r.</v>
      </c>
      <c r="G238" s="32">
        <f>IFERROR(__xludf.DUMMYFUNCTION("""COMPUTED_VALUE"""),1900000.0)</f>
        <v>1900000</v>
      </c>
      <c r="H238" s="32"/>
      <c r="I238" s="32"/>
      <c r="J238" s="32"/>
      <c r="K238" s="32"/>
      <c r="L238" s="32"/>
      <c r="M238" s="32"/>
      <c r="N238" s="32"/>
      <c r="O238" s="32"/>
      <c r="P238" s="32"/>
      <c r="Q238" s="32"/>
      <c r="R238" s="32"/>
      <c r="S238" s="32"/>
      <c r="T238" s="32"/>
      <c r="U238" s="32"/>
      <c r="V238" s="32"/>
      <c r="W238" s="32"/>
      <c r="X238" s="32"/>
      <c r="Y238" s="32"/>
      <c r="Z238" s="32"/>
    </row>
    <row r="239">
      <c r="A239" s="32" t="str">
        <f>IFERROR(__xludf.DUMMYFUNCTION("""COMPUTED_VALUE"""),"Shoes of Metal Harmony's")</f>
        <v>Shoes of Metal Harmony's</v>
      </c>
      <c r="B239" s="32"/>
      <c r="C239" s="32"/>
      <c r="D239" s="32" t="str">
        <f>IFERROR(__xludf.DUMMYFUNCTION("""COMPUTED_VALUE"""),"Feet")</f>
        <v>Feet</v>
      </c>
      <c r="E239" s="32">
        <f>IFERROR(__xludf.DUMMYFUNCTION("""COMPUTED_VALUE"""),200.0)</f>
        <v>200</v>
      </c>
      <c r="F239" s="32" t="str">
        <f>IFERROR(__xludf.DUMMYFUNCTION("""COMPUTED_VALUE"""),"DEF: +10000 ++When dealing damage with an instrument you will regain hp equal to the damage you caused.")</f>
        <v>DEF: +10000 ++When dealing damage with an instrument you will regain hp equal to the damage you caused.</v>
      </c>
      <c r="G239" s="32">
        <f>IFERROR(__xludf.DUMMYFUNCTION("""COMPUTED_VALUE"""),1900000.0)</f>
        <v>1900000</v>
      </c>
      <c r="H239" s="32"/>
      <c r="I239" s="32"/>
      <c r="J239" s="32"/>
      <c r="K239" s="32"/>
      <c r="L239" s="32"/>
      <c r="M239" s="32"/>
      <c r="N239" s="32"/>
      <c r="O239" s="32"/>
      <c r="P239" s="32"/>
      <c r="Q239" s="32"/>
      <c r="R239" s="32"/>
      <c r="S239" s="32"/>
      <c r="T239" s="32"/>
      <c r="U239" s="32"/>
      <c r="V239" s="32"/>
      <c r="W239" s="32"/>
      <c r="X239" s="32"/>
      <c r="Y239" s="32"/>
      <c r="Z239" s="32"/>
    </row>
    <row r="240">
      <c r="A240" s="32" t="str">
        <f>IFERROR(__xludf.DUMMYFUNCTION("""COMPUTED_VALUE"""),"Shoes of Water Walking")</f>
        <v>Shoes of Water Walking</v>
      </c>
      <c r="B240" s="32"/>
      <c r="C240" s="32"/>
      <c r="D240" s="32" t="str">
        <f>IFERROR(__xludf.DUMMYFUNCTION("""COMPUTED_VALUE"""),"Feet")</f>
        <v>Feet</v>
      </c>
      <c r="E240" s="32">
        <f>IFERROR(__xludf.DUMMYFUNCTION("""COMPUTED_VALUE"""),200.0)</f>
        <v>200</v>
      </c>
      <c r="F240" s="32"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32">
        <f>IFERROR(__xludf.DUMMYFUNCTION("""COMPUTED_VALUE"""),1900000.0)</f>
        <v>1900000</v>
      </c>
      <c r="H240" s="32"/>
      <c r="I240" s="32"/>
      <c r="J240" s="32"/>
      <c r="K240" s="32"/>
      <c r="L240" s="32"/>
      <c r="M240" s="32"/>
      <c r="N240" s="32"/>
      <c r="O240" s="32"/>
      <c r="P240" s="32"/>
      <c r="Q240" s="32"/>
      <c r="R240" s="32"/>
      <c r="S240" s="32"/>
      <c r="T240" s="32"/>
      <c r="U240" s="32"/>
      <c r="V240" s="32"/>
      <c r="W240" s="32"/>
      <c r="X240" s="32"/>
      <c r="Y240" s="32"/>
      <c r="Z240" s="32"/>
    </row>
    <row r="241">
      <c r="A241" s="32" t="str">
        <f>IFERROR(__xludf.DUMMYFUNCTION("""COMPUTED_VALUE"""),"Short Spear")</f>
        <v>Short Spear</v>
      </c>
      <c r="B241" s="32"/>
      <c r="C241" s="32" t="str">
        <f>IFERROR(__xludf.DUMMYFUNCTION("""COMPUTED_VALUE"""),"Spear")</f>
        <v>Spear</v>
      </c>
      <c r="D241" s="32" t="str">
        <f>IFERROR(__xludf.DUMMYFUNCTION("""COMPUTED_VALUE"""),"Hand")</f>
        <v>Hand</v>
      </c>
      <c r="E241" s="32">
        <f>IFERROR(__xludf.DUMMYFUNCTION("""COMPUTED_VALUE"""),1.0)</f>
        <v>1</v>
      </c>
      <c r="F241" s="32" t="str">
        <f>IFERROR(__xludf.DUMMYFUNCTION("""COMPUTED_VALUE"""),"DMG: +250")</f>
        <v>DMG: +250</v>
      </c>
      <c r="G241" s="32">
        <f>IFERROR(__xludf.DUMMYFUNCTION("""COMPUTED_VALUE"""),0.0)</f>
        <v>0</v>
      </c>
      <c r="H241" s="32"/>
      <c r="I241" s="32"/>
      <c r="J241" s="32"/>
      <c r="K241" s="32"/>
      <c r="L241" s="32"/>
      <c r="M241" s="32"/>
      <c r="N241" s="32"/>
      <c r="O241" s="32"/>
      <c r="P241" s="32"/>
      <c r="Q241" s="32"/>
      <c r="R241" s="32"/>
      <c r="S241" s="32"/>
      <c r="T241" s="32"/>
      <c r="U241" s="32"/>
      <c r="V241" s="32"/>
      <c r="W241" s="32"/>
      <c r="X241" s="32"/>
      <c r="Y241" s="32"/>
      <c r="Z241" s="32"/>
    </row>
    <row r="242">
      <c r="A242" s="32" t="str">
        <f>IFERROR(__xludf.DUMMYFUNCTION("""COMPUTED_VALUE"""),"Shuriken")</f>
        <v>Shuriken</v>
      </c>
      <c r="B242" s="32"/>
      <c r="C242" s="32" t="str">
        <f>IFERROR(__xludf.DUMMYFUNCTION("""COMPUTED_VALUE"""),"Boomerang")</f>
        <v>Boomerang</v>
      </c>
      <c r="D242" s="32" t="str">
        <f>IFERROR(__xludf.DUMMYFUNCTION("""COMPUTED_VALUE"""),"Hand")</f>
        <v>Hand</v>
      </c>
      <c r="E242" s="32">
        <f>IFERROR(__xludf.DUMMYFUNCTION("""COMPUTED_VALUE"""),200.0)</f>
        <v>200</v>
      </c>
      <c r="F242" s="32" t="str">
        <f>IFERROR(__xludf.DUMMYFUNCTION("""COMPUTED_VALUE"""),"DMG: +5000, Blood DMG: +5000 ++Will return to you when thrown.")</f>
        <v>DMG: +5000, Blood DMG: +5000 ++Will return to you when thrown.</v>
      </c>
      <c r="G242" s="32">
        <f>IFERROR(__xludf.DUMMYFUNCTION("""COMPUTED_VALUE"""),1900000.0)</f>
        <v>1900000</v>
      </c>
      <c r="H242" s="32"/>
      <c r="I242" s="32"/>
      <c r="J242" s="32"/>
      <c r="K242" s="32"/>
      <c r="L242" s="32"/>
      <c r="M242" s="32"/>
      <c r="N242" s="32"/>
      <c r="O242" s="32"/>
      <c r="P242" s="32"/>
      <c r="Q242" s="32"/>
      <c r="R242" s="32"/>
      <c r="S242" s="32"/>
      <c r="T242" s="32"/>
      <c r="U242" s="32"/>
      <c r="V242" s="32"/>
      <c r="W242" s="32"/>
      <c r="X242" s="32"/>
      <c r="Y242" s="32"/>
      <c r="Z242" s="32"/>
    </row>
    <row r="243">
      <c r="A243" s="32" t="str">
        <f>IFERROR(__xludf.DUMMYFUNCTION("""COMPUTED_VALUE"""),"Shuttering Cloak")</f>
        <v>Shuttering Cloak</v>
      </c>
      <c r="B243" s="32"/>
      <c r="C243" s="32"/>
      <c r="D243" s="32" t="str">
        <f>IFERROR(__xludf.DUMMYFUNCTION("""COMPUTED_VALUE"""),"Torso")</f>
        <v>Torso</v>
      </c>
      <c r="E243" s="32">
        <f>IFERROR(__xludf.DUMMYFUNCTION("""COMPUTED_VALUE"""),1.0)</f>
        <v>1</v>
      </c>
      <c r="F243" s="32" t="str">
        <f>IFERROR(__xludf.DUMMYFUNCTION("""COMPUTED_VALUE""")," ++Plus 10 Evasion and Mobility, +-You Cannot be unaffected by spells or attacks. +-Can only equip one")</f>
        <v> ++Plus 10 Evasion and Mobility, +-You Cannot be unaffected by spells or attacks. +-Can only equip one</v>
      </c>
      <c r="G243" s="32">
        <f>IFERROR(__xludf.DUMMYFUNCTION("""COMPUTED_VALUE"""),0.0)</f>
        <v>0</v>
      </c>
      <c r="H243" s="32"/>
      <c r="I243" s="32"/>
      <c r="J243" s="32"/>
      <c r="K243" s="32"/>
      <c r="L243" s="32"/>
      <c r="M243" s="32"/>
      <c r="N243" s="32"/>
      <c r="O243" s="32"/>
      <c r="P243" s="32"/>
      <c r="Q243" s="32"/>
      <c r="R243" s="32"/>
      <c r="S243" s="32"/>
      <c r="T243" s="32"/>
      <c r="U243" s="32"/>
      <c r="V243" s="32"/>
      <c r="W243" s="32"/>
      <c r="X243" s="32"/>
      <c r="Y243" s="32"/>
      <c r="Z243" s="32"/>
    </row>
    <row r="244">
      <c r="A244" s="32" t="str">
        <f>IFERROR(__xludf.DUMMYFUNCTION("""COMPUTED_VALUE"""),"Silver Armor")</f>
        <v>Silver Armor</v>
      </c>
      <c r="B244" s="32"/>
      <c r="C244" s="32"/>
      <c r="D244" s="32" t="str">
        <f>IFERROR(__xludf.DUMMYFUNCTION("""COMPUTED_VALUE"""),"Torso")</f>
        <v>Torso</v>
      </c>
      <c r="E244" s="32">
        <f>IFERROR(__xludf.DUMMYFUNCTION("""COMPUTED_VALUE"""),1.0)</f>
        <v>1</v>
      </c>
      <c r="F244" s="32" t="str">
        <f>IFERROR(__xludf.DUMMYFUNCTION("""COMPUTED_VALUE"""),"DEF: +30")</f>
        <v>DEF: +30</v>
      </c>
      <c r="G244" s="32">
        <f>IFERROR(__xludf.DUMMYFUNCTION("""COMPUTED_VALUE"""),0.0)</f>
        <v>0</v>
      </c>
      <c r="H244" s="32"/>
      <c r="I244" s="32"/>
      <c r="J244" s="32"/>
      <c r="K244" s="32"/>
      <c r="L244" s="32"/>
      <c r="M244" s="32"/>
      <c r="N244" s="32"/>
      <c r="O244" s="32"/>
      <c r="P244" s="32"/>
      <c r="Q244" s="32"/>
      <c r="R244" s="32"/>
      <c r="S244" s="32"/>
      <c r="T244" s="32"/>
      <c r="U244" s="32"/>
      <c r="V244" s="32"/>
      <c r="W244" s="32"/>
      <c r="X244" s="32"/>
      <c r="Y244" s="32"/>
      <c r="Z244" s="32"/>
    </row>
    <row r="245">
      <c r="A245" s="32" t="str">
        <f>IFERROR(__xludf.DUMMYFUNCTION("""COMPUTED_VALUE"""),"Silver Katana")</f>
        <v>Silver Katana</v>
      </c>
      <c r="B245" s="32"/>
      <c r="C245" s="32" t="str">
        <f>IFERROR(__xludf.DUMMYFUNCTION("""COMPUTED_VALUE"""),"Sword")</f>
        <v>Sword</v>
      </c>
      <c r="D245" s="32" t="str">
        <f>IFERROR(__xludf.DUMMYFUNCTION("""COMPUTED_VALUE"""),"Hand")</f>
        <v>Hand</v>
      </c>
      <c r="E245" s="32">
        <f>IFERROR(__xludf.DUMMYFUNCTION("""COMPUTED_VALUE"""),200.0)</f>
        <v>200</v>
      </c>
      <c r="F245" s="32" t="str">
        <f>IFERROR(__xludf.DUMMYFUNCTION("""COMPUTED_VALUE"""),"DMG: +10000 ++Causes Blindness 3")</f>
        <v>DMG: +10000 ++Causes Blindness 3</v>
      </c>
      <c r="G245" s="32">
        <f>IFERROR(__xludf.DUMMYFUNCTION("""COMPUTED_VALUE"""),1900000.0)</f>
        <v>1900000</v>
      </c>
      <c r="H245" s="32"/>
      <c r="I245" s="32"/>
      <c r="J245" s="32"/>
      <c r="K245" s="32"/>
      <c r="L245" s="32"/>
      <c r="M245" s="32"/>
      <c r="N245" s="32"/>
      <c r="O245" s="32"/>
      <c r="P245" s="32"/>
      <c r="Q245" s="32"/>
      <c r="R245" s="32"/>
      <c r="S245" s="32"/>
      <c r="T245" s="32"/>
      <c r="U245" s="32"/>
      <c r="V245" s="32"/>
      <c r="W245" s="32"/>
      <c r="X245" s="32"/>
      <c r="Y245" s="32"/>
      <c r="Z245" s="32"/>
    </row>
    <row r="246">
      <c r="A246" s="32" t="str">
        <f>IFERROR(__xludf.DUMMYFUNCTION("""COMPUTED_VALUE"""),"Silver Knife")</f>
        <v>Silver Knife</v>
      </c>
      <c r="B246" s="32"/>
      <c r="C246" s="32" t="str">
        <f>IFERROR(__xludf.DUMMYFUNCTION("""COMPUTED_VALUE"""),"Knife")</f>
        <v>Knife</v>
      </c>
      <c r="D246" s="32" t="str">
        <f>IFERROR(__xludf.DUMMYFUNCTION("""COMPUTED_VALUE"""),"Hand")</f>
        <v>Hand</v>
      </c>
      <c r="E246" s="32">
        <f>IFERROR(__xludf.DUMMYFUNCTION("""COMPUTED_VALUE"""),200.0)</f>
        <v>200</v>
      </c>
      <c r="F246" s="32" t="str">
        <f>IFERROR(__xludf.DUMMYFUNCTION("""COMPUTED_VALUE"""),"DMG: +10000")</f>
        <v>DMG: +10000</v>
      </c>
      <c r="G246" s="32">
        <f>IFERROR(__xludf.DUMMYFUNCTION("""COMPUTED_VALUE"""),1900000.0)</f>
        <v>1900000</v>
      </c>
      <c r="H246" s="32"/>
      <c r="I246" s="32"/>
      <c r="J246" s="32"/>
      <c r="K246" s="32"/>
      <c r="L246" s="32"/>
      <c r="M246" s="32"/>
      <c r="N246" s="32"/>
      <c r="O246" s="32"/>
      <c r="P246" s="32"/>
      <c r="Q246" s="32"/>
      <c r="R246" s="32"/>
      <c r="S246" s="32"/>
      <c r="T246" s="32"/>
      <c r="U246" s="32"/>
      <c r="V246" s="32"/>
      <c r="W246" s="32"/>
      <c r="X246" s="32"/>
      <c r="Y246" s="32"/>
      <c r="Z246" s="32"/>
    </row>
    <row r="247">
      <c r="A247" s="32" t="str">
        <f>IFERROR(__xludf.DUMMYFUNCTION("""COMPUTED_VALUE"""),"Skull Cleaver")</f>
        <v>Skull Cleaver</v>
      </c>
      <c r="B247" s="32"/>
      <c r="C247" s="32" t="str">
        <f>IFERROR(__xludf.DUMMYFUNCTION("""COMPUTED_VALUE"""),"Sword")</f>
        <v>Sword</v>
      </c>
      <c r="D247" s="32" t="str">
        <f>IFERROR(__xludf.DUMMYFUNCTION("""COMPUTED_VALUE"""),"Hand")</f>
        <v>Hand</v>
      </c>
      <c r="E247" s="32">
        <f>IFERROR(__xludf.DUMMYFUNCTION("""COMPUTED_VALUE"""),1000.0)</f>
        <v>1000</v>
      </c>
      <c r="F247" s="32" t="str">
        <f>IFERROR(__xludf.DUMMYFUNCTION("""COMPUTED_VALUE"""),"DMG: +30000, Dark DMG: +20000 ++75% Chance of instant death.")</f>
        <v>DMG: +30000, Dark DMG: +20000 ++75% Chance of instant death.</v>
      </c>
      <c r="G247" s="32">
        <f>IFERROR(__xludf.DUMMYFUNCTION("""COMPUTED_VALUE"""),4.95E7)</f>
        <v>49500000</v>
      </c>
      <c r="H247" s="32"/>
      <c r="I247" s="32"/>
      <c r="J247" s="32"/>
      <c r="K247" s="32"/>
      <c r="L247" s="32"/>
      <c r="M247" s="32"/>
      <c r="N247" s="32"/>
      <c r="O247" s="32"/>
      <c r="P247" s="32"/>
      <c r="Q247" s="32"/>
      <c r="R247" s="32"/>
      <c r="S247" s="32"/>
      <c r="T247" s="32"/>
      <c r="U247" s="32"/>
      <c r="V247" s="32"/>
      <c r="W247" s="32"/>
      <c r="X247" s="32"/>
      <c r="Y247" s="32"/>
      <c r="Z247" s="32"/>
    </row>
    <row r="248">
      <c r="A248" s="32" t="str">
        <f>IFERROR(__xludf.DUMMYFUNCTION("""COMPUTED_VALUE"""),"Skull of the many Kings")</f>
        <v>Skull of the many Kings</v>
      </c>
      <c r="B248" s="32"/>
      <c r="C248" s="32"/>
      <c r="D248" s="32" t="str">
        <f>IFERROR(__xludf.DUMMYFUNCTION("""COMPUTED_VALUE"""),"Head")</f>
        <v>Head</v>
      </c>
      <c r="E248" s="32">
        <f>IFERROR(__xludf.DUMMYFUNCTION("""COMPUTED_VALUE"""),1.0)</f>
        <v>1</v>
      </c>
      <c r="F248" s="32" t="str">
        <f>IFERROR(__xludf.DUMMYFUNCTION("""COMPUTED_VALUE"""),"DEF: +300 ++Immunity to all dark damage")</f>
        <v>DEF: +300 ++Immunity to all dark damage</v>
      </c>
      <c r="G248" s="32">
        <f>IFERROR(__xludf.DUMMYFUNCTION("""COMPUTED_VALUE"""),0.0)</f>
        <v>0</v>
      </c>
      <c r="H248" s="32"/>
      <c r="I248" s="32"/>
      <c r="J248" s="32"/>
      <c r="K248" s="32"/>
      <c r="L248" s="32"/>
      <c r="M248" s="32"/>
      <c r="N248" s="32"/>
      <c r="O248" s="32"/>
      <c r="P248" s="32"/>
      <c r="Q248" s="32"/>
      <c r="R248" s="32"/>
      <c r="S248" s="32"/>
      <c r="T248" s="32"/>
      <c r="U248" s="32"/>
      <c r="V248" s="32"/>
      <c r="W248" s="32"/>
      <c r="X248" s="32"/>
      <c r="Y248" s="32"/>
      <c r="Z248" s="32"/>
    </row>
    <row r="249">
      <c r="A249" s="32" t="str">
        <f>IFERROR(__xludf.DUMMYFUNCTION("""COMPUTED_VALUE"""),"Skull Ring")</f>
        <v>Skull Ring</v>
      </c>
      <c r="B249" s="32"/>
      <c r="C249" s="32"/>
      <c r="D249" s="32" t="str">
        <f>IFERROR(__xludf.DUMMYFUNCTION("""COMPUTED_VALUE"""),"Ring")</f>
        <v>Ring</v>
      </c>
      <c r="E249" s="32">
        <f>IFERROR(__xludf.DUMMYFUNCTION("""COMPUTED_VALUE"""),1.0)</f>
        <v>1</v>
      </c>
      <c r="F249" s="32" t="str">
        <f>IFERROR(__xludf.DUMMYFUNCTION("""COMPUTED_VALUE""")," ++Increase damage of all dark spells and weapons by X2")</f>
        <v> ++Increase damage of all dark spells and weapons by X2</v>
      </c>
      <c r="G249" s="32">
        <f>IFERROR(__xludf.DUMMYFUNCTION("""COMPUTED_VALUE"""),0.0)</f>
        <v>0</v>
      </c>
      <c r="H249" s="32"/>
      <c r="I249" s="32"/>
      <c r="J249" s="32"/>
      <c r="K249" s="32"/>
      <c r="L249" s="32"/>
      <c r="M249" s="32"/>
      <c r="N249" s="32"/>
      <c r="O249" s="32"/>
      <c r="P249" s="32"/>
      <c r="Q249" s="32"/>
      <c r="R249" s="32"/>
      <c r="S249" s="32"/>
      <c r="T249" s="32"/>
      <c r="U249" s="32"/>
      <c r="V249" s="32"/>
      <c r="W249" s="32"/>
      <c r="X249" s="32"/>
      <c r="Y249" s="32"/>
      <c r="Z249" s="32"/>
    </row>
    <row r="250">
      <c r="A250" s="32" t="str">
        <f>IFERROR(__xludf.DUMMYFUNCTION("""COMPUTED_VALUE"""),"Spear")</f>
        <v>Spear</v>
      </c>
      <c r="B250" s="32"/>
      <c r="C250" s="32" t="str">
        <f>IFERROR(__xludf.DUMMYFUNCTION("""COMPUTED_VALUE"""),"Spear")</f>
        <v>Spear</v>
      </c>
      <c r="D250" s="32" t="str">
        <f>IFERROR(__xludf.DUMMYFUNCTION("""COMPUTED_VALUE"""),"Hand")</f>
        <v>Hand</v>
      </c>
      <c r="E250" s="32">
        <f>IFERROR(__xludf.DUMMYFUNCTION("""COMPUTED_VALUE"""),1.0)</f>
        <v>1</v>
      </c>
      <c r="F250" s="32" t="str">
        <f>IFERROR(__xludf.DUMMYFUNCTION("""COMPUTED_VALUE"""),"DMG: +100")</f>
        <v>DMG: +100</v>
      </c>
      <c r="G250" s="32">
        <f>IFERROR(__xludf.DUMMYFUNCTION("""COMPUTED_VALUE"""),0.0)</f>
        <v>0</v>
      </c>
      <c r="H250" s="32"/>
      <c r="I250" s="32"/>
      <c r="J250" s="32"/>
      <c r="K250" s="32"/>
      <c r="L250" s="32"/>
      <c r="M250" s="32"/>
      <c r="N250" s="32"/>
      <c r="O250" s="32"/>
      <c r="P250" s="32"/>
      <c r="Q250" s="32"/>
      <c r="R250" s="32"/>
      <c r="S250" s="32"/>
      <c r="T250" s="32"/>
      <c r="U250" s="32"/>
      <c r="V250" s="32"/>
      <c r="W250" s="32"/>
      <c r="X250" s="32"/>
      <c r="Y250" s="32"/>
      <c r="Z250" s="32"/>
    </row>
    <row r="251">
      <c r="A251" s="32" t="str">
        <f>IFERROR(__xludf.DUMMYFUNCTION("""COMPUTED_VALUE"""),"Spear Of Assal ")</f>
        <v>Spear Of Assal </v>
      </c>
      <c r="B251" s="3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32" t="str">
        <f>IFERROR(__xludf.DUMMYFUNCTION("""COMPUTED_VALUE"""),"Spear")</f>
        <v>Spear</v>
      </c>
      <c r="D251" s="32" t="str">
        <f>IFERROR(__xludf.DUMMYFUNCTION("""COMPUTED_VALUE"""),"Hand")</f>
        <v>Hand</v>
      </c>
      <c r="E251" s="32">
        <f>IFERROR(__xludf.DUMMYFUNCTION("""COMPUTED_VALUE"""),200.0)</f>
        <v>200</v>
      </c>
      <c r="F251" s="32"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32">
        <f>IFERROR(__xludf.DUMMYFUNCTION("""COMPUTED_VALUE"""),4.485E8)</f>
        <v>448500000</v>
      </c>
      <c r="H251" s="32"/>
      <c r="I251" s="32"/>
      <c r="J251" s="32"/>
      <c r="K251" s="32"/>
      <c r="L251" s="32"/>
      <c r="M251" s="32"/>
      <c r="N251" s="32"/>
      <c r="O251" s="32"/>
      <c r="P251" s="32"/>
      <c r="Q251" s="32"/>
      <c r="R251" s="32"/>
      <c r="S251" s="32"/>
      <c r="T251" s="32"/>
      <c r="U251" s="32"/>
      <c r="V251" s="32"/>
      <c r="W251" s="32"/>
      <c r="X251" s="32"/>
      <c r="Y251" s="32"/>
      <c r="Z251" s="32"/>
    </row>
    <row r="252">
      <c r="A252" s="32" t="str">
        <f>IFERROR(__xludf.DUMMYFUNCTION("""COMPUTED_VALUE"""),"Spiked Armor")</f>
        <v>Spiked Armor</v>
      </c>
      <c r="B252" s="32"/>
      <c r="C252" s="32"/>
      <c r="D252" s="32" t="str">
        <f>IFERROR(__xludf.DUMMYFUNCTION("""COMPUTED_VALUE"""),"Torso")</f>
        <v>Torso</v>
      </c>
      <c r="E252" s="32">
        <f>IFERROR(__xludf.DUMMYFUNCTION("""COMPUTED_VALUE"""),1.0)</f>
        <v>1</v>
      </c>
      <c r="F252" s="32" t="str">
        <f>IFERROR(__xludf.DUMMYFUNCTION("""COMPUTED_VALUE"""),"DEF: +100 ++Used for both offense and defense. ++Enemies take half the damage they caused, when they attack you.")</f>
        <v>DEF: +100 ++Used for both offense and defense. ++Enemies take half the damage they caused, when they attack you.</v>
      </c>
      <c r="G252" s="32">
        <f>IFERROR(__xludf.DUMMYFUNCTION("""COMPUTED_VALUE"""),0.0)</f>
        <v>0</v>
      </c>
      <c r="H252" s="32"/>
      <c r="I252" s="32"/>
      <c r="J252" s="32"/>
      <c r="K252" s="32"/>
      <c r="L252" s="32"/>
      <c r="M252" s="32"/>
      <c r="N252" s="32"/>
      <c r="O252" s="32"/>
      <c r="P252" s="32"/>
      <c r="Q252" s="32"/>
      <c r="R252" s="32"/>
      <c r="S252" s="32"/>
      <c r="T252" s="32"/>
      <c r="U252" s="32"/>
      <c r="V252" s="32"/>
      <c r="W252" s="32"/>
      <c r="X252" s="32"/>
      <c r="Y252" s="32"/>
      <c r="Z252" s="32"/>
    </row>
    <row r="253">
      <c r="A253" s="32" t="str">
        <f>IFERROR(__xludf.DUMMYFUNCTION("""COMPUTED_VALUE"""),"Spiny Shield")</f>
        <v>Spiny Shield</v>
      </c>
      <c r="B253" s="32"/>
      <c r="C253" s="32" t="str">
        <f>IFERROR(__xludf.DUMMYFUNCTION("""COMPUTED_VALUE"""),"Buckler")</f>
        <v>Buckler</v>
      </c>
      <c r="D253" s="32" t="str">
        <f>IFERROR(__xludf.DUMMYFUNCTION("""COMPUTED_VALUE"""),"Hand")</f>
        <v>Hand</v>
      </c>
      <c r="E253" s="32">
        <f>IFERROR(__xludf.DUMMYFUNCTION("""COMPUTED_VALUE"""),1.0)</f>
        <v>1</v>
      </c>
      <c r="F253" s="32" t="str">
        <f>IFERROR(__xludf.DUMMYFUNCTION("""COMPUTED_VALUE"""),"DEF: +170")</f>
        <v>DEF: +170</v>
      </c>
      <c r="G253" s="32">
        <f>IFERROR(__xludf.DUMMYFUNCTION("""COMPUTED_VALUE"""),0.0)</f>
        <v>0</v>
      </c>
      <c r="H253" s="32"/>
      <c r="I253" s="32"/>
      <c r="J253" s="32"/>
      <c r="K253" s="32"/>
      <c r="L253" s="32"/>
      <c r="M253" s="32"/>
      <c r="N253" s="32"/>
      <c r="O253" s="32"/>
      <c r="P253" s="32"/>
      <c r="Q253" s="32"/>
      <c r="R253" s="32"/>
      <c r="S253" s="32"/>
      <c r="T253" s="32"/>
      <c r="U253" s="32"/>
      <c r="V253" s="32"/>
      <c r="W253" s="32"/>
      <c r="X253" s="32"/>
      <c r="Y253" s="32"/>
      <c r="Z253" s="32"/>
    </row>
    <row r="254">
      <c r="A254" s="32" t="str">
        <f>IFERROR(__xludf.DUMMYFUNCTION("""COMPUTED_VALUE"""),"Spooky Branch Ring")</f>
        <v>Spooky Branch Ring</v>
      </c>
      <c r="B254" s="32" t="str">
        <f>IFERROR(__xludf.DUMMYFUNCTION("""COMPUTED_VALUE"""),"Halloween Exclusive")</f>
        <v>Halloween Exclusive</v>
      </c>
      <c r="C254" s="32"/>
      <c r="D254" s="32" t="str">
        <f>IFERROR(__xludf.DUMMYFUNCTION("""COMPUTED_VALUE"""),"Ring")</f>
        <v>Ring</v>
      </c>
      <c r="E254" s="32">
        <f>IFERROR(__xludf.DUMMYFUNCTION("""COMPUTED_VALUE"""),1.0)</f>
        <v>1</v>
      </c>
      <c r="F254" s="32" t="str">
        <f>IFERROR(__xludf.DUMMYFUNCTION("""COMPUTED_VALUE""")," ++Increase fire and dark damage by X2.")</f>
        <v> ++Increase fire and dark damage by X2.</v>
      </c>
      <c r="G254" s="32">
        <f>IFERROR(__xludf.DUMMYFUNCTION("""COMPUTED_VALUE"""),0.0)</f>
        <v>0</v>
      </c>
      <c r="H254" s="32"/>
      <c r="I254" s="32"/>
      <c r="J254" s="32"/>
      <c r="K254" s="32"/>
      <c r="L254" s="32"/>
      <c r="M254" s="32"/>
      <c r="N254" s="32"/>
      <c r="O254" s="32"/>
      <c r="P254" s="32"/>
      <c r="Q254" s="32"/>
      <c r="R254" s="32"/>
      <c r="S254" s="32"/>
      <c r="T254" s="32"/>
      <c r="U254" s="32"/>
      <c r="V254" s="32"/>
      <c r="W254" s="32"/>
      <c r="X254" s="32"/>
      <c r="Y254" s="32"/>
      <c r="Z254" s="32"/>
    </row>
    <row r="255">
      <c r="A255" s="32" t="str">
        <f>IFERROR(__xludf.DUMMYFUNCTION("""COMPUTED_VALUE"""),"Staff of Chaotic Shadows")</f>
        <v>Staff of Chaotic Shadows</v>
      </c>
      <c r="B255" s="32"/>
      <c r="C255" s="32" t="str">
        <f>IFERROR(__xludf.DUMMYFUNCTION("""COMPUTED_VALUE"""),"Staff")</f>
        <v>Staff</v>
      </c>
      <c r="D255" s="32" t="str">
        <f>IFERROR(__xludf.DUMMYFUNCTION("""COMPUTED_VALUE"""),"Hand")</f>
        <v>Hand</v>
      </c>
      <c r="E255" s="32">
        <f>IFERROR(__xludf.DUMMYFUNCTION("""COMPUTED_VALUE"""),1200.0)</f>
        <v>1200</v>
      </c>
      <c r="F255" s="32" t="str">
        <f>IFERROR(__xludf.DUMMYFUNCTION("""COMPUTED_VALUE"""),", Fire DMG: +20000, Dark DMG: +20000, Chaos DMG: +20000 ++damages all enemies. +-Cannot be forged.")</f>
        <v>, Fire DMG: +20000, Dark DMG: +20000, Chaos DMG: +20000 ++damages all enemies. +-Cannot be forged.</v>
      </c>
      <c r="G255" s="32">
        <f>IFERROR(__xludf.DUMMYFUNCTION("""COMPUTED_VALUE"""),7.14E7)</f>
        <v>71400000</v>
      </c>
      <c r="H255" s="32"/>
      <c r="I255" s="32"/>
      <c r="J255" s="32"/>
      <c r="K255" s="32"/>
      <c r="L255" s="32"/>
      <c r="M255" s="32"/>
      <c r="N255" s="32"/>
      <c r="O255" s="32"/>
      <c r="P255" s="32"/>
      <c r="Q255" s="32"/>
      <c r="R255" s="32"/>
      <c r="S255" s="32"/>
      <c r="T255" s="32"/>
      <c r="U255" s="32"/>
      <c r="V255" s="32"/>
      <c r="W255" s="32"/>
      <c r="X255" s="32"/>
      <c r="Y255" s="32"/>
      <c r="Z255" s="32"/>
    </row>
    <row r="256">
      <c r="A256" s="32" t="str">
        <f>IFERROR(__xludf.DUMMYFUNCTION("""COMPUTED_VALUE"""),"Staff of Crystals")</f>
        <v>Staff of Crystals</v>
      </c>
      <c r="B256" s="32"/>
      <c r="C256" s="32" t="str">
        <f>IFERROR(__xludf.DUMMYFUNCTION("""COMPUTED_VALUE"""),"Staff")</f>
        <v>Staff</v>
      </c>
      <c r="D256" s="32" t="str">
        <f>IFERROR(__xludf.DUMMYFUNCTION("""COMPUTED_VALUE"""),"Hand")</f>
        <v>Hand</v>
      </c>
      <c r="E256" s="32">
        <f>IFERROR(__xludf.DUMMYFUNCTION("""COMPUTED_VALUE"""),400.0)</f>
        <v>400</v>
      </c>
      <c r="F256" s="32"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32">
        <f>IFERROR(__xludf.DUMMYFUNCTION("""COMPUTED_VALUE"""),7800000.0)</f>
        <v>7800000</v>
      </c>
      <c r="H256" s="32"/>
      <c r="I256" s="32"/>
      <c r="J256" s="32"/>
      <c r="K256" s="32"/>
      <c r="L256" s="32"/>
      <c r="M256" s="32"/>
      <c r="N256" s="32"/>
      <c r="O256" s="32"/>
      <c r="P256" s="32"/>
      <c r="Q256" s="32"/>
      <c r="R256" s="32"/>
      <c r="S256" s="32"/>
      <c r="T256" s="32"/>
      <c r="U256" s="32"/>
      <c r="V256" s="32"/>
      <c r="W256" s="32"/>
      <c r="X256" s="32"/>
      <c r="Y256" s="32"/>
      <c r="Z256" s="32"/>
    </row>
    <row r="257">
      <c r="A257" s="32" t="str">
        <f>IFERROR(__xludf.DUMMYFUNCTION("""COMPUTED_VALUE"""),"Staff Of Heatmore")</f>
        <v>Staff Of Heatmore</v>
      </c>
      <c r="B257" s="32"/>
      <c r="C257" s="32" t="str">
        <f>IFERROR(__xludf.DUMMYFUNCTION("""COMPUTED_VALUE"""),"Staff")</f>
        <v>Staff</v>
      </c>
      <c r="D257" s="32" t="str">
        <f>IFERROR(__xludf.DUMMYFUNCTION("""COMPUTED_VALUE"""),"Hand")</f>
        <v>Hand</v>
      </c>
      <c r="E257" s="32">
        <f>IFERROR(__xludf.DUMMYFUNCTION("""COMPUTED_VALUE"""),1.0)</f>
        <v>1</v>
      </c>
      <c r="F257" s="32" t="str">
        <f>IFERROR(__xludf.DUMMYFUNCTION("""COMPUTED_VALUE""")," ++20,000 fire damage to all enemies, cannot avoid. 10,000sp")</f>
        <v> ++20,000 fire damage to all enemies, cannot avoid. 10,000sp</v>
      </c>
      <c r="G257" s="32">
        <f>IFERROR(__xludf.DUMMYFUNCTION("""COMPUTED_VALUE"""),0.0)</f>
        <v>0</v>
      </c>
      <c r="H257" s="32"/>
      <c r="I257" s="32"/>
      <c r="J257" s="32"/>
      <c r="K257" s="32"/>
      <c r="L257" s="32"/>
      <c r="M257" s="32"/>
      <c r="N257" s="32"/>
      <c r="O257" s="32"/>
      <c r="P257" s="32"/>
      <c r="Q257" s="32"/>
      <c r="R257" s="32"/>
      <c r="S257" s="32"/>
      <c r="T257" s="32"/>
      <c r="U257" s="32"/>
      <c r="V257" s="32"/>
      <c r="W257" s="32"/>
      <c r="X257" s="32"/>
      <c r="Y257" s="32"/>
      <c r="Z257" s="32"/>
    </row>
    <row r="258">
      <c r="A258" s="32" t="str">
        <f>IFERROR(__xludf.DUMMYFUNCTION("""COMPUTED_VALUE"""),"Staff of Shadows")</f>
        <v>Staff of Shadows</v>
      </c>
      <c r="B258" s="32"/>
      <c r="C258" s="32" t="str">
        <f>IFERROR(__xludf.DUMMYFUNCTION("""COMPUTED_VALUE"""),"Staff")</f>
        <v>Staff</v>
      </c>
      <c r="D258" s="32" t="str">
        <f>IFERROR(__xludf.DUMMYFUNCTION("""COMPUTED_VALUE"""),"Hand")</f>
        <v>Hand</v>
      </c>
      <c r="E258" s="32">
        <f>IFERROR(__xludf.DUMMYFUNCTION("""COMPUTED_VALUE"""),1.0)</f>
        <v>1</v>
      </c>
      <c r="F258" s="32" t="str">
        <f>IFERROR(__xludf.DUMMYFUNCTION("""COMPUTED_VALUE""")," ++You are invisible and silent so long as you don't attack. You cannot be attacked while invisible. 200SP")</f>
        <v> ++You are invisible and silent so long as you don't attack. You cannot be attacked while invisible. 200SP</v>
      </c>
      <c r="G258" s="32">
        <f>IFERROR(__xludf.DUMMYFUNCTION("""COMPUTED_VALUE"""),0.0)</f>
        <v>0</v>
      </c>
      <c r="H258" s="32"/>
      <c r="I258" s="32"/>
      <c r="J258" s="32"/>
      <c r="K258" s="32"/>
      <c r="L258" s="32"/>
      <c r="M258" s="32"/>
      <c r="N258" s="32"/>
      <c r="O258" s="32"/>
      <c r="P258" s="32"/>
      <c r="Q258" s="32"/>
      <c r="R258" s="32"/>
      <c r="S258" s="32"/>
      <c r="T258" s="32"/>
      <c r="U258" s="32"/>
      <c r="V258" s="32"/>
      <c r="W258" s="32"/>
      <c r="X258" s="32"/>
      <c r="Y258" s="32"/>
      <c r="Z258" s="32"/>
    </row>
    <row r="259">
      <c r="A259" s="32" t="str">
        <f>IFERROR(__xludf.DUMMYFUNCTION("""COMPUTED_VALUE"""),"Staff Of Suffering")</f>
        <v>Staff Of Suffering</v>
      </c>
      <c r="B259" s="32"/>
      <c r="C259" s="32" t="str">
        <f>IFERROR(__xludf.DUMMYFUNCTION("""COMPUTED_VALUE"""),"Staff")</f>
        <v>Staff</v>
      </c>
      <c r="D259" s="32" t="str">
        <f>IFERROR(__xludf.DUMMYFUNCTION("""COMPUTED_VALUE"""),"Hand")</f>
        <v>Hand</v>
      </c>
      <c r="E259" s="32">
        <f>IFERROR(__xludf.DUMMYFUNCTION("""COMPUTED_VALUE"""),1.0)</f>
        <v>1</v>
      </c>
      <c r="F259" s="32" t="str">
        <f>IFERROR(__xludf.DUMMYFUNCTION("""COMPUTED_VALUE""")," ++Casts a chaotic aura around 1 target dealing 1000 unblockable damage to them each time they cast a spell.")</f>
        <v> ++Casts a chaotic aura around 1 target dealing 1000 unblockable damage to them each time they cast a spell.</v>
      </c>
      <c r="G259" s="32">
        <f>IFERROR(__xludf.DUMMYFUNCTION("""COMPUTED_VALUE"""),0.0)</f>
        <v>0</v>
      </c>
      <c r="H259" s="32"/>
      <c r="I259" s="32"/>
      <c r="J259" s="32"/>
      <c r="K259" s="32"/>
      <c r="L259" s="32"/>
      <c r="M259" s="32"/>
      <c r="N259" s="32"/>
      <c r="O259" s="32"/>
      <c r="P259" s="32"/>
      <c r="Q259" s="32"/>
      <c r="R259" s="32"/>
      <c r="S259" s="32"/>
      <c r="T259" s="32"/>
      <c r="U259" s="32"/>
      <c r="V259" s="32"/>
      <c r="W259" s="32"/>
      <c r="X259" s="32"/>
      <c r="Y259" s="32"/>
      <c r="Z259" s="32"/>
    </row>
    <row r="260">
      <c r="A260" s="32" t="str">
        <f>IFERROR(__xludf.DUMMYFUNCTION("""COMPUTED_VALUE"""),"Staff of Targeting")</f>
        <v>Staff of Targeting</v>
      </c>
      <c r="B260" s="32"/>
      <c r="C260" s="32" t="str">
        <f>IFERROR(__xludf.DUMMYFUNCTION("""COMPUTED_VALUE"""),"Staff")</f>
        <v>Staff</v>
      </c>
      <c r="D260" s="32" t="str">
        <f>IFERROR(__xludf.DUMMYFUNCTION("""COMPUTED_VALUE"""),"Hand")</f>
        <v>Hand</v>
      </c>
      <c r="E260" s="32">
        <f>IFERROR(__xludf.DUMMYFUNCTION("""COMPUTED_VALUE"""),1.0)</f>
        <v>1</v>
      </c>
      <c r="F260" s="32"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32">
        <f>IFERROR(__xludf.DUMMYFUNCTION("""COMPUTED_VALUE"""),0.0)</f>
        <v>0</v>
      </c>
      <c r="H260" s="32"/>
      <c r="I260" s="32"/>
      <c r="J260" s="32"/>
      <c r="K260" s="32"/>
      <c r="L260" s="32"/>
      <c r="M260" s="32"/>
      <c r="N260" s="32"/>
      <c r="O260" s="32"/>
      <c r="P260" s="32"/>
      <c r="Q260" s="32"/>
      <c r="R260" s="32"/>
      <c r="S260" s="32"/>
      <c r="T260" s="32"/>
      <c r="U260" s="32"/>
      <c r="V260" s="32"/>
      <c r="W260" s="32"/>
      <c r="X260" s="32"/>
      <c r="Y260" s="32"/>
      <c r="Z260" s="32"/>
    </row>
    <row r="261">
      <c r="A261" s="32" t="str">
        <f>IFERROR(__xludf.DUMMYFUNCTION("""COMPUTED_VALUE"""),"Staff of Waves")</f>
        <v>Staff of Waves</v>
      </c>
      <c r="B261" s="32"/>
      <c r="C261" s="32" t="str">
        <f>IFERROR(__xludf.DUMMYFUNCTION("""COMPUTED_VALUE"""),"Staff")</f>
        <v>Staff</v>
      </c>
      <c r="D261" s="32" t="str">
        <f>IFERROR(__xludf.DUMMYFUNCTION("""COMPUTED_VALUE"""),"Hand")</f>
        <v>Hand</v>
      </c>
      <c r="E261" s="32">
        <f>IFERROR(__xludf.DUMMYFUNCTION("""COMPUTED_VALUE"""),1.0)</f>
        <v>1</v>
      </c>
      <c r="F261" s="32" t="str">
        <f>IFERROR(__xludf.DUMMYFUNCTION("""COMPUTED_VALUE""")," ++Casts the Spell Tsunami as if you would know it.")</f>
        <v> ++Casts the Spell Tsunami as if you would know it.</v>
      </c>
      <c r="G261" s="32">
        <f>IFERROR(__xludf.DUMMYFUNCTION("""COMPUTED_VALUE"""),0.0)</f>
        <v>0</v>
      </c>
      <c r="H261" s="32"/>
      <c r="I261" s="32"/>
      <c r="J261" s="32"/>
      <c r="K261" s="32"/>
      <c r="L261" s="32"/>
      <c r="M261" s="32"/>
      <c r="N261" s="32"/>
      <c r="O261" s="32"/>
      <c r="P261" s="32"/>
      <c r="Q261" s="32"/>
      <c r="R261" s="32"/>
      <c r="S261" s="32"/>
      <c r="T261" s="32"/>
      <c r="U261" s="32"/>
      <c r="V261" s="32"/>
      <c r="W261" s="32"/>
      <c r="X261" s="32"/>
      <c r="Y261" s="32"/>
      <c r="Z261" s="32"/>
    </row>
    <row r="262">
      <c r="A262" s="32" t="str">
        <f>IFERROR(__xludf.DUMMYFUNCTION("""COMPUTED_VALUE"""),"Guard Helmet")</f>
        <v>Guard Helmet</v>
      </c>
      <c r="B262" s="32" t="str">
        <f>IFERROR(__xludf.DUMMYFUNCTION("""COMPUTED_VALUE"""),"Quest Item")</f>
        <v>Quest Item</v>
      </c>
      <c r="C262" s="32"/>
      <c r="D262" s="32" t="str">
        <f>IFERROR(__xludf.DUMMYFUNCTION("""COMPUTED_VALUE"""),"Head")</f>
        <v>Head</v>
      </c>
      <c r="E262" s="32">
        <f>IFERROR(__xludf.DUMMYFUNCTION("""COMPUTED_VALUE"""),200.0)</f>
        <v>200</v>
      </c>
      <c r="F262" s="32" t="str">
        <f>IFERROR(__xludf.DUMMYFUNCTION("""COMPUTED_VALUE"""),"DEF: +25000, Light DEF: +25000, Celestial DEF: +25000")</f>
        <v>DEF: +25000, Light DEF: +25000, Celestial DEF: +25000</v>
      </c>
      <c r="G262" s="32">
        <f>IFERROR(__xludf.DUMMYFUNCTION("""COMPUTED_VALUE"""),1.1175E8)</f>
        <v>111750000</v>
      </c>
      <c r="H262" s="32"/>
      <c r="I262" s="32"/>
      <c r="J262" s="32"/>
      <c r="K262" s="32"/>
      <c r="L262" s="32"/>
      <c r="M262" s="32"/>
      <c r="N262" s="32"/>
      <c r="O262" s="32"/>
      <c r="P262" s="32"/>
      <c r="Q262" s="32"/>
      <c r="R262" s="32"/>
      <c r="S262" s="32"/>
      <c r="T262" s="32"/>
      <c r="U262" s="32"/>
      <c r="V262" s="32"/>
      <c r="W262" s="32"/>
      <c r="X262" s="32"/>
      <c r="Y262" s="32"/>
      <c r="Z262" s="32"/>
    </row>
    <row r="263">
      <c r="A263" s="32" t="str">
        <f>IFERROR(__xludf.DUMMYFUNCTION("""COMPUTED_VALUE"""),"Guard Shield")</f>
        <v>Guard Shield</v>
      </c>
      <c r="B263" s="32" t="str">
        <f>IFERROR(__xludf.DUMMYFUNCTION("""COMPUTED_VALUE"""),"Quest Item")</f>
        <v>Quest Item</v>
      </c>
      <c r="C263" s="32" t="str">
        <f>IFERROR(__xludf.DUMMYFUNCTION("""COMPUTED_VALUE"""),"Towershield")</f>
        <v>Towershield</v>
      </c>
      <c r="D263" s="32" t="str">
        <f>IFERROR(__xludf.DUMMYFUNCTION("""COMPUTED_VALUE"""),"Hand")</f>
        <v>Hand</v>
      </c>
      <c r="E263" s="32">
        <f>IFERROR(__xludf.DUMMYFUNCTION("""COMPUTED_VALUE"""),200.0)</f>
        <v>200</v>
      </c>
      <c r="F263" s="32" t="str">
        <f>IFERROR(__xludf.DUMMYFUNCTION("""COMPUTED_VALUE"""),"DEF: +25000, Light DEF: +25000, Celestial DEF: +25000")</f>
        <v>DEF: +25000, Light DEF: +25000, Celestial DEF: +25000</v>
      </c>
      <c r="G263" s="32">
        <f>IFERROR(__xludf.DUMMYFUNCTION("""COMPUTED_VALUE"""),1.1175E8)</f>
        <v>111750000</v>
      </c>
      <c r="H263" s="32"/>
      <c r="I263" s="32"/>
      <c r="J263" s="32"/>
      <c r="K263" s="32"/>
      <c r="L263" s="32"/>
      <c r="M263" s="32"/>
      <c r="N263" s="32"/>
      <c r="O263" s="32"/>
      <c r="P263" s="32"/>
      <c r="Q263" s="32"/>
      <c r="R263" s="32"/>
      <c r="S263" s="32"/>
      <c r="T263" s="32"/>
      <c r="U263" s="32"/>
      <c r="V263" s="32"/>
      <c r="W263" s="32"/>
      <c r="X263" s="32"/>
      <c r="Y263" s="32"/>
      <c r="Z263" s="32"/>
    </row>
    <row r="264">
      <c r="A264" s="32" t="str">
        <f>IFERROR(__xludf.DUMMYFUNCTION("""COMPUTED_VALUE"""),"Guard Sword")</f>
        <v>Guard Sword</v>
      </c>
      <c r="B264" s="32" t="str">
        <f>IFERROR(__xludf.DUMMYFUNCTION("""COMPUTED_VALUE"""),"Quest Item")</f>
        <v>Quest Item</v>
      </c>
      <c r="C264" s="32" t="str">
        <f>IFERROR(__xludf.DUMMYFUNCTION("""COMPUTED_VALUE"""),"Sword")</f>
        <v>Sword</v>
      </c>
      <c r="D264" s="32" t="str">
        <f>IFERROR(__xludf.DUMMYFUNCTION("""COMPUTED_VALUE"""),"Hand")</f>
        <v>Hand</v>
      </c>
      <c r="E264" s="32">
        <f>IFERROR(__xludf.DUMMYFUNCTION("""COMPUTED_VALUE"""),200.0)</f>
        <v>200</v>
      </c>
      <c r="F264" s="32" t="str">
        <f>IFERROR(__xludf.DUMMYFUNCTION("""COMPUTED_VALUE"""),"DMG: +25000, Light DMG: +25000, Celestial DMG: +25000")</f>
        <v>DMG: +25000, Light DMG: +25000, Celestial DMG: +25000</v>
      </c>
      <c r="G264" s="32">
        <f>IFERROR(__xludf.DUMMYFUNCTION("""COMPUTED_VALUE"""),1.1175E8)</f>
        <v>111750000</v>
      </c>
      <c r="H264" s="32"/>
      <c r="I264" s="32"/>
      <c r="J264" s="32"/>
      <c r="K264" s="32"/>
      <c r="L264" s="32"/>
      <c r="M264" s="32"/>
      <c r="N264" s="32"/>
      <c r="O264" s="32"/>
      <c r="P264" s="32"/>
      <c r="Q264" s="32"/>
      <c r="R264" s="32"/>
      <c r="S264" s="32"/>
      <c r="T264" s="32"/>
      <c r="U264" s="32"/>
      <c r="V264" s="32"/>
      <c r="W264" s="32"/>
      <c r="X264" s="32"/>
      <c r="Y264" s="32"/>
      <c r="Z264" s="32"/>
    </row>
    <row r="265">
      <c r="A265" s="32" t="str">
        <f>IFERROR(__xludf.DUMMYFUNCTION("""COMPUTED_VALUE"""),"Steel Armor")</f>
        <v>Steel Armor</v>
      </c>
      <c r="B265" s="32"/>
      <c r="C265" s="32"/>
      <c r="D265" s="32" t="str">
        <f>IFERROR(__xludf.DUMMYFUNCTION("""COMPUTED_VALUE"""),"Torso")</f>
        <v>Torso</v>
      </c>
      <c r="E265" s="32">
        <f>IFERROR(__xludf.DUMMYFUNCTION("""COMPUTED_VALUE"""),1.0)</f>
        <v>1</v>
      </c>
      <c r="F265" s="32" t="str">
        <f>IFERROR(__xludf.DUMMYFUNCTION("""COMPUTED_VALUE"""),"DEF: +20")</f>
        <v>DEF: +20</v>
      </c>
      <c r="G265" s="32">
        <f>IFERROR(__xludf.DUMMYFUNCTION("""COMPUTED_VALUE"""),0.0)</f>
        <v>0</v>
      </c>
      <c r="H265" s="32"/>
      <c r="I265" s="32"/>
      <c r="J265" s="32"/>
      <c r="K265" s="32"/>
      <c r="L265" s="32"/>
      <c r="M265" s="32"/>
      <c r="N265" s="32"/>
      <c r="O265" s="32"/>
      <c r="P265" s="32"/>
      <c r="Q265" s="32"/>
      <c r="R265" s="32"/>
      <c r="S265" s="32"/>
      <c r="T265" s="32"/>
      <c r="U265" s="32"/>
      <c r="V265" s="32"/>
      <c r="W265" s="32"/>
      <c r="X265" s="32"/>
      <c r="Y265" s="32"/>
      <c r="Z265" s="32"/>
    </row>
    <row r="266">
      <c r="A266" s="32" t="str">
        <f>IFERROR(__xludf.DUMMYFUNCTION("""COMPUTED_VALUE"""),"Steel Broadsword")</f>
        <v>Steel Broadsword</v>
      </c>
      <c r="B266" s="32"/>
      <c r="C266" s="32" t="str">
        <f>IFERROR(__xludf.DUMMYFUNCTION("""COMPUTED_VALUE"""),"Sword")</f>
        <v>Sword</v>
      </c>
      <c r="D266" s="32" t="str">
        <f>IFERROR(__xludf.DUMMYFUNCTION("""COMPUTED_VALUE"""),"Hand")</f>
        <v>Hand</v>
      </c>
      <c r="E266" s="32">
        <f>IFERROR(__xludf.DUMMYFUNCTION("""COMPUTED_VALUE"""),40.0)</f>
        <v>40</v>
      </c>
      <c r="F266" s="32" t="str">
        <f>IFERROR(__xludf.DUMMYFUNCTION("""COMPUTED_VALUE"""),"DMG: +2000")</f>
        <v>DMG: +2000</v>
      </c>
      <c r="G266" s="32">
        <f>IFERROR(__xludf.DUMMYFUNCTION("""COMPUTED_VALUE"""),60000.0)</f>
        <v>60000</v>
      </c>
      <c r="H266" s="32"/>
      <c r="I266" s="32"/>
      <c r="J266" s="32"/>
      <c r="K266" s="32"/>
      <c r="L266" s="32"/>
      <c r="M266" s="32"/>
      <c r="N266" s="32"/>
      <c r="O266" s="32"/>
      <c r="P266" s="32"/>
      <c r="Q266" s="32"/>
      <c r="R266" s="32"/>
      <c r="S266" s="32"/>
      <c r="T266" s="32"/>
      <c r="U266" s="32"/>
      <c r="V266" s="32"/>
      <c r="W266" s="32"/>
      <c r="X266" s="32"/>
      <c r="Y266" s="32"/>
      <c r="Z266" s="32"/>
    </row>
    <row r="267">
      <c r="A267" s="32" t="str">
        <f>IFERROR(__xludf.DUMMYFUNCTION("""COMPUTED_VALUE"""),"Steel Sword")</f>
        <v>Steel Sword</v>
      </c>
      <c r="B267" s="32"/>
      <c r="C267" s="32" t="str">
        <f>IFERROR(__xludf.DUMMYFUNCTION("""COMPUTED_VALUE"""),"Sword")</f>
        <v>Sword</v>
      </c>
      <c r="D267" s="32" t="str">
        <f>IFERROR(__xludf.DUMMYFUNCTION("""COMPUTED_VALUE"""),"Hand")</f>
        <v>Hand</v>
      </c>
      <c r="E267" s="32">
        <f>IFERROR(__xludf.DUMMYFUNCTION("""COMPUTED_VALUE"""),10.0)</f>
        <v>10</v>
      </c>
      <c r="F267" s="32" t="str">
        <f>IFERROR(__xludf.DUMMYFUNCTION("""COMPUTED_VALUE"""),"DMG: +500")</f>
        <v>DMG: +500</v>
      </c>
      <c r="G267" s="32">
        <f>IFERROR(__xludf.DUMMYFUNCTION("""COMPUTED_VALUE"""),1000.0)</f>
        <v>1000</v>
      </c>
      <c r="H267" s="32"/>
      <c r="I267" s="32"/>
      <c r="J267" s="32"/>
      <c r="K267" s="32"/>
      <c r="L267" s="32"/>
      <c r="M267" s="32"/>
      <c r="N267" s="32"/>
      <c r="O267" s="32"/>
      <c r="P267" s="32"/>
      <c r="Q267" s="32"/>
      <c r="R267" s="32"/>
      <c r="S267" s="32"/>
      <c r="T267" s="32"/>
      <c r="U267" s="32"/>
      <c r="V267" s="32"/>
      <c r="W267" s="32"/>
      <c r="X267" s="32"/>
      <c r="Y267" s="32"/>
      <c r="Z267" s="32"/>
    </row>
    <row r="268">
      <c r="A268" s="32" t="str">
        <f>IFERROR(__xludf.DUMMYFUNCTION("""COMPUTED_VALUE"""),"Stick of Mystery ")</f>
        <v>Stick of Mystery </v>
      </c>
      <c r="B268" s="32" t="str">
        <f>IFERROR(__xludf.DUMMYFUNCTION("""COMPUTED_VALUE"""),"Those who doubt the stick's power will suffer the stick's wrath")</f>
        <v>Those who doubt the stick's power will suffer the stick's wrath</v>
      </c>
      <c r="C268" s="32" t="str">
        <f>IFERROR(__xludf.DUMMYFUNCTION("""COMPUTED_VALUE"""),"Wand")</f>
        <v>Wand</v>
      </c>
      <c r="D268" s="32" t="str">
        <f>IFERROR(__xludf.DUMMYFUNCTION("""COMPUTED_VALUE"""),"Hand")</f>
        <v>Hand</v>
      </c>
      <c r="E268" s="32">
        <f>IFERROR(__xludf.DUMMYFUNCTION("""COMPUTED_VALUE"""),1.0)</f>
        <v>1</v>
      </c>
      <c r="F268" s="32" t="str">
        <f>IFERROR(__xludf.DUMMYFUNCTION("""COMPUTED_VALUE""")," ++roll a d20 to see what it does :)")</f>
        <v> ++roll a d20 to see what it does :)</v>
      </c>
      <c r="G268" s="32">
        <f>IFERROR(__xludf.DUMMYFUNCTION("""COMPUTED_VALUE"""),0.0)</f>
        <v>0</v>
      </c>
      <c r="H268" s="32"/>
      <c r="I268" s="32"/>
      <c r="J268" s="32"/>
      <c r="K268" s="32"/>
      <c r="L268" s="32"/>
      <c r="M268" s="32"/>
      <c r="N268" s="32"/>
      <c r="O268" s="32"/>
      <c r="P268" s="32"/>
      <c r="Q268" s="32"/>
      <c r="R268" s="32"/>
      <c r="S268" s="32"/>
      <c r="T268" s="32"/>
      <c r="U268" s="32"/>
      <c r="V268" s="32"/>
      <c r="W268" s="32"/>
      <c r="X268" s="32"/>
      <c r="Y268" s="32"/>
      <c r="Z268" s="32"/>
    </row>
    <row r="269">
      <c r="A269" s="32" t="str">
        <f>IFERROR(__xludf.DUMMYFUNCTION("""COMPUTED_VALUE"""),"Stone Arming Sword")</f>
        <v>Stone Arming Sword</v>
      </c>
      <c r="B269" s="32"/>
      <c r="C269" s="32" t="str">
        <f>IFERROR(__xludf.DUMMYFUNCTION("""COMPUTED_VALUE"""),"Sword")</f>
        <v>Sword</v>
      </c>
      <c r="D269" s="32" t="str">
        <f>IFERROR(__xludf.DUMMYFUNCTION("""COMPUTED_VALUE"""),"Hand")</f>
        <v>Hand</v>
      </c>
      <c r="E269" s="32">
        <f>IFERROR(__xludf.DUMMYFUNCTION("""COMPUTED_VALUE"""),20.0)</f>
        <v>20</v>
      </c>
      <c r="F269" s="32" t="str">
        <f>IFERROR(__xludf.DUMMYFUNCTION("""COMPUTED_VALUE"""),"DMG: +500, Dark DMG: +200")</f>
        <v>DMG: +500, Dark DMG: +200</v>
      </c>
      <c r="G269" s="32">
        <f>IFERROR(__xludf.DUMMYFUNCTION("""COMPUTED_VALUE"""),1000.0)</f>
        <v>1000</v>
      </c>
      <c r="H269" s="32"/>
      <c r="I269" s="32"/>
      <c r="J269" s="32"/>
      <c r="K269" s="32"/>
      <c r="L269" s="32"/>
      <c r="M269" s="32"/>
      <c r="N269" s="32"/>
      <c r="O269" s="32"/>
      <c r="P269" s="32"/>
      <c r="Q269" s="32"/>
      <c r="R269" s="32"/>
      <c r="S269" s="32"/>
      <c r="T269" s="32"/>
      <c r="U269" s="32"/>
      <c r="V269" s="32"/>
      <c r="W269" s="32"/>
      <c r="X269" s="32"/>
      <c r="Y269" s="32"/>
      <c r="Z269" s="32"/>
    </row>
    <row r="270">
      <c r="A270" s="32" t="str">
        <f>IFERROR(__xludf.DUMMYFUNCTION("""COMPUTED_VALUE"""),"Stone Sledgehammer")</f>
        <v>Stone Sledgehammer</v>
      </c>
      <c r="B270" s="32"/>
      <c r="C270" s="32" t="str">
        <f>IFERROR(__xludf.DUMMYFUNCTION("""COMPUTED_VALUE"""),"Club")</f>
        <v>Club</v>
      </c>
      <c r="D270" s="32" t="str">
        <f>IFERROR(__xludf.DUMMYFUNCTION("""COMPUTED_VALUE"""),"Hand")</f>
        <v>Hand</v>
      </c>
      <c r="E270" s="32">
        <f>IFERROR(__xludf.DUMMYFUNCTION("""COMPUTED_VALUE"""),20.0)</f>
        <v>20</v>
      </c>
      <c r="F270" s="32" t="str">
        <f>IFERROR(__xludf.DUMMYFUNCTION("""COMPUTED_VALUE"""),"DMG: +400, Earth DMG: +200")</f>
        <v>DMG: +400, Earth DMG: +200</v>
      </c>
      <c r="G270" s="32">
        <f>IFERROR(__xludf.DUMMYFUNCTION("""COMPUTED_VALUE"""),1000.0)</f>
        <v>1000</v>
      </c>
      <c r="H270" s="32"/>
      <c r="I270" s="32"/>
      <c r="J270" s="32"/>
      <c r="K270" s="32"/>
      <c r="L270" s="32"/>
      <c r="M270" s="32"/>
      <c r="N270" s="32"/>
      <c r="O270" s="32"/>
      <c r="P270" s="32"/>
      <c r="Q270" s="32"/>
      <c r="R270" s="32"/>
      <c r="S270" s="32"/>
      <c r="T270" s="32"/>
      <c r="U270" s="32"/>
      <c r="V270" s="32"/>
      <c r="W270" s="32"/>
      <c r="X270" s="32"/>
      <c r="Y270" s="32"/>
      <c r="Z270" s="32"/>
    </row>
    <row r="271">
      <c r="A271" s="32" t="str">
        <f>IFERROR(__xludf.DUMMYFUNCTION("""COMPUTED_VALUE"""),"Stone Small Shield")</f>
        <v>Stone Small Shield</v>
      </c>
      <c r="B271" s="32"/>
      <c r="C271" s="32" t="str">
        <f>IFERROR(__xludf.DUMMYFUNCTION("""COMPUTED_VALUE"""),"Buckler")</f>
        <v>Buckler</v>
      </c>
      <c r="D271" s="32" t="str">
        <f>IFERROR(__xludf.DUMMYFUNCTION("""COMPUTED_VALUE"""),"Hand")</f>
        <v>Hand</v>
      </c>
      <c r="E271" s="32">
        <f>IFERROR(__xludf.DUMMYFUNCTION("""COMPUTED_VALUE"""),1.0)</f>
        <v>1</v>
      </c>
      <c r="F271" s="32" t="str">
        <f>IFERROR(__xludf.DUMMYFUNCTION("""COMPUTED_VALUE"""),"DEF: +100")</f>
        <v>DEF: +100</v>
      </c>
      <c r="G271" s="32">
        <f>IFERROR(__xludf.DUMMYFUNCTION("""COMPUTED_VALUE"""),0.0)</f>
        <v>0</v>
      </c>
      <c r="H271" s="32"/>
      <c r="I271" s="32"/>
      <c r="J271" s="32"/>
      <c r="K271" s="32"/>
      <c r="L271" s="32"/>
      <c r="M271" s="32"/>
      <c r="N271" s="32"/>
      <c r="O271" s="32"/>
      <c r="P271" s="32"/>
      <c r="Q271" s="32"/>
      <c r="R271" s="32"/>
      <c r="S271" s="32"/>
      <c r="T271" s="32"/>
      <c r="U271" s="32"/>
      <c r="V271" s="32"/>
      <c r="W271" s="32"/>
      <c r="X271" s="32"/>
      <c r="Y271" s="32"/>
      <c r="Z271" s="32"/>
    </row>
    <row r="272">
      <c r="A272" s="32" t="str">
        <f>IFERROR(__xludf.DUMMYFUNCTION("""COMPUTED_VALUE"""),"Stonewall Shield")</f>
        <v>Stonewall Shield</v>
      </c>
      <c r="B272" s="32"/>
      <c r="C272" s="32" t="str">
        <f>IFERROR(__xludf.DUMMYFUNCTION("""COMPUTED_VALUE"""),"Towershield")</f>
        <v>Towershield</v>
      </c>
      <c r="D272" s="32" t="str">
        <f>IFERROR(__xludf.DUMMYFUNCTION("""COMPUTED_VALUE"""),"Hand")</f>
        <v>Hand</v>
      </c>
      <c r="E272" s="32">
        <f>IFERROR(__xludf.DUMMYFUNCTION("""COMPUTED_VALUE"""),10.0)</f>
        <v>10</v>
      </c>
      <c r="F272" s="32" t="str">
        <f>IFERROR(__xludf.DUMMYFUNCTION("""COMPUTED_VALUE"""),"DEF: +500 ++Immunity to earth")</f>
        <v>DEF: +500 ++Immunity to earth</v>
      </c>
      <c r="G272" s="32">
        <f>IFERROR(__xludf.DUMMYFUNCTION("""COMPUTED_VALUE"""),1000.0)</f>
        <v>1000</v>
      </c>
      <c r="H272" s="32"/>
      <c r="I272" s="32"/>
      <c r="J272" s="32"/>
      <c r="K272" s="32"/>
      <c r="L272" s="32"/>
      <c r="M272" s="32"/>
      <c r="N272" s="32"/>
      <c r="O272" s="32"/>
      <c r="P272" s="32"/>
      <c r="Q272" s="32"/>
      <c r="R272" s="32"/>
      <c r="S272" s="32"/>
      <c r="T272" s="32"/>
      <c r="U272" s="32"/>
      <c r="V272" s="32"/>
      <c r="W272" s="32"/>
      <c r="X272" s="32"/>
      <c r="Y272" s="32"/>
      <c r="Z272" s="32"/>
    </row>
    <row r="273">
      <c r="A273" s="32" t="str">
        <f>IFERROR(__xludf.DUMMYFUNCTION("""COMPUTED_VALUE"""),"Sturdy Wooden Shield")</f>
        <v>Sturdy Wooden Shield</v>
      </c>
      <c r="B273" s="32" t="str">
        <f>IFERROR(__xludf.DUMMYFUNCTION("""COMPUTED_VALUE"""),"A wooden shield")</f>
        <v>A wooden shield</v>
      </c>
      <c r="C273" s="32" t="str">
        <f>IFERROR(__xludf.DUMMYFUNCTION("""COMPUTED_VALUE"""),"Towershield")</f>
        <v>Towershield</v>
      </c>
      <c r="D273" s="32" t="str">
        <f>IFERROR(__xludf.DUMMYFUNCTION("""COMPUTED_VALUE"""),"Hand")</f>
        <v>Hand</v>
      </c>
      <c r="E273" s="32">
        <f>IFERROR(__xludf.DUMMYFUNCTION("""COMPUTED_VALUE"""),1.0)</f>
        <v>1</v>
      </c>
      <c r="F273" s="32" t="str">
        <f>IFERROR(__xludf.DUMMYFUNCTION("""COMPUTED_VALUE"""),"DEF: +50")</f>
        <v>DEF: +50</v>
      </c>
      <c r="G273" s="32">
        <f>IFERROR(__xludf.DUMMYFUNCTION("""COMPUTED_VALUE"""),0.0)</f>
        <v>0</v>
      </c>
      <c r="H273" s="32"/>
      <c r="I273" s="32"/>
      <c r="J273" s="32"/>
      <c r="K273" s="32"/>
      <c r="L273" s="32"/>
      <c r="M273" s="32"/>
      <c r="N273" s="32"/>
      <c r="O273" s="32"/>
      <c r="P273" s="32"/>
      <c r="Q273" s="32"/>
      <c r="R273" s="32"/>
      <c r="S273" s="32"/>
      <c r="T273" s="32"/>
      <c r="U273" s="32"/>
      <c r="V273" s="32"/>
      <c r="W273" s="32"/>
      <c r="X273" s="32"/>
      <c r="Y273" s="32"/>
      <c r="Z273" s="32"/>
    </row>
    <row r="274">
      <c r="A274" s="32" t="str">
        <f>IFERROR(__xludf.DUMMYFUNCTION("""COMPUTED_VALUE"""),"Swampville Dagger")</f>
        <v>Swampville Dagger</v>
      </c>
      <c r="B274" s="32"/>
      <c r="C274" s="32" t="str">
        <f>IFERROR(__xludf.DUMMYFUNCTION("""COMPUTED_VALUE"""),"Knife")</f>
        <v>Knife</v>
      </c>
      <c r="D274" s="32" t="str">
        <f>IFERROR(__xludf.DUMMYFUNCTION("""COMPUTED_VALUE"""),"Hand")</f>
        <v>Hand</v>
      </c>
      <c r="E274" s="32">
        <f>IFERROR(__xludf.DUMMYFUNCTION("""COMPUTED_VALUE"""),400.0)</f>
        <v>400</v>
      </c>
      <c r="F274" s="32" t="str">
        <f>IFERROR(__xludf.DUMMYFUNCTION("""COMPUTED_VALUE"""),"DMG: +10000, Nature DMG: +10000 ++Poison 5000 for 3 rounds.")</f>
        <v>DMG: +10000, Nature DMG: +10000 ++Poison 5000 for 3 rounds.</v>
      </c>
      <c r="G274" s="32">
        <f>IFERROR(__xludf.DUMMYFUNCTION("""COMPUTED_VALUE"""),7800000.0)</f>
        <v>7800000</v>
      </c>
      <c r="H274" s="32"/>
      <c r="I274" s="32"/>
      <c r="J274" s="32"/>
      <c r="K274" s="32"/>
      <c r="L274" s="32"/>
      <c r="M274" s="32"/>
      <c r="N274" s="32"/>
      <c r="O274" s="32"/>
      <c r="P274" s="32"/>
      <c r="Q274" s="32"/>
      <c r="R274" s="32"/>
      <c r="S274" s="32"/>
      <c r="T274" s="32"/>
      <c r="U274" s="32"/>
      <c r="V274" s="32"/>
      <c r="W274" s="32"/>
      <c r="X274" s="32"/>
      <c r="Y274" s="32"/>
      <c r="Z274" s="32"/>
    </row>
    <row r="275">
      <c r="A275" s="32" t="str">
        <f>IFERROR(__xludf.DUMMYFUNCTION("""COMPUTED_VALUE"""),"Sword of Bad Luck")</f>
        <v>Sword of Bad Luck</v>
      </c>
      <c r="B275" s="32"/>
      <c r="C275" s="32" t="str">
        <f>IFERROR(__xludf.DUMMYFUNCTION("""COMPUTED_VALUE"""),"Sword")</f>
        <v>Sword</v>
      </c>
      <c r="D275" s="32" t="str">
        <f>IFERROR(__xludf.DUMMYFUNCTION("""COMPUTED_VALUE"""),"Hand")</f>
        <v>Hand</v>
      </c>
      <c r="E275" s="32">
        <f>IFERROR(__xludf.DUMMYFUNCTION("""COMPUTED_VALUE"""),600.0)</f>
        <v>600</v>
      </c>
      <c r="F275" s="32" t="str">
        <f>IFERROR(__xludf.DUMMYFUNCTION("""COMPUTED_VALUE"""),"DMG: +30000 ++GSteal - Steal X amount of gilders equal to the amount of damage caused with this weapon.")</f>
        <v>DMG: +30000 ++GSteal - Steal X amount of gilders equal to the amount of damage caused with this weapon.</v>
      </c>
      <c r="G275" s="32">
        <f>IFERROR(__xludf.DUMMYFUNCTION("""COMPUTED_VALUE"""),1.77E7)</f>
        <v>17700000</v>
      </c>
      <c r="H275" s="32"/>
      <c r="I275" s="32"/>
      <c r="J275" s="32"/>
      <c r="K275" s="32"/>
      <c r="L275" s="32"/>
      <c r="M275" s="32"/>
      <c r="N275" s="32"/>
      <c r="O275" s="32"/>
      <c r="P275" s="32"/>
      <c r="Q275" s="32"/>
      <c r="R275" s="32"/>
      <c r="S275" s="32"/>
      <c r="T275" s="32"/>
      <c r="U275" s="32"/>
      <c r="V275" s="32"/>
      <c r="W275" s="32"/>
      <c r="X275" s="32"/>
      <c r="Y275" s="32"/>
      <c r="Z275" s="32"/>
    </row>
    <row r="276">
      <c r="A276" s="32" t="str">
        <f>IFERROR(__xludf.DUMMYFUNCTION("""COMPUTED_VALUE"""),"Sword of Chaotic Shadows")</f>
        <v>Sword of Chaotic Shadows</v>
      </c>
      <c r="B276" s="32"/>
      <c r="C276" s="32" t="str">
        <f>IFERROR(__xludf.DUMMYFUNCTION("""COMPUTED_VALUE"""),"Sword")</f>
        <v>Sword</v>
      </c>
      <c r="D276" s="32" t="str">
        <f>IFERROR(__xludf.DUMMYFUNCTION("""COMPUTED_VALUE"""),"Hand")</f>
        <v>Hand</v>
      </c>
      <c r="E276" s="32">
        <f>IFERROR(__xludf.DUMMYFUNCTION("""COMPUTED_VALUE"""),600.0)</f>
        <v>600</v>
      </c>
      <c r="F276" s="32" t="str">
        <f>IFERROR(__xludf.DUMMYFUNCTION("""COMPUTED_VALUE"""),"DMG: +10000, Dark DMG: +10000, Chaos DMG: +10000")</f>
        <v>DMG: +10000, Dark DMG: +10000, Chaos DMG: +10000</v>
      </c>
      <c r="G276" s="32">
        <f>IFERROR(__xludf.DUMMYFUNCTION("""COMPUTED_VALUE"""),1.77E7)</f>
        <v>17700000</v>
      </c>
      <c r="H276" s="32"/>
      <c r="I276" s="32"/>
      <c r="J276" s="32"/>
      <c r="K276" s="32"/>
      <c r="L276" s="32"/>
      <c r="M276" s="32"/>
      <c r="N276" s="32"/>
      <c r="O276" s="32"/>
      <c r="P276" s="32"/>
      <c r="Q276" s="32"/>
      <c r="R276" s="32"/>
      <c r="S276" s="32"/>
      <c r="T276" s="32"/>
      <c r="U276" s="32"/>
      <c r="V276" s="32"/>
      <c r="W276" s="32"/>
      <c r="X276" s="32"/>
      <c r="Y276" s="32"/>
      <c r="Z276" s="32"/>
    </row>
    <row r="277">
      <c r="A277" s="32" t="str">
        <f>IFERROR(__xludf.DUMMYFUNCTION("""COMPUTED_VALUE"""),"Sword Of Darkness")</f>
        <v>Sword Of Darkness</v>
      </c>
      <c r="B277" s="32"/>
      <c r="C277" s="32" t="str">
        <f>IFERROR(__xludf.DUMMYFUNCTION("""COMPUTED_VALUE"""),"Sword")</f>
        <v>Sword</v>
      </c>
      <c r="D277" s="32" t="str">
        <f>IFERROR(__xludf.DUMMYFUNCTION("""COMPUTED_VALUE"""),"Hand")</f>
        <v>Hand</v>
      </c>
      <c r="E277" s="32">
        <f>IFERROR(__xludf.DUMMYFUNCTION("""COMPUTED_VALUE"""),20.0)</f>
        <v>20</v>
      </c>
      <c r="F277" s="32" t="str">
        <f>IFERROR(__xludf.DUMMYFUNCTION("""COMPUTED_VALUE"""),"DMG: +500, Dark DMG: +200")</f>
        <v>DMG: +500, Dark DMG: +200</v>
      </c>
      <c r="G277" s="32">
        <f>IFERROR(__xludf.DUMMYFUNCTION("""COMPUTED_VALUE"""),1000.0)</f>
        <v>1000</v>
      </c>
      <c r="H277" s="32"/>
      <c r="I277" s="32"/>
      <c r="J277" s="32"/>
      <c r="K277" s="32"/>
      <c r="L277" s="32"/>
      <c r="M277" s="32"/>
      <c r="N277" s="32"/>
      <c r="O277" s="32"/>
      <c r="P277" s="32"/>
      <c r="Q277" s="32"/>
      <c r="R277" s="32"/>
      <c r="S277" s="32"/>
      <c r="T277" s="32"/>
      <c r="U277" s="32"/>
      <c r="V277" s="32"/>
      <c r="W277" s="32"/>
      <c r="X277" s="32"/>
      <c r="Y277" s="32"/>
      <c r="Z277" s="32"/>
    </row>
    <row r="278">
      <c r="A278" s="32" t="str">
        <f>IFERROR(__xludf.DUMMYFUNCTION("""COMPUTED_VALUE"""),"Sword of Disorder")</f>
        <v>Sword of Disorder</v>
      </c>
      <c r="B278" s="32"/>
      <c r="C278" s="32" t="str">
        <f>IFERROR(__xludf.DUMMYFUNCTION("""COMPUTED_VALUE"""),"Sword")</f>
        <v>Sword</v>
      </c>
      <c r="D278" s="32" t="str">
        <f>IFERROR(__xludf.DUMMYFUNCTION("""COMPUTED_VALUE"""),"Hand")</f>
        <v>Hand</v>
      </c>
      <c r="E278" s="32">
        <f>IFERROR(__xludf.DUMMYFUNCTION("""COMPUTED_VALUE"""),1.0)</f>
        <v>1</v>
      </c>
      <c r="F278" s="32"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32">
        <f>IFERROR(__xludf.DUMMYFUNCTION("""COMPUTED_VALUE"""),0.0)</f>
        <v>0</v>
      </c>
      <c r="H278" s="32"/>
      <c r="I278" s="32"/>
      <c r="J278" s="32"/>
      <c r="K278" s="32"/>
      <c r="L278" s="32"/>
      <c r="M278" s="32"/>
      <c r="N278" s="32"/>
      <c r="O278" s="32"/>
      <c r="P278" s="32"/>
      <c r="Q278" s="32"/>
      <c r="R278" s="32"/>
      <c r="S278" s="32"/>
      <c r="T278" s="32"/>
      <c r="U278" s="32"/>
      <c r="V278" s="32"/>
      <c r="W278" s="32"/>
      <c r="X278" s="32"/>
      <c r="Y278" s="32"/>
      <c r="Z278" s="32"/>
    </row>
    <row r="279">
      <c r="A279" s="32" t="str">
        <f>IFERROR(__xludf.DUMMYFUNCTION("""COMPUTED_VALUE"""),"Sword Of Divine Flames")</f>
        <v>Sword Of Divine Flames</v>
      </c>
      <c r="B279" s="32"/>
      <c r="C279" s="32" t="str">
        <f>IFERROR(__xludf.DUMMYFUNCTION("""COMPUTED_VALUE"""),"Sword")</f>
        <v>Sword</v>
      </c>
      <c r="D279" s="32" t="str">
        <f>IFERROR(__xludf.DUMMYFUNCTION("""COMPUTED_VALUE"""),"Hand")</f>
        <v>Hand</v>
      </c>
      <c r="E279" s="32">
        <f>IFERROR(__xludf.DUMMYFUNCTION("""COMPUTED_VALUE"""),300.0)</f>
        <v>300</v>
      </c>
      <c r="F279" s="32"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32">
        <f>IFERROR(__xludf.DUMMYFUNCTION("""COMPUTED_VALUE"""),4350000.0)</f>
        <v>4350000</v>
      </c>
      <c r="H279" s="32"/>
      <c r="I279" s="32"/>
      <c r="J279" s="32"/>
      <c r="K279" s="32"/>
      <c r="L279" s="32"/>
      <c r="M279" s="32"/>
      <c r="N279" s="32"/>
      <c r="O279" s="32"/>
      <c r="P279" s="32"/>
      <c r="Q279" s="32"/>
      <c r="R279" s="32"/>
      <c r="S279" s="32"/>
      <c r="T279" s="32"/>
      <c r="U279" s="32"/>
      <c r="V279" s="32"/>
      <c r="W279" s="32"/>
      <c r="X279" s="32"/>
      <c r="Y279" s="32"/>
      <c r="Z279" s="32"/>
    </row>
    <row r="280">
      <c r="A280" s="32" t="str">
        <f>IFERROR(__xludf.DUMMYFUNCTION("""COMPUTED_VALUE"""),"Sword of Eternal darkness")</f>
        <v>Sword of Eternal darkness</v>
      </c>
      <c r="B280" s="32"/>
      <c r="C280" s="32" t="str">
        <f>IFERROR(__xludf.DUMMYFUNCTION("""COMPUTED_VALUE"""),"Sword")</f>
        <v>Sword</v>
      </c>
      <c r="D280" s="32" t="str">
        <f>IFERROR(__xludf.DUMMYFUNCTION("""COMPUTED_VALUE"""),"Hand")</f>
        <v>Hand</v>
      </c>
      <c r="E280" s="32">
        <f>IFERROR(__xludf.DUMMYFUNCTION("""COMPUTED_VALUE"""),30.0)</f>
        <v>30</v>
      </c>
      <c r="F280" s="32" t="str">
        <f>IFERROR(__xludf.DUMMYFUNCTION("""COMPUTED_VALUE"""),"DMG: +500, Dark DMG: +600")</f>
        <v>DMG: +500, Dark DMG: +600</v>
      </c>
      <c r="G280" s="32">
        <f>IFERROR(__xludf.DUMMYFUNCTION("""COMPUTED_VALUE"""),10000.0)</f>
        <v>10000</v>
      </c>
      <c r="H280" s="32"/>
      <c r="I280" s="32"/>
      <c r="J280" s="32"/>
      <c r="K280" s="32"/>
      <c r="L280" s="32"/>
      <c r="M280" s="32"/>
      <c r="N280" s="32"/>
      <c r="O280" s="32"/>
      <c r="P280" s="32"/>
      <c r="Q280" s="32"/>
      <c r="R280" s="32"/>
      <c r="S280" s="32"/>
      <c r="T280" s="32"/>
      <c r="U280" s="32"/>
      <c r="V280" s="32"/>
      <c r="W280" s="32"/>
      <c r="X280" s="32"/>
      <c r="Y280" s="32"/>
      <c r="Z280" s="32"/>
    </row>
    <row r="281">
      <c r="A281" s="32" t="str">
        <f>IFERROR(__xludf.DUMMYFUNCTION("""COMPUTED_VALUE"""),"Hela's Death Scythe")</f>
        <v>Hela's Death Scythe</v>
      </c>
      <c r="B281" s="32"/>
      <c r="C281" s="32" t="str">
        <f>IFERROR(__xludf.DUMMYFUNCTION("""COMPUTED_VALUE"""),"Scythe")</f>
        <v>Scythe</v>
      </c>
      <c r="D281" s="32" t="str">
        <f>IFERROR(__xludf.DUMMYFUNCTION("""COMPUTED_VALUE"""),"Hand")</f>
        <v>Hand</v>
      </c>
      <c r="E281" s="32">
        <f>IFERROR(__xludf.DUMMYFUNCTION("""COMPUTED_VALUE"""),1.0)</f>
        <v>1</v>
      </c>
      <c r="F281" s="32"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32">
        <f>IFERROR(__xludf.DUMMYFUNCTION("""COMPUTED_VALUE"""),0.0)</f>
        <v>0</v>
      </c>
      <c r="H281" s="32"/>
      <c r="I281" s="32"/>
      <c r="J281" s="32"/>
      <c r="K281" s="32"/>
      <c r="L281" s="32"/>
      <c r="M281" s="32"/>
      <c r="N281" s="32"/>
      <c r="O281" s="32"/>
      <c r="P281" s="32"/>
      <c r="Q281" s="32"/>
      <c r="R281" s="32"/>
      <c r="S281" s="32"/>
      <c r="T281" s="32"/>
      <c r="U281" s="32"/>
      <c r="V281" s="32"/>
      <c r="W281" s="32"/>
      <c r="X281" s="32"/>
      <c r="Y281" s="32"/>
      <c r="Z281" s="32"/>
    </row>
    <row r="282">
      <c r="A282" s="32" t="str">
        <f>IFERROR(__xludf.DUMMYFUNCTION("""COMPUTED_VALUE"""),"Sword of Nature’s Love")</f>
        <v>Sword of Nature’s Love</v>
      </c>
      <c r="B282" s="32"/>
      <c r="C282" s="32" t="str">
        <f>IFERROR(__xludf.DUMMYFUNCTION("""COMPUTED_VALUE"""),"Sword")</f>
        <v>Sword</v>
      </c>
      <c r="D282" s="32" t="str">
        <f>IFERROR(__xludf.DUMMYFUNCTION("""COMPUTED_VALUE"""),"Hand")</f>
        <v>Hand</v>
      </c>
      <c r="E282" s="32">
        <f>IFERROR(__xludf.DUMMYFUNCTION("""COMPUTED_VALUE"""),160.0)</f>
        <v>160</v>
      </c>
      <c r="F282" s="32"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32">
        <f>IFERROR(__xludf.DUMMYFUNCTION("""COMPUTED_VALUE"""),1200000.0)</f>
        <v>1200000</v>
      </c>
      <c r="H282" s="32"/>
      <c r="I282" s="32"/>
      <c r="J282" s="32"/>
      <c r="K282" s="32"/>
      <c r="L282" s="32"/>
      <c r="M282" s="32"/>
      <c r="N282" s="32"/>
      <c r="O282" s="32"/>
      <c r="P282" s="32"/>
      <c r="Q282" s="32"/>
      <c r="R282" s="32"/>
      <c r="S282" s="32"/>
      <c r="T282" s="32"/>
      <c r="U282" s="32"/>
      <c r="V282" s="32"/>
      <c r="W282" s="32"/>
      <c r="X282" s="32"/>
      <c r="Y282" s="32"/>
      <c r="Z282" s="32"/>
    </row>
    <row r="283">
      <c r="A283" s="32" t="str">
        <f>IFERROR(__xludf.DUMMYFUNCTION("""COMPUTED_VALUE"""),"Sword of Shadows")</f>
        <v>Sword of Shadows</v>
      </c>
      <c r="B283" s="32"/>
      <c r="C283" s="32" t="str">
        <f>IFERROR(__xludf.DUMMYFUNCTION("""COMPUTED_VALUE"""),"Sword")</f>
        <v>Sword</v>
      </c>
      <c r="D283" s="32" t="str">
        <f>IFERROR(__xludf.DUMMYFUNCTION("""COMPUTED_VALUE"""),"Hand")</f>
        <v>Hand</v>
      </c>
      <c r="E283" s="32">
        <f>IFERROR(__xludf.DUMMYFUNCTION("""COMPUTED_VALUE"""),30.0)</f>
        <v>30</v>
      </c>
      <c r="F283" s="32" t="str">
        <f>IFERROR(__xludf.DUMMYFUNCTION("""COMPUTED_VALUE"""),"DMG: +1000, Dark DMG: +500")</f>
        <v>DMG: +1000, Dark DMG: +500</v>
      </c>
      <c r="G283" s="32">
        <f>IFERROR(__xludf.DUMMYFUNCTION("""COMPUTED_VALUE"""),30000.0)</f>
        <v>30000</v>
      </c>
      <c r="H283" s="32"/>
      <c r="I283" s="32"/>
      <c r="J283" s="32"/>
      <c r="K283" s="32"/>
      <c r="L283" s="32"/>
      <c r="M283" s="32"/>
      <c r="N283" s="32"/>
      <c r="O283" s="32"/>
      <c r="P283" s="32"/>
      <c r="Q283" s="32"/>
      <c r="R283" s="32"/>
      <c r="S283" s="32"/>
      <c r="T283" s="32"/>
      <c r="U283" s="32"/>
      <c r="V283" s="32"/>
      <c r="W283" s="32"/>
      <c r="X283" s="32"/>
      <c r="Y283" s="32"/>
      <c r="Z283" s="32"/>
    </row>
    <row r="284">
      <c r="A284" s="32" t="str">
        <f>IFERROR(__xludf.DUMMYFUNCTION("""COMPUTED_VALUE"""),"Sword of Steel")</f>
        <v>Sword of Steel</v>
      </c>
      <c r="B284" s="32"/>
      <c r="C284" s="32" t="str">
        <f>IFERROR(__xludf.DUMMYFUNCTION("""COMPUTED_VALUE"""),"Sword")</f>
        <v>Sword</v>
      </c>
      <c r="D284" s="32" t="str">
        <f>IFERROR(__xludf.DUMMYFUNCTION("""COMPUTED_VALUE"""),"Hand")</f>
        <v>Hand</v>
      </c>
      <c r="E284" s="32">
        <f>IFERROR(__xludf.DUMMYFUNCTION("""COMPUTED_VALUE"""),1.0)</f>
        <v>1</v>
      </c>
      <c r="F284" s="32" t="str">
        <f>IFERROR(__xludf.DUMMYFUNCTION("""COMPUTED_VALUE"""),"DMG: +300")</f>
        <v>DMG: +300</v>
      </c>
      <c r="G284" s="32">
        <f>IFERROR(__xludf.DUMMYFUNCTION("""COMPUTED_VALUE"""),0.0)</f>
        <v>0</v>
      </c>
      <c r="H284" s="32"/>
      <c r="I284" s="32"/>
      <c r="J284" s="32"/>
      <c r="K284" s="32"/>
      <c r="L284" s="32"/>
      <c r="M284" s="32"/>
      <c r="N284" s="32"/>
      <c r="O284" s="32"/>
      <c r="P284" s="32"/>
      <c r="Q284" s="32"/>
      <c r="R284" s="32"/>
      <c r="S284" s="32"/>
      <c r="T284" s="32"/>
      <c r="U284" s="32"/>
      <c r="V284" s="32"/>
      <c r="W284" s="32"/>
      <c r="X284" s="32"/>
      <c r="Y284" s="32"/>
      <c r="Z284" s="32"/>
    </row>
    <row r="285">
      <c r="A285" s="32" t="str">
        <f>IFERROR(__xludf.DUMMYFUNCTION("""COMPUTED_VALUE"""),"Sword of The Abyss")</f>
        <v>Sword of The Abyss</v>
      </c>
      <c r="B285" s="32"/>
      <c r="C285" s="32" t="str">
        <f>IFERROR(__xludf.DUMMYFUNCTION("""COMPUTED_VALUE"""),"Sword")</f>
        <v>Sword</v>
      </c>
      <c r="D285" s="32" t="str">
        <f>IFERROR(__xludf.DUMMYFUNCTION("""COMPUTED_VALUE"""),"Hand")</f>
        <v>Hand</v>
      </c>
      <c r="E285" s="32">
        <f>IFERROR(__xludf.DUMMYFUNCTION("""COMPUTED_VALUE"""),260.0)</f>
        <v>260</v>
      </c>
      <c r="F285" s="32" t="str">
        <f>IFERROR(__xludf.DUMMYFUNCTION("""COMPUTED_VALUE"""),"DMG: +8000, Dark DMG: +5000 ++Abyss Embodiment - dark damage is increased by X2 for the user.")</f>
        <v>DMG: +8000, Dark DMG: +5000 ++Abyss Embodiment - dark damage is increased by X2 for the user.</v>
      </c>
      <c r="G285" s="32">
        <f>IFERROR(__xludf.DUMMYFUNCTION("""COMPUTED_VALUE"""),3250000.0)</f>
        <v>3250000</v>
      </c>
      <c r="H285" s="32"/>
      <c r="I285" s="32"/>
      <c r="J285" s="32"/>
      <c r="K285" s="32"/>
      <c r="L285" s="32"/>
      <c r="M285" s="32"/>
      <c r="N285" s="32"/>
      <c r="O285" s="32"/>
      <c r="P285" s="32"/>
      <c r="Q285" s="32"/>
      <c r="R285" s="32"/>
      <c r="S285" s="32"/>
      <c r="T285" s="32"/>
      <c r="U285" s="32"/>
      <c r="V285" s="32"/>
      <c r="W285" s="32"/>
      <c r="X285" s="32"/>
      <c r="Y285" s="32"/>
      <c r="Z285" s="32"/>
    </row>
    <row r="286">
      <c r="A286" s="32" t="str">
        <f>IFERROR(__xludf.DUMMYFUNCTION("""COMPUTED_VALUE"""),"Sword of The Ancient Fire Serpent")</f>
        <v>Sword of The Ancient Fire Serpent</v>
      </c>
      <c r="B286" s="32"/>
      <c r="C286" s="32" t="str">
        <f>IFERROR(__xludf.DUMMYFUNCTION("""COMPUTED_VALUE"""),"Sword")</f>
        <v>Sword</v>
      </c>
      <c r="D286" s="32" t="str">
        <f>IFERROR(__xludf.DUMMYFUNCTION("""COMPUTED_VALUE"""),"Hand")</f>
        <v>Hand</v>
      </c>
      <c r="E286" s="32">
        <f>IFERROR(__xludf.DUMMYFUNCTION("""COMPUTED_VALUE"""),2000.0)</f>
        <v>2000</v>
      </c>
      <c r="F286" s="32"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32">
        <f>IFERROR(__xludf.DUMMYFUNCTION("""COMPUTED_VALUE"""),1.99E8)</f>
        <v>199000000</v>
      </c>
      <c r="H286" s="32"/>
      <c r="I286" s="32"/>
      <c r="J286" s="32"/>
      <c r="K286" s="32"/>
      <c r="L286" s="32"/>
      <c r="M286" s="32"/>
      <c r="N286" s="32"/>
      <c r="O286" s="32"/>
      <c r="P286" s="32"/>
      <c r="Q286" s="32"/>
      <c r="R286" s="32"/>
      <c r="S286" s="32"/>
      <c r="T286" s="32"/>
      <c r="U286" s="32"/>
      <c r="V286" s="32"/>
      <c r="W286" s="32"/>
      <c r="X286" s="32"/>
      <c r="Y286" s="32"/>
      <c r="Z286" s="32"/>
    </row>
    <row r="287">
      <c r="A287" s="32" t="str">
        <f>IFERROR(__xludf.DUMMYFUNCTION("""COMPUTED_VALUE"""),"Sword of The Burning Forest")</f>
        <v>Sword of The Burning Forest</v>
      </c>
      <c r="B287" s="32" t="str">
        <f>IFERROR(__xludf.DUMMYFUNCTION("""COMPUTED_VALUE"""),"A sword forged by mekana to obliterate natural environments.")</f>
        <v>A sword forged by mekana to obliterate natural environments.</v>
      </c>
      <c r="C287" s="32" t="str">
        <f>IFERROR(__xludf.DUMMYFUNCTION("""COMPUTED_VALUE"""),"Sword")</f>
        <v>Sword</v>
      </c>
      <c r="D287" s="32" t="str">
        <f>IFERROR(__xludf.DUMMYFUNCTION("""COMPUTED_VALUE"""),"Hand")</f>
        <v>Hand</v>
      </c>
      <c r="E287" s="32">
        <f>IFERROR(__xludf.DUMMYFUNCTION("""COMPUTED_VALUE"""),600.0)</f>
        <v>600</v>
      </c>
      <c r="F287" s="32" t="str">
        <f>IFERROR(__xludf.DUMMYFUNCTION("""COMPUTED_VALUE"""),"DMG: +20000, Fire DMG: +10000 ++Forest Fire- Burn 10,000, x4 fire damage while in a natural environment.")</f>
        <v>DMG: +20000, Fire DMG: +10000 ++Forest Fire- Burn 10,000, x4 fire damage while in a natural environment.</v>
      </c>
      <c r="G287" s="32">
        <f>IFERROR(__xludf.DUMMYFUNCTION("""COMPUTED_VALUE"""),1.77E7)</f>
        <v>17700000</v>
      </c>
      <c r="H287" s="32"/>
      <c r="I287" s="32"/>
      <c r="J287" s="32"/>
      <c r="K287" s="32"/>
      <c r="L287" s="32"/>
      <c r="M287" s="32"/>
      <c r="N287" s="32"/>
      <c r="O287" s="32"/>
      <c r="P287" s="32"/>
      <c r="Q287" s="32"/>
      <c r="R287" s="32"/>
      <c r="S287" s="32"/>
      <c r="T287" s="32"/>
      <c r="U287" s="32"/>
      <c r="V287" s="32"/>
      <c r="W287" s="32"/>
      <c r="X287" s="32"/>
      <c r="Y287" s="32"/>
      <c r="Z287" s="32"/>
    </row>
    <row r="288">
      <c r="A288" s="32" t="str">
        <f>IFERROR(__xludf.DUMMYFUNCTION("""COMPUTED_VALUE"""),"Sword of The Crystal Chosen")</f>
        <v>Sword of The Crystal Chosen</v>
      </c>
      <c r="B288" s="32"/>
      <c r="C288" s="32" t="str">
        <f>IFERROR(__xludf.DUMMYFUNCTION("""COMPUTED_VALUE"""),"Sword")</f>
        <v>Sword</v>
      </c>
      <c r="D288" s="32" t="str">
        <f>IFERROR(__xludf.DUMMYFUNCTION("""COMPUTED_VALUE"""),"Hand")</f>
        <v>Hand</v>
      </c>
      <c r="E288" s="32">
        <f>IFERROR(__xludf.DUMMYFUNCTION("""COMPUTED_VALUE"""),400.0)</f>
        <v>400</v>
      </c>
      <c r="F288" s="32"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32">
        <f>IFERROR(__xludf.DUMMYFUNCTION("""COMPUTED_VALUE"""),7800000.0)</f>
        <v>7800000</v>
      </c>
      <c r="H288" s="32"/>
      <c r="I288" s="32"/>
      <c r="J288" s="32"/>
      <c r="K288" s="32"/>
      <c r="L288" s="32"/>
      <c r="M288" s="32"/>
      <c r="N288" s="32"/>
      <c r="O288" s="32"/>
      <c r="P288" s="32"/>
      <c r="Q288" s="32"/>
      <c r="R288" s="32"/>
      <c r="S288" s="32"/>
      <c r="T288" s="32"/>
      <c r="U288" s="32"/>
      <c r="V288" s="32"/>
      <c r="W288" s="32"/>
      <c r="X288" s="32"/>
      <c r="Y288" s="32"/>
      <c r="Z288" s="32"/>
    </row>
    <row r="289">
      <c r="A289" s="32" t="str">
        <f>IFERROR(__xludf.DUMMYFUNCTION("""COMPUTED_VALUE"""),"Sword Of The Cursed Naga")</f>
        <v>Sword Of The Cursed Naga</v>
      </c>
      <c r="B289" s="32"/>
      <c r="C289" s="32" t="str">
        <f>IFERROR(__xludf.DUMMYFUNCTION("""COMPUTED_VALUE"""),"Sword")</f>
        <v>Sword</v>
      </c>
      <c r="D289" s="32" t="str">
        <f>IFERROR(__xludf.DUMMYFUNCTION("""COMPUTED_VALUE"""),"Hand")</f>
        <v>Hand</v>
      </c>
      <c r="E289" s="32">
        <f>IFERROR(__xludf.DUMMYFUNCTION("""COMPUTED_VALUE"""),200.0)</f>
        <v>200</v>
      </c>
      <c r="F289" s="32"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32">
        <f>IFERROR(__xludf.DUMMYFUNCTION("""COMPUTED_VALUE"""),2.868E8)</f>
        <v>286800000</v>
      </c>
      <c r="H289" s="32"/>
      <c r="I289" s="32"/>
      <c r="J289" s="32"/>
      <c r="K289" s="32"/>
      <c r="L289" s="32"/>
      <c r="M289" s="32"/>
      <c r="N289" s="32"/>
      <c r="O289" s="32"/>
      <c r="P289" s="32"/>
      <c r="Q289" s="32"/>
      <c r="R289" s="32"/>
      <c r="S289" s="32"/>
      <c r="T289" s="32"/>
      <c r="U289" s="32"/>
      <c r="V289" s="32"/>
      <c r="W289" s="32"/>
      <c r="X289" s="32"/>
      <c r="Y289" s="32"/>
      <c r="Z289" s="32"/>
    </row>
    <row r="290">
      <c r="A290" s="32" t="str">
        <f>IFERROR(__xludf.DUMMYFUNCTION("""COMPUTED_VALUE"""),"Sword Of The Dragons Blood")</f>
        <v>Sword Of The Dragons Blood</v>
      </c>
      <c r="B290" s="32"/>
      <c r="C290" s="32" t="str">
        <f>IFERROR(__xludf.DUMMYFUNCTION("""COMPUTED_VALUE"""),"Sword")</f>
        <v>Sword</v>
      </c>
      <c r="D290" s="32" t="str">
        <f>IFERROR(__xludf.DUMMYFUNCTION("""COMPUTED_VALUE"""),"Hand")</f>
        <v>Hand</v>
      </c>
      <c r="E290" s="32">
        <f>IFERROR(__xludf.DUMMYFUNCTION("""COMPUTED_VALUE"""),1500.0)</f>
        <v>1500</v>
      </c>
      <c r="F290" s="32" t="str">
        <f>IFERROR(__xludf.DUMMYFUNCTION("""COMPUTED_VALUE"""),"DMG: +50000, Blood DMG: +25000 ++Burning Blood: Upon a successful hit; 5000 bleed and burn until the enemy dies.")</f>
        <v>DMG: +50000, Blood DMG: +25000 ++Burning Blood: Upon a successful hit; 5000 bleed and burn until the enemy dies.</v>
      </c>
      <c r="G290" s="32">
        <f>IFERROR(__xludf.DUMMYFUNCTION("""COMPUTED_VALUE"""),1.1175E8)</f>
        <v>111750000</v>
      </c>
      <c r="H290" s="32"/>
      <c r="I290" s="32"/>
      <c r="J290" s="32"/>
      <c r="K290" s="32"/>
      <c r="L290" s="32"/>
      <c r="M290" s="32"/>
      <c r="N290" s="32"/>
      <c r="O290" s="32"/>
      <c r="P290" s="32"/>
      <c r="Q290" s="32"/>
      <c r="R290" s="32"/>
      <c r="S290" s="32"/>
      <c r="T290" s="32"/>
      <c r="U290" s="32"/>
      <c r="V290" s="32"/>
      <c r="W290" s="32"/>
      <c r="X290" s="32"/>
      <c r="Y290" s="32"/>
      <c r="Z290" s="32"/>
    </row>
    <row r="291">
      <c r="A291" s="32" t="str">
        <f>IFERROR(__xludf.DUMMYFUNCTION("""COMPUTED_VALUE"""),"Sword of The Haunted Mansion")</f>
        <v>Sword of The Haunted Mansion</v>
      </c>
      <c r="B291" s="32" t="str">
        <f>IFERROR(__xludf.DUMMYFUNCTION("""COMPUTED_VALUE"""),"Halloween exclusive")</f>
        <v>Halloween exclusive</v>
      </c>
      <c r="C291" s="32" t="str">
        <f>IFERROR(__xludf.DUMMYFUNCTION("""COMPUTED_VALUE"""),"Sword")</f>
        <v>Sword</v>
      </c>
      <c r="D291" s="32" t="str">
        <f>IFERROR(__xludf.DUMMYFUNCTION("""COMPUTED_VALUE"""),"Hand")</f>
        <v>Hand</v>
      </c>
      <c r="E291" s="32">
        <f>IFERROR(__xludf.DUMMYFUNCTION("""COMPUTED_VALUE"""),200.0)</f>
        <v>200</v>
      </c>
      <c r="F291" s="32"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32">
        <f>IFERROR(__xludf.DUMMYFUNCTION("""COMPUTED_VALUE"""),1.99E8)</f>
        <v>199000000</v>
      </c>
      <c r="H291" s="32"/>
      <c r="I291" s="32"/>
      <c r="J291" s="32"/>
      <c r="K291" s="32"/>
      <c r="L291" s="32"/>
      <c r="M291" s="32"/>
      <c r="N291" s="32"/>
      <c r="O291" s="32"/>
      <c r="P291" s="32"/>
      <c r="Q291" s="32"/>
      <c r="R291" s="32"/>
      <c r="S291" s="32"/>
      <c r="T291" s="32"/>
      <c r="U291" s="32"/>
      <c r="V291" s="32"/>
      <c r="W291" s="32"/>
      <c r="X291" s="32"/>
      <c r="Y291" s="32"/>
      <c r="Z291" s="32"/>
    </row>
    <row r="292">
      <c r="A292" s="32" t="str">
        <f>IFERROR(__xludf.DUMMYFUNCTION("""COMPUTED_VALUE"""),"Sword Of The Honorable Samurai")</f>
        <v>Sword Of The Honorable Samurai</v>
      </c>
      <c r="B292" s="32"/>
      <c r="C292" s="32" t="str">
        <f>IFERROR(__xludf.DUMMYFUNCTION("""COMPUTED_VALUE"""),"Sword")</f>
        <v>Sword</v>
      </c>
      <c r="D292" s="32" t="str">
        <f>IFERROR(__xludf.DUMMYFUNCTION("""COMPUTED_VALUE"""),"Hand")</f>
        <v>Hand</v>
      </c>
      <c r="E292" s="32">
        <f>IFERROR(__xludf.DUMMYFUNCTION("""COMPUTED_VALUE"""),400.0)</f>
        <v>400</v>
      </c>
      <c r="F292" s="32" t="str">
        <f>IFERROR(__xludf.DUMMYFUNCTION("""COMPUTED_VALUE"""),"DMG: +10000, Light DMG: +5000, Order DMG: +5000")</f>
        <v>DMG: +10000, Light DMG: +5000, Order DMG: +5000</v>
      </c>
      <c r="G292" s="32">
        <f>IFERROR(__xludf.DUMMYFUNCTION("""COMPUTED_VALUE"""),7800000.0)</f>
        <v>7800000</v>
      </c>
      <c r="H292" s="32"/>
      <c r="I292" s="32"/>
      <c r="J292" s="32"/>
      <c r="K292" s="32"/>
      <c r="L292" s="32"/>
      <c r="M292" s="32"/>
      <c r="N292" s="32"/>
      <c r="O292" s="32"/>
      <c r="P292" s="32"/>
      <c r="Q292" s="32"/>
      <c r="R292" s="32"/>
      <c r="S292" s="32"/>
      <c r="T292" s="32"/>
      <c r="U292" s="32"/>
      <c r="V292" s="32"/>
      <c r="W292" s="32"/>
      <c r="X292" s="32"/>
      <c r="Y292" s="32"/>
      <c r="Z292" s="32"/>
    </row>
    <row r="293">
      <c r="A293" s="32" t="str">
        <f>IFERROR(__xludf.DUMMYFUNCTION("""COMPUTED_VALUE"""),"Sword of The Crystal King")</f>
        <v>Sword of The Crystal King</v>
      </c>
      <c r="B293" s="32"/>
      <c r="C293" s="32" t="str">
        <f>IFERROR(__xludf.DUMMYFUNCTION("""COMPUTED_VALUE"""),"Sword")</f>
        <v>Sword</v>
      </c>
      <c r="D293" s="32" t="str">
        <f>IFERROR(__xludf.DUMMYFUNCTION("""COMPUTED_VALUE"""),"Hand")</f>
        <v>Hand</v>
      </c>
      <c r="E293" s="32">
        <f>IFERROR(__xludf.DUMMYFUNCTION("""COMPUTED_VALUE"""),200.0)</f>
        <v>200</v>
      </c>
      <c r="F293" s="32"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32">
        <f>IFERROR(__xludf.DUMMYFUNCTION("""COMPUTED_VALUE"""),4.95E7)</f>
        <v>49500000</v>
      </c>
      <c r="H293" s="32"/>
      <c r="I293" s="32"/>
      <c r="J293" s="32"/>
      <c r="K293" s="32"/>
      <c r="L293" s="32"/>
      <c r="M293" s="32"/>
      <c r="N293" s="32"/>
      <c r="O293" s="32"/>
      <c r="P293" s="32"/>
      <c r="Q293" s="32"/>
      <c r="R293" s="32"/>
      <c r="S293" s="32"/>
      <c r="T293" s="32"/>
      <c r="U293" s="32"/>
      <c r="V293" s="32"/>
      <c r="W293" s="32"/>
      <c r="X293" s="32"/>
      <c r="Y293" s="32"/>
      <c r="Z293" s="32"/>
    </row>
    <row r="294">
      <c r="A294" s="32" t="str">
        <f>IFERROR(__xludf.DUMMYFUNCTION("""COMPUTED_VALUE"""),"Sword of The Many Heroes")</f>
        <v>Sword of The Many Heroes</v>
      </c>
      <c r="B294" s="32"/>
      <c r="C294" s="32" t="str">
        <f>IFERROR(__xludf.DUMMYFUNCTION("""COMPUTED_VALUE"""),"Sword")</f>
        <v>Sword</v>
      </c>
      <c r="D294" s="32" t="str">
        <f>IFERROR(__xludf.DUMMYFUNCTION("""COMPUTED_VALUE"""),"Hand")</f>
        <v>Hand</v>
      </c>
      <c r="E294" s="32">
        <f>IFERROR(__xludf.DUMMYFUNCTION("""COMPUTED_VALUE"""),200.0)</f>
        <v>200</v>
      </c>
      <c r="F294" s="32"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32">
        <f>IFERROR(__xludf.DUMMYFUNCTION("""COMPUTED_VALUE"""),7.194E9)</f>
        <v>7194000000</v>
      </c>
      <c r="H294" s="32"/>
      <c r="I294" s="32"/>
      <c r="J294" s="32"/>
      <c r="K294" s="32"/>
      <c r="L294" s="32"/>
      <c r="M294" s="32"/>
      <c r="N294" s="32"/>
      <c r="O294" s="32"/>
      <c r="P294" s="32"/>
      <c r="Q294" s="32"/>
      <c r="R294" s="32"/>
      <c r="S294" s="32"/>
      <c r="T294" s="32"/>
      <c r="U294" s="32"/>
      <c r="V294" s="32"/>
      <c r="W294" s="32"/>
      <c r="X294" s="32"/>
      <c r="Y294" s="32"/>
      <c r="Z294" s="32"/>
    </row>
    <row r="295">
      <c r="A295" s="32" t="str">
        <f>IFERROR(__xludf.DUMMYFUNCTION("""COMPUTED_VALUE"""),"Sword Of The Reaper")</f>
        <v>Sword Of The Reaper</v>
      </c>
      <c r="B295" s="32"/>
      <c r="C295" s="32" t="str">
        <f>IFERROR(__xludf.DUMMYFUNCTION("""COMPUTED_VALUE"""),"Sword")</f>
        <v>Sword</v>
      </c>
      <c r="D295" s="32" t="str">
        <f>IFERROR(__xludf.DUMMYFUNCTION("""COMPUTED_VALUE"""),"Hand")</f>
        <v>Hand</v>
      </c>
      <c r="E295" s="32">
        <f>IFERROR(__xludf.DUMMYFUNCTION("""COMPUTED_VALUE"""),200.0)</f>
        <v>200</v>
      </c>
      <c r="F295" s="32"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32">
        <f>IFERROR(__xludf.DUMMYFUNCTION("""COMPUTED_VALUE"""),660000.0)</f>
        <v>660000</v>
      </c>
      <c r="H295" s="32"/>
      <c r="I295" s="32"/>
      <c r="J295" s="32"/>
      <c r="K295" s="32"/>
      <c r="L295" s="32"/>
      <c r="M295" s="32"/>
      <c r="N295" s="32"/>
      <c r="O295" s="32"/>
      <c r="P295" s="32"/>
      <c r="Q295" s="32"/>
      <c r="R295" s="32"/>
      <c r="S295" s="32"/>
      <c r="T295" s="32"/>
      <c r="U295" s="32"/>
      <c r="V295" s="32"/>
      <c r="W295" s="32"/>
      <c r="X295" s="32"/>
      <c r="Y295" s="32"/>
      <c r="Z295" s="32"/>
    </row>
    <row r="296">
      <c r="A296" s="32" t="str">
        <f>IFERROR(__xludf.DUMMYFUNCTION("""COMPUTED_VALUE"""),"Sword of The Sea Serpent")</f>
        <v>Sword of The Sea Serpent</v>
      </c>
      <c r="B296" s="32"/>
      <c r="C296" s="32" t="str">
        <f>IFERROR(__xludf.DUMMYFUNCTION("""COMPUTED_VALUE"""),"Sword")</f>
        <v>Sword</v>
      </c>
      <c r="D296" s="32" t="str">
        <f>IFERROR(__xludf.DUMMYFUNCTION("""COMPUTED_VALUE"""),"Hand")</f>
        <v>Hand</v>
      </c>
      <c r="E296" s="32">
        <f>IFERROR(__xludf.DUMMYFUNCTION("""COMPUTED_VALUE"""),400.0)</f>
        <v>400</v>
      </c>
      <c r="F296" s="32"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32">
        <f>IFERROR(__xludf.DUMMYFUNCTION("""COMPUTED_VALUE"""),7800000.0)</f>
        <v>7800000</v>
      </c>
      <c r="H296" s="32"/>
      <c r="I296" s="32"/>
      <c r="J296" s="32"/>
      <c r="K296" s="32"/>
      <c r="L296" s="32"/>
      <c r="M296" s="32"/>
      <c r="N296" s="32"/>
      <c r="O296" s="32"/>
      <c r="P296" s="32"/>
      <c r="Q296" s="32"/>
      <c r="R296" s="32"/>
      <c r="S296" s="32"/>
      <c r="T296" s="32"/>
      <c r="U296" s="32"/>
      <c r="V296" s="32"/>
      <c r="W296" s="32"/>
      <c r="X296" s="32"/>
      <c r="Y296" s="32"/>
      <c r="Z296" s="32"/>
    </row>
    <row r="297">
      <c r="A297" s="32" t="str">
        <f>IFERROR(__xludf.DUMMYFUNCTION("""COMPUTED_VALUE"""),"Sword of the Vampire’s Lust")</f>
        <v>Sword of the Vampire’s Lust</v>
      </c>
      <c r="B297" s="32"/>
      <c r="C297" s="32" t="str">
        <f>IFERROR(__xludf.DUMMYFUNCTION("""COMPUTED_VALUE"""),"Sword")</f>
        <v>Sword</v>
      </c>
      <c r="D297" s="32" t="str">
        <f>IFERROR(__xludf.DUMMYFUNCTION("""COMPUTED_VALUE"""),"Hand")</f>
        <v>Hand</v>
      </c>
      <c r="E297" s="32">
        <f>IFERROR(__xludf.DUMMYFUNCTION("""COMPUTED_VALUE"""),800.0)</f>
        <v>800</v>
      </c>
      <c r="F297" s="32"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32">
        <f>IFERROR(__xludf.DUMMYFUNCTION("""COMPUTED_VALUE"""),3.16E7)</f>
        <v>31600000</v>
      </c>
      <c r="H297" s="32"/>
      <c r="I297" s="32"/>
      <c r="J297" s="32"/>
      <c r="K297" s="32"/>
      <c r="L297" s="32"/>
      <c r="M297" s="32"/>
      <c r="N297" s="32"/>
      <c r="O297" s="32"/>
      <c r="P297" s="32"/>
      <c r="Q297" s="32"/>
      <c r="R297" s="32"/>
      <c r="S297" s="32"/>
      <c r="T297" s="32"/>
      <c r="U297" s="32"/>
      <c r="V297" s="32"/>
      <c r="W297" s="32"/>
      <c r="X297" s="32"/>
      <c r="Y297" s="32"/>
      <c r="Z297" s="32"/>
    </row>
    <row r="298">
      <c r="A298" s="32" t="str">
        <f>IFERROR(__xludf.DUMMYFUNCTION("""COMPUTED_VALUE"""),"Sword of The Waking Waters")</f>
        <v>Sword of The Waking Waters</v>
      </c>
      <c r="B298" s="32"/>
      <c r="C298" s="32" t="str">
        <f>IFERROR(__xludf.DUMMYFUNCTION("""COMPUTED_VALUE"""),"Sword")</f>
        <v>Sword</v>
      </c>
      <c r="D298" s="32" t="str">
        <f>IFERROR(__xludf.DUMMYFUNCTION("""COMPUTED_VALUE"""),"Hand")</f>
        <v>Hand</v>
      </c>
      <c r="E298" s="32">
        <f>IFERROR(__xludf.DUMMYFUNCTION("""COMPUTED_VALUE"""),800.0)</f>
        <v>800</v>
      </c>
      <c r="F298" s="32"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32">
        <f>IFERROR(__xludf.DUMMYFUNCTION("""COMPUTED_VALUE"""),3.16E7)</f>
        <v>31600000</v>
      </c>
      <c r="H298" s="32"/>
      <c r="I298" s="32"/>
      <c r="J298" s="32"/>
      <c r="K298" s="32"/>
      <c r="L298" s="32"/>
      <c r="M298" s="32"/>
      <c r="N298" s="32"/>
      <c r="O298" s="32"/>
      <c r="P298" s="32"/>
      <c r="Q298" s="32"/>
      <c r="R298" s="32"/>
      <c r="S298" s="32"/>
      <c r="T298" s="32"/>
      <c r="U298" s="32"/>
      <c r="V298" s="32"/>
      <c r="W298" s="32"/>
      <c r="X298" s="32"/>
      <c r="Y298" s="32"/>
      <c r="Z298" s="32"/>
    </row>
    <row r="299">
      <c r="A299" s="32" t="str">
        <f>IFERROR(__xludf.DUMMYFUNCTION("""COMPUTED_VALUE"""),"Sword of the Wicked")</f>
        <v>Sword of the Wicked</v>
      </c>
      <c r="B299" s="32"/>
      <c r="C299" s="32" t="str">
        <f>IFERROR(__xludf.DUMMYFUNCTION("""COMPUTED_VALUE"""),"Sword")</f>
        <v>Sword</v>
      </c>
      <c r="D299" s="32" t="str">
        <f>IFERROR(__xludf.DUMMYFUNCTION("""COMPUTED_VALUE"""),"Hand")</f>
        <v>Hand</v>
      </c>
      <c r="E299" s="32">
        <f>IFERROR(__xludf.DUMMYFUNCTION("""COMPUTED_VALUE"""),50.0)</f>
        <v>50</v>
      </c>
      <c r="F299" s="32" t="str">
        <f>IFERROR(__xludf.DUMMYFUNCTION("""COMPUTED_VALUE"""),"DMG: +700, Dark DMG: +900, Chaos DMG: +900")</f>
        <v>DMG: +700, Dark DMG: +900, Chaos DMG: +900</v>
      </c>
      <c r="G299" s="32">
        <f>IFERROR(__xludf.DUMMYFUNCTION("""COMPUTED_VALUE"""),100000.0)</f>
        <v>100000</v>
      </c>
      <c r="H299" s="32"/>
      <c r="I299" s="32"/>
      <c r="J299" s="32"/>
      <c r="K299" s="32"/>
      <c r="L299" s="32"/>
      <c r="M299" s="32"/>
      <c r="N299" s="32"/>
      <c r="O299" s="32"/>
      <c r="P299" s="32"/>
      <c r="Q299" s="32"/>
      <c r="R299" s="32"/>
      <c r="S299" s="32"/>
      <c r="T299" s="32"/>
      <c r="U299" s="32"/>
      <c r="V299" s="32"/>
      <c r="W299" s="32"/>
      <c r="X299" s="32"/>
      <c r="Y299" s="32"/>
      <c r="Z299" s="32"/>
    </row>
    <row r="300">
      <c r="A300" s="32" t="str">
        <f>IFERROR(__xludf.DUMMYFUNCTION("""COMPUTED_VALUE"""),"Sword Of Tritonoch")</f>
        <v>Sword Of Tritonoch</v>
      </c>
      <c r="B300" s="32"/>
      <c r="C300" s="32" t="str">
        <f>IFERROR(__xludf.DUMMYFUNCTION("""COMPUTED_VALUE"""),"Sword")</f>
        <v>Sword</v>
      </c>
      <c r="D300" s="32" t="str">
        <f>IFERROR(__xludf.DUMMYFUNCTION("""COMPUTED_VALUE"""),"Hand")</f>
        <v>Hand</v>
      </c>
      <c r="E300" s="32">
        <f>IFERROR(__xludf.DUMMYFUNCTION("""COMPUTED_VALUE"""),800.0)</f>
        <v>800</v>
      </c>
      <c r="F300" s="32"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32">
        <f>IFERROR(__xludf.DUMMYFUNCTION("""COMPUTED_VALUE"""),3.16E7)</f>
        <v>31600000</v>
      </c>
      <c r="H300" s="32"/>
      <c r="I300" s="32"/>
      <c r="J300" s="32"/>
      <c r="K300" s="32"/>
      <c r="L300" s="32"/>
      <c r="M300" s="32"/>
      <c r="N300" s="32"/>
      <c r="O300" s="32"/>
      <c r="P300" s="32"/>
      <c r="Q300" s="32"/>
      <c r="R300" s="32"/>
      <c r="S300" s="32"/>
      <c r="T300" s="32"/>
      <c r="U300" s="32"/>
      <c r="V300" s="32"/>
      <c r="W300" s="32"/>
      <c r="X300" s="32"/>
      <c r="Y300" s="32"/>
      <c r="Z300" s="32"/>
    </row>
    <row r="301">
      <c r="A301" s="32" t="str">
        <f>IFERROR(__xludf.DUMMYFUNCTION("""COMPUTED_VALUE"""),"Tentacle")</f>
        <v>Tentacle</v>
      </c>
      <c r="B301" s="32"/>
      <c r="C301" s="32" t="str">
        <f>IFERROR(__xludf.DUMMYFUNCTION("""COMPUTED_VALUE"""),"Claw")</f>
        <v>Claw</v>
      </c>
      <c r="D301" s="32" t="str">
        <f>IFERROR(__xludf.DUMMYFUNCTION("""COMPUTED_VALUE"""),"Hand")</f>
        <v>Hand</v>
      </c>
      <c r="E301" s="32">
        <f>IFERROR(__xludf.DUMMYFUNCTION("""COMPUTED_VALUE"""),30.0)</f>
        <v>30</v>
      </c>
      <c r="F301" s="32" t="str">
        <f>IFERROR(__xludf.DUMMYFUNCTION("""COMPUTED_VALUE"""),"DMG: +1000, Water DMG: +500 ++10% chance to remove target from battle")</f>
        <v>DMG: +1000, Water DMG: +500 ++10% chance to remove target from battle</v>
      </c>
      <c r="G301" s="32">
        <f>IFERROR(__xludf.DUMMYFUNCTION("""COMPUTED_VALUE"""),30000.0)</f>
        <v>30000</v>
      </c>
      <c r="H301" s="32"/>
      <c r="I301" s="32"/>
      <c r="J301" s="32"/>
      <c r="K301" s="32"/>
      <c r="L301" s="32"/>
      <c r="M301" s="32"/>
      <c r="N301" s="32"/>
      <c r="O301" s="32"/>
      <c r="P301" s="32"/>
      <c r="Q301" s="32"/>
      <c r="R301" s="32"/>
      <c r="S301" s="32"/>
      <c r="T301" s="32"/>
      <c r="U301" s="32"/>
      <c r="V301" s="32"/>
      <c r="W301" s="32"/>
      <c r="X301" s="32"/>
      <c r="Y301" s="32"/>
      <c r="Z301" s="32"/>
    </row>
    <row r="302">
      <c r="A302" s="32" t="str">
        <f>IFERROR(__xludf.DUMMYFUNCTION("""COMPUTED_VALUE"""),"The Black Hook")</f>
        <v>The Black Hook</v>
      </c>
      <c r="B302" s="32"/>
      <c r="C302" s="32" t="str">
        <f>IFERROR(__xludf.DUMMYFUNCTION("""COMPUTED_VALUE"""),"Claw")</f>
        <v>Claw</v>
      </c>
      <c r="D302" s="32" t="str">
        <f>IFERROR(__xludf.DUMMYFUNCTION("""COMPUTED_VALUE"""),"Hand")</f>
        <v>Hand</v>
      </c>
      <c r="E302" s="32">
        <f>IFERROR(__xludf.DUMMYFUNCTION("""COMPUTED_VALUE"""),2500.0)</f>
        <v>2500</v>
      </c>
      <c r="F302" s="32"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32">
        <f>IFERROR(__xludf.DUMMYFUNCTION("""COMPUTED_VALUE"""),3.1125E8)</f>
        <v>311250000</v>
      </c>
      <c r="H302" s="32"/>
      <c r="I302" s="32"/>
      <c r="J302" s="32"/>
      <c r="K302" s="32"/>
      <c r="L302" s="32"/>
      <c r="M302" s="32"/>
      <c r="N302" s="32"/>
      <c r="O302" s="32"/>
      <c r="P302" s="32"/>
      <c r="Q302" s="32"/>
      <c r="R302" s="32"/>
      <c r="S302" s="32"/>
      <c r="T302" s="32"/>
      <c r="U302" s="32"/>
      <c r="V302" s="32"/>
      <c r="W302" s="32"/>
      <c r="X302" s="32"/>
      <c r="Y302" s="32"/>
      <c r="Z302" s="32"/>
    </row>
    <row r="303">
      <c r="A303" s="32" t="str">
        <f>IFERROR(__xludf.DUMMYFUNCTION("""COMPUTED_VALUE"""),"The Blade of the Chosen")</f>
        <v>The Blade of the Chosen</v>
      </c>
      <c r="B303" s="32"/>
      <c r="C303" s="32" t="str">
        <f>IFERROR(__xludf.DUMMYFUNCTION("""COMPUTED_VALUE"""),"Sword")</f>
        <v>Sword</v>
      </c>
      <c r="D303" s="32" t="str">
        <f>IFERROR(__xludf.DUMMYFUNCTION("""COMPUTED_VALUE"""),"Hand")</f>
        <v>Hand</v>
      </c>
      <c r="E303" s="32">
        <f>IFERROR(__xludf.DUMMYFUNCTION("""COMPUTED_VALUE"""),1000.0)</f>
        <v>1000</v>
      </c>
      <c r="F303" s="32"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32">
        <f>IFERROR(__xludf.DUMMYFUNCTION("""COMPUTED_VALUE"""),4.95E7)</f>
        <v>49500000</v>
      </c>
      <c r="H303" s="32"/>
      <c r="I303" s="32"/>
      <c r="J303" s="32"/>
      <c r="K303" s="32"/>
      <c r="L303" s="32"/>
      <c r="M303" s="32"/>
      <c r="N303" s="32"/>
      <c r="O303" s="32"/>
      <c r="P303" s="32"/>
      <c r="Q303" s="32"/>
      <c r="R303" s="32"/>
      <c r="S303" s="32"/>
      <c r="T303" s="32"/>
      <c r="U303" s="32"/>
      <c r="V303" s="32"/>
      <c r="W303" s="32"/>
      <c r="X303" s="32"/>
      <c r="Y303" s="32"/>
      <c r="Z303" s="32"/>
    </row>
    <row r="304">
      <c r="A304" s="32" t="str">
        <f>IFERROR(__xludf.DUMMYFUNCTION("""COMPUTED_VALUE"""),"The Bow of the Fallen Hero")</f>
        <v>The Bow of the Fallen Hero</v>
      </c>
      <c r="B304" s="32"/>
      <c r="C304" s="32" t="str">
        <f>IFERROR(__xludf.DUMMYFUNCTION("""COMPUTED_VALUE"""),"Bow")</f>
        <v>Bow</v>
      </c>
      <c r="D304" s="32" t="str">
        <f>IFERROR(__xludf.DUMMYFUNCTION("""COMPUTED_VALUE"""),"Hand")</f>
        <v>Hand</v>
      </c>
      <c r="E304" s="32">
        <f>IFERROR(__xludf.DUMMYFUNCTION("""COMPUTED_VALUE"""),100.0)</f>
        <v>100</v>
      </c>
      <c r="F304" s="32" t="str">
        <f>IFERROR(__xludf.DUMMYFUNCTION("""COMPUTED_VALUE"""),"DMG: +5000 ++Dashing Arrows - You can use up to 6 arrows when attacking with this bow. ")</f>
        <v>DMG: +5000 ++Dashing Arrows - You can use up to 6 arrows when attacking with this bow. </v>
      </c>
      <c r="G304" s="32">
        <f>IFERROR(__xludf.DUMMYFUNCTION("""COMPUTED_VALUE"""),450000.0)</f>
        <v>450000</v>
      </c>
      <c r="H304" s="32"/>
      <c r="I304" s="32"/>
      <c r="J304" s="32"/>
      <c r="K304" s="32"/>
      <c r="L304" s="32"/>
      <c r="M304" s="32"/>
      <c r="N304" s="32"/>
      <c r="O304" s="32"/>
      <c r="P304" s="32"/>
      <c r="Q304" s="32"/>
      <c r="R304" s="32"/>
      <c r="S304" s="32"/>
      <c r="T304" s="32"/>
      <c r="U304" s="32"/>
      <c r="V304" s="32"/>
      <c r="W304" s="32"/>
      <c r="X304" s="32"/>
      <c r="Y304" s="32"/>
      <c r="Z304" s="32"/>
    </row>
    <row r="305">
      <c r="A305" s="32" t="str">
        <f>IFERROR(__xludf.DUMMYFUNCTION("""COMPUTED_VALUE"""),"The Bow of the Haunted")</f>
        <v>The Bow of the Haunted</v>
      </c>
      <c r="B305" s="32" t="str">
        <f>IFERROR(__xludf.DUMMYFUNCTION("""COMPUTED_VALUE"""),"Halloween exclusive")</f>
        <v>Halloween exclusive</v>
      </c>
      <c r="C305" s="32" t="str">
        <f>IFERROR(__xludf.DUMMYFUNCTION("""COMPUTED_VALUE"""),"Bow")</f>
        <v>Bow</v>
      </c>
      <c r="D305" s="32" t="str">
        <f>IFERROR(__xludf.DUMMYFUNCTION("""COMPUTED_VALUE"""),"Hand")</f>
        <v>Hand</v>
      </c>
      <c r="E305" s="32">
        <f>IFERROR(__xludf.DUMMYFUNCTION("""COMPUTED_VALUE"""),620.0)</f>
        <v>620</v>
      </c>
      <c r="F305" s="32"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32">
        <f>IFERROR(__xludf.DUMMYFUNCTION("""COMPUTED_VALUE"""),1.891E7)</f>
        <v>18910000</v>
      </c>
      <c r="H305" s="32"/>
      <c r="I305" s="32"/>
      <c r="J305" s="32"/>
      <c r="K305" s="32"/>
      <c r="L305" s="32"/>
      <c r="M305" s="32"/>
      <c r="N305" s="32"/>
      <c r="O305" s="32"/>
      <c r="P305" s="32"/>
      <c r="Q305" s="32"/>
      <c r="R305" s="32"/>
      <c r="S305" s="32"/>
      <c r="T305" s="32"/>
      <c r="U305" s="32"/>
      <c r="V305" s="32"/>
      <c r="W305" s="32"/>
      <c r="X305" s="32"/>
      <c r="Y305" s="32"/>
      <c r="Z305" s="32"/>
    </row>
    <row r="306">
      <c r="A306" s="32" t="str">
        <f>IFERROR(__xludf.DUMMYFUNCTION("""COMPUTED_VALUE"""),"The Bow of the Pandarian")</f>
        <v>The Bow of the Pandarian</v>
      </c>
      <c r="B306" s="32"/>
      <c r="C306" s="32" t="str">
        <f>IFERROR(__xludf.DUMMYFUNCTION("""COMPUTED_VALUE"""),"Bow")</f>
        <v>Bow</v>
      </c>
      <c r="D306" s="32" t="str">
        <f>IFERROR(__xludf.DUMMYFUNCTION("""COMPUTED_VALUE"""),"Hand")</f>
        <v>Hand</v>
      </c>
      <c r="E306" s="32">
        <f>IFERROR(__xludf.DUMMYFUNCTION("""COMPUTED_VALUE"""),40.0)</f>
        <v>40</v>
      </c>
      <c r="F306" s="32"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32">
        <f>IFERROR(__xludf.DUMMYFUNCTION("""COMPUTED_VALUE"""),60000.0)</f>
        <v>60000</v>
      </c>
      <c r="H306" s="32"/>
      <c r="I306" s="32"/>
      <c r="J306" s="32"/>
      <c r="K306" s="32"/>
      <c r="L306" s="32"/>
      <c r="M306" s="32"/>
      <c r="N306" s="32"/>
      <c r="O306" s="32"/>
      <c r="P306" s="32"/>
      <c r="Q306" s="32"/>
      <c r="R306" s="32"/>
      <c r="S306" s="32"/>
      <c r="T306" s="32"/>
      <c r="U306" s="32"/>
      <c r="V306" s="32"/>
      <c r="W306" s="32"/>
      <c r="X306" s="32"/>
      <c r="Y306" s="32"/>
      <c r="Z306" s="32"/>
    </row>
    <row r="307">
      <c r="A307" s="32" t="str">
        <f>IFERROR(__xludf.DUMMYFUNCTION("""COMPUTED_VALUE"""),"The Buster")</f>
        <v>The Buster</v>
      </c>
      <c r="B307" s="32"/>
      <c r="C307" s="32" t="str">
        <f>IFERROR(__xludf.DUMMYFUNCTION("""COMPUTED_VALUE"""),"Sword")</f>
        <v>Sword</v>
      </c>
      <c r="D307" s="32" t="str">
        <f>IFERROR(__xludf.DUMMYFUNCTION("""COMPUTED_VALUE"""),"Hand")</f>
        <v>Hand</v>
      </c>
      <c r="E307" s="32">
        <f>IFERROR(__xludf.DUMMYFUNCTION("""COMPUTED_VALUE"""),400.0)</f>
        <v>400</v>
      </c>
      <c r="F307" s="32" t="str">
        <f>IFERROR(__xludf.DUMMYFUNCTION("""COMPUTED_VALUE"""),"DMG: +20000")</f>
        <v>DMG: +20000</v>
      </c>
      <c r="G307" s="32">
        <f>IFERROR(__xludf.DUMMYFUNCTION("""COMPUTED_VALUE"""),7800000.0)</f>
        <v>7800000</v>
      </c>
      <c r="H307" s="32"/>
      <c r="I307" s="32"/>
      <c r="J307" s="32"/>
      <c r="K307" s="32"/>
      <c r="L307" s="32"/>
      <c r="M307" s="32"/>
      <c r="N307" s="32"/>
      <c r="O307" s="32"/>
      <c r="P307" s="32"/>
      <c r="Q307" s="32"/>
      <c r="R307" s="32"/>
      <c r="S307" s="32"/>
      <c r="T307" s="32"/>
      <c r="U307" s="32"/>
      <c r="V307" s="32"/>
      <c r="W307" s="32"/>
      <c r="X307" s="32"/>
      <c r="Y307" s="32"/>
      <c r="Z307" s="32"/>
    </row>
    <row r="308">
      <c r="A308" s="32" t="str">
        <f>IFERROR(__xludf.DUMMYFUNCTION("""COMPUTED_VALUE"""),"The Dawn Splitter")</f>
        <v>The Dawn Splitter</v>
      </c>
      <c r="B308" s="32"/>
      <c r="C308" s="32" t="str">
        <f>IFERROR(__xludf.DUMMYFUNCTION("""COMPUTED_VALUE"""),"Sword")</f>
        <v>Sword</v>
      </c>
      <c r="D308" s="32" t="str">
        <f>IFERROR(__xludf.DUMMYFUNCTION("""COMPUTED_VALUE"""),"Hand")</f>
        <v>Hand</v>
      </c>
      <c r="E308" s="32">
        <f>IFERROR(__xludf.DUMMYFUNCTION("""COMPUTED_VALUE"""),200.0)</f>
        <v>200</v>
      </c>
      <c r="F308" s="32" t="str">
        <f>IFERROR(__xludf.DUMMYFUNCTION("""COMPUTED_VALUE"""),"DMG: +50000, Fire DMG: +50000, Dark DMG: +50000, Celestial DMG: +50000 ++50% Chance to put the target to sleep.")</f>
        <v>DMG: +50000, Fire DMG: +50000, Dark DMG: +50000, Celestial DMG: +50000 ++50% Chance to put the target to sleep.</v>
      </c>
      <c r="G308" s="32">
        <f>IFERROR(__xludf.DUMMYFUNCTION("""COMPUTED_VALUE"""),7.98E8)</f>
        <v>798000000</v>
      </c>
      <c r="H308" s="32"/>
      <c r="I308" s="32"/>
      <c r="J308" s="32"/>
      <c r="K308" s="32"/>
      <c r="L308" s="32"/>
      <c r="M308" s="32"/>
      <c r="N308" s="32"/>
      <c r="O308" s="32"/>
      <c r="P308" s="32"/>
      <c r="Q308" s="32"/>
      <c r="R308" s="32"/>
      <c r="S308" s="32"/>
      <c r="T308" s="32"/>
      <c r="U308" s="32"/>
      <c r="V308" s="32"/>
      <c r="W308" s="32"/>
      <c r="X308" s="32"/>
      <c r="Y308" s="32"/>
      <c r="Z308" s="32"/>
    </row>
    <row r="309">
      <c r="A309" s="32" t="str">
        <f>IFERROR(__xludf.DUMMYFUNCTION("""COMPUTED_VALUE"""),"The Dragon King's Crown")</f>
        <v>The Dragon King's Crown</v>
      </c>
      <c r="B309" s="32"/>
      <c r="C309" s="32"/>
      <c r="D309" s="32" t="str">
        <f>IFERROR(__xludf.DUMMYFUNCTION("""COMPUTED_VALUE"""),"Head")</f>
        <v>Head</v>
      </c>
      <c r="E309" s="32">
        <f>IFERROR(__xludf.DUMMYFUNCTION("""COMPUTED_VALUE"""),400.0)</f>
        <v>400</v>
      </c>
      <c r="F309" s="32" t="str">
        <f>IFERROR(__xludf.DUMMYFUNCTION("""COMPUTED_VALUE"""),"DEF: +20000 ++Immunity to damage from Natural Attacks...")</f>
        <v>DEF: +20000 ++Immunity to damage from Natural Attacks...</v>
      </c>
      <c r="G309" s="32">
        <f>IFERROR(__xludf.DUMMYFUNCTION("""COMPUTED_VALUE"""),7800000.0)</f>
        <v>7800000</v>
      </c>
      <c r="H309" s="32"/>
      <c r="I309" s="32"/>
      <c r="J309" s="32"/>
      <c r="K309" s="32"/>
      <c r="L309" s="32"/>
      <c r="M309" s="32"/>
      <c r="N309" s="32"/>
      <c r="O309" s="32"/>
      <c r="P309" s="32"/>
      <c r="Q309" s="32"/>
      <c r="R309" s="32"/>
      <c r="S309" s="32"/>
      <c r="T309" s="32"/>
      <c r="U309" s="32"/>
      <c r="V309" s="32"/>
      <c r="W309" s="32"/>
      <c r="X309" s="32"/>
      <c r="Y309" s="32"/>
      <c r="Z309" s="32"/>
    </row>
    <row r="310">
      <c r="A310" s="32" t="str">
        <f>IFERROR(__xludf.DUMMYFUNCTION("""COMPUTED_VALUE"""),"The Guardian Of Death's Sword")</f>
        <v>The Guardian Of Death's Sword</v>
      </c>
      <c r="B310" s="32"/>
      <c r="C310" s="32" t="str">
        <f>IFERROR(__xludf.DUMMYFUNCTION("""COMPUTED_VALUE"""),"Sword")</f>
        <v>Sword</v>
      </c>
      <c r="D310" s="32" t="str">
        <f>IFERROR(__xludf.DUMMYFUNCTION("""COMPUTED_VALUE"""),"Hand")</f>
        <v>Hand</v>
      </c>
      <c r="E310" s="32">
        <f>IFERROR(__xludf.DUMMYFUNCTION("""COMPUTED_VALUE"""),600.0)</f>
        <v>600</v>
      </c>
      <c r="F310" s="32" t="str">
        <f>IFERROR(__xludf.DUMMYFUNCTION("""COMPUTED_VALUE"""),"DMG: +15000, Dark DMG: +5000, Spirit DMG: +5000, Chaos DMG: +5000")</f>
        <v>DMG: +15000, Dark DMG: +5000, Spirit DMG: +5000, Chaos DMG: +5000</v>
      </c>
      <c r="G310" s="32">
        <f>IFERROR(__xludf.DUMMYFUNCTION("""COMPUTED_VALUE"""),1.77E7)</f>
        <v>17700000</v>
      </c>
      <c r="H310" s="32"/>
      <c r="I310" s="32"/>
      <c r="J310" s="32"/>
      <c r="K310" s="32"/>
      <c r="L310" s="32"/>
      <c r="M310" s="32"/>
      <c r="N310" s="32"/>
      <c r="O310" s="32"/>
      <c r="P310" s="32"/>
      <c r="Q310" s="32"/>
      <c r="R310" s="32"/>
      <c r="S310" s="32"/>
      <c r="T310" s="32"/>
      <c r="U310" s="32"/>
      <c r="V310" s="32"/>
      <c r="W310" s="32"/>
      <c r="X310" s="32"/>
      <c r="Y310" s="32"/>
      <c r="Z310" s="32"/>
    </row>
    <row r="311">
      <c r="A311" s="32" t="str">
        <f>IFERROR(__xludf.DUMMYFUNCTION("""COMPUTED_VALUE"""),"The Helm of Foul Night")</f>
        <v>The Helm of Foul Night</v>
      </c>
      <c r="B311" s="32"/>
      <c r="C311" s="32"/>
      <c r="D311" s="32" t="str">
        <f>IFERROR(__xludf.DUMMYFUNCTION("""COMPUTED_VALUE"""),"Head")</f>
        <v>Head</v>
      </c>
      <c r="E311" s="32">
        <f>IFERROR(__xludf.DUMMYFUNCTION("""COMPUTED_VALUE"""),200.0)</f>
        <v>200</v>
      </c>
      <c r="F311" s="32" t="str">
        <f>IFERROR(__xludf.DUMMYFUNCTION("""COMPUTED_VALUE"""),"DEF: +5000, Nature DEF: +5000 (Foul Night Set) ++X2 Nature and Poison damage. ++Poison Immunity. ")</f>
        <v>DEF: +5000, Nature DEF: +5000 (Foul Night Set) ++X2 Nature and Poison damage. ++Poison Immunity. </v>
      </c>
      <c r="G311" s="32">
        <f>IFERROR(__xludf.DUMMYFUNCTION("""COMPUTED_VALUE"""),1900000.0)</f>
        <v>1900000</v>
      </c>
      <c r="H311" s="32"/>
      <c r="I311" s="32"/>
      <c r="J311" s="32"/>
      <c r="K311" s="32"/>
      <c r="L311" s="32"/>
      <c r="M311" s="32"/>
      <c r="N311" s="32"/>
      <c r="O311" s="32"/>
      <c r="P311" s="32"/>
      <c r="Q311" s="32"/>
      <c r="R311" s="32"/>
      <c r="S311" s="32"/>
      <c r="T311" s="32"/>
      <c r="U311" s="32"/>
      <c r="V311" s="32"/>
      <c r="W311" s="32"/>
      <c r="X311" s="32"/>
      <c r="Y311" s="32"/>
      <c r="Z311" s="32"/>
    </row>
    <row r="312">
      <c r="A312" s="32" t="str">
        <f>IFERROR(__xludf.DUMMYFUNCTION("""COMPUTED_VALUE"""),"The Invisible Spear")</f>
        <v>The Invisible Spear</v>
      </c>
      <c r="B312" s="32"/>
      <c r="C312" s="32" t="str">
        <f>IFERROR(__xludf.DUMMYFUNCTION("""COMPUTED_VALUE"""),"Spear")</f>
        <v>Spear</v>
      </c>
      <c r="D312" s="32" t="str">
        <f>IFERROR(__xludf.DUMMYFUNCTION("""COMPUTED_VALUE"""),"Hand")</f>
        <v>Hand</v>
      </c>
      <c r="E312" s="32">
        <f>IFERROR(__xludf.DUMMYFUNCTION("""COMPUTED_VALUE"""),1.0)</f>
        <v>1</v>
      </c>
      <c r="F312" s="32" t="str">
        <f>IFERROR(__xludf.DUMMYFUNCTION("""COMPUTED_VALUE"""),"DMG: +200 ++ignores evasion")</f>
        <v>DMG: +200 ++ignores evasion</v>
      </c>
      <c r="G312" s="32">
        <f>IFERROR(__xludf.DUMMYFUNCTION("""COMPUTED_VALUE"""),0.0)</f>
        <v>0</v>
      </c>
      <c r="H312" s="32"/>
      <c r="I312" s="32"/>
      <c r="J312" s="32"/>
      <c r="K312" s="32"/>
      <c r="L312" s="32"/>
      <c r="M312" s="32"/>
      <c r="N312" s="32"/>
      <c r="O312" s="32"/>
      <c r="P312" s="32"/>
      <c r="Q312" s="32"/>
      <c r="R312" s="32"/>
      <c r="S312" s="32"/>
      <c r="T312" s="32"/>
      <c r="U312" s="32"/>
      <c r="V312" s="32"/>
      <c r="W312" s="32"/>
      <c r="X312" s="32"/>
      <c r="Y312" s="32"/>
      <c r="Z312" s="32"/>
    </row>
    <row r="313">
      <c r="A313" s="32" t="str">
        <f>IFERROR(__xludf.DUMMYFUNCTION("""COMPUTED_VALUE"""),"The Mysterious Mirror")</f>
        <v>The Mysterious Mirror</v>
      </c>
      <c r="B313" s="32"/>
      <c r="C313" s="32" t="str">
        <f>IFERROR(__xludf.DUMMYFUNCTION("""COMPUTED_VALUE"""),"Towershield")</f>
        <v>Towershield</v>
      </c>
      <c r="D313" s="32" t="str">
        <f>IFERROR(__xludf.DUMMYFUNCTION("""COMPUTED_VALUE"""),"Hand")</f>
        <v>Hand</v>
      </c>
      <c r="E313" s="32">
        <f>IFERROR(__xludf.DUMMYFUNCTION("""COMPUTED_VALUE"""),1.0)</f>
        <v>1</v>
      </c>
      <c r="F313" s="32"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32">
        <f>IFERROR(__xludf.DUMMYFUNCTION("""COMPUTED_VALUE"""),0.0)</f>
        <v>0</v>
      </c>
      <c r="H313" s="32"/>
      <c r="I313" s="32"/>
      <c r="J313" s="32"/>
      <c r="K313" s="32"/>
      <c r="L313" s="32"/>
      <c r="M313" s="32"/>
      <c r="N313" s="32"/>
      <c r="O313" s="32"/>
      <c r="P313" s="32"/>
      <c r="Q313" s="32"/>
      <c r="R313" s="32"/>
      <c r="S313" s="32"/>
      <c r="T313" s="32"/>
      <c r="U313" s="32"/>
      <c r="V313" s="32"/>
      <c r="W313" s="32"/>
      <c r="X313" s="32"/>
      <c r="Y313" s="32"/>
      <c r="Z313" s="32"/>
    </row>
    <row r="314">
      <c r="A314" s="32" t="str">
        <f>IFERROR(__xludf.DUMMYFUNCTION("""COMPUTED_VALUE"""),"The Puppet Masters Amulet")</f>
        <v>The Puppet Masters Amulet</v>
      </c>
      <c r="B314" s="32"/>
      <c r="C314" s="32"/>
      <c r="D314" s="32" t="str">
        <f>IFERROR(__xludf.DUMMYFUNCTION("""COMPUTED_VALUE"""),"Neck")</f>
        <v>Neck</v>
      </c>
      <c r="E314" s="32">
        <f>IFERROR(__xludf.DUMMYFUNCTION("""COMPUTED_VALUE"""),1.0)</f>
        <v>1</v>
      </c>
      <c r="F314" s="32" t="str">
        <f>IFERROR(__xludf.DUMMYFUNCTION("""COMPUTED_VALUE""")," ++Immune to possession.  +-Cannot be duplicated.")</f>
        <v> ++Immune to possession.  +-Cannot be duplicated.</v>
      </c>
      <c r="G314" s="32">
        <f>IFERROR(__xludf.DUMMYFUNCTION("""COMPUTED_VALUE"""),0.0)</f>
        <v>0</v>
      </c>
      <c r="H314" s="32"/>
      <c r="I314" s="32"/>
      <c r="J314" s="32"/>
      <c r="K314" s="32"/>
      <c r="L314" s="32"/>
      <c r="M314" s="32"/>
      <c r="N314" s="32"/>
      <c r="O314" s="32"/>
      <c r="P314" s="32"/>
      <c r="Q314" s="32"/>
      <c r="R314" s="32"/>
      <c r="S314" s="32"/>
      <c r="T314" s="32"/>
      <c r="U314" s="32"/>
      <c r="V314" s="32"/>
      <c r="W314" s="32"/>
      <c r="X314" s="32"/>
      <c r="Y314" s="32"/>
      <c r="Z314" s="32"/>
    </row>
    <row r="315">
      <c r="A315" s="32" t="str">
        <f>IFERROR(__xludf.DUMMYFUNCTION("""COMPUTED_VALUE"""),"The Puppet Masters Cloak")</f>
        <v>The Puppet Masters Cloak</v>
      </c>
      <c r="B315" s="32"/>
      <c r="C315" s="32"/>
      <c r="D315" s="32" t="str">
        <f>IFERROR(__xludf.DUMMYFUNCTION("""COMPUTED_VALUE"""),"Torso")</f>
        <v>Torso</v>
      </c>
      <c r="E315" s="32">
        <f>IFERROR(__xludf.DUMMYFUNCTION("""COMPUTED_VALUE"""),1.0)</f>
        <v>1</v>
      </c>
      <c r="F315" s="32" t="str">
        <f>IFERROR(__xludf.DUMMYFUNCTION("""COMPUTED_VALUE""")," ++User and allies gain immunity to chaos and dark damage while in the party. +-Cannot be duplicated")</f>
        <v> ++User and allies gain immunity to chaos and dark damage while in the party. +-Cannot be duplicated</v>
      </c>
      <c r="G315" s="32">
        <f>IFERROR(__xludf.DUMMYFUNCTION("""COMPUTED_VALUE"""),0.0)</f>
        <v>0</v>
      </c>
      <c r="H315" s="32"/>
      <c r="I315" s="32"/>
      <c r="J315" s="32"/>
      <c r="K315" s="32"/>
      <c r="L315" s="32"/>
      <c r="M315" s="32"/>
      <c r="N315" s="32"/>
      <c r="O315" s="32"/>
      <c r="P315" s="32"/>
      <c r="Q315" s="32"/>
      <c r="R315" s="32"/>
      <c r="S315" s="32"/>
      <c r="T315" s="32"/>
      <c r="U315" s="32"/>
      <c r="V315" s="32"/>
      <c r="W315" s="32"/>
      <c r="X315" s="32"/>
      <c r="Y315" s="32"/>
      <c r="Z315" s="32"/>
    </row>
    <row r="316">
      <c r="A316" s="32" t="str">
        <f>IFERROR(__xludf.DUMMYFUNCTION("""COMPUTED_VALUE"""),"The Puppet Masters Ring")</f>
        <v>The Puppet Masters Ring</v>
      </c>
      <c r="B316" s="32"/>
      <c r="C316" s="32"/>
      <c r="D316" s="32" t="str">
        <f>IFERROR(__xludf.DUMMYFUNCTION("""COMPUTED_VALUE"""),"Ring")</f>
        <v>Ring</v>
      </c>
      <c r="E316" s="32">
        <f>IFERROR(__xludf.DUMMYFUNCTION("""COMPUTED_VALUE"""),1.0)</f>
        <v>1</v>
      </c>
      <c r="F316" s="32"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32">
        <f>IFERROR(__xludf.DUMMYFUNCTION("""COMPUTED_VALUE"""),0.0)</f>
        <v>0</v>
      </c>
      <c r="H316" s="32"/>
      <c r="I316" s="32"/>
      <c r="J316" s="32"/>
      <c r="K316" s="32"/>
      <c r="L316" s="32"/>
      <c r="M316" s="32"/>
      <c r="N316" s="32"/>
      <c r="O316" s="32"/>
      <c r="P316" s="32"/>
      <c r="Q316" s="32"/>
      <c r="R316" s="32"/>
      <c r="S316" s="32"/>
      <c r="T316" s="32"/>
      <c r="U316" s="32"/>
      <c r="V316" s="32"/>
      <c r="W316" s="32"/>
      <c r="X316" s="32"/>
      <c r="Y316" s="32"/>
      <c r="Z316" s="32"/>
    </row>
    <row r="317">
      <c r="A317" s="32" t="str">
        <f>IFERROR(__xludf.DUMMYFUNCTION("""COMPUTED_VALUE"""),"The Red Sword")</f>
        <v>The Red Sword</v>
      </c>
      <c r="B317" s="32" t="str">
        <f>IFERROR(__xludf.DUMMYFUNCTION("""COMPUTED_VALUE"""),"A Sword that was made of Vampire’s Blood")</f>
        <v>A Sword that was made of Vampire’s Blood</v>
      </c>
      <c r="C317" s="32" t="str">
        <f>IFERROR(__xludf.DUMMYFUNCTION("""COMPUTED_VALUE"""),"Sword")</f>
        <v>Sword</v>
      </c>
      <c r="D317" s="32" t="str">
        <f>IFERROR(__xludf.DUMMYFUNCTION("""COMPUTED_VALUE"""),"Hand")</f>
        <v>Hand</v>
      </c>
      <c r="E317" s="32">
        <f>IFERROR(__xludf.DUMMYFUNCTION("""COMPUTED_VALUE"""),1.0)</f>
        <v>1</v>
      </c>
      <c r="F317" s="32" t="str">
        <f>IFERROR(__xludf.DUMMYFUNCTION("""COMPUTED_VALUE"""),"DMG: +300")</f>
        <v>DMG: +300</v>
      </c>
      <c r="G317" s="32">
        <f>IFERROR(__xludf.DUMMYFUNCTION("""COMPUTED_VALUE"""),0.0)</f>
        <v>0</v>
      </c>
      <c r="H317" s="32"/>
      <c r="I317" s="32"/>
      <c r="J317" s="32"/>
      <c r="K317" s="32"/>
      <c r="L317" s="32"/>
      <c r="M317" s="32"/>
      <c r="N317" s="32"/>
      <c r="O317" s="32"/>
      <c r="P317" s="32"/>
      <c r="Q317" s="32"/>
      <c r="R317" s="32"/>
      <c r="S317" s="32"/>
      <c r="T317" s="32"/>
      <c r="U317" s="32"/>
      <c r="V317" s="32"/>
      <c r="W317" s="32"/>
      <c r="X317" s="32"/>
      <c r="Y317" s="32"/>
      <c r="Z317" s="32"/>
    </row>
    <row r="318">
      <c r="A318" s="32" t="str">
        <f>IFERROR(__xludf.DUMMYFUNCTION("""COMPUTED_VALUE"""),"The Servants Sword")</f>
        <v>The Servants Sword</v>
      </c>
      <c r="B318" s="32"/>
      <c r="C318" s="32" t="str">
        <f>IFERROR(__xludf.DUMMYFUNCTION("""COMPUTED_VALUE"""),"Sword")</f>
        <v>Sword</v>
      </c>
      <c r="D318" s="32" t="str">
        <f>IFERROR(__xludf.DUMMYFUNCTION("""COMPUTED_VALUE"""),"Hand")</f>
        <v>Hand</v>
      </c>
      <c r="E318" s="32">
        <f>IFERROR(__xludf.DUMMYFUNCTION("""COMPUTED_VALUE"""),600.0)</f>
        <v>600</v>
      </c>
      <c r="F318" s="32" t="str">
        <f>IFERROR(__xludf.DUMMYFUNCTION("""COMPUTED_VALUE"""),"DMG: +20000, Chaos DMG: +10000")</f>
        <v>DMG: +20000, Chaos DMG: +10000</v>
      </c>
      <c r="G318" s="32">
        <f>IFERROR(__xludf.DUMMYFUNCTION("""COMPUTED_VALUE"""),1.77E7)</f>
        <v>17700000</v>
      </c>
      <c r="H318" s="32"/>
      <c r="I318" s="32"/>
      <c r="J318" s="32"/>
      <c r="K318" s="32"/>
      <c r="L318" s="32"/>
      <c r="M318" s="32"/>
      <c r="N318" s="32"/>
      <c r="O318" s="32"/>
      <c r="P318" s="32"/>
      <c r="Q318" s="32"/>
      <c r="R318" s="32"/>
      <c r="S318" s="32"/>
      <c r="T318" s="32"/>
      <c r="U318" s="32"/>
      <c r="V318" s="32"/>
      <c r="W318" s="32"/>
      <c r="X318" s="32"/>
      <c r="Y318" s="32"/>
      <c r="Z318" s="32"/>
    </row>
    <row r="319">
      <c r="A319" s="32" t="str">
        <f>IFERROR(__xludf.DUMMYFUNCTION("""COMPUTED_VALUE"""),"The Shield of Foul Night")</f>
        <v>The Shield of Foul Night</v>
      </c>
      <c r="B319" s="32"/>
      <c r="C319" s="32" t="str">
        <f>IFERROR(__xludf.DUMMYFUNCTION("""COMPUTED_VALUE"""),"Buckler")</f>
        <v>Buckler</v>
      </c>
      <c r="D319" s="32" t="str">
        <f>IFERROR(__xludf.DUMMYFUNCTION("""COMPUTED_VALUE"""),"Hand")</f>
        <v>Hand</v>
      </c>
      <c r="E319" s="32">
        <f>IFERROR(__xludf.DUMMYFUNCTION("""COMPUTED_VALUE"""),200.0)</f>
        <v>200</v>
      </c>
      <c r="F319" s="32" t="str">
        <f>IFERROR(__xludf.DUMMYFUNCTION("""COMPUTED_VALUE"""),"DEF: +5000, Nature DEF: +5000 (Foul Night Set) ++Nature Immunity, Poison Immunity")</f>
        <v>DEF: +5000, Nature DEF: +5000 (Foul Night Set) ++Nature Immunity, Poison Immunity</v>
      </c>
      <c r="G319" s="32">
        <f>IFERROR(__xludf.DUMMYFUNCTION("""COMPUTED_VALUE"""),1900000.0)</f>
        <v>1900000</v>
      </c>
      <c r="H319" s="32"/>
      <c r="I319" s="32"/>
      <c r="J319" s="32"/>
      <c r="K319" s="32"/>
      <c r="L319" s="32"/>
      <c r="M319" s="32"/>
      <c r="N319" s="32"/>
      <c r="O319" s="32"/>
      <c r="P319" s="32"/>
      <c r="Q319" s="32"/>
      <c r="R319" s="32"/>
      <c r="S319" s="32"/>
      <c r="T319" s="32"/>
      <c r="U319" s="32"/>
      <c r="V319" s="32"/>
      <c r="W319" s="32"/>
      <c r="X319" s="32"/>
      <c r="Y319" s="32"/>
      <c r="Z319" s="32"/>
    </row>
    <row r="320">
      <c r="A320" s="32" t="str">
        <f>IFERROR(__xludf.DUMMYFUNCTION("""COMPUTED_VALUE"""),"The Staff of  Haunted Bones")</f>
        <v>The Staff of  Haunted Bones</v>
      </c>
      <c r="B320" s="32" t="str">
        <f>IFERROR(__xludf.DUMMYFUNCTION("""COMPUTED_VALUE"""),"Halloween exclusive")</f>
        <v>Halloween exclusive</v>
      </c>
      <c r="C320" s="32" t="str">
        <f>IFERROR(__xludf.DUMMYFUNCTION("""COMPUTED_VALUE"""),"Staff")</f>
        <v>Staff</v>
      </c>
      <c r="D320" s="32" t="str">
        <f>IFERROR(__xludf.DUMMYFUNCTION("""COMPUTED_VALUE"""),"Hand")</f>
        <v>Hand</v>
      </c>
      <c r="E320" s="32">
        <f>IFERROR(__xludf.DUMMYFUNCTION("""COMPUTED_VALUE"""),1.0)</f>
        <v>1</v>
      </c>
      <c r="F320" s="32" t="str">
        <f>IFERROR(__xludf.DUMMYFUNCTION("""COMPUTED_VALUE""")," X2 additional Dark, Chaos, and Spirit damage.")</f>
        <v> X2 additional Dark, Chaos, and Spirit damage.</v>
      </c>
      <c r="G320" s="32">
        <f>IFERROR(__xludf.DUMMYFUNCTION("""COMPUTED_VALUE"""),0.0)</f>
        <v>0</v>
      </c>
      <c r="H320" s="32"/>
      <c r="I320" s="32"/>
      <c r="J320" s="32"/>
      <c r="K320" s="32"/>
      <c r="L320" s="32"/>
      <c r="M320" s="32"/>
      <c r="N320" s="32"/>
      <c r="O320" s="32"/>
      <c r="P320" s="32"/>
      <c r="Q320" s="32"/>
      <c r="R320" s="32"/>
      <c r="S320" s="32"/>
      <c r="T320" s="32"/>
      <c r="U320" s="32"/>
      <c r="V320" s="32"/>
      <c r="W320" s="32"/>
      <c r="X320" s="32"/>
      <c r="Y320" s="32"/>
      <c r="Z320" s="32"/>
    </row>
    <row r="321">
      <c r="A321" s="32" t="str">
        <f>IFERROR(__xludf.DUMMYFUNCTION("""COMPUTED_VALUE"""),"The Staff of the Aquas")</f>
        <v>The Staff of the Aquas</v>
      </c>
      <c r="B321" s="32"/>
      <c r="C321" s="32" t="str">
        <f>IFERROR(__xludf.DUMMYFUNCTION("""COMPUTED_VALUE"""),"Staff")</f>
        <v>Staff</v>
      </c>
      <c r="D321" s="32" t="str">
        <f>IFERROR(__xludf.DUMMYFUNCTION("""COMPUTED_VALUE"""),"Hand")</f>
        <v>Hand</v>
      </c>
      <c r="E321" s="32">
        <f>IFERROR(__xludf.DUMMYFUNCTION("""COMPUTED_VALUE"""),1.0)</f>
        <v>1</v>
      </c>
      <c r="F321" s="32" t="str">
        <f>IFERROR(__xludf.DUMMYFUNCTION("""COMPUTED_VALUE""")," ++All Water Spells Deal x3 damage and cost half sp to use.")</f>
        <v> ++All Water Spells Deal x3 damage and cost half sp to use.</v>
      </c>
      <c r="G321" s="32">
        <f>IFERROR(__xludf.DUMMYFUNCTION("""COMPUTED_VALUE"""),0.0)</f>
        <v>0</v>
      </c>
      <c r="H321" s="32"/>
      <c r="I321" s="32"/>
      <c r="J321" s="32"/>
      <c r="K321" s="32"/>
      <c r="L321" s="32"/>
      <c r="M321" s="32"/>
      <c r="N321" s="32"/>
      <c r="O321" s="32"/>
      <c r="P321" s="32"/>
      <c r="Q321" s="32"/>
      <c r="R321" s="32"/>
      <c r="S321" s="32"/>
      <c r="T321" s="32"/>
      <c r="U321" s="32"/>
      <c r="V321" s="32"/>
      <c r="W321" s="32"/>
      <c r="X321" s="32"/>
      <c r="Y321" s="32"/>
      <c r="Z321" s="32"/>
    </row>
    <row r="322">
      <c r="A322" s="32" t="str">
        <f>IFERROR(__xludf.DUMMYFUNCTION("""COMPUTED_VALUE"""),"The Staff of The Pumpkin’s Curse")</f>
        <v>The Staff of The Pumpkin’s Curse</v>
      </c>
      <c r="B322" s="32"/>
      <c r="C322" s="32" t="str">
        <f>IFERROR(__xludf.DUMMYFUNCTION("""COMPUTED_VALUE"""),"Staff")</f>
        <v>Staff</v>
      </c>
      <c r="D322" s="32" t="str">
        <f>IFERROR(__xludf.DUMMYFUNCTION("""COMPUTED_VALUE"""),"Hand")</f>
        <v>Hand</v>
      </c>
      <c r="E322" s="32">
        <f>IFERROR(__xludf.DUMMYFUNCTION("""COMPUTED_VALUE"""),1.0)</f>
        <v>1</v>
      </c>
      <c r="F322" s="32" t="str">
        <f>IFERROR(__xludf.DUMMYFUNCTION("""COMPUTED_VALUE""")," ++ Select a target, Any Fire Nature and Dark damage the target deals halved, Fail/Succeed.")</f>
        <v> ++ Select a target, Any Fire Nature and Dark damage the target deals halved, Fail/Succeed.</v>
      </c>
      <c r="G322" s="32">
        <f>IFERROR(__xludf.DUMMYFUNCTION("""COMPUTED_VALUE"""),0.0)</f>
        <v>0</v>
      </c>
      <c r="H322" s="32"/>
      <c r="I322" s="32"/>
      <c r="J322" s="32"/>
      <c r="K322" s="32"/>
      <c r="L322" s="32"/>
      <c r="M322" s="32"/>
      <c r="N322" s="32"/>
      <c r="O322" s="32"/>
      <c r="P322" s="32"/>
      <c r="Q322" s="32"/>
      <c r="R322" s="32"/>
      <c r="S322" s="32"/>
      <c r="T322" s="32"/>
      <c r="U322" s="32"/>
      <c r="V322" s="32"/>
      <c r="W322" s="32"/>
      <c r="X322" s="32"/>
      <c r="Y322" s="32"/>
      <c r="Z322" s="32"/>
    </row>
    <row r="323">
      <c r="A323" s="32" t="str">
        <f>IFERROR(__xludf.DUMMYFUNCTION("""COMPUTED_VALUE"""),"The Stick of the Panda")</f>
        <v>The Stick of the Panda</v>
      </c>
      <c r="B323" s="32"/>
      <c r="C323" s="32" t="str">
        <f>IFERROR(__xludf.DUMMYFUNCTION("""COMPUTED_VALUE"""),"Club")</f>
        <v>Club</v>
      </c>
      <c r="D323" s="32" t="str">
        <f>IFERROR(__xludf.DUMMYFUNCTION("""COMPUTED_VALUE"""),"Hand")</f>
        <v>Hand</v>
      </c>
      <c r="E323" s="32">
        <f>IFERROR(__xludf.DUMMYFUNCTION("""COMPUTED_VALUE"""),400.0)</f>
        <v>400</v>
      </c>
      <c r="F323" s="32"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32">
        <f>IFERROR(__xludf.DUMMYFUNCTION("""COMPUTED_VALUE"""),7800000.0)</f>
        <v>7800000</v>
      </c>
      <c r="H323" s="32"/>
      <c r="I323" s="32"/>
      <c r="J323" s="32"/>
      <c r="K323" s="32"/>
      <c r="L323" s="32"/>
      <c r="M323" s="32"/>
      <c r="N323" s="32"/>
      <c r="O323" s="32"/>
      <c r="P323" s="32"/>
      <c r="Q323" s="32"/>
      <c r="R323" s="32"/>
      <c r="S323" s="32"/>
      <c r="T323" s="32"/>
      <c r="U323" s="32"/>
      <c r="V323" s="32"/>
      <c r="W323" s="32"/>
      <c r="X323" s="32"/>
      <c r="Y323" s="32"/>
      <c r="Z323" s="32"/>
    </row>
    <row r="324">
      <c r="A324" s="32" t="str">
        <f>IFERROR(__xludf.DUMMYFUNCTION("""COMPUTED_VALUE"""),"The Sword Of Death")</f>
        <v>The Sword Of Death</v>
      </c>
      <c r="B324" s="32"/>
      <c r="C324" s="32" t="str">
        <f>IFERROR(__xludf.DUMMYFUNCTION("""COMPUTED_VALUE"""),"Sword")</f>
        <v>Sword</v>
      </c>
      <c r="D324" s="32" t="str">
        <f>IFERROR(__xludf.DUMMYFUNCTION("""COMPUTED_VALUE"""),"Hand")</f>
        <v>Hand</v>
      </c>
      <c r="E324" s="32">
        <f>IFERROR(__xludf.DUMMYFUNCTION("""COMPUTED_VALUE"""),1.0)</f>
        <v>1</v>
      </c>
      <c r="F324" s="32" t="str">
        <f>IFERROR(__xludf.DUMMYFUNCTION("""COMPUTED_VALUE"""),"DMG: +250")</f>
        <v>DMG: +250</v>
      </c>
      <c r="G324" s="32">
        <f>IFERROR(__xludf.DUMMYFUNCTION("""COMPUTED_VALUE"""),0.0)</f>
        <v>0</v>
      </c>
      <c r="H324" s="32"/>
      <c r="I324" s="32"/>
      <c r="J324" s="32"/>
      <c r="K324" s="32"/>
      <c r="L324" s="32"/>
      <c r="M324" s="32"/>
      <c r="N324" s="32"/>
      <c r="O324" s="32"/>
      <c r="P324" s="32"/>
      <c r="Q324" s="32"/>
      <c r="R324" s="32"/>
      <c r="S324" s="32"/>
      <c r="T324" s="32"/>
      <c r="U324" s="32"/>
      <c r="V324" s="32"/>
      <c r="W324" s="32"/>
      <c r="X324" s="32"/>
      <c r="Y324" s="32"/>
      <c r="Z324" s="32"/>
    </row>
    <row r="325">
      <c r="A325" s="32" t="str">
        <f>IFERROR(__xludf.DUMMYFUNCTION("""COMPUTED_VALUE"""),"The Sword Of Easter's Gathering (Exclusive)")</f>
        <v>The Sword Of Easter's Gathering (Exclusive)</v>
      </c>
      <c r="B325" s="32"/>
      <c r="C325" s="32" t="str">
        <f>IFERROR(__xludf.DUMMYFUNCTION("""COMPUTED_VALUE"""),"Sword")</f>
        <v>Sword</v>
      </c>
      <c r="D325" s="32" t="str">
        <f>IFERROR(__xludf.DUMMYFUNCTION("""COMPUTED_VALUE"""),"Hand")</f>
        <v>Hand</v>
      </c>
      <c r="E325" s="32">
        <f>IFERROR(__xludf.DUMMYFUNCTION("""COMPUTED_VALUE"""),200.0)</f>
        <v>200</v>
      </c>
      <c r="F325" s="32"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32">
        <f>IFERROR(__xludf.DUMMYFUNCTION("""COMPUTED_VALUE"""),7800000.0)</f>
        <v>7800000</v>
      </c>
      <c r="H325" s="32"/>
      <c r="I325" s="32"/>
      <c r="J325" s="32"/>
      <c r="K325" s="32"/>
      <c r="L325" s="32"/>
      <c r="M325" s="32"/>
      <c r="N325" s="32"/>
      <c r="O325" s="32"/>
      <c r="P325" s="32"/>
      <c r="Q325" s="32"/>
      <c r="R325" s="32"/>
      <c r="S325" s="32"/>
      <c r="T325" s="32"/>
      <c r="U325" s="32"/>
      <c r="V325" s="32"/>
      <c r="W325" s="32"/>
      <c r="X325" s="32"/>
      <c r="Y325" s="32"/>
      <c r="Z325" s="32"/>
    </row>
    <row r="326">
      <c r="A326" s="32" t="str">
        <f>IFERROR(__xludf.DUMMYFUNCTION("""COMPUTED_VALUE"""),"The Sword of Manannán (Exclusive)")</f>
        <v>The Sword of Manannán (Exclusive)</v>
      </c>
      <c r="B326" s="32" t="str">
        <f>IFERROR(__xludf.DUMMYFUNCTION("""COMPUTED_VALUE"""),"Lugh's Sword he wielded in battle")</f>
        <v>Lugh's Sword he wielded in battle</v>
      </c>
      <c r="C326" s="32" t="str">
        <f>IFERROR(__xludf.DUMMYFUNCTION("""COMPUTED_VALUE"""),"Sword")</f>
        <v>Sword</v>
      </c>
      <c r="D326" s="32" t="str">
        <f>IFERROR(__xludf.DUMMYFUNCTION("""COMPUTED_VALUE"""),"Hand")</f>
        <v>Hand</v>
      </c>
      <c r="E326" s="32">
        <f>IFERROR(__xludf.DUMMYFUNCTION("""COMPUTED_VALUE"""),200.0)</f>
        <v>200</v>
      </c>
      <c r="F326" s="32" t="str">
        <f>IFERROR(__xludf.DUMMYFUNCTION("""COMPUTED_VALUE"""),"DMG: +75000, Celestial DMG: +75000 ++Intimidation and Charisma stat is double while equipped")</f>
        <v>DMG: +75000, Celestial DMG: +75000 ++Intimidation and Charisma stat is double while equipped</v>
      </c>
      <c r="G326" s="32">
        <f>IFERROR(__xludf.DUMMYFUNCTION("""COMPUTED_VALUE"""),4.485E8)</f>
        <v>448500000</v>
      </c>
      <c r="H326" s="32"/>
      <c r="I326" s="32"/>
      <c r="J326" s="32"/>
      <c r="K326" s="32"/>
      <c r="L326" s="32"/>
      <c r="M326" s="32"/>
      <c r="N326" s="32"/>
      <c r="O326" s="32"/>
      <c r="P326" s="32"/>
      <c r="Q326" s="32"/>
      <c r="R326" s="32"/>
      <c r="S326" s="32"/>
      <c r="T326" s="32"/>
      <c r="U326" s="32"/>
      <c r="V326" s="32"/>
      <c r="W326" s="32"/>
      <c r="X326" s="32"/>
      <c r="Y326" s="32"/>
      <c r="Z326" s="32"/>
    </row>
    <row r="327">
      <c r="A327" s="32" t="str">
        <f>IFERROR(__xludf.DUMMYFUNCTION("""COMPUTED_VALUE"""),"The Waking Ash of the Serpent’s Pendent")</f>
        <v>The Waking Ash of the Serpent’s Pendent</v>
      </c>
      <c r="B327" s="32"/>
      <c r="C327" s="32"/>
      <c r="D327" s="32" t="str">
        <f>IFERROR(__xludf.DUMMYFUNCTION("""COMPUTED_VALUE"""),"Neck")</f>
        <v>Neck</v>
      </c>
      <c r="E327" s="32">
        <f>IFERROR(__xludf.DUMMYFUNCTION("""COMPUTED_VALUE"""),1.0)</f>
        <v>1</v>
      </c>
      <c r="F327" s="32"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32">
        <f>IFERROR(__xludf.DUMMYFUNCTION("""COMPUTED_VALUE"""),0.0)</f>
        <v>0</v>
      </c>
      <c r="H327" s="32"/>
      <c r="I327" s="32"/>
      <c r="J327" s="32"/>
      <c r="K327" s="32"/>
      <c r="L327" s="32"/>
      <c r="M327" s="32"/>
      <c r="N327" s="32"/>
      <c r="O327" s="32"/>
      <c r="P327" s="32"/>
      <c r="Q327" s="32"/>
      <c r="R327" s="32"/>
      <c r="S327" s="32"/>
      <c r="T327" s="32"/>
      <c r="U327" s="32"/>
      <c r="V327" s="32"/>
      <c r="W327" s="32"/>
      <c r="X327" s="32"/>
      <c r="Y327" s="32"/>
      <c r="Z327" s="32"/>
    </row>
    <row r="328">
      <c r="A328" s="32" t="str">
        <f>IFERROR(__xludf.DUMMYFUNCTION("""COMPUTED_VALUE"""),"The Wand of Aquatic Beasts")</f>
        <v>The Wand of Aquatic Beasts</v>
      </c>
      <c r="B328" s="32"/>
      <c r="C328" s="32" t="str">
        <f>IFERROR(__xludf.DUMMYFUNCTION("""COMPUTED_VALUE"""),"Wand")</f>
        <v>Wand</v>
      </c>
      <c r="D328" s="32" t="str">
        <f>IFERROR(__xludf.DUMMYFUNCTION("""COMPUTED_VALUE"""),"Hand")</f>
        <v>Hand</v>
      </c>
      <c r="E328" s="32">
        <f>IFERROR(__xludf.DUMMYFUNCTION("""COMPUTED_VALUE"""),1.0)</f>
        <v>1</v>
      </c>
      <c r="F328" s="32" t="str">
        <f>IFERROR(__xludf.DUMMYFUNCTION("""COMPUTED_VALUE""")," ++All water and storm spells are decreased by half sp.")</f>
        <v> ++All water and storm spells are decreased by half sp.</v>
      </c>
      <c r="G328" s="32">
        <f>IFERROR(__xludf.DUMMYFUNCTION("""COMPUTED_VALUE"""),0.0)</f>
        <v>0</v>
      </c>
      <c r="H328" s="32"/>
      <c r="I328" s="32"/>
      <c r="J328" s="32"/>
      <c r="K328" s="32"/>
      <c r="L328" s="32"/>
      <c r="M328" s="32"/>
      <c r="N328" s="32"/>
      <c r="O328" s="32"/>
      <c r="P328" s="32"/>
      <c r="Q328" s="32"/>
      <c r="R328" s="32"/>
      <c r="S328" s="32"/>
      <c r="T328" s="32"/>
      <c r="U328" s="32"/>
      <c r="V328" s="32"/>
      <c r="W328" s="32"/>
      <c r="X328" s="32"/>
      <c r="Y328" s="32"/>
      <c r="Z328" s="32"/>
    </row>
    <row r="329">
      <c r="A329" s="32" t="str">
        <f>IFERROR(__xludf.DUMMYFUNCTION("""COMPUTED_VALUE"""),"Titanic Two Hander")</f>
        <v>Titanic Two Hander</v>
      </c>
      <c r="B329" s="32"/>
      <c r="C329" s="32" t="str">
        <f>IFERROR(__xludf.DUMMYFUNCTION("""COMPUTED_VALUE"""),"Sword")</f>
        <v>Sword</v>
      </c>
      <c r="D329" s="32" t="str">
        <f>IFERROR(__xludf.DUMMYFUNCTION("""COMPUTED_VALUE"""),"Hand")</f>
        <v>Hand</v>
      </c>
      <c r="E329" s="32">
        <f>IFERROR(__xludf.DUMMYFUNCTION("""COMPUTED_VALUE"""),200.0)</f>
        <v>200</v>
      </c>
      <c r="F329" s="32" t="str">
        <f>IFERROR(__xludf.DUMMYFUNCTION("""COMPUTED_VALUE"""),"DMG: +10000")</f>
        <v>DMG: +10000</v>
      </c>
      <c r="G329" s="32">
        <f>IFERROR(__xludf.DUMMYFUNCTION("""COMPUTED_VALUE"""),1900000.0)</f>
        <v>1900000</v>
      </c>
      <c r="H329" s="32"/>
      <c r="I329" s="32"/>
      <c r="J329" s="32"/>
      <c r="K329" s="32"/>
      <c r="L329" s="32"/>
      <c r="M329" s="32"/>
      <c r="N329" s="32"/>
      <c r="O329" s="32"/>
      <c r="P329" s="32"/>
      <c r="Q329" s="32"/>
      <c r="R329" s="32"/>
      <c r="S329" s="32"/>
      <c r="T329" s="32"/>
      <c r="U329" s="32"/>
      <c r="V329" s="32"/>
      <c r="W329" s="32"/>
      <c r="X329" s="32"/>
      <c r="Y329" s="32"/>
      <c r="Z329" s="32"/>
    </row>
    <row r="330">
      <c r="A330" s="32" t="str">
        <f>IFERROR(__xludf.DUMMYFUNCTION("""COMPUTED_VALUE"""),"Top Hat")</f>
        <v>Top Hat</v>
      </c>
      <c r="B330" s="32" t="str">
        <f>IFERROR(__xludf.DUMMYFUNCTION("""COMPUTED_VALUE"""),"nothing like good ol abraham")</f>
        <v>nothing like good ol abraham</v>
      </c>
      <c r="C330" s="32"/>
      <c r="D330" s="32" t="str">
        <f>IFERROR(__xludf.DUMMYFUNCTION("""COMPUTED_VALUE"""),"Head")</f>
        <v>Head</v>
      </c>
      <c r="E330" s="32">
        <f>IFERROR(__xludf.DUMMYFUNCTION("""COMPUTED_VALUE"""),1.0)</f>
        <v>1</v>
      </c>
      <c r="F330" s="32" t="str">
        <f>IFERROR(__xludf.DUMMYFUNCTION("""COMPUTED_VALUE"""),"DEF: +1")</f>
        <v>DEF: +1</v>
      </c>
      <c r="G330" s="32">
        <f>IFERROR(__xludf.DUMMYFUNCTION("""COMPUTED_VALUE"""),0.0)</f>
        <v>0</v>
      </c>
      <c r="H330" s="32"/>
      <c r="I330" s="32"/>
      <c r="J330" s="32"/>
      <c r="K330" s="32"/>
      <c r="L330" s="32"/>
      <c r="M330" s="32"/>
      <c r="N330" s="32"/>
      <c r="O330" s="32"/>
      <c r="P330" s="32"/>
      <c r="Q330" s="32"/>
      <c r="R330" s="32"/>
      <c r="S330" s="32"/>
      <c r="T330" s="32"/>
      <c r="U330" s="32"/>
      <c r="V330" s="32"/>
      <c r="W330" s="32"/>
      <c r="X330" s="32"/>
      <c r="Y330" s="32"/>
      <c r="Z330" s="32"/>
    </row>
    <row r="331">
      <c r="A331" s="32" t="str">
        <f>IFERROR(__xludf.DUMMYFUNCTION("""COMPUTED_VALUE"""),"Trident")</f>
        <v>Trident</v>
      </c>
      <c r="B331" s="32"/>
      <c r="C331" s="32" t="str">
        <f>IFERROR(__xludf.DUMMYFUNCTION("""COMPUTED_VALUE"""),"Spear")</f>
        <v>Spear</v>
      </c>
      <c r="D331" s="32" t="str">
        <f>IFERROR(__xludf.DUMMYFUNCTION("""COMPUTED_VALUE"""),"Hand")</f>
        <v>Hand</v>
      </c>
      <c r="E331" s="32">
        <f>IFERROR(__xludf.DUMMYFUNCTION("""COMPUTED_VALUE"""),20.0)</f>
        <v>20</v>
      </c>
      <c r="F331" s="32" t="str">
        <f>IFERROR(__xludf.DUMMYFUNCTION("""COMPUTED_VALUE"""),"DMG: +600")</f>
        <v>DMG: +600</v>
      </c>
      <c r="G331" s="32">
        <f>IFERROR(__xludf.DUMMYFUNCTION("""COMPUTED_VALUE"""),1000.0)</f>
        <v>1000</v>
      </c>
      <c r="H331" s="32"/>
      <c r="I331" s="32"/>
      <c r="J331" s="32"/>
      <c r="K331" s="32"/>
      <c r="L331" s="32"/>
      <c r="M331" s="32"/>
      <c r="N331" s="32"/>
      <c r="O331" s="32"/>
      <c r="P331" s="32"/>
      <c r="Q331" s="32"/>
      <c r="R331" s="32"/>
      <c r="S331" s="32"/>
      <c r="T331" s="32"/>
      <c r="U331" s="32"/>
      <c r="V331" s="32"/>
      <c r="W331" s="32"/>
      <c r="X331" s="32"/>
      <c r="Y331" s="32"/>
      <c r="Z331" s="32"/>
    </row>
    <row r="332">
      <c r="A332" s="32" t="str">
        <f>IFERROR(__xludf.DUMMYFUNCTION("""COMPUTED_VALUE"""),"Tundra Staff")</f>
        <v>Tundra Staff</v>
      </c>
      <c r="B332" s="32"/>
      <c r="C332" s="32" t="str">
        <f>IFERROR(__xludf.DUMMYFUNCTION("""COMPUTED_VALUE"""),"Staff")</f>
        <v>Staff</v>
      </c>
      <c r="D332" s="32" t="str">
        <f>IFERROR(__xludf.DUMMYFUNCTION("""COMPUTED_VALUE"""),"Hand")</f>
        <v>Hand</v>
      </c>
      <c r="E332" s="32">
        <f>IFERROR(__xludf.DUMMYFUNCTION("""COMPUTED_VALUE"""),200.0)</f>
        <v>200</v>
      </c>
      <c r="F332" s="32" t="str">
        <f>IFERROR(__xludf.DUMMYFUNCTION("""COMPUTED_VALUE"""),", Earth : +10000 ++X2 Earth damage. +-Cannot be duplicated")</f>
        <v>, Earth : +10000 ++X2 Earth damage. +-Cannot be duplicated</v>
      </c>
      <c r="G332" s="32">
        <f>IFERROR(__xludf.DUMMYFUNCTION("""COMPUTED_VALUE"""),1900000.0)</f>
        <v>1900000</v>
      </c>
      <c r="H332" s="32"/>
      <c r="I332" s="32"/>
      <c r="J332" s="32"/>
      <c r="K332" s="32"/>
      <c r="L332" s="32"/>
      <c r="M332" s="32"/>
      <c r="N332" s="32"/>
      <c r="O332" s="32"/>
      <c r="P332" s="32"/>
      <c r="Q332" s="32"/>
      <c r="R332" s="32"/>
      <c r="S332" s="32"/>
      <c r="T332" s="32"/>
      <c r="U332" s="32"/>
      <c r="V332" s="32"/>
      <c r="W332" s="32"/>
      <c r="X332" s="32"/>
      <c r="Y332" s="32"/>
      <c r="Z332" s="32"/>
    </row>
    <row r="333">
      <c r="A333" s="32" t="str">
        <f>IFERROR(__xludf.DUMMYFUNCTION("""COMPUTED_VALUE"""),"Twilight Bow")</f>
        <v>Twilight Bow</v>
      </c>
      <c r="B333" s="32"/>
      <c r="C333" s="32" t="str">
        <f>IFERROR(__xludf.DUMMYFUNCTION("""COMPUTED_VALUE"""),"Bow")</f>
        <v>Bow</v>
      </c>
      <c r="D333" s="32" t="str">
        <f>IFERROR(__xludf.DUMMYFUNCTION("""COMPUTED_VALUE"""),"Hand")</f>
        <v>Hand</v>
      </c>
      <c r="E333" s="32">
        <f>IFERROR(__xludf.DUMMYFUNCTION("""COMPUTED_VALUE"""),400.0)</f>
        <v>400</v>
      </c>
      <c r="F333" s="32" t="str">
        <f>IFERROR(__xludf.DUMMYFUNCTION("""COMPUTED_VALUE"""),"DMG: +10000, Twilight DMG: +10000")</f>
        <v>DMG: +10000, Twilight DMG: +10000</v>
      </c>
      <c r="G333" s="32">
        <f>IFERROR(__xludf.DUMMYFUNCTION("""COMPUTED_VALUE"""),7800000.0)</f>
        <v>7800000</v>
      </c>
      <c r="H333" s="32"/>
      <c r="I333" s="32"/>
      <c r="J333" s="32"/>
      <c r="K333" s="32"/>
      <c r="L333" s="32"/>
      <c r="M333" s="32"/>
      <c r="N333" s="32"/>
      <c r="O333" s="32"/>
      <c r="P333" s="32"/>
      <c r="Q333" s="32"/>
      <c r="R333" s="32"/>
      <c r="S333" s="32"/>
      <c r="T333" s="32"/>
      <c r="U333" s="32"/>
      <c r="V333" s="32"/>
      <c r="W333" s="32"/>
      <c r="X333" s="32"/>
      <c r="Y333" s="32"/>
      <c r="Z333" s="32"/>
    </row>
    <row r="334">
      <c r="A334" s="32" t="str">
        <f>IFERROR(__xludf.DUMMYFUNCTION("""COMPUTED_VALUE"""),"Twilight Crystal Sword of Evil's Bane")</f>
        <v>Twilight Crystal Sword of Evil's Bane</v>
      </c>
      <c r="B334" s="32" t="str">
        <f>IFERROR(__xludf.DUMMYFUNCTION("""COMPUTED_VALUE"""),"Halloween Event Exclusive Item")</f>
        <v>Halloween Event Exclusive Item</v>
      </c>
      <c r="C334" s="32" t="str">
        <f>IFERROR(__xludf.DUMMYFUNCTION("""COMPUTED_VALUE"""),"Sword")</f>
        <v>Sword</v>
      </c>
      <c r="D334" s="32" t="str">
        <f>IFERROR(__xludf.DUMMYFUNCTION("""COMPUTED_VALUE"""),"Hand")</f>
        <v>Hand</v>
      </c>
      <c r="E334" s="32">
        <f>IFERROR(__xludf.DUMMYFUNCTION("""COMPUTED_VALUE"""),200.0)</f>
        <v>200</v>
      </c>
      <c r="F334" s="32"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32">
        <f>IFERROR(__xludf.DUMMYFUNCTION("""COMPUTED_VALUE"""),4.95E7)</f>
        <v>49500000</v>
      </c>
      <c r="H334" s="32"/>
      <c r="I334" s="32"/>
      <c r="J334" s="32"/>
      <c r="K334" s="32"/>
      <c r="L334" s="32"/>
      <c r="M334" s="32"/>
      <c r="N334" s="32"/>
      <c r="O334" s="32"/>
      <c r="P334" s="32"/>
      <c r="Q334" s="32"/>
      <c r="R334" s="32"/>
      <c r="S334" s="32"/>
      <c r="T334" s="32"/>
      <c r="U334" s="32"/>
      <c r="V334" s="32"/>
      <c r="W334" s="32"/>
      <c r="X334" s="32"/>
      <c r="Y334" s="32"/>
      <c r="Z334" s="32"/>
    </row>
    <row r="335">
      <c r="A335" s="32" t="str">
        <f>IFERROR(__xludf.DUMMYFUNCTION("""COMPUTED_VALUE"""),"Twilight Sword")</f>
        <v>Twilight Sword</v>
      </c>
      <c r="B335" s="32"/>
      <c r="C335" s="32" t="str">
        <f>IFERROR(__xludf.DUMMYFUNCTION("""COMPUTED_VALUE"""),"Sword")</f>
        <v>Sword</v>
      </c>
      <c r="D335" s="32" t="str">
        <f>IFERROR(__xludf.DUMMYFUNCTION("""COMPUTED_VALUE"""),"Hand")</f>
        <v>Hand</v>
      </c>
      <c r="E335" s="32">
        <f>IFERROR(__xludf.DUMMYFUNCTION("""COMPUTED_VALUE"""),20.0)</f>
        <v>20</v>
      </c>
      <c r="F335" s="32" t="str">
        <f>IFERROR(__xludf.DUMMYFUNCTION("""COMPUTED_VALUE"""),"DMG: +500, Twilight DMG: +200")</f>
        <v>DMG: +500, Twilight DMG: +200</v>
      </c>
      <c r="G335" s="32">
        <f>IFERROR(__xludf.DUMMYFUNCTION("""COMPUTED_VALUE"""),1000.0)</f>
        <v>1000</v>
      </c>
      <c r="H335" s="32"/>
      <c r="I335" s="32"/>
      <c r="J335" s="32"/>
      <c r="K335" s="32"/>
      <c r="L335" s="32"/>
      <c r="M335" s="32"/>
      <c r="N335" s="32"/>
      <c r="O335" s="32"/>
      <c r="P335" s="32"/>
      <c r="Q335" s="32"/>
      <c r="R335" s="32"/>
      <c r="S335" s="32"/>
      <c r="T335" s="32"/>
      <c r="U335" s="32"/>
      <c r="V335" s="32"/>
      <c r="W335" s="32"/>
      <c r="X335" s="32"/>
      <c r="Y335" s="32"/>
      <c r="Z335" s="32"/>
    </row>
    <row r="336">
      <c r="A336" s="32" t="str">
        <f>IFERROR(__xludf.DUMMYFUNCTION("""COMPUTED_VALUE"""),"Unknown Amulet")</f>
        <v>Unknown Amulet</v>
      </c>
      <c r="B336" s="32"/>
      <c r="C336" s="32"/>
      <c r="D336" s="32" t="str">
        <f>IFERROR(__xludf.DUMMYFUNCTION("""COMPUTED_VALUE"""),"Neck")</f>
        <v>Neck</v>
      </c>
      <c r="E336" s="32">
        <f>IFERROR(__xludf.DUMMYFUNCTION("""COMPUTED_VALUE"""),1.0)</f>
        <v>1</v>
      </c>
      <c r="F336" s="32"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32">
        <f>IFERROR(__xludf.DUMMYFUNCTION("""COMPUTED_VALUE"""),0.0)</f>
        <v>0</v>
      </c>
      <c r="H336" s="32"/>
      <c r="I336" s="32"/>
      <c r="J336" s="32"/>
      <c r="K336" s="32"/>
      <c r="L336" s="32"/>
      <c r="M336" s="32"/>
      <c r="N336" s="32"/>
      <c r="O336" s="32"/>
      <c r="P336" s="32"/>
      <c r="Q336" s="32"/>
      <c r="R336" s="32"/>
      <c r="S336" s="32"/>
      <c r="T336" s="32"/>
      <c r="U336" s="32"/>
      <c r="V336" s="32"/>
      <c r="W336" s="32"/>
      <c r="X336" s="32"/>
      <c r="Y336" s="32"/>
      <c r="Z336" s="32"/>
    </row>
    <row r="337">
      <c r="A337" s="32" t="str">
        <f>IFERROR(__xludf.DUMMYFUNCTION("""COMPUTED_VALUE"""),"Vambraces of Waking Waters")</f>
        <v>Vambraces of Waking Waters</v>
      </c>
      <c r="B337" s="32"/>
      <c r="C337" s="32"/>
      <c r="D337" s="32" t="str">
        <f>IFERROR(__xludf.DUMMYFUNCTION("""COMPUTED_VALUE"""),"Arms")</f>
        <v>Arms</v>
      </c>
      <c r="E337" s="32">
        <f>IFERROR(__xludf.DUMMYFUNCTION("""COMPUTED_VALUE"""),200.0)</f>
        <v>200</v>
      </c>
      <c r="F337" s="32" t="str">
        <f>IFERROR(__xludf.DUMMYFUNCTION("""COMPUTED_VALUE"""),"DEF: +5000, Water DEF: +5000 ++X4 additional Water damage.")</f>
        <v>DEF: +5000, Water DEF: +5000 ++X4 additional Water damage.</v>
      </c>
      <c r="G337" s="32">
        <f>IFERROR(__xludf.DUMMYFUNCTION("""COMPUTED_VALUE"""),1900000.0)</f>
        <v>1900000</v>
      </c>
      <c r="H337" s="32"/>
      <c r="I337" s="32"/>
      <c r="J337" s="32"/>
      <c r="K337" s="32"/>
      <c r="L337" s="32"/>
      <c r="M337" s="32"/>
      <c r="N337" s="32"/>
      <c r="O337" s="32"/>
      <c r="P337" s="32"/>
      <c r="Q337" s="32"/>
      <c r="R337" s="32"/>
      <c r="S337" s="32"/>
      <c r="T337" s="32"/>
      <c r="U337" s="32"/>
      <c r="V337" s="32"/>
      <c r="W337" s="32"/>
      <c r="X337" s="32"/>
      <c r="Y337" s="32"/>
      <c r="Z337" s="32"/>
    </row>
    <row r="338">
      <c r="A338" s="32" t="str">
        <f>IFERROR(__xludf.DUMMYFUNCTION("""COMPUTED_VALUE"""),"Viking Helm")</f>
        <v>Viking Helm</v>
      </c>
      <c r="B338" s="32"/>
      <c r="C338" s="32"/>
      <c r="D338" s="32" t="str">
        <f>IFERROR(__xludf.DUMMYFUNCTION("""COMPUTED_VALUE"""),"Head")</f>
        <v>Head</v>
      </c>
      <c r="E338" s="32">
        <f>IFERROR(__xludf.DUMMYFUNCTION("""COMPUTED_VALUE"""),1.0)</f>
        <v>1</v>
      </c>
      <c r="F338" s="32" t="str">
        <f>IFERROR(__xludf.DUMMYFUNCTION("""COMPUTED_VALUE"""),"DEF: +200 (Viking Set)")</f>
        <v>DEF: +200 (Viking Set)</v>
      </c>
      <c r="G338" s="32">
        <f>IFERROR(__xludf.DUMMYFUNCTION("""COMPUTED_VALUE"""),0.0)</f>
        <v>0</v>
      </c>
      <c r="H338" s="32"/>
      <c r="I338" s="32"/>
      <c r="J338" s="32"/>
      <c r="K338" s="32"/>
      <c r="L338" s="32"/>
      <c r="M338" s="32"/>
      <c r="N338" s="32"/>
      <c r="O338" s="32"/>
      <c r="P338" s="32"/>
      <c r="Q338" s="32"/>
      <c r="R338" s="32"/>
      <c r="S338" s="32"/>
      <c r="T338" s="32"/>
      <c r="U338" s="32"/>
      <c r="V338" s="32"/>
      <c r="W338" s="32"/>
      <c r="X338" s="32"/>
      <c r="Y338" s="32"/>
      <c r="Z338" s="32"/>
    </row>
    <row r="339">
      <c r="A339" s="32" t="str">
        <f>IFERROR(__xludf.DUMMYFUNCTION("""COMPUTED_VALUE"""),"Void sword")</f>
        <v>Void sword</v>
      </c>
      <c r="B339" s="32"/>
      <c r="C339" s="32" t="str">
        <f>IFERROR(__xludf.DUMMYFUNCTION("""COMPUTED_VALUE"""),"Sword")</f>
        <v>Sword</v>
      </c>
      <c r="D339" s="32" t="str">
        <f>IFERROR(__xludf.DUMMYFUNCTION("""COMPUTED_VALUE"""),"Hand")</f>
        <v>Hand</v>
      </c>
      <c r="E339" s="32">
        <f>IFERROR(__xludf.DUMMYFUNCTION("""COMPUTED_VALUE"""),200.0)</f>
        <v>200</v>
      </c>
      <c r="F339" s="32"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32">
        <f>IFERROR(__xludf.DUMMYFUNCTION("""COMPUTED_VALUE"""),0.0)</f>
        <v>0</v>
      </c>
      <c r="H339" s="32"/>
      <c r="I339" s="32"/>
      <c r="J339" s="32"/>
      <c r="K339" s="32"/>
      <c r="L339" s="32"/>
      <c r="M339" s="32"/>
      <c r="N339" s="32"/>
      <c r="O339" s="32"/>
      <c r="P339" s="32"/>
      <c r="Q339" s="32"/>
      <c r="R339" s="32"/>
      <c r="S339" s="32"/>
      <c r="T339" s="32"/>
      <c r="U339" s="32"/>
      <c r="V339" s="32"/>
      <c r="W339" s="32"/>
      <c r="X339" s="32"/>
      <c r="Y339" s="32"/>
      <c r="Z339" s="32"/>
    </row>
    <row r="340">
      <c r="A340" s="32" t="str">
        <f>IFERROR(__xludf.DUMMYFUNCTION("""COMPUTED_VALUE"""),"Volcanic Sword of Destruction")</f>
        <v>Volcanic Sword of Destruction</v>
      </c>
      <c r="B340" s="32"/>
      <c r="C340" s="32" t="str">
        <f>IFERROR(__xludf.DUMMYFUNCTION("""COMPUTED_VALUE"""),"Sword")</f>
        <v>Sword</v>
      </c>
      <c r="D340" s="32" t="str">
        <f>IFERROR(__xludf.DUMMYFUNCTION("""COMPUTED_VALUE"""),"Hand")</f>
        <v>Hand</v>
      </c>
      <c r="E340" s="32">
        <f>IFERROR(__xludf.DUMMYFUNCTION("""COMPUTED_VALUE"""),200.0)</f>
        <v>200</v>
      </c>
      <c r="F340" s="32"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32">
        <f>IFERROR(__xludf.DUMMYFUNCTION("""COMPUTED_VALUE"""),4.995E9)</f>
        <v>4995000000</v>
      </c>
      <c r="H340" s="32"/>
      <c r="I340" s="32"/>
      <c r="J340" s="32"/>
      <c r="K340" s="32"/>
      <c r="L340" s="32"/>
      <c r="M340" s="32"/>
      <c r="N340" s="32"/>
      <c r="O340" s="32"/>
      <c r="P340" s="32"/>
      <c r="Q340" s="32"/>
      <c r="R340" s="32"/>
      <c r="S340" s="32"/>
      <c r="T340" s="32"/>
      <c r="U340" s="32"/>
      <c r="V340" s="32"/>
      <c r="W340" s="32"/>
      <c r="X340" s="32"/>
      <c r="Y340" s="32"/>
      <c r="Z340" s="32"/>
    </row>
    <row r="341">
      <c r="A341" s="32" t="str">
        <f>IFERROR(__xludf.DUMMYFUNCTION("""COMPUTED_VALUE"""),"Wand of Grey")</f>
        <v>Wand of Grey</v>
      </c>
      <c r="B341" s="32"/>
      <c r="C341" s="32" t="str">
        <f>IFERROR(__xludf.DUMMYFUNCTION("""COMPUTED_VALUE"""),"Wand")</f>
        <v>Wand</v>
      </c>
      <c r="D341" s="32" t="str">
        <f>IFERROR(__xludf.DUMMYFUNCTION("""COMPUTED_VALUE"""),"Hand")</f>
        <v>Hand</v>
      </c>
      <c r="E341" s="32">
        <f>IFERROR(__xludf.DUMMYFUNCTION("""COMPUTED_VALUE"""),1.0)</f>
        <v>1</v>
      </c>
      <c r="F341" s="32" t="str">
        <f>IFERROR(__xludf.DUMMYFUNCTION("""COMPUTED_VALUE""")," ++X2 more damage to all spells. +-Cannot be duplicated.")</f>
        <v> ++X2 more damage to all spells. +-Cannot be duplicated.</v>
      </c>
      <c r="G341" s="32">
        <f>IFERROR(__xludf.DUMMYFUNCTION("""COMPUTED_VALUE"""),0.0)</f>
        <v>0</v>
      </c>
      <c r="H341" s="32"/>
      <c r="I341" s="32"/>
      <c r="J341" s="32"/>
      <c r="K341" s="32"/>
      <c r="L341" s="32"/>
      <c r="M341" s="32"/>
      <c r="N341" s="32"/>
      <c r="O341" s="32"/>
      <c r="P341" s="32"/>
      <c r="Q341" s="32"/>
      <c r="R341" s="32"/>
      <c r="S341" s="32"/>
      <c r="T341" s="32"/>
      <c r="U341" s="32"/>
      <c r="V341" s="32"/>
      <c r="W341" s="32"/>
      <c r="X341" s="32"/>
      <c r="Y341" s="32"/>
      <c r="Z341" s="32"/>
    </row>
    <row r="342">
      <c r="A342" s="32" t="str">
        <f>IFERROR(__xludf.DUMMYFUNCTION("""COMPUTED_VALUE"""),"Wand of Multi-Color")</f>
        <v>Wand of Multi-Color</v>
      </c>
      <c r="B342" s="32"/>
      <c r="C342" s="32" t="str">
        <f>IFERROR(__xludf.DUMMYFUNCTION("""COMPUTED_VALUE"""),"Wand")</f>
        <v>Wand</v>
      </c>
      <c r="D342" s="32" t="str">
        <f>IFERROR(__xludf.DUMMYFUNCTION("""COMPUTED_VALUE"""),"Hand")</f>
        <v>Hand</v>
      </c>
      <c r="E342" s="32">
        <f>IFERROR(__xludf.DUMMYFUNCTION("""COMPUTED_VALUE"""),1.0)</f>
        <v>1</v>
      </c>
      <c r="F342" s="32" t="str">
        <f>IFERROR(__xludf.DUMMYFUNCTION("""COMPUTED_VALUE""")," ++All types of spells are reduced by half sp. +-Cannot be duplicated. +-Can only equip one")</f>
        <v> ++All types of spells are reduced by half sp. +-Cannot be duplicated. +-Can only equip one</v>
      </c>
      <c r="G342" s="32">
        <f>IFERROR(__xludf.DUMMYFUNCTION("""COMPUTED_VALUE"""),0.0)</f>
        <v>0</v>
      </c>
      <c r="H342" s="32"/>
      <c r="I342" s="32"/>
      <c r="J342" s="32"/>
      <c r="K342" s="32"/>
      <c r="L342" s="32"/>
      <c r="M342" s="32"/>
      <c r="N342" s="32"/>
      <c r="O342" s="32"/>
      <c r="P342" s="32"/>
      <c r="Q342" s="32"/>
      <c r="R342" s="32"/>
      <c r="S342" s="32"/>
      <c r="T342" s="32"/>
      <c r="U342" s="32"/>
      <c r="V342" s="32"/>
      <c r="W342" s="32"/>
      <c r="X342" s="32"/>
      <c r="Y342" s="32"/>
      <c r="Z342" s="32"/>
    </row>
    <row r="343">
      <c r="A343" s="32" t="str">
        <f>IFERROR(__xludf.DUMMYFUNCTION("""COMPUTED_VALUE"""),"Warlock’s Armored Chestplate")</f>
        <v>Warlock’s Armored Chestplate</v>
      </c>
      <c r="B343" s="32"/>
      <c r="C343" s="32"/>
      <c r="D343" s="32" t="str">
        <f>IFERROR(__xludf.DUMMYFUNCTION("""COMPUTED_VALUE"""),"Torso")</f>
        <v>Torso</v>
      </c>
      <c r="E343" s="32">
        <f>IFERROR(__xludf.DUMMYFUNCTION("""COMPUTED_VALUE"""),100.0)</f>
        <v>100</v>
      </c>
      <c r="F343" s="32"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32">
        <f>IFERROR(__xludf.DUMMYFUNCTION("""COMPUTED_VALUE"""),450000.0)</f>
        <v>450000</v>
      </c>
      <c r="H343" s="32"/>
      <c r="I343" s="32"/>
      <c r="J343" s="32"/>
      <c r="K343" s="32"/>
      <c r="L343" s="32"/>
      <c r="M343" s="32"/>
      <c r="N343" s="32"/>
      <c r="O343" s="32"/>
      <c r="P343" s="32"/>
      <c r="Q343" s="32"/>
      <c r="R343" s="32"/>
      <c r="S343" s="32"/>
      <c r="T343" s="32"/>
      <c r="U343" s="32"/>
      <c r="V343" s="32"/>
      <c r="W343" s="32"/>
      <c r="X343" s="32"/>
      <c r="Y343" s="32"/>
      <c r="Z343" s="32"/>
    </row>
    <row r="344">
      <c r="A344" s="32" t="str">
        <f>IFERROR(__xludf.DUMMYFUNCTION("""COMPUTED_VALUE"""),"Water Warhammer")</f>
        <v>Water Warhammer</v>
      </c>
      <c r="B344" s="32"/>
      <c r="C344" s="32" t="str">
        <f>IFERROR(__xludf.DUMMYFUNCTION("""COMPUTED_VALUE"""),"Club")</f>
        <v>Club</v>
      </c>
      <c r="D344" s="32" t="str">
        <f>IFERROR(__xludf.DUMMYFUNCTION("""COMPUTED_VALUE"""),"Hand")</f>
        <v>Hand</v>
      </c>
      <c r="E344" s="32">
        <f>IFERROR(__xludf.DUMMYFUNCTION("""COMPUTED_VALUE"""),200.0)</f>
        <v>200</v>
      </c>
      <c r="F344" s="32" t="str">
        <f>IFERROR(__xludf.DUMMYFUNCTION("""COMPUTED_VALUE"""),"DMG: +5000, Water DMG: +5000")</f>
        <v>DMG: +5000, Water DMG: +5000</v>
      </c>
      <c r="G344" s="32">
        <f>IFERROR(__xludf.DUMMYFUNCTION("""COMPUTED_VALUE"""),1900000.0)</f>
        <v>1900000</v>
      </c>
      <c r="H344" s="32"/>
      <c r="I344" s="32"/>
      <c r="J344" s="32"/>
      <c r="K344" s="32"/>
      <c r="L344" s="32"/>
      <c r="M344" s="32"/>
      <c r="N344" s="32"/>
      <c r="O344" s="32"/>
      <c r="P344" s="32"/>
      <c r="Q344" s="32"/>
      <c r="R344" s="32"/>
      <c r="S344" s="32"/>
      <c r="T344" s="32"/>
      <c r="U344" s="32"/>
      <c r="V344" s="32"/>
      <c r="W344" s="32"/>
      <c r="X344" s="32"/>
      <c r="Y344" s="32"/>
      <c r="Z344" s="32"/>
    </row>
    <row r="345">
      <c r="A345" s="32" t="str">
        <f>IFERROR(__xludf.DUMMYFUNCTION("""COMPUTED_VALUE"""),"Weaponized Bamboo Hat")</f>
        <v>Weaponized Bamboo Hat</v>
      </c>
      <c r="B345" s="32"/>
      <c r="C345" s="32" t="str">
        <f>IFERROR(__xludf.DUMMYFUNCTION("""COMPUTED_VALUE"""),"Knife")</f>
        <v>Knife</v>
      </c>
      <c r="D345" s="32" t="str">
        <f>IFERROR(__xludf.DUMMYFUNCTION("""COMPUTED_VALUE"""),"Head")</f>
        <v>Head</v>
      </c>
      <c r="E345" s="32">
        <f>IFERROR(__xludf.DUMMYFUNCTION("""COMPUTED_VALUE"""),40.0)</f>
        <v>40</v>
      </c>
      <c r="F345" s="32" t="str">
        <f>IFERROR(__xludf.DUMMYFUNCTION("""COMPUTED_VALUE"""),"DEF: +1000, Nature DEF: +1000 ++10,000 damage when thrown, this item will return to you after thrown.")</f>
        <v>DEF: +1000, Nature DEF: +1000 ++10,000 damage when thrown, this item will return to you after thrown.</v>
      </c>
      <c r="G345" s="32">
        <f>IFERROR(__xludf.DUMMYFUNCTION("""COMPUTED_VALUE"""),60000.0)</f>
        <v>60000</v>
      </c>
      <c r="H345" s="32"/>
      <c r="I345" s="32"/>
      <c r="J345" s="32"/>
      <c r="K345" s="32"/>
      <c r="L345" s="32"/>
      <c r="M345" s="32"/>
      <c r="N345" s="32"/>
      <c r="O345" s="32"/>
      <c r="P345" s="32"/>
      <c r="Q345" s="32"/>
      <c r="R345" s="32"/>
      <c r="S345" s="32"/>
      <c r="T345" s="32"/>
      <c r="U345" s="32"/>
      <c r="V345" s="32"/>
      <c r="W345" s="32"/>
      <c r="X345" s="32"/>
      <c r="Y345" s="32"/>
      <c r="Z345" s="32"/>
    </row>
    <row r="346">
      <c r="A346" s="32" t="str">
        <f>IFERROR(__xludf.DUMMYFUNCTION("""COMPUTED_VALUE"""),"Wig of Temper Fire")</f>
        <v>Wig of Temper Fire</v>
      </c>
      <c r="B346" s="32"/>
      <c r="C346" s="32"/>
      <c r="D346" s="32" t="str">
        <f>IFERROR(__xludf.DUMMYFUNCTION("""COMPUTED_VALUE"""),"Head")</f>
        <v>Head</v>
      </c>
      <c r="E346" s="32">
        <f>IFERROR(__xludf.DUMMYFUNCTION("""COMPUTED_VALUE"""),1.0)</f>
        <v>1</v>
      </c>
      <c r="F346" s="32" t="str">
        <f>IFERROR(__xludf.DUMMYFUNCTION("""COMPUTED_VALUE""")," ++reduces any fire damage to 1 +-Cannot be duplicated")</f>
        <v> ++reduces any fire damage to 1 +-Cannot be duplicated</v>
      </c>
      <c r="G346" s="32">
        <f>IFERROR(__xludf.DUMMYFUNCTION("""COMPUTED_VALUE"""),0.0)</f>
        <v>0</v>
      </c>
      <c r="H346" s="32"/>
      <c r="I346" s="32"/>
      <c r="J346" s="32"/>
      <c r="K346" s="32"/>
      <c r="L346" s="32"/>
      <c r="M346" s="32"/>
      <c r="N346" s="32"/>
      <c r="O346" s="32"/>
      <c r="P346" s="32"/>
      <c r="Q346" s="32"/>
      <c r="R346" s="32"/>
      <c r="S346" s="32"/>
      <c r="T346" s="32"/>
      <c r="U346" s="32"/>
      <c r="V346" s="32"/>
      <c r="W346" s="32"/>
      <c r="X346" s="32"/>
      <c r="Y346" s="32"/>
      <c r="Z346" s="32"/>
    </row>
    <row r="347">
      <c r="A347" s="32" t="str">
        <f>IFERROR(__xludf.DUMMYFUNCTION("""COMPUTED_VALUE"""),"Woodsman’s Hacker")</f>
        <v>Woodsman’s Hacker</v>
      </c>
      <c r="B347" s="32"/>
      <c r="C347" s="32" t="str">
        <f>IFERROR(__xludf.DUMMYFUNCTION("""COMPUTED_VALUE"""),"Axe")</f>
        <v>Axe</v>
      </c>
      <c r="D347" s="32" t="str">
        <f>IFERROR(__xludf.DUMMYFUNCTION("""COMPUTED_VALUE"""),"Hand")</f>
        <v>Hand</v>
      </c>
      <c r="E347" s="32">
        <f>IFERROR(__xludf.DUMMYFUNCTION("""COMPUTED_VALUE"""),10.0)</f>
        <v>10</v>
      </c>
      <c r="F347" s="32" t="str">
        <f>IFERROR(__xludf.DUMMYFUNCTION("""COMPUTED_VALUE"""),"DMG: +500")</f>
        <v>DMG: +500</v>
      </c>
      <c r="G347" s="32">
        <f>IFERROR(__xludf.DUMMYFUNCTION("""COMPUTED_VALUE"""),1000.0)</f>
        <v>1000</v>
      </c>
      <c r="H347" s="32"/>
      <c r="I347" s="32"/>
      <c r="J347" s="32"/>
      <c r="K347" s="32"/>
      <c r="L347" s="32"/>
      <c r="M347" s="32"/>
      <c r="N347" s="32"/>
      <c r="O347" s="32"/>
      <c r="P347" s="32"/>
      <c r="Q347" s="32"/>
      <c r="R347" s="32"/>
      <c r="S347" s="32"/>
      <c r="T347" s="32"/>
      <c r="U347" s="32"/>
      <c r="V347" s="32"/>
      <c r="W347" s="32"/>
      <c r="X347" s="32"/>
      <c r="Y347" s="32"/>
      <c r="Z347" s="32"/>
    </row>
    <row r="348">
      <c r="A348" s="32" t="str">
        <f>IFERROR(__xludf.DUMMYFUNCTION("""COMPUTED_VALUE"""),"World Tree Sword")</f>
        <v>World Tree Sword</v>
      </c>
      <c r="B348" s="32"/>
      <c r="C348" s="32"/>
      <c r="D348" s="32" t="str">
        <f>IFERROR(__xludf.DUMMYFUNCTION("""COMPUTED_VALUE"""),"Hand")</f>
        <v>Hand</v>
      </c>
      <c r="E348" s="32">
        <f>IFERROR(__xludf.DUMMYFUNCTION("""COMPUTED_VALUE"""),200.0)</f>
        <v>200</v>
      </c>
      <c r="F348" s="32"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32">
        <f>IFERROR(__xludf.DUMMYFUNCTION("""COMPUTED_VALUE"""),3.196E9)</f>
        <v>3196000000</v>
      </c>
      <c r="H348" s="32"/>
      <c r="I348" s="32"/>
      <c r="J348" s="32"/>
      <c r="K348" s="32"/>
      <c r="L348" s="32"/>
      <c r="M348" s="32"/>
      <c r="N348" s="32"/>
      <c r="O348" s="32"/>
      <c r="P348" s="32"/>
      <c r="Q348" s="32"/>
      <c r="R348" s="32"/>
      <c r="S348" s="32"/>
      <c r="T348" s="32"/>
      <c r="U348" s="32"/>
      <c r="V348" s="32"/>
      <c r="W348" s="32"/>
      <c r="X348" s="32"/>
      <c r="Y348" s="32"/>
      <c r="Z348" s="32"/>
    </row>
    <row r="349">
      <c r="A349" s="32" t="str">
        <f>IFERROR(__xludf.DUMMYFUNCTION("""COMPUTED_VALUE"""),"Tear of the Dragon Pendant")</f>
        <v>Tear of the Dragon Pendant</v>
      </c>
      <c r="B349" s="32"/>
      <c r="C349" s="32"/>
      <c r="D349" s="32" t="str">
        <f>IFERROR(__xludf.DUMMYFUNCTION("""COMPUTED_VALUE"""),"Neck")</f>
        <v>Neck</v>
      </c>
      <c r="E349" s="32">
        <f>IFERROR(__xludf.DUMMYFUNCTION("""COMPUTED_VALUE"""),1.0)</f>
        <v>1</v>
      </c>
      <c r="F349" s="32" t="str">
        <f>IFERROR(__xludf.DUMMYFUNCTION("""COMPUTED_VALUE""")," ++Plus 5 or Minus 5 on your attack and percentage rolls, Users choice. +-Cannot be duplicated.")</f>
        <v> ++Plus 5 or Minus 5 on your attack and percentage rolls, Users choice. +-Cannot be duplicated.</v>
      </c>
      <c r="G349" s="32">
        <f>IFERROR(__xludf.DUMMYFUNCTION("""COMPUTED_VALUE"""),0.0)</f>
        <v>0</v>
      </c>
      <c r="H349" s="32"/>
      <c r="I349" s="32"/>
      <c r="J349" s="32"/>
      <c r="K349" s="32"/>
      <c r="L349" s="32"/>
      <c r="M349" s="32"/>
      <c r="N349" s="32"/>
      <c r="O349" s="32"/>
      <c r="P349" s="32"/>
      <c r="Q349" s="32"/>
      <c r="R349" s="32"/>
      <c r="S349" s="32"/>
      <c r="T349" s="32"/>
      <c r="U349" s="32"/>
      <c r="V349" s="32"/>
      <c r="W349" s="32"/>
      <c r="X349" s="32"/>
      <c r="Y349" s="32"/>
      <c r="Z349" s="32"/>
    </row>
    <row r="350">
      <c r="A350" s="32" t="str">
        <f>IFERROR(__xludf.DUMMYFUNCTION("""COMPUTED_VALUE"""),"Luck of the Dragon Pendant")</f>
        <v>Luck of the Dragon Pendant</v>
      </c>
      <c r="B350" s="32"/>
      <c r="C350" s="32"/>
      <c r="D350" s="32" t="str">
        <f>IFERROR(__xludf.DUMMYFUNCTION("""COMPUTED_VALUE"""),"Neck")</f>
        <v>Neck</v>
      </c>
      <c r="E350" s="32">
        <f>IFERROR(__xludf.DUMMYFUNCTION("""COMPUTED_VALUE"""),1.0)</f>
        <v>1</v>
      </c>
      <c r="F350" s="32" t="str">
        <f>IFERROR(__xludf.DUMMYFUNCTION("""COMPUTED_VALUE""")," ++Plus 5 or Minus 5 on your Loot and Fail/Succeed rolls, Users choice. +-Cannot be duplicated.")</f>
        <v> ++Plus 5 or Minus 5 on your Loot and Fail/Succeed rolls, Users choice. +-Cannot be duplicated.</v>
      </c>
      <c r="G350" s="32">
        <f>IFERROR(__xludf.DUMMYFUNCTION("""COMPUTED_VALUE"""),0.0)</f>
        <v>0</v>
      </c>
      <c r="H350" s="32"/>
      <c r="I350" s="32"/>
      <c r="J350" s="32"/>
      <c r="K350" s="32"/>
      <c r="L350" s="32"/>
      <c r="M350" s="32"/>
      <c r="N350" s="32"/>
      <c r="O350" s="32"/>
      <c r="P350" s="32"/>
      <c r="Q350" s="32"/>
      <c r="R350" s="32"/>
      <c r="S350" s="32"/>
      <c r="T350" s="32"/>
      <c r="U350" s="32"/>
      <c r="V350" s="32"/>
      <c r="W350" s="32"/>
      <c r="X350" s="32"/>
      <c r="Y350" s="32"/>
      <c r="Z350" s="32"/>
    </row>
    <row r="351">
      <c r="A351" s="32" t="str">
        <f>IFERROR(__xludf.DUMMYFUNCTION("""COMPUTED_VALUE"""),"Scale of the Dragon Pendant")</f>
        <v>Scale of the Dragon Pendant</v>
      </c>
      <c r="B351" s="32"/>
      <c r="C351" s="32"/>
      <c r="D351" s="32" t="str">
        <f>IFERROR(__xludf.DUMMYFUNCTION("""COMPUTED_VALUE"""),"Neck")</f>
        <v>Neck</v>
      </c>
      <c r="E351" s="32">
        <f>IFERROR(__xludf.DUMMYFUNCTION("""COMPUTED_VALUE"""),1.0)</f>
        <v>1</v>
      </c>
      <c r="F351" s="32" t="str">
        <f>IFERROR(__xludf.DUMMYFUNCTION("""COMPUTED_VALUE""")," ++Allows you to use a companions SP as your own if the companion is a dragon. +-Cannot be duplicated.")</f>
        <v> ++Allows you to use a companions SP as your own if the companion is a dragon. +-Cannot be duplicated.</v>
      </c>
      <c r="G351" s="32">
        <f>IFERROR(__xludf.DUMMYFUNCTION("""COMPUTED_VALUE"""),0.0)</f>
        <v>0</v>
      </c>
      <c r="H351" s="32"/>
      <c r="I351" s="32"/>
      <c r="J351" s="32"/>
      <c r="K351" s="32"/>
      <c r="L351" s="32"/>
      <c r="M351" s="32"/>
      <c r="N351" s="32"/>
      <c r="O351" s="32"/>
      <c r="P351" s="32"/>
      <c r="Q351" s="32"/>
      <c r="R351" s="32"/>
      <c r="S351" s="32"/>
      <c r="T351" s="32"/>
      <c r="U351" s="32"/>
      <c r="V351" s="32"/>
      <c r="W351" s="32"/>
      <c r="X351" s="32"/>
      <c r="Y351" s="32"/>
      <c r="Z351" s="32"/>
    </row>
    <row r="352">
      <c r="A352" s="32" t="str">
        <f>IFERROR(__xludf.DUMMYFUNCTION("""COMPUTED_VALUE"""),"Guard Pauldrons")</f>
        <v>Guard Pauldrons</v>
      </c>
      <c r="B352" s="32" t="str">
        <f>IFERROR(__xludf.DUMMYFUNCTION("""COMPUTED_VALUE"""),"Quest Item")</f>
        <v>Quest Item</v>
      </c>
      <c r="C352" s="32"/>
      <c r="D352" s="32" t="str">
        <f>IFERROR(__xludf.DUMMYFUNCTION("""COMPUTED_VALUE"""),"Shoulders")</f>
        <v>Shoulders</v>
      </c>
      <c r="E352" s="32">
        <f>IFERROR(__xludf.DUMMYFUNCTION("""COMPUTED_VALUE"""),200.0)</f>
        <v>200</v>
      </c>
      <c r="F352" s="32" t="str">
        <f>IFERROR(__xludf.DUMMYFUNCTION("""COMPUTED_VALUE"""),"DEF: +25000, Light DEF: +25000, Celestial DEF: +25000 +-Cannot be duplicated")</f>
        <v>DEF: +25000, Light DEF: +25000, Celestial DEF: +25000 +-Cannot be duplicated</v>
      </c>
      <c r="G352" s="32">
        <f>IFERROR(__xludf.DUMMYFUNCTION("""COMPUTED_VALUE"""),1.1175E8)</f>
        <v>111750000</v>
      </c>
      <c r="H352" s="32"/>
      <c r="I352" s="32"/>
      <c r="J352" s="32"/>
      <c r="K352" s="32"/>
      <c r="L352" s="32"/>
      <c r="M352" s="32"/>
      <c r="N352" s="32"/>
      <c r="O352" s="32"/>
      <c r="P352" s="32"/>
      <c r="Q352" s="32"/>
      <c r="R352" s="32"/>
      <c r="S352" s="32"/>
      <c r="T352" s="32"/>
      <c r="U352" s="32"/>
      <c r="V352" s="32"/>
      <c r="W352" s="32"/>
      <c r="X352" s="32"/>
      <c r="Y352" s="32"/>
      <c r="Z352" s="32"/>
    </row>
    <row r="353">
      <c r="A353" s="32" t="str">
        <f>IFERROR(__xludf.DUMMYFUNCTION("""COMPUTED_VALUE"""),"Guard Vambraces")</f>
        <v>Guard Vambraces</v>
      </c>
      <c r="B353" s="32" t="str">
        <f>IFERROR(__xludf.DUMMYFUNCTION("""COMPUTED_VALUE"""),"Quest Item")</f>
        <v>Quest Item</v>
      </c>
      <c r="C353" s="32"/>
      <c r="D353" s="32" t="str">
        <f>IFERROR(__xludf.DUMMYFUNCTION("""COMPUTED_VALUE"""),"Arms")</f>
        <v>Arms</v>
      </c>
      <c r="E353" s="32">
        <f>IFERROR(__xludf.DUMMYFUNCTION("""COMPUTED_VALUE"""),200.0)</f>
        <v>200</v>
      </c>
      <c r="F353" s="32" t="str">
        <f>IFERROR(__xludf.DUMMYFUNCTION("""COMPUTED_VALUE"""),"DEF: +25000, Light DEF: +25000, Celestial DEF: +25000 +-Cannot be duplicated")</f>
        <v>DEF: +25000, Light DEF: +25000, Celestial DEF: +25000 +-Cannot be duplicated</v>
      </c>
      <c r="G353" s="32">
        <f>IFERROR(__xludf.DUMMYFUNCTION("""COMPUTED_VALUE"""),1.1175E8)</f>
        <v>111750000</v>
      </c>
      <c r="H353" s="32"/>
      <c r="I353" s="32"/>
      <c r="J353" s="32"/>
      <c r="K353" s="32"/>
      <c r="L353" s="32"/>
      <c r="M353" s="32"/>
      <c r="N353" s="32"/>
      <c r="O353" s="32"/>
      <c r="P353" s="32"/>
      <c r="Q353" s="32"/>
      <c r="R353" s="32"/>
      <c r="S353" s="32"/>
      <c r="T353" s="32"/>
      <c r="U353" s="32"/>
      <c r="V353" s="32"/>
      <c r="W353" s="32"/>
      <c r="X353" s="32"/>
      <c r="Y353" s="32"/>
      <c r="Z353" s="32"/>
    </row>
    <row r="354">
      <c r="A354" s="32" t="str">
        <f>IFERROR(__xludf.DUMMYFUNCTION("""COMPUTED_VALUE"""),"Royal Guard Pauldrons")</f>
        <v>Royal Guard Pauldrons</v>
      </c>
      <c r="B354" s="32" t="str">
        <f>IFERROR(__xludf.DUMMYFUNCTION("""COMPUTED_VALUE"""),"Quest Item")</f>
        <v>Quest Item</v>
      </c>
      <c r="C354" s="32"/>
      <c r="D354" s="32" t="str">
        <f>IFERROR(__xludf.DUMMYFUNCTION("""COMPUTED_VALUE"""),"Shoulders")</f>
        <v>Shoulders</v>
      </c>
      <c r="E354" s="32">
        <f>IFERROR(__xludf.DUMMYFUNCTION("""COMPUTED_VALUE"""),200.0)</f>
        <v>200</v>
      </c>
      <c r="F354" s="32" t="str">
        <f>IFERROR(__xludf.DUMMYFUNCTION("""COMPUTED_VALUE"""),"DEF: +50000, Light DEF: +50000, Celestial DEF: +50000 +-Cannot be duplicated")</f>
        <v>DEF: +50000, Light DEF: +50000, Celestial DEF: +50000 +-Cannot be duplicated</v>
      </c>
      <c r="G354" s="32">
        <f>IFERROR(__xludf.DUMMYFUNCTION("""COMPUTED_VALUE"""),4.485E8)</f>
        <v>448500000</v>
      </c>
      <c r="H354" s="32"/>
      <c r="I354" s="32"/>
      <c r="J354" s="32"/>
      <c r="K354" s="32"/>
      <c r="L354" s="32"/>
      <c r="M354" s="32"/>
      <c r="N354" s="32"/>
      <c r="O354" s="32"/>
      <c r="P354" s="32"/>
      <c r="Q354" s="32"/>
      <c r="R354" s="32"/>
      <c r="S354" s="32"/>
      <c r="T354" s="32"/>
      <c r="U354" s="32"/>
      <c r="V354" s="32"/>
      <c r="W354" s="32"/>
      <c r="X354" s="32"/>
      <c r="Y354" s="32"/>
      <c r="Z354" s="32"/>
    </row>
    <row r="355">
      <c r="A355" s="32" t="str">
        <f>IFERROR(__xludf.DUMMYFUNCTION("""COMPUTED_VALUE"""),"Royal Guard Vambraces")</f>
        <v>Royal Guard Vambraces</v>
      </c>
      <c r="B355" s="32" t="str">
        <f>IFERROR(__xludf.DUMMYFUNCTION("""COMPUTED_VALUE"""),"Quest Item")</f>
        <v>Quest Item</v>
      </c>
      <c r="C355" s="32"/>
      <c r="D355" s="32" t="str">
        <f>IFERROR(__xludf.DUMMYFUNCTION("""COMPUTED_VALUE"""),"Arms")</f>
        <v>Arms</v>
      </c>
      <c r="E355" s="32">
        <f>IFERROR(__xludf.DUMMYFUNCTION("""COMPUTED_VALUE"""),200.0)</f>
        <v>200</v>
      </c>
      <c r="F355" s="32" t="str">
        <f>IFERROR(__xludf.DUMMYFUNCTION("""COMPUTED_VALUE"""),"DEF: +50000, Light DEF: +50000, Celestial DEF: +50000 +-Cannot be duplicated")</f>
        <v>DEF: +50000, Light DEF: +50000, Celestial DEF: +50000 +-Cannot be duplicated</v>
      </c>
      <c r="G355" s="32">
        <f>IFERROR(__xludf.DUMMYFUNCTION("""COMPUTED_VALUE"""),4.485E8)</f>
        <v>448500000</v>
      </c>
      <c r="H355" s="32"/>
      <c r="I355" s="32"/>
      <c r="J355" s="32"/>
      <c r="K355" s="32"/>
      <c r="L355" s="32"/>
      <c r="M355" s="32"/>
      <c r="N355" s="32"/>
      <c r="O355" s="32"/>
      <c r="P355" s="32"/>
      <c r="Q355" s="32"/>
      <c r="R355" s="32"/>
      <c r="S355" s="32"/>
      <c r="T355" s="32"/>
      <c r="U355" s="32"/>
      <c r="V355" s="32"/>
      <c r="W355" s="32"/>
      <c r="X355" s="32"/>
      <c r="Y355" s="32"/>
      <c r="Z355" s="32"/>
    </row>
    <row r="356">
      <c r="A356" s="32" t="str">
        <f>IFERROR(__xludf.DUMMYFUNCTION("""COMPUTED_VALUE"""),"Celestian Royal Pauldrons")</f>
        <v>Celestian Royal Pauldrons</v>
      </c>
      <c r="B356" s="32" t="str">
        <f>IFERROR(__xludf.DUMMYFUNCTION("""COMPUTED_VALUE"""),"Quest Item")</f>
        <v>Quest Item</v>
      </c>
      <c r="C356" s="32"/>
      <c r="D356" s="32" t="str">
        <f>IFERROR(__xludf.DUMMYFUNCTION("""COMPUTED_VALUE"""),"Shoulders")</f>
        <v>Shoulders</v>
      </c>
      <c r="E356" s="32">
        <f>IFERROR(__xludf.DUMMYFUNCTION("""COMPUTED_VALUE"""),200.0)</f>
        <v>200</v>
      </c>
      <c r="F356" s="32" t="str">
        <f>IFERROR(__xludf.DUMMYFUNCTION("""COMPUTED_VALUE"""),"DEF: +100000, Light DEF: +100000, Dark DEF: +100000, Celestial DEF: +100000 ++X2 Celestial Damage. +-Cannot be duplicated.")</f>
        <v>DEF: +100000, Light DEF: +100000, Dark DEF: +100000, Celestial DEF: +100000 ++X2 Celestial Damage. +-Cannot be duplicated.</v>
      </c>
      <c r="G356" s="32">
        <f>IFERROR(__xludf.DUMMYFUNCTION("""COMPUTED_VALUE"""),3.196E9)</f>
        <v>3196000000</v>
      </c>
      <c r="H356" s="32"/>
      <c r="I356" s="32"/>
      <c r="J356" s="32"/>
      <c r="K356" s="32"/>
      <c r="L356" s="32"/>
      <c r="M356" s="32"/>
      <c r="N356" s="32"/>
      <c r="O356" s="32"/>
      <c r="P356" s="32"/>
      <c r="Q356" s="32"/>
      <c r="R356" s="32"/>
      <c r="S356" s="32"/>
      <c r="T356" s="32"/>
      <c r="U356" s="32"/>
      <c r="V356" s="32"/>
      <c r="W356" s="32"/>
      <c r="X356" s="32"/>
      <c r="Y356" s="32"/>
      <c r="Z356" s="32"/>
    </row>
    <row r="357">
      <c r="A357" s="32" t="str">
        <f>IFERROR(__xludf.DUMMYFUNCTION("""COMPUTED_VALUE"""),"Celestian Royal Vambraces")</f>
        <v>Celestian Royal Vambraces</v>
      </c>
      <c r="B357" s="32" t="str">
        <f>IFERROR(__xludf.DUMMYFUNCTION("""COMPUTED_VALUE"""),"Quest Item")</f>
        <v>Quest Item</v>
      </c>
      <c r="C357" s="32"/>
      <c r="D357" s="32" t="str">
        <f>IFERROR(__xludf.DUMMYFUNCTION("""COMPUTED_VALUE"""),"Arms")</f>
        <v>Arms</v>
      </c>
      <c r="E357" s="32">
        <f>IFERROR(__xludf.DUMMYFUNCTION("""COMPUTED_VALUE"""),200.0)</f>
        <v>200</v>
      </c>
      <c r="F357" s="32" t="str">
        <f>IFERROR(__xludf.DUMMYFUNCTION("""COMPUTED_VALUE"""),"DEF: +100000, Light DEF: +100000, Dark DEF: +100000, Celestial DEF: +100000 ++X2 Celestial Damage. +-Cannot be duplicated.")</f>
        <v>DEF: +100000, Light DEF: +100000, Dark DEF: +100000, Celestial DEF: +100000 ++X2 Celestial Damage. +-Cannot be duplicated.</v>
      </c>
      <c r="G357" s="32">
        <f>IFERROR(__xludf.DUMMYFUNCTION("""COMPUTED_VALUE"""),3.196E9)</f>
        <v>3196000000</v>
      </c>
      <c r="H357" s="32"/>
      <c r="I357" s="32"/>
      <c r="J357" s="32"/>
      <c r="K357" s="32"/>
      <c r="L357" s="32"/>
      <c r="M357" s="32"/>
      <c r="N357" s="32"/>
      <c r="O357" s="32"/>
      <c r="P357" s="32"/>
      <c r="Q357" s="32"/>
      <c r="R357" s="32"/>
      <c r="S357" s="32"/>
      <c r="T357" s="32"/>
      <c r="U357" s="32"/>
      <c r="V357" s="32"/>
      <c r="W357" s="32"/>
      <c r="X357" s="32"/>
      <c r="Y357" s="32"/>
      <c r="Z357" s="32"/>
    </row>
    <row r="358">
      <c r="A358" s="32" t="str">
        <f>IFERROR(__xludf.DUMMYFUNCTION("""COMPUTED_VALUE"""),"Royal Guard Shield")</f>
        <v>Royal Guard Shield</v>
      </c>
      <c r="B358" s="32" t="str">
        <f>IFERROR(__xludf.DUMMYFUNCTION("""COMPUTED_VALUE"""),"Quest Item")</f>
        <v>Quest Item</v>
      </c>
      <c r="C358" s="32" t="str">
        <f>IFERROR(__xludf.DUMMYFUNCTION("""COMPUTED_VALUE"""),"Towershield")</f>
        <v>Towershield</v>
      </c>
      <c r="D358" s="32" t="str">
        <f>IFERROR(__xludf.DUMMYFUNCTION("""COMPUTED_VALUE"""),"Hand")</f>
        <v>Hand</v>
      </c>
      <c r="E358" s="32">
        <f>IFERROR(__xludf.DUMMYFUNCTION("""COMPUTED_VALUE"""),200.0)</f>
        <v>200</v>
      </c>
      <c r="F358" s="32" t="str">
        <f>IFERROR(__xludf.DUMMYFUNCTION("""COMPUTED_VALUE"""),"DEF: +50000, Light DEF: +50000, Dark DEF: +50000, Celestial DEF: +50000 ++X2 Celestial Defense. +-Cannot be duplicated.")</f>
        <v>DEF: +50000, Light DEF: +50000, Dark DEF: +50000, Celestial DEF: +50000 ++X2 Celestial Defense. +-Cannot be duplicated.</v>
      </c>
      <c r="G358" s="32">
        <f>IFERROR(__xludf.DUMMYFUNCTION("""COMPUTED_VALUE"""),7.98E8)</f>
        <v>798000000</v>
      </c>
      <c r="H358" s="32"/>
      <c r="I358" s="32"/>
      <c r="J358" s="32"/>
      <c r="K358" s="32"/>
      <c r="L358" s="32"/>
      <c r="M358" s="32"/>
      <c r="N358" s="32"/>
      <c r="O358" s="32"/>
      <c r="P358" s="32"/>
      <c r="Q358" s="32"/>
      <c r="R358" s="32"/>
      <c r="S358" s="32"/>
      <c r="T358" s="32"/>
      <c r="U358" s="32"/>
      <c r="V358" s="32"/>
      <c r="W358" s="32"/>
      <c r="X358" s="32"/>
      <c r="Y358" s="32"/>
      <c r="Z358" s="32"/>
    </row>
    <row r="359">
      <c r="A359" s="32" t="str">
        <f>IFERROR(__xludf.DUMMYFUNCTION("""COMPUTED_VALUE"""),"Guard Leggings")</f>
        <v>Guard Leggings</v>
      </c>
      <c r="B359" s="32" t="str">
        <f>IFERROR(__xludf.DUMMYFUNCTION("""COMPUTED_VALUE"""),"Quest Item")</f>
        <v>Quest Item</v>
      </c>
      <c r="C359" s="32"/>
      <c r="D359" s="32" t="str">
        <f>IFERROR(__xludf.DUMMYFUNCTION("""COMPUTED_VALUE"""),"Legs")</f>
        <v>Legs</v>
      </c>
      <c r="E359" s="32">
        <f>IFERROR(__xludf.DUMMYFUNCTION("""COMPUTED_VALUE"""),200.0)</f>
        <v>200</v>
      </c>
      <c r="F359" s="32" t="str">
        <f>IFERROR(__xludf.DUMMYFUNCTION("""COMPUTED_VALUE"""),"DEF: +25000, Light DEF: +25000, Celestial DEF: +25000 +-Cannot be duplicated")</f>
        <v>DEF: +25000, Light DEF: +25000, Celestial DEF: +25000 +-Cannot be duplicated</v>
      </c>
      <c r="G359" s="32">
        <f>IFERROR(__xludf.DUMMYFUNCTION("""COMPUTED_VALUE"""),1.1175E8)</f>
        <v>111750000</v>
      </c>
      <c r="H359" s="32"/>
      <c r="I359" s="32"/>
      <c r="J359" s="32"/>
      <c r="K359" s="32"/>
      <c r="L359" s="32"/>
      <c r="M359" s="32"/>
      <c r="N359" s="32"/>
      <c r="O359" s="32"/>
      <c r="P359" s="32"/>
      <c r="Q359" s="32"/>
      <c r="R359" s="32"/>
      <c r="S359" s="32"/>
      <c r="T359" s="32"/>
      <c r="U359" s="32"/>
      <c r="V359" s="32"/>
      <c r="W359" s="32"/>
      <c r="X359" s="32"/>
      <c r="Y359" s="32"/>
      <c r="Z359" s="32"/>
    </row>
    <row r="360">
      <c r="A360" s="32" t="str">
        <f>IFERROR(__xludf.DUMMYFUNCTION("""COMPUTED_VALUE"""),"Guard Boots")</f>
        <v>Guard Boots</v>
      </c>
      <c r="B360" s="32" t="str">
        <f>IFERROR(__xludf.DUMMYFUNCTION("""COMPUTED_VALUE"""),"Quest Item")</f>
        <v>Quest Item</v>
      </c>
      <c r="C360" s="32"/>
      <c r="D360" s="32" t="str">
        <f>IFERROR(__xludf.DUMMYFUNCTION("""COMPUTED_VALUE"""),"Feet")</f>
        <v>Feet</v>
      </c>
      <c r="E360" s="32">
        <f>IFERROR(__xludf.DUMMYFUNCTION("""COMPUTED_VALUE"""),200.0)</f>
        <v>200</v>
      </c>
      <c r="F360" s="32" t="str">
        <f>IFERROR(__xludf.DUMMYFUNCTION("""COMPUTED_VALUE"""),"DEF: +25000, Light DEF: +25000, Celestial DEF: +25000 +-Cannot be duplicated")</f>
        <v>DEF: +25000, Light DEF: +25000, Celestial DEF: +25000 +-Cannot be duplicated</v>
      </c>
      <c r="G360" s="32">
        <f>IFERROR(__xludf.DUMMYFUNCTION("""COMPUTED_VALUE"""),1.1175E8)</f>
        <v>111750000</v>
      </c>
      <c r="H360" s="32"/>
      <c r="I360" s="32"/>
      <c r="J360" s="32"/>
      <c r="K360" s="32"/>
      <c r="L360" s="32"/>
      <c r="M360" s="32"/>
      <c r="N360" s="32"/>
      <c r="O360" s="32"/>
      <c r="P360" s="32"/>
      <c r="Q360" s="32"/>
      <c r="R360" s="32"/>
      <c r="S360" s="32"/>
      <c r="T360" s="32"/>
      <c r="U360" s="32"/>
      <c r="V360" s="32"/>
      <c r="W360" s="32"/>
      <c r="X360" s="32"/>
      <c r="Y360" s="32"/>
      <c r="Z360" s="32"/>
    </row>
    <row r="361">
      <c r="A361" s="32" t="str">
        <f>IFERROR(__xludf.DUMMYFUNCTION("""COMPUTED_VALUE"""),"Celestian Royal Boots")</f>
        <v>Celestian Royal Boots</v>
      </c>
      <c r="B361" s="32" t="str">
        <f>IFERROR(__xludf.DUMMYFUNCTION("""COMPUTED_VALUE"""),"Quest Item")</f>
        <v>Quest Item</v>
      </c>
      <c r="C361" s="32"/>
      <c r="D361" s="32" t="str">
        <f>IFERROR(__xludf.DUMMYFUNCTION("""COMPUTED_VALUE"""),"Feet")</f>
        <v>Feet</v>
      </c>
      <c r="E361" s="32">
        <f>IFERROR(__xludf.DUMMYFUNCTION("""COMPUTED_VALUE"""),200.0)</f>
        <v>200</v>
      </c>
      <c r="F361" s="32" t="str">
        <f>IFERROR(__xludf.DUMMYFUNCTION("""COMPUTED_VALUE"""),"DEF: +100000, Light DEF: +100000, Dark DEF: +100000, Celestial DEF: +100000 ++X6 Celestial Damage. +-Cannot be duplicated.")</f>
        <v>DEF: +100000, Light DEF: +100000, Dark DEF: +100000, Celestial DEF: +100000 ++X6 Celestial Damage. +-Cannot be duplicated.</v>
      </c>
      <c r="G361" s="32">
        <f>IFERROR(__xludf.DUMMYFUNCTION("""COMPUTED_VALUE"""),3.196E9)</f>
        <v>3196000000</v>
      </c>
      <c r="H361" s="32"/>
      <c r="I361" s="32"/>
      <c r="J361" s="32"/>
      <c r="K361" s="32"/>
      <c r="L361" s="32"/>
      <c r="M361" s="32"/>
      <c r="N361" s="32"/>
      <c r="O361" s="32"/>
      <c r="P361" s="32"/>
      <c r="Q361" s="32"/>
      <c r="R361" s="32"/>
      <c r="S361" s="32"/>
      <c r="T361" s="32"/>
      <c r="U361" s="32"/>
      <c r="V361" s="32"/>
      <c r="W361" s="32"/>
      <c r="X361" s="32"/>
      <c r="Y361" s="32"/>
      <c r="Z361" s="32"/>
    </row>
    <row r="362">
      <c r="A362" s="32" t="str">
        <f>IFERROR(__xludf.DUMMYFUNCTION("""COMPUTED_VALUE"""),"Celestian Royal Leggings")</f>
        <v>Celestian Royal Leggings</v>
      </c>
      <c r="B362" s="32" t="str">
        <f>IFERROR(__xludf.DUMMYFUNCTION("""COMPUTED_VALUE"""),"Quest Item")</f>
        <v>Quest Item</v>
      </c>
      <c r="C362" s="32"/>
      <c r="D362" s="32" t="str">
        <f>IFERROR(__xludf.DUMMYFUNCTION("""COMPUTED_VALUE"""),"Legs")</f>
        <v>Legs</v>
      </c>
      <c r="E362" s="32">
        <f>IFERROR(__xludf.DUMMYFUNCTION("""COMPUTED_VALUE"""),200.0)</f>
        <v>200</v>
      </c>
      <c r="F362" s="32" t="str">
        <f>IFERROR(__xludf.DUMMYFUNCTION("""COMPUTED_VALUE"""),"DEF: +100000, Light DEF: +100000, Dark DEF: +100000, Celestial DEF: +100000 ++X6 Celestial Damage. +-Cannot be duplicated.")</f>
        <v>DEF: +100000, Light DEF: +100000, Dark DEF: +100000, Celestial DEF: +100000 ++X6 Celestial Damage. +-Cannot be duplicated.</v>
      </c>
      <c r="G362" s="32">
        <f>IFERROR(__xludf.DUMMYFUNCTION("""COMPUTED_VALUE"""),3.196E9)</f>
        <v>3196000000</v>
      </c>
      <c r="H362" s="32"/>
      <c r="I362" s="32"/>
      <c r="J362" s="32"/>
      <c r="K362" s="32"/>
      <c r="L362" s="32"/>
      <c r="M362" s="32"/>
      <c r="N362" s="32"/>
      <c r="O362" s="32"/>
      <c r="P362" s="32"/>
      <c r="Q362" s="32"/>
      <c r="R362" s="32"/>
      <c r="S362" s="32"/>
      <c r="T362" s="32"/>
      <c r="U362" s="32"/>
      <c r="V362" s="32"/>
      <c r="W362" s="32"/>
      <c r="X362" s="32"/>
      <c r="Y362" s="32"/>
      <c r="Z362" s="32"/>
    </row>
    <row r="363">
      <c r="A363" s="32" t="str">
        <f>IFERROR(__xludf.DUMMYFUNCTION("""COMPUTED_VALUE"""),"Celestian Royal Helmet")</f>
        <v>Celestian Royal Helmet</v>
      </c>
      <c r="B363" s="32" t="str">
        <f>IFERROR(__xludf.DUMMYFUNCTION("""COMPUTED_VALUE"""),"Quest Item")</f>
        <v>Quest Item</v>
      </c>
      <c r="C363" s="32"/>
      <c r="D363" s="32" t="str">
        <f>IFERROR(__xludf.DUMMYFUNCTION("""COMPUTED_VALUE"""),"Head")</f>
        <v>Head</v>
      </c>
      <c r="E363" s="32">
        <f>IFERROR(__xludf.DUMMYFUNCTION("""COMPUTED_VALUE"""),200.0)</f>
        <v>200</v>
      </c>
      <c r="F363" s="32" t="str">
        <f>IFERROR(__xludf.DUMMYFUNCTION("""COMPUTED_VALUE"""),"DEF: +100000, Light DEF: +100000, Dark DEF: +100000, Celestial DEF: +100000 ++X6 Celestial Damage. +-Cannot be duplicated.")</f>
        <v>DEF: +100000, Light DEF: +100000, Dark DEF: +100000, Celestial DEF: +100000 ++X6 Celestial Damage. +-Cannot be duplicated.</v>
      </c>
      <c r="G363" s="32">
        <f>IFERROR(__xludf.DUMMYFUNCTION("""COMPUTED_VALUE"""),3.196E9)</f>
        <v>3196000000</v>
      </c>
      <c r="H363" s="32"/>
      <c r="I363" s="32"/>
      <c r="J363" s="32"/>
      <c r="K363" s="32"/>
      <c r="L363" s="32"/>
      <c r="M363" s="32"/>
      <c r="N363" s="32"/>
      <c r="O363" s="32"/>
      <c r="P363" s="32"/>
      <c r="Q363" s="32"/>
      <c r="R363" s="32"/>
      <c r="S363" s="32"/>
      <c r="T363" s="32"/>
      <c r="U363" s="32"/>
      <c r="V363" s="32"/>
      <c r="W363" s="32"/>
      <c r="X363" s="32"/>
      <c r="Y363" s="32"/>
      <c r="Z363" s="32"/>
    </row>
    <row r="364">
      <c r="A364" s="32" t="str">
        <f>IFERROR(__xludf.DUMMYFUNCTION("""COMPUTED_VALUE"""),"Celestian Royal Chestplate")</f>
        <v>Celestian Royal Chestplate</v>
      </c>
      <c r="B364" s="32" t="str">
        <f>IFERROR(__xludf.DUMMYFUNCTION("""COMPUTED_VALUE"""),"Quest Item")</f>
        <v>Quest Item</v>
      </c>
      <c r="C364" s="32"/>
      <c r="D364" s="32" t="str">
        <f>IFERROR(__xludf.DUMMYFUNCTION("""COMPUTED_VALUE"""),"Torso")</f>
        <v>Torso</v>
      </c>
      <c r="E364" s="32">
        <f>IFERROR(__xludf.DUMMYFUNCTION("""COMPUTED_VALUE"""),200.0)</f>
        <v>200</v>
      </c>
      <c r="F364" s="32" t="str">
        <f>IFERROR(__xludf.DUMMYFUNCTION("""COMPUTED_VALUE"""),"DEF: +100000, Light DEF: +100000, Dark DEF: +100000, Celestial DEF: +100000 ++X6 Celestial Damage. +-Cannot be duplicated.")</f>
        <v>DEF: +100000, Light DEF: +100000, Dark DEF: +100000, Celestial DEF: +100000 ++X6 Celestial Damage. +-Cannot be duplicated.</v>
      </c>
      <c r="G364" s="32">
        <f>IFERROR(__xludf.DUMMYFUNCTION("""COMPUTED_VALUE"""),3.196E9)</f>
        <v>3196000000</v>
      </c>
      <c r="H364" s="32"/>
      <c r="I364" s="32"/>
      <c r="J364" s="32"/>
      <c r="K364" s="32"/>
      <c r="L364" s="32"/>
      <c r="M364" s="32"/>
      <c r="N364" s="32"/>
      <c r="O364" s="32"/>
      <c r="P364" s="32"/>
      <c r="Q364" s="32"/>
      <c r="R364" s="32"/>
      <c r="S364" s="32"/>
      <c r="T364" s="32"/>
      <c r="U364" s="32"/>
      <c r="V364" s="32"/>
      <c r="W364" s="32"/>
      <c r="X364" s="32"/>
      <c r="Y364" s="32"/>
      <c r="Z364" s="32"/>
    </row>
    <row r="365">
      <c r="A365" s="32" t="str">
        <f>IFERROR(__xludf.DUMMYFUNCTION("""COMPUTED_VALUE"""),"Guard Chestplate")</f>
        <v>Guard Chestplate</v>
      </c>
      <c r="B365" s="32" t="str">
        <f>IFERROR(__xludf.DUMMYFUNCTION("""COMPUTED_VALUE"""),"Quest Item")</f>
        <v>Quest Item</v>
      </c>
      <c r="C365" s="32"/>
      <c r="D365" s="32" t="str">
        <f>IFERROR(__xludf.DUMMYFUNCTION("""COMPUTED_VALUE"""),"Torso")</f>
        <v>Torso</v>
      </c>
      <c r="E365" s="32">
        <f>IFERROR(__xludf.DUMMYFUNCTION("""COMPUTED_VALUE"""),200.0)</f>
        <v>200</v>
      </c>
      <c r="F365" s="32" t="str">
        <f>IFERROR(__xludf.DUMMYFUNCTION("""COMPUTED_VALUE"""),"DEF: +25000, Light DEF: +25000, Celestial DEF: +25000 +-Cannot be duplicated.")</f>
        <v>DEF: +25000, Light DEF: +25000, Celestial DEF: +25000 +-Cannot be duplicated.</v>
      </c>
      <c r="G365" s="32">
        <f>IFERROR(__xludf.DUMMYFUNCTION("""COMPUTED_VALUE"""),1.1175E8)</f>
        <v>111750000</v>
      </c>
      <c r="H365" s="32"/>
      <c r="I365" s="32"/>
      <c r="J365" s="32"/>
      <c r="K365" s="32"/>
      <c r="L365" s="32"/>
      <c r="M365" s="32"/>
      <c r="N365" s="32"/>
      <c r="O365" s="32"/>
      <c r="P365" s="32"/>
      <c r="Q365" s="32"/>
      <c r="R365" s="32"/>
      <c r="S365" s="32"/>
      <c r="T365" s="32"/>
      <c r="U365" s="32"/>
      <c r="V365" s="32"/>
      <c r="W365" s="32"/>
      <c r="X365" s="32"/>
      <c r="Y365" s="32"/>
      <c r="Z365" s="32"/>
    </row>
    <row r="366">
      <c r="A366" s="32" t="str">
        <f>IFERROR(__xludf.DUMMYFUNCTION("""COMPUTED_VALUE"""),"Revolver")</f>
        <v>Revolver</v>
      </c>
      <c r="B366" s="32"/>
      <c r="C366" s="32" t="str">
        <f>IFERROR(__xludf.DUMMYFUNCTION("""COMPUTED_VALUE"""),"Firearm")</f>
        <v>Firearm</v>
      </c>
      <c r="D366" s="32" t="str">
        <f>IFERROR(__xludf.DUMMYFUNCTION("""COMPUTED_VALUE"""),"Hand")</f>
        <v>Hand</v>
      </c>
      <c r="E366" s="32">
        <f>IFERROR(__xludf.DUMMYFUNCTION("""COMPUTED_VALUE"""),200.0)</f>
        <v>200</v>
      </c>
      <c r="F366" s="32" t="str">
        <f>IFERROR(__xludf.DUMMYFUNCTION("""COMPUTED_VALUE"""),"DMG: +5000, Blood DMG: +5000")</f>
        <v>DMG: +5000, Blood DMG: +5000</v>
      </c>
      <c r="G366" s="32">
        <f>IFERROR(__xludf.DUMMYFUNCTION("""COMPUTED_VALUE"""),1900000.0)</f>
        <v>1900000</v>
      </c>
      <c r="H366" s="32"/>
      <c r="I366" s="32"/>
      <c r="J366" s="32"/>
      <c r="K366" s="32"/>
      <c r="L366" s="32"/>
      <c r="M366" s="32"/>
      <c r="N366" s="32"/>
      <c r="O366" s="32"/>
      <c r="P366" s="32"/>
      <c r="Q366" s="32"/>
      <c r="R366" s="32"/>
      <c r="S366" s="32"/>
      <c r="T366" s="32"/>
      <c r="U366" s="32"/>
      <c r="V366" s="32"/>
      <c r="W366" s="32"/>
      <c r="X366" s="32"/>
      <c r="Y366" s="32"/>
      <c r="Z366" s="32"/>
    </row>
    <row r="367">
      <c r="A367" s="32" t="str">
        <f>IFERROR(__xludf.DUMMYFUNCTION("""COMPUTED_VALUE"""),"Musket")</f>
        <v>Musket</v>
      </c>
      <c r="B367" s="32"/>
      <c r="C367" s="32" t="str">
        <f>IFERROR(__xludf.DUMMYFUNCTION("""COMPUTED_VALUE"""),"Firearm")</f>
        <v>Firearm</v>
      </c>
      <c r="D367" s="32" t="str">
        <f>IFERROR(__xludf.DUMMYFUNCTION("""COMPUTED_VALUE"""),"Hand")</f>
        <v>Hand</v>
      </c>
      <c r="E367" s="32">
        <f>IFERROR(__xludf.DUMMYFUNCTION("""COMPUTED_VALUE"""),400.0)</f>
        <v>400</v>
      </c>
      <c r="F367" s="32" t="str">
        <f>IFERROR(__xludf.DUMMYFUNCTION("""COMPUTED_VALUE"""),"DMG: +10000, Blood DMG: +10000")</f>
        <v>DMG: +10000, Blood DMG: +10000</v>
      </c>
      <c r="G367" s="32">
        <f>IFERROR(__xludf.DUMMYFUNCTION("""COMPUTED_VALUE"""),7800000.0)</f>
        <v>7800000</v>
      </c>
      <c r="H367" s="32"/>
      <c r="I367" s="32"/>
      <c r="J367" s="32"/>
      <c r="K367" s="32"/>
      <c r="L367" s="32"/>
      <c r="M367" s="32"/>
      <c r="N367" s="32"/>
      <c r="O367" s="32"/>
      <c r="P367" s="32"/>
      <c r="Q367" s="32"/>
      <c r="R367" s="32"/>
      <c r="S367" s="32"/>
      <c r="T367" s="32"/>
      <c r="U367" s="32"/>
      <c r="V367" s="32"/>
      <c r="W367" s="32"/>
      <c r="X367" s="32"/>
      <c r="Y367" s="32"/>
      <c r="Z367" s="32"/>
    </row>
    <row r="368">
      <c r="A368" s="32" t="str">
        <f>IFERROR(__xludf.DUMMYFUNCTION("""COMPUTED_VALUE"""),"Lazer Infused Railgun")</f>
        <v>Lazer Infused Railgun</v>
      </c>
      <c r="B368" s="32"/>
      <c r="C368" s="32" t="str">
        <f>IFERROR(__xludf.DUMMYFUNCTION("""COMPUTED_VALUE"""),"Firearm")</f>
        <v>Firearm</v>
      </c>
      <c r="D368" s="32" t="str">
        <f>IFERROR(__xludf.DUMMYFUNCTION("""COMPUTED_VALUE"""),"Hand")</f>
        <v>Hand</v>
      </c>
      <c r="E368" s="32">
        <f>IFERROR(__xludf.DUMMYFUNCTION("""COMPUTED_VALUE"""),1600.0)</f>
        <v>1600</v>
      </c>
      <c r="F368" s="32"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32">
        <f>IFERROR(__xludf.DUMMYFUNCTION("""COMPUTED_VALUE"""),1.272E8)</f>
        <v>127200000</v>
      </c>
      <c r="H368" s="32"/>
      <c r="I368" s="32"/>
      <c r="J368" s="32"/>
      <c r="K368" s="32"/>
      <c r="L368" s="32"/>
      <c r="M368" s="32"/>
      <c r="N368" s="32"/>
      <c r="O368" s="32"/>
      <c r="P368" s="32"/>
      <c r="Q368" s="32"/>
      <c r="R368" s="32"/>
      <c r="S368" s="32"/>
      <c r="T368" s="32"/>
      <c r="U368" s="32"/>
      <c r="V368" s="32"/>
      <c r="W368" s="32"/>
      <c r="X368" s="32"/>
      <c r="Y368" s="32"/>
      <c r="Z368" s="32"/>
    </row>
    <row r="369">
      <c r="A369" s="32" t="str">
        <f>IFERROR(__xludf.DUMMYFUNCTION("""COMPUTED_VALUE"""),"Minigun")</f>
        <v>Minigun</v>
      </c>
      <c r="B369" s="32"/>
      <c r="C369" s="32" t="str">
        <f>IFERROR(__xludf.DUMMYFUNCTION("""COMPUTED_VALUE"""),"Firearm")</f>
        <v>Firearm</v>
      </c>
      <c r="D369" s="32" t="str">
        <f>IFERROR(__xludf.DUMMYFUNCTION("""COMPUTED_VALUE"""),"Hand")</f>
        <v>Hand</v>
      </c>
      <c r="E369" s="32">
        <f>IFERROR(__xludf.DUMMYFUNCTION("""COMPUTED_VALUE"""),1200.0)</f>
        <v>1200</v>
      </c>
      <c r="F369" s="32"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32">
        <f>IFERROR(__xludf.DUMMYFUNCTION("""COMPUTED_VALUE"""),7.14E7)</f>
        <v>71400000</v>
      </c>
      <c r="H369" s="32"/>
      <c r="I369" s="32"/>
      <c r="J369" s="32"/>
      <c r="K369" s="32"/>
      <c r="L369" s="32"/>
      <c r="M369" s="32"/>
      <c r="N369" s="32"/>
      <c r="O369" s="32"/>
      <c r="P369" s="32"/>
      <c r="Q369" s="32"/>
      <c r="R369" s="32"/>
      <c r="S369" s="32"/>
      <c r="T369" s="32"/>
      <c r="U369" s="32"/>
      <c r="V369" s="32"/>
      <c r="W369" s="32"/>
      <c r="X369" s="32"/>
      <c r="Y369" s="32"/>
      <c r="Z369" s="32"/>
    </row>
    <row r="370">
      <c r="A370" s="32" t="str">
        <f>IFERROR(__xludf.DUMMYFUNCTION("""COMPUTED_VALUE"""),"Seahorse’s Ring")</f>
        <v>Seahorse’s Ring</v>
      </c>
      <c r="B370" s="32"/>
      <c r="C370" s="32"/>
      <c r="D370" s="32" t="str">
        <f>IFERROR(__xludf.DUMMYFUNCTION("""COMPUTED_VALUE"""),"Ring")</f>
        <v>Ring</v>
      </c>
      <c r="E370" s="32">
        <f>IFERROR(__xludf.DUMMYFUNCTION("""COMPUTED_VALUE"""),20.0)</f>
        <v>20</v>
      </c>
      <c r="F370" s="32"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32">
        <f>IFERROR(__xludf.DUMMYFUNCTION("""COMPUTED_VALUE"""),10000.0)</f>
        <v>10000</v>
      </c>
      <c r="H370" s="32"/>
      <c r="I370" s="32"/>
      <c r="J370" s="32"/>
      <c r="K370" s="32"/>
      <c r="L370" s="32"/>
      <c r="M370" s="32"/>
      <c r="N370" s="32"/>
      <c r="O370" s="32"/>
      <c r="P370" s="32"/>
      <c r="Q370" s="32"/>
      <c r="R370" s="32"/>
      <c r="S370" s="32"/>
      <c r="T370" s="32"/>
      <c r="U370" s="32"/>
      <c r="V370" s="32"/>
      <c r="W370" s="32"/>
      <c r="X370" s="32"/>
      <c r="Y370" s="32"/>
      <c r="Z370" s="32"/>
    </row>
    <row r="371">
      <c r="A371" s="32" t="str">
        <f>IFERROR(__xludf.DUMMYFUNCTION("""COMPUTED_VALUE"""),"Bamboo Vambraces")</f>
        <v>Bamboo Vambraces</v>
      </c>
      <c r="B371" s="32"/>
      <c r="C371" s="32"/>
      <c r="D371" s="32" t="str">
        <f>IFERROR(__xludf.DUMMYFUNCTION("""COMPUTED_VALUE"""),"Arms")</f>
        <v>Arms</v>
      </c>
      <c r="E371" s="32">
        <f>IFERROR(__xludf.DUMMYFUNCTION("""COMPUTED_VALUE"""),40.0)</f>
        <v>40</v>
      </c>
      <c r="F371" s="32" t="str">
        <f>IFERROR(__xludf.DUMMYFUNCTION("""COMPUTED_VALUE"""),"DEF: +1000, Nature DEF: +1000")</f>
        <v>DEF: +1000, Nature DEF: +1000</v>
      </c>
      <c r="G371" s="32">
        <f>IFERROR(__xludf.DUMMYFUNCTION("""COMPUTED_VALUE"""),60000.0)</f>
        <v>60000</v>
      </c>
      <c r="H371" s="32"/>
      <c r="I371" s="32"/>
      <c r="J371" s="32"/>
      <c r="K371" s="32"/>
      <c r="L371" s="32"/>
      <c r="M371" s="32"/>
      <c r="N371" s="32"/>
      <c r="O371" s="32"/>
      <c r="P371" s="32"/>
      <c r="Q371" s="32"/>
      <c r="R371" s="32"/>
      <c r="S371" s="32"/>
      <c r="T371" s="32"/>
      <c r="U371" s="32"/>
      <c r="V371" s="32"/>
      <c r="W371" s="32"/>
      <c r="X371" s="32"/>
      <c r="Y371" s="32"/>
      <c r="Z371" s="32"/>
    </row>
    <row r="372">
      <c r="A372" s="32" t="str">
        <f>IFERROR(__xludf.DUMMYFUNCTION("""COMPUTED_VALUE"""),"Bamboo Pauldrons")</f>
        <v>Bamboo Pauldrons</v>
      </c>
      <c r="B372" s="32"/>
      <c r="C372" s="32"/>
      <c r="D372" s="32" t="str">
        <f>IFERROR(__xludf.DUMMYFUNCTION("""COMPUTED_VALUE"""),"Shoulders")</f>
        <v>Shoulders</v>
      </c>
      <c r="E372" s="32">
        <f>IFERROR(__xludf.DUMMYFUNCTION("""COMPUTED_VALUE"""),40.0)</f>
        <v>40</v>
      </c>
      <c r="F372" s="32" t="str">
        <f>IFERROR(__xludf.DUMMYFUNCTION("""COMPUTED_VALUE"""),"DEF: +1000, Nature DEF: +1000")</f>
        <v>DEF: +1000, Nature DEF: +1000</v>
      </c>
      <c r="G372" s="32">
        <f>IFERROR(__xludf.DUMMYFUNCTION("""COMPUTED_VALUE"""),60000.0)</f>
        <v>60000</v>
      </c>
      <c r="H372" s="32"/>
      <c r="I372" s="32"/>
      <c r="J372" s="32"/>
      <c r="K372" s="32"/>
      <c r="L372" s="32"/>
      <c r="M372" s="32"/>
      <c r="N372" s="32"/>
      <c r="O372" s="32"/>
      <c r="P372" s="32"/>
      <c r="Q372" s="32"/>
      <c r="R372" s="32"/>
      <c r="S372" s="32"/>
      <c r="T372" s="32"/>
      <c r="U372" s="32"/>
      <c r="V372" s="32"/>
      <c r="W372" s="32"/>
      <c r="X372" s="32"/>
      <c r="Y372" s="32"/>
      <c r="Z372" s="32"/>
    </row>
    <row r="373">
      <c r="A373" s="32" t="str">
        <f>IFERROR(__xludf.DUMMYFUNCTION("""COMPUTED_VALUE"""),"Bamboo Chestplate")</f>
        <v>Bamboo Chestplate</v>
      </c>
      <c r="B373" s="32"/>
      <c r="C373" s="32"/>
      <c r="D373" s="32" t="str">
        <f>IFERROR(__xludf.DUMMYFUNCTION("""COMPUTED_VALUE"""),"Torso")</f>
        <v>Torso</v>
      </c>
      <c r="E373" s="32">
        <f>IFERROR(__xludf.DUMMYFUNCTION("""COMPUTED_VALUE"""),40.0)</f>
        <v>40</v>
      </c>
      <c r="F373" s="32" t="str">
        <f>IFERROR(__xludf.DUMMYFUNCTION("""COMPUTED_VALUE"""),"DEF: +1000, Nature DEF: +1000")</f>
        <v>DEF: +1000, Nature DEF: +1000</v>
      </c>
      <c r="G373" s="32">
        <f>IFERROR(__xludf.DUMMYFUNCTION("""COMPUTED_VALUE"""),60000.0)</f>
        <v>60000</v>
      </c>
      <c r="H373" s="32"/>
      <c r="I373" s="32"/>
      <c r="J373" s="32"/>
      <c r="K373" s="32"/>
      <c r="L373" s="32"/>
      <c r="M373" s="32"/>
      <c r="N373" s="32"/>
      <c r="O373" s="32"/>
      <c r="P373" s="32"/>
      <c r="Q373" s="32"/>
      <c r="R373" s="32"/>
      <c r="S373" s="32"/>
      <c r="T373" s="32"/>
      <c r="U373" s="32"/>
      <c r="V373" s="32"/>
      <c r="W373" s="32"/>
      <c r="X373" s="32"/>
      <c r="Y373" s="32"/>
      <c r="Z373" s="32"/>
    </row>
    <row r="374">
      <c r="A374" s="32" t="str">
        <f>IFERROR(__xludf.DUMMYFUNCTION("""COMPUTED_VALUE"""),"Bamboo Greaves")</f>
        <v>Bamboo Greaves</v>
      </c>
      <c r="B374" s="32"/>
      <c r="C374" s="32"/>
      <c r="D374" s="32" t="str">
        <f>IFERROR(__xludf.DUMMYFUNCTION("""COMPUTED_VALUE"""),"Legs")</f>
        <v>Legs</v>
      </c>
      <c r="E374" s="32">
        <f>IFERROR(__xludf.DUMMYFUNCTION("""COMPUTED_VALUE"""),40.0)</f>
        <v>40</v>
      </c>
      <c r="F374" s="32" t="str">
        <f>IFERROR(__xludf.DUMMYFUNCTION("""COMPUTED_VALUE"""),"DEF: +1000, Nature DEF: +1000")</f>
        <v>DEF: +1000, Nature DEF: +1000</v>
      </c>
      <c r="G374" s="32">
        <f>IFERROR(__xludf.DUMMYFUNCTION("""COMPUTED_VALUE"""),60000.0)</f>
        <v>60000</v>
      </c>
      <c r="H374" s="32"/>
      <c r="I374" s="32"/>
      <c r="J374" s="32"/>
      <c r="K374" s="32"/>
      <c r="L374" s="32"/>
      <c r="M374" s="32"/>
      <c r="N374" s="32"/>
      <c r="O374" s="32"/>
      <c r="P374" s="32"/>
      <c r="Q374" s="32"/>
      <c r="R374" s="32"/>
      <c r="S374" s="32"/>
      <c r="T374" s="32"/>
      <c r="U374" s="32"/>
      <c r="V374" s="32"/>
      <c r="W374" s="32"/>
      <c r="X374" s="32"/>
      <c r="Y374" s="32"/>
      <c r="Z374" s="32"/>
    </row>
    <row r="375">
      <c r="A375" s="32" t="str">
        <f>IFERROR(__xludf.DUMMYFUNCTION("""COMPUTED_VALUE"""),"Strengthened Bamboo Sword")</f>
        <v>Strengthened Bamboo Sword</v>
      </c>
      <c r="B375" s="32"/>
      <c r="C375" s="32" t="str">
        <f>IFERROR(__xludf.DUMMYFUNCTION("""COMPUTED_VALUE"""),"Sword")</f>
        <v>Sword</v>
      </c>
      <c r="D375" s="32" t="str">
        <f>IFERROR(__xludf.DUMMYFUNCTION("""COMPUTED_VALUE"""),"Hand")</f>
        <v>Hand</v>
      </c>
      <c r="E375" s="32">
        <f>IFERROR(__xludf.DUMMYFUNCTION("""COMPUTED_VALUE"""),40.0)</f>
        <v>40</v>
      </c>
      <c r="F375" s="32" t="str">
        <f>IFERROR(__xludf.DUMMYFUNCTION("""COMPUTED_VALUE"""),"DMG: +1000, Nature DMG: +1000 ++X4 damage for this weapon if the battle is in a Forest or Jungle.")</f>
        <v>DMG: +1000, Nature DMG: +1000 ++X4 damage for this weapon if the battle is in a Forest or Jungle.</v>
      </c>
      <c r="G375" s="32">
        <f>IFERROR(__xludf.DUMMYFUNCTION("""COMPUTED_VALUE"""),60000.0)</f>
        <v>60000</v>
      </c>
      <c r="H375" s="32"/>
      <c r="I375" s="32"/>
      <c r="J375" s="32"/>
      <c r="K375" s="32"/>
      <c r="L375" s="32"/>
      <c r="M375" s="32"/>
      <c r="N375" s="32"/>
      <c r="O375" s="32"/>
      <c r="P375" s="32"/>
      <c r="Q375" s="32"/>
      <c r="R375" s="32"/>
      <c r="S375" s="32"/>
      <c r="T375" s="32"/>
      <c r="U375" s="32"/>
      <c r="V375" s="32"/>
      <c r="W375" s="32"/>
      <c r="X375" s="32"/>
      <c r="Y375" s="32"/>
      <c r="Z375" s="32"/>
    </row>
    <row r="376">
      <c r="A376" s="32" t="str">
        <f>IFERROR(__xludf.DUMMYFUNCTION("""COMPUTED_VALUE"""),"Bamboo Sandals")</f>
        <v>Bamboo Sandals</v>
      </c>
      <c r="B376" s="32"/>
      <c r="C376" s="32"/>
      <c r="D376" s="32" t="str">
        <f>IFERROR(__xludf.DUMMYFUNCTION("""COMPUTED_VALUE"""),"Feet")</f>
        <v>Feet</v>
      </c>
      <c r="E376" s="32">
        <f>IFERROR(__xludf.DUMMYFUNCTION("""COMPUTED_VALUE"""),40.0)</f>
        <v>40</v>
      </c>
      <c r="F376" s="32" t="str">
        <f>IFERROR(__xludf.DUMMYFUNCTION("""COMPUTED_VALUE"""),"DEF: +1000, Nature DEF: +1000")</f>
        <v>DEF: +1000, Nature DEF: +1000</v>
      </c>
      <c r="G376" s="32">
        <f>IFERROR(__xludf.DUMMYFUNCTION("""COMPUTED_VALUE"""),60000.0)</f>
        <v>60000</v>
      </c>
      <c r="H376" s="32"/>
      <c r="I376" s="32"/>
      <c r="J376" s="32"/>
      <c r="K376" s="32"/>
      <c r="L376" s="32"/>
      <c r="M376" s="32"/>
      <c r="N376" s="32"/>
      <c r="O376" s="32"/>
      <c r="P376" s="32"/>
      <c r="Q376" s="32"/>
      <c r="R376" s="32"/>
      <c r="S376" s="32"/>
      <c r="T376" s="32"/>
      <c r="U376" s="32"/>
      <c r="V376" s="32"/>
      <c r="W376" s="32"/>
      <c r="X376" s="32"/>
      <c r="Y376" s="32"/>
      <c r="Z376" s="32"/>
    </row>
    <row r="377">
      <c r="A377" s="32" t="str">
        <f>IFERROR(__xludf.DUMMYFUNCTION("""COMPUTED_VALUE"""),"Greaves of Foul Night")</f>
        <v>Greaves of Foul Night</v>
      </c>
      <c r="B377" s="32"/>
      <c r="C377" s="32"/>
      <c r="D377" s="32" t="str">
        <f>IFERROR(__xludf.DUMMYFUNCTION("""COMPUTED_VALUE"""),"Legs")</f>
        <v>Legs</v>
      </c>
      <c r="E377" s="32">
        <f>IFERROR(__xludf.DUMMYFUNCTION("""COMPUTED_VALUE"""),200.0)</f>
        <v>200</v>
      </c>
      <c r="F377" s="32" t="str">
        <f>IFERROR(__xludf.DUMMYFUNCTION("""COMPUTED_VALUE"""),"DEF: +5000, Nature DEF: +5000 (Foul Night Set) ++X2 Nature and Poison damage, Poison Immunity.")</f>
        <v>DEF: +5000, Nature DEF: +5000 (Foul Night Set) ++X2 Nature and Poison damage, Poison Immunity.</v>
      </c>
      <c r="G377" s="32">
        <f>IFERROR(__xludf.DUMMYFUNCTION("""COMPUTED_VALUE"""),1900000.0)</f>
        <v>1900000</v>
      </c>
      <c r="H377" s="32"/>
      <c r="I377" s="32"/>
      <c r="J377" s="32"/>
      <c r="K377" s="32"/>
      <c r="L377" s="32"/>
      <c r="M377" s="32"/>
      <c r="N377" s="32"/>
      <c r="O377" s="32"/>
      <c r="P377" s="32"/>
      <c r="Q377" s="32"/>
      <c r="R377" s="32"/>
      <c r="S377" s="32"/>
      <c r="T377" s="32"/>
      <c r="U377" s="32"/>
      <c r="V377" s="32"/>
      <c r="W377" s="32"/>
      <c r="X377" s="32"/>
      <c r="Y377" s="32"/>
      <c r="Z377" s="32"/>
    </row>
    <row r="378">
      <c r="A378" s="32" t="str">
        <f>IFERROR(__xludf.DUMMYFUNCTION("""COMPUTED_VALUE"""),"Vambraces of Foul Night")</f>
        <v>Vambraces of Foul Night</v>
      </c>
      <c r="B378" s="32"/>
      <c r="C378" s="32"/>
      <c r="D378" s="32" t="str">
        <f>IFERROR(__xludf.DUMMYFUNCTION("""COMPUTED_VALUE"""),"Arms")</f>
        <v>Arms</v>
      </c>
      <c r="E378" s="32">
        <f>IFERROR(__xludf.DUMMYFUNCTION("""COMPUTED_VALUE"""),200.0)</f>
        <v>200</v>
      </c>
      <c r="F378" s="32" t="str">
        <f>IFERROR(__xludf.DUMMYFUNCTION("""COMPUTED_VALUE"""),"DEF: +5000, Dark DEF: +5000 (Foul Night Set) ++X2 Dark and Poison damage, Poison Immunity.")</f>
        <v>DEF: +5000, Dark DEF: +5000 (Foul Night Set) ++X2 Dark and Poison damage, Poison Immunity.</v>
      </c>
      <c r="G378" s="32">
        <f>IFERROR(__xludf.DUMMYFUNCTION("""COMPUTED_VALUE"""),1900000.0)</f>
        <v>1900000</v>
      </c>
      <c r="H378" s="32"/>
      <c r="I378" s="32"/>
      <c r="J378" s="32"/>
      <c r="K378" s="32"/>
      <c r="L378" s="32"/>
      <c r="M378" s="32"/>
      <c r="N378" s="32"/>
      <c r="O378" s="32"/>
      <c r="P378" s="32"/>
      <c r="Q378" s="32"/>
      <c r="R378" s="32"/>
      <c r="S378" s="32"/>
      <c r="T378" s="32"/>
      <c r="U378" s="32"/>
      <c r="V378" s="32"/>
      <c r="W378" s="32"/>
      <c r="X378" s="32"/>
      <c r="Y378" s="32"/>
      <c r="Z378" s="32"/>
    </row>
    <row r="379">
      <c r="A379" s="32" t="str">
        <f>IFERROR(__xludf.DUMMYFUNCTION("""COMPUTED_VALUE"""),"Boots of Foul Night")</f>
        <v>Boots of Foul Night</v>
      </c>
      <c r="B379" s="32"/>
      <c r="C379" s="32"/>
      <c r="D379" s="32" t="str">
        <f>IFERROR(__xludf.DUMMYFUNCTION("""COMPUTED_VALUE"""),"Feet")</f>
        <v>Feet</v>
      </c>
      <c r="E379" s="32">
        <f>IFERROR(__xludf.DUMMYFUNCTION("""COMPUTED_VALUE"""),200.0)</f>
        <v>200</v>
      </c>
      <c r="F379" s="32" t="str">
        <f>IFERROR(__xludf.DUMMYFUNCTION("""COMPUTED_VALUE"""),"DEF: +5000, Dark DEF: +5000 (Foul Night Set) ++X2 Dark and Poison damage, Poison Immunity.")</f>
        <v>DEF: +5000, Dark DEF: +5000 (Foul Night Set) ++X2 Dark and Poison damage, Poison Immunity.</v>
      </c>
      <c r="G379" s="32">
        <f>IFERROR(__xludf.DUMMYFUNCTION("""COMPUTED_VALUE"""),1900000.0)</f>
        <v>1900000</v>
      </c>
      <c r="H379" s="32"/>
      <c r="I379" s="32"/>
      <c r="J379" s="32"/>
      <c r="K379" s="32"/>
      <c r="L379" s="32"/>
      <c r="M379" s="32"/>
      <c r="N379" s="32"/>
      <c r="O379" s="32"/>
      <c r="P379" s="32"/>
      <c r="Q379" s="32"/>
      <c r="R379" s="32"/>
      <c r="S379" s="32"/>
      <c r="T379" s="32"/>
      <c r="U379" s="32"/>
      <c r="V379" s="32"/>
      <c r="W379" s="32"/>
      <c r="X379" s="32"/>
      <c r="Y379" s="32"/>
      <c r="Z379" s="32"/>
    </row>
    <row r="380">
      <c r="A380" s="32" t="str">
        <f>IFERROR(__xludf.DUMMYFUNCTION("""COMPUTED_VALUE"""),"Pauldrons of Foul Night")</f>
        <v>Pauldrons of Foul Night</v>
      </c>
      <c r="B380" s="32"/>
      <c r="C380" s="32"/>
      <c r="D380" s="32" t="str">
        <f>IFERROR(__xludf.DUMMYFUNCTION("""COMPUTED_VALUE"""),"Shoulders")</f>
        <v>Shoulders</v>
      </c>
      <c r="E380" s="32">
        <f>IFERROR(__xludf.DUMMYFUNCTION("""COMPUTED_VALUE"""),200.0)</f>
        <v>200</v>
      </c>
      <c r="F380" s="32" t="str">
        <f>IFERROR(__xludf.DUMMYFUNCTION("""COMPUTED_VALUE"""),"DEF: +5000, Dark DEF: +5000 (Foul Night Set) ++X2 Dark and Poison damage, Poison Immunity.")</f>
        <v>DEF: +5000, Dark DEF: +5000 (Foul Night Set) ++X2 Dark and Poison damage, Poison Immunity.</v>
      </c>
      <c r="G380" s="32">
        <f>IFERROR(__xludf.DUMMYFUNCTION("""COMPUTED_VALUE"""),1900000.0)</f>
        <v>1900000</v>
      </c>
      <c r="H380" s="32"/>
      <c r="I380" s="32"/>
      <c r="J380" s="32"/>
      <c r="K380" s="32"/>
      <c r="L380" s="32"/>
      <c r="M380" s="32"/>
      <c r="N380" s="32"/>
      <c r="O380" s="32"/>
      <c r="P380" s="32"/>
      <c r="Q380" s="32"/>
      <c r="R380" s="32"/>
      <c r="S380" s="32"/>
      <c r="T380" s="32"/>
      <c r="U380" s="32"/>
      <c r="V380" s="32"/>
      <c r="W380" s="32"/>
      <c r="X380" s="32"/>
      <c r="Y380" s="32"/>
      <c r="Z380" s="32"/>
    </row>
    <row r="381">
      <c r="A381" s="32" t="str">
        <f>IFERROR(__xludf.DUMMYFUNCTION("""COMPUTED_VALUE"""),"Crystal Forged Pauldrons")</f>
        <v>Crystal Forged Pauldrons</v>
      </c>
      <c r="B381" s="32"/>
      <c r="C381" s="32"/>
      <c r="D381" s="32" t="str">
        <f>IFERROR(__xludf.DUMMYFUNCTION("""COMPUTED_VALUE"""),"Shoulders")</f>
        <v>Shoulders</v>
      </c>
      <c r="E381" s="32">
        <f>IFERROR(__xludf.DUMMYFUNCTION("""COMPUTED_VALUE"""),200.0)</f>
        <v>200</v>
      </c>
      <c r="F381" s="3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32">
        <f>IFERROR(__xludf.DUMMYFUNCTION("""COMPUTED_VALUE"""),1900000.0)</f>
        <v>1900000</v>
      </c>
      <c r="H381" s="32"/>
      <c r="I381" s="32"/>
      <c r="J381" s="32"/>
      <c r="K381" s="32"/>
      <c r="L381" s="32"/>
      <c r="M381" s="32"/>
      <c r="N381" s="32"/>
      <c r="O381" s="32"/>
      <c r="P381" s="32"/>
      <c r="Q381" s="32"/>
      <c r="R381" s="32"/>
      <c r="S381" s="32"/>
      <c r="T381" s="32"/>
      <c r="U381" s="32"/>
      <c r="V381" s="32"/>
      <c r="W381" s="32"/>
      <c r="X381" s="32"/>
      <c r="Y381" s="32"/>
      <c r="Z381" s="32"/>
    </row>
    <row r="382">
      <c r="A382" s="32" t="str">
        <f>IFERROR(__xludf.DUMMYFUNCTION("""COMPUTED_VALUE"""),"Crystal Forged Greaves")</f>
        <v>Crystal Forged Greaves</v>
      </c>
      <c r="B382" s="32"/>
      <c r="C382" s="32"/>
      <c r="D382" s="32" t="str">
        <f>IFERROR(__xludf.DUMMYFUNCTION("""COMPUTED_VALUE"""),"Legs")</f>
        <v>Legs</v>
      </c>
      <c r="E382" s="32">
        <f>IFERROR(__xludf.DUMMYFUNCTION("""COMPUTED_VALUE"""),200.0)</f>
        <v>200</v>
      </c>
      <c r="F382" s="3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32">
        <f>IFERROR(__xludf.DUMMYFUNCTION("""COMPUTED_VALUE"""),1900000.0)</f>
        <v>1900000</v>
      </c>
      <c r="H382" s="32"/>
      <c r="I382" s="32"/>
      <c r="J382" s="32"/>
      <c r="K382" s="32"/>
      <c r="L382" s="32"/>
      <c r="M382" s="32"/>
      <c r="N382" s="32"/>
      <c r="O382" s="32"/>
      <c r="P382" s="32"/>
      <c r="Q382" s="32"/>
      <c r="R382" s="32"/>
      <c r="S382" s="32"/>
      <c r="T382" s="32"/>
      <c r="U382" s="32"/>
      <c r="V382" s="32"/>
      <c r="W382" s="32"/>
      <c r="X382" s="32"/>
      <c r="Y382" s="32"/>
      <c r="Z382" s="32"/>
    </row>
    <row r="383">
      <c r="A383" s="32" t="str">
        <f>IFERROR(__xludf.DUMMYFUNCTION("""COMPUTED_VALUE"""),"Crystal Forged Boots")</f>
        <v>Crystal Forged Boots</v>
      </c>
      <c r="B383" s="32"/>
      <c r="C383" s="32"/>
      <c r="D383" s="32" t="str">
        <f>IFERROR(__xludf.DUMMYFUNCTION("""COMPUTED_VALUE"""),"Feet")</f>
        <v>Feet</v>
      </c>
      <c r="E383" s="32">
        <f>IFERROR(__xludf.DUMMYFUNCTION("""COMPUTED_VALUE"""),200.0)</f>
        <v>200</v>
      </c>
      <c r="F383" s="3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32">
        <f>IFERROR(__xludf.DUMMYFUNCTION("""COMPUTED_VALUE"""),1900000.0)</f>
        <v>1900000</v>
      </c>
      <c r="H383" s="32"/>
      <c r="I383" s="32"/>
      <c r="J383" s="32"/>
      <c r="K383" s="32"/>
      <c r="L383" s="32"/>
      <c r="M383" s="32"/>
      <c r="N383" s="32"/>
      <c r="O383" s="32"/>
      <c r="P383" s="32"/>
      <c r="Q383" s="32"/>
      <c r="R383" s="32"/>
      <c r="S383" s="32"/>
      <c r="T383" s="32"/>
      <c r="U383" s="32"/>
      <c r="V383" s="32"/>
      <c r="W383" s="32"/>
      <c r="X383" s="32"/>
      <c r="Y383" s="32"/>
      <c r="Z383" s="32"/>
    </row>
    <row r="384">
      <c r="A384" s="32" t="str">
        <f>IFERROR(__xludf.DUMMYFUNCTION("""COMPUTED_VALUE"""),"Crystal Forged Vambraces")</f>
        <v>Crystal Forged Vambraces</v>
      </c>
      <c r="B384" s="32"/>
      <c r="C384" s="32"/>
      <c r="D384" s="32" t="str">
        <f>IFERROR(__xludf.DUMMYFUNCTION("""COMPUTED_VALUE"""),"Arms")</f>
        <v>Arms</v>
      </c>
      <c r="E384" s="32">
        <f>IFERROR(__xludf.DUMMYFUNCTION("""COMPUTED_VALUE"""),200.0)</f>
        <v>200</v>
      </c>
      <c r="F384" s="3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32">
        <f>IFERROR(__xludf.DUMMYFUNCTION("""COMPUTED_VALUE"""),1900000.0)</f>
        <v>1900000</v>
      </c>
      <c r="H384" s="32"/>
      <c r="I384" s="32"/>
      <c r="J384" s="32"/>
      <c r="K384" s="32"/>
      <c r="L384" s="32"/>
      <c r="M384" s="32"/>
      <c r="N384" s="32"/>
      <c r="O384" s="32"/>
      <c r="P384" s="32"/>
      <c r="Q384" s="32"/>
      <c r="R384" s="32"/>
      <c r="S384" s="32"/>
      <c r="T384" s="32"/>
      <c r="U384" s="32"/>
      <c r="V384" s="32"/>
      <c r="W384" s="32"/>
      <c r="X384" s="32"/>
      <c r="Y384" s="32"/>
      <c r="Z384" s="32"/>
    </row>
    <row r="385">
      <c r="A385" s="32" t="str">
        <f>IFERROR(__xludf.DUMMYFUNCTION("""COMPUTED_VALUE"""),"Fiddle")</f>
        <v>Fiddle</v>
      </c>
      <c r="B385" s="32"/>
      <c r="C385" s="32" t="str">
        <f>IFERROR(__xludf.DUMMYFUNCTION("""COMPUTED_VALUE"""),"Instrument")</f>
        <v>Instrument</v>
      </c>
      <c r="D385" s="32" t="str">
        <f>IFERROR(__xludf.DUMMYFUNCTION("""COMPUTED_VALUE"""),"Hand")</f>
        <v>Hand</v>
      </c>
      <c r="E385" s="32">
        <f>IFERROR(__xludf.DUMMYFUNCTION("""COMPUTED_VALUE"""),40.0)</f>
        <v>40</v>
      </c>
      <c r="F385" s="32" t="str">
        <f>IFERROR(__xludf.DUMMYFUNCTION("""COMPUTED_VALUE"""),"DMG: +2000")</f>
        <v>DMG: +2000</v>
      </c>
      <c r="G385" s="32">
        <f>IFERROR(__xludf.DUMMYFUNCTION("""COMPUTED_VALUE"""),60000.0)</f>
        <v>60000</v>
      </c>
      <c r="H385" s="32"/>
      <c r="I385" s="32"/>
      <c r="J385" s="32"/>
      <c r="K385" s="32"/>
      <c r="L385" s="32"/>
      <c r="M385" s="32"/>
      <c r="N385" s="32"/>
      <c r="O385" s="32"/>
      <c r="P385" s="32"/>
      <c r="Q385" s="32"/>
      <c r="R385" s="32"/>
      <c r="S385" s="32"/>
      <c r="T385" s="32"/>
      <c r="U385" s="32"/>
      <c r="V385" s="32"/>
      <c r="W385" s="32"/>
      <c r="X385" s="32"/>
      <c r="Y385" s="32"/>
      <c r="Z385" s="32"/>
    </row>
    <row r="386">
      <c r="A386" s="32" t="str">
        <f>IFERROR(__xludf.DUMMYFUNCTION("""COMPUTED_VALUE"""),"WyvernTail Blade")</f>
        <v>WyvernTail Blade</v>
      </c>
      <c r="B386" s="32"/>
      <c r="C386" s="32" t="str">
        <f>IFERROR(__xludf.DUMMYFUNCTION("""COMPUTED_VALUE"""),"Sword")</f>
        <v>Sword</v>
      </c>
      <c r="D386" s="32" t="str">
        <f>IFERROR(__xludf.DUMMYFUNCTION("""COMPUTED_VALUE"""),"Hand")</f>
        <v>Hand</v>
      </c>
      <c r="E386" s="32">
        <f>IFERROR(__xludf.DUMMYFUNCTION("""COMPUTED_VALUE"""),200.0)</f>
        <v>200</v>
      </c>
      <c r="F386" s="32" t="str">
        <f>IFERROR(__xludf.DUMMYFUNCTION("""COMPUTED_VALUE"""),"DMG: +5000, Water DMG: +5000 (Wyverntail Set) ++50% Chance to freeze the target being attacked by this weapon.")</f>
        <v>DMG: +5000, Water DMG: +5000 (Wyverntail Set) ++50% Chance to freeze the target being attacked by this weapon.</v>
      </c>
      <c r="G386" s="32">
        <f>IFERROR(__xludf.DUMMYFUNCTION("""COMPUTED_VALUE"""),1900000.0)</f>
        <v>1900000</v>
      </c>
      <c r="H386" s="32"/>
      <c r="I386" s="32"/>
      <c r="J386" s="32"/>
      <c r="K386" s="32"/>
      <c r="L386" s="32"/>
      <c r="M386" s="32"/>
      <c r="N386" s="32"/>
      <c r="O386" s="32"/>
      <c r="P386" s="32"/>
      <c r="Q386" s="32"/>
      <c r="R386" s="32"/>
      <c r="S386" s="32"/>
      <c r="T386" s="32"/>
      <c r="U386" s="32"/>
      <c r="V386" s="32"/>
      <c r="W386" s="32"/>
      <c r="X386" s="32"/>
      <c r="Y386" s="32"/>
      <c r="Z386" s="32"/>
    </row>
    <row r="387">
      <c r="A387" s="32" t="str">
        <f>IFERROR(__xludf.DUMMYFUNCTION("""COMPUTED_VALUE"""),"WyvernTail Helm")</f>
        <v>WyvernTail Helm</v>
      </c>
      <c r="B387" s="32"/>
      <c r="C387" s="32"/>
      <c r="D387" s="32" t="str">
        <f>IFERROR(__xludf.DUMMYFUNCTION("""COMPUTED_VALUE"""),"Head")</f>
        <v>Head</v>
      </c>
      <c r="E387" s="32">
        <f>IFERROR(__xludf.DUMMYFUNCTION("""COMPUTED_VALUE"""),200.0)</f>
        <v>200</v>
      </c>
      <c r="F387" s="32" t="str">
        <f>IFERROR(__xludf.DUMMYFUNCTION("""COMPUTED_VALUE"""),"DEF: +10000 (Wyverntail Set) ++Freeze Immunity")</f>
        <v>DEF: +10000 (Wyverntail Set) ++Freeze Immunity</v>
      </c>
      <c r="G387" s="32">
        <f>IFERROR(__xludf.DUMMYFUNCTION("""COMPUTED_VALUE"""),1900000.0)</f>
        <v>1900000</v>
      </c>
      <c r="H387" s="32"/>
      <c r="I387" s="32"/>
      <c r="J387" s="32"/>
      <c r="K387" s="32"/>
      <c r="L387" s="32"/>
      <c r="M387" s="32"/>
      <c r="N387" s="32"/>
      <c r="O387" s="32"/>
      <c r="P387" s="32"/>
      <c r="Q387" s="32"/>
      <c r="R387" s="32"/>
      <c r="S387" s="32"/>
      <c r="T387" s="32"/>
      <c r="U387" s="32"/>
      <c r="V387" s="32"/>
      <c r="W387" s="32"/>
      <c r="X387" s="32"/>
      <c r="Y387" s="32"/>
      <c r="Z387" s="32"/>
    </row>
    <row r="388">
      <c r="A388" s="32" t="str">
        <f>IFERROR(__xludf.DUMMYFUNCTION("""COMPUTED_VALUE"""),"WyvernTail Pauldrons")</f>
        <v>WyvernTail Pauldrons</v>
      </c>
      <c r="B388" s="32"/>
      <c r="C388" s="32"/>
      <c r="D388" s="32" t="str">
        <f>IFERROR(__xludf.DUMMYFUNCTION("""COMPUTED_VALUE"""),"Shoulders")</f>
        <v>Shoulders</v>
      </c>
      <c r="E388" s="32">
        <f>IFERROR(__xludf.DUMMYFUNCTION("""COMPUTED_VALUE"""),200.0)</f>
        <v>200</v>
      </c>
      <c r="F388" s="32" t="str">
        <f>IFERROR(__xludf.DUMMYFUNCTION("""COMPUTED_VALUE"""),"DEF: +10000 (Wyverntail Set) ++Freeze Immunity")</f>
        <v>DEF: +10000 (Wyverntail Set) ++Freeze Immunity</v>
      </c>
      <c r="G388" s="32">
        <f>IFERROR(__xludf.DUMMYFUNCTION("""COMPUTED_VALUE"""),1900000.0)</f>
        <v>1900000</v>
      </c>
      <c r="H388" s="32"/>
      <c r="I388" s="32"/>
      <c r="J388" s="32"/>
      <c r="K388" s="32"/>
      <c r="L388" s="32"/>
      <c r="M388" s="32"/>
      <c r="N388" s="32"/>
      <c r="O388" s="32"/>
      <c r="P388" s="32"/>
      <c r="Q388" s="32"/>
      <c r="R388" s="32"/>
      <c r="S388" s="32"/>
      <c r="T388" s="32"/>
      <c r="U388" s="32"/>
      <c r="V388" s="32"/>
      <c r="W388" s="32"/>
      <c r="X388" s="32"/>
      <c r="Y388" s="32"/>
      <c r="Z388" s="32"/>
    </row>
    <row r="389">
      <c r="A389" s="32" t="str">
        <f>IFERROR(__xludf.DUMMYFUNCTION("""COMPUTED_VALUE"""),"WyvernTail Chestplate")</f>
        <v>WyvernTail Chestplate</v>
      </c>
      <c r="B389" s="32"/>
      <c r="C389" s="32"/>
      <c r="D389" s="32" t="str">
        <f>IFERROR(__xludf.DUMMYFUNCTION("""COMPUTED_VALUE"""),"Torso")</f>
        <v>Torso</v>
      </c>
      <c r="E389" s="32">
        <f>IFERROR(__xludf.DUMMYFUNCTION("""COMPUTED_VALUE"""),200.0)</f>
        <v>200</v>
      </c>
      <c r="F389" s="32" t="str">
        <f>IFERROR(__xludf.DUMMYFUNCTION("""COMPUTED_VALUE"""),"DEF: +10000 (Wyverntail Set) ++Freeze Immunity")</f>
        <v>DEF: +10000 (Wyverntail Set) ++Freeze Immunity</v>
      </c>
      <c r="G389" s="32">
        <f>IFERROR(__xludf.DUMMYFUNCTION("""COMPUTED_VALUE"""),1900000.0)</f>
        <v>1900000</v>
      </c>
      <c r="H389" s="32"/>
      <c r="I389" s="32"/>
      <c r="J389" s="32"/>
      <c r="K389" s="32"/>
      <c r="L389" s="32"/>
      <c r="M389" s="32"/>
      <c r="N389" s="32"/>
      <c r="O389" s="32"/>
      <c r="P389" s="32"/>
      <c r="Q389" s="32"/>
      <c r="R389" s="32"/>
      <c r="S389" s="32"/>
      <c r="T389" s="32"/>
      <c r="U389" s="32"/>
      <c r="V389" s="32"/>
      <c r="W389" s="32"/>
      <c r="X389" s="32"/>
      <c r="Y389" s="32"/>
      <c r="Z389" s="32"/>
    </row>
    <row r="390">
      <c r="A390" s="32" t="str">
        <f>IFERROR(__xludf.DUMMYFUNCTION("""COMPUTED_VALUE"""),"WyvernTail Vambraces")</f>
        <v>WyvernTail Vambraces</v>
      </c>
      <c r="B390" s="32"/>
      <c r="C390" s="32"/>
      <c r="D390" s="32" t="str">
        <f>IFERROR(__xludf.DUMMYFUNCTION("""COMPUTED_VALUE"""),"Arms")</f>
        <v>Arms</v>
      </c>
      <c r="E390" s="32">
        <f>IFERROR(__xludf.DUMMYFUNCTION("""COMPUTED_VALUE"""),200.0)</f>
        <v>200</v>
      </c>
      <c r="F390" s="32" t="str">
        <f>IFERROR(__xludf.DUMMYFUNCTION("""COMPUTED_VALUE"""),"DEF: +10000 (Wyverntail Set) ++Freeze Immunity")</f>
        <v>DEF: +10000 (Wyverntail Set) ++Freeze Immunity</v>
      </c>
      <c r="G390" s="32">
        <f>IFERROR(__xludf.DUMMYFUNCTION("""COMPUTED_VALUE"""),1900000.0)</f>
        <v>1900000</v>
      </c>
      <c r="H390" s="32"/>
      <c r="I390" s="32"/>
      <c r="J390" s="32"/>
      <c r="K390" s="32"/>
      <c r="L390" s="32"/>
      <c r="M390" s="32"/>
      <c r="N390" s="32"/>
      <c r="O390" s="32"/>
      <c r="P390" s="32"/>
      <c r="Q390" s="32"/>
      <c r="R390" s="32"/>
      <c r="S390" s="32"/>
      <c r="T390" s="32"/>
      <c r="U390" s="32"/>
      <c r="V390" s="32"/>
      <c r="W390" s="32"/>
      <c r="X390" s="32"/>
      <c r="Y390" s="32"/>
      <c r="Z390" s="32"/>
    </row>
    <row r="391">
      <c r="A391" s="32" t="str">
        <f>IFERROR(__xludf.DUMMYFUNCTION("""COMPUTED_VALUE"""),"WyvernTail Greaves")</f>
        <v>WyvernTail Greaves</v>
      </c>
      <c r="B391" s="32"/>
      <c r="C391" s="32"/>
      <c r="D391" s="32" t="str">
        <f>IFERROR(__xludf.DUMMYFUNCTION("""COMPUTED_VALUE"""),"Legs")</f>
        <v>Legs</v>
      </c>
      <c r="E391" s="32">
        <f>IFERROR(__xludf.DUMMYFUNCTION("""COMPUTED_VALUE"""),200.0)</f>
        <v>200</v>
      </c>
      <c r="F391" s="32" t="str">
        <f>IFERROR(__xludf.DUMMYFUNCTION("""COMPUTED_VALUE"""),"DEF: +10000 (Wyverntail Set) ++Freeze Immunity")</f>
        <v>DEF: +10000 (Wyverntail Set) ++Freeze Immunity</v>
      </c>
      <c r="G391" s="32">
        <f>IFERROR(__xludf.DUMMYFUNCTION("""COMPUTED_VALUE"""),1900000.0)</f>
        <v>1900000</v>
      </c>
      <c r="H391" s="32"/>
      <c r="I391" s="32"/>
      <c r="J391" s="32"/>
      <c r="K391" s="32"/>
      <c r="L391" s="32"/>
      <c r="M391" s="32"/>
      <c r="N391" s="32"/>
      <c r="O391" s="32"/>
      <c r="P391" s="32"/>
      <c r="Q391" s="32"/>
      <c r="R391" s="32"/>
      <c r="S391" s="32"/>
      <c r="T391" s="32"/>
      <c r="U391" s="32"/>
      <c r="V391" s="32"/>
      <c r="W391" s="32"/>
      <c r="X391" s="32"/>
      <c r="Y391" s="32"/>
      <c r="Z391" s="32"/>
    </row>
    <row r="392">
      <c r="A392" s="32" t="str">
        <f>IFERROR(__xludf.DUMMYFUNCTION("""COMPUTED_VALUE"""),"WyvernTail Boots")</f>
        <v>WyvernTail Boots</v>
      </c>
      <c r="B392" s="32"/>
      <c r="C392" s="32"/>
      <c r="D392" s="32" t="str">
        <f>IFERROR(__xludf.DUMMYFUNCTION("""COMPUTED_VALUE"""),"Feet")</f>
        <v>Feet</v>
      </c>
      <c r="E392" s="32">
        <f>IFERROR(__xludf.DUMMYFUNCTION("""COMPUTED_VALUE"""),200.0)</f>
        <v>200</v>
      </c>
      <c r="F392" s="32" t="str">
        <f>IFERROR(__xludf.DUMMYFUNCTION("""COMPUTED_VALUE"""),"DEF: +10000 (Wyverntail Set) ++Freeze Immunity")</f>
        <v>DEF: +10000 (Wyverntail Set) ++Freeze Immunity</v>
      </c>
      <c r="G392" s="32">
        <f>IFERROR(__xludf.DUMMYFUNCTION("""COMPUTED_VALUE"""),1900000.0)</f>
        <v>1900000</v>
      </c>
      <c r="H392" s="32"/>
      <c r="I392" s="32"/>
      <c r="J392" s="32"/>
      <c r="K392" s="32"/>
      <c r="L392" s="32"/>
      <c r="M392" s="32"/>
      <c r="N392" s="32"/>
      <c r="O392" s="32"/>
      <c r="P392" s="32"/>
      <c r="Q392" s="32"/>
      <c r="R392" s="32"/>
      <c r="S392" s="32"/>
      <c r="T392" s="32"/>
      <c r="U392" s="32"/>
      <c r="V392" s="32"/>
      <c r="W392" s="32"/>
      <c r="X392" s="32"/>
      <c r="Y392" s="32"/>
      <c r="Z392" s="32"/>
    </row>
    <row r="393">
      <c r="A393" s="32" t="str">
        <f>IFERROR(__xludf.DUMMYFUNCTION("""COMPUTED_VALUE"""),"WyvernTail Pendent")</f>
        <v>WyvernTail Pendent</v>
      </c>
      <c r="B393" s="32"/>
      <c r="C393" s="32"/>
      <c r="D393" s="32" t="str">
        <f>IFERROR(__xludf.DUMMYFUNCTION("""COMPUTED_VALUE"""),"Neck")</f>
        <v>Neck</v>
      </c>
      <c r="E393" s="32">
        <f>IFERROR(__xludf.DUMMYFUNCTION("""COMPUTED_VALUE"""),1.0)</f>
        <v>1</v>
      </c>
      <c r="F393" s="32" t="str">
        <f>IFERROR(__xludf.DUMMYFUNCTION("""COMPUTED_VALUE""")," (Wyverntail Set) ++When you are attacked, the enemy that attacked you has a 25% Chance to Freeze.")</f>
        <v> (Wyverntail Set) ++When you are attacked, the enemy that attacked you has a 25% Chance to Freeze.</v>
      </c>
      <c r="G393" s="32">
        <f>IFERROR(__xludf.DUMMYFUNCTION("""COMPUTED_VALUE"""),0.0)</f>
        <v>0</v>
      </c>
      <c r="H393" s="32"/>
      <c r="I393" s="32"/>
      <c r="J393" s="32"/>
      <c r="K393" s="32"/>
      <c r="L393" s="32"/>
      <c r="M393" s="32"/>
      <c r="N393" s="32"/>
      <c r="O393" s="32"/>
      <c r="P393" s="32"/>
      <c r="Q393" s="32"/>
      <c r="R393" s="32"/>
      <c r="S393" s="32"/>
      <c r="T393" s="32"/>
      <c r="U393" s="32"/>
      <c r="V393" s="32"/>
      <c r="W393" s="32"/>
      <c r="X393" s="32"/>
      <c r="Y393" s="32"/>
      <c r="Z393" s="32"/>
    </row>
    <row r="394">
      <c r="A394" s="32" t="str">
        <f>IFERROR(__xludf.DUMMYFUNCTION("""COMPUTED_VALUE"""),"WyvernTail Ring")</f>
        <v>WyvernTail Ring</v>
      </c>
      <c r="B394" s="32"/>
      <c r="C394" s="32"/>
      <c r="D394" s="32" t="str">
        <f>IFERROR(__xludf.DUMMYFUNCTION("""COMPUTED_VALUE"""),"Ring")</f>
        <v>Ring</v>
      </c>
      <c r="E394" s="32">
        <f>IFERROR(__xludf.DUMMYFUNCTION("""COMPUTED_VALUE"""),1.0)</f>
        <v>1</v>
      </c>
      <c r="F394" s="32" t="str">
        <f>IFERROR(__xludf.DUMMYFUNCTION("""COMPUTED_VALUE""")," (Wyverntail Set) ++When you are attacked, the enemy that attacked you has a 25% Chance to Freeze. ")</f>
        <v> (Wyverntail Set) ++When you are attacked, the enemy that attacked you has a 25% Chance to Freeze. </v>
      </c>
      <c r="G394" s="32">
        <f>IFERROR(__xludf.DUMMYFUNCTION("""COMPUTED_VALUE"""),0.0)</f>
        <v>0</v>
      </c>
      <c r="H394" s="32"/>
      <c r="I394" s="32"/>
      <c r="J394" s="32"/>
      <c r="K394" s="32"/>
      <c r="L394" s="32"/>
      <c r="M394" s="32"/>
      <c r="N394" s="32"/>
      <c r="O394" s="32"/>
      <c r="P394" s="32"/>
      <c r="Q394" s="32"/>
      <c r="R394" s="32"/>
      <c r="S394" s="32"/>
      <c r="T394" s="32"/>
      <c r="U394" s="32"/>
      <c r="V394" s="32"/>
      <c r="W394" s="32"/>
      <c r="X394" s="32"/>
      <c r="Y394" s="32"/>
      <c r="Z394" s="32"/>
    </row>
    <row r="395">
      <c r="A395" s="32" t="str">
        <f>IFERROR(__xludf.DUMMYFUNCTION("""COMPUTED_VALUE"""),"Sweltering Blade")</f>
        <v>Sweltering Blade</v>
      </c>
      <c r="B395" s="32"/>
      <c r="C395" s="32" t="str">
        <f>IFERROR(__xludf.DUMMYFUNCTION("""COMPUTED_VALUE"""),"Sword")</f>
        <v>Sword</v>
      </c>
      <c r="D395" s="32" t="str">
        <f>IFERROR(__xludf.DUMMYFUNCTION("""COMPUTED_VALUE"""),"Hand")</f>
        <v>Hand</v>
      </c>
      <c r="E395" s="32">
        <f>IFERROR(__xludf.DUMMYFUNCTION("""COMPUTED_VALUE"""),400.0)</f>
        <v>400</v>
      </c>
      <c r="F395" s="32" t="str">
        <f>IFERROR(__xludf.DUMMYFUNCTION("""COMPUTED_VALUE"""),"DMG: +5000, Fire DMG: +5000, Water DMG: +5000, Nature DMG: +5000 (Sweltering Set) ++X2 Nature, Water, and Fire Damage.")</f>
        <v>DMG: +5000, Fire DMG: +5000, Water DMG: +5000, Nature DMG: +5000 (Sweltering Set) ++X2 Nature, Water, and Fire Damage.</v>
      </c>
      <c r="G395" s="32">
        <f>IFERROR(__xludf.DUMMYFUNCTION("""COMPUTED_VALUE"""),7800000.0)</f>
        <v>7800000</v>
      </c>
      <c r="H395" s="32"/>
      <c r="I395" s="32"/>
      <c r="J395" s="32"/>
      <c r="K395" s="32"/>
      <c r="L395" s="32"/>
      <c r="M395" s="32"/>
      <c r="N395" s="32"/>
      <c r="O395" s="32"/>
      <c r="P395" s="32"/>
      <c r="Q395" s="32"/>
      <c r="R395" s="32"/>
      <c r="S395" s="32"/>
      <c r="T395" s="32"/>
      <c r="U395" s="32"/>
      <c r="V395" s="32"/>
      <c r="W395" s="32"/>
      <c r="X395" s="32"/>
      <c r="Y395" s="32"/>
      <c r="Z395" s="32"/>
    </row>
    <row r="396">
      <c r="A396" s="32" t="str">
        <f>IFERROR(__xludf.DUMMYFUNCTION("""COMPUTED_VALUE"""),"Sweltering Helm")</f>
        <v>Sweltering Helm</v>
      </c>
      <c r="B396" s="32"/>
      <c r="C396" s="32"/>
      <c r="D396" s="32" t="str">
        <f>IFERROR(__xludf.DUMMYFUNCTION("""COMPUTED_VALUE"""),"Head")</f>
        <v>Head</v>
      </c>
      <c r="E396" s="32">
        <f>IFERROR(__xludf.DUMMYFUNCTION("""COMPUTED_VALUE"""),400.0)</f>
        <v>400</v>
      </c>
      <c r="F396" s="32" t="str">
        <f>IFERROR(__xludf.DUMMYFUNCTION("""COMPUTED_VALUE"""),"DEF: +5000, Fire DEF: +5000, Water DEF: +5000, Nature DEF: +5000 (Sweltering Set) ++X2 Nature, Water, and Fire Damage.")</f>
        <v>DEF: +5000, Fire DEF: +5000, Water DEF: +5000, Nature DEF: +5000 (Sweltering Set) ++X2 Nature, Water, and Fire Damage.</v>
      </c>
      <c r="G396" s="32">
        <f>IFERROR(__xludf.DUMMYFUNCTION("""COMPUTED_VALUE"""),7800000.0)</f>
        <v>7800000</v>
      </c>
      <c r="H396" s="32"/>
      <c r="I396" s="32"/>
      <c r="J396" s="32"/>
      <c r="K396" s="32"/>
      <c r="L396" s="32"/>
      <c r="M396" s="32"/>
      <c r="N396" s="32"/>
      <c r="O396" s="32"/>
      <c r="P396" s="32"/>
      <c r="Q396" s="32"/>
      <c r="R396" s="32"/>
      <c r="S396" s="32"/>
      <c r="T396" s="32"/>
      <c r="U396" s="32"/>
      <c r="V396" s="32"/>
      <c r="W396" s="32"/>
      <c r="X396" s="32"/>
      <c r="Y396" s="32"/>
      <c r="Z396" s="32"/>
    </row>
    <row r="397">
      <c r="A397" s="32" t="str">
        <f>IFERROR(__xludf.DUMMYFUNCTION("""COMPUTED_VALUE"""),"Sweltering Pauldrons")</f>
        <v>Sweltering Pauldrons</v>
      </c>
      <c r="B397" s="32"/>
      <c r="C397" s="32"/>
      <c r="D397" s="32" t="str">
        <f>IFERROR(__xludf.DUMMYFUNCTION("""COMPUTED_VALUE"""),"Shoulders")</f>
        <v>Shoulders</v>
      </c>
      <c r="E397" s="32">
        <f>IFERROR(__xludf.DUMMYFUNCTION("""COMPUTED_VALUE"""),400.0)</f>
        <v>400</v>
      </c>
      <c r="F397" s="32" t="str">
        <f>IFERROR(__xludf.DUMMYFUNCTION("""COMPUTED_VALUE"""),"DEF: +5000, Fire DEF: +5000, Water DEF: +5000, Nature DEF: +5000 (Sweltering Set) ++X2 Nature, Water, and Fire Damage.")</f>
        <v>DEF: +5000, Fire DEF: +5000, Water DEF: +5000, Nature DEF: +5000 (Sweltering Set) ++X2 Nature, Water, and Fire Damage.</v>
      </c>
      <c r="G397" s="32">
        <f>IFERROR(__xludf.DUMMYFUNCTION("""COMPUTED_VALUE"""),7800000.0)</f>
        <v>7800000</v>
      </c>
      <c r="H397" s="32"/>
      <c r="I397" s="32"/>
      <c r="J397" s="32"/>
      <c r="K397" s="32"/>
      <c r="L397" s="32"/>
      <c r="M397" s="32"/>
      <c r="N397" s="32"/>
      <c r="O397" s="32"/>
      <c r="P397" s="32"/>
      <c r="Q397" s="32"/>
      <c r="R397" s="32"/>
      <c r="S397" s="32"/>
      <c r="T397" s="32"/>
      <c r="U397" s="32"/>
      <c r="V397" s="32"/>
      <c r="W397" s="32"/>
      <c r="X397" s="32"/>
      <c r="Y397" s="32"/>
      <c r="Z397" s="32"/>
    </row>
    <row r="398">
      <c r="A398" s="32" t="str">
        <f>IFERROR(__xludf.DUMMYFUNCTION("""COMPUTED_VALUE"""),"Sweltering Chestplate")</f>
        <v>Sweltering Chestplate</v>
      </c>
      <c r="B398" s="32"/>
      <c r="C398" s="32"/>
      <c r="D398" s="32" t="str">
        <f>IFERROR(__xludf.DUMMYFUNCTION("""COMPUTED_VALUE"""),"Torso")</f>
        <v>Torso</v>
      </c>
      <c r="E398" s="32">
        <f>IFERROR(__xludf.DUMMYFUNCTION("""COMPUTED_VALUE"""),400.0)</f>
        <v>400</v>
      </c>
      <c r="F398" s="32" t="str">
        <f>IFERROR(__xludf.DUMMYFUNCTION("""COMPUTED_VALUE"""),"DEF: +5000, Fire DEF: +5000, Water DEF: +5000, Nature DEF: +5000 (Sweltering Set) ++X2 Nature, Water, and Fire Damage.")</f>
        <v>DEF: +5000, Fire DEF: +5000, Water DEF: +5000, Nature DEF: +5000 (Sweltering Set) ++X2 Nature, Water, and Fire Damage.</v>
      </c>
      <c r="G398" s="32">
        <f>IFERROR(__xludf.DUMMYFUNCTION("""COMPUTED_VALUE"""),7800000.0)</f>
        <v>7800000</v>
      </c>
      <c r="H398" s="32"/>
      <c r="I398" s="32"/>
      <c r="J398" s="32"/>
      <c r="K398" s="32"/>
      <c r="L398" s="32"/>
      <c r="M398" s="32"/>
      <c r="N398" s="32"/>
      <c r="O398" s="32"/>
      <c r="P398" s="32"/>
      <c r="Q398" s="32"/>
      <c r="R398" s="32"/>
      <c r="S398" s="32"/>
      <c r="T398" s="32"/>
      <c r="U398" s="32"/>
      <c r="V398" s="32"/>
      <c r="W398" s="32"/>
      <c r="X398" s="32"/>
      <c r="Y398" s="32"/>
      <c r="Z398" s="32"/>
    </row>
    <row r="399">
      <c r="A399" s="32" t="str">
        <f>IFERROR(__xludf.DUMMYFUNCTION("""COMPUTED_VALUE"""),"Sweltering Vambraces")</f>
        <v>Sweltering Vambraces</v>
      </c>
      <c r="B399" s="32"/>
      <c r="C399" s="32"/>
      <c r="D399" s="32" t="str">
        <f>IFERROR(__xludf.DUMMYFUNCTION("""COMPUTED_VALUE"""),"Arms")</f>
        <v>Arms</v>
      </c>
      <c r="E399" s="32">
        <f>IFERROR(__xludf.DUMMYFUNCTION("""COMPUTED_VALUE"""),400.0)</f>
        <v>400</v>
      </c>
      <c r="F399" s="32" t="str">
        <f>IFERROR(__xludf.DUMMYFUNCTION("""COMPUTED_VALUE"""),"DEF: +5000, Fire DEF: +5000, Water DEF: +5000, Nature DEF: +5000 (Sweltering Set) ++X2 Nature, Water, and Fire Damage.")</f>
        <v>DEF: +5000, Fire DEF: +5000, Water DEF: +5000, Nature DEF: +5000 (Sweltering Set) ++X2 Nature, Water, and Fire Damage.</v>
      </c>
      <c r="G399" s="32">
        <f>IFERROR(__xludf.DUMMYFUNCTION("""COMPUTED_VALUE"""),7800000.0)</f>
        <v>7800000</v>
      </c>
      <c r="H399" s="32"/>
      <c r="I399" s="32"/>
      <c r="J399" s="32"/>
      <c r="K399" s="32"/>
      <c r="L399" s="32"/>
      <c r="M399" s="32"/>
      <c r="N399" s="32"/>
      <c r="O399" s="32"/>
      <c r="P399" s="32"/>
      <c r="Q399" s="32"/>
      <c r="R399" s="32"/>
      <c r="S399" s="32"/>
      <c r="T399" s="32"/>
      <c r="U399" s="32"/>
      <c r="V399" s="32"/>
      <c r="W399" s="32"/>
      <c r="X399" s="32"/>
      <c r="Y399" s="32"/>
      <c r="Z399" s="32"/>
    </row>
    <row r="400">
      <c r="A400" s="32" t="str">
        <f>IFERROR(__xludf.DUMMYFUNCTION("""COMPUTED_VALUE"""),"Sweltering Greaves")</f>
        <v>Sweltering Greaves</v>
      </c>
      <c r="B400" s="32"/>
      <c r="C400" s="32"/>
      <c r="D400" s="32" t="str">
        <f>IFERROR(__xludf.DUMMYFUNCTION("""COMPUTED_VALUE"""),"Legs")</f>
        <v>Legs</v>
      </c>
      <c r="E400" s="32">
        <f>IFERROR(__xludf.DUMMYFUNCTION("""COMPUTED_VALUE"""),400.0)</f>
        <v>400</v>
      </c>
      <c r="F400" s="32" t="str">
        <f>IFERROR(__xludf.DUMMYFUNCTION("""COMPUTED_VALUE"""),"DEF: +5000, Fire DEF: +5000, Water DEF: +5000, Nature DEF: +5000 (Sweltering Set) ++X2 Nature, Water, and Fire Damage.")</f>
        <v>DEF: +5000, Fire DEF: +5000, Water DEF: +5000, Nature DEF: +5000 (Sweltering Set) ++X2 Nature, Water, and Fire Damage.</v>
      </c>
      <c r="G400" s="32">
        <f>IFERROR(__xludf.DUMMYFUNCTION("""COMPUTED_VALUE"""),7800000.0)</f>
        <v>7800000</v>
      </c>
      <c r="H400" s="32"/>
      <c r="I400" s="32"/>
      <c r="J400" s="32"/>
      <c r="K400" s="32"/>
      <c r="L400" s="32"/>
      <c r="M400" s="32"/>
      <c r="N400" s="32"/>
      <c r="O400" s="32"/>
      <c r="P400" s="32"/>
      <c r="Q400" s="32"/>
      <c r="R400" s="32"/>
      <c r="S400" s="32"/>
      <c r="T400" s="32"/>
      <c r="U400" s="32"/>
      <c r="V400" s="32"/>
      <c r="W400" s="32"/>
      <c r="X400" s="32"/>
      <c r="Y400" s="32"/>
      <c r="Z400" s="32"/>
    </row>
    <row r="401">
      <c r="A401" s="32" t="str">
        <f>IFERROR(__xludf.DUMMYFUNCTION("""COMPUTED_VALUE"""),"Sweltering Boots")</f>
        <v>Sweltering Boots</v>
      </c>
      <c r="B401" s="32"/>
      <c r="C401" s="32"/>
      <c r="D401" s="32" t="str">
        <f>IFERROR(__xludf.DUMMYFUNCTION("""COMPUTED_VALUE"""),"Feet")</f>
        <v>Feet</v>
      </c>
      <c r="E401" s="32">
        <f>IFERROR(__xludf.DUMMYFUNCTION("""COMPUTED_VALUE"""),400.0)</f>
        <v>400</v>
      </c>
      <c r="F401" s="32" t="str">
        <f>IFERROR(__xludf.DUMMYFUNCTION("""COMPUTED_VALUE"""),"DEF: +5000, Fire DEF: +5000, Water DEF: +5000, Nature DEF: +5000 (Sweltering Set) ++X2 Nature, Water, and Fire Damage.")</f>
        <v>DEF: +5000, Fire DEF: +5000, Water DEF: +5000, Nature DEF: +5000 (Sweltering Set) ++X2 Nature, Water, and Fire Damage.</v>
      </c>
      <c r="G401" s="32">
        <f>IFERROR(__xludf.DUMMYFUNCTION("""COMPUTED_VALUE"""),7800000.0)</f>
        <v>7800000</v>
      </c>
      <c r="H401" s="32"/>
      <c r="I401" s="32"/>
      <c r="J401" s="32"/>
      <c r="K401" s="32"/>
      <c r="L401" s="32"/>
      <c r="M401" s="32"/>
      <c r="N401" s="32"/>
      <c r="O401" s="32"/>
      <c r="P401" s="32"/>
      <c r="Q401" s="32"/>
      <c r="R401" s="32"/>
      <c r="S401" s="32"/>
      <c r="T401" s="32"/>
      <c r="U401" s="32"/>
      <c r="V401" s="32"/>
      <c r="W401" s="32"/>
      <c r="X401" s="32"/>
      <c r="Y401" s="32"/>
      <c r="Z401" s="32"/>
    </row>
    <row r="402">
      <c r="A402" s="32" t="str">
        <f>IFERROR(__xludf.DUMMYFUNCTION("""COMPUTED_VALUE"""),"Sweltering Pendent")</f>
        <v>Sweltering Pendent</v>
      </c>
      <c r="B402" s="32"/>
      <c r="C402" s="32"/>
      <c r="D402" s="32" t="str">
        <f>IFERROR(__xludf.DUMMYFUNCTION("""COMPUTED_VALUE"""),"Neck")</f>
        <v>Neck</v>
      </c>
      <c r="E402" s="32">
        <f>IFERROR(__xludf.DUMMYFUNCTION("""COMPUTED_VALUE"""),1.0)</f>
        <v>1</v>
      </c>
      <c r="F402" s="32" t="str">
        <f>IFERROR(__xludf.DUMMYFUNCTION("""COMPUTED_VALUE""")," (Sweltering Set) ++Fire, Nature, and Water immunity.")</f>
        <v> (Sweltering Set) ++Fire, Nature, and Water immunity.</v>
      </c>
      <c r="G402" s="32">
        <f>IFERROR(__xludf.DUMMYFUNCTION("""COMPUTED_VALUE"""),0.0)</f>
        <v>0</v>
      </c>
      <c r="H402" s="32"/>
      <c r="I402" s="32"/>
      <c r="J402" s="32"/>
      <c r="K402" s="32"/>
      <c r="L402" s="32"/>
      <c r="M402" s="32"/>
      <c r="N402" s="32"/>
      <c r="O402" s="32"/>
      <c r="P402" s="32"/>
      <c r="Q402" s="32"/>
      <c r="R402" s="32"/>
      <c r="S402" s="32"/>
      <c r="T402" s="32"/>
      <c r="U402" s="32"/>
      <c r="V402" s="32"/>
      <c r="W402" s="32"/>
      <c r="X402" s="32"/>
      <c r="Y402" s="32"/>
      <c r="Z402" s="32"/>
    </row>
    <row r="403">
      <c r="A403" s="32" t="str">
        <f>IFERROR(__xludf.DUMMYFUNCTION("""COMPUTED_VALUE"""),"Sweltering Ring")</f>
        <v>Sweltering Ring</v>
      </c>
      <c r="B403" s="32"/>
      <c r="C403" s="32"/>
      <c r="D403" s="32" t="str">
        <f>IFERROR(__xludf.DUMMYFUNCTION("""COMPUTED_VALUE"""),"Ring")</f>
        <v>Ring</v>
      </c>
      <c r="E403" s="32">
        <f>IFERROR(__xludf.DUMMYFUNCTION("""COMPUTED_VALUE"""),1.0)</f>
        <v>1</v>
      </c>
      <c r="F403" s="32" t="str">
        <f>IFERROR(__xludf.DUMMYFUNCTION("""COMPUTED_VALUE""")," (Sweltering Set) ++Fire, Nature, and Water immunity.")</f>
        <v> (Sweltering Set) ++Fire, Nature, and Water immunity.</v>
      </c>
      <c r="G403" s="32">
        <f>IFERROR(__xludf.DUMMYFUNCTION("""COMPUTED_VALUE"""),0.0)</f>
        <v>0</v>
      </c>
      <c r="H403" s="32"/>
      <c r="I403" s="32"/>
      <c r="J403" s="32"/>
      <c r="K403" s="32"/>
      <c r="L403" s="32"/>
      <c r="M403" s="32"/>
      <c r="N403" s="32"/>
      <c r="O403" s="32"/>
      <c r="P403" s="32"/>
      <c r="Q403" s="32"/>
      <c r="R403" s="32"/>
      <c r="S403" s="32"/>
      <c r="T403" s="32"/>
      <c r="U403" s="32"/>
      <c r="V403" s="32"/>
      <c r="W403" s="32"/>
      <c r="X403" s="32"/>
      <c r="Y403" s="32"/>
      <c r="Z403" s="32"/>
    </row>
    <row r="404">
      <c r="A404" s="32" t="str">
        <f>IFERROR(__xludf.DUMMYFUNCTION("""COMPUTED_VALUE"""),"Reinforced Tortoise Shell")</f>
        <v>Reinforced Tortoise Shell</v>
      </c>
      <c r="B404" s="32"/>
      <c r="C404" s="32"/>
      <c r="D404" s="32" t="str">
        <f>IFERROR(__xludf.DUMMYFUNCTION("""COMPUTED_VALUE"""),"Torso")</f>
        <v>Torso</v>
      </c>
      <c r="E404" s="32">
        <f>IFERROR(__xludf.DUMMYFUNCTION("""COMPUTED_VALUE"""),400.0)</f>
        <v>400</v>
      </c>
      <c r="F404" s="32" t="str">
        <f>IFERROR(__xludf.DUMMYFUNCTION("""COMPUTED_VALUE"""),"DEF: +10000, Water DEF: +5000, Light DEF: +5000 ++X2 Defense for the wearer. +-Cannot be Duplicated.")</f>
        <v>DEF: +10000, Water DEF: +5000, Light DEF: +5000 ++X2 Defense for the wearer. +-Cannot be Duplicated.</v>
      </c>
      <c r="G404" s="32">
        <f>IFERROR(__xludf.DUMMYFUNCTION("""COMPUTED_VALUE"""),7800000.0)</f>
        <v>7800000</v>
      </c>
      <c r="H404" s="32"/>
      <c r="I404" s="32"/>
      <c r="J404" s="32"/>
      <c r="K404" s="32"/>
      <c r="L404" s="32"/>
      <c r="M404" s="32"/>
      <c r="N404" s="32"/>
      <c r="O404" s="32"/>
      <c r="P404" s="32"/>
      <c r="Q404" s="32"/>
      <c r="R404" s="32"/>
      <c r="S404" s="32"/>
      <c r="T404" s="32"/>
      <c r="U404" s="32"/>
      <c r="V404" s="32"/>
      <c r="W404" s="32"/>
      <c r="X404" s="32"/>
      <c r="Y404" s="32"/>
      <c r="Z404" s="32"/>
    </row>
    <row r="405">
      <c r="A405" s="32" t="str">
        <f>IFERROR(__xludf.DUMMYFUNCTION("""COMPUTED_VALUE"""),"Tortoise Shell Shield")</f>
        <v>Tortoise Shell Shield</v>
      </c>
      <c r="B405" s="32"/>
      <c r="C405" s="32" t="str">
        <f>IFERROR(__xludf.DUMMYFUNCTION("""COMPUTED_VALUE"""),"Towershield")</f>
        <v>Towershield</v>
      </c>
      <c r="D405" s="32" t="str">
        <f>IFERROR(__xludf.DUMMYFUNCTION("""COMPUTED_VALUE"""),"Hand")</f>
        <v>Hand</v>
      </c>
      <c r="E405" s="32">
        <f>IFERROR(__xludf.DUMMYFUNCTION("""COMPUTED_VALUE"""),400.0)</f>
        <v>400</v>
      </c>
      <c r="F405" s="32" t="str">
        <f>IFERROR(__xludf.DUMMYFUNCTION("""COMPUTED_VALUE"""),"DEF: +20000 ++X2 Defense for the wearer. +-Cannot be Duplicated.")</f>
        <v>DEF: +20000 ++X2 Defense for the wearer. +-Cannot be Duplicated.</v>
      </c>
      <c r="G405" s="32">
        <f>IFERROR(__xludf.DUMMYFUNCTION("""COMPUTED_VALUE"""),7800000.0)</f>
        <v>7800000</v>
      </c>
      <c r="H405" s="32"/>
      <c r="I405" s="32"/>
      <c r="J405" s="32"/>
      <c r="K405" s="32"/>
      <c r="L405" s="32"/>
      <c r="M405" s="32"/>
      <c r="N405" s="32"/>
      <c r="O405" s="32"/>
      <c r="P405" s="32"/>
      <c r="Q405" s="32"/>
      <c r="R405" s="32"/>
      <c r="S405" s="32"/>
      <c r="T405" s="32"/>
      <c r="U405" s="32"/>
      <c r="V405" s="32"/>
      <c r="W405" s="32"/>
      <c r="X405" s="32"/>
      <c r="Y405" s="32"/>
      <c r="Z405" s="32"/>
    </row>
    <row r="406">
      <c r="A406" s="32" t="str">
        <f>IFERROR(__xludf.DUMMYFUNCTION("""COMPUTED_VALUE"""),"Stone of the Summit")</f>
        <v>Stone of the Summit</v>
      </c>
      <c r="B406" s="32"/>
      <c r="C406" s="32"/>
      <c r="D406" s="32" t="str">
        <f>IFERROR(__xludf.DUMMYFUNCTION("""COMPUTED_VALUE"""),"Hand")</f>
        <v>Hand</v>
      </c>
      <c r="E406" s="32">
        <f>IFERROR(__xludf.DUMMYFUNCTION("""COMPUTED_VALUE"""),1.0)</f>
        <v>1</v>
      </c>
      <c r="F406" s="32" t="str">
        <f>IFERROR(__xludf.DUMMYFUNCTION("""COMPUTED_VALUE""")," ++X2 additional damage towards weapons for the user.")</f>
        <v> ++X2 additional damage towards weapons for the user.</v>
      </c>
      <c r="G406" s="32">
        <f>IFERROR(__xludf.DUMMYFUNCTION("""COMPUTED_VALUE"""),0.0)</f>
        <v>0</v>
      </c>
      <c r="H406" s="32"/>
      <c r="I406" s="32"/>
      <c r="J406" s="32"/>
      <c r="K406" s="32"/>
      <c r="L406" s="32"/>
      <c r="M406" s="32"/>
      <c r="N406" s="32"/>
      <c r="O406" s="32"/>
      <c r="P406" s="32"/>
      <c r="Q406" s="32"/>
      <c r="R406" s="32"/>
      <c r="S406" s="32"/>
      <c r="T406" s="32"/>
      <c r="U406" s="32"/>
      <c r="V406" s="32"/>
      <c r="W406" s="32"/>
      <c r="X406" s="32"/>
      <c r="Y406" s="32"/>
      <c r="Z406" s="32"/>
    </row>
    <row r="407">
      <c r="A407" s="32" t="str">
        <f>IFERROR(__xludf.DUMMYFUNCTION("""COMPUTED_VALUE"""),"Deep Blue Pearl")</f>
        <v>Deep Blue Pearl</v>
      </c>
      <c r="B407" s="32" t="str">
        <f>IFERROR(__xludf.DUMMYFUNCTION("""COMPUTED_VALUE"""),"A rare pearl found deep within the ocean of Dragonscale Island.")</f>
        <v>A rare pearl found deep within the ocean of Dragonscale Island.</v>
      </c>
      <c r="C407" s="32"/>
      <c r="D407" s="32" t="str">
        <f>IFERROR(__xludf.DUMMYFUNCTION("""COMPUTED_VALUE"""),"Hand")</f>
        <v>Hand</v>
      </c>
      <c r="E407" s="32">
        <f>IFERROR(__xludf.DUMMYFUNCTION("""COMPUTED_VALUE"""),200.0)</f>
        <v>200</v>
      </c>
      <c r="F407" s="32" t="str">
        <f>IFERROR(__xludf.DUMMYFUNCTION("""COMPUTED_VALUE"""),"DEF: +10000 ++Water Immunity. ++Water damage dealt by you gives you sp back equal half the damage caused.")</f>
        <v>DEF: +10000 ++Water Immunity. ++Water damage dealt by you gives you sp back equal half the damage caused.</v>
      </c>
      <c r="G407" s="32">
        <f>IFERROR(__xludf.DUMMYFUNCTION("""COMPUTED_VALUE"""),1900000.0)</f>
        <v>1900000</v>
      </c>
      <c r="H407" s="32"/>
      <c r="I407" s="32"/>
      <c r="J407" s="32"/>
      <c r="K407" s="32"/>
      <c r="L407" s="32"/>
      <c r="M407" s="32"/>
      <c r="N407" s="32"/>
      <c r="O407" s="32"/>
      <c r="P407" s="32"/>
      <c r="Q407" s="32"/>
      <c r="R407" s="32"/>
      <c r="S407" s="32"/>
      <c r="T407" s="32"/>
      <c r="U407" s="32"/>
      <c r="V407" s="32"/>
      <c r="W407" s="32"/>
      <c r="X407" s="32"/>
      <c r="Y407" s="32"/>
      <c r="Z407" s="32"/>
    </row>
    <row r="408">
      <c r="A408" s="32" t="str">
        <f>IFERROR(__xludf.DUMMYFUNCTION("""COMPUTED_VALUE"""),"Tempests Lightning Rod")</f>
        <v>Tempests Lightning Rod</v>
      </c>
      <c r="B408" s="32"/>
      <c r="C408" s="32" t="str">
        <f>IFERROR(__xludf.DUMMYFUNCTION("""COMPUTED_VALUE"""),"Spear")</f>
        <v>Spear</v>
      </c>
      <c r="D408" s="32" t="str">
        <f>IFERROR(__xludf.DUMMYFUNCTION("""COMPUTED_VALUE"""),"Hand")</f>
        <v>Hand</v>
      </c>
      <c r="E408" s="32">
        <f>IFERROR(__xludf.DUMMYFUNCTION("""COMPUTED_VALUE"""),600.0)</f>
        <v>600</v>
      </c>
      <c r="F408" s="32"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32">
        <f>IFERROR(__xludf.DUMMYFUNCTION("""COMPUTED_VALUE"""),1.77E7)</f>
        <v>17700000</v>
      </c>
      <c r="H408" s="32"/>
      <c r="I408" s="32"/>
      <c r="J408" s="32"/>
      <c r="K408" s="32"/>
      <c r="L408" s="32"/>
      <c r="M408" s="32"/>
      <c r="N408" s="32"/>
      <c r="O408" s="32"/>
      <c r="P408" s="32"/>
      <c r="Q408" s="32"/>
      <c r="R408" s="32"/>
      <c r="S408" s="32"/>
      <c r="T408" s="32"/>
      <c r="U408" s="32"/>
      <c r="V408" s="32"/>
      <c r="W408" s="32"/>
      <c r="X408" s="32"/>
      <c r="Y408" s="32"/>
      <c r="Z408" s="32"/>
    </row>
    <row r="409">
      <c r="A409" s="32" t="str">
        <f>IFERROR(__xludf.DUMMYFUNCTION("""COMPUTED_VALUE"""),"Sword of Mystic Vagility")</f>
        <v>Sword of Mystic Vagility</v>
      </c>
      <c r="B409" s="32"/>
      <c r="C409" s="32" t="str">
        <f>IFERROR(__xludf.DUMMYFUNCTION("""COMPUTED_VALUE"""),"Sword")</f>
        <v>Sword</v>
      </c>
      <c r="D409" s="32" t="str">
        <f>IFERROR(__xludf.DUMMYFUNCTION("""COMPUTED_VALUE"""),"Hand")</f>
        <v>Hand</v>
      </c>
      <c r="E409" s="32">
        <f>IFERROR(__xludf.DUMMYFUNCTION("""COMPUTED_VALUE"""),200.0)</f>
        <v>200</v>
      </c>
      <c r="F409" s="32" t="str">
        <f>IFERROR(__xludf.DUMMYFUNCTION("""COMPUTED_VALUE"""),"DMG: +50000, Celestial DMG: +50000 ++5 to d20 rolls, ++2 Evasion, ++2 Mobility. +-Cannot be duplicated.")</f>
        <v>DMG: +50000, Celestial DMG: +50000 ++5 to d20 rolls, ++2 Evasion, ++2 Mobility. +-Cannot be duplicated.</v>
      </c>
      <c r="G409" s="32">
        <f>IFERROR(__xludf.DUMMYFUNCTION("""COMPUTED_VALUE"""),1.99E8)</f>
        <v>199000000</v>
      </c>
      <c r="H409" s="32"/>
      <c r="I409" s="32"/>
      <c r="J409" s="32"/>
      <c r="K409" s="32"/>
      <c r="L409" s="32"/>
      <c r="M409" s="32"/>
      <c r="N409" s="32"/>
      <c r="O409" s="32"/>
      <c r="P409" s="32"/>
      <c r="Q409" s="32"/>
      <c r="R409" s="32"/>
      <c r="S409" s="32"/>
      <c r="T409" s="32"/>
      <c r="U409" s="32"/>
      <c r="V409" s="32"/>
      <c r="W409" s="32"/>
      <c r="X409" s="32"/>
      <c r="Y409" s="32"/>
      <c r="Z409" s="32"/>
    </row>
    <row r="410">
      <c r="A410" s="32" t="str">
        <f>IFERROR(__xludf.DUMMYFUNCTION("""COMPUTED_VALUE"""),".50 Caliber Machine Gun (car)")</f>
        <v>.50 Caliber Machine Gun (car)</v>
      </c>
      <c r="B410" s="32"/>
      <c r="C410" s="32" t="str">
        <f>IFERROR(__xludf.DUMMYFUNCTION("""COMPUTED_VALUE"""),"Firearm")</f>
        <v>Firearm</v>
      </c>
      <c r="D410" s="32" t="str">
        <f>IFERROR(__xludf.DUMMYFUNCTION("""COMPUTED_VALUE"""),"CarGun")</f>
        <v>CarGun</v>
      </c>
      <c r="E410" s="32">
        <f>IFERROR(__xludf.DUMMYFUNCTION("""COMPUTED_VALUE"""),400.0)</f>
        <v>400</v>
      </c>
      <c r="F410" s="32"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32">
        <f>IFERROR(__xludf.DUMMYFUNCTION("""COMPUTED_VALUE"""),7800000.0)</f>
        <v>7800000</v>
      </c>
      <c r="H410" s="32"/>
      <c r="I410" s="32"/>
      <c r="J410" s="32"/>
      <c r="K410" s="32"/>
      <c r="L410" s="32"/>
      <c r="M410" s="32"/>
      <c r="N410" s="32"/>
      <c r="O410" s="32"/>
      <c r="P410" s="32"/>
      <c r="Q410" s="32"/>
      <c r="R410" s="32"/>
      <c r="S410" s="32"/>
      <c r="T410" s="32"/>
      <c r="U410" s="32"/>
      <c r="V410" s="32"/>
      <c r="W410" s="32"/>
      <c r="X410" s="32"/>
      <c r="Y410" s="32"/>
      <c r="Z410" s="32"/>
    </row>
    <row r="411">
      <c r="A411" s="32" t="str">
        <f>IFERROR(__xludf.DUMMYFUNCTION("""COMPUTED_VALUE"""),"Auto Turret")</f>
        <v>Auto Turret</v>
      </c>
      <c r="B411" s="32"/>
      <c r="C411" s="32" t="str">
        <f>IFERROR(__xludf.DUMMYFUNCTION("""COMPUTED_VALUE"""),"Firearm")</f>
        <v>Firearm</v>
      </c>
      <c r="D411" s="32" t="str">
        <f>IFERROR(__xludf.DUMMYFUNCTION("""COMPUTED_VALUE"""),"CarGun")</f>
        <v>CarGun</v>
      </c>
      <c r="E411" s="32">
        <f>IFERROR(__xludf.DUMMYFUNCTION("""COMPUTED_VALUE"""),800.0)</f>
        <v>800</v>
      </c>
      <c r="F411" s="32"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32">
        <f>IFERROR(__xludf.DUMMYFUNCTION("""COMPUTED_VALUE"""),3.16E7)</f>
        <v>31600000</v>
      </c>
      <c r="H411" s="32"/>
      <c r="I411" s="32"/>
      <c r="J411" s="32"/>
      <c r="K411" s="32"/>
      <c r="L411" s="32"/>
      <c r="M411" s="32"/>
      <c r="N411" s="32"/>
      <c r="O411" s="32"/>
      <c r="P411" s="32"/>
      <c r="Q411" s="32"/>
      <c r="R411" s="32"/>
      <c r="S411" s="32"/>
      <c r="T411" s="32"/>
      <c r="U411" s="32"/>
      <c r="V411" s="32"/>
      <c r="W411" s="32"/>
      <c r="X411" s="32"/>
      <c r="Y411" s="32"/>
      <c r="Z411" s="32"/>
    </row>
    <row r="412">
      <c r="A412" s="32" t="str">
        <f>IFERROR(__xludf.DUMMYFUNCTION("""COMPUTED_VALUE"""),"Lazer Infused Cannon")</f>
        <v>Lazer Infused Cannon</v>
      </c>
      <c r="B412" s="32"/>
      <c r="C412" s="32" t="str">
        <f>IFERROR(__xludf.DUMMYFUNCTION("""COMPUTED_VALUE"""),"Firearm")</f>
        <v>Firearm</v>
      </c>
      <c r="D412" s="32" t="str">
        <f>IFERROR(__xludf.DUMMYFUNCTION("""COMPUTED_VALUE"""),"BoatGun")</f>
        <v>BoatGun</v>
      </c>
      <c r="E412" s="32">
        <f>IFERROR(__xludf.DUMMYFUNCTION("""COMPUTED_VALUE"""),5000.0)</f>
        <v>5000</v>
      </c>
      <c r="F412" s="32" t="str">
        <f>IFERROR(__xludf.DUMMYFUNCTION("""COMPUTED_VALUE"""),", Fire DMG: +250000 ++Does not use Ammunition. ++Cannot avoid, ++Damages all enemies.")</f>
        <v>, Fire DMG: +250000 ++Does not use Ammunition. ++Cannot avoid, ++Damages all enemies.</v>
      </c>
      <c r="G412" s="32">
        <f>IFERROR(__xludf.DUMMYFUNCTION("""COMPUTED_VALUE"""),1.2475E9)</f>
        <v>1247500000</v>
      </c>
      <c r="H412" s="32"/>
      <c r="I412" s="32"/>
      <c r="J412" s="32"/>
      <c r="K412" s="32"/>
      <c r="L412" s="32"/>
      <c r="M412" s="32"/>
      <c r="N412" s="32"/>
      <c r="O412" s="32"/>
      <c r="P412" s="32"/>
      <c r="Q412" s="32"/>
      <c r="R412" s="32"/>
      <c r="S412" s="32"/>
      <c r="T412" s="32"/>
      <c r="U412" s="32"/>
      <c r="V412" s="32"/>
      <c r="W412" s="32"/>
      <c r="X412" s="32"/>
      <c r="Y412" s="32"/>
      <c r="Z412" s="32"/>
    </row>
    <row r="413">
      <c r="A413" s="32" t="str">
        <f>IFERROR(__xludf.DUMMYFUNCTION("""COMPUTED_VALUE"""),"Roof Mounted Turret")</f>
        <v>Roof Mounted Turret</v>
      </c>
      <c r="B413" s="32"/>
      <c r="C413" s="32" t="str">
        <f>IFERROR(__xludf.DUMMYFUNCTION("""COMPUTED_VALUE"""),"Firearm")</f>
        <v>Firearm</v>
      </c>
      <c r="D413" s="32" t="str">
        <f>IFERROR(__xludf.DUMMYFUNCTION("""COMPUTED_VALUE"""),"CarGun")</f>
        <v>CarGun</v>
      </c>
      <c r="E413" s="32">
        <f>IFERROR(__xludf.DUMMYFUNCTION("""COMPUTED_VALUE"""),500.0)</f>
        <v>500</v>
      </c>
      <c r="F413" s="32"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32">
        <f>IFERROR(__xludf.DUMMYFUNCTION("""COMPUTED_VALUE"""),1.225E7)</f>
        <v>12250000</v>
      </c>
      <c r="H413" s="32"/>
      <c r="I413" s="32"/>
      <c r="J413" s="32"/>
      <c r="K413" s="32"/>
      <c r="L413" s="32"/>
      <c r="M413" s="32"/>
      <c r="N413" s="32"/>
      <c r="O413" s="32"/>
      <c r="P413" s="32"/>
      <c r="Q413" s="32"/>
      <c r="R413" s="32"/>
      <c r="S413" s="32"/>
      <c r="T413" s="32"/>
      <c r="U413" s="32"/>
      <c r="V413" s="32"/>
      <c r="W413" s="32"/>
      <c r="X413" s="32"/>
      <c r="Y413" s="32"/>
      <c r="Z413" s="32"/>
    </row>
    <row r="414">
      <c r="A414" s="32" t="str">
        <f>IFERROR(__xludf.DUMMYFUNCTION("""COMPUTED_VALUE"""),".50 Caliber Machine Gun (boat)")</f>
        <v>.50 Caliber Machine Gun (boat)</v>
      </c>
      <c r="B414" s="32"/>
      <c r="C414" s="32" t="str">
        <f>IFERROR(__xludf.DUMMYFUNCTION("""COMPUTED_VALUE"""),"Firearm")</f>
        <v>Firearm</v>
      </c>
      <c r="D414" s="32" t="str">
        <f>IFERROR(__xludf.DUMMYFUNCTION("""COMPUTED_VALUE"""),"BoatGun")</f>
        <v>BoatGun</v>
      </c>
      <c r="E414" s="32">
        <f>IFERROR(__xludf.DUMMYFUNCTION("""COMPUTED_VALUE"""),500.0)</f>
        <v>500</v>
      </c>
      <c r="F414" s="32" t="str">
        <f>IFERROR(__xludf.DUMMYFUNCTION("""COMPUTED_VALUE"""),"DMG: +25000 ++Roll a d500 to see how many bullets are used when you attack with this weapon. +-Uses bullets")</f>
        <v>DMG: +25000 ++Roll a d500 to see how many bullets are used when you attack with this weapon. +-Uses bullets</v>
      </c>
      <c r="G414" s="32">
        <f>IFERROR(__xludf.DUMMYFUNCTION("""COMPUTED_VALUE"""),1.225E7)</f>
        <v>12250000</v>
      </c>
      <c r="H414" s="32"/>
      <c r="I414" s="32"/>
      <c r="J414" s="32"/>
      <c r="K414" s="32"/>
      <c r="L414" s="32"/>
      <c r="M414" s="32"/>
      <c r="N414" s="32"/>
      <c r="O414" s="32"/>
      <c r="P414" s="32"/>
      <c r="Q414" s="32"/>
      <c r="R414" s="32"/>
      <c r="S414" s="32"/>
      <c r="T414" s="32"/>
      <c r="U414" s="32"/>
      <c r="V414" s="32"/>
      <c r="W414" s="32"/>
      <c r="X414" s="32"/>
      <c r="Y414" s="32"/>
      <c r="Z414" s="32"/>
    </row>
    <row r="415">
      <c r="A415" s="32" t="str">
        <f>IFERROR(__xludf.DUMMYFUNCTION("""COMPUTED_VALUE"""),"Missile Turret (car)")</f>
        <v>Missile Turret (car)</v>
      </c>
      <c r="B415" s="32"/>
      <c r="C415" s="32" t="str">
        <f>IFERROR(__xludf.DUMMYFUNCTION("""COMPUTED_VALUE"""),"Firearm")</f>
        <v>Firearm</v>
      </c>
      <c r="D415" s="32" t="str">
        <f>IFERROR(__xludf.DUMMYFUNCTION("""COMPUTED_VALUE"""),"CarGun")</f>
        <v>CarGun</v>
      </c>
      <c r="E415" s="32">
        <f>IFERROR(__xludf.DUMMYFUNCTION("""COMPUTED_VALUE"""),2000.0)</f>
        <v>2000</v>
      </c>
      <c r="F415" s="32" t="str">
        <f>IFERROR(__xludf.DUMMYFUNCTION("""COMPUTED_VALUE"""),"DMG: +50000, Fire DMG: +50000 ++Damages all enemies. +-Uses Missiles.")</f>
        <v>DMG: +50000, Fire DMG: +50000 ++Damages all enemies. +-Uses Missiles.</v>
      </c>
      <c r="G415" s="32">
        <f>IFERROR(__xludf.DUMMYFUNCTION("""COMPUTED_VALUE"""),1.99E8)</f>
        <v>199000000</v>
      </c>
      <c r="H415" s="32"/>
      <c r="I415" s="32"/>
      <c r="J415" s="32"/>
      <c r="K415" s="32"/>
      <c r="L415" s="32"/>
      <c r="M415" s="32"/>
      <c r="N415" s="32"/>
      <c r="O415" s="32"/>
      <c r="P415" s="32"/>
      <c r="Q415" s="32"/>
      <c r="R415" s="32"/>
      <c r="S415" s="32"/>
      <c r="T415" s="32"/>
      <c r="U415" s="32"/>
      <c r="V415" s="32"/>
      <c r="W415" s="32"/>
      <c r="X415" s="32"/>
      <c r="Y415" s="32"/>
      <c r="Z415" s="32"/>
    </row>
    <row r="416">
      <c r="A416" s="32" t="str">
        <f>IFERROR(__xludf.DUMMYFUNCTION("""COMPUTED_VALUE"""),"Missile Turret (boat)")</f>
        <v>Missile Turret (boat)</v>
      </c>
      <c r="B416" s="32"/>
      <c r="C416" s="32" t="str">
        <f>IFERROR(__xludf.DUMMYFUNCTION("""COMPUTED_VALUE"""),"Firearm")</f>
        <v>Firearm</v>
      </c>
      <c r="D416" s="32" t="str">
        <f>IFERROR(__xludf.DUMMYFUNCTION("""COMPUTED_VALUE"""),"BoatGun")</f>
        <v>BoatGun</v>
      </c>
      <c r="E416" s="32">
        <f>IFERROR(__xludf.DUMMYFUNCTION("""COMPUTED_VALUE"""),2000.0)</f>
        <v>2000</v>
      </c>
      <c r="F416" s="32" t="str">
        <f>IFERROR(__xludf.DUMMYFUNCTION("""COMPUTED_VALUE"""),"DMG: +50000, Fire DMG: +50000 ++Damages all enemies. +-Uses Missiles.")</f>
        <v>DMG: +50000, Fire DMG: +50000 ++Damages all enemies. +-Uses Missiles.</v>
      </c>
      <c r="G416" s="32">
        <f>IFERROR(__xludf.DUMMYFUNCTION("""COMPUTED_VALUE"""),1.99E8)</f>
        <v>199000000</v>
      </c>
      <c r="H416" s="32"/>
      <c r="I416" s="32"/>
      <c r="J416" s="32"/>
      <c r="K416" s="32"/>
      <c r="L416" s="32"/>
      <c r="M416" s="32"/>
      <c r="N416" s="32"/>
      <c r="O416" s="32"/>
      <c r="P416" s="32"/>
      <c r="Q416" s="32"/>
      <c r="R416" s="32"/>
      <c r="S416" s="32"/>
      <c r="T416" s="32"/>
      <c r="U416" s="32"/>
      <c r="V416" s="32"/>
      <c r="W416" s="32"/>
      <c r="X416" s="32"/>
      <c r="Y416" s="32"/>
      <c r="Z416" s="32"/>
    </row>
    <row r="417">
      <c r="A417" s="32" t="str">
        <f>IFERROR(__xludf.DUMMYFUNCTION("""COMPUTED_VALUE"""),"Royal Sword of Dragonia")</f>
        <v>Royal Sword of Dragonia</v>
      </c>
      <c r="B417" s="32"/>
      <c r="C417" s="32" t="str">
        <f>IFERROR(__xludf.DUMMYFUNCTION("""COMPUTED_VALUE"""),"Sword")</f>
        <v>Sword</v>
      </c>
      <c r="D417" s="32" t="str">
        <f>IFERROR(__xludf.DUMMYFUNCTION("""COMPUTED_VALUE"""),"Hand")</f>
        <v>Hand</v>
      </c>
      <c r="E417" s="32">
        <f>IFERROR(__xludf.DUMMYFUNCTION("""COMPUTED_VALUE"""),200.0)</f>
        <v>200</v>
      </c>
      <c r="F417" s="32"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32">
        <f>IFERROR(__xludf.DUMMYFUNCTION("""COMPUTED_VALUE"""),7.98E8)</f>
        <v>798000000</v>
      </c>
      <c r="H417" s="32"/>
      <c r="I417" s="32"/>
      <c r="J417" s="32"/>
      <c r="K417" s="32"/>
      <c r="L417" s="32"/>
      <c r="M417" s="32"/>
      <c r="N417" s="32"/>
      <c r="O417" s="32"/>
      <c r="P417" s="32"/>
      <c r="Q417" s="32"/>
      <c r="R417" s="32"/>
      <c r="S417" s="32"/>
      <c r="T417" s="32"/>
      <c r="U417" s="32"/>
      <c r="V417" s="32"/>
      <c r="W417" s="32"/>
      <c r="X417" s="32"/>
      <c r="Y417" s="32"/>
      <c r="Z417" s="32"/>
    </row>
    <row r="418">
      <c r="A418" s="32" t="str">
        <f>IFERROR(__xludf.DUMMYFUNCTION("""COMPUTED_VALUE"""),"Dragonian Helm")</f>
        <v>Dragonian Helm</v>
      </c>
      <c r="B418" s="32"/>
      <c r="C418" s="32" t="str">
        <f>IFERROR(__xludf.DUMMYFUNCTION("""COMPUTED_VALUE"""),"Sword")</f>
        <v>Sword</v>
      </c>
      <c r="D418" s="32" t="str">
        <f>IFERROR(__xludf.DUMMYFUNCTION("""COMPUTED_VALUE"""),"Head")</f>
        <v>Head</v>
      </c>
      <c r="E418" s="32">
        <f>IFERROR(__xludf.DUMMYFUNCTION("""COMPUTED_VALUE"""),200.0)</f>
        <v>200</v>
      </c>
      <c r="F418" s="3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32">
        <f>IFERROR(__xludf.DUMMYFUNCTION("""COMPUTED_VALUE"""),7.98E8)</f>
        <v>798000000</v>
      </c>
      <c r="H418" s="32"/>
      <c r="I418" s="32"/>
      <c r="J418" s="32"/>
      <c r="K418" s="32"/>
      <c r="L418" s="32"/>
      <c r="M418" s="32"/>
      <c r="N418" s="32"/>
      <c r="O418" s="32"/>
      <c r="P418" s="32"/>
      <c r="Q418" s="32"/>
      <c r="R418" s="32"/>
      <c r="S418" s="32"/>
      <c r="T418" s="32"/>
      <c r="U418" s="32"/>
      <c r="V418" s="32"/>
      <c r="W418" s="32"/>
      <c r="X418" s="32"/>
      <c r="Y418" s="32"/>
      <c r="Z418" s="32"/>
    </row>
    <row r="419">
      <c r="A419" s="32" t="str">
        <f>IFERROR(__xludf.DUMMYFUNCTION("""COMPUTED_VALUE"""),"Dragonian Pauldrons")</f>
        <v>Dragonian Pauldrons</v>
      </c>
      <c r="B419" s="32"/>
      <c r="C419" s="32"/>
      <c r="D419" s="32" t="str">
        <f>IFERROR(__xludf.DUMMYFUNCTION("""COMPUTED_VALUE"""),"Shoulders")</f>
        <v>Shoulders</v>
      </c>
      <c r="E419" s="32">
        <f>IFERROR(__xludf.DUMMYFUNCTION("""COMPUTED_VALUE"""),200.0)</f>
        <v>200</v>
      </c>
      <c r="F419" s="3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32">
        <f>IFERROR(__xludf.DUMMYFUNCTION("""COMPUTED_VALUE"""),7.98E8)</f>
        <v>798000000</v>
      </c>
      <c r="H419" s="32"/>
      <c r="I419" s="32"/>
      <c r="J419" s="32"/>
      <c r="K419" s="32"/>
      <c r="L419" s="32"/>
      <c r="M419" s="32"/>
      <c r="N419" s="32"/>
      <c r="O419" s="32"/>
      <c r="P419" s="32"/>
      <c r="Q419" s="32"/>
      <c r="R419" s="32"/>
      <c r="S419" s="32"/>
      <c r="T419" s="32"/>
      <c r="U419" s="32"/>
      <c r="V419" s="32"/>
      <c r="W419" s="32"/>
      <c r="X419" s="32"/>
      <c r="Y419" s="32"/>
      <c r="Z419" s="32"/>
    </row>
    <row r="420">
      <c r="A420" s="32" t="str">
        <f>IFERROR(__xludf.DUMMYFUNCTION("""COMPUTED_VALUE"""),"Dragonian Chestplate")</f>
        <v>Dragonian Chestplate</v>
      </c>
      <c r="B420" s="32"/>
      <c r="C420" s="32"/>
      <c r="D420" s="32" t="str">
        <f>IFERROR(__xludf.DUMMYFUNCTION("""COMPUTED_VALUE"""),"Torso")</f>
        <v>Torso</v>
      </c>
      <c r="E420" s="32">
        <f>IFERROR(__xludf.DUMMYFUNCTION("""COMPUTED_VALUE"""),200.0)</f>
        <v>200</v>
      </c>
      <c r="F420" s="3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32">
        <f>IFERROR(__xludf.DUMMYFUNCTION("""COMPUTED_VALUE"""),7.98E8)</f>
        <v>798000000</v>
      </c>
      <c r="H420" s="32"/>
      <c r="I420" s="32"/>
      <c r="J420" s="32"/>
      <c r="K420" s="32"/>
      <c r="L420" s="32"/>
      <c r="M420" s="32"/>
      <c r="N420" s="32"/>
      <c r="O420" s="32"/>
      <c r="P420" s="32"/>
      <c r="Q420" s="32"/>
      <c r="R420" s="32"/>
      <c r="S420" s="32"/>
      <c r="T420" s="32"/>
      <c r="U420" s="32"/>
      <c r="V420" s="32"/>
      <c r="W420" s="32"/>
      <c r="X420" s="32"/>
      <c r="Y420" s="32"/>
      <c r="Z420" s="32"/>
    </row>
    <row r="421">
      <c r="A421" s="32" t="str">
        <f>IFERROR(__xludf.DUMMYFUNCTION("""COMPUTED_VALUE"""),"Dragonian Vambraces")</f>
        <v>Dragonian Vambraces</v>
      </c>
      <c r="B421" s="32"/>
      <c r="C421" s="32"/>
      <c r="D421" s="32" t="str">
        <f>IFERROR(__xludf.DUMMYFUNCTION("""COMPUTED_VALUE"""),"Arms")</f>
        <v>Arms</v>
      </c>
      <c r="E421" s="32">
        <f>IFERROR(__xludf.DUMMYFUNCTION("""COMPUTED_VALUE"""),200.0)</f>
        <v>200</v>
      </c>
      <c r="F421" s="3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32">
        <f>IFERROR(__xludf.DUMMYFUNCTION("""COMPUTED_VALUE"""),7.98E8)</f>
        <v>798000000</v>
      </c>
      <c r="H421" s="32"/>
      <c r="I421" s="32"/>
      <c r="J421" s="32"/>
      <c r="K421" s="32"/>
      <c r="L421" s="32"/>
      <c r="M421" s="32"/>
      <c r="N421" s="32"/>
      <c r="O421" s="32"/>
      <c r="P421" s="32"/>
      <c r="Q421" s="32"/>
      <c r="R421" s="32"/>
      <c r="S421" s="32"/>
      <c r="T421" s="32"/>
      <c r="U421" s="32"/>
      <c r="V421" s="32"/>
      <c r="W421" s="32"/>
      <c r="X421" s="32"/>
      <c r="Y421" s="32"/>
      <c r="Z421" s="32"/>
    </row>
    <row r="422">
      <c r="A422" s="32" t="str">
        <f>IFERROR(__xludf.DUMMYFUNCTION("""COMPUTED_VALUE"""),"Dragonian Greaves")</f>
        <v>Dragonian Greaves</v>
      </c>
      <c r="B422" s="32"/>
      <c r="C422" s="32"/>
      <c r="D422" s="32" t="str">
        <f>IFERROR(__xludf.DUMMYFUNCTION("""COMPUTED_VALUE"""),"Legs")</f>
        <v>Legs</v>
      </c>
      <c r="E422" s="32">
        <f>IFERROR(__xludf.DUMMYFUNCTION("""COMPUTED_VALUE"""),200.0)</f>
        <v>200</v>
      </c>
      <c r="F422" s="3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32">
        <f>IFERROR(__xludf.DUMMYFUNCTION("""COMPUTED_VALUE"""),7.98E8)</f>
        <v>798000000</v>
      </c>
      <c r="H422" s="32"/>
      <c r="I422" s="32"/>
      <c r="J422" s="32"/>
      <c r="K422" s="32"/>
      <c r="L422" s="32"/>
      <c r="M422" s="32"/>
      <c r="N422" s="32"/>
      <c r="O422" s="32"/>
      <c r="P422" s="32"/>
      <c r="Q422" s="32"/>
      <c r="R422" s="32"/>
      <c r="S422" s="32"/>
      <c r="T422" s="32"/>
      <c r="U422" s="32"/>
      <c r="V422" s="32"/>
      <c r="W422" s="32"/>
      <c r="X422" s="32"/>
      <c r="Y422" s="32"/>
      <c r="Z422" s="32"/>
    </row>
    <row r="423">
      <c r="A423" s="32" t="str">
        <f>IFERROR(__xludf.DUMMYFUNCTION("""COMPUTED_VALUE"""),"Dragonian Boots")</f>
        <v>Dragonian Boots</v>
      </c>
      <c r="B423" s="32"/>
      <c r="C423" s="32"/>
      <c r="D423" s="32" t="str">
        <f>IFERROR(__xludf.DUMMYFUNCTION("""COMPUTED_VALUE"""),"Feet")</f>
        <v>Feet</v>
      </c>
      <c r="E423" s="32">
        <f>IFERROR(__xludf.DUMMYFUNCTION("""COMPUTED_VALUE"""),200.0)</f>
        <v>200</v>
      </c>
      <c r="F423" s="3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32">
        <f>IFERROR(__xludf.DUMMYFUNCTION("""COMPUTED_VALUE"""),7.98E8)</f>
        <v>798000000</v>
      </c>
      <c r="H423" s="32"/>
      <c r="I423" s="32"/>
      <c r="J423" s="32"/>
      <c r="K423" s="32"/>
      <c r="L423" s="32"/>
      <c r="M423" s="32"/>
      <c r="N423" s="32"/>
      <c r="O423" s="32"/>
      <c r="P423" s="32"/>
      <c r="Q423" s="32"/>
      <c r="R423" s="32"/>
      <c r="S423" s="32"/>
      <c r="T423" s="32"/>
      <c r="U423" s="32"/>
      <c r="V423" s="32"/>
      <c r="W423" s="32"/>
      <c r="X423" s="32"/>
      <c r="Y423" s="32"/>
      <c r="Z423" s="32"/>
    </row>
    <row r="424">
      <c r="A424" s="32" t="str">
        <f>IFERROR(__xludf.DUMMYFUNCTION("""COMPUTED_VALUE"""),"Dragonian Pendent")</f>
        <v>Dragonian Pendent</v>
      </c>
      <c r="B424" s="32"/>
      <c r="C424" s="32"/>
      <c r="D424" s="32" t="str">
        <f>IFERROR(__xludf.DUMMYFUNCTION("""COMPUTED_VALUE"""),"Neck")</f>
        <v>Neck</v>
      </c>
      <c r="E424" s="32">
        <f>IFERROR(__xludf.DUMMYFUNCTION("""COMPUTED_VALUE"""),200.0)</f>
        <v>200</v>
      </c>
      <c r="F424" s="3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32">
        <f>IFERROR(__xludf.DUMMYFUNCTION("""COMPUTED_VALUE"""),4350000.0)</f>
        <v>4350000</v>
      </c>
      <c r="H424" s="32"/>
      <c r="I424" s="32"/>
      <c r="J424" s="32"/>
      <c r="K424" s="32"/>
      <c r="L424" s="32"/>
      <c r="M424" s="32"/>
      <c r="N424" s="32"/>
      <c r="O424" s="32"/>
      <c r="P424" s="32"/>
      <c r="Q424" s="32"/>
      <c r="R424" s="32"/>
      <c r="S424" s="32"/>
      <c r="T424" s="32"/>
      <c r="U424" s="32"/>
      <c r="V424" s="32"/>
      <c r="W424" s="32"/>
      <c r="X424" s="32"/>
      <c r="Y424" s="32"/>
      <c r="Z424" s="32"/>
    </row>
    <row r="425">
      <c r="A425" s="32" t="str">
        <f>IFERROR(__xludf.DUMMYFUNCTION("""COMPUTED_VALUE"""),"Dragonian Ring")</f>
        <v>Dragonian Ring</v>
      </c>
      <c r="B425" s="32"/>
      <c r="C425" s="32"/>
      <c r="D425" s="32" t="str">
        <f>IFERROR(__xludf.DUMMYFUNCTION("""COMPUTED_VALUE"""),"Ring")</f>
        <v>Ring</v>
      </c>
      <c r="E425" s="32">
        <f>IFERROR(__xludf.DUMMYFUNCTION("""COMPUTED_VALUE"""),200.0)</f>
        <v>200</v>
      </c>
      <c r="F425" s="3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32">
        <f>IFERROR(__xludf.DUMMYFUNCTION("""COMPUTED_VALUE"""),4350000.0)</f>
        <v>4350000</v>
      </c>
      <c r="H425" s="32"/>
      <c r="I425" s="32"/>
      <c r="J425" s="32"/>
      <c r="K425" s="32"/>
      <c r="L425" s="32"/>
      <c r="M425" s="32"/>
      <c r="N425" s="32"/>
      <c r="O425" s="32"/>
      <c r="P425" s="32"/>
      <c r="Q425" s="32"/>
      <c r="R425" s="32"/>
      <c r="S425" s="32"/>
      <c r="T425" s="32"/>
      <c r="U425" s="32"/>
      <c r="V425" s="32"/>
      <c r="W425" s="32"/>
      <c r="X425" s="32"/>
      <c r="Y425" s="32"/>
      <c r="Z425" s="32"/>
    </row>
    <row r="426">
      <c r="A426" s="32" t="str">
        <f>IFERROR(__xludf.DUMMYFUNCTION("""COMPUTED_VALUE"""),"Fishing Pole of Luck and Power")</f>
        <v>Fishing Pole of Luck and Power</v>
      </c>
      <c r="B426" s="32"/>
      <c r="C426" s="32" t="str">
        <f>IFERROR(__xludf.DUMMYFUNCTION("""COMPUTED_VALUE"""),"Club")</f>
        <v>Club</v>
      </c>
      <c r="D426" s="32" t="str">
        <f>IFERROR(__xludf.DUMMYFUNCTION("""COMPUTED_VALUE"""),"Hand")</f>
        <v>Hand</v>
      </c>
      <c r="E426" s="32">
        <f>IFERROR(__xludf.DUMMYFUNCTION("""COMPUTED_VALUE"""),1600.0)</f>
        <v>1600</v>
      </c>
      <c r="F426" s="32"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32">
        <f>IFERROR(__xludf.DUMMYFUNCTION("""COMPUTED_VALUE"""),1.272E8)</f>
        <v>127200000</v>
      </c>
      <c r="H426" s="32"/>
      <c r="I426" s="32"/>
      <c r="J426" s="32"/>
      <c r="K426" s="32"/>
      <c r="L426" s="32"/>
      <c r="M426" s="32"/>
      <c r="N426" s="32"/>
      <c r="O426" s="32"/>
      <c r="P426" s="32"/>
      <c r="Q426" s="32"/>
      <c r="R426" s="32"/>
      <c r="S426" s="32"/>
      <c r="T426" s="32"/>
      <c r="U426" s="32"/>
      <c r="V426" s="32"/>
      <c r="W426" s="32"/>
      <c r="X426" s="32"/>
      <c r="Y426" s="32"/>
      <c r="Z426" s="32"/>
    </row>
    <row r="427">
      <c r="A427" s="32" t="str">
        <f>IFERROR(__xludf.DUMMYFUNCTION("""COMPUTED_VALUE"""),"Ancient Oni Pauldrons")</f>
        <v>Ancient Oni Pauldrons</v>
      </c>
      <c r="B427" s="32" t="str">
        <f>IFERROR(__xludf.DUMMYFUNCTION("""COMPUTED_VALUE"""),"An ancient relic to Zhenmay")</f>
        <v>An ancient relic to Zhenmay</v>
      </c>
      <c r="C427" s="32"/>
      <c r="D427" s="32" t="str">
        <f>IFERROR(__xludf.DUMMYFUNCTION("""COMPUTED_VALUE"""),"Shoulders")</f>
        <v>Shoulders</v>
      </c>
      <c r="E427" s="32">
        <f>IFERROR(__xludf.DUMMYFUNCTION("""COMPUTED_VALUE"""),200.0)</f>
        <v>200</v>
      </c>
      <c r="F427" s="3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32">
        <f>IFERROR(__xludf.DUMMYFUNCTION("""COMPUTED_VALUE"""),5.104E8)</f>
        <v>510400000</v>
      </c>
      <c r="H427" s="32"/>
      <c r="I427" s="32"/>
      <c r="J427" s="32"/>
      <c r="K427" s="32"/>
      <c r="L427" s="32"/>
      <c r="M427" s="32"/>
      <c r="N427" s="32"/>
      <c r="O427" s="32"/>
      <c r="P427" s="32"/>
      <c r="Q427" s="32"/>
      <c r="R427" s="32"/>
      <c r="S427" s="32"/>
      <c r="T427" s="32"/>
      <c r="U427" s="32"/>
      <c r="V427" s="32"/>
      <c r="W427" s="32"/>
      <c r="X427" s="32"/>
      <c r="Y427" s="32"/>
      <c r="Z427" s="32"/>
    </row>
    <row r="428">
      <c r="A428" s="32" t="str">
        <f>IFERROR(__xludf.DUMMYFUNCTION("""COMPUTED_VALUE"""),"Ancient Oni Vambraces")</f>
        <v>Ancient Oni Vambraces</v>
      </c>
      <c r="B428" s="32" t="str">
        <f>IFERROR(__xludf.DUMMYFUNCTION("""COMPUTED_VALUE"""),"An ancient relic to Zhenmay")</f>
        <v>An ancient relic to Zhenmay</v>
      </c>
      <c r="C428" s="32"/>
      <c r="D428" s="32" t="str">
        <f>IFERROR(__xludf.DUMMYFUNCTION("""COMPUTED_VALUE"""),"Arms")</f>
        <v>Arms</v>
      </c>
      <c r="E428" s="32">
        <f>IFERROR(__xludf.DUMMYFUNCTION("""COMPUTED_VALUE"""),200.0)</f>
        <v>200</v>
      </c>
      <c r="F428" s="3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32">
        <f>IFERROR(__xludf.DUMMYFUNCTION("""COMPUTED_VALUE"""),5.104E8)</f>
        <v>510400000</v>
      </c>
      <c r="H428" s="32"/>
      <c r="I428" s="32"/>
      <c r="J428" s="32"/>
      <c r="K428" s="32"/>
      <c r="L428" s="32"/>
      <c r="M428" s="32"/>
      <c r="N428" s="32"/>
      <c r="O428" s="32"/>
      <c r="P428" s="32"/>
      <c r="Q428" s="32"/>
      <c r="R428" s="32"/>
      <c r="S428" s="32"/>
      <c r="T428" s="32"/>
      <c r="U428" s="32"/>
      <c r="V428" s="32"/>
      <c r="W428" s="32"/>
      <c r="X428" s="32"/>
      <c r="Y428" s="32"/>
      <c r="Z428" s="32"/>
    </row>
    <row r="429">
      <c r="A429" s="32" t="str">
        <f>IFERROR(__xludf.DUMMYFUNCTION("""COMPUTED_VALUE"""),"Ancient Oni Greaves")</f>
        <v>Ancient Oni Greaves</v>
      </c>
      <c r="B429" s="32" t="str">
        <f>IFERROR(__xludf.DUMMYFUNCTION("""COMPUTED_VALUE"""),"An ancient relic to Zhenmay")</f>
        <v>An ancient relic to Zhenmay</v>
      </c>
      <c r="C429" s="32"/>
      <c r="D429" s="32" t="str">
        <f>IFERROR(__xludf.DUMMYFUNCTION("""COMPUTED_VALUE"""),"Legs")</f>
        <v>Legs</v>
      </c>
      <c r="E429" s="32">
        <f>IFERROR(__xludf.DUMMYFUNCTION("""COMPUTED_VALUE"""),200.0)</f>
        <v>200</v>
      </c>
      <c r="F429" s="3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32">
        <f>IFERROR(__xludf.DUMMYFUNCTION("""COMPUTED_VALUE"""),5.104E8)</f>
        <v>510400000</v>
      </c>
      <c r="H429" s="32"/>
      <c r="I429" s="32"/>
      <c r="J429" s="32"/>
      <c r="K429" s="32"/>
      <c r="L429" s="32"/>
      <c r="M429" s="32"/>
      <c r="N429" s="32"/>
      <c r="O429" s="32"/>
      <c r="P429" s="32"/>
      <c r="Q429" s="32"/>
      <c r="R429" s="32"/>
      <c r="S429" s="32"/>
      <c r="T429" s="32"/>
      <c r="U429" s="32"/>
      <c r="V429" s="32"/>
      <c r="W429" s="32"/>
      <c r="X429" s="32"/>
      <c r="Y429" s="32"/>
      <c r="Z429" s="32"/>
    </row>
    <row r="430">
      <c r="A430" s="32" t="str">
        <f>IFERROR(__xludf.DUMMYFUNCTION("""COMPUTED_VALUE"""),"Ancient Oni Boots")</f>
        <v>Ancient Oni Boots</v>
      </c>
      <c r="B430" s="32" t="str">
        <f>IFERROR(__xludf.DUMMYFUNCTION("""COMPUTED_VALUE"""),"An ancient relic to Zhenmay")</f>
        <v>An ancient relic to Zhenmay</v>
      </c>
      <c r="C430" s="32"/>
      <c r="D430" s="32" t="str">
        <f>IFERROR(__xludf.DUMMYFUNCTION("""COMPUTED_VALUE"""),"Feet")</f>
        <v>Feet</v>
      </c>
      <c r="E430" s="32">
        <f>IFERROR(__xludf.DUMMYFUNCTION("""COMPUTED_VALUE"""),200.0)</f>
        <v>200</v>
      </c>
      <c r="F430" s="3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32">
        <f>IFERROR(__xludf.DUMMYFUNCTION("""COMPUTED_VALUE"""),5.104E8)</f>
        <v>510400000</v>
      </c>
      <c r="H430" s="32"/>
      <c r="I430" s="32"/>
      <c r="J430" s="32"/>
      <c r="K430" s="32"/>
      <c r="L430" s="32"/>
      <c r="M430" s="32"/>
      <c r="N430" s="32"/>
      <c r="O430" s="32"/>
      <c r="P430" s="32"/>
      <c r="Q430" s="32"/>
      <c r="R430" s="32"/>
      <c r="S430" s="32"/>
      <c r="T430" s="32"/>
      <c r="U430" s="32"/>
      <c r="V430" s="32"/>
      <c r="W430" s="32"/>
      <c r="X430" s="32"/>
      <c r="Y430" s="32"/>
      <c r="Z430" s="32"/>
    </row>
    <row r="431">
      <c r="A431" s="32" t="str">
        <f>IFERROR(__xludf.DUMMYFUNCTION("""COMPUTED_VALUE"""),"Ancient Oni Katana")</f>
        <v>Ancient Oni Katana</v>
      </c>
      <c r="B431" s="32" t="str">
        <f>IFERROR(__xludf.DUMMYFUNCTION("""COMPUTED_VALUE"""),"An ancient relic to Zhenmay")</f>
        <v>An ancient relic to Zhenmay</v>
      </c>
      <c r="C431" s="32" t="str">
        <f>IFERROR(__xludf.DUMMYFUNCTION("""COMPUTED_VALUE"""),"Sword")</f>
        <v>Sword</v>
      </c>
      <c r="D431" s="32" t="str">
        <f>IFERROR(__xludf.DUMMYFUNCTION("""COMPUTED_VALUE"""),"Hand")</f>
        <v>Hand</v>
      </c>
      <c r="E431" s="32">
        <f>IFERROR(__xludf.DUMMYFUNCTION("""COMPUTED_VALUE"""),200.0)</f>
        <v>200</v>
      </c>
      <c r="F431" s="32"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32">
        <f>IFERROR(__xludf.DUMMYFUNCTION("""COMPUTED_VALUE"""),5.104E8)</f>
        <v>510400000</v>
      </c>
      <c r="H431" s="32"/>
      <c r="I431" s="32"/>
      <c r="J431" s="32"/>
      <c r="K431" s="32"/>
      <c r="L431" s="32"/>
      <c r="M431" s="32"/>
      <c r="N431" s="32"/>
      <c r="O431" s="32"/>
      <c r="P431" s="32"/>
      <c r="Q431" s="32"/>
      <c r="R431" s="32"/>
      <c r="S431" s="32"/>
      <c r="T431" s="32"/>
      <c r="U431" s="32"/>
      <c r="V431" s="32"/>
      <c r="W431" s="32"/>
      <c r="X431" s="32"/>
      <c r="Y431" s="32"/>
      <c r="Z431" s="32"/>
    </row>
    <row r="432">
      <c r="A432" s="32" t="str">
        <f>IFERROR(__xludf.DUMMYFUNCTION("""COMPUTED_VALUE"""),"The Grand Staff of Evil Flames")</f>
        <v>The Grand Staff of Evil Flames</v>
      </c>
      <c r="B432" s="32"/>
      <c r="C432" s="32" t="str">
        <f>IFERROR(__xludf.DUMMYFUNCTION("""COMPUTED_VALUE"""),"Staff")</f>
        <v>Staff</v>
      </c>
      <c r="D432" s="32" t="str">
        <f>IFERROR(__xludf.DUMMYFUNCTION("""COMPUTED_VALUE"""),"Hand")</f>
        <v>Hand</v>
      </c>
      <c r="E432" s="32">
        <f>IFERROR(__xludf.DUMMYFUNCTION("""COMPUTED_VALUE"""),1200.0)</f>
        <v>1200</v>
      </c>
      <c r="F432" s="32"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32">
        <f>IFERROR(__xludf.DUMMYFUNCTION("""COMPUTED_VALUE"""),7.14E7)</f>
        <v>71400000</v>
      </c>
      <c r="H432" s="32"/>
      <c r="I432" s="32"/>
      <c r="J432" s="32"/>
      <c r="K432" s="32"/>
      <c r="L432" s="32"/>
      <c r="M432" s="32"/>
      <c r="N432" s="32"/>
      <c r="O432" s="32"/>
      <c r="P432" s="32"/>
      <c r="Q432" s="32"/>
      <c r="R432" s="32"/>
      <c r="S432" s="32"/>
      <c r="T432" s="32"/>
      <c r="U432" s="32"/>
      <c r="V432" s="32"/>
      <c r="W432" s="32"/>
      <c r="X432" s="32"/>
      <c r="Y432" s="32"/>
      <c r="Z432" s="32"/>
    </row>
    <row r="433">
      <c r="A433" s="32" t="str">
        <f>IFERROR(__xludf.DUMMYFUNCTION("""COMPUTED_VALUE"""),"Soul Sword of The Endless Realm")</f>
        <v>Soul Sword of The Endless Realm</v>
      </c>
      <c r="B433" s="32"/>
      <c r="C433" s="32" t="str">
        <f>IFERROR(__xludf.DUMMYFUNCTION("""COMPUTED_VALUE"""),"Sword")</f>
        <v>Sword</v>
      </c>
      <c r="D433" s="32" t="str">
        <f>IFERROR(__xludf.DUMMYFUNCTION("""COMPUTED_VALUE"""),"Hand")</f>
        <v>Hand</v>
      </c>
      <c r="E433" s="32">
        <f>IFERROR(__xludf.DUMMYFUNCTION("""COMPUTED_VALUE"""),200.0)</f>
        <v>200</v>
      </c>
      <c r="F433" s="32"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32">
        <f>IFERROR(__xludf.DUMMYFUNCTION("""COMPUTED_VALUE"""),4.0455E9)</f>
        <v>4045500000</v>
      </c>
      <c r="H433" s="32"/>
      <c r="I433" s="32"/>
      <c r="J433" s="32"/>
      <c r="K433" s="32"/>
      <c r="L433" s="32"/>
      <c r="M433" s="32"/>
      <c r="N433" s="32"/>
      <c r="O433" s="32"/>
      <c r="P433" s="32"/>
      <c r="Q433" s="32"/>
      <c r="R433" s="32"/>
      <c r="S433" s="32"/>
      <c r="T433" s="32"/>
      <c r="U433" s="32"/>
      <c r="V433" s="32"/>
      <c r="W433" s="32"/>
      <c r="X433" s="32"/>
      <c r="Y433" s="32"/>
      <c r="Z433" s="32"/>
    </row>
    <row r="434">
      <c r="A434" s="32" t="str">
        <f>IFERROR(__xludf.DUMMYFUNCTION("""COMPUTED_VALUE"""),"Rat King's Crown")</f>
        <v>Rat King's Crown</v>
      </c>
      <c r="B434" s="32"/>
      <c r="C434" s="32"/>
      <c r="D434" s="32" t="str">
        <f>IFERROR(__xludf.DUMMYFUNCTION("""COMPUTED_VALUE"""),"Head")</f>
        <v>Head</v>
      </c>
      <c r="E434" s="32">
        <f>IFERROR(__xludf.DUMMYFUNCTION("""COMPUTED_VALUE"""),1000.0)</f>
        <v>1000</v>
      </c>
      <c r="F434" s="32"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32">
        <f>IFERROR(__xludf.DUMMYFUNCTION("""COMPUTED_VALUE"""),4.95E7)</f>
        <v>49500000</v>
      </c>
      <c r="H434" s="32"/>
      <c r="I434" s="32"/>
      <c r="J434" s="32"/>
      <c r="K434" s="32"/>
      <c r="L434" s="32"/>
      <c r="M434" s="32"/>
      <c r="N434" s="32"/>
      <c r="O434" s="32"/>
      <c r="P434" s="32"/>
      <c r="Q434" s="32"/>
      <c r="R434" s="32"/>
      <c r="S434" s="32"/>
      <c r="T434" s="32"/>
      <c r="U434" s="32"/>
      <c r="V434" s="32"/>
      <c r="W434" s="32"/>
      <c r="X434" s="32"/>
      <c r="Y434" s="32"/>
      <c r="Z434" s="32"/>
    </row>
    <row r="435">
      <c r="A435" s="32" t="str">
        <f>IFERROR(__xludf.DUMMYFUNCTION("""COMPUTED_VALUE"""),"Vermouth's Crown of Tides")</f>
        <v>Vermouth's Crown of Tides</v>
      </c>
      <c r="B435" s="3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32"/>
      <c r="D435" s="32" t="str">
        <f>IFERROR(__xludf.DUMMYFUNCTION("""COMPUTED_VALUE"""),"Head")</f>
        <v>Head</v>
      </c>
      <c r="E435" s="32">
        <f>IFERROR(__xludf.DUMMYFUNCTION("""COMPUTED_VALUE"""),700.0)</f>
        <v>700</v>
      </c>
      <c r="F435" s="32" t="str">
        <f>IFERROR(__xludf.DUMMYFUNCTION("""COMPUTED_VALUE"""),"DEF: +25000, Water DEF: +10000 ++Immunity to Water damage. ++X2 Additional Water damage for the user.")</f>
        <v>DEF: +25000, Water DEF: +10000 ++Immunity to Water damage. ++X2 Additional Water damage for the user.</v>
      </c>
      <c r="G435" s="32">
        <f>IFERROR(__xludf.DUMMYFUNCTION("""COMPUTED_VALUE"""),2.415E7)</f>
        <v>24150000</v>
      </c>
      <c r="H435" s="32"/>
      <c r="I435" s="32"/>
      <c r="J435" s="32"/>
      <c r="K435" s="32"/>
      <c r="L435" s="32"/>
      <c r="M435" s="32"/>
      <c r="N435" s="32"/>
      <c r="O435" s="32"/>
      <c r="P435" s="32"/>
      <c r="Q435" s="32"/>
      <c r="R435" s="32"/>
      <c r="S435" s="32"/>
      <c r="T435" s="32"/>
      <c r="U435" s="32"/>
      <c r="V435" s="32"/>
      <c r="W435" s="32"/>
      <c r="X435" s="32"/>
      <c r="Y435" s="32"/>
      <c r="Z435" s="32"/>
    </row>
    <row r="436">
      <c r="A436" s="32" t="str">
        <f>IFERROR(__xludf.DUMMYFUNCTION("""COMPUTED_VALUE"""),"ChronoMech Enigma")</f>
        <v>ChronoMech Enigma</v>
      </c>
      <c r="B436" s="32" t="str">
        <f>IFERROR(__xludf.DUMMYFUNCTION("""COMPUTED_VALUE"""),"A clockwork device that grants unique abilities.")</f>
        <v>A clockwork device that grants unique abilities.</v>
      </c>
      <c r="C436" s="32"/>
      <c r="D436" s="32" t="str">
        <f>IFERROR(__xludf.DUMMYFUNCTION("""COMPUTED_VALUE"""),"Hand")</f>
        <v>Hand</v>
      </c>
      <c r="E436" s="32">
        <f>IFERROR(__xludf.DUMMYFUNCTION("""COMPUTED_VALUE"""),200.0)</f>
        <v>200</v>
      </c>
      <c r="F436" s="32"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32">
        <f>IFERROR(__xludf.DUMMYFUNCTION("""COMPUTED_VALUE"""),1900000.0)</f>
        <v>1900000</v>
      </c>
      <c r="H436" s="32"/>
      <c r="I436" s="32"/>
      <c r="J436" s="32"/>
      <c r="K436" s="32"/>
      <c r="L436" s="32"/>
      <c r="M436" s="32"/>
      <c r="N436" s="32"/>
      <c r="O436" s="32"/>
      <c r="P436" s="32"/>
      <c r="Q436" s="32"/>
      <c r="R436" s="32"/>
      <c r="S436" s="32"/>
      <c r="T436" s="32"/>
      <c r="U436" s="32"/>
      <c r="V436" s="32"/>
      <c r="W436" s="32"/>
      <c r="X436" s="32"/>
      <c r="Y436" s="32"/>
      <c r="Z436" s="32"/>
    </row>
    <row r="437">
      <c r="A437" s="32" t="str">
        <f>IFERROR(__xludf.DUMMYFUNCTION("""COMPUTED_VALUE"""),"Royal Sword of The Halloween Kingdom")</f>
        <v>Royal Sword of The Halloween Kingdom</v>
      </c>
      <c r="B437" s="32" t="str">
        <f>IFERROR(__xludf.DUMMYFUNCTION("""COMPUTED_VALUE"""),"Halloween Exclusive")</f>
        <v>Halloween Exclusive</v>
      </c>
      <c r="C437" s="32" t="str">
        <f>IFERROR(__xludf.DUMMYFUNCTION("""COMPUTED_VALUE"""),"Sword")</f>
        <v>Sword</v>
      </c>
      <c r="D437" s="32" t="str">
        <f>IFERROR(__xludf.DUMMYFUNCTION("""COMPUTED_VALUE"""),"Hand")</f>
        <v>Hand</v>
      </c>
      <c r="E437" s="32">
        <f>IFERROR(__xludf.DUMMYFUNCTION("""COMPUTED_VALUE"""),200.0)</f>
        <v>200</v>
      </c>
      <c r="F437" s="32"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32">
        <f>IFERROR(__xludf.DUMMYFUNCTION("""COMPUTED_VALUE"""),1.0557E9)</f>
        <v>1055700000</v>
      </c>
      <c r="H437" s="32"/>
      <c r="I437" s="32"/>
      <c r="J437" s="32"/>
      <c r="K437" s="32"/>
      <c r="L437" s="32"/>
      <c r="M437" s="32"/>
      <c r="N437" s="32"/>
      <c r="O437" s="32"/>
      <c r="P437" s="32"/>
      <c r="Q437" s="32"/>
      <c r="R437" s="32"/>
      <c r="S437" s="32"/>
      <c r="T437" s="32"/>
      <c r="U437" s="32"/>
      <c r="V437" s="32"/>
      <c r="W437" s="32"/>
      <c r="X437" s="32"/>
      <c r="Y437" s="32"/>
      <c r="Z437" s="32"/>
    </row>
    <row r="438">
      <c r="A438" s="32" t="str">
        <f>IFERROR(__xludf.DUMMYFUNCTION("""COMPUTED_VALUE"""),"Royal Shield of The Halloween Kingdom")</f>
        <v>Royal Shield of The Halloween Kingdom</v>
      </c>
      <c r="B438" s="32" t="str">
        <f>IFERROR(__xludf.DUMMYFUNCTION("""COMPUTED_VALUE"""),"Halloween Exclusive")</f>
        <v>Halloween Exclusive</v>
      </c>
      <c r="C438" s="32" t="str">
        <f>IFERROR(__xludf.DUMMYFUNCTION("""COMPUTED_VALUE"""),"Towershield")</f>
        <v>Towershield</v>
      </c>
      <c r="D438" s="32" t="str">
        <f>IFERROR(__xludf.DUMMYFUNCTION("""COMPUTED_VALUE"""),"Hand")</f>
        <v>Hand</v>
      </c>
      <c r="E438" s="32">
        <f>IFERROR(__xludf.DUMMYFUNCTION("""COMPUTED_VALUE"""),200.0)</f>
        <v>200</v>
      </c>
      <c r="F438" s="32"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32">
        <f>IFERROR(__xludf.DUMMYFUNCTION("""COMPUTED_VALUE"""),1.0557E9)</f>
        <v>1055700000</v>
      </c>
      <c r="H438" s="32"/>
      <c r="I438" s="32"/>
      <c r="J438" s="32"/>
      <c r="K438" s="32"/>
      <c r="L438" s="32"/>
      <c r="M438" s="32"/>
      <c r="N438" s="32"/>
      <c r="O438" s="32"/>
      <c r="P438" s="32"/>
      <c r="Q438" s="32"/>
      <c r="R438" s="32"/>
      <c r="S438" s="32"/>
      <c r="T438" s="32"/>
      <c r="U438" s="32"/>
      <c r="V438" s="32"/>
      <c r="W438" s="32"/>
      <c r="X438" s="32"/>
      <c r="Y438" s="32"/>
      <c r="Z438" s="32"/>
    </row>
    <row r="439">
      <c r="A439" s="32" t="str">
        <f>IFERROR(__xludf.DUMMYFUNCTION("""COMPUTED_VALUE"""),"Sacred Flaming Pearl")</f>
        <v>Sacred Flaming Pearl</v>
      </c>
      <c r="B439" s="32" t="str">
        <f>IFERROR(__xludf.DUMMYFUNCTION("""COMPUTED_VALUE"""),"Quest item.")</f>
        <v>Quest item.</v>
      </c>
      <c r="C439" s="32"/>
      <c r="D439" s="32" t="str">
        <f>IFERROR(__xludf.DUMMYFUNCTION("""COMPUTED_VALUE"""),"Hand")</f>
        <v>Hand</v>
      </c>
      <c r="E439" s="32">
        <f>IFERROR(__xludf.DUMMYFUNCTION("""COMPUTED_VALUE"""),1.0)</f>
        <v>1</v>
      </c>
      <c r="F439" s="32" t="str">
        <f>IFERROR(__xludf.DUMMYFUNCTION("""COMPUTED_VALUE""")," ++X4 additional fire damage for the user. +-Cannot be duplicated.")</f>
        <v> ++X4 additional fire damage for the user. +-Cannot be duplicated.</v>
      </c>
      <c r="G439" s="32">
        <f>IFERROR(__xludf.DUMMYFUNCTION("""COMPUTED_VALUE"""),0.0)</f>
        <v>0</v>
      </c>
      <c r="H439" s="32"/>
      <c r="I439" s="32"/>
      <c r="J439" s="32"/>
      <c r="K439" s="32"/>
      <c r="L439" s="32"/>
      <c r="M439" s="32"/>
      <c r="N439" s="32"/>
      <c r="O439" s="32"/>
      <c r="P439" s="32"/>
      <c r="Q439" s="32"/>
      <c r="R439" s="32"/>
      <c r="S439" s="32"/>
      <c r="T439" s="32"/>
      <c r="U439" s="32"/>
      <c r="V439" s="32"/>
      <c r="W439" s="32"/>
      <c r="X439" s="32"/>
      <c r="Y439" s="32"/>
      <c r="Z439" s="32"/>
    </row>
    <row r="440">
      <c r="A440" s="32" t="str">
        <f>IFERROR(__xludf.DUMMYFUNCTION("""COMPUTED_VALUE"""),"DragonScale Royal Helm")</f>
        <v>DragonScale Royal Helm</v>
      </c>
      <c r="B440" s="32"/>
      <c r="C440" s="32"/>
      <c r="D440" s="32" t="str">
        <f>IFERROR(__xludf.DUMMYFUNCTION("""COMPUTED_VALUE"""),"Head")</f>
        <v>Head</v>
      </c>
      <c r="E440" s="32">
        <f>IFERROR(__xludf.DUMMYFUNCTION("""COMPUTED_VALUE"""),200.0)</f>
        <v>200</v>
      </c>
      <c r="F440" s="32"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32">
        <f>IFERROR(__xludf.DUMMYFUNCTION("""COMPUTED_VALUE"""),9.73E7)</f>
        <v>97300000</v>
      </c>
      <c r="H440" s="32"/>
      <c r="I440" s="32"/>
      <c r="J440" s="32"/>
      <c r="K440" s="32"/>
      <c r="L440" s="32"/>
      <c r="M440" s="32"/>
      <c r="N440" s="32"/>
      <c r="O440" s="32"/>
      <c r="P440" s="32"/>
      <c r="Q440" s="32"/>
      <c r="R440" s="32"/>
      <c r="S440" s="32"/>
      <c r="T440" s="32"/>
      <c r="U440" s="32"/>
      <c r="V440" s="32"/>
      <c r="W440" s="32"/>
      <c r="X440" s="32"/>
      <c r="Y440" s="32"/>
      <c r="Z440" s="32"/>
    </row>
    <row r="441">
      <c r="A441" s="32" t="str">
        <f>IFERROR(__xludf.DUMMYFUNCTION("""COMPUTED_VALUE"""),"DragonScale Royal Chestplate")</f>
        <v>DragonScale Royal Chestplate</v>
      </c>
      <c r="B441" s="32"/>
      <c r="C441" s="32"/>
      <c r="D441" s="32" t="str">
        <f>IFERROR(__xludf.DUMMYFUNCTION("""COMPUTED_VALUE"""),"Torso")</f>
        <v>Torso</v>
      </c>
      <c r="E441" s="32">
        <f>IFERROR(__xludf.DUMMYFUNCTION("""COMPUTED_VALUE"""),200.0)</f>
        <v>200</v>
      </c>
      <c r="F441" s="32"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32">
        <f>IFERROR(__xludf.DUMMYFUNCTION("""COMPUTED_VALUE"""),5.995E7)</f>
        <v>59950000</v>
      </c>
      <c r="H441" s="32"/>
      <c r="I441" s="32"/>
      <c r="J441" s="32"/>
      <c r="K441" s="32"/>
      <c r="L441" s="32"/>
      <c r="M441" s="32"/>
      <c r="N441" s="32"/>
      <c r="O441" s="32"/>
      <c r="P441" s="32"/>
      <c r="Q441" s="32"/>
      <c r="R441" s="32"/>
      <c r="S441" s="32"/>
      <c r="T441" s="32"/>
      <c r="U441" s="32"/>
      <c r="V441" s="32"/>
      <c r="W441" s="32"/>
      <c r="X441" s="32"/>
      <c r="Y441" s="32"/>
      <c r="Z441" s="32"/>
    </row>
    <row r="442">
      <c r="A442" s="32" t="str">
        <f>IFERROR(__xludf.DUMMYFUNCTION("""COMPUTED_VALUE"""),"DragonScale Royal Vambraces")</f>
        <v>DragonScale Royal Vambraces</v>
      </c>
      <c r="B442" s="32"/>
      <c r="C442" s="32"/>
      <c r="D442" s="32" t="str">
        <f>IFERROR(__xludf.DUMMYFUNCTION("""COMPUTED_VALUE"""),"Arms")</f>
        <v>Arms</v>
      </c>
      <c r="E442" s="32">
        <f>IFERROR(__xludf.DUMMYFUNCTION("""COMPUTED_VALUE"""),200.0)</f>
        <v>200</v>
      </c>
      <c r="F442" s="3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32">
        <f>IFERROR(__xludf.DUMMYFUNCTION("""COMPUTED_VALUE"""),3.16E7)</f>
        <v>31600000</v>
      </c>
      <c r="H442" s="32"/>
      <c r="I442" s="32"/>
      <c r="J442" s="32"/>
      <c r="K442" s="32"/>
      <c r="L442" s="32"/>
      <c r="M442" s="32"/>
      <c r="N442" s="32"/>
      <c r="O442" s="32"/>
      <c r="P442" s="32"/>
      <c r="Q442" s="32"/>
      <c r="R442" s="32"/>
      <c r="S442" s="32"/>
      <c r="T442" s="32"/>
      <c r="U442" s="32"/>
      <c r="V442" s="32"/>
      <c r="W442" s="32"/>
      <c r="X442" s="32"/>
      <c r="Y442" s="32"/>
      <c r="Z442" s="32"/>
    </row>
    <row r="443">
      <c r="A443" s="32" t="str">
        <f>IFERROR(__xludf.DUMMYFUNCTION("""COMPUTED_VALUE"""),"DragonScale Royal Greaves")</f>
        <v>DragonScale Royal Greaves</v>
      </c>
      <c r="B443" s="32"/>
      <c r="C443" s="32"/>
      <c r="D443" s="32" t="str">
        <f>IFERROR(__xludf.DUMMYFUNCTION("""COMPUTED_VALUE"""),"Legs")</f>
        <v>Legs</v>
      </c>
      <c r="E443" s="32">
        <f>IFERROR(__xludf.DUMMYFUNCTION("""COMPUTED_VALUE"""),200.0)</f>
        <v>200</v>
      </c>
      <c r="F443" s="3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32">
        <f>IFERROR(__xludf.DUMMYFUNCTION("""COMPUTED_VALUE"""),3.16E7)</f>
        <v>31600000</v>
      </c>
      <c r="H443" s="32"/>
      <c r="I443" s="32"/>
      <c r="J443" s="32"/>
      <c r="K443" s="32"/>
      <c r="L443" s="32"/>
      <c r="M443" s="32"/>
      <c r="N443" s="32"/>
      <c r="O443" s="32"/>
      <c r="P443" s="32"/>
      <c r="Q443" s="32"/>
      <c r="R443" s="32"/>
      <c r="S443" s="32"/>
      <c r="T443" s="32"/>
      <c r="U443" s="32"/>
      <c r="V443" s="32"/>
      <c r="W443" s="32"/>
      <c r="X443" s="32"/>
      <c r="Y443" s="32"/>
      <c r="Z443" s="32"/>
    </row>
    <row r="444">
      <c r="A444" s="32" t="str">
        <f>IFERROR(__xludf.DUMMYFUNCTION("""COMPUTED_VALUE"""),"DragonScale Royal Shield")</f>
        <v>DragonScale Royal Shield</v>
      </c>
      <c r="B444" s="32"/>
      <c r="C444" s="32" t="str">
        <f>IFERROR(__xludf.DUMMYFUNCTION("""COMPUTED_VALUE"""),"Towershield")</f>
        <v>Towershield</v>
      </c>
      <c r="D444" s="32" t="str">
        <f>IFERROR(__xludf.DUMMYFUNCTION("""COMPUTED_VALUE"""),"Hand")</f>
        <v>Hand</v>
      </c>
      <c r="E444" s="32">
        <f>IFERROR(__xludf.DUMMYFUNCTION("""COMPUTED_VALUE"""),200.0)</f>
        <v>200</v>
      </c>
      <c r="F444" s="32"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32">
        <f>IFERROR(__xludf.DUMMYFUNCTION("""COMPUTED_VALUE"""),2.1945E8)</f>
        <v>219450000</v>
      </c>
      <c r="H444" s="32"/>
      <c r="I444" s="32"/>
      <c r="J444" s="32"/>
      <c r="K444" s="32"/>
      <c r="L444" s="32"/>
      <c r="M444" s="32"/>
      <c r="N444" s="32"/>
      <c r="O444" s="32"/>
      <c r="P444" s="32"/>
      <c r="Q444" s="32"/>
      <c r="R444" s="32"/>
      <c r="S444" s="32"/>
      <c r="T444" s="32"/>
      <c r="U444" s="32"/>
      <c r="V444" s="32"/>
      <c r="W444" s="32"/>
      <c r="X444" s="32"/>
      <c r="Y444" s="32"/>
      <c r="Z444" s="32"/>
    </row>
    <row r="445">
      <c r="A445" s="32" t="str">
        <f>IFERROR(__xludf.DUMMYFUNCTION("""COMPUTED_VALUE"""),"DragonScale Royal Boots")</f>
        <v>DragonScale Royal Boots</v>
      </c>
      <c r="B445" s="32"/>
      <c r="C445" s="32"/>
      <c r="D445" s="32" t="str">
        <f>IFERROR(__xludf.DUMMYFUNCTION("""COMPUTED_VALUE"""),"Feet")</f>
        <v>Feet</v>
      </c>
      <c r="E445" s="32">
        <f>IFERROR(__xludf.DUMMYFUNCTION("""COMPUTED_VALUE"""),200.0)</f>
        <v>200</v>
      </c>
      <c r="F445" s="32"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32">
        <f>IFERROR(__xludf.DUMMYFUNCTION("""COMPUTED_VALUE"""),5.356E7)</f>
        <v>53560000</v>
      </c>
      <c r="H445" s="32"/>
      <c r="I445" s="32"/>
      <c r="J445" s="32"/>
      <c r="K445" s="32"/>
      <c r="L445" s="32"/>
      <c r="M445" s="32"/>
      <c r="N445" s="32"/>
      <c r="O445" s="32"/>
      <c r="P445" s="32"/>
      <c r="Q445" s="32"/>
      <c r="R445" s="32"/>
      <c r="S445" s="32"/>
      <c r="T445" s="32"/>
      <c r="U445" s="32"/>
      <c r="V445" s="32"/>
      <c r="W445" s="32"/>
      <c r="X445" s="32"/>
      <c r="Y445" s="32"/>
      <c r="Z445" s="32"/>
    </row>
    <row r="446">
      <c r="A446" s="32" t="str">
        <f>IFERROR(__xludf.DUMMYFUNCTION("""COMPUTED_VALUE"""),"DragonScale Royal Pauldrons")</f>
        <v>DragonScale Royal Pauldrons</v>
      </c>
      <c r="B446" s="32"/>
      <c r="C446" s="32"/>
      <c r="D446" s="32" t="str">
        <f>IFERROR(__xludf.DUMMYFUNCTION("""COMPUTED_VALUE"""),"Shoulders")</f>
        <v>Shoulders</v>
      </c>
      <c r="E446" s="32">
        <f>IFERROR(__xludf.DUMMYFUNCTION("""COMPUTED_VALUE"""),200.0)</f>
        <v>200</v>
      </c>
      <c r="F446" s="32"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32">
        <f>IFERROR(__xludf.DUMMYFUNCTION("""COMPUTED_VALUE"""),4.95E7)</f>
        <v>49500000</v>
      </c>
      <c r="H446" s="32"/>
      <c r="I446" s="32"/>
      <c r="J446" s="32"/>
      <c r="K446" s="32"/>
      <c r="L446" s="32"/>
      <c r="M446" s="32"/>
      <c r="N446" s="32"/>
      <c r="O446" s="32"/>
      <c r="P446" s="32"/>
      <c r="Q446" s="32"/>
      <c r="R446" s="32"/>
      <c r="S446" s="32"/>
      <c r="T446" s="32"/>
      <c r="U446" s="32"/>
      <c r="V446" s="32"/>
      <c r="W446" s="32"/>
      <c r="X446" s="32"/>
      <c r="Y446" s="32"/>
      <c r="Z446" s="32"/>
    </row>
    <row r="447">
      <c r="A447" s="32" t="str">
        <f>IFERROR(__xludf.DUMMYFUNCTION("""COMPUTED_VALUE"""),"BLADE! OF! JUSTICE!!!!")</f>
        <v>BLADE! OF! JUSTICE!!!!</v>
      </c>
      <c r="B447" s="32"/>
      <c r="C447" s="32" t="str">
        <f>IFERROR(__xludf.DUMMYFUNCTION("""COMPUTED_VALUE"""),"Sword")</f>
        <v>Sword</v>
      </c>
      <c r="D447" s="32" t="str">
        <f>IFERROR(__xludf.DUMMYFUNCTION("""COMPUTED_VALUE"""),"Hand")</f>
        <v>Hand</v>
      </c>
      <c r="E447" s="32">
        <f>IFERROR(__xludf.DUMMYFUNCTION("""COMPUTED_VALUE"""),200.0)</f>
        <v>200</v>
      </c>
      <c r="F447" s="32"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32">
        <f>IFERROR(__xludf.DUMMYFUNCTION("""COMPUTED_VALUE"""),3.367E8)</f>
        <v>336700000</v>
      </c>
      <c r="H447" s="32"/>
      <c r="I447" s="32"/>
      <c r="J447" s="32"/>
      <c r="K447" s="32"/>
      <c r="L447" s="32"/>
      <c r="M447" s="32"/>
      <c r="N447" s="32"/>
      <c r="O447" s="32"/>
      <c r="P447" s="32"/>
      <c r="Q447" s="32"/>
      <c r="R447" s="32"/>
      <c r="S447" s="32"/>
      <c r="T447" s="32"/>
      <c r="U447" s="32"/>
      <c r="V447" s="32"/>
      <c r="W447" s="32"/>
      <c r="X447" s="32"/>
      <c r="Y447" s="32"/>
      <c r="Z447" s="32"/>
    </row>
    <row r="448">
      <c r="A448" s="32" t="str">
        <f>IFERROR(__xludf.DUMMYFUNCTION("""COMPUTED_VALUE"""),"Abstara Royal Helm")</f>
        <v>Abstara Royal Helm</v>
      </c>
      <c r="B448" s="32"/>
      <c r="C448" s="32"/>
      <c r="D448" s="32" t="str">
        <f>IFERROR(__xludf.DUMMYFUNCTION("""COMPUTED_VALUE"""),"Head")</f>
        <v>Head</v>
      </c>
      <c r="E448" s="32">
        <f>IFERROR(__xludf.DUMMYFUNCTION("""COMPUTED_VALUE"""),200.0)</f>
        <v>200</v>
      </c>
      <c r="F448"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32">
        <f>IFERROR(__xludf.DUMMYFUNCTION("""COMPUTED_VALUE"""),1.99E8)</f>
        <v>199000000</v>
      </c>
      <c r="H448" s="32"/>
      <c r="I448" s="32"/>
      <c r="J448" s="32"/>
      <c r="K448" s="32"/>
      <c r="L448" s="32"/>
      <c r="M448" s="32"/>
      <c r="N448" s="32"/>
      <c r="O448" s="32"/>
      <c r="P448" s="32"/>
      <c r="Q448" s="32"/>
      <c r="R448" s="32"/>
      <c r="S448" s="32"/>
      <c r="T448" s="32"/>
      <c r="U448" s="32"/>
      <c r="V448" s="32"/>
      <c r="W448" s="32"/>
      <c r="X448" s="32"/>
      <c r="Y448" s="32"/>
      <c r="Z448" s="32"/>
    </row>
    <row r="449">
      <c r="A449" s="32" t="str">
        <f>IFERROR(__xludf.DUMMYFUNCTION("""COMPUTED_VALUE"""),"Abstara Royal Chestplate")</f>
        <v>Abstara Royal Chestplate</v>
      </c>
      <c r="B449" s="32"/>
      <c r="C449" s="32"/>
      <c r="D449" s="32" t="str">
        <f>IFERROR(__xludf.DUMMYFUNCTION("""COMPUTED_VALUE"""),"Torso")</f>
        <v>Torso</v>
      </c>
      <c r="E449" s="32">
        <f>IFERROR(__xludf.DUMMYFUNCTION("""COMPUTED_VALUE"""),200.0)</f>
        <v>200</v>
      </c>
      <c r="F449"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32">
        <f>IFERROR(__xludf.DUMMYFUNCTION("""COMPUTED_VALUE"""),1.99E8)</f>
        <v>199000000</v>
      </c>
      <c r="H449" s="32"/>
      <c r="I449" s="32"/>
      <c r="J449" s="32"/>
      <c r="K449" s="32"/>
      <c r="L449" s="32"/>
      <c r="M449" s="32"/>
      <c r="N449" s="32"/>
      <c r="O449" s="32"/>
      <c r="P449" s="32"/>
      <c r="Q449" s="32"/>
      <c r="R449" s="32"/>
      <c r="S449" s="32"/>
      <c r="T449" s="32"/>
      <c r="U449" s="32"/>
      <c r="V449" s="32"/>
      <c r="W449" s="32"/>
      <c r="X449" s="32"/>
      <c r="Y449" s="32"/>
      <c r="Z449" s="32"/>
    </row>
    <row r="450">
      <c r="A450" s="32" t="str">
        <f>IFERROR(__xludf.DUMMYFUNCTION("""COMPUTED_VALUE"""),"Abstara Royal Vambraces")</f>
        <v>Abstara Royal Vambraces</v>
      </c>
      <c r="B450" s="32"/>
      <c r="C450" s="32"/>
      <c r="D450" s="32" t="str">
        <f>IFERROR(__xludf.DUMMYFUNCTION("""COMPUTED_VALUE"""),"Arms")</f>
        <v>Arms</v>
      </c>
      <c r="E450" s="32">
        <f>IFERROR(__xludf.DUMMYFUNCTION("""COMPUTED_VALUE"""),200.0)</f>
        <v>200</v>
      </c>
      <c r="F450"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32">
        <f>IFERROR(__xludf.DUMMYFUNCTION("""COMPUTED_VALUE"""),1.99E8)</f>
        <v>199000000</v>
      </c>
      <c r="H450" s="32"/>
      <c r="I450" s="32"/>
      <c r="J450" s="32"/>
      <c r="K450" s="32"/>
      <c r="L450" s="32"/>
      <c r="M450" s="32"/>
      <c r="N450" s="32"/>
      <c r="O450" s="32"/>
      <c r="P450" s="32"/>
      <c r="Q450" s="32"/>
      <c r="R450" s="32"/>
      <c r="S450" s="32"/>
      <c r="T450" s="32"/>
      <c r="U450" s="32"/>
      <c r="V450" s="32"/>
      <c r="W450" s="32"/>
      <c r="X450" s="32"/>
      <c r="Y450" s="32"/>
      <c r="Z450" s="32"/>
    </row>
    <row r="451">
      <c r="A451" s="32" t="str">
        <f>IFERROR(__xludf.DUMMYFUNCTION("""COMPUTED_VALUE"""),"Abstara Royal Greaves")</f>
        <v>Abstara Royal Greaves</v>
      </c>
      <c r="B451" s="32"/>
      <c r="C451" s="32"/>
      <c r="D451" s="32" t="str">
        <f>IFERROR(__xludf.DUMMYFUNCTION("""COMPUTED_VALUE"""),"Legs")</f>
        <v>Legs</v>
      </c>
      <c r="E451" s="32">
        <f>IFERROR(__xludf.DUMMYFUNCTION("""COMPUTED_VALUE"""),200.0)</f>
        <v>200</v>
      </c>
      <c r="F451"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32">
        <f>IFERROR(__xludf.DUMMYFUNCTION("""COMPUTED_VALUE"""),1.99E8)</f>
        <v>199000000</v>
      </c>
      <c r="H451" s="32"/>
      <c r="I451" s="32"/>
      <c r="J451" s="32"/>
      <c r="K451" s="32"/>
      <c r="L451" s="32"/>
      <c r="M451" s="32"/>
      <c r="N451" s="32"/>
      <c r="O451" s="32"/>
      <c r="P451" s="32"/>
      <c r="Q451" s="32"/>
      <c r="R451" s="32"/>
      <c r="S451" s="32"/>
      <c r="T451" s="32"/>
      <c r="U451" s="32"/>
      <c r="V451" s="32"/>
      <c r="W451" s="32"/>
      <c r="X451" s="32"/>
      <c r="Y451" s="32"/>
      <c r="Z451" s="32"/>
    </row>
    <row r="452">
      <c r="A452" s="32" t="str">
        <f>IFERROR(__xludf.DUMMYFUNCTION("""COMPUTED_VALUE"""),"Abstara Royal Shield")</f>
        <v>Abstara Royal Shield</v>
      </c>
      <c r="B452" s="32"/>
      <c r="C452" s="32" t="str">
        <f>IFERROR(__xludf.DUMMYFUNCTION("""COMPUTED_VALUE"""),"Towershield")</f>
        <v>Towershield</v>
      </c>
      <c r="D452" s="32" t="str">
        <f>IFERROR(__xludf.DUMMYFUNCTION("""COMPUTED_VALUE"""),"Hand")</f>
        <v>Hand</v>
      </c>
      <c r="E452" s="32">
        <f>IFERROR(__xludf.DUMMYFUNCTION("""COMPUTED_VALUE"""),200.0)</f>
        <v>200</v>
      </c>
      <c r="F452"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32">
        <f>IFERROR(__xludf.DUMMYFUNCTION("""COMPUTED_VALUE"""),1.99E8)</f>
        <v>199000000</v>
      </c>
      <c r="H452" s="32"/>
      <c r="I452" s="32"/>
      <c r="J452" s="32"/>
      <c r="K452" s="32"/>
      <c r="L452" s="32"/>
      <c r="M452" s="32"/>
      <c r="N452" s="32"/>
      <c r="O452" s="32"/>
      <c r="P452" s="32"/>
      <c r="Q452" s="32"/>
      <c r="R452" s="32"/>
      <c r="S452" s="32"/>
      <c r="T452" s="32"/>
      <c r="U452" s="32"/>
      <c r="V452" s="32"/>
      <c r="W452" s="32"/>
      <c r="X452" s="32"/>
      <c r="Y452" s="32"/>
      <c r="Z452" s="32"/>
    </row>
    <row r="453">
      <c r="A453" s="32" t="str">
        <f>IFERROR(__xludf.DUMMYFUNCTION("""COMPUTED_VALUE"""),"Abstara Royal Boots")</f>
        <v>Abstara Royal Boots</v>
      </c>
      <c r="B453" s="32"/>
      <c r="C453" s="32"/>
      <c r="D453" s="32" t="str">
        <f>IFERROR(__xludf.DUMMYFUNCTION("""COMPUTED_VALUE"""),"Feet")</f>
        <v>Feet</v>
      </c>
      <c r="E453" s="32">
        <f>IFERROR(__xludf.DUMMYFUNCTION("""COMPUTED_VALUE"""),200.0)</f>
        <v>200</v>
      </c>
      <c r="F453"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32">
        <f>IFERROR(__xludf.DUMMYFUNCTION("""COMPUTED_VALUE"""),1.99E8)</f>
        <v>199000000</v>
      </c>
      <c r="H453" s="32"/>
      <c r="I453" s="32"/>
      <c r="J453" s="32"/>
      <c r="K453" s="32"/>
      <c r="L453" s="32"/>
      <c r="M453" s="32"/>
      <c r="N453" s="32"/>
      <c r="O453" s="32"/>
      <c r="P453" s="32"/>
      <c r="Q453" s="32"/>
      <c r="R453" s="32"/>
      <c r="S453" s="32"/>
      <c r="T453" s="32"/>
      <c r="U453" s="32"/>
      <c r="V453" s="32"/>
      <c r="W453" s="32"/>
      <c r="X453" s="32"/>
      <c r="Y453" s="32"/>
      <c r="Z453" s="32"/>
    </row>
    <row r="454">
      <c r="A454" s="32" t="str">
        <f>IFERROR(__xludf.DUMMYFUNCTION("""COMPUTED_VALUE"""),"Abstara Royal Pauldrons")</f>
        <v>Abstara Royal Pauldrons</v>
      </c>
      <c r="B454" s="32"/>
      <c r="C454" s="32"/>
      <c r="D454" s="32" t="str">
        <f>IFERROR(__xludf.DUMMYFUNCTION("""COMPUTED_VALUE"""),"Shoulders")</f>
        <v>Shoulders</v>
      </c>
      <c r="E454" s="32">
        <f>IFERROR(__xludf.DUMMYFUNCTION("""COMPUTED_VALUE"""),200.0)</f>
        <v>200</v>
      </c>
      <c r="F454" s="3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32">
        <f>IFERROR(__xludf.DUMMYFUNCTION("""COMPUTED_VALUE"""),1.99E8)</f>
        <v>199000000</v>
      </c>
      <c r="H454" s="32"/>
      <c r="I454" s="32"/>
      <c r="J454" s="32"/>
      <c r="K454" s="32"/>
      <c r="L454" s="32"/>
      <c r="M454" s="32"/>
      <c r="N454" s="32"/>
      <c r="O454" s="32"/>
      <c r="P454" s="32"/>
      <c r="Q454" s="32"/>
      <c r="R454" s="32"/>
      <c r="S454" s="32"/>
      <c r="T454" s="32"/>
      <c r="U454" s="32"/>
      <c r="V454" s="32"/>
      <c r="W454" s="32"/>
      <c r="X454" s="32"/>
      <c r="Y454" s="32"/>
      <c r="Z454" s="32"/>
    </row>
    <row r="455">
      <c r="A455" s="32" t="str">
        <f>IFERROR(__xludf.DUMMYFUNCTION("""COMPUTED_VALUE"""),"Feathered Hat of Roguish ""Justice""")</f>
        <v>Feathered Hat of Roguish "Justice"</v>
      </c>
      <c r="B455" s="32" t="str">
        <f>IFERROR(__xludf.DUMMYFUNCTION("""COMPUTED_VALUE"""),"Quest Item")</f>
        <v>Quest Item</v>
      </c>
      <c r="C455" s="32"/>
      <c r="D455" s="32" t="str">
        <f>IFERROR(__xludf.DUMMYFUNCTION("""COMPUTED_VALUE"""),"Head")</f>
        <v>Head</v>
      </c>
      <c r="E455" s="32">
        <f>IFERROR(__xludf.DUMMYFUNCTION("""COMPUTED_VALUE"""),200.0)</f>
        <v>200</v>
      </c>
      <c r="F455" s="3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32">
        <f>IFERROR(__xludf.DUMMYFUNCTION("""COMPUTED_VALUE"""),3.16E7)</f>
        <v>31600000</v>
      </c>
      <c r="H455" s="32"/>
      <c r="I455" s="32"/>
      <c r="J455" s="32"/>
      <c r="K455" s="32"/>
      <c r="L455" s="32"/>
      <c r="M455" s="32"/>
      <c r="N455" s="32"/>
      <c r="O455" s="32"/>
      <c r="P455" s="32"/>
      <c r="Q455" s="32"/>
      <c r="R455" s="32"/>
      <c r="S455" s="32"/>
      <c r="T455" s="32"/>
      <c r="U455" s="32"/>
      <c r="V455" s="32"/>
      <c r="W455" s="32"/>
      <c r="X455" s="32"/>
      <c r="Y455" s="32"/>
      <c r="Z455" s="32"/>
    </row>
    <row r="456">
      <c r="A456" s="32" t="str">
        <f>IFERROR(__xludf.DUMMYFUNCTION("""COMPUTED_VALUE"""),"Cape of Misdeed")</f>
        <v>Cape of Misdeed</v>
      </c>
      <c r="B456" s="32" t="str">
        <f>IFERROR(__xludf.DUMMYFUNCTION("""COMPUTED_VALUE"""),"Quest Item")</f>
        <v>Quest Item</v>
      </c>
      <c r="C456" s="32"/>
      <c r="D456" s="32" t="str">
        <f>IFERROR(__xludf.DUMMYFUNCTION("""COMPUTED_VALUE"""),"Shoulders")</f>
        <v>Shoulders</v>
      </c>
      <c r="E456" s="32">
        <f>IFERROR(__xludf.DUMMYFUNCTION("""COMPUTED_VALUE"""),200.0)</f>
        <v>200</v>
      </c>
      <c r="F456" s="32"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32">
        <f>IFERROR(__xludf.DUMMYFUNCTION("""COMPUTED_VALUE"""),9460000.0)</f>
        <v>9460000</v>
      </c>
      <c r="H456" s="32"/>
      <c r="I456" s="32"/>
      <c r="J456" s="32"/>
      <c r="K456" s="32"/>
      <c r="L456" s="32"/>
      <c r="M456" s="32"/>
      <c r="N456" s="32"/>
      <c r="O456" s="32"/>
      <c r="P456" s="32"/>
      <c r="Q456" s="32"/>
      <c r="R456" s="32"/>
      <c r="S456" s="32"/>
      <c r="T456" s="32"/>
      <c r="U456" s="32"/>
      <c r="V456" s="32"/>
      <c r="W456" s="32"/>
      <c r="X456" s="32"/>
      <c r="Y456" s="32"/>
      <c r="Z456" s="32"/>
    </row>
    <row r="457">
      <c r="A457" s="32" t="str">
        <f>IFERROR(__xludf.DUMMYFUNCTION("""COMPUTED_VALUE"""),"Doublet of Debauchery")</f>
        <v>Doublet of Debauchery</v>
      </c>
      <c r="B457" s="32" t="str">
        <f>IFERROR(__xludf.DUMMYFUNCTION("""COMPUTED_VALUE"""),"Quest Item")</f>
        <v>Quest Item</v>
      </c>
      <c r="C457" s="32"/>
      <c r="D457" s="32" t="str">
        <f>IFERROR(__xludf.DUMMYFUNCTION("""COMPUTED_VALUE"""),"Torso")</f>
        <v>Torso</v>
      </c>
      <c r="E457" s="32">
        <f>IFERROR(__xludf.DUMMYFUNCTION("""COMPUTED_VALUE"""),200.0)</f>
        <v>200</v>
      </c>
      <c r="F457" s="32"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32">
        <f>IFERROR(__xludf.DUMMYFUNCTION("""COMPUTED_VALUE"""),9.73E7)</f>
        <v>97300000</v>
      </c>
      <c r="H457" s="32"/>
      <c r="I457" s="32"/>
      <c r="J457" s="32"/>
      <c r="K457" s="32"/>
      <c r="L457" s="32"/>
      <c r="M457" s="32"/>
      <c r="N457" s="32"/>
      <c r="O457" s="32"/>
      <c r="P457" s="32"/>
      <c r="Q457" s="32"/>
      <c r="R457" s="32"/>
      <c r="S457" s="32"/>
      <c r="T457" s="32"/>
      <c r="U457" s="32"/>
      <c r="V457" s="32"/>
      <c r="W457" s="32"/>
      <c r="X457" s="32"/>
      <c r="Y457" s="32"/>
      <c r="Z457" s="32"/>
    </row>
    <row r="458">
      <c r="A458" s="32" t="str">
        <f>IFERROR(__xludf.DUMMYFUNCTION("""COMPUTED_VALUE"""),"Leather Boots of Softstep")</f>
        <v>Leather Boots of Softstep</v>
      </c>
      <c r="B458" s="32" t="str">
        <f>IFERROR(__xludf.DUMMYFUNCTION("""COMPUTED_VALUE"""),"Quest Item")</f>
        <v>Quest Item</v>
      </c>
      <c r="C458" s="32"/>
      <c r="D458" s="32" t="str">
        <f>IFERROR(__xludf.DUMMYFUNCTION("""COMPUTED_VALUE"""),"Feet")</f>
        <v>Feet</v>
      </c>
      <c r="E458" s="32">
        <f>IFERROR(__xludf.DUMMYFUNCTION("""COMPUTED_VALUE"""),200.0)</f>
        <v>200</v>
      </c>
      <c r="F458" s="3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32">
        <f>IFERROR(__xludf.DUMMYFUNCTION("""COMPUTED_VALUE"""),3.16E7)</f>
        <v>31600000</v>
      </c>
      <c r="H458" s="32"/>
      <c r="I458" s="32"/>
      <c r="J458" s="32"/>
      <c r="K458" s="32"/>
      <c r="L458" s="32"/>
      <c r="M458" s="32"/>
      <c r="N458" s="32"/>
      <c r="O458" s="32"/>
      <c r="P458" s="32"/>
      <c r="Q458" s="32"/>
      <c r="R458" s="32"/>
      <c r="S458" s="32"/>
      <c r="T458" s="32"/>
      <c r="U458" s="32"/>
      <c r="V458" s="32"/>
      <c r="W458" s="32"/>
      <c r="X458" s="32"/>
      <c r="Y458" s="32"/>
      <c r="Z458" s="32"/>
    </row>
    <row r="459">
      <c r="A459" s="32" t="str">
        <f>IFERROR(__xludf.DUMMYFUNCTION("""COMPUTED_VALUE"""),"Tights of Fabulous Thievery")</f>
        <v>Tights of Fabulous Thievery</v>
      </c>
      <c r="B459" s="32" t="str">
        <f>IFERROR(__xludf.DUMMYFUNCTION("""COMPUTED_VALUE"""),"Quest Item")</f>
        <v>Quest Item</v>
      </c>
      <c r="C459" s="32"/>
      <c r="D459" s="32" t="str">
        <f>IFERROR(__xludf.DUMMYFUNCTION("""COMPUTED_VALUE"""),"Legs")</f>
        <v>Legs</v>
      </c>
      <c r="E459" s="32">
        <f>IFERROR(__xludf.DUMMYFUNCTION("""COMPUTED_VALUE"""),200.0)</f>
        <v>200</v>
      </c>
      <c r="F459" s="3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32">
        <f>IFERROR(__xludf.DUMMYFUNCTION("""COMPUTED_VALUE"""),3.16E7)</f>
        <v>31600000</v>
      </c>
      <c r="H459" s="32"/>
      <c r="I459" s="32"/>
      <c r="J459" s="32"/>
      <c r="K459" s="32"/>
      <c r="L459" s="32"/>
      <c r="M459" s="32"/>
      <c r="N459" s="32"/>
      <c r="O459" s="32"/>
      <c r="P459" s="32"/>
      <c r="Q459" s="32"/>
      <c r="R459" s="32"/>
      <c r="S459" s="32"/>
      <c r="T459" s="32"/>
      <c r="U459" s="32"/>
      <c r="V459" s="32"/>
      <c r="W459" s="32"/>
      <c r="X459" s="32"/>
      <c r="Y459" s="32"/>
      <c r="Z459" s="32"/>
    </row>
    <row r="460">
      <c r="A460" s="32" t="str">
        <f>IFERROR(__xludf.DUMMYFUNCTION("""COMPUTED_VALUE"""),"Fingerless Glove of Anonymity")</f>
        <v>Fingerless Glove of Anonymity</v>
      </c>
      <c r="B460" s="32" t="str">
        <f>IFERROR(__xludf.DUMMYFUNCTION("""COMPUTED_VALUE"""),"Quest Item")</f>
        <v>Quest Item</v>
      </c>
      <c r="C460" s="32" t="str">
        <f>IFERROR(__xludf.DUMMYFUNCTION("""COMPUTED_VALUE"""),"Claw")</f>
        <v>Claw</v>
      </c>
      <c r="D460" s="32" t="str">
        <f>IFERROR(__xludf.DUMMYFUNCTION("""COMPUTED_VALUE"""),"Hand")</f>
        <v>Hand</v>
      </c>
      <c r="E460" s="32">
        <f>IFERROR(__xludf.DUMMYFUNCTION("""COMPUTED_VALUE"""),200.0)</f>
        <v>200</v>
      </c>
      <c r="F460" s="32"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32">
        <f>IFERROR(__xludf.DUMMYFUNCTION("""COMPUTED_VALUE"""),3.16E7)</f>
        <v>31600000</v>
      </c>
      <c r="H460" s="32"/>
      <c r="I460" s="32"/>
      <c r="J460" s="32"/>
      <c r="K460" s="32"/>
      <c r="L460" s="32"/>
      <c r="M460" s="32"/>
      <c r="N460" s="32"/>
      <c r="O460" s="32"/>
      <c r="P460" s="32"/>
      <c r="Q460" s="32"/>
      <c r="R460" s="32"/>
      <c r="S460" s="32"/>
      <c r="T460" s="32"/>
      <c r="U460" s="32"/>
      <c r="V460" s="32"/>
      <c r="W460" s="32"/>
      <c r="X460" s="32"/>
      <c r="Y460" s="32"/>
      <c r="Z460" s="32"/>
    </row>
    <row r="461">
      <c r="A461" s="32" t="str">
        <f>IFERROR(__xludf.DUMMYFUNCTION("""COMPUTED_VALUE"""),"Bracers of Dastardly Deflection")</f>
        <v>Bracers of Dastardly Deflection</v>
      </c>
      <c r="B461" s="32" t="str">
        <f>IFERROR(__xludf.DUMMYFUNCTION("""COMPUTED_VALUE"""),"Quest Item")</f>
        <v>Quest Item</v>
      </c>
      <c r="C461" s="32"/>
      <c r="D461" s="32" t="str">
        <f>IFERROR(__xludf.DUMMYFUNCTION("""COMPUTED_VALUE"""),"Arms")</f>
        <v>Arms</v>
      </c>
      <c r="E461" s="32">
        <f>IFERROR(__xludf.DUMMYFUNCTION("""COMPUTED_VALUE"""),200.0)</f>
        <v>200</v>
      </c>
      <c r="F461" s="3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32">
        <f>IFERROR(__xludf.DUMMYFUNCTION("""COMPUTED_VALUE"""),3.16E7)</f>
        <v>31600000</v>
      </c>
      <c r="H461" s="32"/>
      <c r="I461" s="32"/>
      <c r="J461" s="32"/>
      <c r="K461" s="32"/>
      <c r="L461" s="32"/>
      <c r="M461" s="32"/>
      <c r="N461" s="32"/>
      <c r="O461" s="32"/>
      <c r="P461" s="32"/>
      <c r="Q461" s="32"/>
      <c r="R461" s="32"/>
      <c r="S461" s="32"/>
      <c r="T461" s="32"/>
      <c r="U461" s="32"/>
      <c r="V461" s="32"/>
      <c r="W461" s="32"/>
      <c r="X461" s="32"/>
      <c r="Y461" s="32"/>
      <c r="Z461" s="32"/>
    </row>
    <row r="462">
      <c r="A462" s="32" t="str">
        <f>IFERROR(__xludf.DUMMYFUNCTION("""COMPUTED_VALUE"""),"Amulet of the Goddess of Theft")</f>
        <v>Amulet of the Goddess of Theft</v>
      </c>
      <c r="B462" s="32" t="str">
        <f>IFERROR(__xludf.DUMMYFUNCTION("""COMPUTED_VALUE"""),"Quest Item")</f>
        <v>Quest Item</v>
      </c>
      <c r="C462" s="32"/>
      <c r="D462" s="32" t="str">
        <f>IFERROR(__xludf.DUMMYFUNCTION("""COMPUTED_VALUE"""),"Neck")</f>
        <v>Neck</v>
      </c>
      <c r="E462" s="32">
        <f>IFERROR(__xludf.DUMMYFUNCTION("""COMPUTED_VALUE"""),1.0)</f>
        <v>1</v>
      </c>
      <c r="F462" s="32"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32">
        <f>IFERROR(__xludf.DUMMYFUNCTION("""COMPUTED_VALUE"""),0.0)</f>
        <v>0</v>
      </c>
      <c r="H462" s="32"/>
      <c r="I462" s="32"/>
      <c r="J462" s="32"/>
      <c r="K462" s="32"/>
      <c r="L462" s="32"/>
      <c r="M462" s="32"/>
      <c r="N462" s="32"/>
      <c r="O462" s="32"/>
      <c r="P462" s="32"/>
      <c r="Q462" s="32"/>
      <c r="R462" s="32"/>
      <c r="S462" s="32"/>
      <c r="T462" s="32"/>
      <c r="U462" s="32"/>
      <c r="V462" s="32"/>
      <c r="W462" s="32"/>
      <c r="X462" s="32"/>
      <c r="Y462" s="32"/>
      <c r="Z462" s="32"/>
    </row>
    <row r="463">
      <c r="A463" s="32" t="str">
        <f>IFERROR(__xludf.DUMMYFUNCTION("""COMPUTED_VALUE"""),"Flute of The Majestic Forest")</f>
        <v>Flute of The Majestic Forest</v>
      </c>
      <c r="B463" s="32"/>
      <c r="C463" s="32" t="str">
        <f>IFERROR(__xludf.DUMMYFUNCTION("""COMPUTED_VALUE"""),"Instrument")</f>
        <v>Instrument</v>
      </c>
      <c r="D463" s="32" t="str">
        <f>IFERROR(__xludf.DUMMYFUNCTION("""COMPUTED_VALUE"""),"Hand")</f>
        <v>Hand</v>
      </c>
      <c r="E463" s="32">
        <f>IFERROR(__xludf.DUMMYFUNCTION("""COMPUTED_VALUE"""),300.0)</f>
        <v>300</v>
      </c>
      <c r="F463" s="32"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32">
        <f>IFERROR(__xludf.DUMMYFUNCTION("""COMPUTED_VALUE"""),4350000.0)</f>
        <v>4350000</v>
      </c>
      <c r="H463" s="32"/>
      <c r="I463" s="32"/>
      <c r="J463" s="32"/>
      <c r="K463" s="32"/>
      <c r="L463" s="32"/>
      <c r="M463" s="32"/>
      <c r="N463" s="32"/>
      <c r="O463" s="32"/>
      <c r="P463" s="32"/>
      <c r="Q463" s="32"/>
      <c r="R463" s="32"/>
      <c r="S463" s="32"/>
      <c r="T463" s="32"/>
      <c r="U463" s="32"/>
      <c r="V463" s="32"/>
      <c r="W463" s="32"/>
      <c r="X463" s="32"/>
      <c r="Y463" s="32"/>
      <c r="Z463" s="32"/>
    </row>
    <row r="464">
      <c r="A464" s="32" t="str">
        <f>IFERROR(__xludf.DUMMYFUNCTION("""COMPUTED_VALUE"""),"Heatmore Tribal Drums")</f>
        <v>Heatmore Tribal Drums</v>
      </c>
      <c r="B464" s="32"/>
      <c r="C464" s="32" t="str">
        <f>IFERROR(__xludf.DUMMYFUNCTION("""COMPUTED_VALUE"""),"Instrument")</f>
        <v>Instrument</v>
      </c>
      <c r="D464" s="32" t="str">
        <f>IFERROR(__xludf.DUMMYFUNCTION("""COMPUTED_VALUE"""),"Hand")</f>
        <v>Hand</v>
      </c>
      <c r="E464" s="32">
        <f>IFERROR(__xludf.DUMMYFUNCTION("""COMPUTED_VALUE"""),600.0)</f>
        <v>600</v>
      </c>
      <c r="F464" s="32"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32">
        <f>IFERROR(__xludf.DUMMYFUNCTION("""COMPUTED_VALUE"""),1.77E7)</f>
        <v>17700000</v>
      </c>
      <c r="H464" s="32"/>
      <c r="I464" s="32"/>
      <c r="J464" s="32"/>
      <c r="K464" s="32"/>
      <c r="L464" s="32"/>
      <c r="M464" s="32"/>
      <c r="N464" s="32"/>
      <c r="O464" s="32"/>
      <c r="P464" s="32"/>
      <c r="Q464" s="32"/>
      <c r="R464" s="32"/>
      <c r="S464" s="32"/>
      <c r="T464" s="32"/>
      <c r="U464" s="32"/>
      <c r="V464" s="32"/>
      <c r="W464" s="32"/>
      <c r="X464" s="32"/>
      <c r="Y464" s="32"/>
      <c r="Z464" s="32"/>
    </row>
    <row r="465">
      <c r="A465" s="32" t="str">
        <f>IFERROR(__xludf.DUMMYFUNCTION("""COMPUTED_VALUE"""),"Heatmore Tribal Maracas")</f>
        <v>Heatmore Tribal Maracas</v>
      </c>
      <c r="B465" s="32"/>
      <c r="C465" s="32" t="str">
        <f>IFERROR(__xludf.DUMMYFUNCTION("""COMPUTED_VALUE"""),"Instrument")</f>
        <v>Instrument</v>
      </c>
      <c r="D465" s="32" t="str">
        <f>IFERROR(__xludf.DUMMYFUNCTION("""COMPUTED_VALUE"""),"Hand")</f>
        <v>Hand</v>
      </c>
      <c r="E465" s="32">
        <f>IFERROR(__xludf.DUMMYFUNCTION("""COMPUTED_VALUE"""),900.0)</f>
        <v>900</v>
      </c>
      <c r="F465" s="32"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32">
        <f>IFERROR(__xludf.DUMMYFUNCTION("""COMPUTED_VALUE"""),4.005E7)</f>
        <v>40050000</v>
      </c>
      <c r="H465" s="32"/>
      <c r="I465" s="32"/>
      <c r="J465" s="32"/>
      <c r="K465" s="32"/>
      <c r="L465" s="32"/>
      <c r="M465" s="32"/>
      <c r="N465" s="32"/>
      <c r="O465" s="32"/>
      <c r="P465" s="32"/>
      <c r="Q465" s="32"/>
      <c r="R465" s="32"/>
      <c r="S465" s="32"/>
      <c r="T465" s="32"/>
      <c r="U465" s="32"/>
      <c r="V465" s="32"/>
      <c r="W465" s="32"/>
      <c r="X465" s="32"/>
      <c r="Y465" s="32"/>
      <c r="Z465" s="32"/>
    </row>
    <row r="466">
      <c r="A466" s="32" t="str">
        <f>IFERROR(__xludf.DUMMYFUNCTION("""COMPUTED_VALUE"""),"Mask of Creeping Darkness")</f>
        <v>Mask of Creeping Darkness</v>
      </c>
      <c r="B466" s="32" t="str">
        <f>IFERROR(__xludf.DUMMYFUNCTION("""COMPUTED_VALUE"""),"Quest Item")</f>
        <v>Quest Item</v>
      </c>
      <c r="C466" s="32"/>
      <c r="D466" s="32" t="str">
        <f>IFERROR(__xludf.DUMMYFUNCTION("""COMPUTED_VALUE"""),"Head")</f>
        <v>Head</v>
      </c>
      <c r="E466" s="32">
        <f>IFERROR(__xludf.DUMMYFUNCTION("""COMPUTED_VALUE"""),200.0)</f>
        <v>200</v>
      </c>
      <c r="F466" s="32"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32">
        <f>IFERROR(__xludf.DUMMYFUNCTION("""COMPUTED_VALUE"""),1.7955E8)</f>
        <v>179550000</v>
      </c>
      <c r="H466" s="32"/>
      <c r="I466" s="32"/>
      <c r="J466" s="32"/>
      <c r="K466" s="32"/>
      <c r="L466" s="32"/>
      <c r="M466" s="32"/>
      <c r="N466" s="32"/>
      <c r="O466" s="32"/>
      <c r="P466" s="32"/>
      <c r="Q466" s="32"/>
      <c r="R466" s="32"/>
      <c r="S466" s="32"/>
      <c r="T466" s="32"/>
      <c r="U466" s="32"/>
      <c r="V466" s="32"/>
      <c r="W466" s="32"/>
      <c r="X466" s="32"/>
      <c r="Y466" s="32"/>
      <c r="Z466" s="32"/>
    </row>
    <row r="467">
      <c r="A467" s="32" t="str">
        <f>IFERROR(__xludf.DUMMYFUNCTION("""COMPUTED_VALUE"""),"Chest of Evershifting Darkness")</f>
        <v>Chest of Evershifting Darkness</v>
      </c>
      <c r="B467" s="32" t="str">
        <f>IFERROR(__xludf.DUMMYFUNCTION("""COMPUTED_VALUE"""),"Quest Item")</f>
        <v>Quest Item</v>
      </c>
      <c r="C467" s="32"/>
      <c r="D467" s="32" t="str">
        <f>IFERROR(__xludf.DUMMYFUNCTION("""COMPUTED_VALUE"""),"Torso")</f>
        <v>Torso</v>
      </c>
      <c r="E467" s="32">
        <f>IFERROR(__xludf.DUMMYFUNCTION("""COMPUTED_VALUE"""),200.0)</f>
        <v>200</v>
      </c>
      <c r="F467" s="32"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32">
        <f>IFERROR(__xludf.DUMMYFUNCTION("""COMPUTED_VALUE"""),2.1945E8)</f>
        <v>219450000</v>
      </c>
      <c r="H467" s="32"/>
      <c r="I467" s="32"/>
      <c r="J467" s="32"/>
      <c r="K467" s="32"/>
      <c r="L467" s="32"/>
      <c r="M467" s="32"/>
      <c r="N467" s="32"/>
      <c r="O467" s="32"/>
      <c r="P467" s="32"/>
      <c r="Q467" s="32"/>
      <c r="R467" s="32"/>
      <c r="S467" s="32"/>
      <c r="T467" s="32"/>
      <c r="U467" s="32"/>
      <c r="V467" s="32"/>
      <c r="W467" s="32"/>
      <c r="X467" s="32"/>
      <c r="Y467" s="32"/>
      <c r="Z467" s="32"/>
    </row>
    <row r="468">
      <c r="A468" s="32" t="str">
        <f>IFERROR(__xludf.DUMMYFUNCTION("""COMPUTED_VALUE"""),"Leather Boots of EDGINESS")</f>
        <v>Leather Boots of EDGINESS</v>
      </c>
      <c r="B468" s="32" t="str">
        <f>IFERROR(__xludf.DUMMYFUNCTION("""COMPUTED_VALUE"""),"Quest Item")</f>
        <v>Quest Item</v>
      </c>
      <c r="C468" s="32"/>
      <c r="D468" s="32" t="str">
        <f>IFERROR(__xludf.DUMMYFUNCTION("""COMPUTED_VALUE"""),"Feet")</f>
        <v>Feet</v>
      </c>
      <c r="E468" s="32">
        <f>IFERROR(__xludf.DUMMYFUNCTION("""COMPUTED_VALUE"""),200.0)</f>
        <v>200</v>
      </c>
      <c r="F468" s="3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32">
        <f>IFERROR(__xludf.DUMMYFUNCTION("""COMPUTED_VALUE"""),1.7955E8)</f>
        <v>179550000</v>
      </c>
      <c r="H468" s="32"/>
      <c r="I468" s="32"/>
      <c r="J468" s="32"/>
      <c r="K468" s="32"/>
      <c r="L468" s="32"/>
      <c r="M468" s="32"/>
      <c r="N468" s="32"/>
      <c r="O468" s="32"/>
      <c r="P468" s="32"/>
      <c r="Q468" s="32"/>
      <c r="R468" s="32"/>
      <c r="S468" s="32"/>
      <c r="T468" s="32"/>
      <c r="U468" s="32"/>
      <c r="V468" s="32"/>
      <c r="W468" s="32"/>
      <c r="X468" s="32"/>
      <c r="Y468" s="32"/>
      <c r="Z468" s="32"/>
    </row>
    <row r="469">
      <c r="A469" s="32" t="str">
        <f>IFERROR(__xludf.DUMMYFUNCTION("""COMPUTED_VALUE"""),"Silken Gloves of Dexterity")</f>
        <v>Silken Gloves of Dexterity</v>
      </c>
      <c r="B469" s="32" t="str">
        <f>IFERROR(__xludf.DUMMYFUNCTION("""COMPUTED_VALUE"""),"Quest Item")</f>
        <v>Quest Item</v>
      </c>
      <c r="C469" s="32"/>
      <c r="D469" s="32" t="str">
        <f>IFERROR(__xludf.DUMMYFUNCTION("""COMPUTED_VALUE"""),"Arms")</f>
        <v>Arms</v>
      </c>
      <c r="E469" s="32">
        <f>IFERROR(__xludf.DUMMYFUNCTION("""COMPUTED_VALUE"""),200.0)</f>
        <v>200</v>
      </c>
      <c r="F469" s="32"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32">
        <f>IFERROR(__xludf.DUMMYFUNCTION("""COMPUTED_VALUE"""),1.7955E8)</f>
        <v>179550000</v>
      </c>
      <c r="H469" s="32"/>
      <c r="I469" s="32"/>
      <c r="J469" s="32"/>
      <c r="K469" s="32"/>
      <c r="L469" s="32"/>
      <c r="M469" s="32"/>
      <c r="N469" s="32"/>
      <c r="O469" s="32"/>
      <c r="P469" s="32"/>
      <c r="Q469" s="32"/>
      <c r="R469" s="32"/>
      <c r="S469" s="32"/>
      <c r="T469" s="32"/>
      <c r="U469" s="32"/>
      <c r="V469" s="32"/>
      <c r="W469" s="32"/>
      <c r="X469" s="32"/>
      <c r="Y469" s="32"/>
      <c r="Z469" s="32"/>
    </row>
    <row r="470">
      <c r="A470" s="32" t="str">
        <f>IFERROR(__xludf.DUMMYFUNCTION("""COMPUTED_VALUE"""),"Leggings of Swift Death")</f>
        <v>Leggings of Swift Death</v>
      </c>
      <c r="B470" s="32" t="str">
        <f>IFERROR(__xludf.DUMMYFUNCTION("""COMPUTED_VALUE"""),"Quest Item")</f>
        <v>Quest Item</v>
      </c>
      <c r="C470" s="32"/>
      <c r="D470" s="32" t="str">
        <f>IFERROR(__xludf.DUMMYFUNCTION("""COMPUTED_VALUE"""),"Legs")</f>
        <v>Legs</v>
      </c>
      <c r="E470" s="32">
        <f>IFERROR(__xludf.DUMMYFUNCTION("""COMPUTED_VALUE"""),200.0)</f>
        <v>200</v>
      </c>
      <c r="F470" s="3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32">
        <f>IFERROR(__xludf.DUMMYFUNCTION("""COMPUTED_VALUE"""),1.7955E8)</f>
        <v>179550000</v>
      </c>
      <c r="H470" s="32"/>
      <c r="I470" s="32"/>
      <c r="J470" s="32"/>
      <c r="K470" s="32"/>
      <c r="L470" s="32"/>
      <c r="M470" s="32"/>
      <c r="N470" s="32"/>
      <c r="O470" s="32"/>
      <c r="P470" s="32"/>
      <c r="Q470" s="32"/>
      <c r="R470" s="32"/>
      <c r="S470" s="32"/>
      <c r="T470" s="32"/>
      <c r="U470" s="32"/>
      <c r="V470" s="32"/>
      <c r="W470" s="32"/>
      <c r="X470" s="32"/>
      <c r="Y470" s="32"/>
      <c r="Z470" s="32"/>
    </row>
    <row r="471">
      <c r="A471" s="32" t="str">
        <f>IFERROR(__xludf.DUMMYFUNCTION("""COMPUTED_VALUE"""),"Cape of Illusion")</f>
        <v>Cape of Illusion</v>
      </c>
      <c r="B471" s="32" t="str">
        <f>IFERROR(__xludf.DUMMYFUNCTION("""COMPUTED_VALUE"""),"Quest Item")</f>
        <v>Quest Item</v>
      </c>
      <c r="C471" s="32"/>
      <c r="D471" s="32" t="str">
        <f>IFERROR(__xludf.DUMMYFUNCTION("""COMPUTED_VALUE"""),"Shoulders")</f>
        <v>Shoulders</v>
      </c>
      <c r="E471" s="32">
        <f>IFERROR(__xludf.DUMMYFUNCTION("""COMPUTED_VALUE"""),200.0)</f>
        <v>200</v>
      </c>
      <c r="F471" s="32"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32">
        <f>IFERROR(__xludf.DUMMYFUNCTION("""COMPUTED_VALUE"""),1.7955E8)</f>
        <v>179550000</v>
      </c>
      <c r="H471" s="32"/>
      <c r="I471" s="32"/>
      <c r="J471" s="32"/>
      <c r="K471" s="32"/>
      <c r="L471" s="32"/>
      <c r="M471" s="32"/>
      <c r="N471" s="32"/>
      <c r="O471" s="32"/>
      <c r="P471" s="32"/>
      <c r="Q471" s="32"/>
      <c r="R471" s="32"/>
      <c r="S471" s="32"/>
      <c r="T471" s="32"/>
      <c r="U471" s="32"/>
      <c r="V471" s="32"/>
      <c r="W471" s="32"/>
      <c r="X471" s="32"/>
      <c r="Y471" s="32"/>
      <c r="Z471" s="32"/>
    </row>
    <row r="472">
      <c r="A472" s="32" t="str">
        <f>IFERROR(__xludf.DUMMYFUNCTION("""COMPUTED_VALUE"""),"Assassin's Kiss")</f>
        <v>Assassin's Kiss</v>
      </c>
      <c r="B472" s="32" t="str">
        <f>IFERROR(__xludf.DUMMYFUNCTION("""COMPUTED_VALUE"""),"Quest Item")</f>
        <v>Quest Item</v>
      </c>
      <c r="C472" s="32" t="str">
        <f>IFERROR(__xludf.DUMMYFUNCTION("""COMPUTED_VALUE"""),"Knife")</f>
        <v>Knife</v>
      </c>
      <c r="D472" s="32" t="str">
        <f>IFERROR(__xludf.DUMMYFUNCTION("""COMPUTED_VALUE"""),"Hand")</f>
        <v>Hand</v>
      </c>
      <c r="E472" s="32">
        <f>IFERROR(__xludf.DUMMYFUNCTION("""COMPUTED_VALUE"""),200.0)</f>
        <v>200</v>
      </c>
      <c r="F472" s="32"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32">
        <f>IFERROR(__xludf.DUMMYFUNCTION("""COMPUTED_VALUE"""),2.409E8)</f>
        <v>240900000</v>
      </c>
      <c r="H472" s="32"/>
      <c r="I472" s="32"/>
      <c r="J472" s="32"/>
      <c r="K472" s="32"/>
      <c r="L472" s="32"/>
      <c r="M472" s="32"/>
      <c r="N472" s="32"/>
      <c r="O472" s="32"/>
      <c r="P472" s="32"/>
      <c r="Q472" s="32"/>
      <c r="R472" s="32"/>
      <c r="S472" s="32"/>
      <c r="T472" s="32"/>
      <c r="U472" s="32"/>
      <c r="V472" s="32"/>
      <c r="W472" s="32"/>
      <c r="X472" s="32"/>
      <c r="Y472" s="32"/>
      <c r="Z472" s="32"/>
    </row>
    <row r="473">
      <c r="A473" s="32" t="str">
        <f>IFERROR(__xludf.DUMMYFUNCTION("""COMPUTED_VALUE"""),"Night's Edge")</f>
        <v>Night's Edge</v>
      </c>
      <c r="B473" s="32" t="str">
        <f>IFERROR(__xludf.DUMMYFUNCTION("""COMPUTED_VALUE"""),"Quest Item")</f>
        <v>Quest Item</v>
      </c>
      <c r="C473" s="32" t="str">
        <f>IFERROR(__xludf.DUMMYFUNCTION("""COMPUTED_VALUE"""),"Knife")</f>
        <v>Knife</v>
      </c>
      <c r="D473" s="32" t="str">
        <f>IFERROR(__xludf.DUMMYFUNCTION("""COMPUTED_VALUE"""),"Hand")</f>
        <v>Hand</v>
      </c>
      <c r="E473" s="32">
        <f>IFERROR(__xludf.DUMMYFUNCTION("""COMPUTED_VALUE"""),200.0)</f>
        <v>200</v>
      </c>
      <c r="F473" s="32"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32">
        <f>IFERROR(__xludf.DUMMYFUNCTION("""COMPUTED_VALUE"""),2.409E8)</f>
        <v>240900000</v>
      </c>
      <c r="H473" s="32"/>
      <c r="I473" s="32"/>
      <c r="J473" s="32"/>
      <c r="K473" s="32"/>
      <c r="L473" s="32"/>
      <c r="M473" s="32"/>
      <c r="N473" s="32"/>
      <c r="O473" s="32"/>
      <c r="P473" s="32"/>
      <c r="Q473" s="32"/>
      <c r="R473" s="32"/>
      <c r="S473" s="32"/>
      <c r="T473" s="32"/>
      <c r="U473" s="32"/>
      <c r="V473" s="32"/>
      <c r="W473" s="32"/>
      <c r="X473" s="32"/>
      <c r="Y473" s="32"/>
      <c r="Z473" s="32"/>
    </row>
    <row r="474">
      <c r="A474" s="32" t="str">
        <f>IFERROR(__xludf.DUMMYFUNCTION("""COMPUTED_VALUE"""),"Ancient Draconian Deity Necklace")</f>
        <v>Ancient Draconian Deity Necklace</v>
      </c>
      <c r="B474" s="32"/>
      <c r="C474" s="32"/>
      <c r="D474" s="32" t="str">
        <f>IFERROR(__xludf.DUMMYFUNCTION("""COMPUTED_VALUE"""),"Neck")</f>
        <v>Neck</v>
      </c>
      <c r="E474" s="32">
        <f>IFERROR(__xludf.DUMMYFUNCTION("""COMPUTED_VALUE"""),1.0)</f>
        <v>1</v>
      </c>
      <c r="F474" s="32" t="str">
        <f>IFERROR(__xludf.DUMMYFUNCTION("""COMPUTED_VALUE""")," ++5 to all d20 rolls, +-Cannot be duplicated.")</f>
        <v> ++5 to all d20 rolls, +-Cannot be duplicated.</v>
      </c>
      <c r="G474" s="32">
        <f>IFERROR(__xludf.DUMMYFUNCTION("""COMPUTED_VALUE"""),0.0)</f>
        <v>0</v>
      </c>
      <c r="H474" s="32"/>
      <c r="I474" s="32"/>
      <c r="J474" s="32"/>
      <c r="K474" s="32"/>
      <c r="L474" s="32"/>
      <c r="M474" s="32"/>
      <c r="N474" s="32"/>
      <c r="O474" s="32"/>
      <c r="P474" s="32"/>
      <c r="Q474" s="32"/>
      <c r="R474" s="32"/>
      <c r="S474" s="32"/>
      <c r="T474" s="32"/>
      <c r="U474" s="32"/>
      <c r="V474" s="32"/>
      <c r="W474" s="32"/>
      <c r="X474" s="32"/>
      <c r="Y474" s="32"/>
      <c r="Z474" s="32"/>
    </row>
    <row r="475">
      <c r="A475" s="32" t="str">
        <f>IFERROR(__xludf.DUMMYFUNCTION("""COMPUTED_VALUE"""),"Gungnir")</f>
        <v>Gungnir</v>
      </c>
      <c r="B475" s="32"/>
      <c r="C475" s="32" t="str">
        <f>IFERROR(__xludf.DUMMYFUNCTION("""COMPUTED_VALUE"""),"Spear")</f>
        <v>Spear</v>
      </c>
      <c r="D475" s="32" t="str">
        <f>IFERROR(__xludf.DUMMYFUNCTION("""COMPUTED_VALUE"""),"Hand")</f>
        <v>Hand</v>
      </c>
      <c r="E475" s="32">
        <f>IFERROR(__xludf.DUMMYFUNCTION("""COMPUTED_VALUE"""),1.0)</f>
        <v>1</v>
      </c>
      <c r="F475" s="32" t="str">
        <f>IFERROR(__xludf.DUMMYFUNCTION("""COMPUTED_VALUE"""),"")</f>
        <v/>
      </c>
      <c r="G475" s="32">
        <f>IFERROR(__xludf.DUMMYFUNCTION("""COMPUTED_VALUE"""),0.0)</f>
        <v>0</v>
      </c>
      <c r="H475" s="32"/>
      <c r="I475" s="32"/>
      <c r="J475" s="32"/>
      <c r="K475" s="32"/>
      <c r="L475" s="32"/>
      <c r="M475" s="32"/>
      <c r="N475" s="32"/>
      <c r="O475" s="32"/>
      <c r="P475" s="32"/>
      <c r="Q475" s="32"/>
      <c r="R475" s="32"/>
      <c r="S475" s="32"/>
      <c r="T475" s="32"/>
      <c r="U475" s="32"/>
      <c r="V475" s="32"/>
      <c r="W475" s="32"/>
      <c r="X475" s="32"/>
      <c r="Y475" s="32"/>
      <c r="Z475" s="32"/>
    </row>
    <row r="476">
      <c r="A476" s="32" t="str">
        <f>IFERROR(__xludf.DUMMYFUNCTION("""COMPUTED_VALUE"""),"Gaia's Rock Hammer")</f>
        <v>Gaia's Rock Hammer</v>
      </c>
      <c r="B476" s="32" t="str">
        <f>IFERROR(__xludf.DUMMYFUNCTION("""COMPUTED_VALUE"""),"Quest Item")</f>
        <v>Quest Item</v>
      </c>
      <c r="C476" s="32" t="str">
        <f>IFERROR(__xludf.DUMMYFUNCTION("""COMPUTED_VALUE"""),"Club")</f>
        <v>Club</v>
      </c>
      <c r="D476" s="32" t="str">
        <f>IFERROR(__xludf.DUMMYFUNCTION("""COMPUTED_VALUE"""),"Hand")</f>
        <v>Hand</v>
      </c>
      <c r="E476" s="32">
        <f>IFERROR(__xludf.DUMMYFUNCTION("""COMPUTED_VALUE"""),200.0)</f>
        <v>200</v>
      </c>
      <c r="F476" s="32"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32">
        <f>IFERROR(__xludf.DUMMYFUNCTION("""COMPUTED_VALUE"""),5.4285E8)</f>
        <v>542850000</v>
      </c>
      <c r="H476" s="32"/>
      <c r="I476" s="32"/>
      <c r="J476" s="32"/>
      <c r="K476" s="32"/>
      <c r="L476" s="32"/>
      <c r="M476" s="32"/>
      <c r="N476" s="32"/>
      <c r="O476" s="32"/>
      <c r="P476" s="32"/>
      <c r="Q476" s="32"/>
      <c r="R476" s="32"/>
      <c r="S476" s="32"/>
      <c r="T476" s="32"/>
      <c r="U476" s="32"/>
      <c r="V476" s="32"/>
      <c r="W476" s="32"/>
      <c r="X476" s="32"/>
      <c r="Y476" s="32"/>
      <c r="Z476" s="32"/>
    </row>
    <row r="477">
      <c r="A477" s="32" t="str">
        <f>IFERROR(__xludf.DUMMYFUNCTION("""COMPUTED_VALUE"""),"Bahamut's Claw")</f>
        <v>Bahamut's Claw</v>
      </c>
      <c r="B477" s="32" t="str">
        <f>IFERROR(__xludf.DUMMYFUNCTION("""COMPUTED_VALUE"""),"Mob Exclusive")</f>
        <v>Mob Exclusive</v>
      </c>
      <c r="C477" s="32" t="str">
        <f>IFERROR(__xludf.DUMMYFUNCTION("""COMPUTED_VALUE"""),"Claw")</f>
        <v>Claw</v>
      </c>
      <c r="D477" s="32" t="str">
        <f>IFERROR(__xludf.DUMMYFUNCTION("""COMPUTED_VALUE"""),"Hand")</f>
        <v>Hand</v>
      </c>
      <c r="E477" s="32">
        <f>IFERROR(__xludf.DUMMYFUNCTION("""COMPUTED_VALUE"""),200.0)</f>
        <v>200</v>
      </c>
      <c r="F477" s="32"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32">
        <f>IFERROR(__xludf.DUMMYFUNCTION("""COMPUTED_VALUE"""),1.12425E10)</f>
        <v>11242500000</v>
      </c>
      <c r="H477" s="32"/>
      <c r="I477" s="32"/>
      <c r="J477" s="32"/>
      <c r="K477" s="32"/>
      <c r="L477" s="32"/>
      <c r="M477" s="32"/>
      <c r="N477" s="32"/>
      <c r="O477" s="32"/>
      <c r="P477" s="32"/>
      <c r="Q477" s="32"/>
      <c r="R477" s="32"/>
      <c r="S477" s="32"/>
      <c r="T477" s="32"/>
      <c r="U477" s="32"/>
      <c r="V477" s="32"/>
      <c r="W477" s="32"/>
      <c r="X477" s="32"/>
      <c r="Y477" s="32"/>
      <c r="Z477" s="32"/>
    </row>
    <row r="478">
      <c r="A478" s="32" t="str">
        <f>IFERROR(__xludf.DUMMYFUNCTION("""COMPUTED_VALUE"""),"Chronos' Staff of Time")</f>
        <v>Chronos' Staff of Time</v>
      </c>
      <c r="B478" s="32"/>
      <c r="C478" s="32" t="str">
        <f>IFERROR(__xludf.DUMMYFUNCTION("""COMPUTED_VALUE"""),"Staff")</f>
        <v>Staff</v>
      </c>
      <c r="D478" s="32" t="str">
        <f>IFERROR(__xludf.DUMMYFUNCTION("""COMPUTED_VALUE"""),"Hand")</f>
        <v>Hand</v>
      </c>
      <c r="E478" s="32">
        <f>IFERROR(__xludf.DUMMYFUNCTION("""COMPUTED_VALUE"""),1.0)</f>
        <v>1</v>
      </c>
      <c r="F478" s="32" t="str">
        <f>IFERROR(__xludf.DUMMYFUNCTION("""COMPUTED_VALUE"""),"")</f>
        <v/>
      </c>
      <c r="G478" s="32">
        <f>IFERROR(__xludf.DUMMYFUNCTION("""COMPUTED_VALUE"""),0.0)</f>
        <v>0</v>
      </c>
      <c r="H478" s="32"/>
      <c r="I478" s="32"/>
      <c r="J478" s="32"/>
      <c r="K478" s="32"/>
      <c r="L478" s="32"/>
      <c r="M478" s="32"/>
      <c r="N478" s="32"/>
      <c r="O478" s="32"/>
      <c r="P478" s="32"/>
      <c r="Q478" s="32"/>
      <c r="R478" s="32"/>
      <c r="S478" s="32"/>
      <c r="T478" s="32"/>
      <c r="U478" s="32"/>
      <c r="V478" s="32"/>
      <c r="W478" s="32"/>
      <c r="X478" s="32"/>
      <c r="Y478" s="32"/>
      <c r="Z478" s="32"/>
    </row>
    <row r="479">
      <c r="A479" s="32" t="str">
        <f>IFERROR(__xludf.DUMMYFUNCTION("""COMPUTED_VALUE"""),"Scimitar")</f>
        <v>Scimitar</v>
      </c>
      <c r="B479" s="32"/>
      <c r="C479" s="32" t="str">
        <f>IFERROR(__xludf.DUMMYFUNCTION("""COMPUTED_VALUE"""),"Sword")</f>
        <v>Sword</v>
      </c>
      <c r="D479" s="32" t="str">
        <f>IFERROR(__xludf.DUMMYFUNCTION("""COMPUTED_VALUE"""),"Hand")</f>
        <v>Hand</v>
      </c>
      <c r="E479" s="32">
        <f>IFERROR(__xludf.DUMMYFUNCTION("""COMPUTED_VALUE"""),300.0)</f>
        <v>300</v>
      </c>
      <c r="F479" s="32" t="str">
        <f>IFERROR(__xludf.DUMMYFUNCTION("""COMPUTED_VALUE"""),"DMG: +10000, Fire DMG: +5000")</f>
        <v>DMG: +10000, Fire DMG: +5000</v>
      </c>
      <c r="G479" s="32">
        <f>IFERROR(__xludf.DUMMYFUNCTION("""COMPUTED_VALUE"""),4350000.0)</f>
        <v>4350000</v>
      </c>
      <c r="H479" s="32"/>
      <c r="I479" s="32"/>
      <c r="J479" s="32"/>
      <c r="K479" s="32"/>
      <c r="L479" s="32"/>
      <c r="M479" s="32"/>
      <c r="N479" s="32"/>
      <c r="O479" s="32"/>
      <c r="P479" s="32"/>
      <c r="Q479" s="32"/>
      <c r="R479" s="32"/>
      <c r="S479" s="32"/>
      <c r="T479" s="32"/>
      <c r="U479" s="32"/>
      <c r="V479" s="32"/>
      <c r="W479" s="32"/>
      <c r="X479" s="32"/>
      <c r="Y479" s="32"/>
      <c r="Z479" s="32"/>
    </row>
    <row r="480">
      <c r="A480" s="32" t="str">
        <f>IFERROR(__xludf.DUMMYFUNCTION("""COMPUTED_VALUE"""),"Gaia's Helmet of Earthen Fortitude")</f>
        <v>Gaia's Helmet of Earthen Fortitude</v>
      </c>
      <c r="B480" s="32" t="str">
        <f>IFERROR(__xludf.DUMMYFUNCTION("""COMPUTED_VALUE"""),"Mob Exclusive")</f>
        <v>Mob Exclusive</v>
      </c>
      <c r="C480" s="32"/>
      <c r="D480" s="32" t="str">
        <f>IFERROR(__xludf.DUMMYFUNCTION("""COMPUTED_VALUE"""),"Head")</f>
        <v>Head</v>
      </c>
      <c r="E480" s="32">
        <f>IFERROR(__xludf.DUMMYFUNCTION("""COMPUTED_VALUE"""),200.0)</f>
        <v>200</v>
      </c>
      <c r="F480" s="32"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32">
        <f>IFERROR(__xludf.DUMMYFUNCTION("""COMPUTED_VALUE"""),3.6315E8)</f>
        <v>363150000</v>
      </c>
      <c r="H480" s="32"/>
      <c r="I480" s="32"/>
      <c r="J480" s="32"/>
      <c r="K480" s="32"/>
      <c r="L480" s="32"/>
      <c r="M480" s="32"/>
      <c r="N480" s="32"/>
      <c r="O480" s="32"/>
      <c r="P480" s="32"/>
      <c r="Q480" s="32"/>
      <c r="R480" s="32"/>
      <c r="S480" s="32"/>
      <c r="T480" s="32"/>
      <c r="U480" s="32"/>
      <c r="V480" s="32"/>
      <c r="W480" s="32"/>
      <c r="X480" s="32"/>
      <c r="Y480" s="32"/>
      <c r="Z480" s="32"/>
    </row>
    <row r="481">
      <c r="A481" s="32" t="str">
        <f>IFERROR(__xludf.DUMMYFUNCTION("""COMPUTED_VALUE"""),"Gaia's Pendant")</f>
        <v>Gaia's Pendant</v>
      </c>
      <c r="B481" s="32" t="str">
        <f>IFERROR(__xludf.DUMMYFUNCTION("""COMPUTED_VALUE"""),"Mob Exclusive")</f>
        <v>Mob Exclusive</v>
      </c>
      <c r="C481" s="32"/>
      <c r="D481" s="32" t="str">
        <f>IFERROR(__xludf.DUMMYFUNCTION("""COMPUTED_VALUE"""),"Neck")</f>
        <v>Neck</v>
      </c>
      <c r="E481" s="32">
        <f>IFERROR(__xludf.DUMMYFUNCTION("""COMPUTED_VALUE"""),1.0)</f>
        <v>1</v>
      </c>
      <c r="F481" s="32" t="str">
        <f>IFERROR(__xludf.DUMMYFUNCTION("""COMPUTED_VALUE""")," ++Revives entire party upon death of the wearer. +-one use per battle")</f>
        <v> ++Revives entire party upon death of the wearer. +-one use per battle</v>
      </c>
      <c r="G481" s="32">
        <f>IFERROR(__xludf.DUMMYFUNCTION("""COMPUTED_VALUE"""),0.0)</f>
        <v>0</v>
      </c>
      <c r="H481" s="32"/>
      <c r="I481" s="32"/>
      <c r="J481" s="32"/>
      <c r="K481" s="32"/>
      <c r="L481" s="32"/>
      <c r="M481" s="32"/>
      <c r="N481" s="32"/>
      <c r="O481" s="32"/>
      <c r="P481" s="32"/>
      <c r="Q481" s="32"/>
      <c r="R481" s="32"/>
      <c r="S481" s="32"/>
      <c r="T481" s="32"/>
      <c r="U481" s="32"/>
      <c r="V481" s="32"/>
      <c r="W481" s="32"/>
      <c r="X481" s="32"/>
      <c r="Y481" s="32"/>
      <c r="Z481" s="32"/>
    </row>
    <row r="482">
      <c r="A482" s="32" t="str">
        <f>IFERROR(__xludf.DUMMYFUNCTION("""COMPUTED_VALUE"""),"Gaia's Sandals of Earthen Fortitude")</f>
        <v>Gaia's Sandals of Earthen Fortitude</v>
      </c>
      <c r="B482" s="32" t="str">
        <f>IFERROR(__xludf.DUMMYFUNCTION("""COMPUTED_VALUE"""),"Mob Exclusive")</f>
        <v>Mob Exclusive</v>
      </c>
      <c r="C482" s="32"/>
      <c r="D482" s="32" t="str">
        <f>IFERROR(__xludf.DUMMYFUNCTION("""COMPUTED_VALUE"""),"Feet")</f>
        <v>Feet</v>
      </c>
      <c r="E482" s="32">
        <f>IFERROR(__xludf.DUMMYFUNCTION("""COMPUTED_VALUE"""),200.0)</f>
        <v>200</v>
      </c>
      <c r="F482" s="32" t="str">
        <f>IFERROR(__xludf.DUMMYFUNCTION("""COMPUTED_VALUE"""),"DEF: +50000, Fire DEF: +35000, Celestial DEF: +50000 ++X2 Earth Damage for self. ++X2 Defense for self")</f>
        <v>DEF: +50000, Fire DEF: +35000, Celestial DEF: +50000 ++X2 Earth Damage for self. ++X2 Defense for self</v>
      </c>
      <c r="G482" s="32">
        <f>IFERROR(__xludf.DUMMYFUNCTION("""COMPUTED_VALUE"""),3.6315E8)</f>
        <v>363150000</v>
      </c>
      <c r="H482" s="32"/>
      <c r="I482" s="32"/>
      <c r="J482" s="32"/>
      <c r="K482" s="32"/>
      <c r="L482" s="32"/>
      <c r="M482" s="32"/>
      <c r="N482" s="32"/>
      <c r="O482" s="32"/>
      <c r="P482" s="32"/>
      <c r="Q482" s="32"/>
      <c r="R482" s="32"/>
      <c r="S482" s="32"/>
      <c r="T482" s="32"/>
      <c r="U482" s="32"/>
      <c r="V482" s="32"/>
      <c r="W482" s="32"/>
      <c r="X482" s="32"/>
      <c r="Y482" s="32"/>
      <c r="Z482" s="32"/>
    </row>
    <row r="483">
      <c r="A483" s="32" t="str">
        <f>IFERROR(__xludf.DUMMYFUNCTION("""COMPUTED_VALUE"""),"Gaia's Gloves")</f>
        <v>Gaia's Gloves</v>
      </c>
      <c r="B483" s="32" t="str">
        <f>IFERROR(__xludf.DUMMYFUNCTION("""COMPUTED_VALUE"""),"Mob Exclusive")</f>
        <v>Mob Exclusive</v>
      </c>
      <c r="C483" s="32"/>
      <c r="D483" s="32" t="str">
        <f>IFERROR(__xludf.DUMMYFUNCTION("""COMPUTED_VALUE"""),"Arms")</f>
        <v>Arms</v>
      </c>
      <c r="E483" s="32">
        <f>IFERROR(__xludf.DUMMYFUNCTION("""COMPUTED_VALUE"""),200.0)</f>
        <v>200</v>
      </c>
      <c r="F483" s="32" t="str">
        <f>IFERROR(__xludf.DUMMYFUNCTION("""COMPUTED_VALUE"""),"DEF: +50000, Fire DEF: +35000, Celestial DEF: +50000 ++X2 Earth Damage for self. ++X2 Defense for self")</f>
        <v>DEF: +50000, Fire DEF: +35000, Celestial DEF: +50000 ++X2 Earth Damage for self. ++X2 Defense for self</v>
      </c>
      <c r="G483" s="32">
        <f>IFERROR(__xludf.DUMMYFUNCTION("""COMPUTED_VALUE"""),3.6315E8)</f>
        <v>363150000</v>
      </c>
      <c r="H483" s="32"/>
      <c r="I483" s="32"/>
      <c r="J483" s="32"/>
      <c r="K483" s="32"/>
      <c r="L483" s="32"/>
      <c r="M483" s="32"/>
      <c r="N483" s="32"/>
      <c r="O483" s="32"/>
      <c r="P483" s="32"/>
      <c r="Q483" s="32"/>
      <c r="R483" s="32"/>
      <c r="S483" s="32"/>
      <c r="T483" s="32"/>
      <c r="U483" s="32"/>
      <c r="V483" s="32"/>
      <c r="W483" s="32"/>
      <c r="X483" s="32"/>
      <c r="Y483" s="32"/>
      <c r="Z483" s="32"/>
    </row>
    <row r="484">
      <c r="A484" s="32" t="str">
        <f>IFERROR(__xludf.DUMMYFUNCTION("""COMPUTED_VALUE"""),"Gaia's Gaiters")</f>
        <v>Gaia's Gaiters</v>
      </c>
      <c r="B484" s="32" t="str">
        <f>IFERROR(__xludf.DUMMYFUNCTION("""COMPUTED_VALUE"""),"Mob Exclusive")</f>
        <v>Mob Exclusive</v>
      </c>
      <c r="C484" s="32"/>
      <c r="D484" s="32" t="str">
        <f>IFERROR(__xludf.DUMMYFUNCTION("""COMPUTED_VALUE"""),"Legs")</f>
        <v>Legs</v>
      </c>
      <c r="E484" s="32">
        <f>IFERROR(__xludf.DUMMYFUNCTION("""COMPUTED_VALUE"""),200.0)</f>
        <v>200</v>
      </c>
      <c r="F484" s="32" t="str">
        <f>IFERROR(__xludf.DUMMYFUNCTION("""COMPUTED_VALUE"""),"DEF: +50000, Fire DEF: +35000, Celestial DEF: +50000 ++X2 Earth Damage for self. ++X2 Defense for self")</f>
        <v>DEF: +50000, Fire DEF: +35000, Celestial DEF: +50000 ++X2 Earth Damage for self. ++X2 Defense for self</v>
      </c>
      <c r="G484" s="32">
        <f>IFERROR(__xludf.DUMMYFUNCTION("""COMPUTED_VALUE"""),3.6315E8)</f>
        <v>363150000</v>
      </c>
      <c r="H484" s="32"/>
      <c r="I484" s="32"/>
      <c r="J484" s="32"/>
      <c r="K484" s="32"/>
      <c r="L484" s="32"/>
      <c r="M484" s="32"/>
      <c r="N484" s="32"/>
      <c r="O484" s="32"/>
      <c r="P484" s="32"/>
      <c r="Q484" s="32"/>
      <c r="R484" s="32"/>
      <c r="S484" s="32"/>
      <c r="T484" s="32"/>
      <c r="U484" s="32"/>
      <c r="V484" s="32"/>
      <c r="W484" s="32"/>
      <c r="X484" s="32"/>
      <c r="Y484" s="32"/>
      <c r="Z484" s="32"/>
    </row>
    <row r="485">
      <c r="A485" s="32" t="str">
        <f>IFERROR(__xludf.DUMMYFUNCTION("""COMPUTED_VALUE"""),"Gaia's Pauldrons")</f>
        <v>Gaia's Pauldrons</v>
      </c>
      <c r="B485" s="32" t="str">
        <f>IFERROR(__xludf.DUMMYFUNCTION("""COMPUTED_VALUE"""),"Mob Exclusive")</f>
        <v>Mob Exclusive</v>
      </c>
      <c r="C485" s="32"/>
      <c r="D485" s="32" t="str">
        <f>IFERROR(__xludf.DUMMYFUNCTION("""COMPUTED_VALUE"""),"Shoulders")</f>
        <v>Shoulders</v>
      </c>
      <c r="E485" s="32">
        <f>IFERROR(__xludf.DUMMYFUNCTION("""COMPUTED_VALUE"""),200.0)</f>
        <v>200</v>
      </c>
      <c r="F485" s="32" t="str">
        <f>IFERROR(__xludf.DUMMYFUNCTION("""COMPUTED_VALUE"""),"DEF: +50000, Fire DEF: +35000, Celestial DEF: +50000 ++X2 Earth Damage for self. ++X2 Defense for self")</f>
        <v>DEF: +50000, Fire DEF: +35000, Celestial DEF: +50000 ++X2 Earth Damage for self. ++X2 Defense for self</v>
      </c>
      <c r="G485" s="32">
        <f>IFERROR(__xludf.DUMMYFUNCTION("""COMPUTED_VALUE"""),3.6315E8)</f>
        <v>363150000</v>
      </c>
      <c r="H485" s="32"/>
      <c r="I485" s="32"/>
      <c r="J485" s="32"/>
      <c r="K485" s="32"/>
      <c r="L485" s="32"/>
      <c r="M485" s="32"/>
      <c r="N485" s="32"/>
      <c r="O485" s="32"/>
      <c r="P485" s="32"/>
      <c r="Q485" s="32"/>
      <c r="R485" s="32"/>
      <c r="S485" s="32"/>
      <c r="T485" s="32"/>
      <c r="U485" s="32"/>
      <c r="V485" s="32"/>
      <c r="W485" s="32"/>
      <c r="X485" s="32"/>
      <c r="Y485" s="32"/>
      <c r="Z485" s="32"/>
    </row>
    <row r="486">
      <c r="A486" s="32" t="str">
        <f>IFERROR(__xludf.DUMMYFUNCTION("""COMPUTED_VALUE"""),"Gaia's Chestpiece")</f>
        <v>Gaia's Chestpiece</v>
      </c>
      <c r="B486" s="32" t="str">
        <f>IFERROR(__xludf.DUMMYFUNCTION("""COMPUTED_VALUE"""),"Mob Exclusive")</f>
        <v>Mob Exclusive</v>
      </c>
      <c r="C486" s="32"/>
      <c r="D486" s="32" t="str">
        <f>IFERROR(__xludf.DUMMYFUNCTION("""COMPUTED_VALUE"""),"Torso")</f>
        <v>Torso</v>
      </c>
      <c r="E486" s="32">
        <f>IFERROR(__xludf.DUMMYFUNCTION("""COMPUTED_VALUE"""),200.0)</f>
        <v>200</v>
      </c>
      <c r="F486" s="32" t="str">
        <f>IFERROR(__xludf.DUMMYFUNCTION("""COMPUTED_VALUE"""),"DEF: +100000, Fire DEF: +70000, Celestial DEF: +100000 ++X2 Earth Damage for self. ++X2 Defense for self")</f>
        <v>DEF: +100000, Fire DEF: +70000, Celestial DEF: +100000 ++X2 Earth Damage for self. ++X2 Defense for self</v>
      </c>
      <c r="G486" s="32">
        <f>IFERROR(__xludf.DUMMYFUNCTION("""COMPUTED_VALUE"""),1.4553E9)</f>
        <v>1455300000</v>
      </c>
      <c r="H486" s="32"/>
      <c r="I486" s="32"/>
      <c r="J486" s="32"/>
      <c r="K486" s="32"/>
      <c r="L486" s="32"/>
      <c r="M486" s="32"/>
      <c r="N486" s="32"/>
      <c r="O486" s="32"/>
      <c r="P486" s="32"/>
      <c r="Q486" s="32"/>
      <c r="R486" s="32"/>
      <c r="S486" s="32"/>
      <c r="T486" s="32"/>
      <c r="U486" s="32"/>
      <c r="V486" s="32"/>
      <c r="W486" s="32"/>
      <c r="X486" s="32"/>
      <c r="Y486" s="32"/>
      <c r="Z486" s="32"/>
    </row>
    <row r="487">
      <c r="A487" s="32" t="str">
        <f>IFERROR(__xludf.DUMMYFUNCTION("""COMPUTED_VALUE"""),"Gaia's Ring")</f>
        <v>Gaia's Ring</v>
      </c>
      <c r="B487" s="32" t="str">
        <f>IFERROR(__xludf.DUMMYFUNCTION("""COMPUTED_VALUE"""),"Mob Exclusive")</f>
        <v>Mob Exclusive</v>
      </c>
      <c r="C487" s="32"/>
      <c r="D487" s="32" t="str">
        <f>IFERROR(__xludf.DUMMYFUNCTION("""COMPUTED_VALUE"""),"Ring")</f>
        <v>Ring</v>
      </c>
      <c r="E487" s="32">
        <f>IFERROR(__xludf.DUMMYFUNCTION("""COMPUTED_VALUE"""),1.0)</f>
        <v>1</v>
      </c>
      <c r="F487" s="32" t="str">
        <f>IFERROR(__xludf.DUMMYFUNCTION("""COMPUTED_VALUE""")," ++X4 defense for self and allies, 50 sp")</f>
        <v> ++X4 defense for self and allies, 50 sp</v>
      </c>
      <c r="G487" s="32">
        <f>IFERROR(__xludf.DUMMYFUNCTION("""COMPUTED_VALUE"""),0.0)</f>
        <v>0</v>
      </c>
      <c r="H487" s="32"/>
      <c r="I487" s="32"/>
      <c r="J487" s="32"/>
      <c r="K487" s="32"/>
      <c r="L487" s="32"/>
      <c r="M487" s="32"/>
      <c r="N487" s="32"/>
      <c r="O487" s="32"/>
      <c r="P487" s="32"/>
      <c r="Q487" s="32"/>
      <c r="R487" s="32"/>
      <c r="S487" s="32"/>
      <c r="T487" s="32"/>
      <c r="U487" s="32"/>
      <c r="V487" s="32"/>
      <c r="W487" s="32"/>
      <c r="X487" s="32"/>
      <c r="Y487" s="32"/>
      <c r="Z487" s="32"/>
    </row>
    <row r="488">
      <c r="A488" s="32" t="str">
        <f>IFERROR(__xludf.DUMMYFUNCTION("""COMPUTED_VALUE"""),"Paladin of Gaia's Bucket helm of Tenacity")</f>
        <v>Paladin of Gaia's Bucket helm of Tenacity</v>
      </c>
      <c r="B488" s="32" t="str">
        <f>IFERROR(__xludf.DUMMYFUNCTION("""COMPUTED_VALUE"""),"Quest Item")</f>
        <v>Quest Item</v>
      </c>
      <c r="C488" s="32"/>
      <c r="D488" s="32" t="str">
        <f>IFERROR(__xludf.DUMMYFUNCTION("""COMPUTED_VALUE"""),"Head")</f>
        <v>Head</v>
      </c>
      <c r="E488" s="32">
        <f>IFERROR(__xludf.DUMMYFUNCTION("""COMPUTED_VALUE"""),200.0)</f>
        <v>200</v>
      </c>
      <c r="F488" s="32"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32">
        <f>IFERROR(__xludf.DUMMYFUNCTION("""COMPUTED_VALUE"""),1.272E8)</f>
        <v>127200000</v>
      </c>
      <c r="H488" s="32"/>
      <c r="I488" s="32"/>
      <c r="J488" s="32"/>
      <c r="K488" s="32"/>
      <c r="L488" s="32"/>
      <c r="M488" s="32"/>
      <c r="N488" s="32"/>
      <c r="O488" s="32"/>
      <c r="P488" s="32"/>
      <c r="Q488" s="32"/>
      <c r="R488" s="32"/>
      <c r="S488" s="32"/>
      <c r="T488" s="32"/>
      <c r="U488" s="32"/>
      <c r="V488" s="32"/>
      <c r="W488" s="32"/>
      <c r="X488" s="32"/>
      <c r="Y488" s="32"/>
      <c r="Z488" s="32"/>
    </row>
    <row r="489">
      <c r="A489" s="32" t="str">
        <f>IFERROR(__xludf.DUMMYFUNCTION("""COMPUTED_VALUE"""),"Paladin of Gaia's Stone Pauldrons")</f>
        <v>Paladin of Gaia's Stone Pauldrons</v>
      </c>
      <c r="B489" s="32" t="str">
        <f>IFERROR(__xludf.DUMMYFUNCTION("""COMPUTED_VALUE"""),"Quest Item")</f>
        <v>Quest Item</v>
      </c>
      <c r="C489" s="32"/>
      <c r="D489" s="32" t="str">
        <f>IFERROR(__xludf.DUMMYFUNCTION("""COMPUTED_VALUE"""),"Shoulders")</f>
        <v>Shoulders</v>
      </c>
      <c r="E489" s="32">
        <f>IFERROR(__xludf.DUMMYFUNCTION("""COMPUTED_VALUE"""),200.0)</f>
        <v>200</v>
      </c>
      <c r="F489" s="32"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32">
        <f>IFERROR(__xludf.DUMMYFUNCTION("""COMPUTED_VALUE"""),1.272E8)</f>
        <v>127200000</v>
      </c>
      <c r="H489" s="32"/>
      <c r="I489" s="32"/>
      <c r="J489" s="32"/>
      <c r="K489" s="32"/>
      <c r="L489" s="32"/>
      <c r="M489" s="32"/>
      <c r="N489" s="32"/>
      <c r="O489" s="32"/>
      <c r="P489" s="32"/>
      <c r="Q489" s="32"/>
      <c r="R489" s="32"/>
      <c r="S489" s="32"/>
      <c r="T489" s="32"/>
      <c r="U489" s="32"/>
      <c r="V489" s="32"/>
      <c r="W489" s="32"/>
      <c r="X489" s="32"/>
      <c r="Y489" s="32"/>
      <c r="Z489" s="32"/>
    </row>
    <row r="490">
      <c r="A490" s="32" t="str">
        <f>IFERROR(__xludf.DUMMYFUNCTION("""COMPUTED_VALUE"""),"Paladin of Gaia's Emblazoned Chestpiece")</f>
        <v>Paladin of Gaia's Emblazoned Chestpiece</v>
      </c>
      <c r="B490" s="32" t="str">
        <f>IFERROR(__xludf.DUMMYFUNCTION("""COMPUTED_VALUE"""),"Quest Item")</f>
        <v>Quest Item</v>
      </c>
      <c r="C490" s="32"/>
      <c r="D490" s="32" t="str">
        <f>IFERROR(__xludf.DUMMYFUNCTION("""COMPUTED_VALUE"""),"Torso")</f>
        <v>Torso</v>
      </c>
      <c r="E490" s="32">
        <f>IFERROR(__xludf.DUMMYFUNCTION("""COMPUTED_VALUE"""),200.0)</f>
        <v>200</v>
      </c>
      <c r="F490" s="32"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32">
        <f>IFERROR(__xludf.DUMMYFUNCTION("""COMPUTED_VALUE"""),7.201E8)</f>
        <v>720100000</v>
      </c>
      <c r="H490" s="32"/>
      <c r="I490" s="32"/>
      <c r="J490" s="32"/>
      <c r="K490" s="32"/>
      <c r="L490" s="32"/>
      <c r="M490" s="32"/>
      <c r="N490" s="32"/>
      <c r="O490" s="32"/>
      <c r="P490" s="32"/>
      <c r="Q490" s="32"/>
      <c r="R490" s="32"/>
      <c r="S490" s="32"/>
      <c r="T490" s="32"/>
      <c r="U490" s="32"/>
      <c r="V490" s="32"/>
      <c r="W490" s="32"/>
      <c r="X490" s="32"/>
      <c r="Y490" s="32"/>
      <c r="Z490" s="32"/>
    </row>
    <row r="491">
      <c r="A491" s="32" t="str">
        <f>IFERROR(__xludf.DUMMYFUNCTION("""COMPUTED_VALUE"""),"Paladin of Gaia's Vambraces")</f>
        <v>Paladin of Gaia's Vambraces</v>
      </c>
      <c r="B491" s="32" t="str">
        <f>IFERROR(__xludf.DUMMYFUNCTION("""COMPUTED_VALUE"""),"Quest Item")</f>
        <v>Quest Item</v>
      </c>
      <c r="C491" s="32"/>
      <c r="D491" s="32" t="str">
        <f>IFERROR(__xludf.DUMMYFUNCTION("""COMPUTED_VALUE"""),"Arms")</f>
        <v>Arms</v>
      </c>
      <c r="E491" s="32">
        <f>IFERROR(__xludf.DUMMYFUNCTION("""COMPUTED_VALUE"""),200.0)</f>
        <v>200</v>
      </c>
      <c r="F491" s="32"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32">
        <f>IFERROR(__xludf.DUMMYFUNCTION("""COMPUTED_VALUE"""),1.272E8)</f>
        <v>127200000</v>
      </c>
      <c r="H491" s="32"/>
      <c r="I491" s="32"/>
      <c r="J491" s="32"/>
      <c r="K491" s="32"/>
      <c r="L491" s="32"/>
      <c r="M491" s="32"/>
      <c r="N491" s="32"/>
      <c r="O491" s="32"/>
      <c r="P491" s="32"/>
      <c r="Q491" s="32"/>
      <c r="R491" s="32"/>
      <c r="S491" s="32"/>
      <c r="T491" s="32"/>
      <c r="U491" s="32"/>
      <c r="V491" s="32"/>
      <c r="W491" s="32"/>
      <c r="X491" s="32"/>
      <c r="Y491" s="32"/>
      <c r="Z491" s="32"/>
    </row>
    <row r="492">
      <c r="A492" s="32" t="str">
        <f>IFERROR(__xludf.DUMMYFUNCTION("""COMPUTED_VALUE"""),"Paladin of Gaia's Plate Chausses")</f>
        <v>Paladin of Gaia's Plate Chausses</v>
      </c>
      <c r="B492" s="32" t="str">
        <f>IFERROR(__xludf.DUMMYFUNCTION("""COMPUTED_VALUE"""),"Quest Item")</f>
        <v>Quest Item</v>
      </c>
      <c r="C492" s="32"/>
      <c r="D492" s="32" t="str">
        <f>IFERROR(__xludf.DUMMYFUNCTION("""COMPUTED_VALUE"""),"Legs")</f>
        <v>Legs</v>
      </c>
      <c r="E492" s="32">
        <f>IFERROR(__xludf.DUMMYFUNCTION("""COMPUTED_VALUE"""),200.0)</f>
        <v>200</v>
      </c>
      <c r="F492" s="3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32">
        <f>IFERROR(__xludf.DUMMYFUNCTION("""COMPUTED_VALUE"""),1.272E8)</f>
        <v>127200000</v>
      </c>
      <c r="H492" s="32"/>
      <c r="I492" s="32"/>
      <c r="J492" s="32"/>
      <c r="K492" s="32"/>
      <c r="L492" s="32"/>
      <c r="M492" s="32"/>
      <c r="N492" s="32"/>
      <c r="O492" s="32"/>
      <c r="P492" s="32"/>
      <c r="Q492" s="32"/>
      <c r="R492" s="32"/>
      <c r="S492" s="32"/>
      <c r="T492" s="32"/>
      <c r="U492" s="32"/>
      <c r="V492" s="32"/>
      <c r="W492" s="32"/>
      <c r="X492" s="32"/>
      <c r="Y492" s="32"/>
      <c r="Z492" s="32"/>
    </row>
    <row r="493">
      <c r="A493" s="32" t="str">
        <f>IFERROR(__xludf.DUMMYFUNCTION("""COMPUTED_VALUE"""),"Paladin of Gaia's Sabatons")</f>
        <v>Paladin of Gaia's Sabatons</v>
      </c>
      <c r="B493" s="32" t="str">
        <f>IFERROR(__xludf.DUMMYFUNCTION("""COMPUTED_VALUE"""),"Quest Item")</f>
        <v>Quest Item</v>
      </c>
      <c r="C493" s="32"/>
      <c r="D493" s="32" t="str">
        <f>IFERROR(__xludf.DUMMYFUNCTION("""COMPUTED_VALUE"""),"Feet")</f>
        <v>Feet</v>
      </c>
      <c r="E493" s="32">
        <f>IFERROR(__xludf.DUMMYFUNCTION("""COMPUTED_VALUE"""),200.0)</f>
        <v>200</v>
      </c>
      <c r="F493" s="3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32">
        <f>IFERROR(__xludf.DUMMYFUNCTION("""COMPUTED_VALUE"""),1.272E8)</f>
        <v>127200000</v>
      </c>
      <c r="H493" s="32"/>
      <c r="I493" s="32"/>
      <c r="J493" s="32"/>
      <c r="K493" s="32"/>
      <c r="L493" s="32"/>
      <c r="M493" s="32"/>
      <c r="N493" s="32"/>
      <c r="O493" s="32"/>
      <c r="P493" s="32"/>
      <c r="Q493" s="32"/>
      <c r="R493" s="32"/>
      <c r="S493" s="32"/>
      <c r="T493" s="32"/>
      <c r="U493" s="32"/>
      <c r="V493" s="32"/>
      <c r="W493" s="32"/>
      <c r="X493" s="32"/>
      <c r="Y493" s="32"/>
      <c r="Z493" s="32"/>
    </row>
    <row r="494">
      <c r="A494" s="32" t="str">
        <f>IFERROR(__xludf.DUMMYFUNCTION("""COMPUTED_VALUE"""),"Paladin of Gaia's Ruby Ring")</f>
        <v>Paladin of Gaia's Ruby Ring</v>
      </c>
      <c r="B494" s="32" t="str">
        <f>IFERROR(__xludf.DUMMYFUNCTION("""COMPUTED_VALUE"""),"Quest Item")</f>
        <v>Quest Item</v>
      </c>
      <c r="C494" s="32"/>
      <c r="D494" s="32" t="str">
        <f>IFERROR(__xludf.DUMMYFUNCTION("""COMPUTED_VALUE"""),"Ring")</f>
        <v>Ring</v>
      </c>
      <c r="E494" s="32">
        <f>IFERROR(__xludf.DUMMYFUNCTION("""COMPUTED_VALUE"""),1.0)</f>
        <v>1</v>
      </c>
      <c r="F494" s="32"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32">
        <f>IFERROR(__xludf.DUMMYFUNCTION("""COMPUTED_VALUE"""),0.0)</f>
        <v>0</v>
      </c>
      <c r="H494" s="32"/>
      <c r="I494" s="32"/>
      <c r="J494" s="32"/>
      <c r="K494" s="32"/>
      <c r="L494" s="32"/>
      <c r="M494" s="32"/>
      <c r="N494" s="32"/>
      <c r="O494" s="32"/>
      <c r="P494" s="32"/>
      <c r="Q494" s="32"/>
      <c r="R494" s="32"/>
      <c r="S494" s="32"/>
      <c r="T494" s="32"/>
      <c r="U494" s="32"/>
      <c r="V494" s="32"/>
      <c r="W494" s="32"/>
      <c r="X494" s="32"/>
      <c r="Y494" s="32"/>
      <c r="Z494" s="32"/>
    </row>
    <row r="495">
      <c r="A495" s="32" t="str">
        <f>IFERROR(__xludf.DUMMYFUNCTION("""COMPUTED_VALUE"""),"Paladin of Gaia's Emerald Pendant")</f>
        <v>Paladin of Gaia's Emerald Pendant</v>
      </c>
      <c r="B495" s="32" t="str">
        <f>IFERROR(__xludf.DUMMYFUNCTION("""COMPUTED_VALUE"""),"Quest Item")</f>
        <v>Quest Item</v>
      </c>
      <c r="C495" s="32"/>
      <c r="D495" s="32" t="str">
        <f>IFERROR(__xludf.DUMMYFUNCTION("""COMPUTED_VALUE"""),"Neck")</f>
        <v>Neck</v>
      </c>
      <c r="E495" s="32">
        <f>IFERROR(__xludf.DUMMYFUNCTION("""COMPUTED_VALUE"""),1.0)</f>
        <v>1</v>
      </c>
      <c r="F495" s="32"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32">
        <f>IFERROR(__xludf.DUMMYFUNCTION("""COMPUTED_VALUE"""),0.0)</f>
        <v>0</v>
      </c>
      <c r="H495" s="32"/>
      <c r="I495" s="32"/>
      <c r="J495" s="32"/>
      <c r="K495" s="32"/>
      <c r="L495" s="32"/>
      <c r="M495" s="32"/>
      <c r="N495" s="32"/>
      <c r="O495" s="32"/>
      <c r="P495" s="32"/>
      <c r="Q495" s="32"/>
      <c r="R495" s="32"/>
      <c r="S495" s="32"/>
      <c r="T495" s="32"/>
      <c r="U495" s="32"/>
      <c r="V495" s="32"/>
      <c r="W495" s="32"/>
      <c r="X495" s="32"/>
      <c r="Y495" s="32"/>
      <c r="Z495" s="32"/>
    </row>
    <row r="496">
      <c r="A496" s="32" t="str">
        <f>IFERROR(__xludf.DUMMYFUNCTION("""COMPUTED_VALUE"""),"The Blacksmith's Forged Battleaxe ")</f>
        <v>The Blacksmith's Forged Battleaxe </v>
      </c>
      <c r="B496" s="32" t="str">
        <f>IFERROR(__xludf.DUMMYFUNCTION("""COMPUTED_VALUE"""),"Mob Exclusive")</f>
        <v>Mob Exclusive</v>
      </c>
      <c r="C496" s="32" t="str">
        <f>IFERROR(__xludf.DUMMYFUNCTION("""COMPUTED_VALUE"""),"Axe")</f>
        <v>Axe</v>
      </c>
      <c r="D496" s="32" t="str">
        <f>IFERROR(__xludf.DUMMYFUNCTION("""COMPUTED_VALUE"""),"Hand")</f>
        <v>Hand</v>
      </c>
      <c r="E496" s="32">
        <f>IFERROR(__xludf.DUMMYFUNCTION("""COMPUTED_VALUE"""),200.0)</f>
        <v>200</v>
      </c>
      <c r="F496" s="32"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32">
        <f>IFERROR(__xludf.DUMMYFUNCTION("""COMPUTED_VALUE"""),1.2475E9)</f>
        <v>1247500000</v>
      </c>
      <c r="H496" s="32"/>
      <c r="I496" s="32"/>
      <c r="J496" s="32"/>
      <c r="K496" s="32"/>
      <c r="L496" s="32"/>
      <c r="M496" s="32"/>
      <c r="N496" s="32"/>
      <c r="O496" s="32"/>
      <c r="P496" s="32"/>
      <c r="Q496" s="32"/>
      <c r="R496" s="32"/>
      <c r="S496" s="32"/>
      <c r="T496" s="32"/>
      <c r="U496" s="32"/>
      <c r="V496" s="32"/>
      <c r="W496" s="32"/>
      <c r="X496" s="32"/>
      <c r="Y496" s="32"/>
      <c r="Z496" s="32"/>
    </row>
    <row r="497">
      <c r="A497" s="32" t="str">
        <f>IFERROR(__xludf.DUMMYFUNCTION("""COMPUTED_VALUE"""),"The Blacksmith's Forged Sword")</f>
        <v>The Blacksmith's Forged Sword</v>
      </c>
      <c r="B497" s="32" t="str">
        <f>IFERROR(__xludf.DUMMYFUNCTION("""COMPUTED_VALUE"""),"Mob Exclusive")</f>
        <v>Mob Exclusive</v>
      </c>
      <c r="C497" s="32" t="str">
        <f>IFERROR(__xludf.DUMMYFUNCTION("""COMPUTED_VALUE"""),"Sword")</f>
        <v>Sword</v>
      </c>
      <c r="D497" s="32" t="str">
        <f>IFERROR(__xludf.DUMMYFUNCTION("""COMPUTED_VALUE"""),"Hand")</f>
        <v>Hand</v>
      </c>
      <c r="E497" s="32">
        <f>IFERROR(__xludf.DUMMYFUNCTION("""COMPUTED_VALUE"""),200.0)</f>
        <v>200</v>
      </c>
      <c r="F497" s="32"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32">
        <f>IFERROR(__xludf.DUMMYFUNCTION("""COMPUTED_VALUE"""),1.2475E9)</f>
        <v>1247500000</v>
      </c>
      <c r="H497" s="32"/>
      <c r="I497" s="32"/>
      <c r="J497" s="32"/>
      <c r="K497" s="32"/>
      <c r="L497" s="32"/>
      <c r="M497" s="32"/>
      <c r="N497" s="32"/>
      <c r="O497" s="32"/>
      <c r="P497" s="32"/>
      <c r="Q497" s="32"/>
      <c r="R497" s="32"/>
      <c r="S497" s="32"/>
      <c r="T497" s="32"/>
      <c r="U497" s="32"/>
      <c r="V497" s="32"/>
      <c r="W497" s="32"/>
      <c r="X497" s="32"/>
      <c r="Y497" s="32"/>
      <c r="Z497" s="32"/>
    </row>
    <row r="498">
      <c r="A498" s="32" t="str">
        <f>IFERROR(__xludf.DUMMYFUNCTION("""COMPUTED_VALUE"""),"The Blacksmith's Forged Helmet")</f>
        <v>The Blacksmith's Forged Helmet</v>
      </c>
      <c r="B498" s="32" t="str">
        <f>IFERROR(__xludf.DUMMYFUNCTION("""COMPUTED_VALUE"""),"Mob Exclusive")</f>
        <v>Mob Exclusive</v>
      </c>
      <c r="C498" s="32"/>
      <c r="D498" s="32" t="str">
        <f>IFERROR(__xludf.DUMMYFUNCTION("""COMPUTED_VALUE"""),"Head")</f>
        <v>Head</v>
      </c>
      <c r="E498" s="32">
        <f>IFERROR(__xludf.DUMMYFUNCTION("""COMPUTED_VALUE"""),4000.0)</f>
        <v>4000</v>
      </c>
      <c r="F498" s="32"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32">
        <f>IFERROR(__xludf.DUMMYFUNCTION("""COMPUTED_VALUE"""),7.98E8)</f>
        <v>798000000</v>
      </c>
      <c r="H498" s="32"/>
      <c r="I498" s="32"/>
      <c r="J498" s="32"/>
      <c r="K498" s="32"/>
      <c r="L498" s="32"/>
      <c r="M498" s="32"/>
      <c r="N498" s="32"/>
      <c r="O498" s="32"/>
      <c r="P498" s="32"/>
      <c r="Q498" s="32"/>
      <c r="R498" s="32"/>
      <c r="S498" s="32"/>
      <c r="T498" s="32"/>
      <c r="U498" s="32"/>
      <c r="V498" s="32"/>
      <c r="W498" s="32"/>
      <c r="X498" s="32"/>
      <c r="Y498" s="32"/>
      <c r="Z498" s="32"/>
    </row>
    <row r="499">
      <c r="A499" s="32" t="str">
        <f>IFERROR(__xludf.DUMMYFUNCTION("""COMPUTED_VALUE"""),"The Blacksmith's Forged Pauldrons")</f>
        <v>The Blacksmith's Forged Pauldrons</v>
      </c>
      <c r="B499" s="32" t="str">
        <f>IFERROR(__xludf.DUMMYFUNCTION("""COMPUTED_VALUE"""),"Mob Exclusive")</f>
        <v>Mob Exclusive</v>
      </c>
      <c r="C499" s="32"/>
      <c r="D499" s="32" t="str">
        <f>IFERROR(__xludf.DUMMYFUNCTION("""COMPUTED_VALUE"""),"Shoulders")</f>
        <v>Shoulders</v>
      </c>
      <c r="E499" s="32">
        <f>IFERROR(__xludf.DUMMYFUNCTION("""COMPUTED_VALUE"""),4000.0)</f>
        <v>4000</v>
      </c>
      <c r="F499" s="32"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32">
        <f>IFERROR(__xludf.DUMMYFUNCTION("""COMPUTED_VALUE"""),7.98E8)</f>
        <v>798000000</v>
      </c>
      <c r="H499" s="32"/>
      <c r="I499" s="32"/>
      <c r="J499" s="32"/>
      <c r="K499" s="32"/>
      <c r="L499" s="32"/>
      <c r="M499" s="32"/>
      <c r="N499" s="32"/>
      <c r="O499" s="32"/>
      <c r="P499" s="32"/>
      <c r="Q499" s="32"/>
      <c r="R499" s="32"/>
      <c r="S499" s="32"/>
      <c r="T499" s="32"/>
      <c r="U499" s="32"/>
      <c r="V499" s="32"/>
      <c r="W499" s="32"/>
      <c r="X499" s="32"/>
      <c r="Y499" s="32"/>
      <c r="Z499" s="32"/>
    </row>
    <row r="500">
      <c r="A500" s="32" t="str">
        <f>IFERROR(__xludf.DUMMYFUNCTION("""COMPUTED_VALUE"""),"The Blacksmith's Forged Vambraces")</f>
        <v>The Blacksmith's Forged Vambraces</v>
      </c>
      <c r="B500" s="32" t="str">
        <f>IFERROR(__xludf.DUMMYFUNCTION("""COMPUTED_VALUE"""),"Mob Exclusive")</f>
        <v>Mob Exclusive</v>
      </c>
      <c r="C500" s="32"/>
      <c r="D500" s="32" t="str">
        <f>IFERROR(__xludf.DUMMYFUNCTION("""COMPUTED_VALUE"""),"Arms")</f>
        <v>Arms</v>
      </c>
      <c r="E500" s="32">
        <f>IFERROR(__xludf.DUMMYFUNCTION("""COMPUTED_VALUE"""),4000.0)</f>
        <v>4000</v>
      </c>
      <c r="F500" s="32"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32">
        <f>IFERROR(__xludf.DUMMYFUNCTION("""COMPUTED_VALUE"""),7.98E8)</f>
        <v>798000000</v>
      </c>
      <c r="H500" s="32"/>
      <c r="I500" s="32"/>
      <c r="J500" s="32"/>
      <c r="K500" s="32"/>
      <c r="L500" s="32"/>
      <c r="M500" s="32"/>
      <c r="N500" s="32"/>
      <c r="O500" s="32"/>
      <c r="P500" s="32"/>
      <c r="Q500" s="32"/>
      <c r="R500" s="32"/>
      <c r="S500" s="32"/>
      <c r="T500" s="32"/>
      <c r="U500" s="32"/>
      <c r="V500" s="32"/>
      <c r="W500" s="32"/>
      <c r="X500" s="32"/>
      <c r="Y500" s="32"/>
      <c r="Z500" s="32"/>
    </row>
    <row r="501">
      <c r="A501" s="32" t="str">
        <f>IFERROR(__xludf.DUMMYFUNCTION("""COMPUTED_VALUE"""),"The Blacksmith's Forged Greaves")</f>
        <v>The Blacksmith's Forged Greaves</v>
      </c>
      <c r="B501" s="32" t="str">
        <f>IFERROR(__xludf.DUMMYFUNCTION("""COMPUTED_VALUE"""),"Mob Exclusive")</f>
        <v>Mob Exclusive</v>
      </c>
      <c r="C501" s="32"/>
      <c r="D501" s="32" t="str">
        <f>IFERROR(__xludf.DUMMYFUNCTION("""COMPUTED_VALUE"""),"Legs")</f>
        <v>Legs</v>
      </c>
      <c r="E501" s="32">
        <f>IFERROR(__xludf.DUMMYFUNCTION("""COMPUTED_VALUE"""),4000.0)</f>
        <v>4000</v>
      </c>
      <c r="F501" s="32"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32">
        <f>IFERROR(__xludf.DUMMYFUNCTION("""COMPUTED_VALUE"""),7.98E8)</f>
        <v>798000000</v>
      </c>
      <c r="H501" s="32"/>
      <c r="I501" s="32"/>
      <c r="J501" s="32"/>
      <c r="K501" s="32"/>
      <c r="L501" s="32"/>
      <c r="M501" s="32"/>
      <c r="N501" s="32"/>
      <c r="O501" s="32"/>
      <c r="P501" s="32"/>
      <c r="Q501" s="32"/>
      <c r="R501" s="32"/>
      <c r="S501" s="32"/>
      <c r="T501" s="32"/>
      <c r="U501" s="32"/>
      <c r="V501" s="32"/>
      <c r="W501" s="32"/>
      <c r="X501" s="32"/>
      <c r="Y501" s="32"/>
      <c r="Z501" s="32"/>
    </row>
    <row r="502">
      <c r="A502" s="32" t="str">
        <f>IFERROR(__xludf.DUMMYFUNCTION("""COMPUTED_VALUE"""),"The Blacksmith's Forged Sabatons")</f>
        <v>The Blacksmith's Forged Sabatons</v>
      </c>
      <c r="B502" s="32" t="str">
        <f>IFERROR(__xludf.DUMMYFUNCTION("""COMPUTED_VALUE"""),"Mob Exclusive")</f>
        <v>Mob Exclusive</v>
      </c>
      <c r="C502" s="32"/>
      <c r="D502" s="32" t="str">
        <f>IFERROR(__xludf.DUMMYFUNCTION("""COMPUTED_VALUE"""),"Feet")</f>
        <v>Feet</v>
      </c>
      <c r="E502" s="32">
        <f>IFERROR(__xludf.DUMMYFUNCTION("""COMPUTED_VALUE"""),4000.0)</f>
        <v>4000</v>
      </c>
      <c r="F502" s="32"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32">
        <f>IFERROR(__xludf.DUMMYFUNCTION("""COMPUTED_VALUE"""),7.98E8)</f>
        <v>798000000</v>
      </c>
      <c r="H502" s="32"/>
      <c r="I502" s="32"/>
      <c r="J502" s="32"/>
      <c r="K502" s="32"/>
      <c r="L502" s="32"/>
      <c r="M502" s="32"/>
      <c r="N502" s="32"/>
      <c r="O502" s="32"/>
      <c r="P502" s="32"/>
      <c r="Q502" s="32"/>
      <c r="R502" s="32"/>
      <c r="S502" s="32"/>
      <c r="T502" s="32"/>
      <c r="U502" s="32"/>
      <c r="V502" s="32"/>
      <c r="W502" s="32"/>
      <c r="X502" s="32"/>
      <c r="Y502" s="32"/>
      <c r="Z502" s="32"/>
    </row>
    <row r="503">
      <c r="A503" s="32" t="str">
        <f>IFERROR(__xludf.DUMMYFUNCTION("""COMPUTED_VALUE"""),"The Blacksmith's Forged Cuirasses")</f>
        <v>The Blacksmith's Forged Cuirasses</v>
      </c>
      <c r="B503" s="32" t="str">
        <f>IFERROR(__xludf.DUMMYFUNCTION("""COMPUTED_VALUE"""),"Mob Exclusive")</f>
        <v>Mob Exclusive</v>
      </c>
      <c r="C503" s="32"/>
      <c r="D503" s="32" t="str">
        <f>IFERROR(__xludf.DUMMYFUNCTION("""COMPUTED_VALUE"""),"Torso")</f>
        <v>Torso</v>
      </c>
      <c r="E503" s="32">
        <f>IFERROR(__xludf.DUMMYFUNCTION("""COMPUTED_VALUE"""),4000.0)</f>
        <v>4000</v>
      </c>
      <c r="F503" s="32"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32">
        <f>IFERROR(__xludf.DUMMYFUNCTION("""COMPUTED_VALUE"""),7.98E8)</f>
        <v>798000000</v>
      </c>
      <c r="H503" s="32"/>
      <c r="I503" s="32"/>
      <c r="J503" s="32"/>
      <c r="K503" s="32"/>
      <c r="L503" s="32"/>
      <c r="M503" s="32"/>
      <c r="N503" s="32"/>
      <c r="O503" s="32"/>
      <c r="P503" s="32"/>
      <c r="Q503" s="32"/>
      <c r="R503" s="32"/>
      <c r="S503" s="32"/>
      <c r="T503" s="32"/>
      <c r="U503" s="32"/>
      <c r="V503" s="32"/>
      <c r="W503" s="32"/>
      <c r="X503" s="32"/>
      <c r="Y503" s="32"/>
      <c r="Z503" s="32"/>
    </row>
    <row r="504">
      <c r="A504" s="32" t="str">
        <f>IFERROR(__xludf.DUMMYFUNCTION("""COMPUTED_VALUE"""),"The Blacksmith's Forged Ring")</f>
        <v>The Blacksmith's Forged Ring</v>
      </c>
      <c r="B504" s="32" t="str">
        <f>IFERROR(__xludf.DUMMYFUNCTION("""COMPUTED_VALUE"""),"Mob Exclusive")</f>
        <v>Mob Exclusive</v>
      </c>
      <c r="C504" s="32"/>
      <c r="D504" s="32" t="str">
        <f>IFERROR(__xludf.DUMMYFUNCTION("""COMPUTED_VALUE"""),"Ring")</f>
        <v>Ring</v>
      </c>
      <c r="E504" s="32">
        <f>IFERROR(__xludf.DUMMYFUNCTION("""COMPUTED_VALUE"""),1.0)</f>
        <v>1</v>
      </c>
      <c r="F504" s="32"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32">
        <f>IFERROR(__xludf.DUMMYFUNCTION("""COMPUTED_VALUE"""),0.0)</f>
        <v>0</v>
      </c>
      <c r="H504" s="32"/>
      <c r="I504" s="32"/>
      <c r="J504" s="32"/>
      <c r="K504" s="32"/>
      <c r="L504" s="32"/>
      <c r="M504" s="32"/>
      <c r="N504" s="32"/>
      <c r="O504" s="32"/>
      <c r="P504" s="32"/>
      <c r="Q504" s="32"/>
      <c r="R504" s="32"/>
      <c r="S504" s="32"/>
      <c r="T504" s="32"/>
      <c r="U504" s="32"/>
      <c r="V504" s="32"/>
      <c r="W504" s="32"/>
      <c r="X504" s="32"/>
      <c r="Y504" s="32"/>
      <c r="Z504" s="32"/>
    </row>
    <row r="505">
      <c r="A505" s="32" t="str">
        <f>IFERROR(__xludf.DUMMYFUNCTION("""COMPUTED_VALUE"""),"The Blacksmith's Forged Pendant")</f>
        <v>The Blacksmith's Forged Pendant</v>
      </c>
      <c r="B505" s="32" t="str">
        <f>IFERROR(__xludf.DUMMYFUNCTION("""COMPUTED_VALUE"""),"Mob Exclusive")</f>
        <v>Mob Exclusive</v>
      </c>
      <c r="C505" s="32"/>
      <c r="D505" s="32" t="str">
        <f>IFERROR(__xludf.DUMMYFUNCTION("""COMPUTED_VALUE"""),"Neck")</f>
        <v>Neck</v>
      </c>
      <c r="E505" s="32">
        <f>IFERROR(__xludf.DUMMYFUNCTION("""COMPUTED_VALUE"""),1.0)</f>
        <v>1</v>
      </c>
      <c r="F505" s="32"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32">
        <f>IFERROR(__xludf.DUMMYFUNCTION("""COMPUTED_VALUE"""),0.0)</f>
        <v>0</v>
      </c>
      <c r="H505" s="32"/>
      <c r="I505" s="32"/>
      <c r="J505" s="32"/>
      <c r="K505" s="32"/>
      <c r="L505" s="32"/>
      <c r="M505" s="32"/>
      <c r="N505" s="32"/>
      <c r="O505" s="32"/>
      <c r="P505" s="32"/>
      <c r="Q505" s="32"/>
      <c r="R505" s="32"/>
      <c r="S505" s="32"/>
      <c r="T505" s="32"/>
      <c r="U505" s="32"/>
      <c r="V505" s="32"/>
      <c r="W505" s="32"/>
      <c r="X505" s="32"/>
      <c r="Y505" s="32"/>
      <c r="Z505" s="32"/>
    </row>
    <row r="506">
      <c r="A506" s="32" t="str">
        <f>IFERROR(__xludf.DUMMYFUNCTION("""COMPUTED_VALUE"""),"The Blacksmith's Ring of Green Hatred")</f>
        <v>The Blacksmith's Ring of Green Hatred</v>
      </c>
      <c r="B506" s="32" t="str">
        <f>IFERROR(__xludf.DUMMYFUNCTION("""COMPUTED_VALUE"""),"Mob Exclusive")</f>
        <v>Mob Exclusive</v>
      </c>
      <c r="C506" s="32"/>
      <c r="D506" s="32" t="str">
        <f>IFERROR(__xludf.DUMMYFUNCTION("""COMPUTED_VALUE"""),"Ring")</f>
        <v>Ring</v>
      </c>
      <c r="E506" s="32">
        <f>IFERROR(__xludf.DUMMYFUNCTION("""COMPUTED_VALUE"""),1.0)</f>
        <v>1</v>
      </c>
      <c r="F506" s="32" t="str">
        <f>IFERROR(__xludf.DUMMYFUNCTION("""COMPUTED_VALUE""")," (Hephaestus' Set) ++All attacks deal X10 damage against any enemies with the starting town of Forest View.")</f>
        <v> (Hephaestus' Set) ++All attacks deal X10 damage against any enemies with the starting town of Forest View.</v>
      </c>
      <c r="G506" s="32">
        <f>IFERROR(__xludf.DUMMYFUNCTION("""COMPUTED_VALUE"""),0.0)</f>
        <v>0</v>
      </c>
      <c r="H506" s="32"/>
      <c r="I506" s="32"/>
      <c r="J506" s="32"/>
      <c r="K506" s="32"/>
      <c r="L506" s="32"/>
      <c r="M506" s="32"/>
      <c r="N506" s="32"/>
      <c r="O506" s="32"/>
      <c r="P506" s="32"/>
      <c r="Q506" s="32"/>
      <c r="R506" s="32"/>
      <c r="S506" s="32"/>
      <c r="T506" s="32"/>
      <c r="U506" s="32"/>
      <c r="V506" s="32"/>
      <c r="W506" s="32"/>
      <c r="X506" s="32"/>
      <c r="Y506" s="32"/>
      <c r="Z506" s="32"/>
    </row>
    <row r="507">
      <c r="A507" s="32" t="str">
        <f>IFERROR(__xludf.DUMMYFUNCTION("""COMPUTED_VALUE"""),"Ring o' Strength and Fire")</f>
        <v>Ring o' Strength and Fire</v>
      </c>
      <c r="B507" s="32"/>
      <c r="C507" s="32"/>
      <c r="D507" s="32" t="str">
        <f>IFERROR(__xludf.DUMMYFUNCTION("""COMPUTED_VALUE"""),"Ring")</f>
        <v>Ring</v>
      </c>
      <c r="E507" s="32">
        <f>IFERROR(__xludf.DUMMYFUNCTION("""COMPUTED_VALUE"""),1.0)</f>
        <v>1</v>
      </c>
      <c r="F507" s="32" t="str">
        <f>IFERROR(__xludf.DUMMYFUNCTION("""COMPUTED_VALUE""")," ++Grants immunity to fire. ++Grants X2 damage. +-Can only equip one +-Cannot be duplicated")</f>
        <v> ++Grants immunity to fire. ++Grants X2 damage. +-Can only equip one +-Cannot be duplicated</v>
      </c>
      <c r="G507" s="32">
        <f>IFERROR(__xludf.DUMMYFUNCTION("""COMPUTED_VALUE"""),0.0)</f>
        <v>0</v>
      </c>
      <c r="H507" s="32"/>
      <c r="I507" s="32"/>
      <c r="J507" s="32"/>
      <c r="K507" s="32"/>
      <c r="L507" s="32"/>
      <c r="M507" s="32"/>
      <c r="N507" s="32"/>
      <c r="O507" s="32"/>
      <c r="P507" s="32"/>
      <c r="Q507" s="32"/>
      <c r="R507" s="32"/>
      <c r="S507" s="32"/>
      <c r="T507" s="32"/>
      <c r="U507" s="32"/>
      <c r="V507" s="32"/>
      <c r="W507" s="32"/>
      <c r="X507" s="32"/>
      <c r="Y507" s="32"/>
      <c r="Z507" s="32"/>
    </row>
    <row r="508">
      <c r="A508" s="32" t="str">
        <f>IFERROR(__xludf.DUMMYFUNCTION("""COMPUTED_VALUE"""),"Ring o' Fortitude and Earth")</f>
        <v>Ring o' Fortitude and Earth</v>
      </c>
      <c r="B508" s="32"/>
      <c r="C508" s="32"/>
      <c r="D508" s="32" t="str">
        <f>IFERROR(__xludf.DUMMYFUNCTION("""COMPUTED_VALUE"""),"Ring")</f>
        <v>Ring</v>
      </c>
      <c r="E508" s="32">
        <f>IFERROR(__xludf.DUMMYFUNCTION("""COMPUTED_VALUE"""),1.0)</f>
        <v>1</v>
      </c>
      <c r="F508" s="32" t="str">
        <f>IFERROR(__xludf.DUMMYFUNCTION("""COMPUTED_VALUE""")," ++Grants immunity to Earth. ++Grants X2 Defense. +-Can only equip one +-Cannot be duplicated")</f>
        <v> ++Grants immunity to Earth. ++Grants X2 Defense. +-Can only equip one +-Cannot be duplicated</v>
      </c>
      <c r="G508" s="32">
        <f>IFERROR(__xludf.DUMMYFUNCTION("""COMPUTED_VALUE"""),0.0)</f>
        <v>0</v>
      </c>
      <c r="H508" s="32"/>
      <c r="I508" s="32"/>
      <c r="J508" s="32"/>
      <c r="K508" s="32"/>
      <c r="L508" s="32"/>
      <c r="M508" s="32"/>
      <c r="N508" s="32"/>
      <c r="O508" s="32"/>
      <c r="P508" s="32"/>
      <c r="Q508" s="32"/>
      <c r="R508" s="32"/>
      <c r="S508" s="32"/>
      <c r="T508" s="32"/>
      <c r="U508" s="32"/>
      <c r="V508" s="32"/>
      <c r="W508" s="32"/>
      <c r="X508" s="32"/>
      <c r="Y508" s="32"/>
      <c r="Z508" s="32"/>
    </row>
    <row r="509">
      <c r="A509" s="32" t="str">
        <f>IFERROR(__xludf.DUMMYFUNCTION("""COMPUTED_VALUE"""),"Ring o' Agility and Water")</f>
        <v>Ring o' Agility and Water</v>
      </c>
      <c r="B509" s="32"/>
      <c r="C509" s="32"/>
      <c r="D509" s="32" t="str">
        <f>IFERROR(__xludf.DUMMYFUNCTION("""COMPUTED_VALUE"""),"Ring")</f>
        <v>Ring</v>
      </c>
      <c r="E509" s="32">
        <f>IFERROR(__xludf.DUMMYFUNCTION("""COMPUTED_VALUE"""),1.0)</f>
        <v>1</v>
      </c>
      <c r="F509" s="32" t="str">
        <f>IFERROR(__xludf.DUMMYFUNCTION("""COMPUTED_VALUE""")," ++Grants Immunity to Water. ++Grants +5 to evasion. +-Can only equip one +-Cannot be duplicated")</f>
        <v> ++Grants Immunity to Water. ++Grants +5 to evasion. +-Can only equip one +-Cannot be duplicated</v>
      </c>
      <c r="G509" s="32">
        <f>IFERROR(__xludf.DUMMYFUNCTION("""COMPUTED_VALUE"""),0.0)</f>
        <v>0</v>
      </c>
      <c r="H509" s="32"/>
      <c r="I509" s="32"/>
      <c r="J509" s="32"/>
      <c r="K509" s="32"/>
      <c r="L509" s="32"/>
      <c r="M509" s="32"/>
      <c r="N509" s="32"/>
      <c r="O509" s="32"/>
      <c r="P509" s="32"/>
      <c r="Q509" s="32"/>
      <c r="R509" s="32"/>
      <c r="S509" s="32"/>
      <c r="T509" s="32"/>
      <c r="U509" s="32"/>
      <c r="V509" s="32"/>
      <c r="W509" s="32"/>
      <c r="X509" s="32"/>
      <c r="Y509" s="32"/>
      <c r="Z509" s="32"/>
    </row>
    <row r="510">
      <c r="A510" s="32" t="str">
        <f>IFERROR(__xludf.DUMMYFUNCTION("""COMPUTED_VALUE"""),"Ring o' Power and Delta")</f>
        <v>Ring o' Power and Delta</v>
      </c>
      <c r="B510" s="32"/>
      <c r="C510" s="32"/>
      <c r="D510" s="32" t="str">
        <f>IFERROR(__xludf.DUMMYFUNCTION("""COMPUTED_VALUE"""),"Ring")</f>
        <v>Ring</v>
      </c>
      <c r="E510" s="32">
        <f>IFERROR(__xludf.DUMMYFUNCTION("""COMPUTED_VALUE"""),1.0)</f>
        <v>1</v>
      </c>
      <c r="F510" s="32" t="str">
        <f>IFERROR(__xludf.DUMMYFUNCTION("""COMPUTED_VALUE""")," ++Grants X4 Delta damage. ++Take Half delta damage. +-Can only equip one +-Cannot be duplicated")</f>
        <v> ++Grants X4 Delta damage. ++Take Half delta damage. +-Can only equip one +-Cannot be duplicated</v>
      </c>
      <c r="G510" s="32">
        <f>IFERROR(__xludf.DUMMYFUNCTION("""COMPUTED_VALUE"""),0.0)</f>
        <v>0</v>
      </c>
      <c r="H510" s="32"/>
      <c r="I510" s="32"/>
      <c r="J510" s="32"/>
      <c r="K510" s="32"/>
      <c r="L510" s="32"/>
      <c r="M510" s="32"/>
      <c r="N510" s="32"/>
      <c r="O510" s="32"/>
      <c r="P510" s="32"/>
      <c r="Q510" s="32"/>
      <c r="R510" s="32"/>
      <c r="S510" s="32"/>
      <c r="T510" s="32"/>
      <c r="U510" s="32"/>
      <c r="V510" s="32"/>
      <c r="W510" s="32"/>
      <c r="X510" s="32"/>
      <c r="Y510" s="32"/>
      <c r="Z510" s="32"/>
    </row>
    <row r="511">
      <c r="A511" s="32" t="str">
        <f>IFERROR(__xludf.DUMMYFUNCTION("""COMPUTED_VALUE"""),"Ring o' Courage and Order")</f>
        <v>Ring o' Courage and Order</v>
      </c>
      <c r="B511" s="32"/>
      <c r="C511" s="32"/>
      <c r="D511" s="32" t="str">
        <f>IFERROR(__xludf.DUMMYFUNCTION("""COMPUTED_VALUE"""),"Ring")</f>
        <v>Ring</v>
      </c>
      <c r="E511" s="32">
        <f>IFERROR(__xludf.DUMMYFUNCTION("""COMPUTED_VALUE"""),1.0)</f>
        <v>1</v>
      </c>
      <c r="F511" s="32" t="str">
        <f>IFERROR(__xludf.DUMMYFUNCTION("""COMPUTED_VALUE""")," ++Grants Immunity to Order. ++Enemies halve their rolls when fleeing. +-Can only equip one +-Cannot be duplicated")</f>
        <v> ++Grants Immunity to Order. ++Enemies halve their rolls when fleeing. +-Can only equip one +-Cannot be duplicated</v>
      </c>
      <c r="G511" s="32">
        <f>IFERROR(__xludf.DUMMYFUNCTION("""COMPUTED_VALUE"""),0.0)</f>
        <v>0</v>
      </c>
      <c r="H511" s="32"/>
      <c r="I511" s="32"/>
      <c r="J511" s="32"/>
      <c r="K511" s="32"/>
      <c r="L511" s="32"/>
      <c r="M511" s="32"/>
      <c r="N511" s="32"/>
      <c r="O511" s="32"/>
      <c r="P511" s="32"/>
      <c r="Q511" s="32"/>
      <c r="R511" s="32"/>
      <c r="S511" s="32"/>
      <c r="T511" s="32"/>
      <c r="U511" s="32"/>
      <c r="V511" s="32"/>
      <c r="W511" s="32"/>
      <c r="X511" s="32"/>
      <c r="Y511" s="32"/>
      <c r="Z511" s="32"/>
    </row>
    <row r="512">
      <c r="A512" s="32" t="str">
        <f>IFERROR(__xludf.DUMMYFUNCTION("""COMPUTED_VALUE"""),"Ring o' Resilience and Physicality")</f>
        <v>Ring o' Resilience and Physicality</v>
      </c>
      <c r="B512" s="32"/>
      <c r="C512" s="32"/>
      <c r="D512" s="32" t="str">
        <f>IFERROR(__xludf.DUMMYFUNCTION("""COMPUTED_VALUE"""),"Ring")</f>
        <v>Ring</v>
      </c>
      <c r="E512" s="32">
        <f>IFERROR(__xludf.DUMMYFUNCTION("""COMPUTED_VALUE"""),1.0)</f>
        <v>1</v>
      </c>
      <c r="F512" s="32" t="str">
        <f>IFERROR(__xludf.DUMMYFUNCTION("""COMPUTED_VALUE""")," ++Grants Immunity to Natural attacks. ++Grants +5 Mobility. +-Can only equip one +-Cannot be duplicated")</f>
        <v> ++Grants Immunity to Natural attacks. ++Grants +5 Mobility. +-Can only equip one +-Cannot be duplicated</v>
      </c>
      <c r="G512" s="32">
        <f>IFERROR(__xludf.DUMMYFUNCTION("""COMPUTED_VALUE"""),0.0)</f>
        <v>0</v>
      </c>
      <c r="H512" s="32"/>
      <c r="I512" s="32"/>
      <c r="J512" s="32"/>
      <c r="K512" s="32"/>
      <c r="L512" s="32"/>
      <c r="M512" s="32"/>
      <c r="N512" s="32"/>
      <c r="O512" s="32"/>
      <c r="P512" s="32"/>
      <c r="Q512" s="32"/>
      <c r="R512" s="32"/>
      <c r="S512" s="32"/>
      <c r="T512" s="32"/>
      <c r="U512" s="32"/>
      <c r="V512" s="32"/>
      <c r="W512" s="32"/>
      <c r="X512" s="32"/>
      <c r="Y512" s="32"/>
      <c r="Z512" s="32"/>
    </row>
    <row r="513">
      <c r="A513" s="32" t="str">
        <f>IFERROR(__xludf.DUMMYFUNCTION("""COMPUTED_VALUE"""),"Ring o' Insanity and Chaos")</f>
        <v>Ring o' Insanity and Chaos</v>
      </c>
      <c r="B513" s="32"/>
      <c r="C513" s="32"/>
      <c r="D513" s="32" t="str">
        <f>IFERROR(__xludf.DUMMYFUNCTION("""COMPUTED_VALUE"""),"Ring")</f>
        <v>Ring</v>
      </c>
      <c r="E513" s="32">
        <f>IFERROR(__xludf.DUMMYFUNCTION("""COMPUTED_VALUE"""),1.0)</f>
        <v>1</v>
      </c>
      <c r="F513" s="32" t="str">
        <f>IFERROR(__xludf.DUMMYFUNCTION("""COMPUTED_VALUE""")," ++Grants Immunity to Chaos. +5 to Intimidation. +-Can only equip one +-Cannot be duplicated")</f>
        <v> ++Grants Immunity to Chaos. +5 to Intimidation. +-Can only equip one +-Cannot be duplicated</v>
      </c>
      <c r="G513" s="32">
        <f>IFERROR(__xludf.DUMMYFUNCTION("""COMPUTED_VALUE"""),0.0)</f>
        <v>0</v>
      </c>
      <c r="H513" s="32"/>
      <c r="I513" s="32"/>
      <c r="J513" s="32"/>
      <c r="K513" s="32"/>
      <c r="L513" s="32"/>
      <c r="M513" s="32"/>
      <c r="N513" s="32"/>
      <c r="O513" s="32"/>
      <c r="P513" s="32"/>
      <c r="Q513" s="32"/>
      <c r="R513" s="32"/>
      <c r="S513" s="32"/>
      <c r="T513" s="32"/>
      <c r="U513" s="32"/>
      <c r="V513" s="32"/>
      <c r="W513" s="32"/>
      <c r="X513" s="32"/>
      <c r="Y513" s="32"/>
      <c r="Z513" s="32"/>
    </row>
    <row r="514">
      <c r="A514" s="32" t="str">
        <f>IFERROR(__xludf.DUMMYFUNCTION("""COMPUTED_VALUE"""),"Ring o' Debonair and Light")</f>
        <v>Ring o' Debonair and Light</v>
      </c>
      <c r="B514" s="32"/>
      <c r="C514" s="32"/>
      <c r="D514" s="32" t="str">
        <f>IFERROR(__xludf.DUMMYFUNCTION("""COMPUTED_VALUE"""),"Ring")</f>
        <v>Ring</v>
      </c>
      <c r="E514" s="32">
        <f>IFERROR(__xludf.DUMMYFUNCTION("""COMPUTED_VALUE"""),1.0)</f>
        <v>1</v>
      </c>
      <c r="F514" s="32" t="str">
        <f>IFERROR(__xludf.DUMMYFUNCTION("""COMPUTED_VALUE""")," ++Grants Immunity to Light. +5 to Charisma. +-Can only equip one +-Cannot be duplicated")</f>
        <v> ++Grants Immunity to Light. +5 to Charisma. +-Can only equip one +-Cannot be duplicated</v>
      </c>
      <c r="G514" s="32">
        <f>IFERROR(__xludf.DUMMYFUNCTION("""COMPUTED_VALUE"""),0.0)</f>
        <v>0</v>
      </c>
      <c r="H514" s="32"/>
      <c r="I514" s="32"/>
      <c r="J514" s="32"/>
      <c r="K514" s="32"/>
      <c r="L514" s="32"/>
      <c r="M514" s="32"/>
      <c r="N514" s="32"/>
      <c r="O514" s="32"/>
      <c r="P514" s="32"/>
      <c r="Q514" s="32"/>
      <c r="R514" s="32"/>
      <c r="S514" s="32"/>
      <c r="T514" s="32"/>
      <c r="U514" s="32"/>
      <c r="V514" s="32"/>
      <c r="W514" s="32"/>
      <c r="X514" s="32"/>
      <c r="Y514" s="32"/>
      <c r="Z514" s="32"/>
    </row>
    <row r="515">
      <c r="A515" s="32" t="str">
        <f>IFERROR(__xludf.DUMMYFUNCTION("""COMPUTED_VALUE"""),"Ring o' Spite and Blood")</f>
        <v>Ring o' Spite and Blood</v>
      </c>
      <c r="B515" s="32"/>
      <c r="C515" s="32"/>
      <c r="D515" s="32" t="str">
        <f>IFERROR(__xludf.DUMMYFUNCTION("""COMPUTED_VALUE"""),"Ring")</f>
        <v>Ring</v>
      </c>
      <c r="E515" s="32">
        <f>IFERROR(__xludf.DUMMYFUNCTION("""COMPUTED_VALUE"""),1.0)</f>
        <v>1</v>
      </c>
      <c r="F515" s="32"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32">
        <f>IFERROR(__xludf.DUMMYFUNCTION("""COMPUTED_VALUE"""),0.0)</f>
        <v>0</v>
      </c>
      <c r="H515" s="32"/>
      <c r="I515" s="32"/>
      <c r="J515" s="32"/>
      <c r="K515" s="32"/>
      <c r="L515" s="32"/>
      <c r="M515" s="32"/>
      <c r="N515" s="32"/>
      <c r="O515" s="32"/>
      <c r="P515" s="32"/>
      <c r="Q515" s="32"/>
      <c r="R515" s="32"/>
      <c r="S515" s="32"/>
      <c r="T515" s="32"/>
      <c r="U515" s="32"/>
      <c r="V515" s="32"/>
      <c r="W515" s="32"/>
      <c r="X515" s="32"/>
      <c r="Y515" s="32"/>
      <c r="Z515" s="32"/>
    </row>
    <row r="516">
      <c r="A516" s="32" t="str">
        <f>IFERROR(__xludf.DUMMYFUNCTION("""COMPUTED_VALUE"""),"Ring o' Neurodivergence and Spirit")</f>
        <v>Ring o' Neurodivergence and Spirit</v>
      </c>
      <c r="B516" s="32"/>
      <c r="C516" s="32"/>
      <c r="D516" s="32" t="str">
        <f>IFERROR(__xludf.DUMMYFUNCTION("""COMPUTED_VALUE"""),"Ring")</f>
        <v>Ring</v>
      </c>
      <c r="E516" s="32">
        <f>IFERROR(__xludf.DUMMYFUNCTION("""COMPUTED_VALUE"""),1.0)</f>
        <v>1</v>
      </c>
      <c r="F516" s="32"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32">
        <f>IFERROR(__xludf.DUMMYFUNCTION("""COMPUTED_VALUE"""),0.0)</f>
        <v>0</v>
      </c>
      <c r="H516" s="32"/>
      <c r="I516" s="32"/>
      <c r="J516" s="32"/>
      <c r="K516" s="32"/>
      <c r="L516" s="32"/>
      <c r="M516" s="32"/>
      <c r="N516" s="32"/>
      <c r="O516" s="32"/>
      <c r="P516" s="32"/>
      <c r="Q516" s="32"/>
      <c r="R516" s="32"/>
      <c r="S516" s="32"/>
      <c r="T516" s="32"/>
      <c r="U516" s="32"/>
      <c r="V516" s="32"/>
      <c r="W516" s="32"/>
      <c r="X516" s="32"/>
      <c r="Y516" s="32"/>
      <c r="Z516" s="32"/>
    </row>
    <row r="517">
      <c r="A517" s="32" t="str">
        <f>IFERROR(__xludf.DUMMYFUNCTION("""COMPUTED_VALUE"""),"Ring o' Impassivity and Storm")</f>
        <v>Ring o' Impassivity and Storm</v>
      </c>
      <c r="B517" s="32"/>
      <c r="C517" s="32"/>
      <c r="D517" s="32" t="str">
        <f>IFERROR(__xludf.DUMMYFUNCTION("""COMPUTED_VALUE"""),"Ring")</f>
        <v>Ring</v>
      </c>
      <c r="E517" s="32">
        <f>IFERROR(__xludf.DUMMYFUNCTION("""COMPUTED_VALUE"""),1.0)</f>
        <v>1</v>
      </c>
      <c r="F517" s="32"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32">
        <f>IFERROR(__xludf.DUMMYFUNCTION("""COMPUTED_VALUE"""),0.0)</f>
        <v>0</v>
      </c>
      <c r="H517" s="32"/>
      <c r="I517" s="32"/>
      <c r="J517" s="32"/>
      <c r="K517" s="32"/>
      <c r="L517" s="32"/>
      <c r="M517" s="32"/>
      <c r="N517" s="32"/>
      <c r="O517" s="32"/>
      <c r="P517" s="32"/>
      <c r="Q517" s="32"/>
      <c r="R517" s="32"/>
      <c r="S517" s="32"/>
      <c r="T517" s="32"/>
      <c r="U517" s="32"/>
      <c r="V517" s="32"/>
      <c r="W517" s="32"/>
      <c r="X517" s="32"/>
      <c r="Y517" s="32"/>
      <c r="Z517" s="32"/>
    </row>
    <row r="518">
      <c r="A518" s="32" t="str">
        <f>IFERROR(__xludf.DUMMYFUNCTION("""COMPUTED_VALUE"""),"Ring o' Rigidity and Stasis")</f>
        <v>Ring o' Rigidity and Stasis</v>
      </c>
      <c r="B518" s="32"/>
      <c r="C518" s="32"/>
      <c r="D518" s="32" t="str">
        <f>IFERROR(__xludf.DUMMYFUNCTION("""COMPUTED_VALUE"""),"Ring")</f>
        <v>Ring</v>
      </c>
      <c r="E518" s="32">
        <f>IFERROR(__xludf.DUMMYFUNCTION("""COMPUTED_VALUE"""),1.0)</f>
        <v>1</v>
      </c>
      <c r="F518" s="32"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32">
        <f>IFERROR(__xludf.DUMMYFUNCTION("""COMPUTED_VALUE"""),0.0)</f>
        <v>0</v>
      </c>
      <c r="H518" s="32"/>
      <c r="I518" s="32"/>
      <c r="J518" s="32"/>
      <c r="K518" s="32"/>
      <c r="L518" s="32"/>
      <c r="M518" s="32"/>
      <c r="N518" s="32"/>
      <c r="O518" s="32"/>
      <c r="P518" s="32"/>
      <c r="Q518" s="32"/>
      <c r="R518" s="32"/>
      <c r="S518" s="32"/>
      <c r="T518" s="32"/>
      <c r="U518" s="32"/>
      <c r="V518" s="32"/>
      <c r="W518" s="32"/>
      <c r="X518" s="32"/>
      <c r="Y518" s="32"/>
      <c r="Z518" s="32"/>
    </row>
    <row r="519">
      <c r="A519" s="32" t="str">
        <f>IFERROR(__xludf.DUMMYFUNCTION("""COMPUTED_VALUE"""),"Ring o' Loyalty and Celestial")</f>
        <v>Ring o' Loyalty and Celestial</v>
      </c>
      <c r="B519" s="32"/>
      <c r="C519" s="32"/>
      <c r="D519" s="32" t="str">
        <f>IFERROR(__xludf.DUMMYFUNCTION("""COMPUTED_VALUE"""),"Ring")</f>
        <v>Ring</v>
      </c>
      <c r="E519" s="32">
        <f>IFERROR(__xludf.DUMMYFUNCTION("""COMPUTED_VALUE"""),1.0)</f>
        <v>1</v>
      </c>
      <c r="F519" s="32" t="str">
        <f>IFERROR(__xludf.DUMMYFUNCTION("""COMPUTED_VALUE""")," ++Grants X6 Celestial damage. Take half damage from celestial. +-Can only equip one +-Cannot be duplicated")</f>
        <v> ++Grants X6 Celestial damage. Take half damage from celestial. +-Can only equip one +-Cannot be duplicated</v>
      </c>
      <c r="G519" s="32">
        <f>IFERROR(__xludf.DUMMYFUNCTION("""COMPUTED_VALUE"""),0.0)</f>
        <v>0</v>
      </c>
      <c r="H519" s="32"/>
      <c r="I519" s="32"/>
      <c r="J519" s="32"/>
      <c r="K519" s="32"/>
      <c r="L519" s="32"/>
      <c r="M519" s="32"/>
      <c r="N519" s="32"/>
      <c r="O519" s="32"/>
      <c r="P519" s="32"/>
      <c r="Q519" s="32"/>
      <c r="R519" s="32"/>
      <c r="S519" s="32"/>
      <c r="T519" s="32"/>
      <c r="U519" s="32"/>
      <c r="V519" s="32"/>
      <c r="W519" s="32"/>
      <c r="X519" s="32"/>
      <c r="Y519" s="32"/>
      <c r="Z519" s="32"/>
    </row>
    <row r="520">
      <c r="A520" s="32" t="str">
        <f>IFERROR(__xludf.DUMMYFUNCTION("""COMPUTED_VALUE"""),"Ring o' Arrogance and Twilight")</f>
        <v>Ring o' Arrogance and Twilight</v>
      </c>
      <c r="B520" s="32"/>
      <c r="C520" s="32"/>
      <c r="D520" s="32" t="str">
        <f>IFERROR(__xludf.DUMMYFUNCTION("""COMPUTED_VALUE"""),"Ring")</f>
        <v>Ring</v>
      </c>
      <c r="E520" s="32">
        <f>IFERROR(__xludf.DUMMYFUNCTION("""COMPUTED_VALUE"""),1.0)</f>
        <v>1</v>
      </c>
      <c r="F520" s="32"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32">
        <f>IFERROR(__xludf.DUMMYFUNCTION("""COMPUTED_VALUE"""),0.0)</f>
        <v>0</v>
      </c>
      <c r="H520" s="32"/>
      <c r="I520" s="32"/>
      <c r="J520" s="32"/>
      <c r="K520" s="32"/>
      <c r="L520" s="32"/>
      <c r="M520" s="32"/>
      <c r="N520" s="32"/>
      <c r="O520" s="32"/>
      <c r="P520" s="32"/>
      <c r="Q520" s="32"/>
      <c r="R520" s="32"/>
      <c r="S520" s="32"/>
      <c r="T520" s="32"/>
      <c r="U520" s="32"/>
      <c r="V520" s="32"/>
      <c r="W520" s="32"/>
      <c r="X520" s="32"/>
      <c r="Y520" s="32"/>
      <c r="Z520" s="32"/>
    </row>
    <row r="521">
      <c r="A521" s="32" t="str">
        <f>IFERROR(__xludf.DUMMYFUNCTION("""COMPUTED_VALUE"""),"Ring o' Grace and Astral")</f>
        <v>Ring o' Grace and Astral</v>
      </c>
      <c r="B521" s="32"/>
      <c r="C521" s="32"/>
      <c r="D521" s="32" t="str">
        <f>IFERROR(__xludf.DUMMYFUNCTION("""COMPUTED_VALUE"""),"Ring")</f>
        <v>Ring</v>
      </c>
      <c r="E521" s="32">
        <f>IFERROR(__xludf.DUMMYFUNCTION("""COMPUTED_VALUE"""),1.0)</f>
        <v>1</v>
      </c>
      <c r="F521" s="32"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32">
        <f>IFERROR(__xludf.DUMMYFUNCTION("""COMPUTED_VALUE"""),0.0)</f>
        <v>0</v>
      </c>
      <c r="H521" s="32"/>
      <c r="I521" s="32"/>
      <c r="J521" s="32"/>
      <c r="K521" s="32"/>
      <c r="L521" s="32"/>
      <c r="M521" s="32"/>
      <c r="N521" s="32"/>
      <c r="O521" s="32"/>
      <c r="P521" s="32"/>
      <c r="Q521" s="32"/>
      <c r="R521" s="32"/>
      <c r="S521" s="32"/>
      <c r="T521" s="32"/>
      <c r="U521" s="32"/>
      <c r="V521" s="32"/>
      <c r="W521" s="32"/>
      <c r="X521" s="32"/>
      <c r="Y521" s="32"/>
      <c r="Z521" s="32"/>
    </row>
    <row r="522">
      <c r="A522" s="32" t="str">
        <f>IFERROR(__xludf.DUMMYFUNCTION("""COMPUTED_VALUE"""),"Ring o' Villainy and Voodoo")</f>
        <v>Ring o' Villainy and Voodoo</v>
      </c>
      <c r="B522" s="32"/>
      <c r="C522" s="32"/>
      <c r="D522" s="32" t="str">
        <f>IFERROR(__xludf.DUMMYFUNCTION("""COMPUTED_VALUE"""),"Ring")</f>
        <v>Ring</v>
      </c>
      <c r="E522" s="32">
        <f>IFERROR(__xludf.DUMMYFUNCTION("""COMPUTED_VALUE"""),1.0)</f>
        <v>1</v>
      </c>
      <c r="F522" s="32"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32">
        <f>IFERROR(__xludf.DUMMYFUNCTION("""COMPUTED_VALUE"""),0.0)</f>
        <v>0</v>
      </c>
      <c r="H522" s="32"/>
      <c r="I522" s="32"/>
      <c r="J522" s="32"/>
      <c r="K522" s="32"/>
      <c r="L522" s="32"/>
      <c r="M522" s="32"/>
      <c r="N522" s="32"/>
      <c r="O522" s="32"/>
      <c r="P522" s="32"/>
      <c r="Q522" s="32"/>
      <c r="R522" s="32"/>
      <c r="S522" s="32"/>
      <c r="T522" s="32"/>
      <c r="U522" s="32"/>
      <c r="V522" s="32"/>
      <c r="W522" s="32"/>
      <c r="X522" s="32"/>
      <c r="Y522" s="32"/>
      <c r="Z522" s="32"/>
    </row>
    <row r="523">
      <c r="A523" s="32" t="str">
        <f>IFERROR(__xludf.DUMMYFUNCTION("""COMPUTED_VALUE"""),"The Bow of The Verdant Forest")</f>
        <v>The Bow of The Verdant Forest</v>
      </c>
      <c r="B523" s="32" t="str">
        <f>IFERROR(__xludf.DUMMYFUNCTION("""COMPUTED_VALUE"""),"Quest Item")</f>
        <v>Quest Item</v>
      </c>
      <c r="C523" s="32"/>
      <c r="D523" s="32" t="str">
        <f>IFERROR(__xludf.DUMMYFUNCTION("""COMPUTED_VALUE"""),"Hand")</f>
        <v>Hand</v>
      </c>
      <c r="E523" s="32">
        <f>IFERROR(__xludf.DUMMYFUNCTION("""COMPUTED_VALUE"""),200.0)</f>
        <v>200</v>
      </c>
      <c r="F523" s="32"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32">
        <f>IFERROR(__xludf.DUMMYFUNCTION("""COMPUTED_VALUE"""),8.385E7)</f>
        <v>83850000</v>
      </c>
      <c r="H523" s="32"/>
      <c r="I523" s="32"/>
      <c r="J523" s="32"/>
      <c r="K523" s="32"/>
      <c r="L523" s="32"/>
      <c r="M523" s="32"/>
      <c r="N523" s="32"/>
      <c r="O523" s="32"/>
      <c r="P523" s="32"/>
      <c r="Q523" s="32"/>
      <c r="R523" s="32"/>
      <c r="S523" s="32"/>
      <c r="T523" s="32"/>
      <c r="U523" s="32"/>
      <c r="V523" s="32"/>
      <c r="W523" s="32"/>
      <c r="X523" s="32"/>
      <c r="Y523" s="32"/>
      <c r="Z523" s="32"/>
    </row>
    <row r="524">
      <c r="A524" s="32" t="str">
        <f>IFERROR(__xludf.DUMMYFUNCTION("""COMPUTED_VALUE"""),"Enchanted Wooden Buckler of The Verdant Forest")</f>
        <v>Enchanted Wooden Buckler of The Verdant Forest</v>
      </c>
      <c r="B524" s="32" t="str">
        <f>IFERROR(__xludf.DUMMYFUNCTION("""COMPUTED_VALUE"""),"Quest Item")</f>
        <v>Quest Item</v>
      </c>
      <c r="C524" s="32"/>
      <c r="D524" s="32" t="str">
        <f>IFERROR(__xludf.DUMMYFUNCTION("""COMPUTED_VALUE"""),"Hand")</f>
        <v>Hand</v>
      </c>
      <c r="E524" s="32">
        <f>IFERROR(__xludf.DUMMYFUNCTION("""COMPUTED_VALUE"""),200.0)</f>
        <v>200</v>
      </c>
      <c r="F524" s="32"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32">
        <f>IFERROR(__xludf.DUMMYFUNCTION("""COMPUTED_VALUE"""),3.1125E8)</f>
        <v>311250000</v>
      </c>
      <c r="H524" s="32"/>
      <c r="I524" s="32"/>
      <c r="J524" s="32"/>
      <c r="K524" s="32"/>
      <c r="L524" s="32"/>
      <c r="M524" s="32"/>
      <c r="N524" s="32"/>
      <c r="O524" s="32"/>
      <c r="P524" s="32"/>
      <c r="Q524" s="32"/>
      <c r="R524" s="32"/>
      <c r="S524" s="32"/>
      <c r="T524" s="32"/>
      <c r="U524" s="32"/>
      <c r="V524" s="32"/>
      <c r="W524" s="32"/>
      <c r="X524" s="32"/>
      <c r="Y524" s="32"/>
      <c r="Z524" s="32"/>
    </row>
    <row r="525">
      <c r="A525" s="32" t="str">
        <f>IFERROR(__xludf.DUMMYFUNCTION("""COMPUTED_VALUE"""),"Cowl of the Eagle's Sight")</f>
        <v>Cowl of the Eagle's Sight</v>
      </c>
      <c r="B525" s="32" t="str">
        <f>IFERROR(__xludf.DUMMYFUNCTION("""COMPUTED_VALUE"""),"Quest Item")</f>
        <v>Quest Item</v>
      </c>
      <c r="C525" s="32"/>
      <c r="D525" s="32" t="str">
        <f>IFERROR(__xludf.DUMMYFUNCTION("""COMPUTED_VALUE"""),"Head")</f>
        <v>Head</v>
      </c>
      <c r="E525" s="32">
        <f>IFERROR(__xludf.DUMMYFUNCTION("""COMPUTED_VALUE"""),200.0)</f>
        <v>200</v>
      </c>
      <c r="F525" s="32"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32">
        <f>IFERROR(__xludf.DUMMYFUNCTION("""COMPUTED_VALUE"""),4.95E7)</f>
        <v>49500000</v>
      </c>
      <c r="H525" s="32"/>
      <c r="I525" s="32"/>
      <c r="J525" s="32"/>
      <c r="K525" s="32"/>
      <c r="L525" s="32"/>
      <c r="M525" s="32"/>
      <c r="N525" s="32"/>
      <c r="O525" s="32"/>
      <c r="P525" s="32"/>
      <c r="Q525" s="32"/>
      <c r="R525" s="32"/>
      <c r="S525" s="32"/>
      <c r="T525" s="32"/>
      <c r="U525" s="32"/>
      <c r="V525" s="32"/>
      <c r="W525" s="32"/>
      <c r="X525" s="32"/>
      <c r="Y525" s="32"/>
      <c r="Z525" s="32"/>
    </row>
    <row r="526">
      <c r="A526" s="32" t="str">
        <f>IFERROR(__xludf.DUMMYFUNCTION("""COMPUTED_VALUE"""),"Ailettes of the Forest's Splendor")</f>
        <v>Ailettes of the Forest's Splendor</v>
      </c>
      <c r="B526" s="32" t="str">
        <f>IFERROR(__xludf.DUMMYFUNCTION("""COMPUTED_VALUE"""),"Quest Item")</f>
        <v>Quest Item</v>
      </c>
      <c r="C526" s="32"/>
      <c r="D526" s="32" t="str">
        <f>IFERROR(__xludf.DUMMYFUNCTION("""COMPUTED_VALUE"""),"Shoulders")</f>
        <v>Shoulders</v>
      </c>
      <c r="E526" s="32">
        <f>IFERROR(__xludf.DUMMYFUNCTION("""COMPUTED_VALUE"""),200.0)</f>
        <v>200</v>
      </c>
      <c r="F526" s="3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32">
        <f>IFERROR(__xludf.DUMMYFUNCTION("""COMPUTED_VALUE"""),4.95E7)</f>
        <v>49500000</v>
      </c>
      <c r="H526" s="32"/>
      <c r="I526" s="32"/>
      <c r="J526" s="32"/>
      <c r="K526" s="32"/>
      <c r="L526" s="32"/>
      <c r="M526" s="32"/>
      <c r="N526" s="32"/>
      <c r="O526" s="32"/>
      <c r="P526" s="32"/>
      <c r="Q526" s="32"/>
      <c r="R526" s="32"/>
      <c r="S526" s="32"/>
      <c r="T526" s="32"/>
      <c r="U526" s="32"/>
      <c r="V526" s="32"/>
      <c r="W526" s="32"/>
      <c r="X526" s="32"/>
      <c r="Y526" s="32"/>
      <c r="Z526" s="32"/>
    </row>
    <row r="527">
      <c r="A527" s="32" t="str">
        <f>IFERROR(__xludf.DUMMYFUNCTION("""COMPUTED_VALUE"""),"Bracer of Trueshot")</f>
        <v>Bracer of Trueshot</v>
      </c>
      <c r="B527" s="32" t="str">
        <f>IFERROR(__xludf.DUMMYFUNCTION("""COMPUTED_VALUE"""),"Quest Item")</f>
        <v>Quest Item</v>
      </c>
      <c r="C527" s="32"/>
      <c r="D527" s="32" t="str">
        <f>IFERROR(__xludf.DUMMYFUNCTION("""COMPUTED_VALUE"""),"Arms")</f>
        <v>Arms</v>
      </c>
      <c r="E527" s="32">
        <f>IFERROR(__xludf.DUMMYFUNCTION("""COMPUTED_VALUE"""),200.0)</f>
        <v>200</v>
      </c>
      <c r="F527" s="32"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32">
        <f>IFERROR(__xludf.DUMMYFUNCTION("""COMPUTED_VALUE"""),4.95E7)</f>
        <v>49500000</v>
      </c>
      <c r="H527" s="32"/>
      <c r="I527" s="32"/>
      <c r="J527" s="32"/>
      <c r="K527" s="32"/>
      <c r="L527" s="32"/>
      <c r="M527" s="32"/>
      <c r="N527" s="32"/>
      <c r="O527" s="32"/>
      <c r="P527" s="32"/>
      <c r="Q527" s="32"/>
      <c r="R527" s="32"/>
      <c r="S527" s="32"/>
      <c r="T527" s="32"/>
      <c r="U527" s="32"/>
      <c r="V527" s="32"/>
      <c r="W527" s="32"/>
      <c r="X527" s="32"/>
      <c r="Y527" s="32"/>
      <c r="Z527" s="32"/>
    </row>
    <row r="528">
      <c r="A528" s="32" t="str">
        <f>IFERROR(__xludf.DUMMYFUNCTION("""COMPUTED_VALUE"""),"Leather Cuirass of Barkskin")</f>
        <v>Leather Cuirass of Barkskin</v>
      </c>
      <c r="B528" s="32" t="str">
        <f>IFERROR(__xludf.DUMMYFUNCTION("""COMPUTED_VALUE"""),"Quest Item")</f>
        <v>Quest Item</v>
      </c>
      <c r="C528" s="32"/>
      <c r="D528" s="32" t="str">
        <f>IFERROR(__xludf.DUMMYFUNCTION("""COMPUTED_VALUE"""),"Torso")</f>
        <v>Torso</v>
      </c>
      <c r="E528" s="32">
        <f>IFERROR(__xludf.DUMMYFUNCTION("""COMPUTED_VALUE"""),200.0)</f>
        <v>200</v>
      </c>
      <c r="F528" s="32"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32">
        <f>IFERROR(__xludf.DUMMYFUNCTION("""COMPUTED_VALUE"""),1.1175E8)</f>
        <v>111750000</v>
      </c>
      <c r="H528" s="32"/>
      <c r="I528" s="32"/>
      <c r="J528" s="32"/>
      <c r="K528" s="32"/>
      <c r="L528" s="32"/>
      <c r="M528" s="32"/>
      <c r="N528" s="32"/>
      <c r="O528" s="32"/>
      <c r="P528" s="32"/>
      <c r="Q528" s="32"/>
      <c r="R528" s="32"/>
      <c r="S528" s="32"/>
      <c r="T528" s="32"/>
      <c r="U528" s="32"/>
      <c r="V528" s="32"/>
      <c r="W528" s="32"/>
      <c r="X528" s="32"/>
      <c r="Y528" s="32"/>
      <c r="Z528" s="32"/>
    </row>
    <row r="529">
      <c r="A529" s="32" t="str">
        <f>IFERROR(__xludf.DUMMYFUNCTION("""COMPUTED_VALUE"""),"Greaves of The Verdant Forest")</f>
        <v>Greaves of The Verdant Forest</v>
      </c>
      <c r="B529" s="32" t="str">
        <f>IFERROR(__xludf.DUMMYFUNCTION("""COMPUTED_VALUE"""),"Quest Item")</f>
        <v>Quest Item</v>
      </c>
      <c r="C529" s="32"/>
      <c r="D529" s="32" t="str">
        <f>IFERROR(__xludf.DUMMYFUNCTION("""COMPUTED_VALUE"""),"Legs")</f>
        <v>Legs</v>
      </c>
      <c r="E529" s="32">
        <f>IFERROR(__xludf.DUMMYFUNCTION("""COMPUTED_VALUE"""),200.0)</f>
        <v>200</v>
      </c>
      <c r="F529" s="3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32">
        <f>IFERROR(__xludf.DUMMYFUNCTION("""COMPUTED_VALUE"""),4.95E7)</f>
        <v>49500000</v>
      </c>
      <c r="H529" s="32"/>
      <c r="I529" s="32"/>
      <c r="J529" s="32"/>
      <c r="K529" s="32"/>
      <c r="L529" s="32"/>
      <c r="M529" s="32"/>
      <c r="N529" s="32"/>
      <c r="O529" s="32"/>
      <c r="P529" s="32"/>
      <c r="Q529" s="32"/>
      <c r="R529" s="32"/>
      <c r="S529" s="32"/>
      <c r="T529" s="32"/>
      <c r="U529" s="32"/>
      <c r="V529" s="32"/>
      <c r="W529" s="32"/>
      <c r="X529" s="32"/>
      <c r="Y529" s="32"/>
      <c r="Z529" s="32"/>
    </row>
    <row r="530">
      <c r="A530" s="32" t="str">
        <f>IFERROR(__xludf.DUMMYFUNCTION("""COMPUTED_VALUE"""),"Boots of The Verdant Forest")</f>
        <v>Boots of The Verdant Forest</v>
      </c>
      <c r="B530" s="32" t="str">
        <f>IFERROR(__xludf.DUMMYFUNCTION("""COMPUTED_VALUE"""),"Quest Item")</f>
        <v>Quest Item</v>
      </c>
      <c r="C530" s="32"/>
      <c r="D530" s="32" t="str">
        <f>IFERROR(__xludf.DUMMYFUNCTION("""COMPUTED_VALUE"""),"Feet")</f>
        <v>Feet</v>
      </c>
      <c r="E530" s="32">
        <f>IFERROR(__xludf.DUMMYFUNCTION("""COMPUTED_VALUE"""),200.0)</f>
        <v>200</v>
      </c>
      <c r="F530" s="32"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32">
        <f>IFERROR(__xludf.DUMMYFUNCTION("""COMPUTED_VALUE"""),4.95E7)</f>
        <v>49500000</v>
      </c>
      <c r="H530" s="32"/>
      <c r="I530" s="32"/>
      <c r="J530" s="32"/>
      <c r="K530" s="32"/>
      <c r="L530" s="32"/>
      <c r="M530" s="32"/>
      <c r="N530" s="32"/>
      <c r="O530" s="32"/>
      <c r="P530" s="32"/>
      <c r="Q530" s="32"/>
      <c r="R530" s="32"/>
      <c r="S530" s="32"/>
      <c r="T530" s="32"/>
      <c r="U530" s="32"/>
      <c r="V530" s="32"/>
      <c r="W530" s="32"/>
      <c r="X530" s="32"/>
      <c r="Y530" s="32"/>
      <c r="Z530" s="32"/>
    </row>
    <row r="531">
      <c r="A531" s="32" t="str">
        <f>IFERROR(__xludf.DUMMYFUNCTION("""COMPUTED_VALUE"""),"Emerald Ring of The Forest")</f>
        <v>Emerald Ring of The Forest</v>
      </c>
      <c r="B531" s="32" t="str">
        <f>IFERROR(__xludf.DUMMYFUNCTION("""COMPUTED_VALUE"""),"Quest Item")</f>
        <v>Quest Item</v>
      </c>
      <c r="C531" s="32"/>
      <c r="D531" s="32" t="str">
        <f>IFERROR(__xludf.DUMMYFUNCTION("""COMPUTED_VALUE"""),"Ring")</f>
        <v>Ring</v>
      </c>
      <c r="E531" s="32">
        <f>IFERROR(__xludf.DUMMYFUNCTION("""COMPUTED_VALUE"""),1.0)</f>
        <v>1</v>
      </c>
      <c r="F531" s="32"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32">
        <f>IFERROR(__xludf.DUMMYFUNCTION("""COMPUTED_VALUE"""),0.0)</f>
        <v>0</v>
      </c>
      <c r="H531" s="32"/>
      <c r="I531" s="32"/>
      <c r="J531" s="32"/>
      <c r="K531" s="32"/>
      <c r="L531" s="32"/>
      <c r="M531" s="32"/>
      <c r="N531" s="32"/>
      <c r="O531" s="32"/>
      <c r="P531" s="32"/>
      <c r="Q531" s="32"/>
      <c r="R531" s="32"/>
      <c r="S531" s="32"/>
      <c r="T531" s="32"/>
      <c r="U531" s="32"/>
      <c r="V531" s="32"/>
      <c r="W531" s="32"/>
      <c r="X531" s="32"/>
      <c r="Y531" s="32"/>
      <c r="Z531" s="32"/>
    </row>
    <row r="532">
      <c r="A532" s="32" t="str">
        <f>IFERROR(__xludf.DUMMYFUNCTION("""COMPUTED_VALUE"""),"Emerald Amulet of The Forest")</f>
        <v>Emerald Amulet of The Forest</v>
      </c>
      <c r="B532" s="32" t="str">
        <f>IFERROR(__xludf.DUMMYFUNCTION("""COMPUTED_VALUE"""),"Quest Item")</f>
        <v>Quest Item</v>
      </c>
      <c r="C532" s="32"/>
      <c r="D532" s="32" t="str">
        <f>IFERROR(__xludf.DUMMYFUNCTION("""COMPUTED_VALUE"""),"Neck")</f>
        <v>Neck</v>
      </c>
      <c r="E532" s="32">
        <f>IFERROR(__xludf.DUMMYFUNCTION("""COMPUTED_VALUE"""),1.0)</f>
        <v>1</v>
      </c>
      <c r="F532" s="32"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32">
        <f>IFERROR(__xludf.DUMMYFUNCTION("""COMPUTED_VALUE"""),0.0)</f>
        <v>0</v>
      </c>
      <c r="H532" s="32"/>
      <c r="I532" s="32"/>
      <c r="J532" s="32"/>
      <c r="K532" s="32"/>
      <c r="L532" s="32"/>
      <c r="M532" s="32"/>
      <c r="N532" s="32"/>
      <c r="O532" s="32"/>
      <c r="P532" s="32"/>
      <c r="Q532" s="32"/>
      <c r="R532" s="32"/>
      <c r="S532" s="32"/>
      <c r="T532" s="32"/>
      <c r="U532" s="32"/>
      <c r="V532" s="32"/>
      <c r="W532" s="32"/>
      <c r="X532" s="32"/>
      <c r="Y532" s="32"/>
      <c r="Z532" s="32"/>
    </row>
    <row r="533">
      <c r="A533" s="32" t="str">
        <f>IFERROR(__xludf.DUMMYFUNCTION("""COMPUTED_VALUE"""),"Artemis' Crown of The Forest")</f>
        <v>Artemis' Crown of The Forest</v>
      </c>
      <c r="B533" s="32" t="str">
        <f>IFERROR(__xludf.DUMMYFUNCTION("""COMPUTED_VALUE"""),"Mob Exclusive. The crown that was gifted to Aranyani upon her ascension to godhood")</f>
        <v>Mob Exclusive. The crown that was gifted to Aranyani upon her ascension to godhood</v>
      </c>
      <c r="C533" s="32"/>
      <c r="D533" s="32" t="str">
        <f>IFERROR(__xludf.DUMMYFUNCTION("""COMPUTED_VALUE"""),"Head")</f>
        <v>Head</v>
      </c>
      <c r="E533" s="32">
        <f>IFERROR(__xludf.DUMMYFUNCTION("""COMPUTED_VALUE"""),2000.0)</f>
        <v>2000</v>
      </c>
      <c r="F533" s="32"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32">
        <f>IFERROR(__xludf.DUMMYFUNCTION("""COMPUTED_VALUE"""),1.99E8)</f>
        <v>199000000</v>
      </c>
      <c r="H533" s="32"/>
      <c r="I533" s="32"/>
      <c r="J533" s="32"/>
      <c r="K533" s="32"/>
      <c r="L533" s="32"/>
      <c r="M533" s="32"/>
      <c r="N533" s="32"/>
      <c r="O533" s="32"/>
      <c r="P533" s="32"/>
      <c r="Q533" s="32"/>
      <c r="R533" s="32"/>
      <c r="S533" s="32"/>
      <c r="T533" s="32"/>
      <c r="U533" s="32"/>
      <c r="V533" s="32"/>
      <c r="W533" s="32"/>
      <c r="X533" s="32"/>
      <c r="Y533" s="32"/>
      <c r="Z533" s="32"/>
    </row>
    <row r="534">
      <c r="A534" s="32" t="str">
        <f>IFERROR(__xludf.DUMMYFUNCTION("""COMPUTED_VALUE"""),"Artemis' Bow of Divine Wrath")</f>
        <v>Artemis' Bow of Divine Wrath</v>
      </c>
      <c r="B534" s="32" t="str">
        <f>IFERROR(__xludf.DUMMYFUNCTION("""COMPUTED_VALUE"""),"Mob Exclusive.")</f>
        <v>Mob Exclusive.</v>
      </c>
      <c r="C534" s="32" t="str">
        <f>IFERROR(__xludf.DUMMYFUNCTION("""COMPUTED_VALUE"""),"Bow")</f>
        <v>Bow</v>
      </c>
      <c r="D534" s="32" t="str">
        <f>IFERROR(__xludf.DUMMYFUNCTION("""COMPUTED_VALUE"""),"Hand")</f>
        <v>Hand</v>
      </c>
      <c r="E534" s="32">
        <f>IFERROR(__xludf.DUMMYFUNCTION("""COMPUTED_VALUE"""),12000.0)</f>
        <v>12000</v>
      </c>
      <c r="F534" s="32"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32">
        <f>IFERROR(__xludf.DUMMYFUNCTION("""COMPUTED_VALUE"""),7.194E9)</f>
        <v>7194000000</v>
      </c>
      <c r="H534" s="32"/>
      <c r="I534" s="32"/>
      <c r="J534" s="32"/>
      <c r="K534" s="32"/>
      <c r="L534" s="32"/>
      <c r="M534" s="32"/>
      <c r="N534" s="32"/>
      <c r="O534" s="32"/>
      <c r="P534" s="32"/>
      <c r="Q534" s="32"/>
      <c r="R534" s="32"/>
      <c r="S534" s="32"/>
      <c r="T534" s="32"/>
      <c r="U534" s="32"/>
      <c r="V534" s="32"/>
      <c r="W534" s="32"/>
      <c r="X534" s="32"/>
      <c r="Y534" s="32"/>
      <c r="Z534" s="32"/>
    </row>
    <row r="535">
      <c r="A535" s="32" t="str">
        <f>IFERROR(__xludf.DUMMYFUNCTION("""COMPUTED_VALUE"""),"Artemis' Shield of Divine Grace")</f>
        <v>Artemis' Shield of Divine Grace</v>
      </c>
      <c r="B535" s="32" t="str">
        <f>IFERROR(__xludf.DUMMYFUNCTION("""COMPUTED_VALUE"""),"Mob Exclusive")</f>
        <v>Mob Exclusive</v>
      </c>
      <c r="C535" s="32" t="str">
        <f>IFERROR(__xludf.DUMMYFUNCTION("""COMPUTED_VALUE"""),"Buckler")</f>
        <v>Buckler</v>
      </c>
      <c r="D535" s="32" t="str">
        <f>IFERROR(__xludf.DUMMYFUNCTION("""COMPUTED_VALUE"""),"Hand")</f>
        <v>Hand</v>
      </c>
      <c r="E535" s="32">
        <f>IFERROR(__xludf.DUMMYFUNCTION("""COMPUTED_VALUE"""),6000.0)</f>
        <v>6000</v>
      </c>
      <c r="F535" s="32"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32">
        <f>IFERROR(__xludf.DUMMYFUNCTION("""COMPUTED_VALUE"""),1.797E9)</f>
        <v>1797000000</v>
      </c>
      <c r="H535" s="32"/>
      <c r="I535" s="32"/>
      <c r="J535" s="32"/>
      <c r="K535" s="32"/>
      <c r="L535" s="32"/>
      <c r="M535" s="32"/>
      <c r="N535" s="32"/>
      <c r="O535" s="32"/>
      <c r="P535" s="32"/>
      <c r="Q535" s="32"/>
      <c r="R535" s="32"/>
      <c r="S535" s="32"/>
      <c r="T535" s="32"/>
      <c r="U535" s="32"/>
      <c r="V535" s="32"/>
      <c r="W535" s="32"/>
      <c r="X535" s="32"/>
      <c r="Y535" s="32"/>
      <c r="Z535" s="32"/>
    </row>
    <row r="536">
      <c r="A536" s="32" t="str">
        <f>IFERROR(__xludf.DUMMYFUNCTION("""COMPUTED_VALUE"""),"Artemis' Divine Quiver")</f>
        <v>Artemis' Divine Quiver</v>
      </c>
      <c r="B536" s="32" t="str">
        <f>IFERROR(__xludf.DUMMYFUNCTION("""COMPUTED_VALUE"""),"Mob Exclusive")</f>
        <v>Mob Exclusive</v>
      </c>
      <c r="C536" s="32"/>
      <c r="D536" s="32" t="str">
        <f>IFERROR(__xludf.DUMMYFUNCTION("""COMPUTED_VALUE"""),"Shoulders")</f>
        <v>Shoulders</v>
      </c>
      <c r="E536" s="32">
        <f>IFERROR(__xludf.DUMMYFUNCTION("""COMPUTED_VALUE"""),1.0)</f>
        <v>1</v>
      </c>
      <c r="F536" s="32"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32">
        <f>IFERROR(__xludf.DUMMYFUNCTION("""COMPUTED_VALUE"""),0.0)</f>
        <v>0</v>
      </c>
      <c r="H536" s="32"/>
      <c r="I536" s="32"/>
      <c r="J536" s="32"/>
      <c r="K536" s="32"/>
      <c r="L536" s="32"/>
      <c r="M536" s="32"/>
      <c r="N536" s="32"/>
      <c r="O536" s="32"/>
      <c r="P536" s="32"/>
      <c r="Q536" s="32"/>
      <c r="R536" s="32"/>
      <c r="S536" s="32"/>
      <c r="T536" s="32"/>
      <c r="U536" s="32"/>
      <c r="V536" s="32"/>
      <c r="W536" s="32"/>
      <c r="X536" s="32"/>
      <c r="Y536" s="32"/>
      <c r="Z536" s="32"/>
    </row>
    <row r="537">
      <c r="A537" s="32" t="str">
        <f>IFERROR(__xludf.DUMMYFUNCTION("""COMPUTED_VALUE"""),"Artemis' Toga of Divine Beauty")</f>
        <v>Artemis' Toga of Divine Beauty</v>
      </c>
      <c r="B537" s="32" t="str">
        <f>IFERROR(__xludf.DUMMYFUNCTION("""COMPUTED_VALUE"""),"Mob Exclusive")</f>
        <v>Mob Exclusive</v>
      </c>
      <c r="C537" s="32"/>
      <c r="D537" s="32" t="str">
        <f>IFERROR(__xludf.DUMMYFUNCTION("""COMPUTED_VALUE"""),"Torso")</f>
        <v>Torso</v>
      </c>
      <c r="E537" s="32">
        <f>IFERROR(__xludf.DUMMYFUNCTION("""COMPUTED_VALUE"""),4000.0)</f>
        <v>4000</v>
      </c>
      <c r="F537" s="32"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32">
        <f>IFERROR(__xludf.DUMMYFUNCTION("""COMPUTED_VALUE"""),7.98E8)</f>
        <v>798000000</v>
      </c>
      <c r="H537" s="32"/>
      <c r="I537" s="32"/>
      <c r="J537" s="32"/>
      <c r="K537" s="32"/>
      <c r="L537" s="32"/>
      <c r="M537" s="32"/>
      <c r="N537" s="32"/>
      <c r="O537" s="32"/>
      <c r="P537" s="32"/>
      <c r="Q537" s="32"/>
      <c r="R537" s="32"/>
      <c r="S537" s="32"/>
      <c r="T537" s="32"/>
      <c r="U537" s="32"/>
      <c r="V537" s="32"/>
      <c r="W537" s="32"/>
      <c r="X537" s="32"/>
      <c r="Y537" s="32"/>
      <c r="Z537" s="32"/>
    </row>
    <row r="538">
      <c r="A538" s="32" t="str">
        <f>IFERROR(__xludf.DUMMYFUNCTION("""COMPUTED_VALUE"""),"Artemis' Bracer of The Archer Goddess")</f>
        <v>Artemis' Bracer of The Archer Goddess</v>
      </c>
      <c r="B538" s="32" t="str">
        <f>IFERROR(__xludf.DUMMYFUNCTION("""COMPUTED_VALUE"""),"Mob Exclusive")</f>
        <v>Mob Exclusive</v>
      </c>
      <c r="C538" s="32"/>
      <c r="D538" s="32" t="str">
        <f>IFERROR(__xludf.DUMMYFUNCTION("""COMPUTED_VALUE"""),"Arms")</f>
        <v>Arms</v>
      </c>
      <c r="E538" s="32">
        <f>IFERROR(__xludf.DUMMYFUNCTION("""COMPUTED_VALUE"""),2000.0)</f>
        <v>2000</v>
      </c>
      <c r="F538" s="32"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32">
        <f>IFERROR(__xludf.DUMMYFUNCTION("""COMPUTED_VALUE"""),1.99E8)</f>
        <v>199000000</v>
      </c>
      <c r="H538" s="32"/>
      <c r="I538" s="32"/>
      <c r="J538" s="32"/>
      <c r="K538" s="32"/>
      <c r="L538" s="32"/>
      <c r="M538" s="32"/>
      <c r="N538" s="32"/>
      <c r="O538" s="32"/>
      <c r="P538" s="32"/>
      <c r="Q538" s="32"/>
      <c r="R538" s="32"/>
      <c r="S538" s="32"/>
      <c r="T538" s="32"/>
      <c r="U538" s="32"/>
      <c r="V538" s="32"/>
      <c r="W538" s="32"/>
      <c r="X538" s="32"/>
      <c r="Y538" s="32"/>
      <c r="Z538" s="32"/>
    </row>
    <row r="539">
      <c r="A539" s="32" t="str">
        <f>IFERROR(__xludf.DUMMYFUNCTION("""COMPUTED_VALUE"""),"Artemis' Leggings of Divine Agility")</f>
        <v>Artemis' Leggings of Divine Agility</v>
      </c>
      <c r="B539" s="32" t="str">
        <f>IFERROR(__xludf.DUMMYFUNCTION("""COMPUTED_VALUE"""),"Mob Exclusive")</f>
        <v>Mob Exclusive</v>
      </c>
      <c r="C539" s="32"/>
      <c r="D539" s="32" t="str">
        <f>IFERROR(__xludf.DUMMYFUNCTION("""COMPUTED_VALUE"""),"Legs")</f>
        <v>Legs</v>
      </c>
      <c r="E539" s="32">
        <f>IFERROR(__xludf.DUMMYFUNCTION("""COMPUTED_VALUE"""),2000.0)</f>
        <v>2000</v>
      </c>
      <c r="F539" s="32"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32">
        <f>IFERROR(__xludf.DUMMYFUNCTION("""COMPUTED_VALUE"""),1.99E8)</f>
        <v>199000000</v>
      </c>
      <c r="H539" s="32"/>
      <c r="I539" s="32"/>
      <c r="J539" s="32"/>
      <c r="K539" s="32"/>
      <c r="L539" s="32"/>
      <c r="M539" s="32"/>
      <c r="N539" s="32"/>
      <c r="O539" s="32"/>
      <c r="P539" s="32"/>
      <c r="Q539" s="32"/>
      <c r="R539" s="32"/>
      <c r="S539" s="32"/>
      <c r="T539" s="32"/>
      <c r="U539" s="32"/>
      <c r="V539" s="32"/>
      <c r="W539" s="32"/>
      <c r="X539" s="32"/>
      <c r="Y539" s="32"/>
      <c r="Z539" s="32"/>
    </row>
    <row r="540">
      <c r="A540" s="32" t="str">
        <f>IFERROR(__xludf.DUMMYFUNCTION("""COMPUTED_VALUE"""),"Artemis' Sandals of Divine Speed")</f>
        <v>Artemis' Sandals of Divine Speed</v>
      </c>
      <c r="B540" s="32" t="str">
        <f>IFERROR(__xludf.DUMMYFUNCTION("""COMPUTED_VALUE"""),"Mob Exclusive")</f>
        <v>Mob Exclusive</v>
      </c>
      <c r="C540" s="32"/>
      <c r="D540" s="32" t="str">
        <f>IFERROR(__xludf.DUMMYFUNCTION("""COMPUTED_VALUE"""),"Feet")</f>
        <v>Feet</v>
      </c>
      <c r="E540" s="32">
        <f>IFERROR(__xludf.DUMMYFUNCTION("""COMPUTED_VALUE"""),2000.0)</f>
        <v>2000</v>
      </c>
      <c r="F540" s="32"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32">
        <f>IFERROR(__xludf.DUMMYFUNCTION("""COMPUTED_VALUE"""),1.99E8)</f>
        <v>199000000</v>
      </c>
      <c r="H540" s="32"/>
      <c r="I540" s="32"/>
      <c r="J540" s="32"/>
      <c r="K540" s="32"/>
      <c r="L540" s="32"/>
      <c r="M540" s="32"/>
      <c r="N540" s="32"/>
      <c r="O540" s="32"/>
      <c r="P540" s="32"/>
      <c r="Q540" s="32"/>
      <c r="R540" s="32"/>
      <c r="S540" s="32"/>
      <c r="T540" s="32"/>
      <c r="U540" s="32"/>
      <c r="V540" s="32"/>
      <c r="W540" s="32"/>
      <c r="X540" s="32"/>
      <c r="Y540" s="32"/>
      <c r="Z540" s="32"/>
    </row>
    <row r="541">
      <c r="A541" s="32" t="str">
        <f>IFERROR(__xludf.DUMMYFUNCTION("""COMPUTED_VALUE"""),"Artemis' Ring")</f>
        <v>Artemis' Ring</v>
      </c>
      <c r="B541" s="32" t="str">
        <f>IFERROR(__xludf.DUMMYFUNCTION("""COMPUTED_VALUE"""),"Mob Exclusive")</f>
        <v>Mob Exclusive</v>
      </c>
      <c r="C541" s="32"/>
      <c r="D541" s="32" t="str">
        <f>IFERROR(__xludf.DUMMYFUNCTION("""COMPUTED_VALUE"""),"Ring")</f>
        <v>Ring</v>
      </c>
      <c r="E541" s="32">
        <f>IFERROR(__xludf.DUMMYFUNCTION("""COMPUTED_VALUE"""),1.0)</f>
        <v>1</v>
      </c>
      <c r="F541" s="32" t="str">
        <f>IFERROR(__xludf.DUMMYFUNCTION("""COMPUTED_VALUE""")," ++10% chance to revive after dying once. +-can only be equipped by Artemis.")</f>
        <v> ++10% chance to revive after dying once. +-can only be equipped by Artemis.</v>
      </c>
      <c r="G541" s="32">
        <f>IFERROR(__xludf.DUMMYFUNCTION("""COMPUTED_VALUE"""),0.0)</f>
        <v>0</v>
      </c>
      <c r="H541" s="32"/>
      <c r="I541" s="32"/>
      <c r="J541" s="32"/>
      <c r="K541" s="32"/>
      <c r="L541" s="32"/>
      <c r="M541" s="32"/>
      <c r="N541" s="32"/>
      <c r="O541" s="32"/>
      <c r="P541" s="32"/>
      <c r="Q541" s="32"/>
      <c r="R541" s="32"/>
      <c r="S541" s="32"/>
      <c r="T541" s="32"/>
      <c r="U541" s="32"/>
      <c r="V541" s="32"/>
      <c r="W541" s="32"/>
      <c r="X541" s="32"/>
      <c r="Y541" s="32"/>
      <c r="Z541" s="32"/>
    </row>
    <row r="542">
      <c r="A542" s="32" t="str">
        <f>IFERROR(__xludf.DUMMYFUNCTION("""COMPUTED_VALUE"""),"Artemis' Fang Necklace")</f>
        <v>Artemis' Fang Necklace</v>
      </c>
      <c r="B542" s="32" t="str">
        <f>IFERROR(__xludf.DUMMYFUNCTION("""COMPUTED_VALUE"""),"Mob Exclusive")</f>
        <v>Mob Exclusive</v>
      </c>
      <c r="C542" s="32"/>
      <c r="D542" s="32" t="str">
        <f>IFERROR(__xludf.DUMMYFUNCTION("""COMPUTED_VALUE"""),"Neck")</f>
        <v>Neck</v>
      </c>
      <c r="E542" s="32">
        <f>IFERROR(__xludf.DUMMYFUNCTION("""COMPUTED_VALUE"""),1.0)</f>
        <v>1</v>
      </c>
      <c r="F542" s="32"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32">
        <f>IFERROR(__xludf.DUMMYFUNCTION("""COMPUTED_VALUE"""),0.0)</f>
        <v>0</v>
      </c>
      <c r="H542" s="32"/>
      <c r="I542" s="32"/>
      <c r="J542" s="32"/>
      <c r="K542" s="32"/>
      <c r="L542" s="32"/>
      <c r="M542" s="32"/>
      <c r="N542" s="32"/>
      <c r="O542" s="32"/>
      <c r="P542" s="32"/>
      <c r="Q542" s="32"/>
      <c r="R542" s="32"/>
      <c r="S542" s="32"/>
      <c r="T542" s="32"/>
      <c r="U542" s="32"/>
      <c r="V542" s="32"/>
      <c r="W542" s="32"/>
      <c r="X542" s="32"/>
      <c r="Y542" s="32"/>
      <c r="Z542" s="32"/>
    </row>
    <row r="543">
      <c r="A543" s="32" t="str">
        <f>IFERROR(__xludf.DUMMYFUNCTION("""COMPUTED_VALUE"""),"Forged Paladin's Helm")</f>
        <v>Forged Paladin's Helm</v>
      </c>
      <c r="B543" s="32" t="str">
        <f>IFERROR(__xludf.DUMMYFUNCTION("""COMPUTED_VALUE"""),"Quest Item")</f>
        <v>Quest Item</v>
      </c>
      <c r="C543" s="32"/>
      <c r="D543" s="32" t="str">
        <f>IFERROR(__xludf.DUMMYFUNCTION("""COMPUTED_VALUE"""),"Head")</f>
        <v>Head</v>
      </c>
      <c r="E543" s="32">
        <f>IFERROR(__xludf.DUMMYFUNCTION("""COMPUTED_VALUE"""),200.0)</f>
        <v>200</v>
      </c>
      <c r="F543" s="32"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32">
        <f>IFERROR(__xludf.DUMMYFUNCTION("""COMPUTED_VALUE"""),1.1175E8)</f>
        <v>111750000</v>
      </c>
      <c r="H543" s="32"/>
      <c r="I543" s="32"/>
      <c r="J543" s="32"/>
      <c r="K543" s="32"/>
      <c r="L543" s="32"/>
      <c r="M543" s="32"/>
      <c r="N543" s="32"/>
      <c r="O543" s="32"/>
      <c r="P543" s="32"/>
      <c r="Q543" s="32"/>
      <c r="R543" s="32"/>
      <c r="S543" s="32"/>
      <c r="T543" s="32"/>
      <c r="U543" s="32"/>
      <c r="V543" s="32"/>
      <c r="W543" s="32"/>
      <c r="X543" s="32"/>
      <c r="Y543" s="32"/>
      <c r="Z543" s="32"/>
    </row>
    <row r="544">
      <c r="A544" s="32" t="str">
        <f>IFERROR(__xludf.DUMMYFUNCTION("""COMPUTED_VALUE"""),"Forged Paladin's Pauldrons")</f>
        <v>Forged Paladin's Pauldrons</v>
      </c>
      <c r="B544" s="32" t="str">
        <f>IFERROR(__xludf.DUMMYFUNCTION("""COMPUTED_VALUE"""),"Quest Item")</f>
        <v>Quest Item</v>
      </c>
      <c r="C544" s="32"/>
      <c r="D544" s="32" t="str">
        <f>IFERROR(__xludf.DUMMYFUNCTION("""COMPUTED_VALUE"""),"Shoulders")</f>
        <v>Shoulders</v>
      </c>
      <c r="E544" s="32">
        <f>IFERROR(__xludf.DUMMYFUNCTION("""COMPUTED_VALUE"""),200.0)</f>
        <v>200</v>
      </c>
      <c r="F544" s="32"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32">
        <f>IFERROR(__xludf.DUMMYFUNCTION("""COMPUTED_VALUE"""),1.1175E8)</f>
        <v>111750000</v>
      </c>
      <c r="H544" s="32"/>
      <c r="I544" s="32"/>
      <c r="J544" s="32"/>
      <c r="K544" s="32"/>
      <c r="L544" s="32"/>
      <c r="M544" s="32"/>
      <c r="N544" s="32"/>
      <c r="O544" s="32"/>
      <c r="P544" s="32"/>
      <c r="Q544" s="32"/>
      <c r="R544" s="32"/>
      <c r="S544" s="32"/>
      <c r="T544" s="32"/>
      <c r="U544" s="32"/>
      <c r="V544" s="32"/>
      <c r="W544" s="32"/>
      <c r="X544" s="32"/>
      <c r="Y544" s="32"/>
      <c r="Z544" s="32"/>
    </row>
    <row r="545">
      <c r="A545" s="32" t="str">
        <f>IFERROR(__xludf.DUMMYFUNCTION("""COMPUTED_VALUE"""),"Forged Paladin's Plate")</f>
        <v>Forged Paladin's Plate</v>
      </c>
      <c r="B545" s="32" t="str">
        <f>IFERROR(__xludf.DUMMYFUNCTION("""COMPUTED_VALUE"""),"Quest Item")</f>
        <v>Quest Item</v>
      </c>
      <c r="C545" s="32"/>
      <c r="D545" s="32" t="str">
        <f>IFERROR(__xludf.DUMMYFUNCTION("""COMPUTED_VALUE"""),"Torso")</f>
        <v>Torso</v>
      </c>
      <c r="E545" s="32">
        <f>IFERROR(__xludf.DUMMYFUNCTION("""COMPUTED_VALUE"""),200.0)</f>
        <v>200</v>
      </c>
      <c r="F545" s="32"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32">
        <f>IFERROR(__xludf.DUMMYFUNCTION("""COMPUTED_VALUE"""),1.99E8)</f>
        <v>199000000</v>
      </c>
      <c r="H545" s="32"/>
      <c r="I545" s="32"/>
      <c r="J545" s="32"/>
      <c r="K545" s="32"/>
      <c r="L545" s="32"/>
      <c r="M545" s="32"/>
      <c r="N545" s="32"/>
      <c r="O545" s="32"/>
      <c r="P545" s="32"/>
      <c r="Q545" s="32"/>
      <c r="R545" s="32"/>
      <c r="S545" s="32"/>
      <c r="T545" s="32"/>
      <c r="U545" s="32"/>
      <c r="V545" s="32"/>
      <c r="W545" s="32"/>
      <c r="X545" s="32"/>
      <c r="Y545" s="32"/>
      <c r="Z545" s="32"/>
    </row>
    <row r="546">
      <c r="A546" s="32" t="str">
        <f>IFERROR(__xludf.DUMMYFUNCTION("""COMPUTED_VALUE"""),"Forged Paladin's Vambraces")</f>
        <v>Forged Paladin's Vambraces</v>
      </c>
      <c r="B546" s="32" t="str">
        <f>IFERROR(__xludf.DUMMYFUNCTION("""COMPUTED_VALUE"""),"Quest Item")</f>
        <v>Quest Item</v>
      </c>
      <c r="C546" s="32"/>
      <c r="D546" s="32" t="str">
        <f>IFERROR(__xludf.DUMMYFUNCTION("""COMPUTED_VALUE"""),"Arms")</f>
        <v>Arms</v>
      </c>
      <c r="E546" s="32">
        <f>IFERROR(__xludf.DUMMYFUNCTION("""COMPUTED_VALUE"""),200.0)</f>
        <v>200</v>
      </c>
      <c r="F546" s="32"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32">
        <f>IFERROR(__xludf.DUMMYFUNCTION("""COMPUTED_VALUE"""),1.1175E8)</f>
        <v>111750000</v>
      </c>
      <c r="H546" s="32"/>
      <c r="I546" s="32"/>
      <c r="J546" s="32"/>
      <c r="K546" s="32"/>
      <c r="L546" s="32"/>
      <c r="M546" s="32"/>
      <c r="N546" s="32"/>
      <c r="O546" s="32"/>
      <c r="P546" s="32"/>
      <c r="Q546" s="32"/>
      <c r="R546" s="32"/>
      <c r="S546" s="32"/>
      <c r="T546" s="32"/>
      <c r="U546" s="32"/>
      <c r="V546" s="32"/>
      <c r="W546" s="32"/>
      <c r="X546" s="32"/>
      <c r="Y546" s="32"/>
      <c r="Z546" s="32"/>
    </row>
    <row r="547">
      <c r="A547" s="32" t="str">
        <f>IFERROR(__xludf.DUMMYFUNCTION("""COMPUTED_VALUE"""),"Forged Firearm")</f>
        <v>Forged Firearm</v>
      </c>
      <c r="B547" s="32" t="str">
        <f>IFERROR(__xludf.DUMMYFUNCTION("""COMPUTED_VALUE"""),"Quest Item")</f>
        <v>Quest Item</v>
      </c>
      <c r="C547" s="32" t="str">
        <f>IFERROR(__xludf.DUMMYFUNCTION("""COMPUTED_VALUE"""),"Firearm")</f>
        <v>Firearm</v>
      </c>
      <c r="D547" s="32" t="str">
        <f>IFERROR(__xludf.DUMMYFUNCTION("""COMPUTED_VALUE"""),"Hand")</f>
        <v>Hand</v>
      </c>
      <c r="E547" s="32">
        <f>IFERROR(__xludf.DUMMYFUNCTION("""COMPUTED_VALUE"""),200.0)</f>
        <v>200</v>
      </c>
      <c r="F547" s="32"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32">
        <f>IFERROR(__xludf.DUMMYFUNCTION("""COMPUTED_VALUE"""),1.99E8)</f>
        <v>199000000</v>
      </c>
      <c r="H547" s="32"/>
      <c r="I547" s="32"/>
      <c r="J547" s="32"/>
      <c r="K547" s="32"/>
      <c r="L547" s="32"/>
      <c r="M547" s="32"/>
      <c r="N547" s="32"/>
      <c r="O547" s="32"/>
      <c r="P547" s="32"/>
      <c r="Q547" s="32"/>
      <c r="R547" s="32"/>
      <c r="S547" s="32"/>
      <c r="T547" s="32"/>
      <c r="U547" s="32"/>
      <c r="V547" s="32"/>
      <c r="W547" s="32"/>
      <c r="X547" s="32"/>
      <c r="Y547" s="32"/>
      <c r="Z547" s="32"/>
    </row>
    <row r="548">
      <c r="A548" s="32" t="str">
        <f>IFERROR(__xludf.DUMMYFUNCTION("""COMPUTED_VALUE"""),"Forged Towershield")</f>
        <v>Forged Towershield</v>
      </c>
      <c r="B548" s="32" t="str">
        <f>IFERROR(__xludf.DUMMYFUNCTION("""COMPUTED_VALUE"""),"Quest Item")</f>
        <v>Quest Item</v>
      </c>
      <c r="C548" s="32" t="str">
        <f>IFERROR(__xludf.DUMMYFUNCTION("""COMPUTED_VALUE"""),"Towershield")</f>
        <v>Towershield</v>
      </c>
      <c r="D548" s="32" t="str">
        <f>IFERROR(__xludf.DUMMYFUNCTION("""COMPUTED_VALUE"""),"Hand")</f>
        <v>Hand</v>
      </c>
      <c r="E548" s="32">
        <f>IFERROR(__xludf.DUMMYFUNCTION("""COMPUTED_VALUE"""),200.0)</f>
        <v>200</v>
      </c>
      <c r="F548" s="32"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32">
        <f>IFERROR(__xludf.DUMMYFUNCTION("""COMPUTED_VALUE"""),5.4285E8)</f>
        <v>542850000</v>
      </c>
      <c r="H548" s="32"/>
      <c r="I548" s="32"/>
      <c r="J548" s="32"/>
      <c r="K548" s="32"/>
      <c r="L548" s="32"/>
      <c r="M548" s="32"/>
      <c r="N548" s="32"/>
      <c r="O548" s="32"/>
      <c r="P548" s="32"/>
      <c r="Q548" s="32"/>
      <c r="R548" s="32"/>
      <c r="S548" s="32"/>
      <c r="T548" s="32"/>
      <c r="U548" s="32"/>
      <c r="V548" s="32"/>
      <c r="W548" s="32"/>
      <c r="X548" s="32"/>
      <c r="Y548" s="32"/>
      <c r="Z548" s="32"/>
    </row>
    <row r="549">
      <c r="A549" s="32" t="str">
        <f>IFERROR(__xludf.DUMMYFUNCTION("""COMPUTED_VALUE"""),"Forged Leg guard")</f>
        <v>Forged Leg guard</v>
      </c>
      <c r="B549" s="32" t="str">
        <f>IFERROR(__xludf.DUMMYFUNCTION("""COMPUTED_VALUE"""),"Quest Item")</f>
        <v>Quest Item</v>
      </c>
      <c r="C549" s="32"/>
      <c r="D549" s="32" t="str">
        <f>IFERROR(__xludf.DUMMYFUNCTION("""COMPUTED_VALUE"""),"Legs")</f>
        <v>Legs</v>
      </c>
      <c r="E549" s="32">
        <f>IFERROR(__xludf.DUMMYFUNCTION("""COMPUTED_VALUE"""),200.0)</f>
        <v>200</v>
      </c>
      <c r="F549" s="32"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32">
        <f>IFERROR(__xludf.DUMMYFUNCTION("""COMPUTED_VALUE"""),1.1175E8)</f>
        <v>111750000</v>
      </c>
      <c r="H549" s="32"/>
      <c r="I549" s="32"/>
      <c r="J549" s="32"/>
      <c r="K549" s="32"/>
      <c r="L549" s="32"/>
      <c r="M549" s="32"/>
      <c r="N549" s="32"/>
      <c r="O549" s="32"/>
      <c r="P549" s="32"/>
      <c r="Q549" s="32"/>
      <c r="R549" s="32"/>
      <c r="S549" s="32"/>
      <c r="T549" s="32"/>
      <c r="U549" s="32"/>
      <c r="V549" s="32"/>
      <c r="W549" s="32"/>
      <c r="X549" s="32"/>
      <c r="Y549" s="32"/>
      <c r="Z549" s="32"/>
    </row>
    <row r="550">
      <c r="A550" s="32" t="str">
        <f>IFERROR(__xludf.DUMMYFUNCTION("""COMPUTED_VALUE"""),"Forged Sabatons")</f>
        <v>Forged Sabatons</v>
      </c>
      <c r="B550" s="32" t="str">
        <f>IFERROR(__xludf.DUMMYFUNCTION("""COMPUTED_VALUE"""),"Quest Item")</f>
        <v>Quest Item</v>
      </c>
      <c r="C550" s="32"/>
      <c r="D550" s="32" t="str">
        <f>IFERROR(__xludf.DUMMYFUNCTION("""COMPUTED_VALUE"""),"Feet")</f>
        <v>Feet</v>
      </c>
      <c r="E550" s="32">
        <f>IFERROR(__xludf.DUMMYFUNCTION("""COMPUTED_VALUE"""),200.0)</f>
        <v>200</v>
      </c>
      <c r="F550" s="32"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32">
        <f>IFERROR(__xludf.DUMMYFUNCTION("""COMPUTED_VALUE"""),1.1175E8)</f>
        <v>111750000</v>
      </c>
      <c r="H550" s="32"/>
      <c r="I550" s="32"/>
      <c r="J550" s="32"/>
      <c r="K550" s="32"/>
      <c r="L550" s="32"/>
      <c r="M550" s="32"/>
      <c r="N550" s="32"/>
      <c r="O550" s="32"/>
      <c r="P550" s="32"/>
      <c r="Q550" s="32"/>
      <c r="R550" s="32"/>
      <c r="S550" s="32"/>
      <c r="T550" s="32"/>
      <c r="U550" s="32"/>
      <c r="V550" s="32"/>
      <c r="W550" s="32"/>
      <c r="X550" s="32"/>
      <c r="Y550" s="32"/>
      <c r="Z550" s="32"/>
    </row>
    <row r="551">
      <c r="A551" s="32" t="str">
        <f>IFERROR(__xludf.DUMMYFUNCTION("""COMPUTED_VALUE"""),"Scrap Ring")</f>
        <v>Scrap Ring</v>
      </c>
      <c r="B551" s="32" t="str">
        <f>IFERROR(__xludf.DUMMYFUNCTION("""COMPUTED_VALUE"""),"Quest Item")</f>
        <v>Quest Item</v>
      </c>
      <c r="C551" s="32"/>
      <c r="D551" s="32" t="str">
        <f>IFERROR(__xludf.DUMMYFUNCTION("""COMPUTED_VALUE"""),"Ring")</f>
        <v>Ring</v>
      </c>
      <c r="E551" s="32">
        <f>IFERROR(__xludf.DUMMYFUNCTION("""COMPUTED_VALUE"""),1.0)</f>
        <v>1</v>
      </c>
      <c r="F551" s="32" t="str">
        <f>IFERROR(__xludf.DUMMYFUNCTION("""COMPUTED_VALUE""")," ++When you attack an enemy with a firearm, inflict Marked 3. +-Forged Paladin Class Only.")</f>
        <v> ++When you attack an enemy with a firearm, inflict Marked 3. +-Forged Paladin Class Only.</v>
      </c>
      <c r="G551" s="32">
        <f>IFERROR(__xludf.DUMMYFUNCTION("""COMPUTED_VALUE"""),0.0)</f>
        <v>0</v>
      </c>
      <c r="H551" s="32"/>
      <c r="I551" s="32"/>
      <c r="J551" s="32"/>
      <c r="K551" s="32"/>
      <c r="L551" s="32"/>
      <c r="M551" s="32"/>
      <c r="N551" s="32"/>
      <c r="O551" s="32"/>
      <c r="P551" s="32"/>
      <c r="Q551" s="32"/>
      <c r="R551" s="32"/>
      <c r="S551" s="32"/>
      <c r="T551" s="32"/>
      <c r="U551" s="32"/>
      <c r="V551" s="32"/>
      <c r="W551" s="32"/>
      <c r="X551" s="32"/>
      <c r="Y551" s="32"/>
      <c r="Z551" s="32"/>
    </row>
    <row r="552">
      <c r="A552" s="32" t="str">
        <f>IFERROR(__xludf.DUMMYFUNCTION("""COMPUTED_VALUE"""),"Scrap Gorget")</f>
        <v>Scrap Gorget</v>
      </c>
      <c r="B552" s="32" t="str">
        <f>IFERROR(__xludf.DUMMYFUNCTION("""COMPUTED_VALUE"""),"Quest Item")</f>
        <v>Quest Item</v>
      </c>
      <c r="C552" s="32"/>
      <c r="D552" s="32" t="str">
        <f>IFERROR(__xludf.DUMMYFUNCTION("""COMPUTED_VALUE"""),"Neck")</f>
        <v>Neck</v>
      </c>
      <c r="E552" s="32">
        <f>IFERROR(__xludf.DUMMYFUNCTION("""COMPUTED_VALUE"""),1.0)</f>
        <v>1</v>
      </c>
      <c r="F552" s="32"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32">
        <f>IFERROR(__xludf.DUMMYFUNCTION("""COMPUTED_VALUE"""),0.0)</f>
        <v>0</v>
      </c>
      <c r="H552" s="32"/>
      <c r="I552" s="32"/>
      <c r="J552" s="32"/>
      <c r="K552" s="32"/>
      <c r="L552" s="32"/>
      <c r="M552" s="32"/>
      <c r="N552" s="32"/>
      <c r="O552" s="32"/>
      <c r="P552" s="32"/>
      <c r="Q552" s="32"/>
      <c r="R552" s="32"/>
      <c r="S552" s="32"/>
      <c r="T552" s="32"/>
      <c r="U552" s="32"/>
      <c r="V552" s="32"/>
      <c r="W552" s="32"/>
      <c r="X552" s="32"/>
      <c r="Y552" s="32"/>
      <c r="Z552" s="32"/>
    </row>
    <row r="553">
      <c r="A553" s="32" t="str">
        <f>IFERROR(__xludf.DUMMYFUNCTION("""COMPUTED_VALUE"""),"Minstrel's Cap")</f>
        <v>Minstrel's Cap</v>
      </c>
      <c r="B553" s="32" t="str">
        <f>IFERROR(__xludf.DUMMYFUNCTION("""COMPUTED_VALUE"""),"Quest Item")</f>
        <v>Quest Item</v>
      </c>
      <c r="C553" s="32"/>
      <c r="D553" s="32" t="str">
        <f>IFERROR(__xludf.DUMMYFUNCTION("""COMPUTED_VALUE"""),"Head")</f>
        <v>Head</v>
      </c>
      <c r="E553" s="32">
        <f>IFERROR(__xludf.DUMMYFUNCTION("""COMPUTED_VALUE"""),400.0)</f>
        <v>400</v>
      </c>
      <c r="F553" s="32"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32">
        <f>IFERROR(__xludf.DUMMYFUNCTION("""COMPUTED_VALUE"""),7800000.0)</f>
        <v>7800000</v>
      </c>
      <c r="H553" s="32"/>
      <c r="I553" s="32"/>
      <c r="J553" s="32"/>
      <c r="K553" s="32"/>
      <c r="L553" s="32"/>
      <c r="M553" s="32"/>
      <c r="N553" s="32"/>
      <c r="O553" s="32"/>
      <c r="P553" s="32"/>
      <c r="Q553" s="32"/>
      <c r="R553" s="32"/>
      <c r="S553" s="32"/>
      <c r="T553" s="32"/>
      <c r="U553" s="32"/>
      <c r="V553" s="32"/>
      <c r="W553" s="32"/>
      <c r="X553" s="32"/>
      <c r="Y553" s="32"/>
      <c r="Z553" s="32"/>
    </row>
    <row r="554">
      <c r="A554" s="32" t="str">
        <f>IFERROR(__xludf.DUMMYFUNCTION("""COMPUTED_VALUE"""),"Minstrel's Cape")</f>
        <v>Minstrel's Cape</v>
      </c>
      <c r="B554" s="32" t="str">
        <f>IFERROR(__xludf.DUMMYFUNCTION("""COMPUTED_VALUE"""),"Quest Item")</f>
        <v>Quest Item</v>
      </c>
      <c r="C554" s="32"/>
      <c r="D554" s="32" t="str">
        <f>IFERROR(__xludf.DUMMYFUNCTION("""COMPUTED_VALUE"""),"Shoulders")</f>
        <v>Shoulders</v>
      </c>
      <c r="E554" s="32">
        <f>IFERROR(__xludf.DUMMYFUNCTION("""COMPUTED_VALUE"""),400.0)</f>
        <v>400</v>
      </c>
      <c r="F554" s="32"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32">
        <f>IFERROR(__xludf.DUMMYFUNCTION("""COMPUTED_VALUE"""),7800000.0)</f>
        <v>7800000</v>
      </c>
      <c r="H554" s="32"/>
      <c r="I554" s="32"/>
      <c r="J554" s="32"/>
      <c r="K554" s="32"/>
      <c r="L554" s="32"/>
      <c r="M554" s="32"/>
      <c r="N554" s="32"/>
      <c r="O554" s="32"/>
      <c r="P554" s="32"/>
      <c r="Q554" s="32"/>
      <c r="R554" s="32"/>
      <c r="S554" s="32"/>
      <c r="T554" s="32"/>
      <c r="U554" s="32"/>
      <c r="V554" s="32"/>
      <c r="W554" s="32"/>
      <c r="X554" s="32"/>
      <c r="Y554" s="32"/>
      <c r="Z554" s="32"/>
    </row>
    <row r="555">
      <c r="A555" s="32" t="str">
        <f>IFERROR(__xludf.DUMMYFUNCTION("""COMPUTED_VALUE"""),"Minstrel's Doublet")</f>
        <v>Minstrel's Doublet</v>
      </c>
      <c r="B555" s="32" t="str">
        <f>IFERROR(__xludf.DUMMYFUNCTION("""COMPUTED_VALUE"""),"Quest Item")</f>
        <v>Quest Item</v>
      </c>
      <c r="C555" s="32"/>
      <c r="D555" s="32" t="str">
        <f>IFERROR(__xludf.DUMMYFUNCTION("""COMPUTED_VALUE"""),"Torso")</f>
        <v>Torso</v>
      </c>
      <c r="E555" s="32">
        <f>IFERROR(__xludf.DUMMYFUNCTION("""COMPUTED_VALUE"""),800.0)</f>
        <v>800</v>
      </c>
      <c r="F555" s="32"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32">
        <f>IFERROR(__xludf.DUMMYFUNCTION("""COMPUTED_VALUE"""),3.16E7)</f>
        <v>31600000</v>
      </c>
      <c r="H555" s="32"/>
      <c r="I555" s="32"/>
      <c r="J555" s="32"/>
      <c r="K555" s="32"/>
      <c r="L555" s="32"/>
      <c r="M555" s="32"/>
      <c r="N555" s="32"/>
      <c r="O555" s="32"/>
      <c r="P555" s="32"/>
      <c r="Q555" s="32"/>
      <c r="R555" s="32"/>
      <c r="S555" s="32"/>
      <c r="T555" s="32"/>
      <c r="U555" s="32"/>
      <c r="V555" s="32"/>
      <c r="W555" s="32"/>
      <c r="X555" s="32"/>
      <c r="Y555" s="32"/>
      <c r="Z555" s="32"/>
    </row>
    <row r="556">
      <c r="A556" s="32" t="str">
        <f>IFERROR(__xludf.DUMMYFUNCTION("""COMPUTED_VALUE"""),"Minstrel's Cuffs")</f>
        <v>Minstrel's Cuffs</v>
      </c>
      <c r="B556" s="32" t="str">
        <f>IFERROR(__xludf.DUMMYFUNCTION("""COMPUTED_VALUE"""),"Quest Item")</f>
        <v>Quest Item</v>
      </c>
      <c r="C556" s="32"/>
      <c r="D556" s="32" t="str">
        <f>IFERROR(__xludf.DUMMYFUNCTION("""COMPUTED_VALUE"""),"Arms")</f>
        <v>Arms</v>
      </c>
      <c r="E556" s="32">
        <f>IFERROR(__xludf.DUMMYFUNCTION("""COMPUTED_VALUE"""),400.0)</f>
        <v>400</v>
      </c>
      <c r="F556" s="32"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32">
        <f>IFERROR(__xludf.DUMMYFUNCTION("""COMPUTED_VALUE"""),7800000.0)</f>
        <v>7800000</v>
      </c>
      <c r="H556" s="32"/>
      <c r="I556" s="32"/>
      <c r="J556" s="32"/>
      <c r="K556" s="32"/>
      <c r="L556" s="32"/>
      <c r="M556" s="32"/>
      <c r="N556" s="32"/>
      <c r="O556" s="32"/>
      <c r="P556" s="32"/>
      <c r="Q556" s="32"/>
      <c r="R556" s="32"/>
      <c r="S556" s="32"/>
      <c r="T556" s="32"/>
      <c r="U556" s="32"/>
      <c r="V556" s="32"/>
      <c r="W556" s="32"/>
      <c r="X556" s="32"/>
      <c r="Y556" s="32"/>
      <c r="Z556" s="32"/>
    </row>
    <row r="557">
      <c r="A557" s="32" t="str">
        <f>IFERROR(__xludf.DUMMYFUNCTION("""COMPUTED_VALUE"""),"Heavenly Lute")</f>
        <v>Heavenly Lute</v>
      </c>
      <c r="B557" s="32" t="str">
        <f>IFERROR(__xludf.DUMMYFUNCTION("""COMPUTED_VALUE"""),"Quest Item")</f>
        <v>Quest Item</v>
      </c>
      <c r="C557" s="32" t="str">
        <f>IFERROR(__xludf.DUMMYFUNCTION("""COMPUTED_VALUE"""),"Instrument")</f>
        <v>Instrument</v>
      </c>
      <c r="D557" s="32" t="str">
        <f>IFERROR(__xludf.DUMMYFUNCTION("""COMPUTED_VALUE"""),"Hand")</f>
        <v>Hand</v>
      </c>
      <c r="E557" s="32">
        <f>IFERROR(__xludf.DUMMYFUNCTION("""COMPUTED_VALUE"""),900.0)</f>
        <v>900</v>
      </c>
      <c r="F557" s="32"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32">
        <f>IFERROR(__xludf.DUMMYFUNCTION("""COMPUTED_VALUE"""),4.005E7)</f>
        <v>40050000</v>
      </c>
      <c r="H557" s="32"/>
      <c r="I557" s="32"/>
      <c r="J557" s="32"/>
      <c r="K557" s="32"/>
      <c r="L557" s="32"/>
      <c r="M557" s="32"/>
      <c r="N557" s="32"/>
      <c r="O557" s="32"/>
      <c r="P557" s="32"/>
      <c r="Q557" s="32"/>
      <c r="R557" s="32"/>
      <c r="S557" s="32"/>
      <c r="T557" s="32"/>
      <c r="U557" s="32"/>
      <c r="V557" s="32"/>
      <c r="W557" s="32"/>
      <c r="X557" s="32"/>
      <c r="Y557" s="32"/>
      <c r="Z557" s="32"/>
    </row>
    <row r="558">
      <c r="A558" s="32" t="str">
        <f>IFERROR(__xludf.DUMMYFUNCTION("""COMPUTED_VALUE"""),"Wine Stained Buckler With Portable Alcoholism")</f>
        <v>Wine Stained Buckler With Portable Alcoholism</v>
      </c>
      <c r="B558" s="32" t="str">
        <f>IFERROR(__xludf.DUMMYFUNCTION("""COMPUTED_VALUE"""),"Quest Item")</f>
        <v>Quest Item</v>
      </c>
      <c r="C558" s="32" t="str">
        <f>IFERROR(__xludf.DUMMYFUNCTION("""COMPUTED_VALUE"""),"Buckler")</f>
        <v>Buckler</v>
      </c>
      <c r="D558" s="32" t="str">
        <f>IFERROR(__xludf.DUMMYFUNCTION("""COMPUTED_VALUE"""),"Hand")</f>
        <v>Hand</v>
      </c>
      <c r="E558" s="32">
        <f>IFERROR(__xludf.DUMMYFUNCTION("""COMPUTED_VALUE"""),1500.0)</f>
        <v>1500</v>
      </c>
      <c r="F558" s="32"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32">
        <f>IFERROR(__xludf.DUMMYFUNCTION("""COMPUTED_VALUE"""),1.1175E8)</f>
        <v>111750000</v>
      </c>
      <c r="H558" s="32"/>
      <c r="I558" s="32"/>
      <c r="J558" s="32"/>
      <c r="K558" s="32"/>
      <c r="L558" s="32"/>
      <c r="M558" s="32"/>
      <c r="N558" s="32"/>
      <c r="O558" s="32"/>
      <c r="P558" s="32"/>
      <c r="Q558" s="32"/>
      <c r="R558" s="32"/>
      <c r="S558" s="32"/>
      <c r="T558" s="32"/>
      <c r="U558" s="32"/>
      <c r="V558" s="32"/>
      <c r="W558" s="32"/>
      <c r="X558" s="32"/>
      <c r="Y558" s="32"/>
      <c r="Z558" s="32"/>
    </row>
    <row r="559">
      <c r="A559" s="32" t="str">
        <f>IFERROR(__xludf.DUMMYFUNCTION("""COMPUTED_VALUE"""),"Minstrel's Tights")</f>
        <v>Minstrel's Tights</v>
      </c>
      <c r="B559" s="32" t="str">
        <f>IFERROR(__xludf.DUMMYFUNCTION("""COMPUTED_VALUE"""),"Quest Item")</f>
        <v>Quest Item</v>
      </c>
      <c r="C559" s="32"/>
      <c r="D559" s="32" t="str">
        <f>IFERROR(__xludf.DUMMYFUNCTION("""COMPUTED_VALUE"""),"Legs")</f>
        <v>Legs</v>
      </c>
      <c r="E559" s="32">
        <f>IFERROR(__xludf.DUMMYFUNCTION("""COMPUTED_VALUE"""),400.0)</f>
        <v>400</v>
      </c>
      <c r="F559" s="32" t="str">
        <f>IFERROR(__xludf.DUMMYFUNCTION("""COMPUTED_VALUE"""),"DEF: +20000 ++20,000 ACC and ATK. ++X2 Acoustic Damage +-Paladin of The Party and Bard Class only.")</f>
        <v>DEF: +20000 ++20,000 ACC and ATK. ++X2 Acoustic Damage +-Paladin of The Party and Bard Class only.</v>
      </c>
      <c r="G559" s="32">
        <f>IFERROR(__xludf.DUMMYFUNCTION("""COMPUTED_VALUE"""),7800000.0)</f>
        <v>7800000</v>
      </c>
      <c r="H559" s="32"/>
      <c r="I559" s="32"/>
      <c r="J559" s="32"/>
      <c r="K559" s="32"/>
      <c r="L559" s="32"/>
      <c r="M559" s="32"/>
      <c r="N559" s="32"/>
      <c r="O559" s="32"/>
      <c r="P559" s="32"/>
      <c r="Q559" s="32"/>
      <c r="R559" s="32"/>
      <c r="S559" s="32"/>
      <c r="T559" s="32"/>
      <c r="U559" s="32"/>
      <c r="V559" s="32"/>
      <c r="W559" s="32"/>
      <c r="X559" s="32"/>
      <c r="Y559" s="32"/>
      <c r="Z559" s="32"/>
    </row>
    <row r="560">
      <c r="A560" s="32" t="str">
        <f>IFERROR(__xludf.DUMMYFUNCTION("""COMPUTED_VALUE"""),"Minstrel's Boots")</f>
        <v>Minstrel's Boots</v>
      </c>
      <c r="B560" s="32" t="str">
        <f>IFERROR(__xludf.DUMMYFUNCTION("""COMPUTED_VALUE"""),"Quest Item")</f>
        <v>Quest Item</v>
      </c>
      <c r="C560" s="32"/>
      <c r="D560" s="32" t="str">
        <f>IFERROR(__xludf.DUMMYFUNCTION("""COMPUTED_VALUE"""),"Feet")</f>
        <v>Feet</v>
      </c>
      <c r="E560" s="32">
        <f>IFERROR(__xludf.DUMMYFUNCTION("""COMPUTED_VALUE"""),400.0)</f>
        <v>400</v>
      </c>
      <c r="F560" s="32"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32">
        <f>IFERROR(__xludf.DUMMYFUNCTION("""COMPUTED_VALUE"""),7800000.0)</f>
        <v>7800000</v>
      </c>
      <c r="H560" s="32"/>
      <c r="I560" s="32"/>
      <c r="J560" s="32"/>
      <c r="K560" s="32"/>
      <c r="L560" s="32"/>
      <c r="M560" s="32"/>
      <c r="N560" s="32"/>
      <c r="O560" s="32"/>
      <c r="P560" s="32"/>
      <c r="Q560" s="32"/>
      <c r="R560" s="32"/>
      <c r="S560" s="32"/>
      <c r="T560" s="32"/>
      <c r="U560" s="32"/>
      <c r="V560" s="32"/>
      <c r="W560" s="32"/>
      <c r="X560" s="32"/>
      <c r="Y560" s="32"/>
      <c r="Z560" s="32"/>
    </row>
    <row r="561">
      <c r="A561" s="32" t="str">
        <f>IFERROR(__xludf.DUMMYFUNCTION("""COMPUTED_VALUE"""),"Brass Ring of Blackout Drunkenness")</f>
        <v>Brass Ring of Blackout Drunkenness</v>
      </c>
      <c r="B561" s="32" t="str">
        <f>IFERROR(__xludf.DUMMYFUNCTION("""COMPUTED_VALUE"""),"Quest Item")</f>
        <v>Quest Item</v>
      </c>
      <c r="C561" s="32"/>
      <c r="D561" s="32" t="str">
        <f>IFERROR(__xludf.DUMMYFUNCTION("""COMPUTED_VALUE"""),"Ring")</f>
        <v>Ring</v>
      </c>
      <c r="E561" s="32">
        <f>IFERROR(__xludf.DUMMYFUNCTION("""COMPUTED_VALUE"""),1.0)</f>
        <v>1</v>
      </c>
      <c r="F561" s="32"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32">
        <f>IFERROR(__xludf.DUMMYFUNCTION("""COMPUTED_VALUE"""),0.0)</f>
        <v>0</v>
      </c>
      <c r="H561" s="32"/>
      <c r="I561" s="32"/>
      <c r="J561" s="32"/>
      <c r="K561" s="32"/>
      <c r="L561" s="32"/>
      <c r="M561" s="32"/>
      <c r="N561" s="32"/>
      <c r="O561" s="32"/>
      <c r="P561" s="32"/>
      <c r="Q561" s="32"/>
      <c r="R561" s="32"/>
      <c r="S561" s="32"/>
      <c r="T561" s="32"/>
      <c r="U561" s="32"/>
      <c r="V561" s="32"/>
      <c r="W561" s="32"/>
      <c r="X561" s="32"/>
      <c r="Y561" s="32"/>
      <c r="Z561" s="32"/>
    </row>
    <row r="562">
      <c r="A562" s="32" t="str">
        <f>IFERROR(__xludf.DUMMYFUNCTION("""COMPUTED_VALUE"""),"Wreath of The Party's Fervor")</f>
        <v>Wreath of The Party's Fervor</v>
      </c>
      <c r="B562" s="32" t="str">
        <f>IFERROR(__xludf.DUMMYFUNCTION("""COMPUTED_VALUE"""),"Quest Item")</f>
        <v>Quest Item</v>
      </c>
      <c r="C562" s="32"/>
      <c r="D562" s="32" t="str">
        <f>IFERROR(__xludf.DUMMYFUNCTION("""COMPUTED_VALUE"""),"Neck")</f>
        <v>Neck</v>
      </c>
      <c r="E562" s="32">
        <f>IFERROR(__xludf.DUMMYFUNCTION("""COMPUTED_VALUE"""),1.0)</f>
        <v>1</v>
      </c>
      <c r="F562" s="32"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32">
        <f>IFERROR(__xludf.DUMMYFUNCTION("""COMPUTED_VALUE"""),0.0)</f>
        <v>0</v>
      </c>
      <c r="H562" s="32"/>
      <c r="I562" s="32"/>
      <c r="J562" s="32"/>
      <c r="K562" s="32"/>
      <c r="L562" s="32"/>
      <c r="M562" s="32"/>
      <c r="N562" s="32"/>
      <c r="O562" s="32"/>
      <c r="P562" s="32"/>
      <c r="Q562" s="32"/>
      <c r="R562" s="32"/>
      <c r="S562" s="32"/>
      <c r="T562" s="32"/>
      <c r="U562" s="32"/>
      <c r="V562" s="32"/>
      <c r="W562" s="32"/>
      <c r="X562" s="32"/>
      <c r="Y562" s="32"/>
      <c r="Z562" s="32"/>
    </row>
    <row r="563">
      <c r="A563" s="32" t="str">
        <f>IFERROR(__xludf.DUMMYFUNCTION("""COMPUTED_VALUE"""),"Pauldrons of Tritonoch")</f>
        <v>Pauldrons of Tritonoch</v>
      </c>
      <c r="B563" s="32"/>
      <c r="C563" s="32"/>
      <c r="D563" s="32" t="str">
        <f>IFERROR(__xludf.DUMMYFUNCTION("""COMPUTED_VALUE"""),"Shoulders")</f>
        <v>Shoulders</v>
      </c>
      <c r="E563" s="32">
        <f>IFERROR(__xludf.DUMMYFUNCTION("""COMPUTED_VALUE"""),800.0)</f>
        <v>800</v>
      </c>
      <c r="F563" s="32" t="str">
        <f>IFERROR(__xludf.DUMMYFUNCTION("""COMPUTED_VALUE"""),"DEF: +20000, Water DEF: +20000 ++Waves of Entitlement - x5 additional Water damage")</f>
        <v>DEF: +20000, Water DEF: +20000 ++Waves of Entitlement - x5 additional Water damage</v>
      </c>
      <c r="G563" s="32">
        <f>IFERROR(__xludf.DUMMYFUNCTION("""COMPUTED_VALUE"""),3.16E7)</f>
        <v>31600000</v>
      </c>
      <c r="H563" s="32"/>
      <c r="I563" s="32"/>
      <c r="J563" s="32"/>
      <c r="K563" s="32"/>
      <c r="L563" s="32"/>
      <c r="M563" s="32"/>
      <c r="N563" s="32"/>
      <c r="O563" s="32"/>
      <c r="P563" s="32"/>
      <c r="Q563" s="32"/>
      <c r="R563" s="32"/>
      <c r="S563" s="32"/>
      <c r="T563" s="32"/>
      <c r="U563" s="32"/>
      <c r="V563" s="32"/>
      <c r="W563" s="32"/>
      <c r="X563" s="32"/>
      <c r="Y563" s="32"/>
      <c r="Z563" s="32"/>
    </row>
    <row r="564">
      <c r="A564" s="32" t="str">
        <f>IFERROR(__xludf.DUMMYFUNCTION("""COMPUTED_VALUE"""),"Chestplate of Tritonoch")</f>
        <v>Chestplate of Tritonoch</v>
      </c>
      <c r="B564" s="32"/>
      <c r="C564" s="32"/>
      <c r="D564" s="32" t="str">
        <f>IFERROR(__xludf.DUMMYFUNCTION("""COMPUTED_VALUE"""),"Torso")</f>
        <v>Torso</v>
      </c>
      <c r="E564" s="32">
        <f>IFERROR(__xludf.DUMMYFUNCTION("""COMPUTED_VALUE"""),800.0)</f>
        <v>800</v>
      </c>
      <c r="F564" s="32" t="str">
        <f>IFERROR(__xludf.DUMMYFUNCTION("""COMPUTED_VALUE"""),"DEF: +20000, Water DEF: +20000 ++Waves of Entitlement - x5 additional Water damage")</f>
        <v>DEF: +20000, Water DEF: +20000 ++Waves of Entitlement - x5 additional Water damage</v>
      </c>
      <c r="G564" s="32">
        <f>IFERROR(__xludf.DUMMYFUNCTION("""COMPUTED_VALUE"""),3.16E7)</f>
        <v>31600000</v>
      </c>
      <c r="H564" s="32"/>
      <c r="I564" s="32"/>
      <c r="J564" s="32"/>
      <c r="K564" s="32"/>
      <c r="L564" s="32"/>
      <c r="M564" s="32"/>
      <c r="N564" s="32"/>
      <c r="O564" s="32"/>
      <c r="P564" s="32"/>
      <c r="Q564" s="32"/>
      <c r="R564" s="32"/>
      <c r="S564" s="32"/>
      <c r="T564" s="32"/>
      <c r="U564" s="32"/>
      <c r="V564" s="32"/>
      <c r="W564" s="32"/>
      <c r="X564" s="32"/>
      <c r="Y564" s="32"/>
      <c r="Z564" s="32"/>
    </row>
    <row r="565">
      <c r="A565" s="32" t="str">
        <f>IFERROR(__xludf.DUMMYFUNCTION("""COMPUTED_VALUE"""),"Vambraces of Tritonoch")</f>
        <v>Vambraces of Tritonoch</v>
      </c>
      <c r="B565" s="32"/>
      <c r="C565" s="32"/>
      <c r="D565" s="32" t="str">
        <f>IFERROR(__xludf.DUMMYFUNCTION("""COMPUTED_VALUE"""),"Arms")</f>
        <v>Arms</v>
      </c>
      <c r="E565" s="32">
        <f>IFERROR(__xludf.DUMMYFUNCTION("""COMPUTED_VALUE"""),800.0)</f>
        <v>800</v>
      </c>
      <c r="F565" s="32" t="str">
        <f>IFERROR(__xludf.DUMMYFUNCTION("""COMPUTED_VALUE"""),"DEF: +20000, Water DEF: +20000 ++Waves of Entitlement - x5 additional Water damage")</f>
        <v>DEF: +20000, Water DEF: +20000 ++Waves of Entitlement - x5 additional Water damage</v>
      </c>
      <c r="G565" s="32">
        <f>IFERROR(__xludf.DUMMYFUNCTION("""COMPUTED_VALUE"""),3.16E7)</f>
        <v>31600000</v>
      </c>
      <c r="H565" s="32"/>
      <c r="I565" s="32"/>
      <c r="J565" s="32"/>
      <c r="K565" s="32"/>
      <c r="L565" s="32"/>
      <c r="M565" s="32"/>
      <c r="N565" s="32"/>
      <c r="O565" s="32"/>
      <c r="P565" s="32"/>
      <c r="Q565" s="32"/>
      <c r="R565" s="32"/>
      <c r="S565" s="32"/>
      <c r="T565" s="32"/>
      <c r="U565" s="32"/>
      <c r="V565" s="32"/>
      <c r="W565" s="32"/>
      <c r="X565" s="32"/>
      <c r="Y565" s="32"/>
      <c r="Z565" s="32"/>
    </row>
    <row r="566">
      <c r="A566" s="32" t="str">
        <f>IFERROR(__xludf.DUMMYFUNCTION("""COMPUTED_VALUE"""),"Trident of Tritonoch")</f>
        <v>Trident of Tritonoch</v>
      </c>
      <c r="B566" s="32"/>
      <c r="C566" s="32" t="str">
        <f>IFERROR(__xludf.DUMMYFUNCTION("""COMPUTED_VALUE"""),"Spear")</f>
        <v>Spear</v>
      </c>
      <c r="D566" s="32" t="str">
        <f>IFERROR(__xludf.DUMMYFUNCTION("""COMPUTED_VALUE"""),"Hand")</f>
        <v>Hand</v>
      </c>
      <c r="E566" s="32">
        <f>IFERROR(__xludf.DUMMYFUNCTION("""COMPUTED_VALUE"""),200.0)</f>
        <v>200</v>
      </c>
      <c r="F566" s="32"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32">
        <f>IFERROR(__xludf.DUMMYFUNCTION("""COMPUTED_VALUE"""),7.14E7)</f>
        <v>71400000</v>
      </c>
      <c r="H566" s="32"/>
      <c r="I566" s="32"/>
      <c r="J566" s="32"/>
      <c r="K566" s="32"/>
      <c r="L566" s="32"/>
      <c r="M566" s="32"/>
      <c r="N566" s="32"/>
      <c r="O566" s="32"/>
      <c r="P566" s="32"/>
      <c r="Q566" s="32"/>
      <c r="R566" s="32"/>
      <c r="S566" s="32"/>
      <c r="T566" s="32"/>
      <c r="U566" s="32"/>
      <c r="V566" s="32"/>
      <c r="W566" s="32"/>
      <c r="X566" s="32"/>
      <c r="Y566" s="32"/>
      <c r="Z566" s="32"/>
    </row>
    <row r="567">
      <c r="A567" s="32" t="str">
        <f>IFERROR(__xludf.DUMMYFUNCTION("""COMPUTED_VALUE"""),"Boots of Tritonoch")</f>
        <v>Boots of Tritonoch</v>
      </c>
      <c r="B567" s="32"/>
      <c r="C567" s="32"/>
      <c r="D567" s="32" t="str">
        <f>IFERROR(__xludf.DUMMYFUNCTION("""COMPUTED_VALUE"""),"Feet")</f>
        <v>Feet</v>
      </c>
      <c r="E567" s="32">
        <f>IFERROR(__xludf.DUMMYFUNCTION("""COMPUTED_VALUE"""),800.0)</f>
        <v>800</v>
      </c>
      <c r="F567" s="32" t="str">
        <f>IFERROR(__xludf.DUMMYFUNCTION("""COMPUTED_VALUE"""),"DEF: +20000, Water DEF: +20000 ++Waves of Entitlement - x5 additional Water damage")</f>
        <v>DEF: +20000, Water DEF: +20000 ++Waves of Entitlement - x5 additional Water damage</v>
      </c>
      <c r="G567" s="32">
        <f>IFERROR(__xludf.DUMMYFUNCTION("""COMPUTED_VALUE"""),3.16E7)</f>
        <v>31600000</v>
      </c>
      <c r="H567" s="32"/>
      <c r="I567" s="32"/>
      <c r="J567" s="32"/>
      <c r="K567" s="32"/>
      <c r="L567" s="32"/>
      <c r="M567" s="32"/>
      <c r="N567" s="32"/>
      <c r="O567" s="32"/>
      <c r="P567" s="32"/>
      <c r="Q567" s="32"/>
      <c r="R567" s="32"/>
      <c r="S567" s="32"/>
      <c r="T567" s="32"/>
      <c r="U567" s="32"/>
      <c r="V567" s="32"/>
      <c r="W567" s="32"/>
      <c r="X567" s="32"/>
      <c r="Y567" s="32"/>
      <c r="Z567" s="32"/>
    </row>
    <row r="568">
      <c r="A568" s="32" t="str">
        <f>IFERROR(__xludf.DUMMYFUNCTION("""COMPUTED_VALUE"""),"Steel Bandit Dagger")</f>
        <v>Steel Bandit Dagger</v>
      </c>
      <c r="B568" s="32"/>
      <c r="C568" s="32" t="str">
        <f>IFERROR(__xludf.DUMMYFUNCTION("""COMPUTED_VALUE"""),"Knife")</f>
        <v>Knife</v>
      </c>
      <c r="D568" s="32" t="str">
        <f>IFERROR(__xludf.DUMMYFUNCTION("""COMPUTED_VALUE"""),"Hand")</f>
        <v>Hand</v>
      </c>
      <c r="E568" s="32">
        <f>IFERROR(__xludf.DUMMYFUNCTION("""COMPUTED_VALUE"""),1000.0)</f>
        <v>1000</v>
      </c>
      <c r="F568" s="32" t="str">
        <f>IFERROR(__xludf.DUMMYFUNCTION("""COMPUTED_VALUE"""),"DMG: +50000 ++10% chance to steal gilders upon hitting an enemy guilders stolen are equivalent to 1,000*d20")</f>
        <v>DMG: +50000 ++10% chance to steal gilders upon hitting an enemy guilders stolen are equivalent to 1,000*d20</v>
      </c>
      <c r="G568" s="32">
        <f>IFERROR(__xludf.DUMMYFUNCTION("""COMPUTED_VALUE"""),4.95E7)</f>
        <v>49500000</v>
      </c>
      <c r="H568" s="32"/>
      <c r="I568" s="32"/>
      <c r="J568" s="32"/>
      <c r="K568" s="32"/>
      <c r="L568" s="32"/>
      <c r="M568" s="32"/>
      <c r="N568" s="32"/>
      <c r="O568" s="32"/>
      <c r="P568" s="32"/>
      <c r="Q568" s="32"/>
      <c r="R568" s="32"/>
      <c r="S568" s="32"/>
      <c r="T568" s="32"/>
      <c r="U568" s="32"/>
      <c r="V568" s="32"/>
      <c r="W568" s="32"/>
      <c r="X568" s="32"/>
      <c r="Y568" s="32"/>
      <c r="Z568" s="32"/>
    </row>
    <row r="569">
      <c r="A569" s="32" t="str">
        <f>IFERROR(__xludf.DUMMYFUNCTION("""COMPUTED_VALUE"""),"Bandit Hide Helm")</f>
        <v>Bandit Hide Helm</v>
      </c>
      <c r="B569" s="32"/>
      <c r="C569" s="32"/>
      <c r="D569" s="32" t="str">
        <f>IFERROR(__xludf.DUMMYFUNCTION("""COMPUTED_VALUE"""),"Head")</f>
        <v>Head</v>
      </c>
      <c r="E569" s="32">
        <f>IFERROR(__xludf.DUMMYFUNCTION("""COMPUTED_VALUE"""),1000.0)</f>
        <v>1000</v>
      </c>
      <c r="F569" s="32" t="str">
        <f>IFERROR(__xludf.DUMMYFUNCTION("""COMPUTED_VALUE"""),"DEF: +50000")</f>
        <v>DEF: +50000</v>
      </c>
      <c r="G569" s="32">
        <f>IFERROR(__xludf.DUMMYFUNCTION("""COMPUTED_VALUE"""),4.95E7)</f>
        <v>49500000</v>
      </c>
      <c r="H569" s="32"/>
      <c r="I569" s="32"/>
      <c r="J569" s="32"/>
      <c r="K569" s="32"/>
      <c r="L569" s="32"/>
      <c r="M569" s="32"/>
      <c r="N569" s="32"/>
      <c r="O569" s="32"/>
      <c r="P569" s="32"/>
      <c r="Q569" s="32"/>
      <c r="R569" s="32"/>
      <c r="S569" s="32"/>
      <c r="T569" s="32"/>
      <c r="U569" s="32"/>
      <c r="V569" s="32"/>
      <c r="W569" s="32"/>
      <c r="X569" s="32"/>
      <c r="Y569" s="32"/>
      <c r="Z569" s="32"/>
    </row>
    <row r="570">
      <c r="A570" s="32" t="str">
        <f>IFERROR(__xludf.DUMMYFUNCTION("""COMPUTED_VALUE"""),"Bandit Hide Padding")</f>
        <v>Bandit Hide Padding</v>
      </c>
      <c r="B570" s="32"/>
      <c r="C570" s="32"/>
      <c r="D570" s="32" t="str">
        <f>IFERROR(__xludf.DUMMYFUNCTION("""COMPUTED_VALUE"""),"Shoulders")</f>
        <v>Shoulders</v>
      </c>
      <c r="E570" s="32">
        <f>IFERROR(__xludf.DUMMYFUNCTION("""COMPUTED_VALUE"""),1000.0)</f>
        <v>1000</v>
      </c>
      <c r="F570" s="32" t="str">
        <f>IFERROR(__xludf.DUMMYFUNCTION("""COMPUTED_VALUE"""),"DEF: +50000")</f>
        <v>DEF: +50000</v>
      </c>
      <c r="G570" s="32">
        <f>IFERROR(__xludf.DUMMYFUNCTION("""COMPUTED_VALUE"""),4.95E7)</f>
        <v>49500000</v>
      </c>
      <c r="H570" s="32"/>
      <c r="I570" s="32"/>
      <c r="J570" s="32"/>
      <c r="K570" s="32"/>
      <c r="L570" s="32"/>
      <c r="M570" s="32"/>
      <c r="N570" s="32"/>
      <c r="O570" s="32"/>
      <c r="P570" s="32"/>
      <c r="Q570" s="32"/>
      <c r="R570" s="32"/>
      <c r="S570" s="32"/>
      <c r="T570" s="32"/>
      <c r="U570" s="32"/>
      <c r="V570" s="32"/>
      <c r="W570" s="32"/>
      <c r="X570" s="32"/>
      <c r="Y570" s="32"/>
      <c r="Z570" s="32"/>
    </row>
    <row r="571">
      <c r="A571" s="32" t="str">
        <f>IFERROR(__xludf.DUMMYFUNCTION("""COMPUTED_VALUE"""),"Bandit Hide Chestplate")</f>
        <v>Bandit Hide Chestplate</v>
      </c>
      <c r="B571" s="32"/>
      <c r="C571" s="32"/>
      <c r="D571" s="32" t="str">
        <f>IFERROR(__xludf.DUMMYFUNCTION("""COMPUTED_VALUE"""),"Torso")</f>
        <v>Torso</v>
      </c>
      <c r="E571" s="32">
        <f>IFERROR(__xludf.DUMMYFUNCTION("""COMPUTED_VALUE"""),1000.0)</f>
        <v>1000</v>
      </c>
      <c r="F571" s="32" t="str">
        <f>IFERROR(__xludf.DUMMYFUNCTION("""COMPUTED_VALUE"""),"DEF: +50000 ++X2 damage with Knives")</f>
        <v>DEF: +50000 ++X2 damage with Knives</v>
      </c>
      <c r="G571" s="32">
        <f>IFERROR(__xludf.DUMMYFUNCTION("""COMPUTED_VALUE"""),4.95E7)</f>
        <v>49500000</v>
      </c>
      <c r="H571" s="32"/>
      <c r="I571" s="32"/>
      <c r="J571" s="32"/>
      <c r="K571" s="32"/>
      <c r="L571" s="32"/>
      <c r="M571" s="32"/>
      <c r="N571" s="32"/>
      <c r="O571" s="32"/>
      <c r="P571" s="32"/>
      <c r="Q571" s="32"/>
      <c r="R571" s="32"/>
      <c r="S571" s="32"/>
      <c r="T571" s="32"/>
      <c r="U571" s="32"/>
      <c r="V571" s="32"/>
      <c r="W571" s="32"/>
      <c r="X571" s="32"/>
      <c r="Y571" s="32"/>
      <c r="Z571" s="32"/>
    </row>
    <row r="572">
      <c r="A572" s="32" t="str">
        <f>IFERROR(__xludf.DUMMYFUNCTION("""COMPUTED_VALUE"""),"Bandit Hide Vambraces")</f>
        <v>Bandit Hide Vambraces</v>
      </c>
      <c r="B572" s="32"/>
      <c r="C572" s="32"/>
      <c r="D572" s="32" t="str">
        <f>IFERROR(__xludf.DUMMYFUNCTION("""COMPUTED_VALUE"""),"Arms")</f>
        <v>Arms</v>
      </c>
      <c r="E572" s="32">
        <f>IFERROR(__xludf.DUMMYFUNCTION("""COMPUTED_VALUE"""),1000.0)</f>
        <v>1000</v>
      </c>
      <c r="F572" s="32" t="str">
        <f>IFERROR(__xludf.DUMMYFUNCTION("""COMPUTED_VALUE"""),"DEF: +50000")</f>
        <v>DEF: +50000</v>
      </c>
      <c r="G572" s="32">
        <f>IFERROR(__xludf.DUMMYFUNCTION("""COMPUTED_VALUE"""),4.95E7)</f>
        <v>49500000</v>
      </c>
      <c r="H572" s="32"/>
      <c r="I572" s="32"/>
      <c r="J572" s="32"/>
      <c r="K572" s="32"/>
      <c r="L572" s="32"/>
      <c r="M572" s="32"/>
      <c r="N572" s="32"/>
      <c r="O572" s="32"/>
      <c r="P572" s="32"/>
      <c r="Q572" s="32"/>
      <c r="R572" s="32"/>
      <c r="S572" s="32"/>
      <c r="T572" s="32"/>
      <c r="U572" s="32"/>
      <c r="V572" s="32"/>
      <c r="W572" s="32"/>
      <c r="X572" s="32"/>
      <c r="Y572" s="32"/>
      <c r="Z572" s="32"/>
    </row>
    <row r="573">
      <c r="A573" s="32" t="str">
        <f>IFERROR(__xludf.DUMMYFUNCTION("""COMPUTED_VALUE"""),"Bandit Hide Greaves")</f>
        <v>Bandit Hide Greaves</v>
      </c>
      <c r="B573" s="32"/>
      <c r="C573" s="32"/>
      <c r="D573" s="32" t="str">
        <f>IFERROR(__xludf.DUMMYFUNCTION("""COMPUTED_VALUE"""),"Legs")</f>
        <v>Legs</v>
      </c>
      <c r="E573" s="32">
        <f>IFERROR(__xludf.DUMMYFUNCTION("""COMPUTED_VALUE"""),1000.0)</f>
        <v>1000</v>
      </c>
      <c r="F573" s="32" t="str">
        <f>IFERROR(__xludf.DUMMYFUNCTION("""COMPUTED_VALUE"""),"DEF: +50000")</f>
        <v>DEF: +50000</v>
      </c>
      <c r="G573" s="32">
        <f>IFERROR(__xludf.DUMMYFUNCTION("""COMPUTED_VALUE"""),4.95E7)</f>
        <v>49500000</v>
      </c>
      <c r="H573" s="32"/>
      <c r="I573" s="32"/>
      <c r="J573" s="32"/>
      <c r="K573" s="32"/>
      <c r="L573" s="32"/>
      <c r="M573" s="32"/>
      <c r="N573" s="32"/>
      <c r="O573" s="32"/>
      <c r="P573" s="32"/>
      <c r="Q573" s="32"/>
      <c r="R573" s="32"/>
      <c r="S573" s="32"/>
      <c r="T573" s="32"/>
      <c r="U573" s="32"/>
      <c r="V573" s="32"/>
      <c r="W573" s="32"/>
      <c r="X573" s="32"/>
      <c r="Y573" s="32"/>
      <c r="Z573" s="32"/>
    </row>
    <row r="574">
      <c r="A574" s="32" t="str">
        <f>IFERROR(__xludf.DUMMYFUNCTION("""COMPUTED_VALUE"""),"Bandit Hide Boots")</f>
        <v>Bandit Hide Boots</v>
      </c>
      <c r="B574" s="32"/>
      <c r="C574" s="32"/>
      <c r="D574" s="32" t="str">
        <f>IFERROR(__xludf.DUMMYFUNCTION("""COMPUTED_VALUE"""),"Feet")</f>
        <v>Feet</v>
      </c>
      <c r="E574" s="32">
        <f>IFERROR(__xludf.DUMMYFUNCTION("""COMPUTED_VALUE"""),1000.0)</f>
        <v>1000</v>
      </c>
      <c r="F574" s="32" t="str">
        <f>IFERROR(__xludf.DUMMYFUNCTION("""COMPUTED_VALUE"""),"DEF: +50000  ++5 to all confiscate, pickpocket, or take rolls")</f>
        <v>DEF: +50000  ++5 to all confiscate, pickpocket, or take rolls</v>
      </c>
      <c r="G574" s="32">
        <f>IFERROR(__xludf.DUMMYFUNCTION("""COMPUTED_VALUE"""),4.95E7)</f>
        <v>49500000</v>
      </c>
      <c r="H574" s="32"/>
      <c r="I574" s="32"/>
      <c r="J574" s="32"/>
      <c r="K574" s="32"/>
      <c r="L574" s="32"/>
      <c r="M574" s="32"/>
      <c r="N574" s="32"/>
      <c r="O574" s="32"/>
      <c r="P574" s="32"/>
      <c r="Q574" s="32"/>
      <c r="R574" s="32"/>
      <c r="S574" s="32"/>
      <c r="T574" s="32"/>
      <c r="U574" s="32"/>
      <c r="V574" s="32"/>
      <c r="W574" s="32"/>
      <c r="X574" s="32"/>
      <c r="Y574" s="32"/>
      <c r="Z574" s="32"/>
    </row>
    <row r="575">
      <c r="A575" s="32" t="str">
        <f>IFERROR(__xludf.DUMMYFUNCTION("""COMPUTED_VALUE"""),"Nunchucks")</f>
        <v>Nunchucks</v>
      </c>
      <c r="B575" s="32"/>
      <c r="C575" s="32" t="str">
        <f>IFERROR(__xludf.DUMMYFUNCTION("""COMPUTED_VALUE"""),"Club")</f>
        <v>Club</v>
      </c>
      <c r="D575" s="32" t="str">
        <f>IFERROR(__xludf.DUMMYFUNCTION("""COMPUTED_VALUE"""),"Hand")</f>
        <v>Hand</v>
      </c>
      <c r="E575" s="32">
        <f>IFERROR(__xludf.DUMMYFUNCTION("""COMPUTED_VALUE"""),3000.0)</f>
        <v>3000</v>
      </c>
      <c r="F575" s="32" t="str">
        <f>IFERROR(__xludf.DUMMYFUNCTION("""COMPUTED_VALUE"""),"DMG: +150000 ++10% chance to disarm your enemy when hitting them")</f>
        <v>DMG: +150000 ++10% chance to disarm your enemy when hitting them</v>
      </c>
      <c r="G575" s="32">
        <f>IFERROR(__xludf.DUMMYFUNCTION("""COMPUTED_VALUE"""),4.485E8)</f>
        <v>448500000</v>
      </c>
      <c r="H575" s="32"/>
      <c r="I575" s="32"/>
      <c r="J575" s="32"/>
      <c r="K575" s="32"/>
      <c r="L575" s="32"/>
      <c r="M575" s="32"/>
      <c r="N575" s="32"/>
      <c r="O575" s="32"/>
      <c r="P575" s="32"/>
      <c r="Q575" s="32"/>
      <c r="R575" s="32"/>
      <c r="S575" s="32"/>
      <c r="T575" s="32"/>
      <c r="U575" s="32"/>
      <c r="V575" s="32"/>
      <c r="W575" s="32"/>
      <c r="X575" s="32"/>
      <c r="Y575" s="32"/>
      <c r="Z575" s="32"/>
    </row>
    <row r="576">
      <c r="A576" s="32" t="str">
        <f>IFERROR(__xludf.DUMMYFUNCTION("""COMPUTED_VALUE"""),"Shuriken (Enhanced)")</f>
        <v>Shuriken (Enhanced)</v>
      </c>
      <c r="B576" s="32" t="str">
        <f>IFERROR(__xludf.DUMMYFUNCTION("""COMPUTED_VALUE"""),"the tantamount Ninja weapon, requires a level of dexterity you probably don't possess")</f>
        <v>the tantamount Ninja weapon, requires a level of dexterity you probably don't possess</v>
      </c>
      <c r="C576" s="32" t="str">
        <f>IFERROR(__xludf.DUMMYFUNCTION("""COMPUTED_VALUE"""),"Boomerang")</f>
        <v>Boomerang</v>
      </c>
      <c r="D576" s="32" t="str">
        <f>IFERROR(__xludf.DUMMYFUNCTION("""COMPUTED_VALUE"""),"Hand")</f>
        <v>Hand</v>
      </c>
      <c r="E576" s="32">
        <f>IFERROR(__xludf.DUMMYFUNCTION("""COMPUTED_VALUE"""),1500.0)</f>
        <v>1500</v>
      </c>
      <c r="F576" s="32" t="str">
        <f>IFERROR(__xludf.DUMMYFUNCTION("""COMPUTED_VALUE"""),"DMG: +50000, Blood DMG: +25000 ++Returns when thrown, can throw up to 4 in one attack (roll 1d4 to determine)")</f>
        <v>DMG: +50000, Blood DMG: +25000 ++Returns when thrown, can throw up to 4 in one attack (roll 1d4 to determine)</v>
      </c>
      <c r="G576" s="32">
        <f>IFERROR(__xludf.DUMMYFUNCTION("""COMPUTED_VALUE"""),1.1175E8)</f>
        <v>111750000</v>
      </c>
      <c r="H576" s="32"/>
      <c r="I576" s="32"/>
      <c r="J576" s="32"/>
      <c r="K576" s="32"/>
      <c r="L576" s="32"/>
      <c r="M576" s="32"/>
      <c r="N576" s="32"/>
      <c r="O576" s="32"/>
      <c r="P576" s="32"/>
      <c r="Q576" s="32"/>
      <c r="R576" s="32"/>
      <c r="S576" s="32"/>
      <c r="T576" s="32"/>
      <c r="U576" s="32"/>
      <c r="V576" s="32"/>
      <c r="W576" s="32"/>
      <c r="X576" s="32"/>
      <c r="Y576" s="32"/>
      <c r="Z576" s="32"/>
    </row>
    <row r="577">
      <c r="A577" s="32" t="str">
        <f>IFERROR(__xludf.DUMMYFUNCTION("""COMPUTED_VALUE"""),"Poison Dart Gun")</f>
        <v>Poison Dart Gun</v>
      </c>
      <c r="B577" s="3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32" t="str">
        <f>IFERROR(__xludf.DUMMYFUNCTION("""COMPUTED_VALUE"""),"Firearm")</f>
        <v>Firearm</v>
      </c>
      <c r="D577" s="32" t="str">
        <f>IFERROR(__xludf.DUMMYFUNCTION("""COMPUTED_VALUE"""),"Hand")</f>
        <v>Hand</v>
      </c>
      <c r="E577" s="32">
        <f>IFERROR(__xludf.DUMMYFUNCTION("""COMPUTED_VALUE"""),2000.0)</f>
        <v>2000</v>
      </c>
      <c r="F577" s="32" t="str">
        <f>IFERROR(__xludf.DUMMYFUNCTION("""COMPUTED_VALUE"""),"DMG: +75000, Voodoo DMG: +25000 ++Inflicts Poison 2500 for 2 rounds. ++Uses darts as ammo")</f>
        <v>DMG: +75000, Voodoo DMG: +25000 ++Inflicts Poison 2500 for 2 rounds. ++Uses darts as ammo</v>
      </c>
      <c r="G577" s="32">
        <f>IFERROR(__xludf.DUMMYFUNCTION("""COMPUTED_VALUE"""),1.99E8)</f>
        <v>199000000</v>
      </c>
      <c r="H577" s="32"/>
      <c r="I577" s="32"/>
      <c r="J577" s="32"/>
      <c r="K577" s="32"/>
      <c r="L577" s="32"/>
      <c r="M577" s="32"/>
      <c r="N577" s="32"/>
      <c r="O577" s="32"/>
      <c r="P577" s="32"/>
      <c r="Q577" s="32"/>
      <c r="R577" s="32"/>
      <c r="S577" s="32"/>
      <c r="T577" s="32"/>
      <c r="U577" s="32"/>
      <c r="V577" s="32"/>
      <c r="W577" s="32"/>
      <c r="X577" s="32"/>
      <c r="Y577" s="32"/>
      <c r="Z577" s="32"/>
    </row>
    <row r="578">
      <c r="A578" s="32" t="str">
        <f>IFERROR(__xludf.DUMMYFUNCTION("""COMPUTED_VALUE"""),"Poison Tipped Needle")</f>
        <v>Poison Tipped Needle</v>
      </c>
      <c r="B578" s="32" t="str">
        <f>IFERROR(__xludf.DUMMYFUNCTION("""COMPUTED_VALUE"""),"A needle dipped in master Wushang's thousand poisons or some other Wuxia novel esque bullshit")</f>
        <v>A needle dipped in master Wushang's thousand poisons or some other Wuxia novel esque bullshit</v>
      </c>
      <c r="C578" s="32" t="str">
        <f>IFERROR(__xludf.DUMMYFUNCTION("""COMPUTED_VALUE"""),"Knife")</f>
        <v>Knife</v>
      </c>
      <c r="D578" s="32" t="str">
        <f>IFERROR(__xludf.DUMMYFUNCTION("""COMPUTED_VALUE"""),"Hand")</f>
        <v>Hand</v>
      </c>
      <c r="E578" s="32">
        <f>IFERROR(__xludf.DUMMYFUNCTION("""COMPUTED_VALUE"""),2000.0)</f>
        <v>2000</v>
      </c>
      <c r="F578" s="32" t="str">
        <f>IFERROR(__xludf.DUMMYFUNCTION("""COMPUTED_VALUE"""),"DMG: +75000, Voodoo DMG: +25000 ++When rolling a Natural 19 or 20 deals X3 Damage. ++Inflicts Poison 100")</f>
        <v>DMG: +75000, Voodoo DMG: +25000 ++When rolling a Natural 19 or 20 deals X3 Damage. ++Inflicts Poison 100</v>
      </c>
      <c r="G578" s="32">
        <f>IFERROR(__xludf.DUMMYFUNCTION("""COMPUTED_VALUE"""),1.99E8)</f>
        <v>199000000</v>
      </c>
      <c r="H578" s="32"/>
      <c r="I578" s="32"/>
      <c r="J578" s="32"/>
      <c r="K578" s="32"/>
      <c r="L578" s="32"/>
      <c r="M578" s="32"/>
      <c r="N578" s="32"/>
      <c r="O578" s="32"/>
      <c r="P578" s="32"/>
      <c r="Q578" s="32"/>
      <c r="R578" s="32"/>
      <c r="S578" s="32"/>
      <c r="T578" s="32"/>
      <c r="U578" s="32"/>
      <c r="V578" s="32"/>
      <c r="W578" s="32"/>
      <c r="X578" s="32"/>
      <c r="Y578" s="32"/>
      <c r="Z578" s="32"/>
    </row>
    <row r="579">
      <c r="A579" s="32" t="str">
        <f>IFERROR(__xludf.DUMMYFUNCTION("""COMPUTED_VALUE"""),"Katana (Enhanced)")</f>
        <v>Katana (Enhanced)</v>
      </c>
      <c r="B579" s="32" t="str">
        <f>IFERROR(__xludf.DUMMYFUNCTION("""COMPUTED_VALUE"""),"The sword of weebs and actual samurai alike, surprisingly yes, weebs do exist in Spira")</f>
        <v>The sword of weebs and actual samurai alike, surprisingly yes, weebs do exist in Spira</v>
      </c>
      <c r="C579" s="32" t="str">
        <f>IFERROR(__xludf.DUMMYFUNCTION("""COMPUTED_VALUE"""),"Sword")</f>
        <v>Sword</v>
      </c>
      <c r="D579" s="32" t="str">
        <f>IFERROR(__xludf.DUMMYFUNCTION("""COMPUTED_VALUE"""),"Hand")</f>
        <v>Hand</v>
      </c>
      <c r="E579" s="32">
        <f>IFERROR(__xludf.DUMMYFUNCTION("""COMPUTED_VALUE"""),2500.0)</f>
        <v>2500</v>
      </c>
      <c r="F579" s="32" t="str">
        <f>IFERROR(__xludf.DUMMYFUNCTION("""COMPUTED_VALUE"""),"DMG: +125000 ++Triples the chance for the sword ability to activate, +-Cannot be Forged")</f>
        <v>DMG: +125000 ++Triples the chance for the sword ability to activate, +-Cannot be Forged</v>
      </c>
      <c r="G579" s="32">
        <f>IFERROR(__xludf.DUMMYFUNCTION("""COMPUTED_VALUE"""),3.1125E8)</f>
        <v>311250000</v>
      </c>
      <c r="H579" s="32"/>
      <c r="I579" s="32"/>
      <c r="J579" s="32"/>
      <c r="K579" s="32"/>
      <c r="L579" s="32"/>
      <c r="M579" s="32"/>
      <c r="N579" s="32"/>
      <c r="O579" s="32"/>
      <c r="P579" s="32"/>
      <c r="Q579" s="32"/>
      <c r="R579" s="32"/>
      <c r="S579" s="32"/>
      <c r="T579" s="32"/>
      <c r="U579" s="32"/>
      <c r="V579" s="32"/>
      <c r="W579" s="32"/>
      <c r="X579" s="32"/>
      <c r="Y579" s="32"/>
      <c r="Z579" s="32"/>
    </row>
    <row r="580">
      <c r="A580" s="32" t="str">
        <f>IFERROR(__xludf.DUMMYFUNCTION("""COMPUTED_VALUE"""),"Ninja Initiate's Cowl")</f>
        <v>Ninja Initiate's Cowl</v>
      </c>
      <c r="B580" s="32" t="str">
        <f>IFERROR(__xludf.DUMMYFUNCTION("""COMPUTED_VALUE"""),"Armor given to newbie Ninja's who have yet to choose a master")</f>
        <v>Armor given to newbie Ninja's who have yet to choose a master</v>
      </c>
      <c r="C580" s="32"/>
      <c r="D580" s="32" t="str">
        <f>IFERROR(__xludf.DUMMYFUNCTION("""COMPUTED_VALUE"""),"Head")</f>
        <v>Head</v>
      </c>
      <c r="E580" s="32">
        <f>IFERROR(__xludf.DUMMYFUNCTION("""COMPUTED_VALUE"""),2500.0)</f>
        <v>2500</v>
      </c>
      <c r="F580" s="32" t="str">
        <f>IFERROR(__xludf.DUMMYFUNCTION("""COMPUTED_VALUE"""),"DEF: +125000 ++X2 damage with Knives")</f>
        <v>DEF: +125000 ++X2 damage with Knives</v>
      </c>
      <c r="G580" s="32">
        <f>IFERROR(__xludf.DUMMYFUNCTION("""COMPUTED_VALUE"""),3.1125E8)</f>
        <v>311250000</v>
      </c>
      <c r="H580" s="32"/>
      <c r="I580" s="32"/>
      <c r="J580" s="32"/>
      <c r="K580" s="32"/>
      <c r="L580" s="32"/>
      <c r="M580" s="32"/>
      <c r="N580" s="32"/>
      <c r="O580" s="32"/>
      <c r="P580" s="32"/>
      <c r="Q580" s="32"/>
      <c r="R580" s="32"/>
      <c r="S580" s="32"/>
      <c r="T580" s="32"/>
      <c r="U580" s="32"/>
      <c r="V580" s="32"/>
      <c r="W580" s="32"/>
      <c r="X580" s="32"/>
      <c r="Y580" s="32"/>
      <c r="Z580" s="32"/>
    </row>
    <row r="581">
      <c r="A581" s="32" t="str">
        <f>IFERROR(__xludf.DUMMYFUNCTION("""COMPUTED_VALUE"""),"Ninja Initiate's Cape")</f>
        <v>Ninja Initiate's Cape</v>
      </c>
      <c r="B581" s="32" t="str">
        <f>IFERROR(__xludf.DUMMYFUNCTION("""COMPUTED_VALUE"""),"Armor given to newbie Ninja's who have yet to choose a master")</f>
        <v>Armor given to newbie Ninja's who have yet to choose a master</v>
      </c>
      <c r="C581" s="32"/>
      <c r="D581" s="32" t="str">
        <f>IFERROR(__xludf.DUMMYFUNCTION("""COMPUTED_VALUE"""),"Shoulders")</f>
        <v>Shoulders</v>
      </c>
      <c r="E581" s="32">
        <f>IFERROR(__xludf.DUMMYFUNCTION("""COMPUTED_VALUE"""),2500.0)</f>
        <v>2500</v>
      </c>
      <c r="F581" s="32" t="str">
        <f>IFERROR(__xludf.DUMMYFUNCTION("""COMPUTED_VALUE"""),"DEF: +125000 ++X2 damage with Knives")</f>
        <v>DEF: +125000 ++X2 damage with Knives</v>
      </c>
      <c r="G581" s="32">
        <f>IFERROR(__xludf.DUMMYFUNCTION("""COMPUTED_VALUE"""),3.1125E8)</f>
        <v>311250000</v>
      </c>
      <c r="H581" s="32"/>
      <c r="I581" s="32"/>
      <c r="J581" s="32"/>
      <c r="K581" s="32"/>
      <c r="L581" s="32"/>
      <c r="M581" s="32"/>
      <c r="N581" s="32"/>
      <c r="O581" s="32"/>
      <c r="P581" s="32"/>
      <c r="Q581" s="32"/>
      <c r="R581" s="32"/>
      <c r="S581" s="32"/>
      <c r="T581" s="32"/>
      <c r="U581" s="32"/>
      <c r="V581" s="32"/>
      <c r="W581" s="32"/>
      <c r="X581" s="32"/>
      <c r="Y581" s="32"/>
      <c r="Z581" s="32"/>
    </row>
    <row r="582">
      <c r="A582" s="32" t="str">
        <f>IFERROR(__xludf.DUMMYFUNCTION("""COMPUTED_VALUE"""),"Ninja Initiate's Vest")</f>
        <v>Ninja Initiate's Vest</v>
      </c>
      <c r="B582" s="32" t="str">
        <f>IFERROR(__xludf.DUMMYFUNCTION("""COMPUTED_VALUE"""),"Armor given to newbie Ninja's who have yet to choose a master")</f>
        <v>Armor given to newbie Ninja's who have yet to choose a master</v>
      </c>
      <c r="C582" s="32"/>
      <c r="D582" s="32" t="str">
        <f>IFERROR(__xludf.DUMMYFUNCTION("""COMPUTED_VALUE"""),"Torso")</f>
        <v>Torso</v>
      </c>
      <c r="E582" s="32">
        <f>IFERROR(__xludf.DUMMYFUNCTION("""COMPUTED_VALUE"""),2500.0)</f>
        <v>2500</v>
      </c>
      <c r="F582" s="32" t="str">
        <f>IFERROR(__xludf.DUMMYFUNCTION("""COMPUTED_VALUE"""),"DEF: +125000 ++X2 damage with Knives")</f>
        <v>DEF: +125000 ++X2 damage with Knives</v>
      </c>
      <c r="G582" s="32">
        <f>IFERROR(__xludf.DUMMYFUNCTION("""COMPUTED_VALUE"""),3.1125E8)</f>
        <v>311250000</v>
      </c>
      <c r="H582" s="32"/>
      <c r="I582" s="32"/>
      <c r="J582" s="32"/>
      <c r="K582" s="32"/>
      <c r="L582" s="32"/>
      <c r="M582" s="32"/>
      <c r="N582" s="32"/>
      <c r="O582" s="32"/>
      <c r="P582" s="32"/>
      <c r="Q582" s="32"/>
      <c r="R582" s="32"/>
      <c r="S582" s="32"/>
      <c r="T582" s="32"/>
      <c r="U582" s="32"/>
      <c r="V582" s="32"/>
      <c r="W582" s="32"/>
      <c r="X582" s="32"/>
      <c r="Y582" s="32"/>
      <c r="Z582" s="32"/>
    </row>
    <row r="583">
      <c r="A583" s="32" t="str">
        <f>IFERROR(__xludf.DUMMYFUNCTION("""COMPUTED_VALUE"""),"Ninja Initiate's Gloves")</f>
        <v>Ninja Initiate's Gloves</v>
      </c>
      <c r="B583" s="32" t="str">
        <f>IFERROR(__xludf.DUMMYFUNCTION("""COMPUTED_VALUE"""),"Armor given to newbie Ninja's who have yet to choose a master")</f>
        <v>Armor given to newbie Ninja's who have yet to choose a master</v>
      </c>
      <c r="C583" s="32"/>
      <c r="D583" s="32" t="str">
        <f>IFERROR(__xludf.DUMMYFUNCTION("""COMPUTED_VALUE"""),"Arms")</f>
        <v>Arms</v>
      </c>
      <c r="E583" s="32">
        <f>IFERROR(__xludf.DUMMYFUNCTION("""COMPUTED_VALUE"""),2500.0)</f>
        <v>2500</v>
      </c>
      <c r="F583" s="32" t="str">
        <f>IFERROR(__xludf.DUMMYFUNCTION("""COMPUTED_VALUE"""),"DEF: +125000 ++X2 damage with Knives")</f>
        <v>DEF: +125000 ++X2 damage with Knives</v>
      </c>
      <c r="G583" s="32">
        <f>IFERROR(__xludf.DUMMYFUNCTION("""COMPUTED_VALUE"""),3.1125E8)</f>
        <v>311250000</v>
      </c>
      <c r="H583" s="32"/>
      <c r="I583" s="32"/>
      <c r="J583" s="32"/>
      <c r="K583" s="32"/>
      <c r="L583" s="32"/>
      <c r="M583" s="32"/>
      <c r="N583" s="32"/>
      <c r="O583" s="32"/>
      <c r="P583" s="32"/>
      <c r="Q583" s="32"/>
      <c r="R583" s="32"/>
      <c r="S583" s="32"/>
      <c r="T583" s="32"/>
      <c r="U583" s="32"/>
      <c r="V583" s="32"/>
      <c r="W583" s="32"/>
      <c r="X583" s="32"/>
      <c r="Y583" s="32"/>
      <c r="Z583" s="32"/>
    </row>
    <row r="584">
      <c r="A584" s="32" t="str">
        <f>IFERROR(__xludf.DUMMYFUNCTION("""COMPUTED_VALUE"""),"Ninja Initiate's Sarouel")</f>
        <v>Ninja Initiate's Sarouel</v>
      </c>
      <c r="B584" s="32" t="str">
        <f>IFERROR(__xludf.DUMMYFUNCTION("""COMPUTED_VALUE"""),"Armor given to newbie Ninja's who have yet to choose a master")</f>
        <v>Armor given to newbie Ninja's who have yet to choose a master</v>
      </c>
      <c r="C584" s="32"/>
      <c r="D584" s="32" t="str">
        <f>IFERROR(__xludf.DUMMYFUNCTION("""COMPUTED_VALUE"""),"Legs")</f>
        <v>Legs</v>
      </c>
      <c r="E584" s="32">
        <f>IFERROR(__xludf.DUMMYFUNCTION("""COMPUTED_VALUE"""),2500.0)</f>
        <v>2500</v>
      </c>
      <c r="F584" s="32" t="str">
        <f>IFERROR(__xludf.DUMMYFUNCTION("""COMPUTED_VALUE"""),"DEF: +125000 ++X2 damage with Knives")</f>
        <v>DEF: +125000 ++X2 damage with Knives</v>
      </c>
      <c r="G584" s="32">
        <f>IFERROR(__xludf.DUMMYFUNCTION("""COMPUTED_VALUE"""),3.1125E8)</f>
        <v>311250000</v>
      </c>
      <c r="H584" s="32"/>
      <c r="I584" s="32"/>
      <c r="J584" s="32"/>
      <c r="K584" s="32"/>
      <c r="L584" s="32"/>
      <c r="M584" s="32"/>
      <c r="N584" s="32"/>
      <c r="O584" s="32"/>
      <c r="P584" s="32"/>
      <c r="Q584" s="32"/>
      <c r="R584" s="32"/>
      <c r="S584" s="32"/>
      <c r="T584" s="32"/>
      <c r="U584" s="32"/>
      <c r="V584" s="32"/>
      <c r="W584" s="32"/>
      <c r="X584" s="32"/>
      <c r="Y584" s="32"/>
      <c r="Z584" s="32"/>
    </row>
    <row r="585">
      <c r="A585" s="32" t="str">
        <f>IFERROR(__xludf.DUMMYFUNCTION("""COMPUTED_VALUE"""),"Ninja Initiate's Sandals")</f>
        <v>Ninja Initiate's Sandals</v>
      </c>
      <c r="B585" s="32" t="str">
        <f>IFERROR(__xludf.DUMMYFUNCTION("""COMPUTED_VALUE"""),"Armor given to newbie Ninja's who have yet to choose a master")</f>
        <v>Armor given to newbie Ninja's who have yet to choose a master</v>
      </c>
      <c r="C585" s="32"/>
      <c r="D585" s="32" t="str">
        <f>IFERROR(__xludf.DUMMYFUNCTION("""COMPUTED_VALUE"""),"Feet")</f>
        <v>Feet</v>
      </c>
      <c r="E585" s="32">
        <f>IFERROR(__xludf.DUMMYFUNCTION("""COMPUTED_VALUE"""),2500.0)</f>
        <v>2500</v>
      </c>
      <c r="F585" s="32" t="str">
        <f>IFERROR(__xludf.DUMMYFUNCTION("""COMPUTED_VALUE"""),"DEF: +125000 ++X2 damage with Knives")</f>
        <v>DEF: +125000 ++X2 damage with Knives</v>
      </c>
      <c r="G585" s="32">
        <f>IFERROR(__xludf.DUMMYFUNCTION("""COMPUTED_VALUE"""),3.1125E8)</f>
        <v>311250000</v>
      </c>
      <c r="H585" s="32"/>
      <c r="I585" s="32"/>
      <c r="J585" s="32"/>
      <c r="K585" s="32"/>
      <c r="L585" s="32"/>
      <c r="M585" s="32"/>
      <c r="N585" s="32"/>
      <c r="O585" s="32"/>
      <c r="P585" s="32"/>
      <c r="Q585" s="32"/>
      <c r="R585" s="32"/>
      <c r="S585" s="32"/>
      <c r="T585" s="32"/>
      <c r="U585" s="32"/>
      <c r="V585" s="32"/>
      <c r="W585" s="32"/>
      <c r="X585" s="32"/>
      <c r="Y585" s="32"/>
      <c r="Z585" s="32"/>
    </row>
    <row r="586">
      <c r="A586" s="32" t="str">
        <f>IFERROR(__xludf.DUMMYFUNCTION("""COMPUTED_VALUE"""),"Sai")</f>
        <v>Sai</v>
      </c>
      <c r="B586" s="32" t="str">
        <f>IFERROR(__xludf.DUMMYFUNCTION("""COMPUTED_VALUE"""),"A weapon designed for redirecting an enemies blade and then striking for their vitals")</f>
        <v>A weapon designed for redirecting an enemies blade and then striking for their vitals</v>
      </c>
      <c r="C586" s="32" t="str">
        <f>IFERROR(__xludf.DUMMYFUNCTION("""COMPUTED_VALUE"""),"Knife")</f>
        <v>Knife</v>
      </c>
      <c r="D586" s="32" t="str">
        <f>IFERROR(__xludf.DUMMYFUNCTION("""COMPUTED_VALUE"""),"Hand")</f>
        <v>Hand</v>
      </c>
      <c r="E586" s="32">
        <f>IFERROR(__xludf.DUMMYFUNCTION("""COMPUTED_VALUE"""),2500.0)</f>
        <v>2500</v>
      </c>
      <c r="F586" s="32"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32">
        <f>IFERROR(__xludf.DUMMYFUNCTION("""COMPUTED_VALUE"""),3.1125E8)</f>
        <v>311250000</v>
      </c>
      <c r="H586" s="32"/>
      <c r="I586" s="32"/>
      <c r="J586" s="32"/>
      <c r="K586" s="32"/>
      <c r="L586" s="32"/>
      <c r="M586" s="32"/>
      <c r="N586" s="32"/>
      <c r="O586" s="32"/>
      <c r="P586" s="32"/>
      <c r="Q586" s="32"/>
      <c r="R586" s="32"/>
      <c r="S586" s="32"/>
      <c r="T586" s="32"/>
      <c r="U586" s="32"/>
      <c r="V586" s="32"/>
      <c r="W586" s="32"/>
      <c r="X586" s="32"/>
      <c r="Y586" s="32"/>
      <c r="Z586" s="32"/>
    </row>
    <row r="587">
      <c r="A587" s="32" t="str">
        <f>IFERROR(__xludf.DUMMYFUNCTION("""COMPUTED_VALUE"""),"Poison Master's Mask")</f>
        <v>Poison Master's Mask</v>
      </c>
      <c r="B587"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32"/>
      <c r="D587" s="32" t="str">
        <f>IFERROR(__xludf.DUMMYFUNCTION("""COMPUTED_VALUE"""),"Head")</f>
        <v>Head</v>
      </c>
      <c r="E587" s="32">
        <f>IFERROR(__xludf.DUMMYFUNCTION("""COMPUTED_VALUE"""),2500.0)</f>
        <v>2500</v>
      </c>
      <c r="F587" s="32" t="str">
        <f>IFERROR(__xludf.DUMMYFUNCTION("""COMPUTED_VALUE"""),"DEF: +125000 ++X2 Poison damage")</f>
        <v>DEF: +125000 ++X2 Poison damage</v>
      </c>
      <c r="G587" s="32">
        <f>IFERROR(__xludf.DUMMYFUNCTION("""COMPUTED_VALUE"""),3.1125E8)</f>
        <v>311250000</v>
      </c>
      <c r="H587" s="32"/>
      <c r="I587" s="32"/>
      <c r="J587" s="32"/>
      <c r="K587" s="32"/>
      <c r="L587" s="32"/>
      <c r="M587" s="32"/>
      <c r="N587" s="32"/>
      <c r="O587" s="32"/>
      <c r="P587" s="32"/>
      <c r="Q587" s="32"/>
      <c r="R587" s="32"/>
      <c r="S587" s="32"/>
      <c r="T587" s="32"/>
      <c r="U587" s="32"/>
      <c r="V587" s="32"/>
      <c r="W587" s="32"/>
      <c r="X587" s="32"/>
      <c r="Y587" s="32"/>
      <c r="Z587" s="32"/>
    </row>
    <row r="588">
      <c r="A588" s="32" t="str">
        <f>IFERROR(__xludf.DUMMYFUNCTION("""COMPUTED_VALUE"""),"Poison Master's Cape")</f>
        <v>Poison Master's Cape</v>
      </c>
      <c r="B588"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32"/>
      <c r="D588" s="32" t="str">
        <f>IFERROR(__xludf.DUMMYFUNCTION("""COMPUTED_VALUE"""),"Shoulders")</f>
        <v>Shoulders</v>
      </c>
      <c r="E588" s="32">
        <f>IFERROR(__xludf.DUMMYFUNCTION("""COMPUTED_VALUE"""),2500.0)</f>
        <v>2500</v>
      </c>
      <c r="F588" s="32" t="str">
        <f>IFERROR(__xludf.DUMMYFUNCTION("""COMPUTED_VALUE"""),"DEF: +125000 ++X2 Poison damage")</f>
        <v>DEF: +125000 ++X2 Poison damage</v>
      </c>
      <c r="G588" s="32">
        <f>IFERROR(__xludf.DUMMYFUNCTION("""COMPUTED_VALUE"""),3.1125E8)</f>
        <v>311250000</v>
      </c>
      <c r="H588" s="32"/>
      <c r="I588" s="32"/>
      <c r="J588" s="32"/>
      <c r="K588" s="32"/>
      <c r="L588" s="32"/>
      <c r="M588" s="32"/>
      <c r="N588" s="32"/>
      <c r="O588" s="32"/>
      <c r="P588" s="32"/>
      <c r="Q588" s="32"/>
      <c r="R588" s="32"/>
      <c r="S588" s="32"/>
      <c r="T588" s="32"/>
      <c r="U588" s="32"/>
      <c r="V588" s="32"/>
      <c r="W588" s="32"/>
      <c r="X588" s="32"/>
      <c r="Y588" s="32"/>
      <c r="Z588" s="32"/>
    </row>
    <row r="589">
      <c r="A589" s="32" t="str">
        <f>IFERROR(__xludf.DUMMYFUNCTION("""COMPUTED_VALUE"""),"Poison Master's Robe")</f>
        <v>Poison Master's Robe</v>
      </c>
      <c r="B589"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32"/>
      <c r="D589" s="32" t="str">
        <f>IFERROR(__xludf.DUMMYFUNCTION("""COMPUTED_VALUE"""),"Torso")</f>
        <v>Torso</v>
      </c>
      <c r="E589" s="32">
        <f>IFERROR(__xludf.DUMMYFUNCTION("""COMPUTED_VALUE"""),2500.0)</f>
        <v>2500</v>
      </c>
      <c r="F589" s="32" t="str">
        <f>IFERROR(__xludf.DUMMYFUNCTION("""COMPUTED_VALUE"""),"DEF: +125000")</f>
        <v>DEF: +125000</v>
      </c>
      <c r="G589" s="32">
        <f>IFERROR(__xludf.DUMMYFUNCTION("""COMPUTED_VALUE"""),3.1125E8)</f>
        <v>311250000</v>
      </c>
      <c r="H589" s="32"/>
      <c r="I589" s="32"/>
      <c r="J589" s="32"/>
      <c r="K589" s="32"/>
      <c r="L589" s="32"/>
      <c r="M589" s="32"/>
      <c r="N589" s="32"/>
      <c r="O589" s="32"/>
      <c r="P589" s="32"/>
      <c r="Q589" s="32"/>
      <c r="R589" s="32"/>
      <c r="S589" s="32"/>
      <c r="T589" s="32"/>
      <c r="U589" s="32"/>
      <c r="V589" s="32"/>
      <c r="W589" s="32"/>
      <c r="X589" s="32"/>
      <c r="Y589" s="32"/>
      <c r="Z589" s="32"/>
    </row>
    <row r="590">
      <c r="A590" s="32" t="str">
        <f>IFERROR(__xludf.DUMMYFUNCTION("""COMPUTED_VALUE"""),"Poison Master's Heavy Duty Gloves")</f>
        <v>Poison Master's Heavy Duty Gloves</v>
      </c>
      <c r="B590"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32"/>
      <c r="D590" s="32" t="str">
        <f>IFERROR(__xludf.DUMMYFUNCTION("""COMPUTED_VALUE"""),"Arms")</f>
        <v>Arms</v>
      </c>
      <c r="E590" s="32">
        <f>IFERROR(__xludf.DUMMYFUNCTION("""COMPUTED_VALUE"""),2500.0)</f>
        <v>2500</v>
      </c>
      <c r="F590" s="32" t="str">
        <f>IFERROR(__xludf.DUMMYFUNCTION("""COMPUTED_VALUE"""),"DEF: +125000 ++Poison Immunity")</f>
        <v>DEF: +125000 ++Poison Immunity</v>
      </c>
      <c r="G590" s="32">
        <f>IFERROR(__xludf.DUMMYFUNCTION("""COMPUTED_VALUE"""),3.1125E8)</f>
        <v>311250000</v>
      </c>
      <c r="H590" s="32"/>
      <c r="I590" s="32"/>
      <c r="J590" s="32"/>
      <c r="K590" s="32"/>
      <c r="L590" s="32"/>
      <c r="M590" s="32"/>
      <c r="N590" s="32"/>
      <c r="O590" s="32"/>
      <c r="P590" s="32"/>
      <c r="Q590" s="32"/>
      <c r="R590" s="32"/>
      <c r="S590" s="32"/>
      <c r="T590" s="32"/>
      <c r="U590" s="32"/>
      <c r="V590" s="32"/>
      <c r="W590" s="32"/>
      <c r="X590" s="32"/>
      <c r="Y590" s="32"/>
      <c r="Z590" s="32"/>
    </row>
    <row r="591">
      <c r="A591" s="32" t="str">
        <f>IFERROR(__xludf.DUMMYFUNCTION("""COMPUTED_VALUE"""),"Poison Master's Sarouel")</f>
        <v>Poison Master's Sarouel</v>
      </c>
      <c r="B591"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32"/>
      <c r="D591" s="32" t="str">
        <f>IFERROR(__xludf.DUMMYFUNCTION("""COMPUTED_VALUE"""),"Legs")</f>
        <v>Legs</v>
      </c>
      <c r="E591" s="32">
        <f>IFERROR(__xludf.DUMMYFUNCTION("""COMPUTED_VALUE"""),2500.0)</f>
        <v>2500</v>
      </c>
      <c r="F591" s="32" t="str">
        <f>IFERROR(__xludf.DUMMYFUNCTION("""COMPUTED_VALUE"""),"DEF: +125000")</f>
        <v>DEF: +125000</v>
      </c>
      <c r="G591" s="32">
        <f>IFERROR(__xludf.DUMMYFUNCTION("""COMPUTED_VALUE"""),3.1125E8)</f>
        <v>311250000</v>
      </c>
      <c r="H591" s="32"/>
      <c r="I591" s="32"/>
      <c r="J591" s="32"/>
      <c r="K591" s="32"/>
      <c r="L591" s="32"/>
      <c r="M591" s="32"/>
      <c r="N591" s="32"/>
      <c r="O591" s="32"/>
      <c r="P591" s="32"/>
      <c r="Q591" s="32"/>
      <c r="R591" s="32"/>
      <c r="S591" s="32"/>
      <c r="T591" s="32"/>
      <c r="U591" s="32"/>
      <c r="V591" s="32"/>
      <c r="W591" s="32"/>
      <c r="X591" s="32"/>
      <c r="Y591" s="32"/>
      <c r="Z591" s="32"/>
    </row>
    <row r="592">
      <c r="A592" s="32" t="str">
        <f>IFERROR(__xludf.DUMMYFUNCTION("""COMPUTED_VALUE"""),"Poison Master's Boots")</f>
        <v>Poison Master's Boots</v>
      </c>
      <c r="B592"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32"/>
      <c r="D592" s="32" t="str">
        <f>IFERROR(__xludf.DUMMYFUNCTION("""COMPUTED_VALUE"""),"Feet")</f>
        <v>Feet</v>
      </c>
      <c r="E592" s="32">
        <f>IFERROR(__xludf.DUMMYFUNCTION("""COMPUTED_VALUE"""),2500.0)</f>
        <v>2500</v>
      </c>
      <c r="F592" s="32" t="str">
        <f>IFERROR(__xludf.DUMMYFUNCTION("""COMPUTED_VALUE"""),"DEF: +125000 ++When an enemy is Poisoned gain Haste 3")</f>
        <v>DEF: +125000 ++When an enemy is Poisoned gain Haste 3</v>
      </c>
      <c r="G592" s="32">
        <f>IFERROR(__xludf.DUMMYFUNCTION("""COMPUTED_VALUE"""),3.1125E8)</f>
        <v>311250000</v>
      </c>
      <c r="H592" s="32"/>
      <c r="I592" s="32"/>
      <c r="J592" s="32"/>
      <c r="K592" s="32"/>
      <c r="L592" s="32"/>
      <c r="M592" s="32"/>
      <c r="N592" s="32"/>
      <c r="O592" s="32"/>
      <c r="P592" s="32"/>
      <c r="Q592" s="32"/>
      <c r="R592" s="32"/>
      <c r="S592" s="32"/>
      <c r="T592" s="32"/>
      <c r="U592" s="32"/>
      <c r="V592" s="32"/>
      <c r="W592" s="32"/>
      <c r="X592" s="32"/>
      <c r="Y592" s="32"/>
      <c r="Z592" s="32"/>
    </row>
    <row r="593">
      <c r="A593" s="32" t="str">
        <f>IFERROR(__xludf.DUMMYFUNCTION("""COMPUTED_VALUE"""),"Ambusher's Cowl")</f>
        <v>Ambusher's Cowl</v>
      </c>
      <c r="B593" s="32" t="str">
        <f>IFERROR(__xludf.DUMMYFUNCTION("""COMPUTED_VALUE"""),"The armor of intermediate ninja's who have decided to pursue the art of the ambush to the extreme")</f>
        <v>The armor of intermediate ninja's who have decided to pursue the art of the ambush to the extreme</v>
      </c>
      <c r="C593" s="32"/>
      <c r="D593" s="32" t="str">
        <f>IFERROR(__xludf.DUMMYFUNCTION("""COMPUTED_VALUE"""),"Head")</f>
        <v>Head</v>
      </c>
      <c r="E593" s="32">
        <f>IFERROR(__xludf.DUMMYFUNCTION("""COMPUTED_VALUE"""),2500.0)</f>
        <v>2500</v>
      </c>
      <c r="F593" s="32" t="str">
        <f>IFERROR(__xludf.DUMMYFUNCTION("""COMPUTED_VALUE"""),"DEF: +125000 ++Conceal is Guaranteed to cast if the last action you took was a weapon attack")</f>
        <v>DEF: +125000 ++Conceal is Guaranteed to cast if the last action you took was a weapon attack</v>
      </c>
      <c r="G593" s="32">
        <f>IFERROR(__xludf.DUMMYFUNCTION("""COMPUTED_VALUE"""),3.1125E8)</f>
        <v>311250000</v>
      </c>
      <c r="H593" s="32"/>
      <c r="I593" s="32"/>
      <c r="J593" s="32"/>
      <c r="K593" s="32"/>
      <c r="L593" s="32"/>
      <c r="M593" s="32"/>
      <c r="N593" s="32"/>
      <c r="O593" s="32"/>
      <c r="P593" s="32"/>
      <c r="Q593" s="32"/>
      <c r="R593" s="32"/>
      <c r="S593" s="32"/>
      <c r="T593" s="32"/>
      <c r="U593" s="32"/>
      <c r="V593" s="32"/>
      <c r="W593" s="32"/>
      <c r="X593" s="32"/>
      <c r="Y593" s="32"/>
      <c r="Z593" s="32"/>
    </row>
    <row r="594">
      <c r="A594" s="32" t="str">
        <f>IFERROR(__xludf.DUMMYFUNCTION("""COMPUTED_VALUE"""),"Ambusher's Cape")</f>
        <v>Ambusher's Cape</v>
      </c>
      <c r="B594" s="32" t="str">
        <f>IFERROR(__xludf.DUMMYFUNCTION("""COMPUTED_VALUE"""),"The armor of intermediate ninja's who have decided to pursue the art of the ambush to the extreme")</f>
        <v>The armor of intermediate ninja's who have decided to pursue the art of the ambush to the extreme</v>
      </c>
      <c r="C594" s="32"/>
      <c r="D594" s="32" t="str">
        <f>IFERROR(__xludf.DUMMYFUNCTION("""COMPUTED_VALUE"""),"Shoulders")</f>
        <v>Shoulders</v>
      </c>
      <c r="E594" s="32">
        <f>IFERROR(__xludf.DUMMYFUNCTION("""COMPUTED_VALUE"""),2500.0)</f>
        <v>2500</v>
      </c>
      <c r="F594" s="32" t="str">
        <f>IFERROR(__xludf.DUMMYFUNCTION("""COMPUTED_VALUE"""),"DEF: +125000 ++Conceal: upon entering combat you are invulnerable for 1 round or until you attack")</f>
        <v>DEF: +125000 ++Conceal: upon entering combat you are invulnerable for 1 round or until you attack</v>
      </c>
      <c r="G594" s="32">
        <f>IFERROR(__xludf.DUMMYFUNCTION("""COMPUTED_VALUE"""),3.1125E8)</f>
        <v>311250000</v>
      </c>
      <c r="H594" s="32"/>
      <c r="I594" s="32"/>
      <c r="J594" s="32"/>
      <c r="K594" s="32"/>
      <c r="L594" s="32"/>
      <c r="M594" s="32"/>
      <c r="N594" s="32"/>
      <c r="O594" s="32"/>
      <c r="P594" s="32"/>
      <c r="Q594" s="32"/>
      <c r="R594" s="32"/>
      <c r="S594" s="32"/>
      <c r="T594" s="32"/>
      <c r="U594" s="32"/>
      <c r="V594" s="32"/>
      <c r="W594" s="32"/>
      <c r="X594" s="32"/>
      <c r="Y594" s="32"/>
      <c r="Z594" s="32"/>
    </row>
    <row r="595">
      <c r="A595" s="32" t="str">
        <f>IFERROR(__xludf.DUMMYFUNCTION("""COMPUTED_VALUE"""),"Ambusher's Vest")</f>
        <v>Ambusher's Vest</v>
      </c>
      <c r="B595" s="32" t="str">
        <f>IFERROR(__xludf.DUMMYFUNCTION("""COMPUTED_VALUE"""),"The armor of intermediate ninja's who have decided to pursue the art of the ambush to the extreme")</f>
        <v>The armor of intermediate ninja's who have decided to pursue the art of the ambush to the extreme</v>
      </c>
      <c r="C595" s="32"/>
      <c r="D595" s="32" t="str">
        <f>IFERROR(__xludf.DUMMYFUNCTION("""COMPUTED_VALUE"""),"Torso")</f>
        <v>Torso</v>
      </c>
      <c r="E595" s="32">
        <f>IFERROR(__xludf.DUMMYFUNCTION("""COMPUTED_VALUE"""),2500.0)</f>
        <v>2500</v>
      </c>
      <c r="F595" s="32" t="str">
        <f>IFERROR(__xludf.DUMMYFUNCTION("""COMPUTED_VALUE"""),"DEF: +125000 ++When breaking concealment deal X2 damage")</f>
        <v>DEF: +125000 ++When breaking concealment deal X2 damage</v>
      </c>
      <c r="G595" s="32">
        <f>IFERROR(__xludf.DUMMYFUNCTION("""COMPUTED_VALUE"""),3.1125E8)</f>
        <v>311250000</v>
      </c>
      <c r="H595" s="32"/>
      <c r="I595" s="32"/>
      <c r="J595" s="32"/>
      <c r="K595" s="32"/>
      <c r="L595" s="32"/>
      <c r="M595" s="32"/>
      <c r="N595" s="32"/>
      <c r="O595" s="32"/>
      <c r="P595" s="32"/>
      <c r="Q595" s="32"/>
      <c r="R595" s="32"/>
      <c r="S595" s="32"/>
      <c r="T595" s="32"/>
      <c r="U595" s="32"/>
      <c r="V595" s="32"/>
      <c r="W595" s="32"/>
      <c r="X595" s="32"/>
      <c r="Y595" s="32"/>
      <c r="Z595" s="32"/>
    </row>
    <row r="596">
      <c r="A596" s="32" t="str">
        <f>IFERROR(__xludf.DUMMYFUNCTION("""COMPUTED_VALUE"""),"Ambusher's Gloves")</f>
        <v>Ambusher's Gloves</v>
      </c>
      <c r="B596" s="32" t="str">
        <f>IFERROR(__xludf.DUMMYFUNCTION("""COMPUTED_VALUE"""),"The armor of intermediate ninja's who have decided to pursue the art of the ambush to the extreme")</f>
        <v>The armor of intermediate ninja's who have decided to pursue the art of the ambush to the extreme</v>
      </c>
      <c r="C596" s="32"/>
      <c r="D596" s="32" t="str">
        <f>IFERROR(__xludf.DUMMYFUNCTION("""COMPUTED_VALUE"""),"Arms")</f>
        <v>Arms</v>
      </c>
      <c r="E596" s="32">
        <f>IFERROR(__xludf.DUMMYFUNCTION("""COMPUTED_VALUE"""),2500.0)</f>
        <v>2500</v>
      </c>
      <c r="F596" s="32"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32">
        <f>IFERROR(__xludf.DUMMYFUNCTION("""COMPUTED_VALUE"""),3.1125E8)</f>
        <v>311250000</v>
      </c>
      <c r="H596" s="32"/>
      <c r="I596" s="32"/>
      <c r="J596" s="32"/>
      <c r="K596" s="32"/>
      <c r="L596" s="32"/>
      <c r="M596" s="32"/>
      <c r="N596" s="32"/>
      <c r="O596" s="32"/>
      <c r="P596" s="32"/>
      <c r="Q596" s="32"/>
      <c r="R596" s="32"/>
      <c r="S596" s="32"/>
      <c r="T596" s="32"/>
      <c r="U596" s="32"/>
      <c r="V596" s="32"/>
      <c r="W596" s="32"/>
      <c r="X596" s="32"/>
      <c r="Y596" s="32"/>
      <c r="Z596" s="32"/>
    </row>
    <row r="597">
      <c r="A597" s="32" t="str">
        <f>IFERROR(__xludf.DUMMYFUNCTION("""COMPUTED_VALUE"""),"Ambusher's Sarouel")</f>
        <v>Ambusher's Sarouel</v>
      </c>
      <c r="B597" s="32" t="str">
        <f>IFERROR(__xludf.DUMMYFUNCTION("""COMPUTED_VALUE"""),"The armor of intermediate ninja's who have decided to pursue the art of the ambush to the extreme")</f>
        <v>The armor of intermediate ninja's who have decided to pursue the art of the ambush to the extreme</v>
      </c>
      <c r="C597" s="32"/>
      <c r="D597" s="32" t="str">
        <f>IFERROR(__xludf.DUMMYFUNCTION("""COMPUTED_VALUE"""),"Legs")</f>
        <v>Legs</v>
      </c>
      <c r="E597" s="32">
        <f>IFERROR(__xludf.DUMMYFUNCTION("""COMPUTED_VALUE"""),2500.0)</f>
        <v>2500</v>
      </c>
      <c r="F597" s="32" t="str">
        <f>IFERROR(__xludf.DUMMYFUNCTION("""COMPUTED_VALUE"""),"DEF: +125000 ++X2 damage with knives")</f>
        <v>DEF: +125000 ++X2 damage with knives</v>
      </c>
      <c r="G597" s="32">
        <f>IFERROR(__xludf.DUMMYFUNCTION("""COMPUTED_VALUE"""),3.1125E8)</f>
        <v>311250000</v>
      </c>
      <c r="H597" s="32"/>
      <c r="I597" s="32"/>
      <c r="J597" s="32"/>
      <c r="K597" s="32"/>
      <c r="L597" s="32"/>
      <c r="M597" s="32"/>
      <c r="N597" s="32"/>
      <c r="O597" s="32"/>
      <c r="P597" s="32"/>
      <c r="Q597" s="32"/>
      <c r="R597" s="32"/>
      <c r="S597" s="32"/>
      <c r="T597" s="32"/>
      <c r="U597" s="32"/>
      <c r="V597" s="32"/>
      <c r="W597" s="32"/>
      <c r="X597" s="32"/>
      <c r="Y597" s="32"/>
      <c r="Z597" s="32"/>
    </row>
    <row r="598">
      <c r="A598" s="32" t="str">
        <f>IFERROR(__xludf.DUMMYFUNCTION("""COMPUTED_VALUE"""),"Ambusher's Sandals")</f>
        <v>Ambusher's Sandals</v>
      </c>
      <c r="B598" s="32" t="str">
        <f>IFERROR(__xludf.DUMMYFUNCTION("""COMPUTED_VALUE"""),"The armor of intermediate ninja's who have decided to pursue the art of the ambush to the extreme")</f>
        <v>The armor of intermediate ninja's who have decided to pursue the art of the ambush to the extreme</v>
      </c>
      <c r="C598" s="32"/>
      <c r="D598" s="32" t="str">
        <f>IFERROR(__xludf.DUMMYFUNCTION("""COMPUTED_VALUE"""),"Feet")</f>
        <v>Feet</v>
      </c>
      <c r="E598" s="32">
        <f>IFERROR(__xludf.DUMMYFUNCTION("""COMPUTED_VALUE"""),2500.0)</f>
        <v>2500</v>
      </c>
      <c r="F598" s="32" t="str">
        <f>IFERROR(__xludf.DUMMYFUNCTION("""COMPUTED_VALUE"""),"DEF: +125000 ++When breaking concealment gain invigorate 5")</f>
        <v>DEF: +125000 ++When breaking concealment gain invigorate 5</v>
      </c>
      <c r="G598" s="32">
        <f>IFERROR(__xludf.DUMMYFUNCTION("""COMPUTED_VALUE"""),3.1125E8)</f>
        <v>311250000</v>
      </c>
      <c r="H598" s="32"/>
      <c r="I598" s="32"/>
      <c r="J598" s="32"/>
      <c r="K598" s="32"/>
      <c r="L598" s="32"/>
      <c r="M598" s="32"/>
      <c r="N598" s="32"/>
      <c r="O598" s="32"/>
      <c r="P598" s="32"/>
      <c r="Q598" s="32"/>
      <c r="R598" s="32"/>
      <c r="S598" s="32"/>
      <c r="T598" s="32"/>
      <c r="U598" s="32"/>
      <c r="V598" s="32"/>
      <c r="W598" s="32"/>
      <c r="X598" s="32"/>
      <c r="Y598" s="32"/>
      <c r="Z598" s="32"/>
    </row>
    <row r="599">
      <c r="A599" s="32" t="str">
        <f>IFERROR(__xludf.DUMMYFUNCTION("""COMPUTED_VALUE"""),"Blade of Ancestral Blood")</f>
        <v>Blade of Ancestral Blood</v>
      </c>
      <c r="B599" s="3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32" t="str">
        <f>IFERROR(__xludf.DUMMYFUNCTION("""COMPUTED_VALUE"""),"Knife")</f>
        <v>Knife</v>
      </c>
      <c r="D599" s="32" t="str">
        <f>IFERROR(__xludf.DUMMYFUNCTION("""COMPUTED_VALUE"""),"Hand")</f>
        <v>Hand</v>
      </c>
      <c r="E599" s="32">
        <f>IFERROR(__xludf.DUMMYFUNCTION("""COMPUTED_VALUE"""),200.0)</f>
        <v>200</v>
      </c>
      <c r="F599" s="32"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32">
        <f>IFERROR(__xludf.DUMMYFUNCTION("""COMPUTED_VALUE"""),1.797E9)</f>
        <v>1797000000</v>
      </c>
      <c r="H599" s="32"/>
      <c r="I599" s="32"/>
      <c r="J599" s="32"/>
      <c r="K599" s="32"/>
      <c r="L599" s="32"/>
      <c r="M599" s="32"/>
      <c r="N599" s="32"/>
      <c r="O599" s="32"/>
      <c r="P599" s="32"/>
      <c r="Q599" s="32"/>
      <c r="R599" s="32"/>
      <c r="S599" s="32"/>
      <c r="T599" s="32"/>
      <c r="U599" s="32"/>
      <c r="V599" s="32"/>
      <c r="W599" s="32"/>
      <c r="X599" s="32"/>
      <c r="Y599" s="32"/>
      <c r="Z599" s="32"/>
    </row>
    <row r="600">
      <c r="A600" s="32" t="str">
        <f>IFERROR(__xludf.DUMMYFUNCTION("""COMPUTED_VALUE"""),"Lunaris, Sword of The Moon")</f>
        <v>Lunaris, Sword of The Moon</v>
      </c>
      <c r="B600" s="3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32" t="str">
        <f>IFERROR(__xludf.DUMMYFUNCTION("""COMPUTED_VALUE"""),"Sword")</f>
        <v>Sword</v>
      </c>
      <c r="D600" s="32" t="str">
        <f>IFERROR(__xludf.DUMMYFUNCTION("""COMPUTED_VALUE"""),"Hand")</f>
        <v>Hand</v>
      </c>
      <c r="E600" s="32">
        <f>IFERROR(__xludf.DUMMYFUNCTION("""COMPUTED_VALUE"""),200.0)</f>
        <v>200</v>
      </c>
      <c r="F600" s="32"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32">
        <f>IFERROR(__xludf.DUMMYFUNCTION("""COMPUTED_VALUE"""),7.194E9)</f>
        <v>7194000000</v>
      </c>
      <c r="H600" s="32"/>
      <c r="I600" s="32"/>
      <c r="J600" s="32"/>
      <c r="K600" s="32"/>
      <c r="L600" s="32"/>
      <c r="M600" s="32"/>
      <c r="N600" s="32"/>
      <c r="O600" s="32"/>
      <c r="P600" s="32"/>
      <c r="Q600" s="32"/>
      <c r="R600" s="32"/>
      <c r="S600" s="32"/>
      <c r="T600" s="32"/>
      <c r="U600" s="32"/>
      <c r="V600" s="32"/>
      <c r="W600" s="32"/>
      <c r="X600" s="32"/>
      <c r="Y600" s="32"/>
      <c r="Z600" s="32"/>
    </row>
    <row r="601">
      <c r="A601" s="32" t="str">
        <f>IFERROR(__xludf.DUMMYFUNCTION("""COMPUTED_VALUE"""),"Master Inugima's Cowl")</f>
        <v>Master Inugima's Cowl</v>
      </c>
      <c r="B601" s="32" t="str">
        <f>IFERROR(__xludf.DUMMYFUNCTION("""COMPUTED_VALUE"""),"Mob Exclusive")</f>
        <v>Mob Exclusive</v>
      </c>
      <c r="C601" s="32"/>
      <c r="D601" s="32" t="str">
        <f>IFERROR(__xludf.DUMMYFUNCTION("""COMPUTED_VALUE"""),"Head")</f>
        <v>Head</v>
      </c>
      <c r="E601" s="32">
        <f>IFERROR(__xludf.DUMMYFUNCTION("""COMPUTED_VALUE"""),1.0)</f>
        <v>1</v>
      </c>
      <c r="F601" s="32" t="str">
        <f>IFERROR(__xludf.DUMMYFUNCTION("""COMPUTED_VALUE"""),"")</f>
        <v/>
      </c>
      <c r="G601" s="32">
        <f>IFERROR(__xludf.DUMMYFUNCTION("""COMPUTED_VALUE"""),0.0)</f>
        <v>0</v>
      </c>
      <c r="H601" s="32"/>
      <c r="I601" s="32"/>
      <c r="J601" s="32"/>
      <c r="K601" s="32"/>
      <c r="L601" s="32"/>
      <c r="M601" s="32"/>
      <c r="N601" s="32"/>
      <c r="O601" s="32"/>
      <c r="P601" s="32"/>
      <c r="Q601" s="32"/>
      <c r="R601" s="32"/>
      <c r="S601" s="32"/>
      <c r="T601" s="32"/>
      <c r="U601" s="32"/>
      <c r="V601" s="32"/>
      <c r="W601" s="32"/>
      <c r="X601" s="32"/>
      <c r="Y601" s="32"/>
      <c r="Z601" s="32"/>
    </row>
    <row r="602">
      <c r="A602" s="32" t="str">
        <f>IFERROR(__xludf.DUMMYFUNCTION("""COMPUTED_VALUE"""),"Master Inugima's Cape")</f>
        <v>Master Inugima's Cape</v>
      </c>
      <c r="B602" s="32" t="str">
        <f>IFERROR(__xludf.DUMMYFUNCTION("""COMPUTED_VALUE"""),"Mob Exclusive")</f>
        <v>Mob Exclusive</v>
      </c>
      <c r="C602" s="32"/>
      <c r="D602" s="32" t="str">
        <f>IFERROR(__xludf.DUMMYFUNCTION("""COMPUTED_VALUE"""),"Shoulders")</f>
        <v>Shoulders</v>
      </c>
      <c r="E602" s="32">
        <f>IFERROR(__xludf.DUMMYFUNCTION("""COMPUTED_VALUE"""),1.0)</f>
        <v>1</v>
      </c>
      <c r="F602" s="32" t="str">
        <f>IFERROR(__xludf.DUMMYFUNCTION("""COMPUTED_VALUE"""),"")</f>
        <v/>
      </c>
      <c r="G602" s="32">
        <f>IFERROR(__xludf.DUMMYFUNCTION("""COMPUTED_VALUE"""),0.0)</f>
        <v>0</v>
      </c>
      <c r="H602" s="32"/>
      <c r="I602" s="32"/>
      <c r="J602" s="32"/>
      <c r="K602" s="32"/>
      <c r="L602" s="32"/>
      <c r="M602" s="32"/>
      <c r="N602" s="32"/>
      <c r="O602" s="32"/>
      <c r="P602" s="32"/>
      <c r="Q602" s="32"/>
      <c r="R602" s="32"/>
      <c r="S602" s="32"/>
      <c r="T602" s="32"/>
      <c r="U602" s="32"/>
      <c r="V602" s="32"/>
      <c r="W602" s="32"/>
      <c r="X602" s="32"/>
      <c r="Y602" s="32"/>
      <c r="Z602" s="32"/>
    </row>
    <row r="603">
      <c r="A603" s="32" t="str">
        <f>IFERROR(__xludf.DUMMYFUNCTION("""COMPUTED_VALUE"""),"Master Inugima's Cloak")</f>
        <v>Master Inugima's Cloak</v>
      </c>
      <c r="B603" s="32" t="str">
        <f>IFERROR(__xludf.DUMMYFUNCTION("""COMPUTED_VALUE"""),"Mob Exclusive")</f>
        <v>Mob Exclusive</v>
      </c>
      <c r="C603" s="32"/>
      <c r="D603" s="32" t="str">
        <f>IFERROR(__xludf.DUMMYFUNCTION("""COMPUTED_VALUE"""),"Torso")</f>
        <v>Torso</v>
      </c>
      <c r="E603" s="32">
        <f>IFERROR(__xludf.DUMMYFUNCTION("""COMPUTED_VALUE"""),1.0)</f>
        <v>1</v>
      </c>
      <c r="F603" s="32" t="str">
        <f>IFERROR(__xludf.DUMMYFUNCTION("""COMPUTED_VALUE"""),"")</f>
        <v/>
      </c>
      <c r="G603" s="32">
        <f>IFERROR(__xludf.DUMMYFUNCTION("""COMPUTED_VALUE"""),0.0)</f>
        <v>0</v>
      </c>
      <c r="H603" s="32"/>
      <c r="I603" s="32"/>
      <c r="J603" s="32"/>
      <c r="K603" s="32"/>
      <c r="L603" s="32"/>
      <c r="M603" s="32"/>
      <c r="N603" s="32"/>
      <c r="O603" s="32"/>
      <c r="P603" s="32"/>
      <c r="Q603" s="32"/>
      <c r="R603" s="32"/>
      <c r="S603" s="32"/>
      <c r="T603" s="32"/>
      <c r="U603" s="32"/>
      <c r="V603" s="32"/>
      <c r="W603" s="32"/>
      <c r="X603" s="32"/>
      <c r="Y603" s="32"/>
      <c r="Z603" s="32"/>
    </row>
    <row r="604">
      <c r="A604" s="32" t="str">
        <f>IFERROR(__xludf.DUMMYFUNCTION("""COMPUTED_VALUE"""),"Master Inugima's Gloves")</f>
        <v>Master Inugima's Gloves</v>
      </c>
      <c r="B604" s="32" t="str">
        <f>IFERROR(__xludf.DUMMYFUNCTION("""COMPUTED_VALUE"""),"Mob Exclusive")</f>
        <v>Mob Exclusive</v>
      </c>
      <c r="C604" s="32"/>
      <c r="D604" s="32" t="str">
        <f>IFERROR(__xludf.DUMMYFUNCTION("""COMPUTED_VALUE"""),"Arms")</f>
        <v>Arms</v>
      </c>
      <c r="E604" s="32">
        <f>IFERROR(__xludf.DUMMYFUNCTION("""COMPUTED_VALUE"""),1.0)</f>
        <v>1</v>
      </c>
      <c r="F604" s="32" t="str">
        <f>IFERROR(__xludf.DUMMYFUNCTION("""COMPUTED_VALUE"""),"")</f>
        <v/>
      </c>
      <c r="G604" s="32">
        <f>IFERROR(__xludf.DUMMYFUNCTION("""COMPUTED_VALUE"""),0.0)</f>
        <v>0</v>
      </c>
      <c r="H604" s="32"/>
      <c r="I604" s="32"/>
      <c r="J604" s="32"/>
      <c r="K604" s="32"/>
      <c r="L604" s="32"/>
      <c r="M604" s="32"/>
      <c r="N604" s="32"/>
      <c r="O604" s="32"/>
      <c r="P604" s="32"/>
      <c r="Q604" s="32"/>
      <c r="R604" s="32"/>
      <c r="S604" s="32"/>
      <c r="T604" s="32"/>
      <c r="U604" s="32"/>
      <c r="V604" s="32"/>
      <c r="W604" s="32"/>
      <c r="X604" s="32"/>
      <c r="Y604" s="32"/>
      <c r="Z604" s="32"/>
    </row>
    <row r="605">
      <c r="A605" s="32" t="str">
        <f>IFERROR(__xludf.DUMMYFUNCTION("""COMPUTED_VALUE"""),"Master Inugima's Sarouel")</f>
        <v>Master Inugima's Sarouel</v>
      </c>
      <c r="B605" s="32" t="str">
        <f>IFERROR(__xludf.DUMMYFUNCTION("""COMPUTED_VALUE"""),"Mob Exclusive")</f>
        <v>Mob Exclusive</v>
      </c>
      <c r="C605" s="32"/>
      <c r="D605" s="32" t="str">
        <f>IFERROR(__xludf.DUMMYFUNCTION("""COMPUTED_VALUE"""),"Legs")</f>
        <v>Legs</v>
      </c>
      <c r="E605" s="32">
        <f>IFERROR(__xludf.DUMMYFUNCTION("""COMPUTED_VALUE"""),1.0)</f>
        <v>1</v>
      </c>
      <c r="F605" s="32" t="str">
        <f>IFERROR(__xludf.DUMMYFUNCTION("""COMPUTED_VALUE"""),"")</f>
        <v/>
      </c>
      <c r="G605" s="32">
        <f>IFERROR(__xludf.DUMMYFUNCTION("""COMPUTED_VALUE"""),0.0)</f>
        <v>0</v>
      </c>
      <c r="H605" s="32"/>
      <c r="I605" s="32"/>
      <c r="J605" s="32"/>
      <c r="K605" s="32"/>
      <c r="L605" s="32"/>
      <c r="M605" s="32"/>
      <c r="N605" s="32"/>
      <c r="O605" s="32"/>
      <c r="P605" s="32"/>
      <c r="Q605" s="32"/>
      <c r="R605" s="32"/>
      <c r="S605" s="32"/>
      <c r="T605" s="32"/>
      <c r="U605" s="32"/>
      <c r="V605" s="32"/>
      <c r="W605" s="32"/>
      <c r="X605" s="32"/>
      <c r="Y605" s="32"/>
      <c r="Z605" s="32"/>
    </row>
    <row r="606">
      <c r="A606" s="32" t="str">
        <f>IFERROR(__xludf.DUMMYFUNCTION("""COMPUTED_VALUE"""),"Master Inugima's Boots")</f>
        <v>Master Inugima's Boots</v>
      </c>
      <c r="B606" s="32" t="str">
        <f>IFERROR(__xludf.DUMMYFUNCTION("""COMPUTED_VALUE"""),"Mob Exclusive")</f>
        <v>Mob Exclusive</v>
      </c>
      <c r="C606" s="32"/>
      <c r="D606" s="32" t="str">
        <f>IFERROR(__xludf.DUMMYFUNCTION("""COMPUTED_VALUE"""),"Feet")</f>
        <v>Feet</v>
      </c>
      <c r="E606" s="32">
        <f>IFERROR(__xludf.DUMMYFUNCTION("""COMPUTED_VALUE"""),1.0)</f>
        <v>1</v>
      </c>
      <c r="F606" s="32" t="str">
        <f>IFERROR(__xludf.DUMMYFUNCTION("""COMPUTED_VALUE"""),"")</f>
        <v/>
      </c>
      <c r="G606" s="32">
        <f>IFERROR(__xludf.DUMMYFUNCTION("""COMPUTED_VALUE"""),0.0)</f>
        <v>0</v>
      </c>
      <c r="H606" s="32"/>
      <c r="I606" s="32"/>
      <c r="J606" s="32"/>
      <c r="K606" s="32"/>
      <c r="L606" s="32"/>
      <c r="M606" s="32"/>
      <c r="N606" s="32"/>
      <c r="O606" s="32"/>
      <c r="P606" s="32"/>
      <c r="Q606" s="32"/>
      <c r="R606" s="32"/>
      <c r="S606" s="32"/>
      <c r="T606" s="32"/>
      <c r="U606" s="32"/>
      <c r="V606" s="32"/>
      <c r="W606" s="32"/>
      <c r="X606" s="32"/>
      <c r="Y606" s="32"/>
      <c r="Z606" s="32"/>
    </row>
    <row r="607">
      <c r="A607" s="32" t="str">
        <f>IFERROR(__xludf.DUMMYFUNCTION("""COMPUTED_VALUE"""),"Master Inugima's Ring")</f>
        <v>Master Inugima's Ring</v>
      </c>
      <c r="B607" s="32" t="str">
        <f>IFERROR(__xludf.DUMMYFUNCTION("""COMPUTED_VALUE"""),"Mob Exclusive")</f>
        <v>Mob Exclusive</v>
      </c>
      <c r="C607" s="32"/>
      <c r="D607" s="32" t="str">
        <f>IFERROR(__xludf.DUMMYFUNCTION("""COMPUTED_VALUE"""),"Finger")</f>
        <v>Finger</v>
      </c>
      <c r="E607" s="32">
        <f>IFERROR(__xludf.DUMMYFUNCTION("""COMPUTED_VALUE"""),1.0)</f>
        <v>1</v>
      </c>
      <c r="F607" s="32"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32">
        <f>IFERROR(__xludf.DUMMYFUNCTION("""COMPUTED_VALUE"""),0.0)</f>
        <v>0</v>
      </c>
      <c r="H607" s="32"/>
      <c r="I607" s="32"/>
      <c r="J607" s="32"/>
      <c r="K607" s="32"/>
      <c r="L607" s="32"/>
      <c r="M607" s="32"/>
      <c r="N607" s="32"/>
      <c r="O607" s="32"/>
      <c r="P607" s="32"/>
      <c r="Q607" s="32"/>
      <c r="R607" s="32"/>
      <c r="S607" s="32"/>
      <c r="T607" s="32"/>
      <c r="U607" s="32"/>
      <c r="V607" s="32"/>
      <c r="W607" s="32"/>
      <c r="X607" s="32"/>
      <c r="Y607" s="32"/>
      <c r="Z607" s="32"/>
    </row>
    <row r="608">
      <c r="A608" s="32" t="str">
        <f>IFERROR(__xludf.DUMMYFUNCTION("""COMPUTED_VALUE"""),"Master Inugima's Pendant")</f>
        <v>Master Inugima's Pendant</v>
      </c>
      <c r="B608" s="32" t="str">
        <f>IFERROR(__xludf.DUMMYFUNCTION("""COMPUTED_VALUE"""),"Mob Exclusive")</f>
        <v>Mob Exclusive</v>
      </c>
      <c r="C608" s="32"/>
      <c r="D608" s="32" t="str">
        <f>IFERROR(__xludf.DUMMYFUNCTION("""COMPUTED_VALUE"""),"Neck")</f>
        <v>Neck</v>
      </c>
      <c r="E608" s="32">
        <f>IFERROR(__xludf.DUMMYFUNCTION("""COMPUTED_VALUE"""),1.0)</f>
        <v>1</v>
      </c>
      <c r="F608" s="32" t="str">
        <f>IFERROR(__xludf.DUMMYFUNCTION("""COMPUTED_VALUE"""),"")</f>
        <v/>
      </c>
      <c r="G608" s="32">
        <f>IFERROR(__xludf.DUMMYFUNCTION("""COMPUTED_VALUE"""),0.0)</f>
        <v>0</v>
      </c>
      <c r="H608" s="32"/>
      <c r="I608" s="32"/>
      <c r="J608" s="32"/>
      <c r="K608" s="32"/>
      <c r="L608" s="32"/>
      <c r="M608" s="32"/>
      <c r="N608" s="32"/>
      <c r="O608" s="32"/>
      <c r="P608" s="32"/>
      <c r="Q608" s="32"/>
      <c r="R608" s="32"/>
      <c r="S608" s="32"/>
      <c r="T608" s="32"/>
      <c r="U608" s="32"/>
      <c r="V608" s="32"/>
      <c r="W608" s="32"/>
      <c r="X608" s="32"/>
      <c r="Y608" s="32"/>
      <c r="Z608" s="32"/>
    </row>
    <row r="609">
      <c r="A609" s="32" t="str">
        <f>IFERROR(__xludf.DUMMYFUNCTION("""COMPUTED_VALUE"""),"Amulet of Giving")</f>
        <v>Amulet of Giving</v>
      </c>
      <c r="B609" s="32" t="str">
        <f>IFERROR(__xludf.DUMMYFUNCTION("""COMPUTED_VALUE"""),"Thanksgiving Event Item")</f>
        <v>Thanksgiving Event Item</v>
      </c>
      <c r="C609" s="32"/>
      <c r="D609" s="32" t="str">
        <f>IFERROR(__xludf.DUMMYFUNCTION("""COMPUTED_VALUE"""),"Neck")</f>
        <v>Neck</v>
      </c>
      <c r="E609" s="32">
        <f>IFERROR(__xludf.DUMMYFUNCTION("""COMPUTED_VALUE"""),1.0)</f>
        <v>1</v>
      </c>
      <c r="F609" s="32"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32">
        <f>IFERROR(__xludf.DUMMYFUNCTION("""COMPUTED_VALUE"""),0.0)</f>
        <v>0</v>
      </c>
      <c r="H609" s="32"/>
      <c r="I609" s="32"/>
      <c r="J609" s="32"/>
      <c r="K609" s="32"/>
      <c r="L609" s="32"/>
      <c r="M609" s="32"/>
      <c r="N609" s="32"/>
      <c r="O609" s="32"/>
      <c r="P609" s="32"/>
      <c r="Q609" s="32"/>
      <c r="R609" s="32"/>
      <c r="S609" s="32"/>
      <c r="T609" s="32"/>
      <c r="U609" s="32"/>
      <c r="V609" s="32"/>
      <c r="W609" s="32"/>
      <c r="X609" s="32"/>
      <c r="Y609" s="32"/>
      <c r="Z609" s="32"/>
    </row>
    <row r="610">
      <c r="A610" s="32" t="str">
        <f>IFERROR(__xludf.DUMMYFUNCTION("""COMPUTED_VALUE"""),"Pilgrim's Hat")</f>
        <v>Pilgrim's Hat</v>
      </c>
      <c r="B610" s="32" t="str">
        <f>IFERROR(__xludf.DUMMYFUNCTION("""COMPUTED_VALUE"""),"Thanksgiving Event Item")</f>
        <v>Thanksgiving Event Item</v>
      </c>
      <c r="C610" s="32"/>
      <c r="D610" s="32" t="str">
        <f>IFERROR(__xludf.DUMMYFUNCTION("""COMPUTED_VALUE"""),"Head")</f>
        <v>Head</v>
      </c>
      <c r="E610" s="32">
        <f>IFERROR(__xludf.DUMMYFUNCTION("""COMPUTED_VALUE"""),1.0)</f>
        <v>1</v>
      </c>
      <c r="F610" s="32" t="str">
        <f>IFERROR(__xludf.DUMMYFUNCTION("""COMPUTED_VALUE""")," ++Double the hunger, thirst, and energy you receive when consuming a consumable. +-Cannot be duplicated.")</f>
        <v> ++Double the hunger, thirst, and energy you receive when consuming a consumable. +-Cannot be duplicated.</v>
      </c>
      <c r="G610" s="32">
        <f>IFERROR(__xludf.DUMMYFUNCTION("""COMPUTED_VALUE"""),0.0)</f>
        <v>0</v>
      </c>
      <c r="H610" s="32"/>
      <c r="I610" s="32"/>
      <c r="J610" s="32"/>
      <c r="K610" s="32"/>
      <c r="L610" s="32"/>
      <c r="M610" s="32"/>
      <c r="N610" s="32"/>
      <c r="O610" s="32"/>
      <c r="P610" s="32"/>
      <c r="Q610" s="32"/>
      <c r="R610" s="32"/>
      <c r="S610" s="32"/>
      <c r="T610" s="32"/>
      <c r="U610" s="32"/>
      <c r="V610" s="32"/>
      <c r="W610" s="32"/>
      <c r="X610" s="32"/>
      <c r="Y610" s="32"/>
      <c r="Z610" s="32"/>
    </row>
    <row r="611">
      <c r="A611" s="32" t="str">
        <f>IFERROR(__xludf.DUMMYFUNCTION("""COMPUTED_VALUE"""),"Dragon Flute")</f>
        <v>Dragon Flute</v>
      </c>
      <c r="B611" s="3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32" t="str">
        <f>IFERROR(__xludf.DUMMYFUNCTION("""COMPUTED_VALUE"""),"Instrument")</f>
        <v>Instrument</v>
      </c>
      <c r="D611" s="32" t="str">
        <f>IFERROR(__xludf.DUMMYFUNCTION("""COMPUTED_VALUE"""),"Hand")</f>
        <v>Hand</v>
      </c>
      <c r="E611" s="32">
        <f>IFERROR(__xludf.DUMMYFUNCTION("""COMPUTED_VALUE"""),100.0)</f>
        <v>100</v>
      </c>
      <c r="F611" s="32"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32">
        <f>IFERROR(__xludf.DUMMYFUNCTION("""COMPUTED_VALUE"""),450000.0)</f>
        <v>450000</v>
      </c>
      <c r="H611" s="32"/>
      <c r="I611" s="32"/>
      <c r="J611" s="32"/>
      <c r="K611" s="32"/>
      <c r="L611" s="32"/>
      <c r="M611" s="32"/>
      <c r="N611" s="32"/>
      <c r="O611" s="32"/>
      <c r="P611" s="32"/>
      <c r="Q611" s="32"/>
      <c r="R611" s="32"/>
      <c r="S611" s="32"/>
      <c r="T611" s="32"/>
      <c r="U611" s="32"/>
      <c r="V611" s="32"/>
      <c r="W611" s="32"/>
      <c r="X611" s="32"/>
      <c r="Y611" s="32"/>
      <c r="Z611" s="32"/>
    </row>
    <row r="612">
      <c r="A612" s="32" t="str">
        <f>IFERROR(__xludf.DUMMYFUNCTION("""COMPUTED_VALUE"""),"Harbingers' Helm of the Unrestrained (Spira)")</f>
        <v>Harbingers' Helm of the Unrestrained (Spira)</v>
      </c>
      <c r="B612" s="3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32"/>
      <c r="D612" s="32" t="str">
        <f>IFERROR(__xludf.DUMMYFUNCTION("""COMPUTED_VALUE"""),"Head")</f>
        <v>Head</v>
      </c>
      <c r="E612" s="32">
        <f>IFERROR(__xludf.DUMMYFUNCTION("""COMPUTED_VALUE"""),200.0)</f>
        <v>200</v>
      </c>
      <c r="F612" s="3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32">
        <f>IFERROR(__xludf.DUMMYFUNCTION("""COMPUTED_VALUE"""),7.98E8)</f>
        <v>798000000</v>
      </c>
      <c r="H612" s="32"/>
      <c r="I612" s="32"/>
      <c r="J612" s="32"/>
      <c r="K612" s="32"/>
      <c r="L612" s="32"/>
      <c r="M612" s="32"/>
      <c r="N612" s="32"/>
      <c r="O612" s="32"/>
      <c r="P612" s="32"/>
      <c r="Q612" s="32"/>
      <c r="R612" s="32"/>
      <c r="S612" s="32"/>
      <c r="T612" s="32"/>
      <c r="U612" s="32"/>
      <c r="V612" s="32"/>
      <c r="W612" s="32"/>
      <c r="X612" s="32"/>
      <c r="Y612" s="32"/>
      <c r="Z612" s="32"/>
    </row>
    <row r="613">
      <c r="A613" s="32" t="str">
        <f>IFERROR(__xludf.DUMMYFUNCTION("""COMPUTED_VALUE"""),"Harbingers' Shifting Pauldrons (Spira)")</f>
        <v>Harbingers' Shifting Pauldrons (Spira)</v>
      </c>
      <c r="B613" s="3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32"/>
      <c r="D613" s="32" t="str">
        <f>IFERROR(__xludf.DUMMYFUNCTION("""COMPUTED_VALUE"""),"Shoulders")</f>
        <v>Shoulders</v>
      </c>
      <c r="E613" s="32">
        <f>IFERROR(__xludf.DUMMYFUNCTION("""COMPUTED_VALUE"""),200.0)</f>
        <v>200</v>
      </c>
      <c r="F613" s="3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32">
        <f>IFERROR(__xludf.DUMMYFUNCTION("""COMPUTED_VALUE"""),7.98E8)</f>
        <v>798000000</v>
      </c>
      <c r="H613" s="32"/>
      <c r="I613" s="32"/>
      <c r="J613" s="32"/>
      <c r="K613" s="32"/>
      <c r="L613" s="32"/>
      <c r="M613" s="32"/>
      <c r="N613" s="32"/>
      <c r="O613" s="32"/>
      <c r="P613" s="32"/>
      <c r="Q613" s="32"/>
      <c r="R613" s="32"/>
      <c r="S613" s="32"/>
      <c r="T613" s="32"/>
      <c r="U613" s="32"/>
      <c r="V613" s="32"/>
      <c r="W613" s="32"/>
      <c r="X613" s="32"/>
      <c r="Y613" s="32"/>
      <c r="Z613" s="32"/>
    </row>
    <row r="614">
      <c r="A614" s="32" t="str">
        <f>IFERROR(__xludf.DUMMYFUNCTION("""COMPUTED_VALUE"""),"Harbingers' Emblazoned Chest of The Encroaching Void (Spira)")</f>
        <v>Harbingers' Emblazoned Chest of The Encroaching Void (Spira)</v>
      </c>
      <c r="B614" s="3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32"/>
      <c r="D614" s="32" t="str">
        <f>IFERROR(__xludf.DUMMYFUNCTION("""COMPUTED_VALUE"""),"Torso")</f>
        <v>Torso</v>
      </c>
      <c r="E614" s="32">
        <f>IFERROR(__xludf.DUMMYFUNCTION("""COMPUTED_VALUE"""),200.0)</f>
        <v>200</v>
      </c>
      <c r="F614" s="3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32">
        <f>IFERROR(__xludf.DUMMYFUNCTION("""COMPUTED_VALUE"""),7.98E8)</f>
        <v>798000000</v>
      </c>
      <c r="H614" s="32"/>
      <c r="I614" s="32"/>
      <c r="J614" s="32"/>
      <c r="K614" s="32"/>
      <c r="L614" s="32"/>
      <c r="M614" s="32"/>
      <c r="N614" s="32"/>
      <c r="O614" s="32"/>
      <c r="P614" s="32"/>
      <c r="Q614" s="32"/>
      <c r="R614" s="32"/>
      <c r="S614" s="32"/>
      <c r="T614" s="32"/>
      <c r="U614" s="32"/>
      <c r="V614" s="32"/>
      <c r="W614" s="32"/>
      <c r="X614" s="32"/>
      <c r="Y614" s="32"/>
      <c r="Z614" s="32"/>
    </row>
    <row r="615">
      <c r="A615" s="32" t="str">
        <f>IFERROR(__xludf.DUMMYFUNCTION("""COMPUTED_VALUE"""),"Harbingers' Broken Fettering (Spira)")</f>
        <v>Harbingers' Broken Fettering (Spira)</v>
      </c>
      <c r="B615" s="3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32"/>
      <c r="D615" s="32" t="str">
        <f>IFERROR(__xludf.DUMMYFUNCTION("""COMPUTED_VALUE"""),"Arms")</f>
        <v>Arms</v>
      </c>
      <c r="E615" s="32">
        <f>IFERROR(__xludf.DUMMYFUNCTION("""COMPUTED_VALUE"""),200.0)</f>
        <v>200</v>
      </c>
      <c r="F615" s="3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32">
        <f>IFERROR(__xludf.DUMMYFUNCTION("""COMPUTED_VALUE"""),7.98E8)</f>
        <v>798000000</v>
      </c>
      <c r="H615" s="32"/>
      <c r="I615" s="32"/>
      <c r="J615" s="32"/>
      <c r="K615" s="32"/>
      <c r="L615" s="32"/>
      <c r="M615" s="32"/>
      <c r="N615" s="32"/>
      <c r="O615" s="32"/>
      <c r="P615" s="32"/>
      <c r="Q615" s="32"/>
      <c r="R615" s="32"/>
      <c r="S615" s="32"/>
      <c r="T615" s="32"/>
      <c r="U615" s="32"/>
      <c r="V615" s="32"/>
      <c r="W615" s="32"/>
      <c r="X615" s="32"/>
      <c r="Y615" s="32"/>
      <c r="Z615" s="32"/>
    </row>
    <row r="616">
      <c r="A616" s="32" t="str">
        <f>IFERROR(__xludf.DUMMYFUNCTION("""COMPUTED_VALUE"""),"Harbingers' Ethereal Chausses (Spira)")</f>
        <v>Harbingers' Ethereal Chausses (Spira)</v>
      </c>
      <c r="B616" s="3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32"/>
      <c r="D616" s="32" t="str">
        <f>IFERROR(__xludf.DUMMYFUNCTION("""COMPUTED_VALUE"""),"Legs")</f>
        <v>Legs</v>
      </c>
      <c r="E616" s="32">
        <f>IFERROR(__xludf.DUMMYFUNCTION("""COMPUTED_VALUE"""),200.0)</f>
        <v>200</v>
      </c>
      <c r="F616" s="3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32">
        <f>IFERROR(__xludf.DUMMYFUNCTION("""COMPUTED_VALUE"""),7.98E8)</f>
        <v>798000000</v>
      </c>
      <c r="H616" s="32"/>
      <c r="I616" s="32"/>
      <c r="J616" s="32"/>
      <c r="K616" s="32"/>
      <c r="L616" s="32"/>
      <c r="M616" s="32"/>
      <c r="N616" s="32"/>
      <c r="O616" s="32"/>
      <c r="P616" s="32"/>
      <c r="Q616" s="32"/>
      <c r="R616" s="32"/>
      <c r="S616" s="32"/>
      <c r="T616" s="32"/>
      <c r="U616" s="32"/>
      <c r="V616" s="32"/>
      <c r="W616" s="32"/>
      <c r="X616" s="32"/>
      <c r="Y616" s="32"/>
      <c r="Z616" s="32"/>
    </row>
    <row r="617">
      <c r="A617" s="32" t="str">
        <f>IFERROR(__xludf.DUMMYFUNCTION("""COMPUTED_VALUE"""),"Harbingers' Spiked Sabatons (Spira)")</f>
        <v>Harbingers' Spiked Sabatons (Spira)</v>
      </c>
      <c r="B617" s="32"/>
      <c r="C617" s="32"/>
      <c r="D617" s="32" t="str">
        <f>IFERROR(__xludf.DUMMYFUNCTION("""COMPUTED_VALUE"""),"Feet")</f>
        <v>Feet</v>
      </c>
      <c r="E617" s="32">
        <f>IFERROR(__xludf.DUMMYFUNCTION("""COMPUTED_VALUE"""),200.0)</f>
        <v>200</v>
      </c>
      <c r="F617" s="3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32">
        <f>IFERROR(__xludf.DUMMYFUNCTION("""COMPUTED_VALUE"""),7.98E8)</f>
        <v>798000000</v>
      </c>
      <c r="H617" s="32"/>
      <c r="I617" s="32"/>
      <c r="J617" s="32"/>
      <c r="K617" s="32"/>
      <c r="L617" s="32"/>
      <c r="M617" s="32"/>
      <c r="N617" s="32"/>
      <c r="O617" s="32"/>
      <c r="P617" s="32"/>
      <c r="Q617" s="32"/>
      <c r="R617" s="32"/>
      <c r="S617" s="32"/>
      <c r="T617" s="32"/>
      <c r="U617" s="32"/>
      <c r="V617" s="32"/>
      <c r="W617" s="32"/>
      <c r="X617" s="32"/>
      <c r="Y617" s="32"/>
      <c r="Z617" s="32"/>
    </row>
    <row r="618">
      <c r="A618" s="32" t="str">
        <f>IFERROR(__xludf.DUMMYFUNCTION("""COMPUTED_VALUE"""),"Harbingers' Vow (Spira)")</f>
        <v>Harbingers' Vow (Spira)</v>
      </c>
      <c r="B618" s="32"/>
      <c r="C618" s="32"/>
      <c r="D618" s="32" t="str">
        <f>IFERROR(__xludf.DUMMYFUNCTION("""COMPUTED_VALUE"""),"Finger")</f>
        <v>Finger</v>
      </c>
      <c r="E618" s="32">
        <f>IFERROR(__xludf.DUMMYFUNCTION("""COMPUTED_VALUE"""),1.0)</f>
        <v>1</v>
      </c>
      <c r="F618" s="32"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32">
        <f>IFERROR(__xludf.DUMMYFUNCTION("""COMPUTED_VALUE"""),0.0)</f>
        <v>0</v>
      </c>
      <c r="H618" s="32"/>
      <c r="I618" s="32"/>
      <c r="J618" s="32"/>
      <c r="K618" s="32"/>
      <c r="L618" s="32"/>
      <c r="M618" s="32"/>
      <c r="N618" s="32"/>
      <c r="O618" s="32"/>
      <c r="P618" s="32"/>
      <c r="Q618" s="32"/>
      <c r="R618" s="32"/>
      <c r="S618" s="32"/>
      <c r="T618" s="32"/>
      <c r="U618" s="32"/>
      <c r="V618" s="32"/>
      <c r="W618" s="32"/>
      <c r="X618" s="32"/>
      <c r="Y618" s="32"/>
      <c r="Z618" s="32"/>
    </row>
    <row r="619">
      <c r="A619" s="32" t="str">
        <f>IFERROR(__xludf.DUMMYFUNCTION("""COMPUTED_VALUE"""),"Harbingers' Resolve (Spira)")</f>
        <v>Harbingers' Resolve (Spira)</v>
      </c>
      <c r="B619" s="32"/>
      <c r="C619" s="32"/>
      <c r="D619" s="32" t="str">
        <f>IFERROR(__xludf.DUMMYFUNCTION("""COMPUTED_VALUE"""),"Neck")</f>
        <v>Neck</v>
      </c>
      <c r="E619" s="32">
        <f>IFERROR(__xludf.DUMMYFUNCTION("""COMPUTED_VALUE"""),1.0)</f>
        <v>1</v>
      </c>
      <c r="F619" s="32" t="str">
        <f>IFERROR(__xludf.DUMMYFUNCTION("""COMPUTED_VALUE""")," ++To the Death! - Upon taking lethal damage resist it with 1 hp and gain 10 stacks of insanity (once per battle)")</f>
        <v> ++To the Death! - Upon taking lethal damage resist it with 1 hp and gain 10 stacks of insanity (once per battle)</v>
      </c>
      <c r="G619" s="32">
        <f>IFERROR(__xludf.DUMMYFUNCTION("""COMPUTED_VALUE"""),0.0)</f>
        <v>0</v>
      </c>
      <c r="H619" s="32"/>
      <c r="I619" s="32"/>
      <c r="J619" s="32"/>
      <c r="K619" s="32"/>
      <c r="L619" s="32"/>
      <c r="M619" s="32"/>
      <c r="N619" s="32"/>
      <c r="O619" s="32"/>
      <c r="P619" s="32"/>
      <c r="Q619" s="32"/>
      <c r="R619" s="32"/>
      <c r="S619" s="32"/>
      <c r="T619" s="32"/>
      <c r="U619" s="32"/>
      <c r="V619" s="32"/>
      <c r="W619" s="32"/>
      <c r="X619" s="32"/>
      <c r="Y619" s="32"/>
      <c r="Z619" s="32"/>
    </row>
    <row r="620">
      <c r="A620" s="32" t="str">
        <f>IFERROR(__xludf.DUMMYFUNCTION("""COMPUTED_VALUE"""),"Harbingers' Fist of Iron (Spira)")</f>
        <v>Harbingers' Fist of Iron (Spira)</v>
      </c>
      <c r="B620" s="32"/>
      <c r="C620" s="32" t="str">
        <f>IFERROR(__xludf.DUMMYFUNCTION("""COMPUTED_VALUE"""),"Gauntlet")</f>
        <v>Gauntlet</v>
      </c>
      <c r="D620" s="32" t="str">
        <f>IFERROR(__xludf.DUMMYFUNCTION("""COMPUTED_VALUE"""),"Hand")</f>
        <v>Hand</v>
      </c>
      <c r="E620" s="32">
        <f>IFERROR(__xludf.DUMMYFUNCTION("""COMPUTED_VALUE"""),200.0)</f>
        <v>200</v>
      </c>
      <c r="F620" s="32"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32">
        <f>IFERROR(__xludf.DUMMYFUNCTION("""COMPUTED_VALUE"""),1.99E8)</f>
        <v>199000000</v>
      </c>
      <c r="H620" s="32"/>
      <c r="I620" s="32"/>
      <c r="J620" s="32"/>
      <c r="K620" s="32"/>
      <c r="L620" s="32"/>
      <c r="M620" s="32"/>
      <c r="N620" s="32"/>
      <c r="O620" s="32"/>
      <c r="P620" s="32"/>
      <c r="Q620" s="32"/>
      <c r="R620" s="32"/>
      <c r="S620" s="32"/>
      <c r="T620" s="32"/>
      <c r="U620" s="32"/>
      <c r="V620" s="32"/>
      <c r="W620" s="32"/>
      <c r="X620" s="32"/>
      <c r="Y620" s="32"/>
      <c r="Z620" s="32"/>
    </row>
    <row r="621">
      <c r="A621" s="32" t="str">
        <f>IFERROR(__xludf.DUMMYFUNCTION("""COMPUTED_VALUE"""),"Harbingers' Claw of Steel (Spira)")</f>
        <v>Harbingers' Claw of Steel (Spira)</v>
      </c>
      <c r="B621" s="32"/>
      <c r="C621" s="32" t="str">
        <f>IFERROR(__xludf.DUMMYFUNCTION("""COMPUTED_VALUE"""),"Claw")</f>
        <v>Claw</v>
      </c>
      <c r="D621" s="32" t="str">
        <f>IFERROR(__xludf.DUMMYFUNCTION("""COMPUTED_VALUE"""),"Hand")</f>
        <v>Hand</v>
      </c>
      <c r="E621" s="32">
        <f>IFERROR(__xludf.DUMMYFUNCTION("""COMPUTED_VALUE"""),200.0)</f>
        <v>200</v>
      </c>
      <c r="F621" s="32"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32">
        <f>IFERROR(__xludf.DUMMYFUNCTION("""COMPUTED_VALUE"""),1.99E8)</f>
        <v>199000000</v>
      </c>
      <c r="H621" s="32"/>
      <c r="I621" s="32"/>
      <c r="J621" s="32"/>
      <c r="K621" s="32"/>
      <c r="L621" s="32"/>
      <c r="M621" s="32"/>
      <c r="N621" s="32"/>
      <c r="O621" s="32"/>
      <c r="P621" s="32"/>
      <c r="Q621" s="32"/>
      <c r="R621" s="32"/>
      <c r="S621" s="32"/>
      <c r="T621" s="32"/>
      <c r="U621" s="32"/>
      <c r="V621" s="32"/>
      <c r="W621" s="32"/>
      <c r="X621" s="32"/>
      <c r="Y621" s="32"/>
      <c r="Z621" s="32"/>
    </row>
    <row r="622">
      <c r="A622" s="32" t="str">
        <f>IFERROR(__xludf.DUMMYFUNCTION("""COMPUTED_VALUE"""),"Eagles Claw")</f>
        <v>Eagles Claw</v>
      </c>
      <c r="B622" s="32"/>
      <c r="C622" s="32" t="str">
        <f>IFERROR(__xludf.DUMMYFUNCTION("""COMPUTED_VALUE"""),"Claw")</f>
        <v>Claw</v>
      </c>
      <c r="D622" s="32" t="str">
        <f>IFERROR(__xludf.DUMMYFUNCTION("""COMPUTED_VALUE"""),"Hand")</f>
        <v>Hand</v>
      </c>
      <c r="E622" s="32">
        <f>IFERROR(__xludf.DUMMYFUNCTION("""COMPUTED_VALUE"""),200.0)</f>
        <v>200</v>
      </c>
      <c r="F622" s="32" t="str">
        <f>IFERROR(__xludf.DUMMYFUNCTION("""COMPUTED_VALUE"""),"DMG: +10000 ++Eagles Removal - 20% Chance to remove the target from battle. ")</f>
        <v>DMG: +10000 ++Eagles Removal - 20% Chance to remove the target from battle. </v>
      </c>
      <c r="G622" s="32">
        <f>IFERROR(__xludf.DUMMYFUNCTION("""COMPUTED_VALUE"""),1900000.0)</f>
        <v>1900000</v>
      </c>
      <c r="H622" s="32"/>
      <c r="I622" s="32"/>
      <c r="J622" s="32"/>
      <c r="K622" s="32"/>
      <c r="L622" s="32"/>
      <c r="M622" s="32"/>
      <c r="N622" s="32"/>
      <c r="O622" s="32"/>
      <c r="P622" s="32"/>
      <c r="Q622" s="32"/>
      <c r="R622" s="32"/>
      <c r="S622" s="32"/>
      <c r="T622" s="32"/>
      <c r="U622" s="32"/>
      <c r="V622" s="32"/>
      <c r="W622" s="32"/>
      <c r="X622" s="32"/>
      <c r="Y622" s="32"/>
      <c r="Z622" s="32"/>
    </row>
    <row r="623">
      <c r="A623" s="32" t="str">
        <f>IFERROR(__xludf.DUMMYFUNCTION("""COMPUTED_VALUE"""),"Golden Gauntlet")</f>
        <v>Golden Gauntlet</v>
      </c>
      <c r="B623" s="32"/>
      <c r="C623" s="32" t="str">
        <f>IFERROR(__xludf.DUMMYFUNCTION("""COMPUTED_VALUE"""),"Gauntlet")</f>
        <v>Gauntlet</v>
      </c>
      <c r="D623" s="32" t="str">
        <f>IFERROR(__xludf.DUMMYFUNCTION("""COMPUTED_VALUE"""),"Hand")</f>
        <v>Hand</v>
      </c>
      <c r="E623" s="32">
        <f>IFERROR(__xludf.DUMMYFUNCTION("""COMPUTED_VALUE"""),200.0)</f>
        <v>200</v>
      </c>
      <c r="F623" s="32" t="str">
        <f>IFERROR(__xludf.DUMMYFUNCTION("""COMPUTED_VALUE"""),"DMG: +5000, Light DMG: +2500, Order DMG: +2500")</f>
        <v>DMG: +5000, Light DMG: +2500, Order DMG: +2500</v>
      </c>
      <c r="G623" s="32">
        <f>IFERROR(__xludf.DUMMYFUNCTION("""COMPUTED_VALUE"""),1900000.0)</f>
        <v>1900000</v>
      </c>
      <c r="H623" s="32"/>
      <c r="I623" s="32"/>
      <c r="J623" s="32"/>
      <c r="K623" s="32"/>
      <c r="L623" s="32"/>
      <c r="M623" s="32"/>
      <c r="N623" s="32"/>
      <c r="O623" s="32"/>
      <c r="P623" s="32"/>
      <c r="Q623" s="32"/>
      <c r="R623" s="32"/>
      <c r="S623" s="32"/>
      <c r="T623" s="32"/>
      <c r="U623" s="32"/>
      <c r="V623" s="32"/>
      <c r="W623" s="32"/>
      <c r="X623" s="32"/>
      <c r="Y623" s="32"/>
      <c r="Z623" s="32"/>
    </row>
    <row r="624">
      <c r="A624" s="32" t="str">
        <f>IFERROR(__xludf.DUMMYFUNCTION("""COMPUTED_VALUE"""),"Hand Crossbow")</f>
        <v>Hand Crossbow</v>
      </c>
      <c r="B624" s="32"/>
      <c r="C624" s="32" t="str">
        <f>IFERROR(__xludf.DUMMYFUNCTION("""COMPUTED_VALUE"""),"Bow")</f>
        <v>Bow</v>
      </c>
      <c r="D624" s="32" t="str">
        <f>IFERROR(__xludf.DUMMYFUNCTION("""COMPUTED_VALUE"""),"Hand")</f>
        <v>Hand</v>
      </c>
      <c r="E624" s="32">
        <f>IFERROR(__xludf.DUMMYFUNCTION("""COMPUTED_VALUE"""),200.0)</f>
        <v>200</v>
      </c>
      <c r="F624" s="32" t="str">
        <f>IFERROR(__xludf.DUMMYFUNCTION("""COMPUTED_VALUE"""),"DMG: +10000")</f>
        <v>DMG: +10000</v>
      </c>
      <c r="G624" s="32">
        <f>IFERROR(__xludf.DUMMYFUNCTION("""COMPUTED_VALUE"""),1900000.0)</f>
        <v>1900000</v>
      </c>
      <c r="H624" s="32"/>
      <c r="I624" s="32"/>
      <c r="J624" s="32"/>
      <c r="K624" s="32"/>
      <c r="L624" s="32"/>
      <c r="M624" s="32"/>
      <c r="N624" s="32"/>
      <c r="O624" s="32"/>
      <c r="P624" s="32"/>
      <c r="Q624" s="32"/>
      <c r="R624" s="32"/>
      <c r="S624" s="32"/>
      <c r="T624" s="32"/>
      <c r="U624" s="32"/>
      <c r="V624" s="32"/>
      <c r="W624" s="32"/>
      <c r="X624" s="32"/>
      <c r="Y624" s="32"/>
      <c r="Z624" s="32"/>
    </row>
    <row r="625">
      <c r="A625" s="32" t="str">
        <f>IFERROR(__xludf.DUMMYFUNCTION("""COMPUTED_VALUE"""),"Flintlock Pistol")</f>
        <v>Flintlock Pistol</v>
      </c>
      <c r="B625" s="32"/>
      <c r="C625" s="32" t="str">
        <f>IFERROR(__xludf.DUMMYFUNCTION("""COMPUTED_VALUE"""),"Firearm")</f>
        <v>Firearm</v>
      </c>
      <c r="D625" s="32" t="str">
        <f>IFERROR(__xludf.DUMMYFUNCTION("""COMPUTED_VALUE"""),"Hand")</f>
        <v>Hand</v>
      </c>
      <c r="E625" s="32">
        <f>IFERROR(__xludf.DUMMYFUNCTION("""COMPUTED_VALUE"""),200.0)</f>
        <v>200</v>
      </c>
      <c r="F625" s="32" t="str">
        <f>IFERROR(__xludf.DUMMYFUNCTION("""COMPUTED_VALUE"""),"DMG: +10000")</f>
        <v>DMG: +10000</v>
      </c>
      <c r="G625" s="32">
        <f>IFERROR(__xludf.DUMMYFUNCTION("""COMPUTED_VALUE"""),1900000.0)</f>
        <v>1900000</v>
      </c>
      <c r="H625" s="32"/>
      <c r="I625" s="32"/>
      <c r="J625" s="32"/>
      <c r="K625" s="32"/>
      <c r="L625" s="32"/>
      <c r="M625" s="32"/>
      <c r="N625" s="32"/>
      <c r="O625" s="32"/>
      <c r="P625" s="32"/>
      <c r="Q625" s="32"/>
      <c r="R625" s="32"/>
      <c r="S625" s="32"/>
      <c r="T625" s="32"/>
      <c r="U625" s="32"/>
      <c r="V625" s="32"/>
      <c r="W625" s="32"/>
      <c r="X625" s="32"/>
      <c r="Y625" s="32"/>
      <c r="Z625" s="32"/>
    </row>
    <row r="626">
      <c r="A626" s="32" t="str">
        <f>IFERROR(__xludf.DUMMYFUNCTION("""COMPUTED_VALUE"""),"Head of Gévaudan")</f>
        <v>Head of Gévaudan</v>
      </c>
      <c r="B626" s="32"/>
      <c r="C626" s="32"/>
      <c r="D626" s="32" t="str">
        <f>IFERROR(__xludf.DUMMYFUNCTION("""COMPUTED_VALUE"""),"Head")</f>
        <v>Head</v>
      </c>
      <c r="E626" s="32">
        <f>IFERROR(__xludf.DUMMYFUNCTION("""COMPUTED_VALUE"""),200.0)</f>
        <v>200</v>
      </c>
      <c r="F626" s="32" t="str">
        <f>IFERROR(__xludf.DUMMYFUNCTION("""COMPUTED_VALUE"""),"DEF: +10000 ++ +5 to intimidation, ++Soul Shake: Allows to cast ""Shaken Soul""")</f>
        <v>DEF: +10000 ++ +5 to intimidation, ++Soul Shake: Allows to cast "Shaken Soul"</v>
      </c>
      <c r="G626" s="32">
        <f>IFERROR(__xludf.DUMMYFUNCTION("""COMPUTED_VALUE"""),1900000.0)</f>
        <v>1900000</v>
      </c>
      <c r="H626" s="32"/>
      <c r="I626" s="32"/>
      <c r="J626" s="32"/>
      <c r="K626" s="32"/>
      <c r="L626" s="32"/>
      <c r="M626" s="32"/>
      <c r="N626" s="32"/>
      <c r="O626" s="32"/>
      <c r="P626" s="32"/>
      <c r="Q626" s="32"/>
      <c r="R626" s="32"/>
      <c r="S626" s="32"/>
      <c r="T626" s="32"/>
      <c r="U626" s="32"/>
      <c r="V626" s="32"/>
      <c r="W626" s="32"/>
      <c r="X626" s="32"/>
      <c r="Y626" s="32"/>
      <c r="Z626" s="32"/>
    </row>
    <row r="627">
      <c r="A627" s="32" t="str">
        <f>IFERROR(__xludf.DUMMYFUNCTION("""COMPUTED_VALUE"""),"Phantasmal Scythe")</f>
        <v>Phantasmal Scythe</v>
      </c>
      <c r="B627" s="32"/>
      <c r="C627" s="32" t="str">
        <f>IFERROR(__xludf.DUMMYFUNCTION("""COMPUTED_VALUE"""),"Scythe")</f>
        <v>Scythe</v>
      </c>
      <c r="D627" s="32" t="str">
        <f>IFERROR(__xludf.DUMMYFUNCTION("""COMPUTED_VALUE"""),"Hand")</f>
        <v>Hand</v>
      </c>
      <c r="E627" s="32">
        <f>IFERROR(__xludf.DUMMYFUNCTION("""COMPUTED_VALUE"""),1000.0)</f>
        <v>1000</v>
      </c>
      <c r="F627" s="32" t="str">
        <f>IFERROR(__xludf.DUMMYFUNCTION("""COMPUTED_VALUE"""),", Spirit DMG: +50000")</f>
        <v>, Spirit DMG: +50000</v>
      </c>
      <c r="G627" s="32">
        <f>IFERROR(__xludf.DUMMYFUNCTION("""COMPUTED_VALUE"""),4.95E7)</f>
        <v>49500000</v>
      </c>
      <c r="H627" s="32"/>
      <c r="I627" s="32"/>
      <c r="J627" s="32"/>
      <c r="K627" s="32"/>
      <c r="L627" s="32"/>
      <c r="M627" s="32"/>
      <c r="N627" s="32"/>
      <c r="O627" s="32"/>
      <c r="P627" s="32"/>
      <c r="Q627" s="32"/>
      <c r="R627" s="32"/>
      <c r="S627" s="32"/>
      <c r="T627" s="32"/>
      <c r="U627" s="32"/>
      <c r="V627" s="32"/>
      <c r="W627" s="32"/>
      <c r="X627" s="32"/>
      <c r="Y627" s="32"/>
      <c r="Z627" s="32"/>
    </row>
    <row r="628">
      <c r="A628" s="32" t="str">
        <f>IFERROR(__xludf.DUMMYFUNCTION("""COMPUTED_VALUE"""),"Piranha Tooth Dagger")</f>
        <v>Piranha Tooth Dagger</v>
      </c>
      <c r="B628" s="32"/>
      <c r="C628" s="32" t="str">
        <f>IFERROR(__xludf.DUMMYFUNCTION("""COMPUTED_VALUE"""),"Knife")</f>
        <v>Knife</v>
      </c>
      <c r="D628" s="32" t="str">
        <f>IFERROR(__xludf.DUMMYFUNCTION("""COMPUTED_VALUE"""),"Hand")</f>
        <v>Hand</v>
      </c>
      <c r="E628" s="32">
        <f>IFERROR(__xludf.DUMMYFUNCTION("""COMPUTED_VALUE"""),10.0)</f>
        <v>10</v>
      </c>
      <c r="F628" s="32"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32">
        <f>IFERROR(__xludf.DUMMYFUNCTION("""COMPUTED_VALUE"""),1000.0)</f>
        <v>1000</v>
      </c>
      <c r="H628" s="32"/>
      <c r="I628" s="32"/>
      <c r="J628" s="32"/>
      <c r="K628" s="32"/>
      <c r="L628" s="32"/>
      <c r="M628" s="32"/>
      <c r="N628" s="32"/>
      <c r="O628" s="32"/>
      <c r="P628" s="32"/>
      <c r="Q628" s="32"/>
      <c r="R628" s="32"/>
      <c r="S628" s="32"/>
      <c r="T628" s="32"/>
      <c r="U628" s="32"/>
      <c r="V628" s="32"/>
      <c r="W628" s="32"/>
      <c r="X628" s="32"/>
      <c r="Y628" s="32"/>
      <c r="Z628" s="32"/>
    </row>
    <row r="629">
      <c r="A629" s="32" t="str">
        <f>IFERROR(__xludf.DUMMYFUNCTION("""COMPUTED_VALUE"""),"Rhino Horn Spear")</f>
        <v>Rhino Horn Spear</v>
      </c>
      <c r="B629" s="32"/>
      <c r="C629" s="32" t="str">
        <f>IFERROR(__xludf.DUMMYFUNCTION("""COMPUTED_VALUE"""),"Spear")</f>
        <v>Spear</v>
      </c>
      <c r="D629" s="32" t="str">
        <f>IFERROR(__xludf.DUMMYFUNCTION("""COMPUTED_VALUE"""),"Hand")</f>
        <v>Hand</v>
      </c>
      <c r="E629" s="32">
        <f>IFERROR(__xludf.DUMMYFUNCTION("""COMPUTED_VALUE"""),200.0)</f>
        <v>200</v>
      </c>
      <c r="F629" s="32" t="str">
        <f>IFERROR(__xludf.DUMMYFUNCTION("""COMPUTED_VALUE"""),"DMG: +10000 ++Charge - The first attack made with this weapon deals X2 damage")</f>
        <v>DMG: +10000 ++Charge - The first attack made with this weapon deals X2 damage</v>
      </c>
      <c r="G629" s="32">
        <f>IFERROR(__xludf.DUMMYFUNCTION("""COMPUTED_VALUE"""),1900000.0)</f>
        <v>1900000</v>
      </c>
      <c r="H629" s="32"/>
      <c r="I629" s="32"/>
      <c r="J629" s="32"/>
      <c r="K629" s="32"/>
      <c r="L629" s="32"/>
      <c r="M629" s="32"/>
      <c r="N629" s="32"/>
      <c r="O629" s="32"/>
      <c r="P629" s="32"/>
      <c r="Q629" s="32"/>
      <c r="R629" s="32"/>
      <c r="S629" s="32"/>
      <c r="T629" s="32"/>
      <c r="U629" s="32"/>
      <c r="V629" s="32"/>
      <c r="W629" s="32"/>
      <c r="X629" s="32"/>
      <c r="Y629" s="32"/>
      <c r="Z629" s="32"/>
    </row>
    <row r="630">
      <c r="A630" s="32" t="str">
        <f>IFERROR(__xludf.DUMMYFUNCTION("""COMPUTED_VALUE"""),"Rock Axe")</f>
        <v>Rock Axe</v>
      </c>
      <c r="B630" s="32"/>
      <c r="C630" s="32" t="str">
        <f>IFERROR(__xludf.DUMMYFUNCTION("""COMPUTED_VALUE"""),"Axe")</f>
        <v>Axe</v>
      </c>
      <c r="D630" s="32" t="str">
        <f>IFERROR(__xludf.DUMMYFUNCTION("""COMPUTED_VALUE"""),"Hand")</f>
        <v>Hand</v>
      </c>
      <c r="E630" s="32">
        <f>IFERROR(__xludf.DUMMYFUNCTION("""COMPUTED_VALUE"""),40.0)</f>
        <v>40</v>
      </c>
      <c r="F630" s="32" t="str">
        <f>IFERROR(__xludf.DUMMYFUNCTION("""COMPUTED_VALUE"""),"DMG: +1000, Earth DMG: +1000")</f>
        <v>DMG: +1000, Earth DMG: +1000</v>
      </c>
      <c r="G630" s="32">
        <f>IFERROR(__xludf.DUMMYFUNCTION("""COMPUTED_VALUE"""),60000.0)</f>
        <v>60000</v>
      </c>
      <c r="H630" s="32"/>
      <c r="I630" s="32"/>
      <c r="J630" s="32"/>
      <c r="K630" s="32"/>
      <c r="L630" s="32"/>
      <c r="M630" s="32"/>
      <c r="N630" s="32"/>
      <c r="O630" s="32"/>
      <c r="P630" s="32"/>
      <c r="Q630" s="32"/>
      <c r="R630" s="32"/>
      <c r="S630" s="32"/>
      <c r="T630" s="32"/>
      <c r="U630" s="32"/>
      <c r="V630" s="32"/>
      <c r="W630" s="32"/>
      <c r="X630" s="32"/>
      <c r="Y630" s="32"/>
      <c r="Z630" s="32"/>
    </row>
    <row r="631">
      <c r="A631" s="32" t="str">
        <f>IFERROR(__xludf.DUMMYFUNCTION("""COMPUTED_VALUE"""),"Saber Tooth")</f>
        <v>Saber Tooth</v>
      </c>
      <c r="B631" s="32"/>
      <c r="C631" s="32" t="str">
        <f>IFERROR(__xludf.DUMMYFUNCTION("""COMPUTED_VALUE"""),"Knife")</f>
        <v>Knife</v>
      </c>
      <c r="D631" s="32" t="str">
        <f>IFERROR(__xludf.DUMMYFUNCTION("""COMPUTED_VALUE"""),"Hand")</f>
        <v>Hand</v>
      </c>
      <c r="E631" s="32">
        <f>IFERROR(__xludf.DUMMYFUNCTION("""COMPUTED_VALUE"""),200.0)</f>
        <v>200</v>
      </c>
      <c r="F631" s="32" t="str">
        <f>IFERROR(__xludf.DUMMYFUNCTION("""COMPUTED_VALUE"""),"DMG: +10000")</f>
        <v>DMG: +10000</v>
      </c>
      <c r="G631" s="32">
        <f>IFERROR(__xludf.DUMMYFUNCTION("""COMPUTED_VALUE"""),1900000.0)</f>
        <v>1900000</v>
      </c>
      <c r="H631" s="32"/>
      <c r="I631" s="32"/>
      <c r="J631" s="32"/>
      <c r="K631" s="32"/>
      <c r="L631" s="32"/>
      <c r="M631" s="32"/>
      <c r="N631" s="32"/>
      <c r="O631" s="32"/>
      <c r="P631" s="32"/>
      <c r="Q631" s="32"/>
      <c r="R631" s="32"/>
      <c r="S631" s="32"/>
      <c r="T631" s="32"/>
      <c r="U631" s="32"/>
      <c r="V631" s="32"/>
      <c r="W631" s="32"/>
      <c r="X631" s="32"/>
      <c r="Y631" s="32"/>
      <c r="Z631" s="32"/>
    </row>
    <row r="632">
      <c r="A632" s="32" t="str">
        <f>IFERROR(__xludf.DUMMYFUNCTION("""COMPUTED_VALUE"""),"Worm Tooth Chainsaw")</f>
        <v>Worm Tooth Chainsaw</v>
      </c>
      <c r="B632" s="32"/>
      <c r="C632" s="32" t="str">
        <f>IFERROR(__xludf.DUMMYFUNCTION("""COMPUTED_VALUE"""),"Axe")</f>
        <v>Axe</v>
      </c>
      <c r="D632" s="32" t="str">
        <f>IFERROR(__xludf.DUMMYFUNCTION("""COMPUTED_VALUE"""),"Hand")</f>
        <v>Hand</v>
      </c>
      <c r="E632" s="32">
        <f>IFERROR(__xludf.DUMMYFUNCTION("""COMPUTED_VALUE"""),1200.0)</f>
        <v>1200</v>
      </c>
      <c r="F632" s="32"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32">
        <f>IFERROR(__xludf.DUMMYFUNCTION("""COMPUTED_VALUE"""),7.14E7)</f>
        <v>71400000</v>
      </c>
      <c r="H632" s="32"/>
      <c r="I632" s="32"/>
      <c r="J632" s="32"/>
      <c r="K632" s="32"/>
      <c r="L632" s="32"/>
      <c r="M632" s="32"/>
      <c r="N632" s="32"/>
      <c r="O632" s="32"/>
      <c r="P632" s="32"/>
      <c r="Q632" s="32"/>
      <c r="R632" s="32"/>
      <c r="S632" s="32"/>
      <c r="T632" s="32"/>
      <c r="U632" s="32"/>
      <c r="V632" s="32"/>
      <c r="W632" s="32"/>
      <c r="X632" s="32"/>
      <c r="Y632" s="32"/>
      <c r="Z632" s="32"/>
    </row>
    <row r="633">
      <c r="A633" s="32" t="str">
        <f>IFERROR(__xludf.DUMMYFUNCTION("""COMPUTED_VALUE"""),"Shark Tooth Greatclub")</f>
        <v>Shark Tooth Greatclub</v>
      </c>
      <c r="B633" s="32"/>
      <c r="C633" s="32" t="str">
        <f>IFERROR(__xludf.DUMMYFUNCTION("""COMPUTED_VALUE"""),"Club")</f>
        <v>Club</v>
      </c>
      <c r="D633" s="32" t="str">
        <f>IFERROR(__xludf.DUMMYFUNCTION("""COMPUTED_VALUE"""),"Hand")</f>
        <v>Hand</v>
      </c>
      <c r="E633" s="32">
        <f>IFERROR(__xludf.DUMMYFUNCTION("""COMPUTED_VALUE"""),500.0)</f>
        <v>500</v>
      </c>
      <c r="F633" s="32"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32">
        <f>IFERROR(__xludf.DUMMYFUNCTION("""COMPUTED_VALUE"""),1.225E7)</f>
        <v>12250000</v>
      </c>
      <c r="H633" s="32"/>
      <c r="I633" s="32"/>
      <c r="J633" s="32"/>
      <c r="K633" s="32"/>
      <c r="L633" s="32"/>
      <c r="M633" s="32"/>
      <c r="N633" s="32"/>
      <c r="O633" s="32"/>
      <c r="P633" s="32"/>
      <c r="Q633" s="32"/>
      <c r="R633" s="32"/>
      <c r="S633" s="32"/>
      <c r="T633" s="32"/>
      <c r="U633" s="32"/>
      <c r="V633" s="32"/>
      <c r="W633" s="32"/>
      <c r="X633" s="32"/>
      <c r="Y633" s="32"/>
      <c r="Z633" s="32"/>
    </row>
    <row r="634">
      <c r="A634" s="32" t="str">
        <f>IFERROR(__xludf.DUMMYFUNCTION("""COMPUTED_VALUE"""),"Sticky Slime Guantlets")</f>
        <v>Sticky Slime Guantlets</v>
      </c>
      <c r="B634" s="32"/>
      <c r="C634" s="32" t="str">
        <f>IFERROR(__xludf.DUMMYFUNCTION("""COMPUTED_VALUE"""),"Gauntlet")</f>
        <v>Gauntlet</v>
      </c>
      <c r="D634" s="32" t="str">
        <f>IFERROR(__xludf.DUMMYFUNCTION("""COMPUTED_VALUE"""),"Hand")</f>
        <v>Hand</v>
      </c>
      <c r="E634" s="32">
        <f>IFERROR(__xludf.DUMMYFUNCTION("""COMPUTED_VALUE"""),400.0)</f>
        <v>400</v>
      </c>
      <c r="F634" s="32" t="str">
        <f>IFERROR(__xludf.DUMMYFUNCTION("""COMPUTED_VALUE"""),"DEF: +20000 ++Slimey Grasp - When these gloves are equipped the natural power ""take"" Is guaranteed to succeed.")</f>
        <v>DEF: +20000 ++Slimey Grasp - When these gloves are equipped the natural power "take" Is guaranteed to succeed.</v>
      </c>
      <c r="G634" s="32">
        <f>IFERROR(__xludf.DUMMYFUNCTION("""COMPUTED_VALUE"""),7800000.0)</f>
        <v>7800000</v>
      </c>
      <c r="H634" s="32"/>
      <c r="I634" s="32"/>
      <c r="J634" s="32"/>
      <c r="K634" s="32"/>
      <c r="L634" s="32"/>
      <c r="M634" s="32"/>
      <c r="N634" s="32"/>
      <c r="O634" s="32"/>
      <c r="P634" s="32"/>
      <c r="Q634" s="32"/>
      <c r="R634" s="32"/>
      <c r="S634" s="32"/>
      <c r="T634" s="32"/>
      <c r="U634" s="32"/>
      <c r="V634" s="32"/>
      <c r="W634" s="32"/>
      <c r="X634" s="32"/>
      <c r="Y634" s="32"/>
      <c r="Z634" s="32"/>
    </row>
    <row r="635">
      <c r="A635" s="32" t="str">
        <f>IFERROR(__xludf.DUMMYFUNCTION("""COMPUTED_VALUE"""),"Draconic Scythe")</f>
        <v>Draconic Scythe</v>
      </c>
      <c r="B635" s="32"/>
      <c r="C635" s="32" t="str">
        <f>IFERROR(__xludf.DUMMYFUNCTION("""COMPUTED_VALUE"""),"Scythe")</f>
        <v>Scythe</v>
      </c>
      <c r="D635" s="32" t="str">
        <f>IFERROR(__xludf.DUMMYFUNCTION("""COMPUTED_VALUE"""),"Hand")</f>
        <v>Hand</v>
      </c>
      <c r="E635" s="32">
        <f>IFERROR(__xludf.DUMMYFUNCTION("""COMPUTED_VALUE"""),2000.0)</f>
        <v>2000</v>
      </c>
      <c r="F635" s="32"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32">
        <f>IFERROR(__xludf.DUMMYFUNCTION("""COMPUTED_VALUE"""),1.99E8)</f>
        <v>199000000</v>
      </c>
      <c r="H635" s="32"/>
      <c r="I635" s="32"/>
      <c r="J635" s="32"/>
      <c r="K635" s="32"/>
      <c r="L635" s="32"/>
      <c r="M635" s="32"/>
      <c r="N635" s="32"/>
      <c r="O635" s="32"/>
      <c r="P635" s="32"/>
      <c r="Q635" s="32"/>
      <c r="R635" s="32"/>
      <c r="S635" s="32"/>
      <c r="T635" s="32"/>
      <c r="U635" s="32"/>
      <c r="V635" s="32"/>
      <c r="W635" s="32"/>
      <c r="X635" s="32"/>
      <c r="Y635" s="32"/>
      <c r="Z635" s="32"/>
    </row>
    <row r="636">
      <c r="A636" s="32" t="str">
        <f>IFERROR(__xludf.DUMMYFUNCTION("""COMPUTED_VALUE"""),"Elemental Scythe")</f>
        <v>Elemental Scythe</v>
      </c>
      <c r="B636" s="32"/>
      <c r="C636" s="32" t="str">
        <f>IFERROR(__xludf.DUMMYFUNCTION("""COMPUTED_VALUE"""),"Scythe")</f>
        <v>Scythe</v>
      </c>
      <c r="D636" s="32" t="str">
        <f>IFERROR(__xludf.DUMMYFUNCTION("""COMPUTED_VALUE"""),"Hand")</f>
        <v>Hand</v>
      </c>
      <c r="E636" s="32">
        <f>IFERROR(__xludf.DUMMYFUNCTION("""COMPUTED_VALUE"""),2000.0)</f>
        <v>2000</v>
      </c>
      <c r="F636" s="32"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32">
        <f>IFERROR(__xludf.DUMMYFUNCTION("""COMPUTED_VALUE"""),1.99E8)</f>
        <v>199000000</v>
      </c>
      <c r="H636" s="32"/>
      <c r="I636" s="32"/>
      <c r="J636" s="32"/>
      <c r="K636" s="32"/>
      <c r="L636" s="32"/>
      <c r="M636" s="32"/>
      <c r="N636" s="32"/>
      <c r="O636" s="32"/>
      <c r="P636" s="32"/>
      <c r="Q636" s="32"/>
      <c r="R636" s="32"/>
      <c r="S636" s="32"/>
      <c r="T636" s="32"/>
      <c r="U636" s="32"/>
      <c r="V636" s="32"/>
      <c r="W636" s="32"/>
      <c r="X636" s="32"/>
      <c r="Y636" s="32"/>
      <c r="Z636" s="32"/>
    </row>
    <row r="637">
      <c r="A637" s="32" t="str">
        <f>IFERROR(__xludf.DUMMYFUNCTION("""COMPUTED_VALUE"""),"Staff of the Elemental King of Water")</f>
        <v>Staff of the Elemental King of Water</v>
      </c>
      <c r="B637" s="32"/>
      <c r="C637" s="32" t="str">
        <f>IFERROR(__xludf.DUMMYFUNCTION("""COMPUTED_VALUE"""),"Staff")</f>
        <v>Staff</v>
      </c>
      <c r="D637" s="32" t="str">
        <f>IFERROR(__xludf.DUMMYFUNCTION("""COMPUTED_VALUE"""),"Hand")</f>
        <v>Hand</v>
      </c>
      <c r="E637" s="32">
        <f>IFERROR(__xludf.DUMMYFUNCTION("""COMPUTED_VALUE"""),1000.0)</f>
        <v>1000</v>
      </c>
      <c r="F637" s="32" t="str">
        <f>IFERROR(__xludf.DUMMYFUNCTION("""COMPUTED_VALUE"""),", Water DMG: +50000 ++Summoned Water Elementals deal 5X water damage")</f>
        <v>, Water DMG: +50000 ++Summoned Water Elementals deal 5X water damage</v>
      </c>
      <c r="G637" s="32">
        <f>IFERROR(__xludf.DUMMYFUNCTION("""COMPUTED_VALUE"""),4.95E7)</f>
        <v>49500000</v>
      </c>
      <c r="H637" s="32"/>
      <c r="I637" s="32"/>
      <c r="J637" s="32"/>
      <c r="K637" s="32"/>
      <c r="L637" s="32"/>
      <c r="M637" s="32"/>
      <c r="N637" s="32"/>
      <c r="O637" s="32"/>
      <c r="P637" s="32"/>
      <c r="Q637" s="32"/>
      <c r="R637" s="32"/>
      <c r="S637" s="32"/>
      <c r="T637" s="32"/>
      <c r="U637" s="32"/>
      <c r="V637" s="32"/>
      <c r="W637" s="32"/>
      <c r="X637" s="32"/>
      <c r="Y637" s="32"/>
      <c r="Z637" s="32"/>
    </row>
    <row r="638">
      <c r="A638" s="32" t="str">
        <f>IFERROR(__xludf.DUMMYFUNCTION("""COMPUTED_VALUE"""),"Bashe's Tail")</f>
        <v>Bashe's Tail</v>
      </c>
      <c r="B638" s="32"/>
      <c r="C638" s="32"/>
      <c r="D638" s="32" t="str">
        <f>IFERROR(__xludf.DUMMYFUNCTION("""COMPUTED_VALUE"""),"Legs")</f>
        <v>Legs</v>
      </c>
      <c r="E638" s="32">
        <f>IFERROR(__xludf.DUMMYFUNCTION("""COMPUTED_VALUE"""),800.0)</f>
        <v>800</v>
      </c>
      <c r="F638" s="32" t="str">
        <f>IFERROR(__xludf.DUMMYFUNCTION("""COMPUTED_VALUE"""),"DEF: +40000 ++Smash - Allows you to attack with the tail as if it were a club weapon")</f>
        <v>DEF: +40000 ++Smash - Allows you to attack with the tail as if it were a club weapon</v>
      </c>
      <c r="G638" s="32">
        <f>IFERROR(__xludf.DUMMYFUNCTION("""COMPUTED_VALUE"""),3.16E7)</f>
        <v>31600000</v>
      </c>
      <c r="H638" s="32"/>
      <c r="I638" s="32"/>
      <c r="J638" s="32"/>
      <c r="K638" s="32"/>
      <c r="L638" s="32"/>
      <c r="M638" s="32"/>
      <c r="N638" s="32"/>
      <c r="O638" s="32"/>
      <c r="P638" s="32"/>
      <c r="Q638" s="32"/>
      <c r="R638" s="32"/>
      <c r="S638" s="32"/>
      <c r="T638" s="32"/>
      <c r="U638" s="32"/>
      <c r="V638" s="32"/>
      <c r="W638" s="32"/>
      <c r="X638" s="32"/>
      <c r="Y638" s="32"/>
      <c r="Z638" s="32"/>
    </row>
    <row r="639">
      <c r="A639" s="32" t="str">
        <f>IFERROR(__xludf.DUMMYFUNCTION("""COMPUTED_VALUE"""),"Bashe's Flute")</f>
        <v>Bashe's Flute</v>
      </c>
      <c r="B639" s="32"/>
      <c r="C639" s="32" t="str">
        <f>IFERROR(__xludf.DUMMYFUNCTION("""COMPUTED_VALUE"""),"Instrument")</f>
        <v>Instrument</v>
      </c>
      <c r="D639" s="32" t="str">
        <f>IFERROR(__xludf.DUMMYFUNCTION("""COMPUTED_VALUE"""),"Hand")</f>
        <v>Hand</v>
      </c>
      <c r="E639" s="32">
        <f>IFERROR(__xludf.DUMMYFUNCTION("""COMPUTED_VALUE"""),1000.0)</f>
        <v>1000</v>
      </c>
      <c r="F639" s="32"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32">
        <f>IFERROR(__xludf.DUMMYFUNCTION("""COMPUTED_VALUE"""),4.95E7)</f>
        <v>49500000</v>
      </c>
      <c r="H639" s="32"/>
      <c r="I639" s="32"/>
      <c r="J639" s="32"/>
      <c r="K639" s="32"/>
      <c r="L639" s="32"/>
      <c r="M639" s="32"/>
      <c r="N639" s="32"/>
      <c r="O639" s="32"/>
      <c r="P639" s="32"/>
      <c r="Q639" s="32"/>
      <c r="R639" s="32"/>
      <c r="S639" s="32"/>
      <c r="T639" s="32"/>
      <c r="U639" s="32"/>
      <c r="V639" s="32"/>
      <c r="W639" s="32"/>
      <c r="X639" s="32"/>
      <c r="Y639" s="32"/>
      <c r="Z639" s="32"/>
    </row>
    <row r="640">
      <c r="A640" s="32" t="str">
        <f>IFERROR(__xludf.DUMMYFUNCTION("""COMPUTED_VALUE"""),"Grash's Favorite Length Of Iron")</f>
        <v>Grash's Favorite Length Of Iron</v>
      </c>
      <c r="B640" s="32"/>
      <c r="C640" s="32" t="str">
        <f>IFERROR(__xludf.DUMMYFUNCTION("""COMPUTED_VALUE"""),"Club")</f>
        <v>Club</v>
      </c>
      <c r="D640" s="32" t="str">
        <f>IFERROR(__xludf.DUMMYFUNCTION("""COMPUTED_VALUE"""),"Hand")</f>
        <v>Hand</v>
      </c>
      <c r="E640" s="32">
        <f>IFERROR(__xludf.DUMMYFUNCTION("""COMPUTED_VALUE"""),2000.0)</f>
        <v>2000</v>
      </c>
      <c r="F640" s="32" t="str">
        <f>IFERROR(__xludf.DUMMYFUNCTION("""COMPUTED_VALUE"""),"DMG: +100000 ++When a Samurai Wields this weapon they get access to the ""Grash's Smashing Success"" Natural Power")</f>
        <v>DMG: +100000 ++When a Samurai Wields this weapon they get access to the "Grash's Smashing Success" Natural Power</v>
      </c>
      <c r="G640" s="32">
        <f>IFERROR(__xludf.DUMMYFUNCTION("""COMPUTED_VALUE"""),1.99E8)</f>
        <v>199000000</v>
      </c>
      <c r="H640" s="32"/>
      <c r="I640" s="32"/>
      <c r="J640" s="32"/>
      <c r="K640" s="32"/>
      <c r="L640" s="32"/>
      <c r="M640" s="32"/>
      <c r="N640" s="32"/>
      <c r="O640" s="32"/>
      <c r="P640" s="32"/>
      <c r="Q640" s="32"/>
      <c r="R640" s="32"/>
      <c r="S640" s="32"/>
      <c r="T640" s="32"/>
      <c r="U640" s="32"/>
      <c r="V640" s="32"/>
      <c r="W640" s="32"/>
      <c r="X640" s="32"/>
      <c r="Y640" s="32"/>
      <c r="Z640" s="32"/>
    </row>
    <row r="641">
      <c r="A641" s="32" t="str">
        <f>IFERROR(__xludf.DUMMYFUNCTION("""COMPUTED_VALUE"""),"Wolf Tooth Neclace")</f>
        <v>Wolf Tooth Neclace</v>
      </c>
      <c r="B641" s="32"/>
      <c r="C641" s="32"/>
      <c r="D641" s="32" t="str">
        <f>IFERROR(__xludf.DUMMYFUNCTION("""COMPUTED_VALUE"""),"Neck")</f>
        <v>Neck</v>
      </c>
      <c r="E641" s="32">
        <f>IFERROR(__xludf.DUMMYFUNCTION("""COMPUTED_VALUE"""),1.0)</f>
        <v>1</v>
      </c>
      <c r="F641" s="32"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32">
        <f>IFERROR(__xludf.DUMMYFUNCTION("""COMPUTED_VALUE"""),0.0)</f>
        <v>0</v>
      </c>
      <c r="H641" s="32"/>
      <c r="I641" s="32"/>
      <c r="J641" s="32"/>
      <c r="K641" s="32"/>
      <c r="L641" s="32"/>
      <c r="M641" s="32"/>
      <c r="N641" s="32"/>
      <c r="O641" s="32"/>
      <c r="P641" s="32"/>
      <c r="Q641" s="32"/>
      <c r="R641" s="32"/>
      <c r="S641" s="32"/>
      <c r="T641" s="32"/>
      <c r="U641" s="32"/>
      <c r="V641" s="32"/>
      <c r="W641" s="32"/>
      <c r="X641" s="32"/>
      <c r="Y641" s="32"/>
      <c r="Z641" s="32"/>
    </row>
    <row r="642">
      <c r="A642" s="32" t="str">
        <f>IFERROR(__xludf.DUMMYFUNCTION("""COMPUTED_VALUE"""),"Dragon Scale Necklace")</f>
        <v>Dragon Scale Necklace</v>
      </c>
      <c r="B642" s="32"/>
      <c r="C642" s="32"/>
      <c r="D642" s="32" t="str">
        <f>IFERROR(__xludf.DUMMYFUNCTION("""COMPUTED_VALUE"""),"Neck")</f>
        <v>Neck</v>
      </c>
      <c r="E642" s="32">
        <f>IFERROR(__xludf.DUMMYFUNCTION("""COMPUTED_VALUE"""),1.0)</f>
        <v>1</v>
      </c>
      <c r="F642" s="32"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32">
        <f>IFERROR(__xludf.DUMMYFUNCTION("""COMPUTED_VALUE"""),0.0)</f>
        <v>0</v>
      </c>
      <c r="H642" s="32"/>
      <c r="I642" s="32"/>
      <c r="J642" s="32"/>
      <c r="K642" s="32"/>
      <c r="L642" s="32"/>
      <c r="M642" s="32"/>
      <c r="N642" s="32"/>
      <c r="O642" s="32"/>
      <c r="P642" s="32"/>
      <c r="Q642" s="32"/>
      <c r="R642" s="32"/>
      <c r="S642" s="32"/>
      <c r="T642" s="32"/>
      <c r="U642" s="32"/>
      <c r="V642" s="32"/>
      <c r="W642" s="32"/>
      <c r="X642" s="32"/>
      <c r="Y642" s="32"/>
      <c r="Z642" s="32"/>
    </row>
    <row r="643">
      <c r="A643" s="32" t="str">
        <f>IFERROR(__xludf.DUMMYFUNCTION("""COMPUTED_VALUE"""),"Heavenly Necklace")</f>
        <v>Heavenly Necklace</v>
      </c>
      <c r="B643" s="32"/>
      <c r="C643" s="32"/>
      <c r="D643" s="32" t="str">
        <f>IFERROR(__xludf.DUMMYFUNCTION("""COMPUTED_VALUE"""),"Neck")</f>
        <v>Neck</v>
      </c>
      <c r="E643" s="32">
        <f>IFERROR(__xludf.DUMMYFUNCTION("""COMPUTED_VALUE"""),1.0)</f>
        <v>1</v>
      </c>
      <c r="F643" s="32"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32">
        <f>IFERROR(__xludf.DUMMYFUNCTION("""COMPUTED_VALUE"""),0.0)</f>
        <v>0</v>
      </c>
      <c r="H643" s="32"/>
      <c r="I643" s="32"/>
      <c r="J643" s="32"/>
      <c r="K643" s="32"/>
      <c r="L643" s="32"/>
      <c r="M643" s="32"/>
      <c r="N643" s="32"/>
      <c r="O643" s="32"/>
      <c r="P643" s="32"/>
      <c r="Q643" s="32"/>
      <c r="R643" s="32"/>
      <c r="S643" s="32"/>
      <c r="T643" s="32"/>
      <c r="U643" s="32"/>
      <c r="V643" s="32"/>
      <c r="W643" s="32"/>
      <c r="X643" s="32"/>
      <c r="Y643" s="32"/>
      <c r="Z643" s="32"/>
    </row>
    <row r="644">
      <c r="A644" s="32" t="str">
        <f>IFERROR(__xludf.DUMMYFUNCTION("""COMPUTED_VALUE"""),"Demonic Necklace")</f>
        <v>Demonic Necklace</v>
      </c>
      <c r="B644" s="32"/>
      <c r="C644" s="32"/>
      <c r="D644" s="32" t="str">
        <f>IFERROR(__xludf.DUMMYFUNCTION("""COMPUTED_VALUE"""),"Neck")</f>
        <v>Neck</v>
      </c>
      <c r="E644" s="32">
        <f>IFERROR(__xludf.DUMMYFUNCTION("""COMPUTED_VALUE"""),1.0)</f>
        <v>1</v>
      </c>
      <c r="F644" s="32"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32">
        <f>IFERROR(__xludf.DUMMYFUNCTION("""COMPUTED_VALUE"""),0.0)</f>
        <v>0</v>
      </c>
      <c r="H644" s="32"/>
      <c r="I644" s="32"/>
      <c r="J644" s="32"/>
      <c r="K644" s="32"/>
      <c r="L644" s="32"/>
      <c r="M644" s="32"/>
      <c r="N644" s="32"/>
      <c r="O644" s="32"/>
      <c r="P644" s="32"/>
      <c r="Q644" s="32"/>
      <c r="R644" s="32"/>
      <c r="S644" s="32"/>
      <c r="T644" s="32"/>
      <c r="U644" s="32"/>
      <c r="V644" s="32"/>
      <c r="W644" s="32"/>
      <c r="X644" s="32"/>
      <c r="Y644" s="32"/>
      <c r="Z644" s="32"/>
    </row>
    <row r="645">
      <c r="A645" s="32" t="str">
        <f>IFERROR(__xludf.DUMMYFUNCTION("""COMPUTED_VALUE"""),"The Cloak of Gévaudan")</f>
        <v>The Cloak of Gévaudan</v>
      </c>
      <c r="B645" s="32"/>
      <c r="C645" s="32"/>
      <c r="D645" s="32" t="str">
        <f>IFERROR(__xludf.DUMMYFUNCTION("""COMPUTED_VALUE"""),"Shoulders")</f>
        <v>Shoulders</v>
      </c>
      <c r="E645" s="32">
        <f>IFERROR(__xludf.DUMMYFUNCTION("""COMPUTED_VALUE"""),800.0)</f>
        <v>800</v>
      </c>
      <c r="F645" s="32" t="str">
        <f>IFERROR(__xludf.DUMMYFUNCTION("""COMPUTED_VALUE"""),"DEF: +25000, Fire DEF: +15000 ++The warm coat grants you immunity to freezing.")</f>
        <v>DEF: +25000, Fire DEF: +15000 ++The warm coat grants you immunity to freezing.</v>
      </c>
      <c r="G645" s="32">
        <f>IFERROR(__xludf.DUMMYFUNCTION("""COMPUTED_VALUE"""),3.16E7)</f>
        <v>31600000</v>
      </c>
      <c r="H645" s="32"/>
      <c r="I645" s="32"/>
      <c r="J645" s="32"/>
      <c r="K645" s="32"/>
      <c r="L645" s="32"/>
      <c r="M645" s="32"/>
      <c r="N645" s="32"/>
      <c r="O645" s="32"/>
      <c r="P645" s="32"/>
      <c r="Q645" s="32"/>
      <c r="R645" s="32"/>
      <c r="S645" s="32"/>
      <c r="T645" s="32"/>
      <c r="U645" s="32"/>
      <c r="V645" s="32"/>
      <c r="W645" s="32"/>
      <c r="X645" s="32"/>
      <c r="Y645" s="32"/>
      <c r="Z645" s="32"/>
    </row>
    <row r="646">
      <c r="A646" s="32" t="str">
        <f>IFERROR(__xludf.DUMMYFUNCTION("""COMPUTED_VALUE"""),"Spirit Glyph")</f>
        <v>Spirit Glyph</v>
      </c>
      <c r="B646" s="32"/>
      <c r="C646" s="32"/>
      <c r="D646" s="32" t="str">
        <f>IFERROR(__xludf.DUMMYFUNCTION("""COMPUTED_VALUE"""),"Ring")</f>
        <v>Ring</v>
      </c>
      <c r="E646" s="32">
        <f>IFERROR(__xludf.DUMMYFUNCTION("""COMPUTED_VALUE"""),1.0)</f>
        <v>1</v>
      </c>
      <c r="F646" s="32"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32">
        <f>IFERROR(__xludf.DUMMYFUNCTION("""COMPUTED_VALUE"""),0.0)</f>
        <v>0</v>
      </c>
      <c r="H646" s="32"/>
      <c r="I646" s="32"/>
      <c r="J646" s="32"/>
      <c r="K646" s="32"/>
      <c r="L646" s="32"/>
      <c r="M646" s="32"/>
      <c r="N646" s="32"/>
      <c r="O646" s="32"/>
      <c r="P646" s="32"/>
      <c r="Q646" s="32"/>
      <c r="R646" s="32"/>
      <c r="S646" s="32"/>
      <c r="T646" s="32"/>
      <c r="U646" s="32"/>
      <c r="V646" s="32"/>
      <c r="W646" s="32"/>
      <c r="X646" s="32"/>
      <c r="Y646" s="32"/>
      <c r="Z646" s="32"/>
    </row>
    <row r="647">
      <c r="A647" s="32" t="str">
        <f>IFERROR(__xludf.DUMMYFUNCTION("""COMPUTED_VALUE"""),"Necromantic Sigil")</f>
        <v>Necromantic Sigil</v>
      </c>
      <c r="B647" s="32"/>
      <c r="C647" s="32"/>
      <c r="D647" s="32" t="str">
        <f>IFERROR(__xludf.DUMMYFUNCTION("""COMPUTED_VALUE"""),"Ring")</f>
        <v>Ring</v>
      </c>
      <c r="E647" s="32">
        <f>IFERROR(__xludf.DUMMYFUNCTION("""COMPUTED_VALUE"""),1.0)</f>
        <v>1</v>
      </c>
      <c r="F647" s="32"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32">
        <f>IFERROR(__xludf.DUMMYFUNCTION("""COMPUTED_VALUE"""),0.0)</f>
        <v>0</v>
      </c>
      <c r="H647" s="32"/>
      <c r="I647" s="32"/>
      <c r="J647" s="32"/>
      <c r="K647" s="32"/>
      <c r="L647" s="32"/>
      <c r="M647" s="32"/>
      <c r="N647" s="32"/>
      <c r="O647" s="32"/>
      <c r="P647" s="32"/>
      <c r="Q647" s="32"/>
      <c r="R647" s="32"/>
      <c r="S647" s="32"/>
      <c r="T647" s="32"/>
      <c r="U647" s="32"/>
      <c r="V647" s="32"/>
      <c r="W647" s="32"/>
      <c r="X647" s="32"/>
      <c r="Y647" s="32"/>
      <c r="Z647" s="32"/>
    </row>
    <row r="648">
      <c r="A648" s="32" t="str">
        <f>IFERROR(__xludf.DUMMYFUNCTION("""COMPUTED_VALUE"""),"Dragonslayer")</f>
        <v>Dragonslayer</v>
      </c>
      <c r="B648" s="32" t="str">
        <f>IFERROR(__xludf.DUMMYFUNCTION("""COMPUTED_VALUE"""),"It was too big to be called a sword. Massive, thick, heavy, and far too rough. Indeed, it was a heap of raw iron.")</f>
        <v>It was too big to be called a sword. Massive, thick, heavy, and far too rough. Indeed, it was a heap of raw iron.</v>
      </c>
      <c r="C648" s="32" t="str">
        <f>IFERROR(__xludf.DUMMYFUNCTION("""COMPUTED_VALUE"""),"Sword")</f>
        <v>Sword</v>
      </c>
      <c r="D648" s="32" t="str">
        <f>IFERROR(__xludf.DUMMYFUNCTION("""COMPUTED_VALUE"""),"Hand")</f>
        <v>Hand</v>
      </c>
      <c r="E648" s="32">
        <f>IFERROR(__xludf.DUMMYFUNCTION("""COMPUTED_VALUE"""),2000.0)</f>
        <v>2000</v>
      </c>
      <c r="F648" s="32" t="str">
        <f>IFERROR(__xludf.DUMMYFUNCTION("""COMPUTED_VALUE"""),"DMG: +100000 ++Deals X10 damage when fighting a Dragon or Monstrosity")</f>
        <v>DMG: +100000 ++Deals X10 damage when fighting a Dragon or Monstrosity</v>
      </c>
      <c r="G648" s="32">
        <f>IFERROR(__xludf.DUMMYFUNCTION("""COMPUTED_VALUE"""),1.99E8)</f>
        <v>199000000</v>
      </c>
      <c r="H648" s="32"/>
      <c r="I648" s="32"/>
      <c r="J648" s="32"/>
      <c r="K648" s="32"/>
      <c r="L648" s="32"/>
      <c r="M648" s="32"/>
      <c r="N648" s="32"/>
      <c r="O648" s="32"/>
      <c r="P648" s="32"/>
      <c r="Q648" s="32"/>
      <c r="R648" s="32"/>
      <c r="S648" s="32"/>
      <c r="T648" s="32"/>
      <c r="U648" s="32"/>
      <c r="V648" s="32"/>
      <c r="W648" s="32"/>
      <c r="X648" s="32"/>
      <c r="Y648" s="32"/>
      <c r="Z648" s="32"/>
    </row>
    <row r="649">
      <c r="A649" s="32" t="str">
        <f>IFERROR(__xludf.DUMMYFUNCTION("""COMPUTED_VALUE"""),"Rusted Halberd")</f>
        <v>Rusted Halberd</v>
      </c>
      <c r="B649" s="32"/>
      <c r="C649" s="32" t="str">
        <f>IFERROR(__xludf.DUMMYFUNCTION("""COMPUTED_VALUE"""),"Spear")</f>
        <v>Spear</v>
      </c>
      <c r="D649" s="32" t="str">
        <f>IFERROR(__xludf.DUMMYFUNCTION("""COMPUTED_VALUE"""),"Hand")</f>
        <v>Hand</v>
      </c>
      <c r="E649" s="32">
        <f>IFERROR(__xludf.DUMMYFUNCTION("""COMPUTED_VALUE"""),100.0)</f>
        <v>100</v>
      </c>
      <c r="F649" s="32" t="str">
        <f>IFERROR(__xludf.DUMMYFUNCTION("""COMPUTED_VALUE"""),"DMG: +5000")</f>
        <v>DMG: +5000</v>
      </c>
      <c r="G649" s="32">
        <f>IFERROR(__xludf.DUMMYFUNCTION("""COMPUTED_VALUE"""),450000.0)</f>
        <v>450000</v>
      </c>
      <c r="H649" s="32"/>
      <c r="I649" s="32"/>
      <c r="J649" s="32"/>
      <c r="K649" s="32"/>
      <c r="L649" s="32"/>
      <c r="M649" s="32"/>
      <c r="N649" s="32"/>
      <c r="O649" s="32"/>
      <c r="P649" s="32"/>
      <c r="Q649" s="32"/>
      <c r="R649" s="32"/>
      <c r="S649" s="32"/>
      <c r="T649" s="32"/>
      <c r="U649" s="32"/>
      <c r="V649" s="32"/>
      <c r="W649" s="32"/>
      <c r="X649" s="32"/>
      <c r="Y649" s="32"/>
      <c r="Z649" s="32"/>
    </row>
    <row r="650">
      <c r="A650" s="32" t="str">
        <f>IFERROR(__xludf.DUMMYFUNCTION("""COMPUTED_VALUE"""),"Diseased Rapier")</f>
        <v>Diseased Rapier</v>
      </c>
      <c r="B650" s="32"/>
      <c r="C650" s="32" t="str">
        <f>IFERROR(__xludf.DUMMYFUNCTION("""COMPUTED_VALUE"""),"Sword")</f>
        <v>Sword</v>
      </c>
      <c r="D650" s="32" t="str">
        <f>IFERROR(__xludf.DUMMYFUNCTION("""COMPUTED_VALUE"""),"Hand")</f>
        <v>Hand</v>
      </c>
      <c r="E650" s="32">
        <f>IFERROR(__xludf.DUMMYFUNCTION("""COMPUTED_VALUE"""),50.0)</f>
        <v>50</v>
      </c>
      <c r="F650" s="32" t="str">
        <f>IFERROR(__xludf.DUMMYFUNCTION("""COMPUTED_VALUE"""),"DMG: +2500 ++15% chance to inflict the target with a random non-pemanent disease")</f>
        <v>DMG: +2500 ++15% chance to inflict the target with a random non-pemanent disease</v>
      </c>
      <c r="G650" s="32">
        <f>IFERROR(__xludf.DUMMYFUNCTION("""COMPUTED_VALUE"""),100000.0)</f>
        <v>100000</v>
      </c>
      <c r="H650" s="32"/>
      <c r="I650" s="32"/>
      <c r="J650" s="32"/>
      <c r="K650" s="32"/>
      <c r="L650" s="32"/>
      <c r="M650" s="32"/>
      <c r="N650" s="32"/>
      <c r="O650" s="32"/>
      <c r="P650" s="32"/>
      <c r="Q650" s="32"/>
      <c r="R650" s="32"/>
      <c r="S650" s="32"/>
      <c r="T650" s="32"/>
      <c r="U650" s="32"/>
      <c r="V650" s="32"/>
      <c r="W650" s="32"/>
      <c r="X650" s="32"/>
      <c r="Y650" s="32"/>
      <c r="Z650" s="32"/>
    </row>
    <row r="651">
      <c r="A651" s="32" t="str">
        <f>IFERROR(__xludf.DUMMYFUNCTION("""COMPUTED_VALUE"""),"Symbol of Greed")</f>
        <v>Symbol of Greed</v>
      </c>
      <c r="B651" s="32"/>
      <c r="C651" s="32"/>
      <c r="D651" s="32" t="str">
        <f>IFERROR(__xludf.DUMMYFUNCTION("""COMPUTED_VALUE"""),"Finger")</f>
        <v>Finger</v>
      </c>
      <c r="E651" s="32">
        <f>IFERROR(__xludf.DUMMYFUNCTION("""COMPUTED_VALUE"""),1.0)</f>
        <v>1</v>
      </c>
      <c r="F651" s="32"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32">
        <f>IFERROR(__xludf.DUMMYFUNCTION("""COMPUTED_VALUE"""),0.0)</f>
        <v>0</v>
      </c>
      <c r="H651" s="32"/>
      <c r="I651" s="32"/>
      <c r="J651" s="32"/>
      <c r="K651" s="32"/>
      <c r="L651" s="32"/>
      <c r="M651" s="32"/>
      <c r="N651" s="32"/>
      <c r="O651" s="32"/>
      <c r="P651" s="32"/>
      <c r="Q651" s="32"/>
      <c r="R651" s="32"/>
      <c r="S651" s="32"/>
      <c r="T651" s="32"/>
      <c r="U651" s="32"/>
      <c r="V651" s="32"/>
      <c r="W651" s="32"/>
      <c r="X651" s="32"/>
      <c r="Y651" s="32"/>
      <c r="Z651" s="32"/>
    </row>
    <row r="652">
      <c r="A652" s="32" t="str">
        <f>IFERROR(__xludf.DUMMYFUNCTION("""COMPUTED_VALUE"""),"Enchanted Quiver")</f>
        <v>Enchanted Quiver</v>
      </c>
      <c r="B652" s="32"/>
      <c r="C652" s="32"/>
      <c r="D652" s="32" t="str">
        <f>IFERROR(__xludf.DUMMYFUNCTION("""COMPUTED_VALUE"""),"Shoulders")</f>
        <v>Shoulders</v>
      </c>
      <c r="E652" s="32">
        <f>IFERROR(__xludf.DUMMYFUNCTION("""COMPUTED_VALUE"""),1.0)</f>
        <v>1</v>
      </c>
      <c r="F652" s="32" t="str">
        <f>IFERROR(__xludf.DUMMYFUNCTION("""COMPUTED_VALUE""")," ++Magic Arrow - ++5 to all attack rolls with a bow +-(Archer Class Only)")</f>
        <v> ++Magic Arrow - ++5 to all attack rolls with a bow +-(Archer Class Only)</v>
      </c>
      <c r="G652" s="32">
        <f>IFERROR(__xludf.DUMMYFUNCTION("""COMPUTED_VALUE"""),0.0)</f>
        <v>0</v>
      </c>
      <c r="H652" s="32"/>
      <c r="I652" s="32"/>
      <c r="J652" s="32"/>
      <c r="K652" s="32"/>
      <c r="L652" s="32"/>
      <c r="M652" s="32"/>
      <c r="N652" s="32"/>
      <c r="O652" s="32"/>
      <c r="P652" s="32"/>
      <c r="Q652" s="32"/>
      <c r="R652" s="32"/>
      <c r="S652" s="32"/>
      <c r="T652" s="32"/>
      <c r="U652" s="32"/>
      <c r="V652" s="32"/>
      <c r="W652" s="32"/>
      <c r="X652" s="32"/>
      <c r="Y652" s="32"/>
      <c r="Z652" s="32"/>
    </row>
    <row r="653">
      <c r="A653" s="32" t="str">
        <f>IFERROR(__xludf.DUMMYFUNCTION("""COMPUTED_VALUE"""),"Ring of the Siren")</f>
        <v>Ring of the Siren</v>
      </c>
      <c r="B653" s="32"/>
      <c r="C653" s="32"/>
      <c r="D653" s="32" t="str">
        <f>IFERROR(__xludf.DUMMYFUNCTION("""COMPUTED_VALUE"""),"Finger")</f>
        <v>Finger</v>
      </c>
      <c r="E653" s="32">
        <f>IFERROR(__xludf.DUMMYFUNCTION("""COMPUTED_VALUE"""),1.0)</f>
        <v>1</v>
      </c>
      <c r="F653" s="32"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32">
        <f>IFERROR(__xludf.DUMMYFUNCTION("""COMPUTED_VALUE"""),0.0)</f>
        <v>0</v>
      </c>
      <c r="H653" s="32"/>
      <c r="I653" s="32"/>
      <c r="J653" s="32"/>
      <c r="K653" s="32"/>
      <c r="L653" s="32"/>
      <c r="M653" s="32"/>
      <c r="N653" s="32"/>
      <c r="O653" s="32"/>
      <c r="P653" s="32"/>
      <c r="Q653" s="32"/>
      <c r="R653" s="32"/>
      <c r="S653" s="32"/>
      <c r="T653" s="32"/>
      <c r="U653" s="32"/>
      <c r="V653" s="32"/>
      <c r="W653" s="32"/>
      <c r="X653" s="32"/>
      <c r="Y653" s="32"/>
      <c r="Z653" s="32"/>
    </row>
    <row r="654">
      <c r="A654" s="32" t="str">
        <f>IFERROR(__xludf.DUMMYFUNCTION("""COMPUTED_VALUE"""),"Amulet of The Berserker")</f>
        <v>Amulet of The Berserker</v>
      </c>
      <c r="B654" s="32"/>
      <c r="C654" s="32"/>
      <c r="D654" s="32" t="str">
        <f>IFERROR(__xludf.DUMMYFUNCTION("""COMPUTED_VALUE"""),"Neck")</f>
        <v>Neck</v>
      </c>
      <c r="E654" s="32">
        <f>IFERROR(__xludf.DUMMYFUNCTION("""COMPUTED_VALUE"""),1.0)</f>
        <v>1</v>
      </c>
      <c r="F654" s="32" t="str">
        <f>IFERROR(__xludf.DUMMYFUNCTION("""COMPUTED_VALUE""")," ++Berserk - When attacking or being attacked gain 1 stack of Insanity +-(Brawler Class Only)")</f>
        <v> ++Berserk - When attacking or being attacked gain 1 stack of Insanity +-(Brawler Class Only)</v>
      </c>
      <c r="G654" s="32">
        <f>IFERROR(__xludf.DUMMYFUNCTION("""COMPUTED_VALUE"""),0.0)</f>
        <v>0</v>
      </c>
      <c r="H654" s="32"/>
      <c r="I654" s="32"/>
      <c r="J654" s="32"/>
      <c r="K654" s="32"/>
      <c r="L654" s="32"/>
      <c r="M654" s="32"/>
      <c r="N654" s="32"/>
      <c r="O654" s="32"/>
      <c r="P654" s="32"/>
      <c r="Q654" s="32"/>
      <c r="R654" s="32"/>
      <c r="S654" s="32"/>
      <c r="T654" s="32"/>
      <c r="U654" s="32"/>
      <c r="V654" s="32"/>
      <c r="W654" s="32"/>
      <c r="X654" s="32"/>
      <c r="Y654" s="32"/>
      <c r="Z654" s="32"/>
    </row>
    <row r="655">
      <c r="A655" s="32" t="str">
        <f>IFERROR(__xludf.DUMMYFUNCTION("""COMPUTED_VALUE"""),"Mask of the Cultist")</f>
        <v>Mask of the Cultist</v>
      </c>
      <c r="B655" s="32"/>
      <c r="C655" s="32"/>
      <c r="D655" s="32" t="str">
        <f>IFERROR(__xludf.DUMMYFUNCTION("""COMPUTED_VALUE"""),"Head")</f>
        <v>Head</v>
      </c>
      <c r="E655" s="32">
        <f>IFERROR(__xludf.DUMMYFUNCTION("""COMPUTED_VALUE"""),1.0)</f>
        <v>1</v>
      </c>
      <c r="F655" s="32"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32">
        <f>IFERROR(__xludf.DUMMYFUNCTION("""COMPUTED_VALUE"""),0.0)</f>
        <v>0</v>
      </c>
      <c r="H655" s="32"/>
      <c r="I655" s="32"/>
      <c r="J655" s="32"/>
      <c r="K655" s="32"/>
      <c r="L655" s="32"/>
      <c r="M655" s="32"/>
      <c r="N655" s="32"/>
      <c r="O655" s="32"/>
      <c r="P655" s="32"/>
      <c r="Q655" s="32"/>
      <c r="R655" s="32"/>
      <c r="S655" s="32"/>
      <c r="T655" s="32"/>
      <c r="U655" s="32"/>
      <c r="V655" s="32"/>
      <c r="W655" s="32"/>
      <c r="X655" s="32"/>
      <c r="Y655" s="32"/>
      <c r="Z655" s="32"/>
    </row>
    <row r="656">
      <c r="A656" s="32" t="str">
        <f>IFERROR(__xludf.DUMMYFUNCTION("""COMPUTED_VALUE"""),"""Natural"" Cologne")</f>
        <v>"Natural" Cologne</v>
      </c>
      <c r="B656" s="32"/>
      <c r="C656" s="32"/>
      <c r="D656" s="32" t="str">
        <f>IFERROR(__xludf.DUMMYFUNCTION("""COMPUTED_VALUE"""),"Neck")</f>
        <v>Neck</v>
      </c>
      <c r="E656" s="32">
        <f>IFERROR(__xludf.DUMMYFUNCTION("""COMPUTED_VALUE"""),1.0)</f>
        <v>1</v>
      </c>
      <c r="F656" s="32"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32">
        <f>IFERROR(__xludf.DUMMYFUNCTION("""COMPUTED_VALUE"""),0.0)</f>
        <v>0</v>
      </c>
      <c r="H656" s="32"/>
      <c r="I656" s="32"/>
      <c r="J656" s="32"/>
      <c r="K656" s="32"/>
      <c r="L656" s="32"/>
      <c r="M656" s="32"/>
      <c r="N656" s="32"/>
      <c r="O656" s="32"/>
      <c r="P656" s="32"/>
      <c r="Q656" s="32"/>
      <c r="R656" s="32"/>
      <c r="S656" s="32"/>
      <c r="T656" s="32"/>
      <c r="U656" s="32"/>
      <c r="V656" s="32"/>
      <c r="W656" s="32"/>
      <c r="X656" s="32"/>
      <c r="Y656" s="32"/>
      <c r="Z656" s="32"/>
    </row>
    <row r="657">
      <c r="A657" s="32" t="str">
        <f>IFERROR(__xludf.DUMMYFUNCTION("""COMPUTED_VALUE"""),"Bonded Ring")</f>
        <v>Bonded Ring</v>
      </c>
      <c r="B657" s="32"/>
      <c r="C657" s="32"/>
      <c r="D657" s="32" t="str">
        <f>IFERROR(__xludf.DUMMYFUNCTION("""COMPUTED_VALUE"""),"Finger")</f>
        <v>Finger</v>
      </c>
      <c r="E657" s="32">
        <f>IFERROR(__xludf.DUMMYFUNCTION("""COMPUTED_VALUE"""),1.0)</f>
        <v>1</v>
      </c>
      <c r="F657" s="32"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32">
        <f>IFERROR(__xludf.DUMMYFUNCTION("""COMPUTED_VALUE"""),0.0)</f>
        <v>0</v>
      </c>
      <c r="H657" s="32"/>
      <c r="I657" s="32"/>
      <c r="J657" s="32"/>
      <c r="K657" s="32"/>
      <c r="L657" s="32"/>
      <c r="M657" s="32"/>
      <c r="N657" s="32"/>
      <c r="O657" s="32"/>
      <c r="P657" s="32"/>
      <c r="Q657" s="32"/>
      <c r="R657" s="32"/>
      <c r="S657" s="32"/>
      <c r="T657" s="32"/>
      <c r="U657" s="32"/>
      <c r="V657" s="32"/>
      <c r="W657" s="32"/>
      <c r="X657" s="32"/>
      <c r="Y657" s="32"/>
      <c r="Z657" s="32"/>
    </row>
    <row r="658">
      <c r="A658" s="32" t="str">
        <f>IFERROR(__xludf.DUMMYFUNCTION("""COMPUTED_VALUE"""),"Deadeye Brooch")</f>
        <v>Deadeye Brooch</v>
      </c>
      <c r="B658" s="32"/>
      <c r="C658" s="32"/>
      <c r="D658" s="32" t="str">
        <f>IFERROR(__xludf.DUMMYFUNCTION("""COMPUTED_VALUE"""),"Neck")</f>
        <v>Neck</v>
      </c>
      <c r="E658" s="32">
        <f>IFERROR(__xludf.DUMMYFUNCTION("""COMPUTED_VALUE"""),1.0)</f>
        <v>1</v>
      </c>
      <c r="F658" s="32"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32">
        <f>IFERROR(__xludf.DUMMYFUNCTION("""COMPUTED_VALUE"""),0.0)</f>
        <v>0</v>
      </c>
      <c r="H658" s="32"/>
      <c r="I658" s="32"/>
      <c r="J658" s="32"/>
      <c r="K658" s="32"/>
      <c r="L658" s="32"/>
      <c r="M658" s="32"/>
      <c r="N658" s="32"/>
      <c r="O658" s="32"/>
      <c r="P658" s="32"/>
      <c r="Q658" s="32"/>
      <c r="R658" s="32"/>
      <c r="S658" s="32"/>
      <c r="T658" s="32"/>
      <c r="U658" s="32"/>
      <c r="V658" s="32"/>
      <c r="W658" s="32"/>
      <c r="X658" s="32"/>
      <c r="Y658" s="32"/>
      <c r="Z658" s="32"/>
    </row>
    <row r="659">
      <c r="A659" s="32" t="str">
        <f>IFERROR(__xludf.DUMMYFUNCTION("""COMPUTED_VALUE"""),"Tool Kit")</f>
        <v>Tool Kit</v>
      </c>
      <c r="B659" s="32"/>
      <c r="C659" s="32"/>
      <c r="D659" s="32" t="str">
        <f>IFERROR(__xludf.DUMMYFUNCTION("""COMPUTED_VALUE"""),"Ring")</f>
        <v>Ring</v>
      </c>
      <c r="E659" s="32">
        <f>IFERROR(__xludf.DUMMYFUNCTION("""COMPUTED_VALUE"""),1.0)</f>
        <v>1</v>
      </c>
      <c r="F659" s="32" t="str">
        <f>IFERROR(__xludf.DUMMYFUNCTION("""COMPUTED_VALUE""")," ++The Right Tool For The Job - once per dungeon you are guaranteed to disable a trap +-(Hunter Class Only)")</f>
        <v> ++The Right Tool For The Job - once per dungeon you are guaranteed to disable a trap +-(Hunter Class Only)</v>
      </c>
      <c r="G659" s="32">
        <f>IFERROR(__xludf.DUMMYFUNCTION("""COMPUTED_VALUE"""),0.0)</f>
        <v>0</v>
      </c>
      <c r="H659" s="32"/>
      <c r="I659" s="32"/>
      <c r="J659" s="32"/>
      <c r="K659" s="32"/>
      <c r="L659" s="32"/>
      <c r="M659" s="32"/>
      <c r="N659" s="32"/>
      <c r="O659" s="32"/>
      <c r="P659" s="32"/>
      <c r="Q659" s="32"/>
      <c r="R659" s="32"/>
      <c r="S659" s="32"/>
      <c r="T659" s="32"/>
      <c r="U659" s="32"/>
      <c r="V659" s="32"/>
      <c r="W659" s="32"/>
      <c r="X659" s="32"/>
      <c r="Y659" s="32"/>
      <c r="Z659" s="32"/>
    </row>
    <row r="660">
      <c r="A660" s="32" t="str">
        <f>IFERROR(__xludf.DUMMYFUNCTION("""COMPUTED_VALUE"""),"Basic Bitch Award")</f>
        <v>Basic Bitch Award</v>
      </c>
      <c r="B660" s="32"/>
      <c r="C660" s="32"/>
      <c r="D660" s="32" t="str">
        <f>IFERROR(__xludf.DUMMYFUNCTION("""COMPUTED_VALUE"""),"Ring")</f>
        <v>Ring</v>
      </c>
      <c r="E660" s="32">
        <f>IFERROR(__xludf.DUMMYFUNCTION("""COMPUTED_VALUE"""),1.0)</f>
        <v>1</v>
      </c>
      <c r="F660" s="32" t="str">
        <f>IFERROR(__xludf.DUMMYFUNCTION("""COMPUTED_VALUE""")," ++Joe Schmoe - +5 Charisma +-(Knight Class Only)")</f>
        <v> ++Joe Schmoe - +5 Charisma +-(Knight Class Only)</v>
      </c>
      <c r="G660" s="32">
        <f>IFERROR(__xludf.DUMMYFUNCTION("""COMPUTED_VALUE"""),0.0)</f>
        <v>0</v>
      </c>
      <c r="H660" s="32"/>
      <c r="I660" s="32"/>
      <c r="J660" s="32"/>
      <c r="K660" s="32"/>
      <c r="L660" s="32"/>
      <c r="M660" s="32"/>
      <c r="N660" s="32"/>
      <c r="O660" s="32"/>
      <c r="P660" s="32"/>
      <c r="Q660" s="32"/>
      <c r="R660" s="32"/>
      <c r="S660" s="32"/>
      <c r="T660" s="32"/>
      <c r="U660" s="32"/>
      <c r="V660" s="32"/>
      <c r="W660" s="32"/>
      <c r="X660" s="32"/>
      <c r="Y660" s="32"/>
      <c r="Z660" s="32"/>
    </row>
    <row r="661">
      <c r="A661" s="32" t="str">
        <f>IFERROR(__xludf.DUMMYFUNCTION("""COMPUTED_VALUE"""),"Ring of The Frail Scholar")</f>
        <v>Ring of The Frail Scholar</v>
      </c>
      <c r="B661" s="32"/>
      <c r="C661" s="32"/>
      <c r="D661" s="32" t="str">
        <f>IFERROR(__xludf.DUMMYFUNCTION("""COMPUTED_VALUE"""),"Ring")</f>
        <v>Ring</v>
      </c>
      <c r="E661" s="32">
        <f>IFERROR(__xludf.DUMMYFUNCTION("""COMPUTED_VALUE"""),1.0)</f>
        <v>1</v>
      </c>
      <c r="F661" s="32" t="str">
        <f>IFERROR(__xludf.DUMMYFUNCTION("""COMPUTED_VALUE""")," ++Frail Scholar - Lowers HP by half but doubles SP +-(Mage, Wizard, and Sorcerer Class Only)")</f>
        <v> ++Frail Scholar - Lowers HP by half but doubles SP +-(Mage, Wizard, and Sorcerer Class Only)</v>
      </c>
      <c r="G661" s="32">
        <f>IFERROR(__xludf.DUMMYFUNCTION("""COMPUTED_VALUE"""),0.0)</f>
        <v>0</v>
      </c>
      <c r="H661" s="32"/>
      <c r="I661" s="32"/>
      <c r="J661" s="32"/>
      <c r="K661" s="32"/>
      <c r="L661" s="32"/>
      <c r="M661" s="32"/>
      <c r="N661" s="32"/>
      <c r="O661" s="32"/>
      <c r="P661" s="32"/>
      <c r="Q661" s="32"/>
      <c r="R661" s="32"/>
      <c r="S661" s="32"/>
      <c r="T661" s="32"/>
      <c r="U661" s="32"/>
      <c r="V661" s="32"/>
      <c r="W661" s="32"/>
      <c r="X661" s="32"/>
      <c r="Y661" s="32"/>
      <c r="Z661" s="32"/>
    </row>
    <row r="662">
      <c r="A662" s="32" t="str">
        <f>IFERROR(__xludf.DUMMYFUNCTION("""COMPUTED_VALUE"""),"Ring of Sticky FIngers")</f>
        <v>Ring of Sticky FIngers</v>
      </c>
      <c r="B662" s="32"/>
      <c r="C662" s="32"/>
      <c r="D662" s="32" t="str">
        <f>IFERROR(__xludf.DUMMYFUNCTION("""COMPUTED_VALUE"""),"Ring")</f>
        <v>Ring</v>
      </c>
      <c r="E662" s="32">
        <f>IFERROR(__xludf.DUMMYFUNCTION("""COMPUTED_VALUE"""),1.0)</f>
        <v>1</v>
      </c>
      <c r="F662" s="32" t="str">
        <f>IFERROR(__xludf.DUMMYFUNCTION("""COMPUTED_VALUE""")," ++Sticky FIngers - Allows you to use confiscate, take, and pickpocket skills twice +-(Marauder Class Only)")</f>
        <v> ++Sticky FIngers - Allows you to use confiscate, take, and pickpocket skills twice +-(Marauder Class Only)</v>
      </c>
      <c r="G662" s="32">
        <f>IFERROR(__xludf.DUMMYFUNCTION("""COMPUTED_VALUE"""),0.0)</f>
        <v>0</v>
      </c>
      <c r="H662" s="32"/>
      <c r="I662" s="32"/>
      <c r="J662" s="32"/>
      <c r="K662" s="32"/>
      <c r="L662" s="32"/>
      <c r="M662" s="32"/>
      <c r="N662" s="32"/>
      <c r="O662" s="32"/>
      <c r="P662" s="32"/>
      <c r="Q662" s="32"/>
      <c r="R662" s="32"/>
      <c r="S662" s="32"/>
      <c r="T662" s="32"/>
      <c r="U662" s="32"/>
      <c r="V662" s="32"/>
      <c r="W662" s="32"/>
      <c r="X662" s="32"/>
      <c r="Y662" s="32"/>
      <c r="Z662" s="32"/>
    </row>
    <row r="663">
      <c r="A663" s="32" t="str">
        <f>IFERROR(__xludf.DUMMYFUNCTION("""COMPUTED_VALUE"""),"Spirit Furnace")</f>
        <v>Spirit Furnace</v>
      </c>
      <c r="B663" s="32"/>
      <c r="C663" s="32"/>
      <c r="D663" s="32" t="str">
        <f>IFERROR(__xludf.DUMMYFUNCTION("""COMPUTED_VALUE"""),"Neck")</f>
        <v>Neck</v>
      </c>
      <c r="E663" s="32">
        <f>IFERROR(__xludf.DUMMYFUNCTION("""COMPUTED_VALUE"""),1.0)</f>
        <v>1</v>
      </c>
      <c r="F663" s="32"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32">
        <f>IFERROR(__xludf.DUMMYFUNCTION("""COMPUTED_VALUE"""),0.0)</f>
        <v>0</v>
      </c>
      <c r="H663" s="32"/>
      <c r="I663" s="32"/>
      <c r="J663" s="32"/>
      <c r="K663" s="32"/>
      <c r="L663" s="32"/>
      <c r="M663" s="32"/>
      <c r="N663" s="32"/>
      <c r="O663" s="32"/>
      <c r="P663" s="32"/>
      <c r="Q663" s="32"/>
      <c r="R663" s="32"/>
      <c r="S663" s="32"/>
      <c r="T663" s="32"/>
      <c r="U663" s="32"/>
      <c r="V663" s="32"/>
      <c r="W663" s="32"/>
      <c r="X663" s="32"/>
      <c r="Y663" s="32"/>
      <c r="Z663" s="32"/>
    </row>
    <row r="664">
      <c r="A664" s="32" t="str">
        <f>IFERROR(__xludf.DUMMYFUNCTION("""COMPUTED_VALUE"""),"Smokebomb Pouch")</f>
        <v>Smokebomb Pouch</v>
      </c>
      <c r="B664" s="32"/>
      <c r="C664" s="32"/>
      <c r="D664" s="32" t="str">
        <f>IFERROR(__xludf.DUMMYFUNCTION("""COMPUTED_VALUE"""),"Legs")</f>
        <v>Legs</v>
      </c>
      <c r="E664" s="32">
        <f>IFERROR(__xludf.DUMMYFUNCTION("""COMPUTED_VALUE"""),1.0)</f>
        <v>1</v>
      </c>
      <c r="F664" s="32" t="str">
        <f>IFERROR(__xludf.DUMMYFUNCTION("""COMPUTED_VALUE""")," ++Smoke Bomb - Conceal abilities are guaranteed to succeed +-(Ninja Class Only)")</f>
        <v> ++Smoke Bomb - Conceal abilities are guaranteed to succeed +-(Ninja Class Only)</v>
      </c>
      <c r="G664" s="32">
        <f>IFERROR(__xludf.DUMMYFUNCTION("""COMPUTED_VALUE"""),0.0)</f>
        <v>0</v>
      </c>
      <c r="H664" s="32"/>
      <c r="I664" s="32"/>
      <c r="J664" s="32"/>
      <c r="K664" s="32"/>
      <c r="L664" s="32"/>
      <c r="M664" s="32"/>
      <c r="N664" s="32"/>
      <c r="O664" s="32"/>
      <c r="P664" s="32"/>
      <c r="Q664" s="32"/>
      <c r="R664" s="32"/>
      <c r="S664" s="32"/>
      <c r="T664" s="32"/>
      <c r="U664" s="32"/>
      <c r="V664" s="32"/>
      <c r="W664" s="32"/>
      <c r="X664" s="32"/>
      <c r="Y664" s="32"/>
      <c r="Z664" s="32"/>
    </row>
    <row r="665">
      <c r="A665" s="32" t="str">
        <f>IFERROR(__xludf.DUMMYFUNCTION("""COMPUTED_VALUE"""),"Certificate of Shield Bashing School")</f>
        <v>Certificate of Shield Bashing School</v>
      </c>
      <c r="B665" s="32"/>
      <c r="C665" s="32"/>
      <c r="D665" s="32" t="str">
        <f>IFERROR(__xludf.DUMMYFUNCTION("""COMPUTED_VALUE"""),"Neck")</f>
        <v>Neck</v>
      </c>
      <c r="E665" s="32">
        <f>IFERROR(__xludf.DUMMYFUNCTION("""COMPUTED_VALUE"""),1.0)</f>
        <v>1</v>
      </c>
      <c r="F665" s="32"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32">
        <f>IFERROR(__xludf.DUMMYFUNCTION("""COMPUTED_VALUE"""),0.0)</f>
        <v>0</v>
      </c>
      <c r="H665" s="32"/>
      <c r="I665" s="32"/>
      <c r="J665" s="32"/>
      <c r="K665" s="32"/>
      <c r="L665" s="32"/>
      <c r="M665" s="32"/>
      <c r="N665" s="32"/>
      <c r="O665" s="32"/>
      <c r="P665" s="32"/>
      <c r="Q665" s="32"/>
      <c r="R665" s="32"/>
      <c r="S665" s="32"/>
      <c r="T665" s="32"/>
      <c r="U665" s="32"/>
      <c r="V665" s="32"/>
      <c r="W665" s="32"/>
      <c r="X665" s="32"/>
      <c r="Y665" s="32"/>
      <c r="Z665" s="32"/>
    </row>
    <row r="666">
      <c r="A666" s="32" t="str">
        <f>IFERROR(__xludf.DUMMYFUNCTION("""COMPUTED_VALUE"""),"Goblet of Greed")</f>
        <v>Goblet of Greed</v>
      </c>
      <c r="B666" s="32"/>
      <c r="C666" s="32"/>
      <c r="D666" s="32" t="str">
        <f>IFERROR(__xludf.DUMMYFUNCTION("""COMPUTED_VALUE"""),"Neck")</f>
        <v>Neck</v>
      </c>
      <c r="E666" s="32">
        <f>IFERROR(__xludf.DUMMYFUNCTION("""COMPUTED_VALUE"""),1.0)</f>
        <v>1</v>
      </c>
      <c r="F666" s="32"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32">
        <f>IFERROR(__xludf.DUMMYFUNCTION("""COMPUTED_VALUE"""),0.0)</f>
        <v>0</v>
      </c>
      <c r="H666" s="32"/>
      <c r="I666" s="32"/>
      <c r="J666" s="32"/>
      <c r="K666" s="32"/>
      <c r="L666" s="32"/>
      <c r="M666" s="32"/>
      <c r="N666" s="32"/>
      <c r="O666" s="32"/>
      <c r="P666" s="32"/>
      <c r="Q666" s="32"/>
      <c r="R666" s="32"/>
      <c r="S666" s="32"/>
      <c r="T666" s="32"/>
      <c r="U666" s="32"/>
      <c r="V666" s="32"/>
      <c r="W666" s="32"/>
      <c r="X666" s="32"/>
      <c r="Y666" s="32"/>
      <c r="Z666" s="32"/>
    </row>
    <row r="667">
      <c r="A667" s="32" t="str">
        <f>IFERROR(__xludf.DUMMYFUNCTION("""COMPUTED_VALUE"""),"Holy Symbol")</f>
        <v>Holy Symbol</v>
      </c>
      <c r="B667" s="32"/>
      <c r="C667" s="32"/>
      <c r="D667" s="32" t="str">
        <f>IFERROR(__xludf.DUMMYFUNCTION("""COMPUTED_VALUE"""),"Neck")</f>
        <v>Neck</v>
      </c>
      <c r="E667" s="32">
        <f>IFERROR(__xludf.DUMMYFUNCTION("""COMPUTED_VALUE"""),1.0)</f>
        <v>1</v>
      </c>
      <c r="F667" s="32"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32">
        <f>IFERROR(__xludf.DUMMYFUNCTION("""COMPUTED_VALUE"""),0.0)</f>
        <v>0</v>
      </c>
      <c r="H667" s="32"/>
      <c r="I667" s="32"/>
      <c r="J667" s="32"/>
      <c r="K667" s="32"/>
      <c r="L667" s="32"/>
      <c r="M667" s="32"/>
      <c r="N667" s="32"/>
      <c r="O667" s="32"/>
      <c r="P667" s="32"/>
      <c r="Q667" s="32"/>
      <c r="R667" s="32"/>
      <c r="S667" s="32"/>
      <c r="T667" s="32"/>
      <c r="U667" s="32"/>
      <c r="V667" s="32"/>
      <c r="W667" s="32"/>
      <c r="X667" s="32"/>
      <c r="Y667" s="32"/>
      <c r="Z667" s="32"/>
    </row>
    <row r="668">
      <c r="A668" s="32" t="str">
        <f>IFERROR(__xludf.DUMMYFUNCTION("""COMPUTED_VALUE"""),"Mysterious Merchant's Scythe")</f>
        <v>Mysterious Merchant's Scythe</v>
      </c>
      <c r="B668" s="32" t="str">
        <f>IFERROR(__xludf.DUMMYFUNCTION("""COMPUTED_VALUE"""),"The scythe of the mysterious merchant himself imbued with a great power")</f>
        <v>The scythe of the mysterious merchant himself imbued with a great power</v>
      </c>
      <c r="C668" s="32" t="str">
        <f>IFERROR(__xludf.DUMMYFUNCTION("""COMPUTED_VALUE"""),"Scythe")</f>
        <v>Scythe</v>
      </c>
      <c r="D668" s="32" t="str">
        <f>IFERROR(__xludf.DUMMYFUNCTION("""COMPUTED_VALUE"""),"Hand")</f>
        <v>Hand</v>
      </c>
      <c r="E668" s="32">
        <f>IFERROR(__xludf.DUMMYFUNCTION("""COMPUTED_VALUE"""),1000.0)</f>
        <v>1000</v>
      </c>
      <c r="F668" s="32"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32">
        <f>IFERROR(__xludf.DUMMYFUNCTION("""COMPUTED_VALUE"""),4.95E7)</f>
        <v>49500000</v>
      </c>
      <c r="H668" s="32"/>
      <c r="I668" s="32"/>
      <c r="J668" s="32"/>
      <c r="K668" s="32"/>
      <c r="L668" s="32"/>
      <c r="M668" s="32"/>
      <c r="N668" s="32"/>
      <c r="O668" s="32"/>
      <c r="P668" s="32"/>
      <c r="Q668" s="32"/>
      <c r="R668" s="32"/>
      <c r="S668" s="32"/>
      <c r="T668" s="32"/>
      <c r="U668" s="32"/>
      <c r="V668" s="32"/>
      <c r="W668" s="32"/>
      <c r="X668" s="32"/>
      <c r="Y668" s="32"/>
      <c r="Z668" s="32"/>
    </row>
    <row r="669">
      <c r="A669" s="32" t="str">
        <f>IFERROR(__xludf.DUMMYFUNCTION("""COMPUTED_VALUE"""),"Cursed Saya")</f>
        <v>Cursed Saya</v>
      </c>
      <c r="B669" s="3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32"/>
      <c r="D669" s="32" t="str">
        <f>IFERROR(__xludf.DUMMYFUNCTION("""COMPUTED_VALUE"""),"Legs")</f>
        <v>Legs</v>
      </c>
      <c r="E669" s="32">
        <f>IFERROR(__xludf.DUMMYFUNCTION("""COMPUTED_VALUE"""),1.0)</f>
        <v>1</v>
      </c>
      <c r="F669" s="32"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32">
        <f>IFERROR(__xludf.DUMMYFUNCTION("""COMPUTED_VALUE"""),0.0)</f>
        <v>0</v>
      </c>
      <c r="H669" s="32"/>
      <c r="I669" s="32"/>
      <c r="J669" s="32"/>
      <c r="K669" s="32"/>
      <c r="L669" s="32"/>
      <c r="M669" s="32"/>
      <c r="N669" s="32"/>
      <c r="O669" s="32"/>
      <c r="P669" s="32"/>
      <c r="Q669" s="32"/>
      <c r="R669" s="32"/>
      <c r="S669" s="32"/>
      <c r="T669" s="32"/>
      <c r="U669" s="32"/>
      <c r="V669" s="32"/>
      <c r="W669" s="32"/>
      <c r="X669" s="32"/>
      <c r="Y669" s="32"/>
      <c r="Z669" s="32"/>
    </row>
    <row r="670">
      <c r="A670" s="32" t="str">
        <f>IFERROR(__xludf.DUMMYFUNCTION("""COMPUTED_VALUE"""),"Shamanic Staff")</f>
        <v>Shamanic Staff</v>
      </c>
      <c r="B670" s="3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32" t="str">
        <f>IFERROR(__xludf.DUMMYFUNCTION("""COMPUTED_VALUE"""),"Staff")</f>
        <v>Staff</v>
      </c>
      <c r="D670" s="32" t="str">
        <f>IFERROR(__xludf.DUMMYFUNCTION("""COMPUTED_VALUE"""),"Hand")</f>
        <v>Hand</v>
      </c>
      <c r="E670" s="32">
        <f>IFERROR(__xludf.DUMMYFUNCTION("""COMPUTED_VALUE"""),1500.0)</f>
        <v>1500</v>
      </c>
      <c r="F670" s="32"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32">
        <f>IFERROR(__xludf.DUMMYFUNCTION("""COMPUTED_VALUE"""),1.1175E8)</f>
        <v>111750000</v>
      </c>
      <c r="H670" s="32"/>
      <c r="I670" s="32"/>
      <c r="J670" s="32"/>
      <c r="K670" s="32"/>
      <c r="L670" s="32"/>
      <c r="M670" s="32"/>
      <c r="N670" s="32"/>
      <c r="O670" s="32"/>
      <c r="P670" s="32"/>
      <c r="Q670" s="32"/>
      <c r="R670" s="32"/>
      <c r="S670" s="32"/>
      <c r="T670" s="32"/>
      <c r="U670" s="32"/>
      <c r="V670" s="32"/>
      <c r="W670" s="32"/>
      <c r="X670" s="32"/>
      <c r="Y670" s="32"/>
      <c r="Z670" s="32"/>
    </row>
    <row r="671">
      <c r="A671" s="32" t="str">
        <f>IFERROR(__xludf.DUMMYFUNCTION("""COMPUTED_VALUE"""),"Rune Necklace")</f>
        <v>Rune Necklace</v>
      </c>
      <c r="B671" s="3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32"/>
      <c r="D671" s="32" t="str">
        <f>IFERROR(__xludf.DUMMYFUNCTION("""COMPUTED_VALUE"""),"Neck")</f>
        <v>Neck</v>
      </c>
      <c r="E671" s="32">
        <f>IFERROR(__xludf.DUMMYFUNCTION("""COMPUTED_VALUE"""),1.0)</f>
        <v>1</v>
      </c>
      <c r="F671" s="32" t="str">
        <f>IFERROR(__xludf.DUMMYFUNCTION("""COMPUTED_VALUE""")," ++Spirit's Friend - Any summoned Spirit gains +5 to all perks and X2 base stats +-(Shaman Class Only)")</f>
        <v> ++Spirit's Friend - Any summoned Spirit gains +5 to all perks and X2 base stats +-(Shaman Class Only)</v>
      </c>
      <c r="G671" s="32">
        <f>IFERROR(__xludf.DUMMYFUNCTION("""COMPUTED_VALUE"""),0.0)</f>
        <v>0</v>
      </c>
      <c r="H671" s="32"/>
      <c r="I671" s="32"/>
      <c r="J671" s="32"/>
      <c r="K671" s="32"/>
      <c r="L671" s="32"/>
      <c r="M671" s="32"/>
      <c r="N671" s="32"/>
      <c r="O671" s="32"/>
      <c r="P671" s="32"/>
      <c r="Q671" s="32"/>
      <c r="R671" s="32"/>
      <c r="S671" s="32"/>
      <c r="T671" s="32"/>
      <c r="U671" s="32"/>
      <c r="V671" s="32"/>
      <c r="W671" s="32"/>
      <c r="X671" s="32"/>
      <c r="Y671" s="32"/>
      <c r="Z671" s="32"/>
    </row>
    <row r="672">
      <c r="A672" s="32" t="str">
        <f>IFERROR(__xludf.DUMMYFUNCTION("""COMPUTED_VALUE"""),"Spell Sponge")</f>
        <v>Spell Sponge</v>
      </c>
      <c r="B672" s="3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32"/>
      <c r="D672" s="32" t="str">
        <f>IFERROR(__xludf.DUMMYFUNCTION("""COMPUTED_VALUE"""),"Neck")</f>
        <v>Neck</v>
      </c>
      <c r="E672" s="32">
        <f>IFERROR(__xludf.DUMMYFUNCTION("""COMPUTED_VALUE"""),1.0)</f>
        <v>1</v>
      </c>
      <c r="F672" s="32"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32">
        <f>IFERROR(__xludf.DUMMYFUNCTION("""COMPUTED_VALUE"""),0.0)</f>
        <v>0</v>
      </c>
      <c r="H672" s="32"/>
      <c r="I672" s="32"/>
      <c r="J672" s="32"/>
      <c r="K672" s="32"/>
      <c r="L672" s="32"/>
      <c r="M672" s="32"/>
      <c r="N672" s="32"/>
      <c r="O672" s="32"/>
      <c r="P672" s="32"/>
      <c r="Q672" s="32"/>
      <c r="R672" s="32"/>
      <c r="S672" s="32"/>
      <c r="T672" s="32"/>
      <c r="U672" s="32"/>
      <c r="V672" s="32"/>
      <c r="W672" s="32"/>
      <c r="X672" s="32"/>
      <c r="Y672" s="32"/>
      <c r="Z672" s="32"/>
    </row>
    <row r="673">
      <c r="A673" s="32" t="str">
        <f>IFERROR(__xludf.DUMMYFUNCTION("""COMPUTED_VALUE"""),"Viking's Warpaint")</f>
        <v>Viking's Warpaint</v>
      </c>
      <c r="B673" s="32" t="str">
        <f>IFERROR(__xludf.DUMMYFUNCTION("""COMPUTED_VALUE"""),"A set of primitive paint imported from Knappadalr, for some reason these paints fill you with rage.")</f>
        <v>A set of primitive paint imported from Knappadalr, for some reason these paints fill you with rage.</v>
      </c>
      <c r="C673" s="32"/>
      <c r="D673" s="32" t="str">
        <f>IFERROR(__xludf.DUMMYFUNCTION("""COMPUTED_VALUE"""),"Head")</f>
        <v>Head</v>
      </c>
      <c r="E673" s="32">
        <f>IFERROR(__xludf.DUMMYFUNCTION("""COMPUTED_VALUE"""),1.0)</f>
        <v>1</v>
      </c>
      <c r="F673" s="32"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32">
        <f>IFERROR(__xludf.DUMMYFUNCTION("""COMPUTED_VALUE"""),0.0)</f>
        <v>0</v>
      </c>
      <c r="H673" s="32"/>
      <c r="I673" s="32"/>
      <c r="J673" s="32"/>
      <c r="K673" s="32"/>
      <c r="L673" s="32"/>
      <c r="M673" s="32"/>
      <c r="N673" s="32"/>
      <c r="O673" s="32"/>
      <c r="P673" s="32"/>
      <c r="Q673" s="32"/>
      <c r="R673" s="32"/>
      <c r="S673" s="32"/>
      <c r="T673" s="32"/>
      <c r="U673" s="32"/>
      <c r="V673" s="32"/>
      <c r="W673" s="32"/>
      <c r="X673" s="32"/>
      <c r="Y673" s="32"/>
      <c r="Z673" s="32"/>
    </row>
    <row r="674">
      <c r="A674" s="32" t="str">
        <f>IFERROR(__xludf.DUMMYFUNCTION("""COMPUTED_VALUE"""),"Speed Shoes")</f>
        <v>Speed Shoes</v>
      </c>
      <c r="B674" s="32" t="str">
        <f>IFERROR(__xludf.DUMMYFUNCTION("""COMPUTED_VALUE"""),"A pair of red shoes that make you feel like dancing.")</f>
        <v>A pair of red shoes that make you feel like dancing.</v>
      </c>
      <c r="C674" s="32"/>
      <c r="D674" s="32" t="str">
        <f>IFERROR(__xludf.DUMMYFUNCTION("""COMPUTED_VALUE"""),"Feet")</f>
        <v>Feet</v>
      </c>
      <c r="E674" s="32">
        <f>IFERROR(__xludf.DUMMYFUNCTION("""COMPUTED_VALUE"""),1.0)</f>
        <v>1</v>
      </c>
      <c r="F674" s="32"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32">
        <f>IFERROR(__xludf.DUMMYFUNCTION("""COMPUTED_VALUE"""),0.0)</f>
        <v>0</v>
      </c>
      <c r="H674" s="32"/>
      <c r="I674" s="32"/>
      <c r="J674" s="32"/>
      <c r="K674" s="32"/>
      <c r="L674" s="32"/>
      <c r="M674" s="32"/>
      <c r="N674" s="32"/>
      <c r="O674" s="32"/>
      <c r="P674" s="32"/>
      <c r="Q674" s="32"/>
      <c r="R674" s="32"/>
      <c r="S674" s="32"/>
      <c r="T674" s="32"/>
      <c r="U674" s="32"/>
      <c r="V674" s="32"/>
      <c r="W674" s="32"/>
      <c r="X674" s="32"/>
      <c r="Y674" s="32"/>
      <c r="Z674" s="32"/>
    </row>
    <row r="675">
      <c r="A675" s="32" t="str">
        <f>IFERROR(__xludf.DUMMYFUNCTION("""COMPUTED_VALUE"""),"Book of Hexes")</f>
        <v>Book of Hexes</v>
      </c>
      <c r="B675" s="32" t="str">
        <f>IFERROR(__xludf.DUMMYFUNCTION("""COMPUTED_VALUE"""),"The staple item for a witch.")</f>
        <v>The staple item for a witch.</v>
      </c>
      <c r="C675" s="32"/>
      <c r="D675" s="32" t="str">
        <f>IFERROR(__xludf.DUMMYFUNCTION("""COMPUTED_VALUE"""),"Legs")</f>
        <v>Legs</v>
      </c>
      <c r="E675" s="32">
        <f>IFERROR(__xludf.DUMMYFUNCTION("""COMPUTED_VALUE"""),1.0)</f>
        <v>1</v>
      </c>
      <c r="F675" s="32"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32">
        <f>IFERROR(__xludf.DUMMYFUNCTION("""COMPUTED_VALUE"""),0.0)</f>
        <v>0</v>
      </c>
      <c r="H675" s="32"/>
      <c r="I675" s="32"/>
      <c r="J675" s="32"/>
      <c r="K675" s="32"/>
      <c r="L675" s="32"/>
      <c r="M675" s="32"/>
      <c r="N675" s="32"/>
      <c r="O675" s="32"/>
      <c r="P675" s="32"/>
      <c r="Q675" s="32"/>
      <c r="R675" s="32"/>
      <c r="S675" s="32"/>
      <c r="T675" s="32"/>
      <c r="U675" s="32"/>
      <c r="V675" s="32"/>
      <c r="W675" s="32"/>
      <c r="X675" s="32"/>
      <c r="Y675" s="32"/>
      <c r="Z675" s="32"/>
    </row>
    <row r="676">
      <c r="A676" s="32" t="str">
        <f>IFERROR(__xludf.DUMMYFUNCTION("""COMPUTED_VALUE"""),"Ring of Boring")</f>
        <v>Ring of Boring</v>
      </c>
      <c r="B676" s="32" t="str">
        <f>IFERROR(__xludf.DUMMYFUNCTION("""COMPUTED_VALUE"""),"The item for people who made a character but decided they were ""too good"" for it's abilities.")</f>
        <v>The item for people who made a character but decided they were "too good" for it's abilities.</v>
      </c>
      <c r="C676" s="32"/>
      <c r="D676" s="32" t="str">
        <f>IFERROR(__xludf.DUMMYFUNCTION("""COMPUTED_VALUE"""),"Finger")</f>
        <v>Finger</v>
      </c>
      <c r="E676" s="32">
        <f>IFERROR(__xludf.DUMMYFUNCTION("""COMPUTED_VALUE"""),1.0)</f>
        <v>1</v>
      </c>
      <c r="F676" s="32" t="str">
        <f>IFERROR(__xludf.DUMMYFUNCTION("""COMPUTED_VALUE""")," ++Why are you so boring? - X2 additional damage.")</f>
        <v> ++Why are you so boring? - X2 additional damage.</v>
      </c>
      <c r="G676" s="32">
        <f>IFERROR(__xludf.DUMMYFUNCTION("""COMPUTED_VALUE"""),0.0)</f>
        <v>0</v>
      </c>
      <c r="H676" s="32"/>
      <c r="I676" s="32"/>
      <c r="J676" s="32"/>
      <c r="K676" s="32"/>
      <c r="L676" s="32"/>
      <c r="M676" s="32"/>
      <c r="N676" s="32"/>
      <c r="O676" s="32"/>
      <c r="P676" s="32"/>
      <c r="Q676" s="32"/>
      <c r="R676" s="32"/>
      <c r="S676" s="32"/>
      <c r="T676" s="32"/>
      <c r="U676" s="32"/>
      <c r="V676" s="32"/>
      <c r="W676" s="32"/>
      <c r="X676" s="32"/>
      <c r="Y676" s="32"/>
      <c r="Z676" s="32"/>
    </row>
    <row r="677">
      <c r="A677" s="32" t="str">
        <f>IFERROR(__xludf.DUMMYFUNCTION("""COMPUTED_VALUE"""),"Frozen Spearman's High-Low Dress")</f>
        <v>Frozen Spearman's High-Low Dress</v>
      </c>
      <c r="B677" s="32"/>
      <c r="C677" s="32"/>
      <c r="D677" s="32" t="str">
        <f>IFERROR(__xludf.DUMMYFUNCTION("""COMPUTED_VALUE"""),"Torso")</f>
        <v>Torso</v>
      </c>
      <c r="E677" s="32">
        <f>IFERROR(__xludf.DUMMYFUNCTION("""COMPUTED_VALUE"""),200.0)</f>
        <v>200</v>
      </c>
      <c r="F677" s="32"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32">
        <f>IFERROR(__xludf.DUMMYFUNCTION("""COMPUTED_VALUE"""),1.99E8)</f>
        <v>199000000</v>
      </c>
      <c r="H677" s="32"/>
      <c r="I677" s="32"/>
      <c r="J677" s="32"/>
      <c r="K677" s="32"/>
      <c r="L677" s="32"/>
      <c r="M677" s="32"/>
      <c r="N677" s="32"/>
      <c r="O677" s="32"/>
      <c r="P677" s="32"/>
      <c r="Q677" s="32"/>
      <c r="R677" s="32"/>
      <c r="S677" s="32"/>
      <c r="T677" s="32"/>
      <c r="U677" s="32"/>
      <c r="V677" s="32"/>
      <c r="W677" s="32"/>
      <c r="X677" s="32"/>
      <c r="Y677" s="32"/>
      <c r="Z677" s="32"/>
    </row>
    <row r="678">
      <c r="A678" s="32" t="str">
        <f>IFERROR(__xludf.DUMMYFUNCTION("""COMPUTED_VALUE"""),"Frozen Spearman's Jhodpur's")</f>
        <v>Frozen Spearman's Jhodpur's</v>
      </c>
      <c r="B678" s="32"/>
      <c r="C678" s="32"/>
      <c r="D678" s="32" t="str">
        <f>IFERROR(__xludf.DUMMYFUNCTION("""COMPUTED_VALUE"""),"Legs")</f>
        <v>Legs</v>
      </c>
      <c r="E678" s="32">
        <f>IFERROR(__xludf.DUMMYFUNCTION("""COMPUTED_VALUE"""),200.0)</f>
        <v>200</v>
      </c>
      <c r="F678" s="32"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32">
        <f>IFERROR(__xludf.DUMMYFUNCTION("""COMPUTED_VALUE"""),1.99E8)</f>
        <v>199000000</v>
      </c>
      <c r="H678" s="32"/>
      <c r="I678" s="32"/>
      <c r="J678" s="32"/>
      <c r="K678" s="32"/>
      <c r="L678" s="32"/>
      <c r="M678" s="32"/>
      <c r="N678" s="32"/>
      <c r="O678" s="32"/>
      <c r="P678" s="32"/>
      <c r="Q678" s="32"/>
      <c r="R678" s="32"/>
      <c r="S678" s="32"/>
      <c r="T678" s="32"/>
      <c r="U678" s="32"/>
      <c r="V678" s="32"/>
      <c r="W678" s="32"/>
      <c r="X678" s="32"/>
      <c r="Y678" s="32"/>
      <c r="Z678" s="32"/>
    </row>
    <row r="679">
      <c r="A679" s="32" t="str">
        <f>IFERROR(__xludf.DUMMYFUNCTION("""COMPUTED_VALUE"""),"Frozen Spearman's Fur Boots")</f>
        <v>Frozen Spearman's Fur Boots</v>
      </c>
      <c r="B679" s="32"/>
      <c r="C679" s="32"/>
      <c r="D679" s="32" t="str">
        <f>IFERROR(__xludf.DUMMYFUNCTION("""COMPUTED_VALUE"""),"Feet")</f>
        <v>Feet</v>
      </c>
      <c r="E679" s="32">
        <f>IFERROR(__xludf.DUMMYFUNCTION("""COMPUTED_VALUE"""),200.0)</f>
        <v>200</v>
      </c>
      <c r="F679" s="32"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32">
        <f>IFERROR(__xludf.DUMMYFUNCTION("""COMPUTED_VALUE"""),1.99E8)</f>
        <v>199000000</v>
      </c>
      <c r="H679" s="32"/>
      <c r="I679" s="32"/>
      <c r="J679" s="32"/>
      <c r="K679" s="32"/>
      <c r="L679" s="32"/>
      <c r="M679" s="32"/>
      <c r="N679" s="32"/>
      <c r="O679" s="32"/>
      <c r="P679" s="32"/>
      <c r="Q679" s="32"/>
      <c r="R679" s="32"/>
      <c r="S679" s="32"/>
      <c r="T679" s="32"/>
      <c r="U679" s="32"/>
      <c r="V679" s="32"/>
      <c r="W679" s="32"/>
      <c r="X679" s="32"/>
      <c r="Y679" s="32"/>
      <c r="Z679" s="32"/>
    </row>
    <row r="680">
      <c r="A680" s="32" t="str">
        <f>IFERROR(__xludf.DUMMYFUNCTION("""COMPUTED_VALUE"""),"Frozen Spearman's Bracers")</f>
        <v>Frozen Spearman's Bracers</v>
      </c>
      <c r="B680" s="32"/>
      <c r="C680" s="32"/>
      <c r="D680" s="32" t="str">
        <f>IFERROR(__xludf.DUMMYFUNCTION("""COMPUTED_VALUE"""),"Arms")</f>
        <v>Arms</v>
      </c>
      <c r="E680" s="32">
        <f>IFERROR(__xludf.DUMMYFUNCTION("""COMPUTED_VALUE"""),200.0)</f>
        <v>200</v>
      </c>
      <c r="F680" s="32"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32">
        <f>IFERROR(__xludf.DUMMYFUNCTION("""COMPUTED_VALUE"""),1.99E8)</f>
        <v>199000000</v>
      </c>
      <c r="H680" s="32"/>
      <c r="I680" s="32"/>
      <c r="J680" s="32"/>
      <c r="K680" s="32"/>
      <c r="L680" s="32"/>
      <c r="M680" s="32"/>
      <c r="N680" s="32"/>
      <c r="O680" s="32"/>
      <c r="P680" s="32"/>
      <c r="Q680" s="32"/>
      <c r="R680" s="32"/>
      <c r="S680" s="32"/>
      <c r="T680" s="32"/>
      <c r="U680" s="32"/>
      <c r="V680" s="32"/>
      <c r="W680" s="32"/>
      <c r="X680" s="32"/>
      <c r="Y680" s="32"/>
      <c r="Z680" s="32"/>
    </row>
    <row r="681">
      <c r="A681" s="32" t="str">
        <f>IFERROR(__xludf.DUMMYFUNCTION("""COMPUTED_VALUE"""),"Frozen Spearman's Fur Cloak")</f>
        <v>Frozen Spearman's Fur Cloak</v>
      </c>
      <c r="B681" s="32"/>
      <c r="C681" s="32"/>
      <c r="D681" s="32" t="str">
        <f>IFERROR(__xludf.DUMMYFUNCTION("""COMPUTED_VALUE"""),"Pauldrons")</f>
        <v>Pauldrons</v>
      </c>
      <c r="E681" s="32">
        <f>IFERROR(__xludf.DUMMYFUNCTION("""COMPUTED_VALUE"""),200.0)</f>
        <v>200</v>
      </c>
      <c r="F681" s="32"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32">
        <f>IFERROR(__xludf.DUMMYFUNCTION("""COMPUTED_VALUE"""),1.99E8)</f>
        <v>199000000</v>
      </c>
      <c r="H681" s="32"/>
      <c r="I681" s="32"/>
      <c r="J681" s="32"/>
      <c r="K681" s="32"/>
      <c r="L681" s="32"/>
      <c r="M681" s="32"/>
      <c r="N681" s="32"/>
      <c r="O681" s="32"/>
      <c r="P681" s="32"/>
      <c r="Q681" s="32"/>
      <c r="R681" s="32"/>
      <c r="S681" s="32"/>
      <c r="T681" s="32"/>
      <c r="U681" s="32"/>
      <c r="V681" s="32"/>
      <c r="W681" s="32"/>
      <c r="X681" s="32"/>
      <c r="Y681" s="32"/>
      <c r="Z681" s="32"/>
    </row>
    <row r="682">
      <c r="A682" s="32" t="str">
        <f>IFERROR(__xludf.DUMMYFUNCTION("""COMPUTED_VALUE"""),"Frost Mage's Cloak")</f>
        <v>Frost Mage's Cloak</v>
      </c>
      <c r="B682" s="32"/>
      <c r="C682" s="32"/>
      <c r="D682" s="32" t="str">
        <f>IFERROR(__xludf.DUMMYFUNCTION("""COMPUTED_VALUE"""),"Torso")</f>
        <v>Torso</v>
      </c>
      <c r="E682" s="32">
        <f>IFERROR(__xludf.DUMMYFUNCTION("""COMPUTED_VALUE"""),200.0)</f>
        <v>200</v>
      </c>
      <c r="F682" s="3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32">
        <f>IFERROR(__xludf.DUMMYFUNCTION("""COMPUTED_VALUE"""),4350000.0)</f>
        <v>4350000</v>
      </c>
      <c r="H682" s="32"/>
      <c r="I682" s="32"/>
      <c r="J682" s="32"/>
      <c r="K682" s="32"/>
      <c r="L682" s="32"/>
      <c r="M682" s="32"/>
      <c r="N682" s="32"/>
      <c r="O682" s="32"/>
      <c r="P682" s="32"/>
      <c r="Q682" s="32"/>
      <c r="R682" s="32"/>
      <c r="S682" s="32"/>
      <c r="T682" s="32"/>
      <c r="U682" s="32"/>
      <c r="V682" s="32"/>
      <c r="W682" s="32"/>
      <c r="X682" s="32"/>
      <c r="Y682" s="32"/>
      <c r="Z682" s="32"/>
    </row>
    <row r="683">
      <c r="A683" s="32" t="str">
        <f>IFERROR(__xludf.DUMMYFUNCTION("""COMPUTED_VALUE"""),"Frost Mage's Boots")</f>
        <v>Frost Mage's Boots</v>
      </c>
      <c r="B683" s="32"/>
      <c r="C683" s="32"/>
      <c r="D683" s="32" t="str">
        <f>IFERROR(__xludf.DUMMYFUNCTION("""COMPUTED_VALUE"""),"Feet")</f>
        <v>Feet</v>
      </c>
      <c r="E683" s="32">
        <f>IFERROR(__xludf.DUMMYFUNCTION("""COMPUTED_VALUE"""),200.0)</f>
        <v>200</v>
      </c>
      <c r="F683" s="3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32">
        <f>IFERROR(__xludf.DUMMYFUNCTION("""COMPUTED_VALUE"""),4350000.0)</f>
        <v>4350000</v>
      </c>
      <c r="H683" s="32"/>
      <c r="I683" s="32"/>
      <c r="J683" s="32"/>
      <c r="K683" s="32"/>
      <c r="L683" s="32"/>
      <c r="M683" s="32"/>
      <c r="N683" s="32"/>
      <c r="O683" s="32"/>
      <c r="P683" s="32"/>
      <c r="Q683" s="32"/>
      <c r="R683" s="32"/>
      <c r="S683" s="32"/>
      <c r="T683" s="32"/>
      <c r="U683" s="32"/>
      <c r="V683" s="32"/>
      <c r="W683" s="32"/>
      <c r="X683" s="32"/>
      <c r="Y683" s="32"/>
      <c r="Z683" s="32"/>
    </row>
    <row r="684">
      <c r="A684" s="32" t="str">
        <f>IFERROR(__xludf.DUMMYFUNCTION("""COMPUTED_VALUE"""),"Frost Mage's Hood")</f>
        <v>Frost Mage's Hood</v>
      </c>
      <c r="B684" s="32"/>
      <c r="C684" s="32"/>
      <c r="D684" s="32" t="str">
        <f>IFERROR(__xludf.DUMMYFUNCTION("""COMPUTED_VALUE"""),"Head")</f>
        <v>Head</v>
      </c>
      <c r="E684" s="32">
        <f>IFERROR(__xludf.DUMMYFUNCTION("""COMPUTED_VALUE"""),200.0)</f>
        <v>200</v>
      </c>
      <c r="F684" s="3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32">
        <f>IFERROR(__xludf.DUMMYFUNCTION("""COMPUTED_VALUE"""),4350000.0)</f>
        <v>4350000</v>
      </c>
      <c r="H684" s="32"/>
      <c r="I684" s="32"/>
      <c r="J684" s="32"/>
      <c r="K684" s="32"/>
      <c r="L684" s="32"/>
      <c r="M684" s="32"/>
      <c r="N684" s="32"/>
      <c r="O684" s="32"/>
      <c r="P684" s="32"/>
      <c r="Q684" s="32"/>
      <c r="R684" s="32"/>
      <c r="S684" s="32"/>
      <c r="T684" s="32"/>
      <c r="U684" s="32"/>
      <c r="V684" s="32"/>
      <c r="W684" s="32"/>
      <c r="X684" s="32"/>
      <c r="Y684" s="32"/>
      <c r="Z684" s="32"/>
    </row>
    <row r="685">
      <c r="A685" s="32" t="str">
        <f>IFERROR(__xludf.DUMMYFUNCTION("""COMPUTED_VALUE"""),"Crown of Frozen Swords")</f>
        <v>Crown of Frozen Swords</v>
      </c>
      <c r="B685" s="32"/>
      <c r="C685" s="32"/>
      <c r="D685" s="32" t="str">
        <f>IFERROR(__xludf.DUMMYFUNCTION("""COMPUTED_VALUE"""),"Head")</f>
        <v>Head</v>
      </c>
      <c r="E685" s="32">
        <f>IFERROR(__xludf.DUMMYFUNCTION("""COMPUTED_VALUE"""),200.0)</f>
        <v>200</v>
      </c>
      <c r="F685" s="32"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32">
        <f>IFERROR(__xludf.DUMMYFUNCTION("""COMPUTED_VALUE"""),7.98E8)</f>
        <v>798000000</v>
      </c>
      <c r="H685" s="32"/>
      <c r="I685" s="32"/>
      <c r="J685" s="32"/>
      <c r="K685" s="32"/>
      <c r="L685" s="32"/>
      <c r="M685" s="32"/>
      <c r="N685" s="32"/>
      <c r="O685" s="32"/>
      <c r="P685" s="32"/>
      <c r="Q685" s="32"/>
      <c r="R685" s="32"/>
      <c r="S685" s="32"/>
      <c r="T685" s="32"/>
      <c r="U685" s="32"/>
      <c r="V685" s="32"/>
      <c r="W685" s="32"/>
      <c r="X685" s="32"/>
      <c r="Y685" s="32"/>
      <c r="Z685" s="32"/>
    </row>
    <row r="686">
      <c r="A686" s="32" t="str">
        <f>IFERROR(__xludf.DUMMYFUNCTION("""COMPUTED_VALUE"""),"Frost-bitten Cape")</f>
        <v>Frost-bitten Cape</v>
      </c>
      <c r="B686" s="32"/>
      <c r="C686" s="32"/>
      <c r="D686" s="32" t="str">
        <f>IFERROR(__xludf.DUMMYFUNCTION("""COMPUTED_VALUE"""),"Shoulders")</f>
        <v>Shoulders</v>
      </c>
      <c r="E686" s="32">
        <f>IFERROR(__xludf.DUMMYFUNCTION("""COMPUTED_VALUE"""),200.0)</f>
        <v>200</v>
      </c>
      <c r="F686" s="32"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32">
        <f>IFERROR(__xludf.DUMMYFUNCTION("""COMPUTED_VALUE"""),7.98E8)</f>
        <v>798000000</v>
      </c>
      <c r="H686" s="32"/>
      <c r="I686" s="32"/>
      <c r="J686" s="32"/>
      <c r="K686" s="32"/>
      <c r="L686" s="32"/>
      <c r="M686" s="32"/>
      <c r="N686" s="32"/>
      <c r="O686" s="32"/>
      <c r="P686" s="32"/>
      <c r="Q686" s="32"/>
      <c r="R686" s="32"/>
      <c r="S686" s="32"/>
      <c r="T686" s="32"/>
      <c r="U686" s="32"/>
      <c r="V686" s="32"/>
      <c r="W686" s="32"/>
      <c r="X686" s="32"/>
      <c r="Y686" s="32"/>
      <c r="Z686" s="32"/>
    </row>
    <row r="687">
      <c r="A687" s="32" t="str">
        <f>IFERROR(__xludf.DUMMYFUNCTION("""COMPUTED_VALUE"""),"Ice-steel Pauldrons")</f>
        <v>Ice-steel Pauldrons</v>
      </c>
      <c r="B687" s="32"/>
      <c r="C687" s="32"/>
      <c r="D687" s="32" t="str">
        <f>IFERROR(__xludf.DUMMYFUNCTION("""COMPUTED_VALUE"""),"Shoulders")</f>
        <v>Shoulders</v>
      </c>
      <c r="E687" s="32">
        <f>IFERROR(__xludf.DUMMYFUNCTION("""COMPUTED_VALUE"""),200.0)</f>
        <v>200</v>
      </c>
      <c r="F687" s="32" t="str">
        <f>IFERROR(__xludf.DUMMYFUNCTION("""COMPUTED_VALUE"""),"DEF: +50000, Earth DEF: +50000, Nature DEF: +50000, Celestial DEF: +50000 ++Cold Shoulder - Immunity to freeze")</f>
        <v>DEF: +50000, Earth DEF: +50000, Nature DEF: +50000, Celestial DEF: +50000 ++Cold Shoulder - Immunity to freeze</v>
      </c>
      <c r="G687" s="32">
        <f>IFERROR(__xludf.DUMMYFUNCTION("""COMPUTED_VALUE"""),7.98E8)</f>
        <v>798000000</v>
      </c>
      <c r="H687" s="32"/>
      <c r="I687" s="32"/>
      <c r="J687" s="32"/>
      <c r="K687" s="32"/>
      <c r="L687" s="32"/>
      <c r="M687" s="32"/>
      <c r="N687" s="32"/>
      <c r="O687" s="32"/>
      <c r="P687" s="32"/>
      <c r="Q687" s="32"/>
      <c r="R687" s="32"/>
      <c r="S687" s="32"/>
      <c r="T687" s="32"/>
      <c r="U687" s="32"/>
      <c r="V687" s="32"/>
      <c r="W687" s="32"/>
      <c r="X687" s="32"/>
      <c r="Y687" s="32"/>
      <c r="Z687" s="32"/>
    </row>
    <row r="688">
      <c r="A688" s="32" t="str">
        <f>IFERROR(__xludf.DUMMYFUNCTION("""COMPUTED_VALUE"""),"Ice-steel Bracers")</f>
        <v>Ice-steel Bracers</v>
      </c>
      <c r="B688" s="32"/>
      <c r="C688" s="32"/>
      <c r="D688" s="32" t="str">
        <f>IFERROR(__xludf.DUMMYFUNCTION("""COMPUTED_VALUE"""),"Arms")</f>
        <v>Arms</v>
      </c>
      <c r="E688" s="32">
        <f>IFERROR(__xludf.DUMMYFUNCTION("""COMPUTED_VALUE"""),200.0)</f>
        <v>200</v>
      </c>
      <c r="F688" s="32"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32">
        <f>IFERROR(__xludf.DUMMYFUNCTION("""COMPUTED_VALUE"""),7.98E8)</f>
        <v>798000000</v>
      </c>
      <c r="H688" s="32"/>
      <c r="I688" s="32"/>
      <c r="J688" s="32"/>
      <c r="K688" s="32"/>
      <c r="L688" s="32"/>
      <c r="M688" s="32"/>
      <c r="N688" s="32"/>
      <c r="O688" s="32"/>
      <c r="P688" s="32"/>
      <c r="Q688" s="32"/>
      <c r="R688" s="32"/>
      <c r="S688" s="32"/>
      <c r="T688" s="32"/>
      <c r="U688" s="32"/>
      <c r="V688" s="32"/>
      <c r="W688" s="32"/>
      <c r="X688" s="32"/>
      <c r="Y688" s="32"/>
      <c r="Z688" s="32"/>
    </row>
    <row r="689">
      <c r="A689" s="32" t="str">
        <f>IFERROR(__xludf.DUMMYFUNCTION("""COMPUTED_VALUE"""),"Ice-steel Chausses")</f>
        <v>Ice-steel Chausses</v>
      </c>
      <c r="B689" s="32" t="str">
        <f>IFERROR(__xludf.DUMMYFUNCTION("""COMPUTED_VALUE"""),"The chinks in the armor suggest a lack of care over the past years.")</f>
        <v>The chinks in the armor suggest a lack of care over the past years.</v>
      </c>
      <c r="C689" s="32"/>
      <c r="D689" s="32" t="str">
        <f>IFERROR(__xludf.DUMMYFUNCTION("""COMPUTED_VALUE"""),"Legs")</f>
        <v>Legs</v>
      </c>
      <c r="E689" s="32">
        <f>IFERROR(__xludf.DUMMYFUNCTION("""COMPUTED_VALUE"""),200.0)</f>
        <v>200</v>
      </c>
      <c r="F689" s="32" t="str">
        <f>IFERROR(__xludf.DUMMYFUNCTION("""COMPUTED_VALUE"""),"DEF: +50000, Earth DEF: +50000, Nature DEF: +50000, Celestial DEF: +50000 ++X2 Weapon Damage")</f>
        <v>DEF: +50000, Earth DEF: +50000, Nature DEF: +50000, Celestial DEF: +50000 ++X2 Weapon Damage</v>
      </c>
      <c r="G689" s="32">
        <f>IFERROR(__xludf.DUMMYFUNCTION("""COMPUTED_VALUE"""),7.98E8)</f>
        <v>798000000</v>
      </c>
      <c r="H689" s="32"/>
      <c r="I689" s="32"/>
      <c r="J689" s="32"/>
      <c r="K689" s="32"/>
      <c r="L689" s="32"/>
      <c r="M689" s="32"/>
      <c r="N689" s="32"/>
      <c r="O689" s="32"/>
      <c r="P689" s="32"/>
      <c r="Q689" s="32"/>
      <c r="R689" s="32"/>
      <c r="S689" s="32"/>
      <c r="T689" s="32"/>
      <c r="U689" s="32"/>
      <c r="V689" s="32"/>
      <c r="W689" s="32"/>
      <c r="X689" s="32"/>
      <c r="Y689" s="32"/>
      <c r="Z689" s="32"/>
    </row>
    <row r="690">
      <c r="A690" s="32" t="str">
        <f>IFERROR(__xludf.DUMMYFUNCTION("""COMPUTED_VALUE"""),"Frost Stompers")</f>
        <v>Frost Stompers</v>
      </c>
      <c r="B690" s="32" t="str">
        <f>IFERROR(__xludf.DUMMYFUNCTION("""COMPUTED_VALUE"""),"These frozen iron boots are covered in a layer of permafrost, it seems as though they'll never thaw.")</f>
        <v>These frozen iron boots are covered in a layer of permafrost, it seems as though they'll never thaw.</v>
      </c>
      <c r="C690" s="32"/>
      <c r="D690" s="32" t="str">
        <f>IFERROR(__xludf.DUMMYFUNCTION("""COMPUTED_VALUE"""),"Feet")</f>
        <v>Feet</v>
      </c>
      <c r="E690" s="32">
        <f>IFERROR(__xludf.DUMMYFUNCTION("""COMPUTED_VALUE"""),200.0)</f>
        <v>200</v>
      </c>
      <c r="F690" s="32" t="str">
        <f>IFERROR(__xludf.DUMMYFUNCTION("""COMPUTED_VALUE"""),"DEF: +50000, Earth DEF: +50000, Nature DEF: +50000, Celestial DEF: +50000 ++X2 Storm Damage")</f>
        <v>DEF: +50000, Earth DEF: +50000, Nature DEF: +50000, Celestial DEF: +50000 ++X2 Storm Damage</v>
      </c>
      <c r="G690" s="32">
        <f>IFERROR(__xludf.DUMMYFUNCTION("""COMPUTED_VALUE"""),7.98E8)</f>
        <v>798000000</v>
      </c>
      <c r="H690" s="32"/>
      <c r="I690" s="32"/>
      <c r="J690" s="32"/>
      <c r="K690" s="32"/>
      <c r="L690" s="32"/>
      <c r="M690" s="32"/>
      <c r="N690" s="32"/>
      <c r="O690" s="32"/>
      <c r="P690" s="32"/>
      <c r="Q690" s="32"/>
      <c r="R690" s="32"/>
      <c r="S690" s="32"/>
      <c r="T690" s="32"/>
      <c r="U690" s="32"/>
      <c r="V690" s="32"/>
      <c r="W690" s="32"/>
      <c r="X690" s="32"/>
      <c r="Y690" s="32"/>
      <c r="Z690" s="32"/>
    </row>
    <row r="691">
      <c r="A691" s="32" t="str">
        <f>IFERROR(__xludf.DUMMYFUNCTION("""COMPUTED_VALUE"""),"Plate of the Frozen Sun")</f>
        <v>Plate of the Frozen Sun</v>
      </c>
      <c r="B691" s="32" t="str">
        <f>IFERROR(__xludf.DUMMYFUNCTION("""COMPUTED_VALUE"""),"""The king was not always as he is now, but the yearly curse of the ice mage has him colder than usual"" ~old man")</f>
        <v>"The king was not always as he is now, but the yearly curse of the ice mage has him colder than usual" ~old man</v>
      </c>
      <c r="C691" s="32"/>
      <c r="D691" s="32" t="str">
        <f>IFERROR(__xludf.DUMMYFUNCTION("""COMPUTED_VALUE"""),"Torso")</f>
        <v>Torso</v>
      </c>
      <c r="E691" s="32">
        <f>IFERROR(__xludf.DUMMYFUNCTION("""COMPUTED_VALUE"""),200.0)</f>
        <v>200</v>
      </c>
      <c r="F691" s="32"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32">
        <f>IFERROR(__xludf.DUMMYFUNCTION("""COMPUTED_VALUE"""),7.98E8)</f>
        <v>798000000</v>
      </c>
      <c r="H691" s="32"/>
      <c r="I691" s="32"/>
      <c r="J691" s="32"/>
      <c r="K691" s="32"/>
      <c r="L691" s="32"/>
      <c r="M691" s="32"/>
      <c r="N691" s="32"/>
      <c r="O691" s="32"/>
      <c r="P691" s="32"/>
      <c r="Q691" s="32"/>
      <c r="R691" s="32"/>
      <c r="S691" s="32"/>
      <c r="T691" s="32"/>
      <c r="U691" s="32"/>
      <c r="V691" s="32"/>
      <c r="W691" s="32"/>
      <c r="X691" s="32"/>
      <c r="Y691" s="32"/>
      <c r="Z691" s="32"/>
    </row>
    <row r="692">
      <c r="A692" s="32" t="str">
        <f>IFERROR(__xludf.DUMMYFUNCTION("""COMPUTED_VALUE"""),"Frost Mage's Staff")</f>
        <v>Frost Mage's Staff</v>
      </c>
      <c r="B692" s="32" t="str">
        <f>IFERROR(__xludf.DUMMYFUNCTION("""COMPUTED_VALUE"""),"""FREEZE"" ~Frost mage")</f>
        <v>"FREEZE" ~Frost mage</v>
      </c>
      <c r="C692" s="32" t="str">
        <f>IFERROR(__xludf.DUMMYFUNCTION("""COMPUTED_VALUE"""),"Staff")</f>
        <v>Staff</v>
      </c>
      <c r="D692" s="32" t="str">
        <f>IFERROR(__xludf.DUMMYFUNCTION("""COMPUTED_VALUE"""),"Hand")</f>
        <v>Hand</v>
      </c>
      <c r="E692" s="32">
        <f>IFERROR(__xludf.DUMMYFUNCTION("""COMPUTED_VALUE"""),200.0)</f>
        <v>200</v>
      </c>
      <c r="F692" s="32"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32">
        <f>IFERROR(__xludf.DUMMYFUNCTION("""COMPUTED_VALUE"""),4.485E8)</f>
        <v>448500000</v>
      </c>
      <c r="H692" s="32"/>
      <c r="I692" s="32"/>
      <c r="J692" s="32"/>
      <c r="K692" s="32"/>
      <c r="L692" s="32"/>
      <c r="M692" s="32"/>
      <c r="N692" s="32"/>
      <c r="O692" s="32"/>
      <c r="P692" s="32"/>
      <c r="Q692" s="32"/>
      <c r="R692" s="32"/>
      <c r="S692" s="32"/>
      <c r="T692" s="32"/>
      <c r="U692" s="32"/>
      <c r="V692" s="32"/>
      <c r="W692" s="32"/>
      <c r="X692" s="32"/>
      <c r="Y692" s="32"/>
      <c r="Z692" s="32"/>
    </row>
    <row r="693">
      <c r="A693" s="32" t="str">
        <f>IFERROR(__xludf.DUMMYFUNCTION("""COMPUTED_VALUE"""),"Snowball")</f>
        <v>Snowball</v>
      </c>
      <c r="B693" s="32" t="str">
        <f>IFERROR(__xludf.DUMMYFUNCTION("""COMPUTED_VALUE"""),"""If you even think about hitting me with that I'll fill one with lead and bash your skull with it"" ~Gwennivir")</f>
        <v>"If you even think about hitting me with that I'll fill one with lead and bash your skull with it" ~Gwennivir</v>
      </c>
      <c r="C693" s="32" t="str">
        <f>IFERROR(__xludf.DUMMYFUNCTION("""COMPUTED_VALUE"""),"Boomerang")</f>
        <v>Boomerang</v>
      </c>
      <c r="D693" s="32" t="str">
        <f>IFERROR(__xludf.DUMMYFUNCTION("""COMPUTED_VALUE"""),"Hand")</f>
        <v>Hand</v>
      </c>
      <c r="E693" s="32">
        <f>IFERROR(__xludf.DUMMYFUNCTION("""COMPUTED_VALUE"""),200.0)</f>
        <v>200</v>
      </c>
      <c r="F693" s="32"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32">
        <f>IFERROR(__xludf.DUMMYFUNCTION("""COMPUTED_VALUE"""),1900000.0)</f>
        <v>1900000</v>
      </c>
      <c r="H693" s="32"/>
      <c r="I693" s="32"/>
      <c r="J693" s="32"/>
      <c r="K693" s="32"/>
      <c r="L693" s="32"/>
      <c r="M693" s="32"/>
      <c r="N693" s="32"/>
      <c r="O693" s="32"/>
      <c r="P693" s="32"/>
      <c r="Q693" s="32"/>
      <c r="R693" s="32"/>
      <c r="S693" s="32"/>
      <c r="T693" s="32"/>
      <c r="U693" s="32"/>
      <c r="V693" s="32"/>
      <c r="W693" s="32"/>
      <c r="X693" s="32"/>
      <c r="Y693" s="32"/>
      <c r="Z693" s="32"/>
    </row>
    <row r="694">
      <c r="A694" s="32" t="str">
        <f>IFERROR(__xludf.DUMMYFUNCTION("""COMPUTED_VALUE"""),"Corvid Cloak")</f>
        <v>Corvid Cloak</v>
      </c>
      <c r="B694" s="32" t="str">
        <f>IFERROR(__xludf.DUMMYFUNCTION("""COMPUTED_VALUE"""),"Formed from the feathers of many crows and ravens, this cloak has an imposing presence.")</f>
        <v>Formed from the feathers of many crows and ravens, this cloak has an imposing presence.</v>
      </c>
      <c r="C694" s="32"/>
      <c r="D694" s="32" t="str">
        <f>IFERROR(__xludf.DUMMYFUNCTION("""COMPUTED_VALUE"""),"Shoulders")</f>
        <v>Shoulders</v>
      </c>
      <c r="E694" s="32">
        <f>IFERROR(__xludf.DUMMYFUNCTION("""COMPUTED_VALUE"""),1.0)</f>
        <v>1</v>
      </c>
      <c r="F694" s="32"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32">
        <f>IFERROR(__xludf.DUMMYFUNCTION("""COMPUTED_VALUE"""),0.0)</f>
        <v>0</v>
      </c>
      <c r="H694" s="32"/>
      <c r="I694" s="32"/>
      <c r="J694" s="32"/>
      <c r="K694" s="32"/>
      <c r="L694" s="32"/>
      <c r="M694" s="32"/>
      <c r="N694" s="32"/>
      <c r="O694" s="32"/>
      <c r="P694" s="32"/>
      <c r="Q694" s="32"/>
      <c r="R694" s="32"/>
      <c r="S694" s="32"/>
      <c r="T694" s="32"/>
      <c r="U694" s="32"/>
      <c r="V694" s="32"/>
      <c r="W694" s="32"/>
      <c r="X694" s="32"/>
      <c r="Y694" s="32"/>
      <c r="Z694" s="32"/>
    </row>
    <row r="695">
      <c r="A695" s="32" t="str">
        <f>IFERROR(__xludf.DUMMYFUNCTION("""COMPUTED_VALUE"""),"Plague Doctor's Mask")</f>
        <v>Plague Doctor's Mask</v>
      </c>
      <c r="B695" s="3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32"/>
      <c r="D695" s="32" t="str">
        <f>IFERROR(__xludf.DUMMYFUNCTION("""COMPUTED_VALUE"""),"Head")</f>
        <v>Head</v>
      </c>
      <c r="E695" s="32">
        <f>IFERROR(__xludf.DUMMYFUNCTION("""COMPUTED_VALUE"""),1.0)</f>
        <v>1</v>
      </c>
      <c r="F695" s="32" t="str">
        <f>IFERROR(__xludf.DUMMYFUNCTION("""COMPUTED_VALUE""")," ++Plague Doctor: 25% chance to be unaffected by a disease +-Cannot be Duplicated")</f>
        <v> ++Plague Doctor: 25% chance to be unaffected by a disease +-Cannot be Duplicated</v>
      </c>
      <c r="G695" s="32">
        <f>IFERROR(__xludf.DUMMYFUNCTION("""COMPUTED_VALUE"""),0.0)</f>
        <v>0</v>
      </c>
      <c r="H695" s="32"/>
      <c r="I695" s="32"/>
      <c r="J695" s="32"/>
      <c r="K695" s="32"/>
      <c r="L695" s="32"/>
      <c r="M695" s="32"/>
      <c r="N695" s="32"/>
      <c r="O695" s="32"/>
      <c r="P695" s="32"/>
      <c r="Q695" s="32"/>
      <c r="R695" s="32"/>
      <c r="S695" s="32"/>
      <c r="T695" s="32"/>
      <c r="U695" s="32"/>
      <c r="V695" s="32"/>
      <c r="W695" s="32"/>
      <c r="X695" s="32"/>
      <c r="Y695" s="32"/>
      <c r="Z695" s="32"/>
    </row>
    <row r="696">
      <c r="A696" s="32" t="str">
        <f>IFERROR(__xludf.DUMMYFUNCTION("""COMPUTED_VALUE"""),"""The Only Cure""")</f>
        <v>"The Only Cure"</v>
      </c>
      <c r="B696" s="3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32"/>
      <c r="D696" s="32" t="str">
        <f>IFERROR(__xludf.DUMMYFUNCTION("""COMPUTED_VALUE"""),"Neck")</f>
        <v>Neck</v>
      </c>
      <c r="E696" s="32">
        <f>IFERROR(__xludf.DUMMYFUNCTION("""COMPUTED_VALUE"""),1.0)</f>
        <v>1</v>
      </c>
      <c r="F696" s="32"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32">
        <f>IFERROR(__xludf.DUMMYFUNCTION("""COMPUTED_VALUE"""),0.0)</f>
        <v>0</v>
      </c>
      <c r="H696" s="32"/>
      <c r="I696" s="32"/>
      <c r="J696" s="32"/>
      <c r="K696" s="32"/>
      <c r="L696" s="32"/>
      <c r="M696" s="32"/>
      <c r="N696" s="32"/>
      <c r="O696" s="32"/>
      <c r="P696" s="32"/>
      <c r="Q696" s="32"/>
      <c r="R696" s="32"/>
      <c r="S696" s="32"/>
      <c r="T696" s="32"/>
      <c r="U696" s="32"/>
      <c r="V696" s="32"/>
      <c r="W696" s="32"/>
      <c r="X696" s="32"/>
      <c r="Y696" s="32"/>
      <c r="Z696" s="32"/>
    </row>
    <row r="697">
      <c r="A697" s="32" t="str">
        <f>IFERROR(__xludf.DUMMYFUNCTION("""COMPUTED_VALUE"""),"Plague Doctor's Gloves")</f>
        <v>Plague Doctor's Gloves</v>
      </c>
      <c r="B697" s="32" t="str">
        <f>IFERROR(__xludf.DUMMYFUNCTION("""COMPUTED_VALUE"""),"These gloves have been stained with blood and potions over the years.")</f>
        <v>These gloves have been stained with blood and potions over the years.</v>
      </c>
      <c r="C697" s="32"/>
      <c r="D697" s="32" t="str">
        <f>IFERROR(__xludf.DUMMYFUNCTION("""COMPUTED_VALUE"""),"Arms")</f>
        <v>Arms</v>
      </c>
      <c r="E697" s="32">
        <f>IFERROR(__xludf.DUMMYFUNCTION("""COMPUTED_VALUE"""),1.0)</f>
        <v>1</v>
      </c>
      <c r="F697" s="32" t="str">
        <f>IFERROR(__xludf.DUMMYFUNCTION("""COMPUTED_VALUE""")," ++Poisoner I:X2 damage +-Cannot be Duplicated")</f>
        <v> ++Poisoner I:X2 damage +-Cannot be Duplicated</v>
      </c>
      <c r="G697" s="32">
        <f>IFERROR(__xludf.DUMMYFUNCTION("""COMPUTED_VALUE"""),0.0)</f>
        <v>0</v>
      </c>
      <c r="H697" s="32"/>
      <c r="I697" s="32"/>
      <c r="J697" s="32"/>
      <c r="K697" s="32"/>
      <c r="L697" s="32"/>
      <c r="M697" s="32"/>
      <c r="N697" s="32"/>
      <c r="O697" s="32"/>
      <c r="P697" s="32"/>
      <c r="Q697" s="32"/>
      <c r="R697" s="32"/>
      <c r="S697" s="32"/>
      <c r="T697" s="32"/>
      <c r="U697" s="32"/>
      <c r="V697" s="32"/>
      <c r="W697" s="32"/>
      <c r="X697" s="32"/>
      <c r="Y697" s="32"/>
      <c r="Z697" s="32"/>
    </row>
    <row r="698">
      <c r="A698" s="32" t="str">
        <f>IFERROR(__xludf.DUMMYFUNCTION("""COMPUTED_VALUE"""),"Plague Doctor's Sarouel")</f>
        <v>Plague Doctor's Sarouel</v>
      </c>
      <c r="B698" s="3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32"/>
      <c r="D698" s="32" t="str">
        <f>IFERROR(__xludf.DUMMYFUNCTION("""COMPUTED_VALUE"""),"Legs")</f>
        <v>Legs</v>
      </c>
      <c r="E698" s="32">
        <f>IFERROR(__xludf.DUMMYFUNCTION("""COMPUTED_VALUE"""),1.0)</f>
        <v>1</v>
      </c>
      <c r="F698" s="32" t="str">
        <f>IFERROR(__xludf.DUMMYFUNCTION("""COMPUTED_VALUE""")," ++Poisoner I:X2 damage +-Cannot be Duplicated")</f>
        <v> ++Poisoner I:X2 damage +-Cannot be Duplicated</v>
      </c>
      <c r="G698" s="32">
        <f>IFERROR(__xludf.DUMMYFUNCTION("""COMPUTED_VALUE"""),0.0)</f>
        <v>0</v>
      </c>
      <c r="H698" s="32"/>
      <c r="I698" s="32"/>
      <c r="J698" s="32"/>
      <c r="K698" s="32"/>
      <c r="L698" s="32"/>
      <c r="M698" s="32"/>
      <c r="N698" s="32"/>
      <c r="O698" s="32"/>
      <c r="P698" s="32"/>
      <c r="Q698" s="32"/>
      <c r="R698" s="32"/>
      <c r="S698" s="32"/>
      <c r="T698" s="32"/>
      <c r="U698" s="32"/>
      <c r="V698" s="32"/>
      <c r="W698" s="32"/>
      <c r="X698" s="32"/>
      <c r="Y698" s="32"/>
      <c r="Z698" s="32"/>
    </row>
    <row r="699">
      <c r="A699" s="32" t="str">
        <f>IFERROR(__xludf.DUMMYFUNCTION("""COMPUTED_VALUE"""),"Plague Doctor's Boots")</f>
        <v>Plague Doctor's Boots</v>
      </c>
      <c r="B699" s="32" t="str">
        <f>IFERROR(__xludf.DUMMYFUNCTION("""COMPUTED_VALUE"""),"These boots have been designed for optimal movement through all kinds of hazards.")</f>
        <v>These boots have been designed for optimal movement through all kinds of hazards.</v>
      </c>
      <c r="C699" s="32"/>
      <c r="D699" s="32" t="str">
        <f>IFERROR(__xludf.DUMMYFUNCTION("""COMPUTED_VALUE"""),"Feet")</f>
        <v>Feet</v>
      </c>
      <c r="E699" s="32">
        <f>IFERROR(__xludf.DUMMYFUNCTION("""COMPUTED_VALUE"""),1.0)</f>
        <v>1</v>
      </c>
      <c r="F699" s="32" t="str">
        <f>IFERROR(__xludf.DUMMYFUNCTION("""COMPUTED_VALUE""")," ++Swamp Stompers: You take only half the effect of environmental hazards +-Cannot be Duplicated")</f>
        <v> ++Swamp Stompers: You take only half the effect of environmental hazards +-Cannot be Duplicated</v>
      </c>
      <c r="G699" s="32">
        <f>IFERROR(__xludf.DUMMYFUNCTION("""COMPUTED_VALUE"""),0.0)</f>
        <v>0</v>
      </c>
      <c r="H699" s="32"/>
      <c r="I699" s="32"/>
      <c r="J699" s="32"/>
      <c r="K699" s="32"/>
      <c r="L699" s="32"/>
      <c r="M699" s="32"/>
      <c r="N699" s="32"/>
      <c r="O699" s="32"/>
      <c r="P699" s="32"/>
      <c r="Q699" s="32"/>
      <c r="R699" s="32"/>
      <c r="S699" s="32"/>
      <c r="T699" s="32"/>
      <c r="U699" s="32"/>
      <c r="V699" s="32"/>
      <c r="W699" s="32"/>
      <c r="X699" s="32"/>
      <c r="Y699" s="32"/>
      <c r="Z699" s="32"/>
    </row>
    <row r="700">
      <c r="A700" s="32" t="str">
        <f>IFERROR(__xludf.DUMMYFUNCTION("""COMPUTED_VALUE"""),"Plague Doctor's Apron")</f>
        <v>Plague Doctor's Apron</v>
      </c>
      <c r="B700" s="32" t="str">
        <f>IFERROR(__xludf.DUMMYFUNCTION("""COMPUTED_VALUE"""),"The thick leather of this apron ensures that accidents with poison are minimalized.")</f>
        <v>The thick leather of this apron ensures that accidents with poison are minimalized.</v>
      </c>
      <c r="C700" s="32"/>
      <c r="D700" s="32" t="str">
        <f>IFERROR(__xludf.DUMMYFUNCTION("""COMPUTED_VALUE"""),"Torso")</f>
        <v>Torso</v>
      </c>
      <c r="E700" s="32">
        <f>IFERROR(__xludf.DUMMYFUNCTION("""COMPUTED_VALUE"""),1.0)</f>
        <v>1</v>
      </c>
      <c r="F700" s="32" t="str">
        <f>IFERROR(__xludf.DUMMYFUNCTION("""COMPUTED_VALUE""")," ++Spllatter Proof: Immune to poison +-Cannot be Duplicated")</f>
        <v> ++Spllatter Proof: Immune to poison +-Cannot be Duplicated</v>
      </c>
      <c r="G700" s="32">
        <f>IFERROR(__xludf.DUMMYFUNCTION("""COMPUTED_VALUE"""),0.0)</f>
        <v>0</v>
      </c>
      <c r="H700" s="32"/>
      <c r="I700" s="32"/>
      <c r="J700" s="32"/>
      <c r="K700" s="32"/>
      <c r="L700" s="32"/>
      <c r="M700" s="32"/>
      <c r="N700" s="32"/>
      <c r="O700" s="32"/>
      <c r="P700" s="32"/>
      <c r="Q700" s="32"/>
      <c r="R700" s="32"/>
      <c r="S700" s="32"/>
      <c r="T700" s="32"/>
      <c r="U700" s="32"/>
      <c r="V700" s="32"/>
      <c r="W700" s="32"/>
      <c r="X700" s="32"/>
      <c r="Y700" s="32"/>
      <c r="Z700" s="32"/>
    </row>
    <row r="701">
      <c r="A701" s="32" t="str">
        <f>IFERROR(__xludf.DUMMYFUNCTION("""COMPUTED_VALUE"""),"Poisonous Hand Crossbow")</f>
        <v>Poisonous Hand Crossbow</v>
      </c>
      <c r="B701" s="32" t="str">
        <f>IFERROR(__xludf.DUMMYFUNCTION("""COMPUTED_VALUE"""),"""Because sometimes the only viable tactic, is a dirty one"" ~Gwennivir")</f>
        <v>"Because sometimes the only viable tactic, is a dirty one" ~Gwennivir</v>
      </c>
      <c r="C701" s="32" t="str">
        <f>IFERROR(__xludf.DUMMYFUNCTION("""COMPUTED_VALUE"""),"Bow")</f>
        <v>Bow</v>
      </c>
      <c r="D701" s="32" t="str">
        <f>IFERROR(__xludf.DUMMYFUNCTION("""COMPUTED_VALUE"""),"Hand")</f>
        <v>Hand</v>
      </c>
      <c r="E701" s="32">
        <f>IFERROR(__xludf.DUMMYFUNCTION("""COMPUTED_VALUE"""),1000.0)</f>
        <v>1000</v>
      </c>
      <c r="F701" s="32" t="str">
        <f>IFERROR(__xludf.DUMMYFUNCTION("""COMPUTED_VALUE"""),"DMG: +50000 ++Poisoned I: Hitting an enemy with this weapon inflicts 500 poison")</f>
        <v>DMG: +50000 ++Poisoned I: Hitting an enemy with this weapon inflicts 500 poison</v>
      </c>
      <c r="G701" s="32">
        <f>IFERROR(__xludf.DUMMYFUNCTION("""COMPUTED_VALUE"""),4.95E7)</f>
        <v>49500000</v>
      </c>
      <c r="H701" s="32"/>
      <c r="I701" s="32"/>
      <c r="J701" s="32"/>
      <c r="K701" s="32"/>
      <c r="L701" s="32"/>
      <c r="M701" s="32"/>
      <c r="N701" s="32"/>
      <c r="O701" s="32"/>
      <c r="P701" s="32"/>
      <c r="Q701" s="32"/>
      <c r="R701" s="32"/>
      <c r="S701" s="32"/>
      <c r="T701" s="32"/>
      <c r="U701" s="32"/>
      <c r="V701" s="32"/>
      <c r="W701" s="32"/>
      <c r="X701" s="32"/>
      <c r="Y701" s="32"/>
      <c r="Z701" s="32"/>
    </row>
    <row r="702">
      <c r="A702" s="32" t="str">
        <f>IFERROR(__xludf.DUMMYFUNCTION("""COMPUTED_VALUE"""),"Poison Tipped Knife")</f>
        <v>Poison Tipped Knife</v>
      </c>
      <c r="B702" s="32" t="str">
        <f>IFERROR(__xludf.DUMMYFUNCTION("""COMPUTED_VALUE"""),"""It isn't the most graceful end, and it isn't quick by any means... What, you thought I'd defend it?"" ~Gwennivir")</f>
        <v>"It isn't the most graceful end, and it isn't quick by any means... What, you thought I'd defend it?" ~Gwennivir</v>
      </c>
      <c r="C702" s="32" t="str">
        <f>IFERROR(__xludf.DUMMYFUNCTION("""COMPUTED_VALUE"""),"Knife")</f>
        <v>Knife</v>
      </c>
      <c r="D702" s="32" t="str">
        <f>IFERROR(__xludf.DUMMYFUNCTION("""COMPUTED_VALUE"""),"Hand")</f>
        <v>Hand</v>
      </c>
      <c r="E702" s="32">
        <f>IFERROR(__xludf.DUMMYFUNCTION("""COMPUTED_VALUE"""),1000.0)</f>
        <v>1000</v>
      </c>
      <c r="F702" s="32" t="str">
        <f>IFERROR(__xludf.DUMMYFUNCTION("""COMPUTED_VALUE"""),"DMG: +50000 ++Poisoned I: Hitting an enemy with this weapon inflicts 500 poison")</f>
        <v>DMG: +50000 ++Poisoned I: Hitting an enemy with this weapon inflicts 500 poison</v>
      </c>
      <c r="G702" s="32">
        <f>IFERROR(__xludf.DUMMYFUNCTION("""COMPUTED_VALUE"""),4.95E7)</f>
        <v>49500000</v>
      </c>
      <c r="H702" s="32"/>
      <c r="I702" s="32"/>
      <c r="J702" s="32"/>
      <c r="K702" s="32"/>
      <c r="L702" s="32"/>
      <c r="M702" s="32"/>
      <c r="N702" s="32"/>
      <c r="O702" s="32"/>
      <c r="P702" s="32"/>
      <c r="Q702" s="32"/>
      <c r="R702" s="32"/>
      <c r="S702" s="32"/>
      <c r="T702" s="32"/>
      <c r="U702" s="32"/>
      <c r="V702" s="32"/>
      <c r="W702" s="32"/>
      <c r="X702" s="32"/>
      <c r="Y702" s="32"/>
      <c r="Z702" s="32"/>
    </row>
    <row r="703">
      <c r="A703" s="32" t="str">
        <f>IFERROR(__xludf.DUMMYFUNCTION("""COMPUTED_VALUE"""),"Frozen Head-Splitter")</f>
        <v>Frozen Head-Splitter</v>
      </c>
      <c r="B703" s="3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32" t="str">
        <f>IFERROR(__xludf.DUMMYFUNCTION("""COMPUTED_VALUE"""),"Club")</f>
        <v>Club</v>
      </c>
      <c r="D703" s="32" t="str">
        <f>IFERROR(__xludf.DUMMYFUNCTION("""COMPUTED_VALUE"""),"Hand")</f>
        <v>Hand</v>
      </c>
      <c r="E703" s="32">
        <f>IFERROR(__xludf.DUMMYFUNCTION("""COMPUTED_VALUE"""),1200.0)</f>
        <v>1200</v>
      </c>
      <c r="F703" s="32"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32">
        <f>IFERROR(__xludf.DUMMYFUNCTION("""COMPUTED_VALUE"""),7.14E7)</f>
        <v>71400000</v>
      </c>
      <c r="H703" s="32"/>
      <c r="I703" s="32"/>
      <c r="J703" s="32"/>
      <c r="K703" s="32"/>
      <c r="L703" s="32"/>
      <c r="M703" s="32"/>
      <c r="N703" s="32"/>
      <c r="O703" s="32"/>
      <c r="P703" s="32"/>
      <c r="Q703" s="32"/>
      <c r="R703" s="32"/>
      <c r="S703" s="32"/>
      <c r="T703" s="32"/>
      <c r="U703" s="32"/>
      <c r="V703" s="32"/>
      <c r="W703" s="32"/>
      <c r="X703" s="32"/>
      <c r="Y703" s="32"/>
      <c r="Z703" s="32"/>
    </row>
    <row r="704">
      <c r="A704" s="32" t="str">
        <f>IFERROR(__xludf.DUMMYFUNCTION("""COMPUTED_VALUE"""),"Fireball Cannon")</f>
        <v>Fireball Cannon</v>
      </c>
      <c r="B704" s="32" t="str">
        <f>IFERROR(__xludf.DUMMYFUNCTION("""COMPUTED_VALUE"""),"""Sometimes fire is the only answer to the question,"" ~Gwennivir")</f>
        <v>"Sometimes fire is the only answer to the question," ~Gwennivir</v>
      </c>
      <c r="C704" s="32" t="str">
        <f>IFERROR(__xludf.DUMMYFUNCTION("""COMPUTED_VALUE"""),"Firearm")</f>
        <v>Firearm</v>
      </c>
      <c r="D704" s="32" t="str">
        <f>IFERROR(__xludf.DUMMYFUNCTION("""COMPUTED_VALUE"""),"BoatGun")</f>
        <v>BoatGun</v>
      </c>
      <c r="E704" s="32">
        <f>IFERROR(__xludf.DUMMYFUNCTION("""COMPUTED_VALUE"""),1000.0)</f>
        <v>1000</v>
      </c>
      <c r="F704" s="32" t="str">
        <f>IFERROR(__xludf.DUMMYFUNCTION("""COMPUTED_VALUE"""),"DMG: +30000, Fire DMG: +20000 ++Burn 10,000. ++Requires Fire Cannon Balls")</f>
        <v>DMG: +30000, Fire DMG: +20000 ++Burn 10,000. ++Requires Fire Cannon Balls</v>
      </c>
      <c r="G704" s="32">
        <f>IFERROR(__xludf.DUMMYFUNCTION("""COMPUTED_VALUE"""),4.95E7)</f>
        <v>49500000</v>
      </c>
      <c r="H704" s="32"/>
      <c r="I704" s="32"/>
      <c r="J704" s="32"/>
      <c r="K704" s="32"/>
      <c r="L704" s="32"/>
      <c r="M704" s="32"/>
      <c r="N704" s="32"/>
      <c r="O704" s="32"/>
      <c r="P704" s="32"/>
      <c r="Q704" s="32"/>
      <c r="R704" s="32"/>
      <c r="S704" s="32"/>
      <c r="T704" s="32"/>
      <c r="U704" s="32"/>
      <c r="V704" s="32"/>
      <c r="W704" s="32"/>
      <c r="X704" s="32"/>
      <c r="Y704" s="32"/>
      <c r="Z704" s="32"/>
    </row>
    <row r="705">
      <c r="A705" s="32" t="str">
        <f>IFERROR(__xludf.DUMMYFUNCTION("""COMPUTED_VALUE"""),"Harpoon Gun")</f>
        <v>Harpoon Gun</v>
      </c>
      <c r="B705" s="3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32" t="str">
        <f>IFERROR(__xludf.DUMMYFUNCTION("""COMPUTED_VALUE"""),"Spear")</f>
        <v>Spear</v>
      </c>
      <c r="D705" s="32" t="str">
        <f>IFERROR(__xludf.DUMMYFUNCTION("""COMPUTED_VALUE"""),"BoatGun")</f>
        <v>BoatGun</v>
      </c>
      <c r="E705" s="32">
        <f>IFERROR(__xludf.DUMMYFUNCTION("""COMPUTED_VALUE"""),400.0)</f>
        <v>400</v>
      </c>
      <c r="F705" s="32" t="str">
        <f>IFERROR(__xludf.DUMMYFUNCTION("""COMPUTED_VALUE"""),"DMG: +10000, Blood DMG: +10000 ++Bleed 10,000. ")</f>
        <v>DMG: +10000, Blood DMG: +10000 ++Bleed 10,000. </v>
      </c>
      <c r="G705" s="32">
        <f>IFERROR(__xludf.DUMMYFUNCTION("""COMPUTED_VALUE"""),7800000.0)</f>
        <v>7800000</v>
      </c>
      <c r="H705" s="32"/>
      <c r="I705" s="32"/>
      <c r="J705" s="32"/>
      <c r="K705" s="32"/>
      <c r="L705" s="32"/>
      <c r="M705" s="32"/>
      <c r="N705" s="32"/>
      <c r="O705" s="32"/>
      <c r="P705" s="32"/>
      <c r="Q705" s="32"/>
      <c r="R705" s="32"/>
      <c r="S705" s="32"/>
      <c r="T705" s="32"/>
      <c r="U705" s="32"/>
      <c r="V705" s="32"/>
      <c r="W705" s="32"/>
      <c r="X705" s="32"/>
      <c r="Y705" s="32"/>
      <c r="Z705" s="32"/>
    </row>
    <row r="706">
      <c r="A706" s="32" t="str">
        <f>IFERROR(__xludf.DUMMYFUNCTION("""COMPUTED_VALUE"""),"Torpedo Launcher")</f>
        <v>Torpedo Launcher</v>
      </c>
      <c r="B706" s="32" t="str">
        <f>IFERROR(__xludf.DUMMYFUNCTION("""COMPUTED_VALUE"""),"""Sometimes you need a little more bang for your buck, in those times you need a torpedo,"" ~Gwennivir")</f>
        <v>"Sometimes you need a little more bang for your buck, in those times you need a torpedo," ~Gwennivir</v>
      </c>
      <c r="C706" s="32" t="str">
        <f>IFERROR(__xludf.DUMMYFUNCTION("""COMPUTED_VALUE"""),"Firearm")</f>
        <v>Firearm</v>
      </c>
      <c r="D706" s="32" t="str">
        <f>IFERROR(__xludf.DUMMYFUNCTION("""COMPUTED_VALUE"""),"BoatGun")</f>
        <v>BoatGun</v>
      </c>
      <c r="E706" s="32">
        <f>IFERROR(__xludf.DUMMYFUNCTION("""COMPUTED_VALUE"""),1000.0)</f>
        <v>1000</v>
      </c>
      <c r="F706" s="32" t="str">
        <f>IFERROR(__xludf.DUMMYFUNCTION("""COMPUTED_VALUE"""),"DMG: +50000 ++ Requires Torpedos")</f>
        <v>DMG: +50000 ++ Requires Torpedos</v>
      </c>
      <c r="G706" s="32">
        <f>IFERROR(__xludf.DUMMYFUNCTION("""COMPUTED_VALUE"""),4.95E7)</f>
        <v>49500000</v>
      </c>
      <c r="H706" s="32"/>
      <c r="I706" s="32"/>
      <c r="J706" s="32"/>
      <c r="K706" s="32"/>
      <c r="L706" s="32"/>
      <c r="M706" s="32"/>
      <c r="N706" s="32"/>
      <c r="O706" s="32"/>
      <c r="P706" s="32"/>
      <c r="Q706" s="32"/>
      <c r="R706" s="32"/>
      <c r="S706" s="32"/>
      <c r="T706" s="32"/>
      <c r="U706" s="32"/>
      <c r="V706" s="32"/>
      <c r="W706" s="32"/>
      <c r="X706" s="32"/>
      <c r="Y706" s="32"/>
      <c r="Z706" s="32"/>
    </row>
    <row r="707">
      <c r="A707" s="32" t="str">
        <f>IFERROR(__xludf.DUMMYFUNCTION("""COMPUTED_VALUE"""),"Double Barrel Shotgun")</f>
        <v>Double Barrel Shotgun</v>
      </c>
      <c r="B707" s="32" t="str">
        <f>IFERROR(__xludf.DUMMYFUNCTION("""COMPUTED_VALUE"""),"""Because what's better than one barrel? Two,"" ~Gwennivir")</f>
        <v>"Because what's better than one barrel? Two," ~Gwennivir</v>
      </c>
      <c r="C707" s="32" t="str">
        <f>IFERROR(__xludf.DUMMYFUNCTION("""COMPUTED_VALUE"""),"Firearm")</f>
        <v>Firearm</v>
      </c>
      <c r="D707" s="32" t="str">
        <f>IFERROR(__xludf.DUMMYFUNCTION("""COMPUTED_VALUE"""),"Hand")</f>
        <v>Hand</v>
      </c>
      <c r="E707" s="32">
        <f>IFERROR(__xludf.DUMMYFUNCTION("""COMPUTED_VALUE"""),800.0)</f>
        <v>800</v>
      </c>
      <c r="F707" s="32"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32">
        <f>IFERROR(__xludf.DUMMYFUNCTION("""COMPUTED_VALUE"""),3.16E7)</f>
        <v>31600000</v>
      </c>
      <c r="H707" s="32"/>
      <c r="I707" s="32"/>
      <c r="J707" s="32"/>
      <c r="K707" s="32"/>
      <c r="L707" s="32"/>
      <c r="M707" s="32"/>
      <c r="N707" s="32"/>
      <c r="O707" s="32"/>
      <c r="P707" s="32"/>
      <c r="Q707" s="32"/>
      <c r="R707" s="32"/>
      <c r="S707" s="32"/>
      <c r="T707" s="32"/>
      <c r="U707" s="32"/>
      <c r="V707" s="32"/>
      <c r="W707" s="32"/>
      <c r="X707" s="32"/>
      <c r="Y707" s="32"/>
      <c r="Z707" s="32"/>
    </row>
    <row r="708">
      <c r="A708" s="32" t="str">
        <f>IFERROR(__xludf.DUMMYFUNCTION("""COMPUTED_VALUE"""),"Single Barrel Shotgun")</f>
        <v>Single Barrel Shotgun</v>
      </c>
      <c r="B708" s="32" t="str">
        <f>IFERROR(__xludf.DUMMYFUNCTION("""COMPUTED_VALUE"""),"""For when you want to put more than one hole in your enemies at a time"" ~Gwennivir")</f>
        <v>"For when you want to put more than one hole in your enemies at a time" ~Gwennivir</v>
      </c>
      <c r="C708" s="32" t="str">
        <f>IFERROR(__xludf.DUMMYFUNCTION("""COMPUTED_VALUE"""),"Firearm")</f>
        <v>Firearm</v>
      </c>
      <c r="D708" s="32" t="str">
        <f>IFERROR(__xludf.DUMMYFUNCTION("""COMPUTED_VALUE"""),"Hand")</f>
        <v>Hand</v>
      </c>
      <c r="E708" s="32">
        <f>IFERROR(__xludf.DUMMYFUNCTION("""COMPUTED_VALUE"""),400.0)</f>
        <v>400</v>
      </c>
      <c r="F708" s="32" t="str">
        <f>IFERROR(__xludf.DUMMYFUNCTION("""COMPUTED_VALUE"""),"DMG: +10000, Blood DMG: +10000")</f>
        <v>DMG: +10000, Blood DMG: +10000</v>
      </c>
      <c r="G708" s="32">
        <f>IFERROR(__xludf.DUMMYFUNCTION("""COMPUTED_VALUE"""),7800000.0)</f>
        <v>7800000</v>
      </c>
      <c r="H708" s="32"/>
      <c r="I708" s="32"/>
      <c r="J708" s="32"/>
      <c r="K708" s="32"/>
      <c r="L708" s="32"/>
      <c r="M708" s="32"/>
      <c r="N708" s="32"/>
      <c r="O708" s="32"/>
      <c r="P708" s="32"/>
      <c r="Q708" s="32"/>
      <c r="R708" s="32"/>
      <c r="S708" s="32"/>
      <c r="T708" s="32"/>
      <c r="U708" s="32"/>
      <c r="V708" s="32"/>
      <c r="W708" s="32"/>
      <c r="X708" s="32"/>
      <c r="Y708" s="32"/>
      <c r="Z708" s="32"/>
    </row>
    <row r="709">
      <c r="A709" s="32" t="str">
        <f>IFERROR(__xludf.DUMMYFUNCTION("""COMPUTED_VALUE"""),"Poison Staff")</f>
        <v>Poison Staff</v>
      </c>
      <c r="B709" s="3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32" t="str">
        <f>IFERROR(__xludf.DUMMYFUNCTION("""COMPUTED_VALUE"""),"Staff")</f>
        <v>Staff</v>
      </c>
      <c r="D709" s="32" t="str">
        <f>IFERROR(__xludf.DUMMYFUNCTION("""COMPUTED_VALUE"""),"Hand")</f>
        <v>Hand</v>
      </c>
      <c r="E709" s="32">
        <f>IFERROR(__xludf.DUMMYFUNCTION("""COMPUTED_VALUE"""),2000.0)</f>
        <v>2000</v>
      </c>
      <c r="F709" s="32" t="str">
        <f>IFERROR(__xludf.DUMMYFUNCTION("""COMPUTED_VALUE"""),", Nature DMG: +100000 ++ Poison 20,000")</f>
        <v>, Nature DMG: +100000 ++ Poison 20,000</v>
      </c>
      <c r="G709" s="32">
        <f>IFERROR(__xludf.DUMMYFUNCTION("""COMPUTED_VALUE"""),1.99E8)</f>
        <v>199000000</v>
      </c>
      <c r="H709" s="32"/>
      <c r="I709" s="32"/>
      <c r="J709" s="32"/>
      <c r="K709" s="32"/>
      <c r="L709" s="32"/>
      <c r="M709" s="32"/>
      <c r="N709" s="32"/>
      <c r="O709" s="32"/>
      <c r="P709" s="32"/>
      <c r="Q709" s="32"/>
      <c r="R709" s="32"/>
      <c r="S709" s="32"/>
      <c r="T709" s="32"/>
      <c r="U709" s="32"/>
      <c r="V709" s="32"/>
      <c r="W709" s="32"/>
      <c r="X709" s="32"/>
      <c r="Y709" s="32"/>
      <c r="Z709" s="32"/>
    </row>
    <row r="710">
      <c r="A710" s="32" t="str">
        <f>IFERROR(__xludf.DUMMYFUNCTION("""COMPUTED_VALUE"""),"Chameldrians Staff of Thriving Blossoms")</f>
        <v>Chameldrians Staff of Thriving Blossoms</v>
      </c>
      <c r="B710" s="3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32" t="str">
        <f>IFERROR(__xludf.DUMMYFUNCTION("""COMPUTED_VALUE"""),"Staff")</f>
        <v>Staff</v>
      </c>
      <c r="D710" s="32" t="str">
        <f>IFERROR(__xludf.DUMMYFUNCTION("""COMPUTED_VALUE"""),"Hand")</f>
        <v>Hand</v>
      </c>
      <c r="E710" s="32">
        <f>IFERROR(__xludf.DUMMYFUNCTION("""COMPUTED_VALUE"""),2000.0)</f>
        <v>2000</v>
      </c>
      <c r="F710" s="32"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32">
        <f>IFERROR(__xludf.DUMMYFUNCTION("""COMPUTED_VALUE"""),1.99E8)</f>
        <v>199000000</v>
      </c>
      <c r="H710" s="32"/>
      <c r="I710" s="32"/>
      <c r="J710" s="32"/>
      <c r="K710" s="32"/>
      <c r="L710" s="32"/>
      <c r="M710" s="32"/>
      <c r="N710" s="32"/>
      <c r="O710" s="32"/>
      <c r="P710" s="32"/>
      <c r="Q710" s="32"/>
      <c r="R710" s="32"/>
      <c r="S710" s="32"/>
      <c r="T710" s="32"/>
      <c r="U710" s="32"/>
      <c r="V710" s="32"/>
      <c r="W710" s="32"/>
      <c r="X710" s="32"/>
      <c r="Y710" s="32"/>
      <c r="Z710" s="32"/>
    </row>
    <row r="711">
      <c r="A711" s="32" t="str">
        <f>IFERROR(__xludf.DUMMYFUNCTION("""COMPUTED_VALUE"""),"Cooper's Memento")</f>
        <v>Cooper's Memento</v>
      </c>
      <c r="B711" s="32" t="str">
        <f>IFERROR(__xludf.DUMMYFUNCTION("""COMPUTED_VALUE"""),"A small stopwatch, the ticking has stopped.")</f>
        <v>A small stopwatch, the ticking has stopped.</v>
      </c>
      <c r="C711" s="32" t="str">
        <f>IFERROR(__xludf.DUMMYFUNCTION("""COMPUTED_VALUE"""),"Item")</f>
        <v>Item</v>
      </c>
      <c r="D711" s="32" t="str">
        <f>IFERROR(__xludf.DUMMYFUNCTION("""COMPUTED_VALUE"""),"Arms")</f>
        <v>Arms</v>
      </c>
      <c r="E711" s="32">
        <f>IFERROR(__xludf.DUMMYFUNCTION("""COMPUTED_VALUE"""),1.0)</f>
        <v>1</v>
      </c>
      <c r="F711" s="32" t="str">
        <f>IFERROR(__xludf.DUMMYFUNCTION("""COMPUTED_VALUE""")," ++15% chance to be unaffected by a curse")</f>
        <v> ++15% chance to be unaffected by a curse</v>
      </c>
      <c r="G711" s="32">
        <f>IFERROR(__xludf.DUMMYFUNCTION("""COMPUTED_VALUE"""),0.0)</f>
        <v>0</v>
      </c>
      <c r="H711" s="32"/>
      <c r="I711" s="32"/>
      <c r="J711" s="32"/>
      <c r="K711" s="32"/>
      <c r="L711" s="32"/>
      <c r="M711" s="32"/>
      <c r="N711" s="32"/>
      <c r="O711" s="32"/>
      <c r="P711" s="32"/>
      <c r="Q711" s="32"/>
      <c r="R711" s="32"/>
      <c r="S711" s="32"/>
      <c r="T711" s="32"/>
      <c r="U711" s="32"/>
      <c r="V711" s="32"/>
      <c r="W711" s="32"/>
      <c r="X711" s="32"/>
      <c r="Y711" s="32"/>
      <c r="Z711" s="32"/>
    </row>
    <row r="712">
      <c r="A712" s="32" t="str">
        <f>IFERROR(__xludf.DUMMYFUNCTION("""COMPUTED_VALUE"""),"Gaian Champion's Shield")</f>
        <v>Gaian Champion's Shield</v>
      </c>
      <c r="B712" s="32" t="str">
        <f>IFERROR(__xludf.DUMMYFUNCTION("""COMPUTED_VALUE"""),"""We are born to be the shield of the people, too many paladins forget this simple fact"" ~Grisaia")</f>
        <v>"We are born to be the shield of the people, too many paladins forget this simple fact" ~Grisaia</v>
      </c>
      <c r="C712" s="32" t="str">
        <f>IFERROR(__xludf.DUMMYFUNCTION("""COMPUTED_VALUE"""),"Towershield")</f>
        <v>Towershield</v>
      </c>
      <c r="D712" s="32" t="str">
        <f>IFERROR(__xludf.DUMMYFUNCTION("""COMPUTED_VALUE"""),"Hand")</f>
        <v>Hand</v>
      </c>
      <c r="E712" s="32">
        <f>IFERROR(__xludf.DUMMYFUNCTION("""COMPUTED_VALUE"""),200.0)</f>
        <v>200</v>
      </c>
      <c r="F712" s="32"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32">
        <f>IFERROR(__xludf.DUMMYFUNCTION("""COMPUTED_VALUE"""),1.2475E9)</f>
        <v>1247500000</v>
      </c>
      <c r="H712" s="32"/>
      <c r="I712" s="32"/>
      <c r="J712" s="32"/>
      <c r="K712" s="32"/>
      <c r="L712" s="32"/>
      <c r="M712" s="32"/>
      <c r="N712" s="32"/>
      <c r="O712" s="32"/>
      <c r="P712" s="32"/>
      <c r="Q712" s="32"/>
      <c r="R712" s="32"/>
      <c r="S712" s="32"/>
      <c r="T712" s="32"/>
      <c r="U712" s="32"/>
      <c r="V712" s="32"/>
      <c r="W712" s="32"/>
      <c r="X712" s="32"/>
      <c r="Y712" s="32"/>
      <c r="Z712" s="32"/>
    </row>
    <row r="713">
      <c r="A713" s="32" t="str">
        <f>IFERROR(__xludf.DUMMYFUNCTION("""COMPUTED_VALUE"""),"The Billowing Bludgeon")</f>
        <v>The Billowing Bludgeon</v>
      </c>
      <c r="B713" s="3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32" t="str">
        <f>IFERROR(__xludf.DUMMYFUNCTION("""COMPUTED_VALUE"""),"Staff")</f>
        <v>Staff</v>
      </c>
      <c r="D713" s="32" t="str">
        <f>IFERROR(__xludf.DUMMYFUNCTION("""COMPUTED_VALUE"""),"Hand")</f>
        <v>Hand</v>
      </c>
      <c r="E713" s="32">
        <f>IFERROR(__xludf.DUMMYFUNCTION("""COMPUTED_VALUE"""),200.0)</f>
        <v>200</v>
      </c>
      <c r="F713" s="32"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32">
        <f>IFERROR(__xludf.DUMMYFUNCTION("""COMPUTED_VALUE"""),1.797E9)</f>
        <v>1797000000</v>
      </c>
      <c r="H713" s="32"/>
      <c r="I713" s="32"/>
      <c r="J713" s="32"/>
      <c r="K713" s="32"/>
      <c r="L713" s="32"/>
      <c r="M713" s="32"/>
      <c r="N713" s="32"/>
      <c r="O713" s="32"/>
      <c r="P713" s="32"/>
      <c r="Q713" s="32"/>
      <c r="R713" s="32"/>
      <c r="S713" s="32"/>
      <c r="T713" s="32"/>
      <c r="U713" s="32"/>
      <c r="V713" s="32"/>
      <c r="W713" s="32"/>
      <c r="X713" s="32"/>
      <c r="Y713" s="32"/>
      <c r="Z713" s="32"/>
    </row>
    <row r="714">
      <c r="A714" s="32" t="str">
        <f>IFERROR(__xludf.DUMMYFUNCTION("""COMPUTED_VALUE"""),"Home Run Bat")</f>
        <v>Home Run Bat</v>
      </c>
      <c r="B714" s="32"/>
      <c r="C714" s="32" t="str">
        <f>IFERROR(__xludf.DUMMYFUNCTION("""COMPUTED_VALUE"""),"Club")</f>
        <v>Club</v>
      </c>
      <c r="D714" s="32" t="str">
        <f>IFERROR(__xludf.DUMMYFUNCTION("""COMPUTED_VALUE"""),"Hand")</f>
        <v>Hand</v>
      </c>
      <c r="E714" s="32">
        <f>IFERROR(__xludf.DUMMYFUNCTION("""COMPUTED_VALUE"""),200.0)</f>
        <v>200</v>
      </c>
      <c r="F714" s="32"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32">
        <f>IFERROR(__xludf.DUMMYFUNCTION("""COMPUTED_VALUE"""),7.98E8)</f>
        <v>798000000</v>
      </c>
      <c r="H714" s="32"/>
      <c r="I714" s="32"/>
      <c r="J714" s="32"/>
      <c r="K714" s="32"/>
      <c r="L714" s="32"/>
      <c r="M714" s="32"/>
      <c r="N714" s="32"/>
      <c r="O714" s="32"/>
      <c r="P714" s="32"/>
      <c r="Q714" s="32"/>
      <c r="R714" s="32"/>
      <c r="S714" s="32"/>
      <c r="T714" s="32"/>
      <c r="U714" s="32"/>
      <c r="V714" s="32"/>
      <c r="W714" s="32"/>
      <c r="X714" s="32"/>
      <c r="Y714" s="32"/>
      <c r="Z714" s="32"/>
    </row>
    <row r="715">
      <c r="A715" s="32" t="str">
        <f>IFERROR(__xludf.DUMMYFUNCTION("""COMPUTED_VALUE"""),"Lunar New Year Dragon Head")</f>
        <v>Lunar New Year Dragon Head</v>
      </c>
      <c r="B715" s="32"/>
      <c r="C715" s="32" t="str">
        <f>IFERROR(__xludf.DUMMYFUNCTION("""COMPUTED_VALUE"""),"Item")</f>
        <v>Item</v>
      </c>
      <c r="D715" s="32" t="str">
        <f>IFERROR(__xludf.DUMMYFUNCTION("""COMPUTED_VALUE"""),"Head")</f>
        <v>Head</v>
      </c>
      <c r="E715" s="32">
        <f>IFERROR(__xludf.DUMMYFUNCTION("""COMPUTED_VALUE"""),200.0)</f>
        <v>200</v>
      </c>
      <c r="F715" s="32" t="str">
        <f>IFERROR(__xludf.DUMMYFUNCTION("""COMPUTED_VALUE"""),"DEF: +25000, Fire DEF: +25000, Celestial DEF: +25000 ++Gain ""Greater Dragon's Breath"" Power. ++X2 additional Fire Damage.")</f>
        <v>DEF: +25000, Fire DEF: +25000, Celestial DEF: +25000 ++Gain "Greater Dragon's Breath" Power. ++X2 additional Fire Damage.</v>
      </c>
      <c r="G715" s="32">
        <f>IFERROR(__xludf.DUMMYFUNCTION("""COMPUTED_VALUE"""),1.1175E8)</f>
        <v>111750000</v>
      </c>
      <c r="H715" s="32"/>
      <c r="I715" s="32"/>
      <c r="J715" s="32"/>
      <c r="K715" s="32"/>
      <c r="L715" s="32"/>
      <c r="M715" s="32"/>
      <c r="N715" s="32"/>
      <c r="O715" s="32"/>
      <c r="P715" s="32"/>
      <c r="Q715" s="32"/>
      <c r="R715" s="32"/>
      <c r="S715" s="32"/>
      <c r="T715" s="32"/>
      <c r="U715" s="32"/>
      <c r="V715" s="32"/>
      <c r="W715" s="32"/>
      <c r="X715" s="32"/>
      <c r="Y715" s="32"/>
      <c r="Z715" s="32"/>
    </row>
    <row r="716">
      <c r="A716" s="32" t="str">
        <f>IFERROR(__xludf.DUMMYFUNCTION("""COMPUTED_VALUE"""),"Lunar New Year Dragon Shoulders")</f>
        <v>Lunar New Year Dragon Shoulders</v>
      </c>
      <c r="B716" s="32"/>
      <c r="C716" s="32" t="str">
        <f>IFERROR(__xludf.DUMMYFUNCTION("""COMPUTED_VALUE"""),"Item")</f>
        <v>Item</v>
      </c>
      <c r="D716" s="32" t="str">
        <f>IFERROR(__xludf.DUMMYFUNCTION("""COMPUTED_VALUE"""),"Shoulders")</f>
        <v>Shoulders</v>
      </c>
      <c r="E716" s="32">
        <f>IFERROR(__xludf.DUMMYFUNCTION("""COMPUTED_VALUE"""),200.0)</f>
        <v>200</v>
      </c>
      <c r="F716" s="32" t="str">
        <f>IFERROR(__xludf.DUMMYFUNCTION("""COMPUTED_VALUE"""),"DEF: +25000, Fire DEF: +25000, Celestial DEF: +25000 ++X2 additional Fire Damage.")</f>
        <v>DEF: +25000, Fire DEF: +25000, Celestial DEF: +25000 ++X2 additional Fire Damage.</v>
      </c>
      <c r="G716" s="32">
        <f>IFERROR(__xludf.DUMMYFUNCTION("""COMPUTED_VALUE"""),1.1175E8)</f>
        <v>111750000</v>
      </c>
      <c r="H716" s="32"/>
      <c r="I716" s="32"/>
      <c r="J716" s="32"/>
      <c r="K716" s="32"/>
      <c r="L716" s="32"/>
      <c r="M716" s="32"/>
      <c r="N716" s="32"/>
      <c r="O716" s="32"/>
      <c r="P716" s="32"/>
      <c r="Q716" s="32"/>
      <c r="R716" s="32"/>
      <c r="S716" s="32"/>
      <c r="T716" s="32"/>
      <c r="U716" s="32"/>
      <c r="V716" s="32"/>
      <c r="W716" s="32"/>
      <c r="X716" s="32"/>
      <c r="Y716" s="32"/>
      <c r="Z716" s="32"/>
    </row>
    <row r="717">
      <c r="A717" s="32" t="str">
        <f>IFERROR(__xludf.DUMMYFUNCTION("""COMPUTED_VALUE"""),"Lunar New Year Dragon Arms")</f>
        <v>Lunar New Year Dragon Arms</v>
      </c>
      <c r="B717" s="32"/>
      <c r="C717" s="32" t="str">
        <f>IFERROR(__xludf.DUMMYFUNCTION("""COMPUTED_VALUE"""),"Item")</f>
        <v>Item</v>
      </c>
      <c r="D717" s="32" t="str">
        <f>IFERROR(__xludf.DUMMYFUNCTION("""COMPUTED_VALUE"""),"Arms")</f>
        <v>Arms</v>
      </c>
      <c r="E717" s="32">
        <f>IFERROR(__xludf.DUMMYFUNCTION("""COMPUTED_VALUE"""),200.0)</f>
        <v>200</v>
      </c>
      <c r="F717" s="32" t="str">
        <f>IFERROR(__xludf.DUMMYFUNCTION("""COMPUTED_VALUE"""),"DEF: +25000, Fire DEF: +25000, Celestial DEF: +25000 ++X2 additional Fire Damage.")</f>
        <v>DEF: +25000, Fire DEF: +25000, Celestial DEF: +25000 ++X2 additional Fire Damage.</v>
      </c>
      <c r="G717" s="32">
        <f>IFERROR(__xludf.DUMMYFUNCTION("""COMPUTED_VALUE"""),1.1175E8)</f>
        <v>111750000</v>
      </c>
      <c r="H717" s="32"/>
      <c r="I717" s="32"/>
      <c r="J717" s="32"/>
      <c r="K717" s="32"/>
      <c r="L717" s="32"/>
      <c r="M717" s="32"/>
      <c r="N717" s="32"/>
      <c r="O717" s="32"/>
      <c r="P717" s="32"/>
      <c r="Q717" s="32"/>
      <c r="R717" s="32"/>
      <c r="S717" s="32"/>
      <c r="T717" s="32"/>
      <c r="U717" s="32"/>
      <c r="V717" s="32"/>
      <c r="W717" s="32"/>
      <c r="X717" s="32"/>
      <c r="Y717" s="32"/>
      <c r="Z717" s="32"/>
    </row>
    <row r="718">
      <c r="A718" s="32" t="str">
        <f>IFERROR(__xludf.DUMMYFUNCTION("""COMPUTED_VALUE"""),"Lunar New Year Dragon Torso")</f>
        <v>Lunar New Year Dragon Torso</v>
      </c>
      <c r="B718" s="32"/>
      <c r="C718" s="32" t="str">
        <f>IFERROR(__xludf.DUMMYFUNCTION("""COMPUTED_VALUE"""),"Item")</f>
        <v>Item</v>
      </c>
      <c r="D718" s="32" t="str">
        <f>IFERROR(__xludf.DUMMYFUNCTION("""COMPUTED_VALUE"""),"Torso")</f>
        <v>Torso</v>
      </c>
      <c r="E718" s="32">
        <f>IFERROR(__xludf.DUMMYFUNCTION("""COMPUTED_VALUE"""),200.0)</f>
        <v>200</v>
      </c>
      <c r="F718" s="32" t="str">
        <f>IFERROR(__xludf.DUMMYFUNCTION("""COMPUTED_VALUE"""),"DEF: +25000, Fire DEF: +25000, Celestial DEF: +25000 ++X2 additional Fire Damage.")</f>
        <v>DEF: +25000, Fire DEF: +25000, Celestial DEF: +25000 ++X2 additional Fire Damage.</v>
      </c>
      <c r="G718" s="32">
        <f>IFERROR(__xludf.DUMMYFUNCTION("""COMPUTED_VALUE"""),1.1175E8)</f>
        <v>111750000</v>
      </c>
      <c r="H718" s="32"/>
      <c r="I718" s="32"/>
      <c r="J718" s="32"/>
      <c r="K718" s="32"/>
      <c r="L718" s="32"/>
      <c r="M718" s="32"/>
      <c r="N718" s="32"/>
      <c r="O718" s="32"/>
      <c r="P718" s="32"/>
      <c r="Q718" s="32"/>
      <c r="R718" s="32"/>
      <c r="S718" s="32"/>
      <c r="T718" s="32"/>
      <c r="U718" s="32"/>
      <c r="V718" s="32"/>
      <c r="W718" s="32"/>
      <c r="X718" s="32"/>
      <c r="Y718" s="32"/>
      <c r="Z718" s="32"/>
    </row>
    <row r="719">
      <c r="A719" s="32" t="str">
        <f>IFERROR(__xludf.DUMMYFUNCTION("""COMPUTED_VALUE"""),"Lunar New Year Dragon Legs")</f>
        <v>Lunar New Year Dragon Legs</v>
      </c>
      <c r="B719" s="32"/>
      <c r="C719" s="32" t="str">
        <f>IFERROR(__xludf.DUMMYFUNCTION("""COMPUTED_VALUE"""),"Item")</f>
        <v>Item</v>
      </c>
      <c r="D719" s="32" t="str">
        <f>IFERROR(__xludf.DUMMYFUNCTION("""COMPUTED_VALUE"""),"Legs")</f>
        <v>Legs</v>
      </c>
      <c r="E719" s="32">
        <f>IFERROR(__xludf.DUMMYFUNCTION("""COMPUTED_VALUE"""),200.0)</f>
        <v>200</v>
      </c>
      <c r="F719" s="32" t="str">
        <f>IFERROR(__xludf.DUMMYFUNCTION("""COMPUTED_VALUE"""),"DEF: +25000, Fire DEF: +25000, Celestial DEF: +25000 ++X2 additional Fire Damage.")</f>
        <v>DEF: +25000, Fire DEF: +25000, Celestial DEF: +25000 ++X2 additional Fire Damage.</v>
      </c>
      <c r="G719" s="32">
        <f>IFERROR(__xludf.DUMMYFUNCTION("""COMPUTED_VALUE"""),1.1175E8)</f>
        <v>111750000</v>
      </c>
      <c r="H719" s="32"/>
      <c r="I719" s="32"/>
      <c r="J719" s="32"/>
      <c r="K719" s="32"/>
      <c r="L719" s="32"/>
      <c r="M719" s="32"/>
      <c r="N719" s="32"/>
      <c r="O719" s="32"/>
      <c r="P719" s="32"/>
      <c r="Q719" s="32"/>
      <c r="R719" s="32"/>
      <c r="S719" s="32"/>
      <c r="T719" s="32"/>
      <c r="U719" s="32"/>
      <c r="V719" s="32"/>
      <c r="W719" s="32"/>
      <c r="X719" s="32"/>
      <c r="Y719" s="32"/>
      <c r="Z719" s="32"/>
    </row>
    <row r="720">
      <c r="A720" s="32" t="str">
        <f>IFERROR(__xludf.DUMMYFUNCTION("""COMPUTED_VALUE"""),"Lunar New Year Dragon Feet")</f>
        <v>Lunar New Year Dragon Feet</v>
      </c>
      <c r="B720" s="32"/>
      <c r="C720" s="32" t="str">
        <f>IFERROR(__xludf.DUMMYFUNCTION("""COMPUTED_VALUE"""),"Item")</f>
        <v>Item</v>
      </c>
      <c r="D720" s="32" t="str">
        <f>IFERROR(__xludf.DUMMYFUNCTION("""COMPUTED_VALUE"""),"Feet")</f>
        <v>Feet</v>
      </c>
      <c r="E720" s="32">
        <f>IFERROR(__xludf.DUMMYFUNCTION("""COMPUTED_VALUE"""),200.0)</f>
        <v>200</v>
      </c>
      <c r="F720" s="32" t="str">
        <f>IFERROR(__xludf.DUMMYFUNCTION("""COMPUTED_VALUE"""),"DEF: +25000, Fire DEF: +25000, Celestial DEF: +25000 ++X2 additional Fire Damage.")</f>
        <v>DEF: +25000, Fire DEF: +25000, Celestial DEF: +25000 ++X2 additional Fire Damage.</v>
      </c>
      <c r="G720" s="32">
        <f>IFERROR(__xludf.DUMMYFUNCTION("""COMPUTED_VALUE"""),1.1175E8)</f>
        <v>111750000</v>
      </c>
      <c r="H720" s="32"/>
      <c r="I720" s="32"/>
      <c r="J720" s="32"/>
      <c r="K720" s="32"/>
      <c r="L720" s="32"/>
      <c r="M720" s="32"/>
      <c r="N720" s="32"/>
      <c r="O720" s="32"/>
      <c r="P720" s="32"/>
      <c r="Q720" s="32"/>
      <c r="R720" s="32"/>
      <c r="S720" s="32"/>
      <c r="T720" s="32"/>
      <c r="U720" s="32"/>
      <c r="V720" s="32"/>
      <c r="W720" s="32"/>
      <c r="X720" s="32"/>
      <c r="Y720" s="32"/>
      <c r="Z720" s="32"/>
    </row>
    <row r="721">
      <c r="A721" s="32" t="str">
        <f>IFERROR(__xludf.DUMMYFUNCTION("""COMPUTED_VALUE"""),"Spirit Blade")</f>
        <v>Spirit Blade</v>
      </c>
      <c r="B721" s="32"/>
      <c r="C721" s="32" t="str">
        <f>IFERROR(__xludf.DUMMYFUNCTION("""COMPUTED_VALUE"""),"Sword")</f>
        <v>Sword</v>
      </c>
      <c r="D721" s="32" t="str">
        <f>IFERROR(__xludf.DUMMYFUNCTION("""COMPUTED_VALUE"""),"Hand")</f>
        <v>Hand</v>
      </c>
      <c r="E721" s="32">
        <f>IFERROR(__xludf.DUMMYFUNCTION("""COMPUTED_VALUE"""),600.0)</f>
        <v>600</v>
      </c>
      <c r="F721" s="32" t="str">
        <f>IFERROR(__xludf.DUMMYFUNCTION("""COMPUTED_VALUE"""),"DMG: +20000, Light DMG: +10000")</f>
        <v>DMG: +20000, Light DMG: +10000</v>
      </c>
      <c r="G721" s="32">
        <f>IFERROR(__xludf.DUMMYFUNCTION("""COMPUTED_VALUE"""),1.77E7)</f>
        <v>17700000</v>
      </c>
      <c r="H721" s="32"/>
      <c r="I721" s="32"/>
      <c r="J721" s="32"/>
      <c r="K721" s="32"/>
      <c r="L721" s="32"/>
      <c r="M721" s="32"/>
      <c r="N721" s="32"/>
      <c r="O721" s="32"/>
      <c r="P721" s="32"/>
      <c r="Q721" s="32"/>
      <c r="R721" s="32"/>
      <c r="S721" s="32"/>
      <c r="T721" s="32"/>
      <c r="U721" s="32"/>
      <c r="V721" s="32"/>
      <c r="W721" s="32"/>
      <c r="X721" s="32"/>
      <c r="Y721" s="32"/>
      <c r="Z721" s="32"/>
    </row>
    <row r="722">
      <c r="A722" s="32" t="str">
        <f>IFERROR(__xludf.DUMMYFUNCTION("""COMPUTED_VALUE"""),"Spirit Shield")</f>
        <v>Spirit Shield</v>
      </c>
      <c r="B722" s="32"/>
      <c r="C722" s="32" t="str">
        <f>IFERROR(__xludf.DUMMYFUNCTION("""COMPUTED_VALUE"""),"Buckler")</f>
        <v>Buckler</v>
      </c>
      <c r="D722" s="32" t="str">
        <f>IFERROR(__xludf.DUMMYFUNCTION("""COMPUTED_VALUE"""),"Hand")</f>
        <v>Hand</v>
      </c>
      <c r="E722" s="32">
        <f>IFERROR(__xludf.DUMMYFUNCTION("""COMPUTED_VALUE"""),600.0)</f>
        <v>600</v>
      </c>
      <c r="F722" s="32" t="str">
        <f>IFERROR(__xludf.DUMMYFUNCTION("""COMPUTED_VALUE"""),"DEF: +20000, Light DEF: +10000")</f>
        <v>DEF: +20000, Light DEF: +10000</v>
      </c>
      <c r="G722" s="32">
        <f>IFERROR(__xludf.DUMMYFUNCTION("""COMPUTED_VALUE"""),1.77E7)</f>
        <v>17700000</v>
      </c>
      <c r="H722" s="32"/>
      <c r="I722" s="32"/>
      <c r="J722" s="32"/>
      <c r="K722" s="32"/>
      <c r="L722" s="32"/>
      <c r="M722" s="32"/>
      <c r="N722" s="32"/>
      <c r="O722" s="32"/>
      <c r="P722" s="32"/>
      <c r="Q722" s="32"/>
      <c r="R722" s="32"/>
      <c r="S722" s="32"/>
      <c r="T722" s="32"/>
      <c r="U722" s="32"/>
      <c r="V722" s="32"/>
      <c r="W722" s="32"/>
      <c r="X722" s="32"/>
      <c r="Y722" s="32"/>
      <c r="Z722" s="32"/>
    </row>
    <row r="723">
      <c r="A723" s="32" t="str">
        <f>IFERROR(__xludf.DUMMYFUNCTION("""COMPUTED_VALUE"""),"Mage's Hood")</f>
        <v>Mage's Hood</v>
      </c>
      <c r="B723" s="32"/>
      <c r="C723" s="32" t="str">
        <f>IFERROR(__xludf.DUMMYFUNCTION("""COMPUTED_VALUE"""),"Item")</f>
        <v>Item</v>
      </c>
      <c r="D723" s="32" t="str">
        <f>IFERROR(__xludf.DUMMYFUNCTION("""COMPUTED_VALUE"""),"Head")</f>
        <v>Head</v>
      </c>
      <c r="E723" s="32">
        <f>IFERROR(__xludf.DUMMYFUNCTION("""COMPUTED_VALUE"""),1.0)</f>
        <v>1</v>
      </c>
      <c r="F723" s="32" t="str">
        <f>IFERROR(__xludf.DUMMYFUNCTION("""COMPUTED_VALUE""")," ++5000 additional HP and SP. ++Plus 2 Wisdom. +-Cannot be forged. +-Cannot be duplicateed.")</f>
        <v> ++5000 additional HP and SP. ++Plus 2 Wisdom. +-Cannot be forged. +-Cannot be duplicateed.</v>
      </c>
      <c r="G723" s="32">
        <f>IFERROR(__xludf.DUMMYFUNCTION("""COMPUTED_VALUE"""),0.0)</f>
        <v>0</v>
      </c>
      <c r="H723" s="32"/>
      <c r="I723" s="32"/>
      <c r="J723" s="32"/>
      <c r="K723" s="32"/>
      <c r="L723" s="32"/>
      <c r="M723" s="32"/>
      <c r="N723" s="32"/>
      <c r="O723" s="32"/>
      <c r="P723" s="32"/>
      <c r="Q723" s="32"/>
      <c r="R723" s="32"/>
      <c r="S723" s="32"/>
      <c r="T723" s="32"/>
      <c r="U723" s="32"/>
      <c r="V723" s="32"/>
      <c r="W723" s="32"/>
      <c r="X723" s="32"/>
      <c r="Y723" s="32"/>
      <c r="Z723" s="32"/>
    </row>
    <row r="724">
      <c r="A724" s="32" t="str">
        <f>IFERROR(__xludf.DUMMYFUNCTION("""COMPUTED_VALUE"""),"Mage's Cloak")</f>
        <v>Mage's Cloak</v>
      </c>
      <c r="B724" s="32"/>
      <c r="C724" s="32" t="str">
        <f>IFERROR(__xludf.DUMMYFUNCTION("""COMPUTED_VALUE"""),"Item")</f>
        <v>Item</v>
      </c>
      <c r="D724" s="32" t="str">
        <f>IFERROR(__xludf.DUMMYFUNCTION("""COMPUTED_VALUE"""),"Torso")</f>
        <v>Torso</v>
      </c>
      <c r="E724" s="32">
        <f>IFERROR(__xludf.DUMMYFUNCTION("""COMPUTED_VALUE"""),1.0)</f>
        <v>1</v>
      </c>
      <c r="F724" s="32" t="str">
        <f>IFERROR(__xludf.DUMMYFUNCTION("""COMPUTED_VALUE""")," ++5000 additional HP and SP. ++Plus 2 Wisdom. +-Cannot be forged. +-Cannot be duplicateed.")</f>
        <v> ++5000 additional HP and SP. ++Plus 2 Wisdom. +-Cannot be forged. +-Cannot be duplicateed.</v>
      </c>
      <c r="G724" s="32">
        <f>IFERROR(__xludf.DUMMYFUNCTION("""COMPUTED_VALUE"""),0.0)</f>
        <v>0</v>
      </c>
      <c r="H724" s="32"/>
      <c r="I724" s="32"/>
      <c r="J724" s="32"/>
      <c r="K724" s="32"/>
      <c r="L724" s="32"/>
      <c r="M724" s="32"/>
      <c r="N724" s="32"/>
      <c r="O724" s="32"/>
      <c r="P724" s="32"/>
      <c r="Q724" s="32"/>
      <c r="R724" s="32"/>
      <c r="S724" s="32"/>
      <c r="T724" s="32"/>
      <c r="U724" s="32"/>
      <c r="V724" s="32"/>
      <c r="W724" s="32"/>
      <c r="X724" s="32"/>
      <c r="Y724" s="32"/>
      <c r="Z724" s="32"/>
    </row>
    <row r="725">
      <c r="A725" s="32" t="str">
        <f>IFERROR(__xludf.DUMMYFUNCTION("""COMPUTED_VALUE"""),"Mage's Shoes")</f>
        <v>Mage's Shoes</v>
      </c>
      <c r="B725" s="32"/>
      <c r="C725" s="32" t="str">
        <f>IFERROR(__xludf.DUMMYFUNCTION("""COMPUTED_VALUE"""),"Item")</f>
        <v>Item</v>
      </c>
      <c r="D725" s="32" t="str">
        <f>IFERROR(__xludf.DUMMYFUNCTION("""COMPUTED_VALUE"""),"Feet")</f>
        <v>Feet</v>
      </c>
      <c r="E725" s="32">
        <f>IFERROR(__xludf.DUMMYFUNCTION("""COMPUTED_VALUE"""),1.0)</f>
        <v>1</v>
      </c>
      <c r="F725" s="32" t="str">
        <f>IFERROR(__xludf.DUMMYFUNCTION("""COMPUTED_VALUE""")," ++5000 additional HP and SP. ++Plus 1 Wisdom. +-Cannot be forged. +-Cannot be duplicateed.")</f>
        <v> ++5000 additional HP and SP. ++Plus 1 Wisdom. +-Cannot be forged. +-Cannot be duplicateed.</v>
      </c>
      <c r="G725" s="32">
        <f>IFERROR(__xludf.DUMMYFUNCTION("""COMPUTED_VALUE"""),0.0)</f>
        <v>0</v>
      </c>
      <c r="H725" s="32"/>
      <c r="I725" s="32"/>
      <c r="J725" s="32"/>
      <c r="K725" s="32"/>
      <c r="L725" s="32"/>
      <c r="M725" s="32"/>
      <c r="N725" s="32"/>
      <c r="O725" s="32"/>
      <c r="P725" s="32"/>
      <c r="Q725" s="32"/>
      <c r="R725" s="32"/>
      <c r="S725" s="32"/>
      <c r="T725" s="32"/>
      <c r="U725" s="32"/>
      <c r="V725" s="32"/>
      <c r="W725" s="32"/>
      <c r="X725" s="32"/>
      <c r="Y725" s="32"/>
      <c r="Z725" s="32"/>
    </row>
    <row r="726">
      <c r="A726" s="32" t="str">
        <f>IFERROR(__xludf.DUMMYFUNCTION("""COMPUTED_VALUE"""),"Sorcerer's Hood")</f>
        <v>Sorcerer's Hood</v>
      </c>
      <c r="B726" s="32"/>
      <c r="C726" s="32" t="str">
        <f>IFERROR(__xludf.DUMMYFUNCTION("""COMPUTED_VALUE"""),"Item")</f>
        <v>Item</v>
      </c>
      <c r="D726" s="32" t="str">
        <f>IFERROR(__xludf.DUMMYFUNCTION("""COMPUTED_VALUE"""),"Head")</f>
        <v>Head</v>
      </c>
      <c r="E726" s="32">
        <f>IFERROR(__xludf.DUMMYFUNCTION("""COMPUTED_VALUE"""),1.0)</f>
        <v>1</v>
      </c>
      <c r="F726" s="32" t="str">
        <f>IFERROR(__xludf.DUMMYFUNCTION("""COMPUTED_VALUE""")," ++2500 additional HP and SP. ++Plus 2 Wisdom. +-Cannot be forged. +-Cannot be duplicateed.")</f>
        <v> ++2500 additional HP and SP. ++Plus 2 Wisdom. +-Cannot be forged. +-Cannot be duplicateed.</v>
      </c>
      <c r="G726" s="32">
        <f>IFERROR(__xludf.DUMMYFUNCTION("""COMPUTED_VALUE"""),0.0)</f>
        <v>0</v>
      </c>
      <c r="H726" s="32"/>
      <c r="I726" s="32"/>
      <c r="J726" s="32"/>
      <c r="K726" s="32"/>
      <c r="L726" s="32"/>
      <c r="M726" s="32"/>
      <c r="N726" s="32"/>
      <c r="O726" s="32"/>
      <c r="P726" s="32"/>
      <c r="Q726" s="32"/>
      <c r="R726" s="32"/>
      <c r="S726" s="32"/>
      <c r="T726" s="32"/>
      <c r="U726" s="32"/>
      <c r="V726" s="32"/>
      <c r="W726" s="32"/>
      <c r="X726" s="32"/>
      <c r="Y726" s="32"/>
      <c r="Z726" s="32"/>
    </row>
    <row r="727">
      <c r="A727" s="32" t="str">
        <f>IFERROR(__xludf.DUMMYFUNCTION("""COMPUTED_VALUE"""),"Sorcerer's Cloak")</f>
        <v>Sorcerer's Cloak</v>
      </c>
      <c r="B727" s="32"/>
      <c r="C727" s="32" t="str">
        <f>IFERROR(__xludf.DUMMYFUNCTION("""COMPUTED_VALUE"""),"Item")</f>
        <v>Item</v>
      </c>
      <c r="D727" s="32" t="str">
        <f>IFERROR(__xludf.DUMMYFUNCTION("""COMPUTED_VALUE"""),"Torso")</f>
        <v>Torso</v>
      </c>
      <c r="E727" s="32">
        <f>IFERROR(__xludf.DUMMYFUNCTION("""COMPUTED_VALUE"""),1.0)</f>
        <v>1</v>
      </c>
      <c r="F727" s="32" t="str">
        <f>IFERROR(__xludf.DUMMYFUNCTION("""COMPUTED_VALUE""")," ++2500 additional HP and SP. ++Plus 2 Wisdom. +-Cannot be forged. +-Cannot be duplicateed.")</f>
        <v> ++2500 additional HP and SP. ++Plus 2 Wisdom. +-Cannot be forged. +-Cannot be duplicateed.</v>
      </c>
      <c r="G727" s="32">
        <f>IFERROR(__xludf.DUMMYFUNCTION("""COMPUTED_VALUE"""),0.0)</f>
        <v>0</v>
      </c>
      <c r="H727" s="32"/>
      <c r="I727" s="32"/>
      <c r="J727" s="32"/>
      <c r="K727" s="32"/>
      <c r="L727" s="32"/>
      <c r="M727" s="32"/>
      <c r="N727" s="32"/>
      <c r="O727" s="32"/>
      <c r="P727" s="32"/>
      <c r="Q727" s="32"/>
      <c r="R727" s="32"/>
      <c r="S727" s="32"/>
      <c r="T727" s="32"/>
      <c r="U727" s="32"/>
      <c r="V727" s="32"/>
      <c r="W727" s="32"/>
      <c r="X727" s="32"/>
      <c r="Y727" s="32"/>
      <c r="Z727" s="32"/>
    </row>
    <row r="728">
      <c r="A728" s="32" t="str">
        <f>IFERROR(__xludf.DUMMYFUNCTION("""COMPUTED_VALUE"""),"Sorcerer's Shoes")</f>
        <v>Sorcerer's Shoes</v>
      </c>
      <c r="B728" s="32"/>
      <c r="C728" s="32" t="str">
        <f>IFERROR(__xludf.DUMMYFUNCTION("""COMPUTED_VALUE"""),"Item")</f>
        <v>Item</v>
      </c>
      <c r="D728" s="32" t="str">
        <f>IFERROR(__xludf.DUMMYFUNCTION("""COMPUTED_VALUE"""),"Feet")</f>
        <v>Feet</v>
      </c>
      <c r="E728" s="32">
        <f>IFERROR(__xludf.DUMMYFUNCTION("""COMPUTED_VALUE"""),1.0)</f>
        <v>1</v>
      </c>
      <c r="F728" s="32" t="str">
        <f>IFERROR(__xludf.DUMMYFUNCTION("""COMPUTED_VALUE""")," ++2500 additional HP and SP. ++Plus 1 Wisdom. +-Cannot be forged. +-Cannot be duplicateed.")</f>
        <v> ++2500 additional HP and SP. ++Plus 1 Wisdom. +-Cannot be forged. +-Cannot be duplicateed.</v>
      </c>
      <c r="G728" s="32">
        <f>IFERROR(__xludf.DUMMYFUNCTION("""COMPUTED_VALUE"""),0.0)</f>
        <v>0</v>
      </c>
      <c r="H728" s="32"/>
      <c r="I728" s="32"/>
      <c r="J728" s="32"/>
      <c r="K728" s="32"/>
      <c r="L728" s="32"/>
      <c r="M728" s="32"/>
      <c r="N728" s="32"/>
      <c r="O728" s="32"/>
      <c r="P728" s="32"/>
      <c r="Q728" s="32"/>
      <c r="R728" s="32"/>
      <c r="S728" s="32"/>
      <c r="T728" s="32"/>
      <c r="U728" s="32"/>
      <c r="V728" s="32"/>
      <c r="W728" s="32"/>
      <c r="X728" s="32"/>
      <c r="Y728" s="32"/>
      <c r="Z728" s="32"/>
    </row>
    <row r="729">
      <c r="A729" s="32" t="str">
        <f>IFERROR(__xludf.DUMMYFUNCTION("""COMPUTED_VALUE"""),"Wizard's Hood")</f>
        <v>Wizard's Hood</v>
      </c>
      <c r="B729" s="32"/>
      <c r="C729" s="32" t="str">
        <f>IFERROR(__xludf.DUMMYFUNCTION("""COMPUTED_VALUE"""),"Item")</f>
        <v>Item</v>
      </c>
      <c r="D729" s="32" t="str">
        <f>IFERROR(__xludf.DUMMYFUNCTION("""COMPUTED_VALUE"""),"Head")</f>
        <v>Head</v>
      </c>
      <c r="E729" s="32">
        <f>IFERROR(__xludf.DUMMYFUNCTION("""COMPUTED_VALUE"""),1.0)</f>
        <v>1</v>
      </c>
      <c r="F729" s="32" t="str">
        <f>IFERROR(__xludf.DUMMYFUNCTION("""COMPUTED_VALUE""")," ++1000 additional HP and SP. ++X2 Spell Damage. +-Cannot be forged. +-Cannot be duplicateed.")</f>
        <v> ++1000 additional HP and SP. ++X2 Spell Damage. +-Cannot be forged. +-Cannot be duplicateed.</v>
      </c>
      <c r="G729" s="32">
        <f>IFERROR(__xludf.DUMMYFUNCTION("""COMPUTED_VALUE"""),0.0)</f>
        <v>0</v>
      </c>
      <c r="H729" s="32"/>
      <c r="I729" s="32"/>
      <c r="J729" s="32"/>
      <c r="K729" s="32"/>
      <c r="L729" s="32"/>
      <c r="M729" s="32"/>
      <c r="N729" s="32"/>
      <c r="O729" s="32"/>
      <c r="P729" s="32"/>
      <c r="Q729" s="32"/>
      <c r="R729" s="32"/>
      <c r="S729" s="32"/>
      <c r="T729" s="32"/>
      <c r="U729" s="32"/>
      <c r="V729" s="32"/>
      <c r="W729" s="32"/>
      <c r="X729" s="32"/>
      <c r="Y729" s="32"/>
      <c r="Z729" s="32"/>
    </row>
    <row r="730">
      <c r="A730" s="32" t="str">
        <f>IFERROR(__xludf.DUMMYFUNCTION("""COMPUTED_VALUE"""),"Wizard's Cloak")</f>
        <v>Wizard's Cloak</v>
      </c>
      <c r="B730" s="32"/>
      <c r="C730" s="32" t="str">
        <f>IFERROR(__xludf.DUMMYFUNCTION("""COMPUTED_VALUE"""),"Item")</f>
        <v>Item</v>
      </c>
      <c r="D730" s="32" t="str">
        <f>IFERROR(__xludf.DUMMYFUNCTION("""COMPUTED_VALUE"""),"Torso")</f>
        <v>Torso</v>
      </c>
      <c r="E730" s="32">
        <f>IFERROR(__xludf.DUMMYFUNCTION("""COMPUTED_VALUE"""),1.0)</f>
        <v>1</v>
      </c>
      <c r="F730" s="32" t="str">
        <f>IFERROR(__xludf.DUMMYFUNCTION("""COMPUTED_VALUE""")," ++1000 additional HP and SP. ++X2 Spell Damage. +-Cannot be forged. +-Cannot be duplicateed.")</f>
        <v> ++1000 additional HP and SP. ++X2 Spell Damage. +-Cannot be forged. +-Cannot be duplicateed.</v>
      </c>
      <c r="G730" s="32">
        <f>IFERROR(__xludf.DUMMYFUNCTION("""COMPUTED_VALUE"""),0.0)</f>
        <v>0</v>
      </c>
      <c r="H730" s="32"/>
      <c r="I730" s="32"/>
      <c r="J730" s="32"/>
      <c r="K730" s="32"/>
      <c r="L730" s="32"/>
      <c r="M730" s="32"/>
      <c r="N730" s="32"/>
      <c r="O730" s="32"/>
      <c r="P730" s="32"/>
      <c r="Q730" s="32"/>
      <c r="R730" s="32"/>
      <c r="S730" s="32"/>
      <c r="T730" s="32"/>
      <c r="U730" s="32"/>
      <c r="V730" s="32"/>
      <c r="W730" s="32"/>
      <c r="X730" s="32"/>
      <c r="Y730" s="32"/>
      <c r="Z730" s="32"/>
    </row>
    <row r="731">
      <c r="A731" s="32" t="str">
        <f>IFERROR(__xludf.DUMMYFUNCTION("""COMPUTED_VALUE"""),"Wizard's Shoes")</f>
        <v>Wizard's Shoes</v>
      </c>
      <c r="B731" s="32"/>
      <c r="C731" s="32" t="str">
        <f>IFERROR(__xludf.DUMMYFUNCTION("""COMPUTED_VALUE"""),"Item")</f>
        <v>Item</v>
      </c>
      <c r="D731" s="32" t="str">
        <f>IFERROR(__xludf.DUMMYFUNCTION("""COMPUTED_VALUE"""),"Feet")</f>
        <v>Feet</v>
      </c>
      <c r="E731" s="32">
        <f>IFERROR(__xludf.DUMMYFUNCTION("""COMPUTED_VALUE"""),1.0)</f>
        <v>1</v>
      </c>
      <c r="F731" s="32" t="str">
        <f>IFERROR(__xludf.DUMMYFUNCTION("""COMPUTED_VALUE""")," ++1000 additional HP and SP. ++X2 Spell Damage. +-Cannot be forged. +-Cannot be duplicateed.")</f>
        <v> ++1000 additional HP and SP. ++X2 Spell Damage. +-Cannot be forged. +-Cannot be duplicateed.</v>
      </c>
      <c r="G731" s="32">
        <f>IFERROR(__xludf.DUMMYFUNCTION("""COMPUTED_VALUE"""),0.0)</f>
        <v>0</v>
      </c>
      <c r="H731" s="32"/>
      <c r="I731" s="32"/>
      <c r="J731" s="32"/>
      <c r="K731" s="32"/>
      <c r="L731" s="32"/>
      <c r="M731" s="32"/>
      <c r="N731" s="32"/>
      <c r="O731" s="32"/>
      <c r="P731" s="32"/>
      <c r="Q731" s="32"/>
      <c r="R731" s="32"/>
      <c r="S731" s="32"/>
      <c r="T731" s="32"/>
      <c r="U731" s="32"/>
      <c r="V731" s="32"/>
      <c r="W731" s="32"/>
      <c r="X731" s="32"/>
      <c r="Y731" s="32"/>
      <c r="Z731" s="32"/>
    </row>
    <row r="732">
      <c r="A732" s="32" t="str">
        <f>IFERROR(__xludf.DUMMYFUNCTION("""COMPUTED_VALUE"""),"Gunslinger's Cap")</f>
        <v>Gunslinger's Cap</v>
      </c>
      <c r="B732" s="32"/>
      <c r="C732" s="32" t="str">
        <f>IFERROR(__xludf.DUMMYFUNCTION("""COMPUTED_VALUE"""),"Item")</f>
        <v>Item</v>
      </c>
      <c r="D732" s="32" t="str">
        <f>IFERROR(__xludf.DUMMYFUNCTION("""COMPUTED_VALUE"""),"Head")</f>
        <v>Head</v>
      </c>
      <c r="E732" s="32">
        <f>IFERROR(__xludf.DUMMYFUNCTION("""COMPUTED_VALUE"""),1.0)</f>
        <v>1</v>
      </c>
      <c r="F732" s="32" t="str">
        <f>IFERROR(__xludf.DUMMYFUNCTION("""COMPUTED_VALUE""")," ++10,000 ACC and ATK. ++2 Mobility +-Cannot be forged or duplicated")</f>
        <v> ++10,000 ACC and ATK. ++2 Mobility +-Cannot be forged or duplicated</v>
      </c>
      <c r="G732" s="32">
        <f>IFERROR(__xludf.DUMMYFUNCTION("""COMPUTED_VALUE"""),0.0)</f>
        <v>0</v>
      </c>
      <c r="H732" s="32"/>
      <c r="I732" s="32"/>
      <c r="J732" s="32"/>
      <c r="K732" s="32"/>
      <c r="L732" s="32"/>
      <c r="M732" s="32"/>
      <c r="N732" s="32"/>
      <c r="O732" s="32"/>
      <c r="P732" s="32"/>
      <c r="Q732" s="32"/>
      <c r="R732" s="32"/>
      <c r="S732" s="32"/>
      <c r="T732" s="32"/>
      <c r="U732" s="32"/>
      <c r="V732" s="32"/>
      <c r="W732" s="32"/>
      <c r="X732" s="32"/>
      <c r="Y732" s="32"/>
      <c r="Z732" s="32"/>
    </row>
    <row r="733">
      <c r="A733" s="32" t="str">
        <f>IFERROR(__xludf.DUMMYFUNCTION("""COMPUTED_VALUE"""),"Gunslinger's Shirt")</f>
        <v>Gunslinger's Shirt</v>
      </c>
      <c r="B733" s="32"/>
      <c r="C733" s="32" t="str">
        <f>IFERROR(__xludf.DUMMYFUNCTION("""COMPUTED_VALUE"""),"Item")</f>
        <v>Item</v>
      </c>
      <c r="D733" s="32" t="str">
        <f>IFERROR(__xludf.DUMMYFUNCTION("""COMPUTED_VALUE"""),"Torso")</f>
        <v>Torso</v>
      </c>
      <c r="E733" s="32">
        <f>IFERROR(__xludf.DUMMYFUNCTION("""COMPUTED_VALUE"""),1.0)</f>
        <v>1</v>
      </c>
      <c r="F733" s="32" t="str">
        <f>IFERROR(__xludf.DUMMYFUNCTION("""COMPUTED_VALUE""")," ++10,000 ACC and ATK. ++2 Mobility +-Cannot be forged or duplicated")</f>
        <v> ++10,000 ACC and ATK. ++2 Mobility +-Cannot be forged or duplicated</v>
      </c>
      <c r="G733" s="32">
        <f>IFERROR(__xludf.DUMMYFUNCTION("""COMPUTED_VALUE"""),0.0)</f>
        <v>0</v>
      </c>
      <c r="H733" s="32"/>
      <c r="I733" s="32"/>
      <c r="J733" s="32"/>
      <c r="K733" s="32"/>
      <c r="L733" s="32"/>
      <c r="M733" s="32"/>
      <c r="N733" s="32"/>
      <c r="O733" s="32"/>
      <c r="P733" s="32"/>
      <c r="Q733" s="32"/>
      <c r="R733" s="32"/>
      <c r="S733" s="32"/>
      <c r="T733" s="32"/>
      <c r="U733" s="32"/>
      <c r="V733" s="32"/>
      <c r="W733" s="32"/>
      <c r="X733" s="32"/>
      <c r="Y733" s="32"/>
      <c r="Z733" s="32"/>
    </row>
    <row r="734">
      <c r="A734" s="32" t="str">
        <f>IFERROR(__xludf.DUMMYFUNCTION("""COMPUTED_VALUE"""),"Gunslinger's Boots")</f>
        <v>Gunslinger's Boots</v>
      </c>
      <c r="B734" s="32"/>
      <c r="C734" s="32" t="str">
        <f>IFERROR(__xludf.DUMMYFUNCTION("""COMPUTED_VALUE"""),"Item")</f>
        <v>Item</v>
      </c>
      <c r="D734" s="32" t="str">
        <f>IFERROR(__xludf.DUMMYFUNCTION("""COMPUTED_VALUE"""),"Feet")</f>
        <v>Feet</v>
      </c>
      <c r="E734" s="32">
        <f>IFERROR(__xludf.DUMMYFUNCTION("""COMPUTED_VALUE"""),1.0)</f>
        <v>1</v>
      </c>
      <c r="F734" s="32" t="str">
        <f>IFERROR(__xludf.DUMMYFUNCTION("""COMPUTED_VALUE""")," ++10,000 ACC and ATK. ++1 Mobility +-Cannot be forged or duplicated")</f>
        <v> ++10,000 ACC and ATK. ++1 Mobility +-Cannot be forged or duplicated</v>
      </c>
      <c r="G734" s="32">
        <f>IFERROR(__xludf.DUMMYFUNCTION("""COMPUTED_VALUE"""),0.0)</f>
        <v>0</v>
      </c>
      <c r="H734" s="32"/>
      <c r="I734" s="32"/>
      <c r="J734" s="32"/>
      <c r="K734" s="32"/>
      <c r="L734" s="32"/>
      <c r="M734" s="32"/>
      <c r="N734" s="32"/>
      <c r="O734" s="32"/>
      <c r="P734" s="32"/>
      <c r="Q734" s="32"/>
      <c r="R734" s="32"/>
      <c r="S734" s="32"/>
      <c r="T734" s="32"/>
      <c r="U734" s="32"/>
      <c r="V734" s="32"/>
      <c r="W734" s="32"/>
      <c r="X734" s="32"/>
      <c r="Y734" s="32"/>
      <c r="Z734" s="32"/>
    </row>
    <row r="735">
      <c r="A735" s="32" t="str">
        <f>IFERROR(__xludf.DUMMYFUNCTION("""COMPUTED_VALUE"""),"Bard's Coif")</f>
        <v>Bard's Coif</v>
      </c>
      <c r="B735" s="32"/>
      <c r="C735" s="32" t="str">
        <f>IFERROR(__xludf.DUMMYFUNCTION("""COMPUTED_VALUE"""),"Item")</f>
        <v>Item</v>
      </c>
      <c r="D735" s="32" t="str">
        <f>IFERROR(__xludf.DUMMYFUNCTION("""COMPUTED_VALUE"""),"Head")</f>
        <v>Head</v>
      </c>
      <c r="E735" s="32">
        <f>IFERROR(__xludf.DUMMYFUNCTION("""COMPUTED_VALUE"""),1.0)</f>
        <v>1</v>
      </c>
      <c r="F735" s="32" t="str">
        <f>IFERROR(__xludf.DUMMYFUNCTION("""COMPUTED_VALUE""")," ++10,000 ACC and ATK. ++2 Charisma +-Cannot be forged or duplicated")</f>
        <v> ++10,000 ACC and ATK. ++2 Charisma +-Cannot be forged or duplicated</v>
      </c>
      <c r="G735" s="32">
        <f>IFERROR(__xludf.DUMMYFUNCTION("""COMPUTED_VALUE"""),0.0)</f>
        <v>0</v>
      </c>
      <c r="H735" s="32"/>
      <c r="I735" s="32"/>
      <c r="J735" s="32"/>
      <c r="K735" s="32"/>
      <c r="L735" s="32"/>
      <c r="M735" s="32"/>
      <c r="N735" s="32"/>
      <c r="O735" s="32"/>
      <c r="P735" s="32"/>
      <c r="Q735" s="32"/>
      <c r="R735" s="32"/>
      <c r="S735" s="32"/>
      <c r="T735" s="32"/>
      <c r="U735" s="32"/>
      <c r="V735" s="32"/>
      <c r="W735" s="32"/>
      <c r="X735" s="32"/>
      <c r="Y735" s="32"/>
      <c r="Z735" s="32"/>
    </row>
    <row r="736">
      <c r="A736" s="32" t="str">
        <f>IFERROR(__xludf.DUMMYFUNCTION("""COMPUTED_VALUE"""),"Bard's Gambeson")</f>
        <v>Bard's Gambeson</v>
      </c>
      <c r="B736" s="32"/>
      <c r="C736" s="32" t="str">
        <f>IFERROR(__xludf.DUMMYFUNCTION("""COMPUTED_VALUE"""),"Item")</f>
        <v>Item</v>
      </c>
      <c r="D736" s="32" t="str">
        <f>IFERROR(__xludf.DUMMYFUNCTION("""COMPUTED_VALUE"""),"Torso")</f>
        <v>Torso</v>
      </c>
      <c r="E736" s="32">
        <f>IFERROR(__xludf.DUMMYFUNCTION("""COMPUTED_VALUE"""),1.0)</f>
        <v>1</v>
      </c>
      <c r="F736" s="32" t="str">
        <f>IFERROR(__xludf.DUMMYFUNCTION("""COMPUTED_VALUE""")," ++10,000 ACC and ATK. ++2 Charisma +-Cannot be forged or duplicated")</f>
        <v> ++10,000 ACC and ATK. ++2 Charisma +-Cannot be forged or duplicated</v>
      </c>
      <c r="G736" s="32">
        <f>IFERROR(__xludf.DUMMYFUNCTION("""COMPUTED_VALUE"""),0.0)</f>
        <v>0</v>
      </c>
      <c r="H736" s="32"/>
      <c r="I736" s="32"/>
      <c r="J736" s="32"/>
      <c r="K736" s="32"/>
      <c r="L736" s="32"/>
      <c r="M736" s="32"/>
      <c r="N736" s="32"/>
      <c r="O736" s="32"/>
      <c r="P736" s="32"/>
      <c r="Q736" s="32"/>
      <c r="R736" s="32"/>
      <c r="S736" s="32"/>
      <c r="T736" s="32"/>
      <c r="U736" s="32"/>
      <c r="V736" s="32"/>
      <c r="W736" s="32"/>
      <c r="X736" s="32"/>
      <c r="Y736" s="32"/>
      <c r="Z736" s="32"/>
    </row>
    <row r="737">
      <c r="A737" s="32" t="str">
        <f>IFERROR(__xludf.DUMMYFUNCTION("""COMPUTED_VALUE"""),"Bard's Shoes")</f>
        <v>Bard's Shoes</v>
      </c>
      <c r="B737" s="32"/>
      <c r="C737" s="32" t="str">
        <f>IFERROR(__xludf.DUMMYFUNCTION("""COMPUTED_VALUE"""),"Item")</f>
        <v>Item</v>
      </c>
      <c r="D737" s="32" t="str">
        <f>IFERROR(__xludf.DUMMYFUNCTION("""COMPUTED_VALUE"""),"Feet")</f>
        <v>Feet</v>
      </c>
      <c r="E737" s="32">
        <f>IFERROR(__xludf.DUMMYFUNCTION("""COMPUTED_VALUE"""),1.0)</f>
        <v>1</v>
      </c>
      <c r="F737" s="32" t="str">
        <f>IFERROR(__xludf.DUMMYFUNCTION("""COMPUTED_VALUE""")," ++10,000 ACC and ATK. ++1 Charisma +-Cannot be forged or duplicated")</f>
        <v> ++10,000 ACC and ATK. ++1 Charisma +-Cannot be forged or duplicated</v>
      </c>
      <c r="G737" s="32">
        <f>IFERROR(__xludf.DUMMYFUNCTION("""COMPUTED_VALUE"""),0.0)</f>
        <v>0</v>
      </c>
      <c r="H737" s="32"/>
      <c r="I737" s="32"/>
      <c r="J737" s="32"/>
      <c r="K737" s="32"/>
      <c r="L737" s="32"/>
      <c r="M737" s="32"/>
      <c r="N737" s="32"/>
      <c r="O737" s="32"/>
      <c r="P737" s="32"/>
      <c r="Q737" s="32"/>
      <c r="R737" s="32"/>
      <c r="S737" s="32"/>
      <c r="T737" s="32"/>
      <c r="U737" s="32"/>
      <c r="V737" s="32"/>
      <c r="W737" s="32"/>
      <c r="X737" s="32"/>
      <c r="Y737" s="32"/>
      <c r="Z737" s="32"/>
    </row>
    <row r="738">
      <c r="A738" s="32" t="str">
        <f>IFERROR(__xludf.DUMMYFUNCTION("""COMPUTED_VALUE"""),"Dragonscale Skirt")</f>
        <v>Dragonscale Skirt</v>
      </c>
      <c r="B738" s="32"/>
      <c r="C738" s="32" t="str">
        <f>IFERROR(__xludf.DUMMYFUNCTION("""COMPUTED_VALUE"""),"Item")</f>
        <v>Item</v>
      </c>
      <c r="D738" s="32" t="str">
        <f>IFERROR(__xludf.DUMMYFUNCTION("""COMPUTED_VALUE"""),"Legs")</f>
        <v>Legs</v>
      </c>
      <c r="E738" s="32">
        <f>IFERROR(__xludf.DUMMYFUNCTION("""COMPUTED_VALUE"""),1.0)</f>
        <v>1</v>
      </c>
      <c r="F738" s="32" t="str">
        <f>IFERROR(__xludf.DUMMYFUNCTION("""COMPUTED_VALUE""")," ++7,000 additional HP and SP, ++2 Mobility +-Cannot be forged or duplicated")</f>
        <v> ++7,000 additional HP and SP, ++2 Mobility +-Cannot be forged or duplicated</v>
      </c>
      <c r="G738" s="32">
        <f>IFERROR(__xludf.DUMMYFUNCTION("""COMPUTED_VALUE"""),0.0)</f>
        <v>0</v>
      </c>
      <c r="H738" s="32"/>
      <c r="I738" s="32"/>
      <c r="J738" s="32"/>
      <c r="K738" s="32"/>
      <c r="L738" s="32"/>
      <c r="M738" s="32"/>
      <c r="N738" s="32"/>
      <c r="O738" s="32"/>
      <c r="P738" s="32"/>
      <c r="Q738" s="32"/>
      <c r="R738" s="32"/>
      <c r="S738" s="32"/>
      <c r="T738" s="32"/>
      <c r="U738" s="32"/>
      <c r="V738" s="32"/>
      <c r="W738" s="32"/>
      <c r="X738" s="32"/>
      <c r="Y738" s="32"/>
      <c r="Z738" s="32"/>
    </row>
    <row r="739">
      <c r="A739" s="32" t="str">
        <f>IFERROR(__xludf.DUMMYFUNCTION("""COMPUTED_VALUE"""),"Dragonscale Cape")</f>
        <v>Dragonscale Cape</v>
      </c>
      <c r="B739" s="32"/>
      <c r="C739" s="32" t="str">
        <f>IFERROR(__xludf.DUMMYFUNCTION("""COMPUTED_VALUE"""),"Item")</f>
        <v>Item</v>
      </c>
      <c r="D739" s="32" t="str">
        <f>IFERROR(__xludf.DUMMYFUNCTION("""COMPUTED_VALUE"""),"Shoulders")</f>
        <v>Shoulders</v>
      </c>
      <c r="E739" s="32">
        <f>IFERROR(__xludf.DUMMYFUNCTION("""COMPUTED_VALUE"""),1.0)</f>
        <v>1</v>
      </c>
      <c r="F739" s="32" t="str">
        <f>IFERROR(__xludf.DUMMYFUNCTION("""COMPUTED_VALUE""")," ++8,300 additional HP and SP, +-Cannot be forged or duplicated")</f>
        <v> ++8,300 additional HP and SP, +-Cannot be forged or duplicated</v>
      </c>
      <c r="G739" s="32">
        <f>IFERROR(__xludf.DUMMYFUNCTION("""COMPUTED_VALUE"""),0.0)</f>
        <v>0</v>
      </c>
      <c r="H739" s="32"/>
      <c r="I739" s="32"/>
      <c r="J739" s="32"/>
      <c r="K739" s="32"/>
      <c r="L739" s="32"/>
      <c r="M739" s="32"/>
      <c r="N739" s="32"/>
      <c r="O739" s="32"/>
      <c r="P739" s="32"/>
      <c r="Q739" s="32"/>
      <c r="R739" s="32"/>
      <c r="S739" s="32"/>
      <c r="T739" s="32"/>
      <c r="U739" s="32"/>
      <c r="V739" s="32"/>
      <c r="W739" s="32"/>
      <c r="X739" s="32"/>
      <c r="Y739" s="32"/>
      <c r="Z739" s="32"/>
    </row>
    <row r="740">
      <c r="A740" s="32" t="str">
        <f>IFERROR(__xludf.DUMMYFUNCTION("""COMPUTED_VALUE"""),"Broken Dragonscale Mail")</f>
        <v>Broken Dragonscale Mail</v>
      </c>
      <c r="B740" s="32"/>
      <c r="C740" s="32" t="str">
        <f>IFERROR(__xludf.DUMMYFUNCTION("""COMPUTED_VALUE"""),"Item")</f>
        <v>Item</v>
      </c>
      <c r="D740" s="32" t="str">
        <f>IFERROR(__xludf.DUMMYFUNCTION("""COMPUTED_VALUE"""),"Torso")</f>
        <v>Torso</v>
      </c>
      <c r="E740" s="32">
        <f>IFERROR(__xludf.DUMMYFUNCTION("""COMPUTED_VALUE"""),980.0)</f>
        <v>980</v>
      </c>
      <c r="F740" s="32" t="str">
        <f>IFERROR(__xludf.DUMMYFUNCTION("""COMPUTED_VALUE"""),"DEF: +48900 +-5% chance of breaking when wearer is attacked")</f>
        <v>DEF: +48900 +-5% chance of breaking when wearer is attacked</v>
      </c>
      <c r="G740" s="32">
        <f>IFERROR(__xludf.DUMMYFUNCTION("""COMPUTED_VALUE"""),4.656E7)</f>
        <v>46560000</v>
      </c>
      <c r="H740" s="32"/>
      <c r="I740" s="32"/>
      <c r="J740" s="32"/>
      <c r="K740" s="32"/>
      <c r="L740" s="32"/>
      <c r="M740" s="32"/>
      <c r="N740" s="32"/>
      <c r="O740" s="32"/>
      <c r="P740" s="32"/>
      <c r="Q740" s="32"/>
      <c r="R740" s="32"/>
      <c r="S740" s="32"/>
      <c r="T740" s="32"/>
      <c r="U740" s="32"/>
      <c r="V740" s="32"/>
      <c r="W740" s="32"/>
      <c r="X740" s="32"/>
      <c r="Y740" s="32"/>
      <c r="Z740" s="32"/>
    </row>
    <row r="741">
      <c r="A741" s="32" t="str">
        <f>IFERROR(__xludf.DUMMYFUNCTION("""COMPUTED_VALUE"""),"Dragonscale Mail")</f>
        <v>Dragonscale Mail</v>
      </c>
      <c r="B741" s="32"/>
      <c r="C741" s="32" t="str">
        <f>IFERROR(__xludf.DUMMYFUNCTION("""COMPUTED_VALUE"""),"Item")</f>
        <v>Item</v>
      </c>
      <c r="D741" s="32" t="str">
        <f>IFERROR(__xludf.DUMMYFUNCTION("""COMPUTED_VALUE"""),"Torso")</f>
        <v>Torso</v>
      </c>
      <c r="E741" s="32">
        <f>IFERROR(__xludf.DUMMYFUNCTION("""COMPUTED_VALUE"""),3000.0)</f>
        <v>3000</v>
      </c>
      <c r="F741" s="32" t="str">
        <f>IFERROR(__xludf.DUMMYFUNCTION("""COMPUTED_VALUE"""),"DEF: +150000")</f>
        <v>DEF: +150000</v>
      </c>
      <c r="G741" s="32">
        <f>IFERROR(__xludf.DUMMYFUNCTION("""COMPUTED_VALUE"""),4.485E8)</f>
        <v>448500000</v>
      </c>
      <c r="H741" s="32"/>
      <c r="I741" s="32"/>
      <c r="J741" s="32"/>
      <c r="K741" s="32"/>
      <c r="L741" s="32"/>
      <c r="M741" s="32"/>
      <c r="N741" s="32"/>
      <c r="O741" s="32"/>
      <c r="P741" s="32"/>
      <c r="Q741" s="32"/>
      <c r="R741" s="32"/>
      <c r="S741" s="32"/>
      <c r="T741" s="32"/>
      <c r="U741" s="32"/>
      <c r="V741" s="32"/>
      <c r="W741" s="32"/>
      <c r="X741" s="32"/>
      <c r="Y741" s="32"/>
      <c r="Z741" s="32"/>
    </row>
    <row r="742">
      <c r="A742" s="32" t="str">
        <f>IFERROR(__xludf.DUMMYFUNCTION("""COMPUTED_VALUE"""),"Dragonscale Charm")</f>
        <v>Dragonscale Charm</v>
      </c>
      <c r="B742" s="32"/>
      <c r="C742" s="32" t="str">
        <f>IFERROR(__xludf.DUMMYFUNCTION("""COMPUTED_VALUE"""),"Item")</f>
        <v>Item</v>
      </c>
      <c r="D742" s="32" t="str">
        <f>IFERROR(__xludf.DUMMYFUNCTION("""COMPUTED_VALUE"""),"Neck")</f>
        <v>Neck</v>
      </c>
      <c r="E742" s="32">
        <f>IFERROR(__xludf.DUMMYFUNCTION("""COMPUTED_VALUE"""),1.0)</f>
        <v>1</v>
      </c>
      <c r="F742" s="32" t="str">
        <f>IFERROR(__xludf.DUMMYFUNCTION("""COMPUTED_VALUE""")," ++1000 additional HP and SP for every piece of Dragonscale equipment equipped +-Cannot be forged or duplicated")</f>
        <v> ++1000 additional HP and SP for every piece of Dragonscale equipment equipped +-Cannot be forged or duplicated</v>
      </c>
      <c r="G742" s="32">
        <f>IFERROR(__xludf.DUMMYFUNCTION("""COMPUTED_VALUE"""),0.0)</f>
        <v>0</v>
      </c>
      <c r="H742" s="32"/>
      <c r="I742" s="32"/>
      <c r="J742" s="32"/>
      <c r="K742" s="32"/>
      <c r="L742" s="32"/>
      <c r="M742" s="32"/>
      <c r="N742" s="32"/>
      <c r="O742" s="32"/>
      <c r="P742" s="32"/>
      <c r="Q742" s="32"/>
      <c r="R742" s="32"/>
      <c r="S742" s="32"/>
      <c r="T742" s="32"/>
      <c r="U742" s="32"/>
      <c r="V742" s="32"/>
      <c r="W742" s="32"/>
      <c r="X742" s="32"/>
      <c r="Y742" s="32"/>
      <c r="Z742" s="32"/>
    </row>
    <row r="743">
      <c r="A743" s="32" t="str">
        <f>IFERROR(__xludf.DUMMYFUNCTION("""COMPUTED_VALUE"""),"Dragonscale Sandals")</f>
        <v>Dragonscale Sandals</v>
      </c>
      <c r="B743" s="32"/>
      <c r="C743" s="32" t="str">
        <f>IFERROR(__xludf.DUMMYFUNCTION("""COMPUTED_VALUE"""),"Item")</f>
        <v>Item</v>
      </c>
      <c r="D743" s="32" t="str">
        <f>IFERROR(__xludf.DUMMYFUNCTION("""COMPUTED_VALUE"""),"Feet")</f>
        <v>Feet</v>
      </c>
      <c r="E743" s="32">
        <f>IFERROR(__xludf.DUMMYFUNCTION("""COMPUTED_VALUE"""),1.0)</f>
        <v>1</v>
      </c>
      <c r="F743" s="32" t="str">
        <f>IFERROR(__xludf.DUMMYFUNCTION("""COMPUTED_VALUE""")," ++2 Mobility +-Cannot be forged or duplicated")</f>
        <v> ++2 Mobility +-Cannot be forged or duplicated</v>
      </c>
      <c r="G743" s="32">
        <f>IFERROR(__xludf.DUMMYFUNCTION("""COMPUTED_VALUE"""),0.0)</f>
        <v>0</v>
      </c>
      <c r="H743" s="32"/>
      <c r="I743" s="32"/>
      <c r="J743" s="32"/>
      <c r="K743" s="32"/>
      <c r="L743" s="32"/>
      <c r="M743" s="32"/>
      <c r="N743" s="32"/>
      <c r="O743" s="32"/>
      <c r="P743" s="32"/>
      <c r="Q743" s="32"/>
      <c r="R743" s="32"/>
      <c r="S743" s="32"/>
      <c r="T743" s="32"/>
      <c r="U743" s="32"/>
      <c r="V743" s="32"/>
      <c r="W743" s="32"/>
      <c r="X743" s="32"/>
      <c r="Y743" s="32"/>
      <c r="Z743" s="32"/>
    </row>
    <row r="744">
      <c r="A744" s="32" t="str">
        <f>IFERROR(__xludf.DUMMYFUNCTION("""COMPUTED_VALUE"""),"Dragonscale Talisman")</f>
        <v>Dragonscale Talisman</v>
      </c>
      <c r="B744" s="32"/>
      <c r="C744" s="32" t="str">
        <f>IFERROR(__xludf.DUMMYFUNCTION("""COMPUTED_VALUE"""),"Item")</f>
        <v>Item</v>
      </c>
      <c r="D744" s="32" t="str">
        <f>IFERROR(__xludf.DUMMYFUNCTION("""COMPUTED_VALUE"""),"Neck")</f>
        <v>Neck</v>
      </c>
      <c r="E744" s="32">
        <f>IFERROR(__xludf.DUMMYFUNCTION("""COMPUTED_VALUE"""),1.0)</f>
        <v>1</v>
      </c>
      <c r="F744" s="32" t="str">
        <f>IFERROR(__xludf.DUMMYFUNCTION("""COMPUTED_VALUE""")," ++10000 additional HP and SP, +-Cannot be forged or duplicated")</f>
        <v> ++10000 additional HP and SP, +-Cannot be forged or duplicated</v>
      </c>
      <c r="G744" s="32">
        <f>IFERROR(__xludf.DUMMYFUNCTION("""COMPUTED_VALUE"""),0.0)</f>
        <v>0</v>
      </c>
      <c r="H744" s="32"/>
      <c r="I744" s="32"/>
      <c r="J744" s="32"/>
      <c r="K744" s="32"/>
      <c r="L744" s="32"/>
      <c r="M744" s="32"/>
      <c r="N744" s="32"/>
      <c r="O744" s="32"/>
      <c r="P744" s="32"/>
      <c r="Q744" s="32"/>
      <c r="R744" s="32"/>
      <c r="S744" s="32"/>
      <c r="T744" s="32"/>
      <c r="U744" s="32"/>
      <c r="V744" s="32"/>
      <c r="W744" s="32"/>
      <c r="X744" s="32"/>
      <c r="Y744" s="32"/>
      <c r="Z744" s="32"/>
    </row>
    <row r="745">
      <c r="A745" s="32" t="str">
        <f>IFERROR(__xludf.DUMMYFUNCTION("""COMPUTED_VALUE"""),"Dragonscale Water Ring")</f>
        <v>Dragonscale Water Ring</v>
      </c>
      <c r="B745" s="32"/>
      <c r="C745" s="32" t="str">
        <f>IFERROR(__xludf.DUMMYFUNCTION("""COMPUTED_VALUE"""),"Item")</f>
        <v>Item</v>
      </c>
      <c r="D745" s="32" t="str">
        <f>IFERROR(__xludf.DUMMYFUNCTION("""COMPUTED_VALUE"""),"Finger")</f>
        <v>Finger</v>
      </c>
      <c r="E745" s="32">
        <f>IFERROR(__xludf.DUMMYFUNCTION("""COMPUTED_VALUE"""),1.0)</f>
        <v>1</v>
      </c>
      <c r="F745" s="32" t="str">
        <f>IFERROR(__xludf.DUMMYFUNCTION("""COMPUTED_VALUE""")," ++Converts all Natural damage to Water damage +-Cannot be duplicated")</f>
        <v> ++Converts all Natural damage to Water damage +-Cannot be duplicated</v>
      </c>
      <c r="G745" s="32">
        <f>IFERROR(__xludf.DUMMYFUNCTION("""COMPUTED_VALUE"""),0.0)</f>
        <v>0</v>
      </c>
      <c r="H745" s="32"/>
      <c r="I745" s="32"/>
      <c r="J745" s="32"/>
      <c r="K745" s="32"/>
      <c r="L745" s="32"/>
      <c r="M745" s="32"/>
      <c r="N745" s="32"/>
      <c r="O745" s="32"/>
      <c r="P745" s="32"/>
      <c r="Q745" s="32"/>
      <c r="R745" s="32"/>
      <c r="S745" s="32"/>
      <c r="T745" s="32"/>
      <c r="U745" s="32"/>
      <c r="V745" s="32"/>
      <c r="W745" s="32"/>
      <c r="X745" s="32"/>
      <c r="Y745" s="32"/>
      <c r="Z745" s="32"/>
    </row>
    <row r="746">
      <c r="A746" s="32" t="str">
        <f>IFERROR(__xludf.DUMMYFUNCTION("""COMPUTED_VALUE"""),"Dragonscale Gauntlets")</f>
        <v>Dragonscale Gauntlets</v>
      </c>
      <c r="B746" s="32"/>
      <c r="C746" s="32" t="str">
        <f>IFERROR(__xludf.DUMMYFUNCTION("""COMPUTED_VALUE"""),"Gauntlet")</f>
        <v>Gauntlet</v>
      </c>
      <c r="D746" s="32" t="str">
        <f>IFERROR(__xludf.DUMMYFUNCTION("""COMPUTED_VALUE"""),"Hand")</f>
        <v>Hand</v>
      </c>
      <c r="E746" s="32">
        <f>IFERROR(__xludf.DUMMYFUNCTION("""COMPUTED_VALUE"""),2000.0)</f>
        <v>2000</v>
      </c>
      <c r="F746" s="32" t="str">
        <f>IFERROR(__xludf.DUMMYFUNCTION("""COMPUTED_VALUE"""),"DEF: +100000")</f>
        <v>DEF: +100000</v>
      </c>
      <c r="G746" s="32">
        <f>IFERROR(__xludf.DUMMYFUNCTION("""COMPUTED_VALUE"""),1.99E8)</f>
        <v>199000000</v>
      </c>
      <c r="H746" s="32"/>
      <c r="I746" s="32"/>
      <c r="J746" s="32"/>
      <c r="K746" s="32"/>
      <c r="L746" s="32"/>
      <c r="M746" s="32"/>
      <c r="N746" s="32"/>
      <c r="O746" s="32"/>
      <c r="P746" s="32"/>
      <c r="Q746" s="32"/>
      <c r="R746" s="32"/>
      <c r="S746" s="32"/>
      <c r="T746" s="32"/>
      <c r="U746" s="32"/>
      <c r="V746" s="32"/>
      <c r="W746" s="32"/>
      <c r="X746" s="32"/>
      <c r="Y746" s="32"/>
      <c r="Z746" s="32"/>
    </row>
    <row r="747">
      <c r="A747" s="32" t="str">
        <f>IFERROR(__xludf.DUMMYFUNCTION("""COMPUTED_VALUE"""),"Fire Dragonscale Bow")</f>
        <v>Fire Dragonscale Bow</v>
      </c>
      <c r="B747" s="32"/>
      <c r="C747" s="32" t="str">
        <f>IFERROR(__xludf.DUMMYFUNCTION("""COMPUTED_VALUE"""),"Bow")</f>
        <v>Bow</v>
      </c>
      <c r="D747" s="32" t="str">
        <f>IFERROR(__xludf.DUMMYFUNCTION("""COMPUTED_VALUE"""),"Hand")</f>
        <v>Hand</v>
      </c>
      <c r="E747" s="32">
        <f>IFERROR(__xludf.DUMMYFUNCTION("""COMPUTED_VALUE"""),3000.0)</f>
        <v>3000</v>
      </c>
      <c r="F747" s="32" t="str">
        <f>IFERROR(__xludf.DUMMYFUNCTION("""COMPUTED_VALUE"""),"DMG: +20000, Fire DMG: +130000")</f>
        <v>DMG: +20000, Fire DMG: +130000</v>
      </c>
      <c r="G747" s="32">
        <f>IFERROR(__xludf.DUMMYFUNCTION("""COMPUTED_VALUE"""),4.485E8)</f>
        <v>448500000</v>
      </c>
      <c r="H747" s="32"/>
      <c r="I747" s="32"/>
      <c r="J747" s="32"/>
      <c r="K747" s="32"/>
      <c r="L747" s="32"/>
      <c r="M747" s="32"/>
      <c r="N747" s="32"/>
      <c r="O747" s="32"/>
      <c r="P747" s="32"/>
      <c r="Q747" s="32"/>
      <c r="R747" s="32"/>
      <c r="S747" s="32"/>
      <c r="T747" s="32"/>
      <c r="U747" s="32"/>
      <c r="V747" s="32"/>
      <c r="W747" s="32"/>
      <c r="X747" s="32"/>
      <c r="Y747" s="32"/>
      <c r="Z747" s="32"/>
    </row>
    <row r="748">
      <c r="A748" s="32" t="str">
        <f>IFERROR(__xludf.DUMMYFUNCTION("""COMPUTED_VALUE"""),"Storm Dragonscale Flail")</f>
        <v>Storm Dragonscale Flail</v>
      </c>
      <c r="B748" s="32"/>
      <c r="C748" s="32" t="str">
        <f>IFERROR(__xludf.DUMMYFUNCTION("""COMPUTED_VALUE"""),"Club")</f>
        <v>Club</v>
      </c>
      <c r="D748" s="32" t="str">
        <f>IFERROR(__xludf.DUMMYFUNCTION("""COMPUTED_VALUE"""),"Hand")</f>
        <v>Hand</v>
      </c>
      <c r="E748" s="32">
        <f>IFERROR(__xludf.DUMMYFUNCTION("""COMPUTED_VALUE"""),2400.0)</f>
        <v>2400</v>
      </c>
      <c r="F748" s="32"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32">
        <f>IFERROR(__xludf.DUMMYFUNCTION("""COMPUTED_VALUE"""),2.868E8)</f>
        <v>286800000</v>
      </c>
      <c r="H748" s="32"/>
      <c r="I748" s="32"/>
      <c r="J748" s="32"/>
      <c r="K748" s="32"/>
      <c r="L748" s="32"/>
      <c r="M748" s="32"/>
      <c r="N748" s="32"/>
      <c r="O748" s="32"/>
      <c r="P748" s="32"/>
      <c r="Q748" s="32"/>
      <c r="R748" s="32"/>
      <c r="S748" s="32"/>
      <c r="T748" s="32"/>
      <c r="U748" s="32"/>
      <c r="V748" s="32"/>
      <c r="W748" s="32"/>
      <c r="X748" s="32"/>
      <c r="Y748" s="32"/>
      <c r="Z748" s="32"/>
    </row>
    <row r="749">
      <c r="A749" s="32" t="str">
        <f>IFERROR(__xludf.DUMMYFUNCTION("""COMPUTED_VALUE"""),"Dragonscale Spear")</f>
        <v>Dragonscale Spear</v>
      </c>
      <c r="B749" s="32"/>
      <c r="C749" s="32" t="str">
        <f>IFERROR(__xludf.DUMMYFUNCTION("""COMPUTED_VALUE"""),"Spear")</f>
        <v>Spear</v>
      </c>
      <c r="D749" s="32" t="str">
        <f>IFERROR(__xludf.DUMMYFUNCTION("""COMPUTED_VALUE"""),"Hand")</f>
        <v>Hand</v>
      </c>
      <c r="E749" s="32">
        <f>IFERROR(__xludf.DUMMYFUNCTION("""COMPUTED_VALUE"""),2800.0)</f>
        <v>2800</v>
      </c>
      <c r="F749" s="32" t="str">
        <f>IFERROR(__xludf.DUMMYFUNCTION("""COMPUTED_VALUE"""),"DMG: +140000")</f>
        <v>DMG: +140000</v>
      </c>
      <c r="G749" s="32">
        <f>IFERROR(__xludf.DUMMYFUNCTION("""COMPUTED_VALUE"""),3.906E8)</f>
        <v>390600000</v>
      </c>
      <c r="H749" s="32"/>
      <c r="I749" s="32"/>
      <c r="J749" s="32"/>
      <c r="K749" s="32"/>
      <c r="L749" s="32"/>
      <c r="M749" s="32"/>
      <c r="N749" s="32"/>
      <c r="O749" s="32"/>
      <c r="P749" s="32"/>
      <c r="Q749" s="32"/>
      <c r="R749" s="32"/>
      <c r="S749" s="32"/>
      <c r="T749" s="32"/>
      <c r="U749" s="32"/>
      <c r="V749" s="32"/>
      <c r="W749" s="32"/>
      <c r="X749" s="32"/>
      <c r="Y749" s="32"/>
      <c r="Z749" s="32"/>
    </row>
    <row r="750">
      <c r="A750" s="32" t="str">
        <f>IFERROR(__xludf.DUMMYFUNCTION("""COMPUTED_VALUE"""),"Dragonscale Scythe")</f>
        <v>Dragonscale Scythe</v>
      </c>
      <c r="B750" s="32"/>
      <c r="C750" s="32" t="str">
        <f>IFERROR(__xludf.DUMMYFUNCTION("""COMPUTED_VALUE"""),"Scythe")</f>
        <v>Scythe</v>
      </c>
      <c r="D750" s="32" t="str">
        <f>IFERROR(__xludf.DUMMYFUNCTION("""COMPUTED_VALUE"""),"Hand")</f>
        <v>Hand</v>
      </c>
      <c r="E750" s="32">
        <f>IFERROR(__xludf.DUMMYFUNCTION("""COMPUTED_VALUE"""),2500.0)</f>
        <v>2500</v>
      </c>
      <c r="F750" s="32" t="str">
        <f>IFERROR(__xludf.DUMMYFUNCTION("""COMPUTED_VALUE"""),"DMG: +125000 ++If used to kill a dragon, 100% chance to get its soul. +-Cannot be forged or duplicated")</f>
        <v>DMG: +125000 ++If used to kill a dragon, 100% chance to get its soul. +-Cannot be forged or duplicated</v>
      </c>
      <c r="G750" s="32">
        <f>IFERROR(__xludf.DUMMYFUNCTION("""COMPUTED_VALUE"""),3.1125E8)</f>
        <v>311250000</v>
      </c>
      <c r="H750" s="32"/>
      <c r="I750" s="32"/>
      <c r="J750" s="32"/>
      <c r="K750" s="32"/>
      <c r="L750" s="32"/>
      <c r="M750" s="32"/>
      <c r="N750" s="32"/>
      <c r="O750" s="32"/>
      <c r="P750" s="32"/>
      <c r="Q750" s="32"/>
      <c r="R750" s="32"/>
      <c r="S750" s="32"/>
      <c r="T750" s="32"/>
      <c r="U750" s="32"/>
      <c r="V750" s="32"/>
      <c r="W750" s="32"/>
      <c r="X750" s="32"/>
      <c r="Y750" s="32"/>
      <c r="Z750" s="32"/>
    </row>
    <row r="751">
      <c r="A751" s="32" t="str">
        <f>IFERROR(__xludf.DUMMYFUNCTION("""COMPUTED_VALUE"""),"Dark Dragonscale Claws")</f>
        <v>Dark Dragonscale Claws</v>
      </c>
      <c r="B751" s="32"/>
      <c r="C751" s="32" t="str">
        <f>IFERROR(__xludf.DUMMYFUNCTION("""COMPUTED_VALUE"""),"Claw")</f>
        <v>Claw</v>
      </c>
      <c r="D751" s="32" t="str">
        <f>IFERROR(__xludf.DUMMYFUNCTION("""COMPUTED_VALUE"""),"Hand")</f>
        <v>Hand</v>
      </c>
      <c r="E751" s="32">
        <f>IFERROR(__xludf.DUMMYFUNCTION("""COMPUTED_VALUE"""),2900.0)</f>
        <v>2900</v>
      </c>
      <c r="F751" s="32" t="str">
        <f>IFERROR(__xludf.DUMMYFUNCTION("""COMPUTED_VALUE"""),", Dark DMG: +145000 ++ 30% chance to remove enemy from battle")</f>
        <v>, Dark DMG: +145000 ++ 30% chance to remove enemy from battle</v>
      </c>
      <c r="G751" s="32">
        <f>IFERROR(__xludf.DUMMYFUNCTION("""COMPUTED_VALUE"""),4.1905E8)</f>
        <v>419050000</v>
      </c>
      <c r="H751" s="32"/>
      <c r="I751" s="32"/>
      <c r="J751" s="32"/>
      <c r="K751" s="32"/>
      <c r="L751" s="32"/>
      <c r="M751" s="32"/>
      <c r="N751" s="32"/>
      <c r="O751" s="32"/>
      <c r="P751" s="32"/>
      <c r="Q751" s="32"/>
      <c r="R751" s="32"/>
      <c r="S751" s="32"/>
      <c r="T751" s="32"/>
      <c r="U751" s="32"/>
      <c r="V751" s="32"/>
      <c r="W751" s="32"/>
      <c r="X751" s="32"/>
      <c r="Y751" s="32"/>
      <c r="Z751" s="32"/>
    </row>
    <row r="752">
      <c r="A752" s="32" t="str">
        <f>IFERROR(__xludf.DUMMYFUNCTION("""COMPUTED_VALUE"""),"Chaotic Dragonscale Claw")</f>
        <v>Chaotic Dragonscale Claw</v>
      </c>
      <c r="B752" s="32"/>
      <c r="C752" s="32" t="str">
        <f>IFERROR(__xludf.DUMMYFUNCTION("""COMPUTED_VALUE"""),"Claw")</f>
        <v>Claw</v>
      </c>
      <c r="D752" s="32" t="str">
        <f>IFERROR(__xludf.DUMMYFUNCTION("""COMPUTED_VALUE"""),"Hand")</f>
        <v>Hand</v>
      </c>
      <c r="E752" s="32">
        <f>IFERROR(__xludf.DUMMYFUNCTION("""COMPUTED_VALUE"""),2350.0)</f>
        <v>2350</v>
      </c>
      <c r="F752" s="32" t="str">
        <f>IFERROR(__xludf.DUMMYFUNCTION("""COMPUTED_VALUE"""),"DMG: +1, Chaos DMG: +117000 +-5% chance of dealing 1 damage when attacking")</f>
        <v>DMG: +1, Chaos DMG: +117000 +-5% chance of dealing 1 damage when attacking</v>
      </c>
      <c r="G752" s="32">
        <f>IFERROR(__xludf.DUMMYFUNCTION("""COMPUTED_VALUE"""),2.7261E8)</f>
        <v>272610000</v>
      </c>
      <c r="H752" s="32"/>
      <c r="I752" s="32"/>
      <c r="J752" s="32"/>
      <c r="K752" s="32"/>
      <c r="L752" s="32"/>
      <c r="M752" s="32"/>
      <c r="N752" s="32"/>
      <c r="O752" s="32"/>
      <c r="P752" s="32"/>
      <c r="Q752" s="32"/>
      <c r="R752" s="32"/>
      <c r="S752" s="32"/>
      <c r="T752" s="32"/>
      <c r="U752" s="32"/>
      <c r="V752" s="32"/>
      <c r="W752" s="32"/>
      <c r="X752" s="32"/>
      <c r="Y752" s="32"/>
      <c r="Z752" s="32"/>
    </row>
    <row r="753">
      <c r="A753" s="32" t="str">
        <f>IFERROR(__xludf.DUMMYFUNCTION("""COMPUTED_VALUE"""),"Earthen Dragonscale Boots")</f>
        <v>Earthen Dragonscale Boots</v>
      </c>
      <c r="B753" s="32"/>
      <c r="C753" s="32" t="str">
        <f>IFERROR(__xludf.DUMMYFUNCTION("""COMPUTED_VALUE"""),"Item")</f>
        <v>Item</v>
      </c>
      <c r="D753" s="32" t="str">
        <f>IFERROR(__xludf.DUMMYFUNCTION("""COMPUTED_VALUE"""),"Feet")</f>
        <v>Feet</v>
      </c>
      <c r="E753" s="32">
        <f>IFERROR(__xludf.DUMMYFUNCTION("""COMPUTED_VALUE"""),3000.0)</f>
        <v>3000</v>
      </c>
      <c r="F753" s="32" t="str">
        <f>IFERROR(__xludf.DUMMYFUNCTION("""COMPUTED_VALUE"""),"DEF: +60000, Earth DEF: +90000 ++Immune to Earth spells")</f>
        <v>DEF: +60000, Earth DEF: +90000 ++Immune to Earth spells</v>
      </c>
      <c r="G753" s="32">
        <f>IFERROR(__xludf.DUMMYFUNCTION("""COMPUTED_VALUE"""),4.485E8)</f>
        <v>448500000</v>
      </c>
      <c r="H753" s="32"/>
      <c r="I753" s="32"/>
      <c r="J753" s="32"/>
      <c r="K753" s="32"/>
      <c r="L753" s="32"/>
      <c r="M753" s="32"/>
      <c r="N753" s="32"/>
      <c r="O753" s="32"/>
      <c r="P753" s="32"/>
      <c r="Q753" s="32"/>
      <c r="R753" s="32"/>
      <c r="S753" s="32"/>
      <c r="T753" s="32"/>
      <c r="U753" s="32"/>
      <c r="V753" s="32"/>
      <c r="W753" s="32"/>
      <c r="X753" s="32"/>
      <c r="Y753" s="32"/>
      <c r="Z753" s="32"/>
    </row>
    <row r="754">
      <c r="A754" s="32" t="str">
        <f>IFERROR(__xludf.DUMMYFUNCTION("""COMPUTED_VALUE"""),"Dragonscale Harp")</f>
        <v>Dragonscale Harp</v>
      </c>
      <c r="B754" s="32"/>
      <c r="C754" s="32" t="str">
        <f>IFERROR(__xludf.DUMMYFUNCTION("""COMPUTED_VALUE"""),"Instrument")</f>
        <v>Instrument</v>
      </c>
      <c r="D754" s="32" t="str">
        <f>IFERROR(__xludf.DUMMYFUNCTION("""COMPUTED_VALUE"""),"Hand")</f>
        <v>Hand</v>
      </c>
      <c r="E754" s="32">
        <f>IFERROR(__xludf.DUMMYFUNCTION("""COMPUTED_VALUE"""),2620.0)</f>
        <v>2620</v>
      </c>
      <c r="F754" s="32" t="str">
        <f>IFERROR(__xludf.DUMMYFUNCTION("""COMPUTED_VALUE"""),"DMG: +1000, Acoustic DMG: +130000 ++Causes any dragon enemies to skip its next turn when attacked.")</f>
        <v>DMG: +1000, Acoustic DMG: +130000 ++Causes any dragon enemies to skip its next turn when attacked.</v>
      </c>
      <c r="G754" s="32">
        <f>IFERROR(__xludf.DUMMYFUNCTION("""COMPUTED_VALUE"""),3.4191E8)</f>
        <v>341910000</v>
      </c>
      <c r="H754" s="32"/>
      <c r="I754" s="32"/>
      <c r="J754" s="32"/>
      <c r="K754" s="32"/>
      <c r="L754" s="32"/>
      <c r="M754" s="32"/>
      <c r="N754" s="32"/>
      <c r="O754" s="32"/>
      <c r="P754" s="32"/>
      <c r="Q754" s="32"/>
      <c r="R754" s="32"/>
      <c r="S754" s="32"/>
      <c r="T754" s="32"/>
      <c r="U754" s="32"/>
      <c r="V754" s="32"/>
      <c r="W754" s="32"/>
      <c r="X754" s="32"/>
      <c r="Y754" s="32"/>
      <c r="Z754" s="32"/>
    </row>
    <row r="755">
      <c r="A755" s="32" t="str">
        <f>IFERROR(__xludf.DUMMYFUNCTION("""COMPUTED_VALUE"""),"Dragonscale Bracers")</f>
        <v>Dragonscale Bracers</v>
      </c>
      <c r="B755" s="32"/>
      <c r="C755" s="32" t="str">
        <f>IFERROR(__xludf.DUMMYFUNCTION("""COMPUTED_VALUE"""),"Item")</f>
        <v>Item</v>
      </c>
      <c r="D755" s="32" t="str">
        <f>IFERROR(__xludf.DUMMYFUNCTION("""COMPUTED_VALUE"""),"Arms")</f>
        <v>Arms</v>
      </c>
      <c r="E755" s="32">
        <f>IFERROR(__xludf.DUMMYFUNCTION("""COMPUTED_VALUE"""),2000.0)</f>
        <v>2000</v>
      </c>
      <c r="F755" s="32" t="str">
        <f>IFERROR(__xludf.DUMMYFUNCTION("""COMPUTED_VALUE"""),"DEF: +100000 ++X2 DEF when fighting a dragon(s).")</f>
        <v>DEF: +100000 ++X2 DEF when fighting a dragon(s).</v>
      </c>
      <c r="G755" s="32">
        <f>IFERROR(__xludf.DUMMYFUNCTION("""COMPUTED_VALUE"""),1.99E8)</f>
        <v>199000000</v>
      </c>
      <c r="H755" s="32"/>
      <c r="I755" s="32"/>
      <c r="J755" s="32"/>
      <c r="K755" s="32"/>
      <c r="L755" s="32"/>
      <c r="M755" s="32"/>
      <c r="N755" s="32"/>
      <c r="O755" s="32"/>
      <c r="P755" s="32"/>
      <c r="Q755" s="32"/>
      <c r="R755" s="32"/>
      <c r="S755" s="32"/>
      <c r="T755" s="32"/>
      <c r="U755" s="32"/>
      <c r="V755" s="32"/>
      <c r="W755" s="32"/>
      <c r="X755" s="32"/>
      <c r="Y755" s="32"/>
      <c r="Z755" s="32"/>
    </row>
    <row r="756">
      <c r="A756" s="32" t="str">
        <f>IFERROR(__xludf.DUMMYFUNCTION("""COMPUTED_VALUE"""),"Dragonscale Crown")</f>
        <v>Dragonscale Crown</v>
      </c>
      <c r="B756" s="32"/>
      <c r="C756" s="32" t="str">
        <f>IFERROR(__xludf.DUMMYFUNCTION("""COMPUTED_VALUE"""),"Item")</f>
        <v>Item</v>
      </c>
      <c r="D756" s="32" t="str">
        <f>IFERROR(__xludf.DUMMYFUNCTION("""COMPUTED_VALUE"""),"Head")</f>
        <v>Head</v>
      </c>
      <c r="E756" s="32">
        <f>IFERROR(__xludf.DUMMYFUNCTION("""COMPUTED_VALUE"""),1.0)</f>
        <v>1</v>
      </c>
      <c r="F756" s="32" t="str">
        <f>IFERROR(__xludf.DUMMYFUNCTION("""COMPUTED_VALUE""")," ++7,500 additional HP and SP, +-Cannot be forged or duplicated")</f>
        <v> ++7,500 additional HP and SP, +-Cannot be forged or duplicated</v>
      </c>
      <c r="G756" s="32">
        <f>IFERROR(__xludf.DUMMYFUNCTION("""COMPUTED_VALUE"""),0.0)</f>
        <v>0</v>
      </c>
      <c r="H756" s="32"/>
      <c r="I756" s="32"/>
      <c r="J756" s="32"/>
      <c r="K756" s="32"/>
      <c r="L756" s="32"/>
      <c r="M756" s="32"/>
      <c r="N756" s="32"/>
      <c r="O756" s="32"/>
      <c r="P756" s="32"/>
      <c r="Q756" s="32"/>
      <c r="R756" s="32"/>
      <c r="S756" s="32"/>
      <c r="T756" s="32"/>
      <c r="U756" s="32"/>
      <c r="V756" s="32"/>
      <c r="W756" s="32"/>
      <c r="X756" s="32"/>
      <c r="Y756" s="32"/>
      <c r="Z756" s="32"/>
    </row>
    <row r="757">
      <c r="A757" s="32" t="str">
        <f>IFERROR(__xludf.DUMMYFUNCTION("""COMPUTED_VALUE"""),"Dragonscale Helm")</f>
        <v>Dragonscale Helm</v>
      </c>
      <c r="B757" s="32"/>
      <c r="C757" s="32" t="str">
        <f>IFERROR(__xludf.DUMMYFUNCTION("""COMPUTED_VALUE"""),"Item")</f>
        <v>Item</v>
      </c>
      <c r="D757" s="32" t="str">
        <f>IFERROR(__xludf.DUMMYFUNCTION("""COMPUTED_VALUE"""),"Head")</f>
        <v>Head</v>
      </c>
      <c r="E757" s="32">
        <f>IFERROR(__xludf.DUMMYFUNCTION("""COMPUTED_VALUE"""),2600.0)</f>
        <v>2600</v>
      </c>
      <c r="F757" s="32" t="str">
        <f>IFERROR(__xludf.DUMMYFUNCTION("""COMPUTED_VALUE"""),"DEF: +130000")</f>
        <v>DEF: +130000</v>
      </c>
      <c r="G757" s="32">
        <f>IFERROR(__xludf.DUMMYFUNCTION("""COMPUTED_VALUE"""),3.367E8)</f>
        <v>336700000</v>
      </c>
      <c r="H757" s="32"/>
      <c r="I757" s="32"/>
      <c r="J757" s="32"/>
      <c r="K757" s="32"/>
      <c r="L757" s="32"/>
      <c r="M757" s="32"/>
      <c r="N757" s="32"/>
      <c r="O757" s="32"/>
      <c r="P757" s="32"/>
      <c r="Q757" s="32"/>
      <c r="R757" s="32"/>
      <c r="S757" s="32"/>
      <c r="T757" s="32"/>
      <c r="U757" s="32"/>
      <c r="V757" s="32"/>
      <c r="W757" s="32"/>
      <c r="X757" s="32"/>
      <c r="Y757" s="32"/>
      <c r="Z757" s="32"/>
    </row>
    <row r="758">
      <c r="A758" s="32" t="str">
        <f>IFERROR(__xludf.DUMMYFUNCTION("""COMPUTED_VALUE"""),"Dragonscale Rifle")</f>
        <v>Dragonscale Rifle</v>
      </c>
      <c r="B758" s="32"/>
      <c r="C758" s="32" t="str">
        <f>IFERROR(__xludf.DUMMYFUNCTION("""COMPUTED_VALUE"""),"Firearm")</f>
        <v>Firearm</v>
      </c>
      <c r="D758" s="32" t="str">
        <f>IFERROR(__xludf.DUMMYFUNCTION("""COMPUTED_VALUE"""),"Hand")</f>
        <v>Hand</v>
      </c>
      <c r="E758" s="32">
        <f>IFERROR(__xludf.DUMMYFUNCTION("""COMPUTED_VALUE"""),3400.0)</f>
        <v>3400</v>
      </c>
      <c r="F758" s="32" t="str">
        <f>IFERROR(__xludf.DUMMYFUNCTION("""COMPUTED_VALUE"""),"DMG: +170000  +-Uses bullets")</f>
        <v>DMG: +170000  +-Uses bullets</v>
      </c>
      <c r="G758" s="32">
        <f>IFERROR(__xludf.DUMMYFUNCTION("""COMPUTED_VALUE"""),5.763E8)</f>
        <v>576300000</v>
      </c>
      <c r="H758" s="32"/>
      <c r="I758" s="32"/>
      <c r="J758" s="32"/>
      <c r="K758" s="32"/>
      <c r="L758" s="32"/>
      <c r="M758" s="32"/>
      <c r="N758" s="32"/>
      <c r="O758" s="32"/>
      <c r="P758" s="32"/>
      <c r="Q758" s="32"/>
      <c r="R758" s="32"/>
      <c r="S758" s="32"/>
      <c r="T758" s="32"/>
      <c r="U758" s="32"/>
      <c r="V758" s="32"/>
      <c r="W758" s="32"/>
      <c r="X758" s="32"/>
      <c r="Y758" s="32"/>
      <c r="Z758" s="32"/>
    </row>
    <row r="759">
      <c r="A759" s="32" t="str">
        <f>IFERROR(__xludf.DUMMYFUNCTION("""COMPUTED_VALUE"""),"Searing Dragonscale Staff")</f>
        <v>Searing Dragonscale Staff</v>
      </c>
      <c r="B759" s="32"/>
      <c r="C759" s="32" t="str">
        <f>IFERROR(__xludf.DUMMYFUNCTION("""COMPUTED_VALUE"""),"Staff")</f>
        <v>Staff</v>
      </c>
      <c r="D759" s="32" t="str">
        <f>IFERROR(__xludf.DUMMYFUNCTION("""COMPUTED_VALUE"""),"Hand")</f>
        <v>Hand</v>
      </c>
      <c r="E759" s="32">
        <f>IFERROR(__xludf.DUMMYFUNCTION("""COMPUTED_VALUE"""),3000.0)</f>
        <v>3000</v>
      </c>
      <c r="F759" s="32" t="str">
        <f>IFERROR(__xludf.DUMMYFUNCTION("""COMPUTED_VALUE"""),", Light DMG: +150000")</f>
        <v>, Light DMG: +150000</v>
      </c>
      <c r="G759" s="32">
        <f>IFERROR(__xludf.DUMMYFUNCTION("""COMPUTED_VALUE"""),4.485E8)</f>
        <v>448500000</v>
      </c>
      <c r="H759" s="32"/>
      <c r="I759" s="32"/>
      <c r="J759" s="32"/>
      <c r="K759" s="32"/>
      <c r="L759" s="32"/>
      <c r="M759" s="32"/>
      <c r="N759" s="32"/>
      <c r="O759" s="32"/>
      <c r="P759" s="32"/>
      <c r="Q759" s="32"/>
      <c r="R759" s="32"/>
      <c r="S759" s="32"/>
      <c r="T759" s="32"/>
      <c r="U759" s="32"/>
      <c r="V759" s="32"/>
      <c r="W759" s="32"/>
      <c r="X759" s="32"/>
      <c r="Y759" s="32"/>
      <c r="Z759" s="32"/>
    </row>
    <row r="760">
      <c r="A760" s="32" t="str">
        <f>IFERROR(__xludf.DUMMYFUNCTION("""COMPUTED_VALUE"""),"Forgotten Scythe")</f>
        <v>Forgotten Scythe</v>
      </c>
      <c r="B760" s="32"/>
      <c r="C760" s="32" t="str">
        <f>IFERROR(__xludf.DUMMYFUNCTION("""COMPUTED_VALUE"""),"Scythe")</f>
        <v>Scythe</v>
      </c>
      <c r="D760" s="32" t="str">
        <f>IFERROR(__xludf.DUMMYFUNCTION("""COMPUTED_VALUE"""),"Hand")</f>
        <v>Hand</v>
      </c>
      <c r="E760" s="32">
        <f>IFERROR(__xludf.DUMMYFUNCTION("""COMPUTED_VALUE"""),5800.0)</f>
        <v>5800</v>
      </c>
      <c r="F760" s="32" t="str">
        <f>IFERROR(__xludf.DUMMYFUNCTION("""COMPUTED_VALUE"""),", Chaos DMG: +290000")</f>
        <v>, Chaos DMG: +290000</v>
      </c>
      <c r="G760" s="32">
        <f>IFERROR(__xludf.DUMMYFUNCTION("""COMPUTED_VALUE"""),1.6791E9)</f>
        <v>1679100000</v>
      </c>
      <c r="H760" s="32"/>
      <c r="I760" s="32"/>
      <c r="J760" s="32"/>
      <c r="K760" s="32"/>
      <c r="L760" s="32"/>
      <c r="M760" s="32"/>
      <c r="N760" s="32"/>
      <c r="O760" s="32"/>
      <c r="P760" s="32"/>
      <c r="Q760" s="32"/>
      <c r="R760" s="32"/>
      <c r="S760" s="32"/>
      <c r="T760" s="32"/>
      <c r="U760" s="32"/>
      <c r="V760" s="32"/>
      <c r="W760" s="32"/>
      <c r="X760" s="32"/>
      <c r="Y760" s="32"/>
      <c r="Z760" s="32"/>
    </row>
    <row r="761">
      <c r="A761" s="32" t="str">
        <f>IFERROR(__xludf.DUMMYFUNCTION("""COMPUTED_VALUE"""),"Forsaken Club")</f>
        <v>Forsaken Club</v>
      </c>
      <c r="B761" s="32"/>
      <c r="C761" s="32" t="str">
        <f>IFERROR(__xludf.DUMMYFUNCTION("""COMPUTED_VALUE"""),"Club")</f>
        <v>Club</v>
      </c>
      <c r="D761" s="32" t="str">
        <f>IFERROR(__xludf.DUMMYFUNCTION("""COMPUTED_VALUE"""),"Hand")</f>
        <v>Hand</v>
      </c>
      <c r="E761" s="32">
        <f>IFERROR(__xludf.DUMMYFUNCTION("""COMPUTED_VALUE"""),5000.0)</f>
        <v>5000</v>
      </c>
      <c r="F761" s="32" t="str">
        <f>IFERROR(__xludf.DUMMYFUNCTION("""COMPUTED_VALUE"""),"DMG: +250000")</f>
        <v>DMG: +250000</v>
      </c>
      <c r="G761" s="32">
        <f>IFERROR(__xludf.DUMMYFUNCTION("""COMPUTED_VALUE"""),1.2475E9)</f>
        <v>1247500000</v>
      </c>
      <c r="H761" s="32"/>
      <c r="I761" s="32"/>
      <c r="J761" s="32"/>
      <c r="K761" s="32"/>
      <c r="L761" s="32"/>
      <c r="M761" s="32"/>
      <c r="N761" s="32"/>
      <c r="O761" s="32"/>
      <c r="P761" s="32"/>
      <c r="Q761" s="32"/>
      <c r="R761" s="32"/>
      <c r="S761" s="32"/>
      <c r="T761" s="32"/>
      <c r="U761" s="32"/>
      <c r="V761" s="32"/>
      <c r="W761" s="32"/>
      <c r="X761" s="32"/>
      <c r="Y761" s="32"/>
      <c r="Z761" s="32"/>
    </row>
    <row r="762">
      <c r="A762" s="32" t="str">
        <f>IFERROR(__xludf.DUMMYFUNCTION("""COMPUTED_VALUE"""),"Demonic Breastplate")</f>
        <v>Demonic Breastplate</v>
      </c>
      <c r="B762" s="32"/>
      <c r="C762" s="32" t="str">
        <f>IFERROR(__xludf.DUMMYFUNCTION("""COMPUTED_VALUE"""),"Item")</f>
        <v>Item</v>
      </c>
      <c r="D762" s="32" t="str">
        <f>IFERROR(__xludf.DUMMYFUNCTION("""COMPUTED_VALUE"""),"Torso")</f>
        <v>Torso</v>
      </c>
      <c r="E762" s="32">
        <f>IFERROR(__xludf.DUMMYFUNCTION("""COMPUTED_VALUE"""),4000.0)</f>
        <v>4000</v>
      </c>
      <c r="F762" s="32" t="str">
        <f>IFERROR(__xludf.DUMMYFUNCTION("""COMPUTED_VALUE"""),"DEF: +50000, Fire DEF: +50000, Dark DEF: +50000, Chaos DEF: +50000")</f>
        <v>DEF: +50000, Fire DEF: +50000, Dark DEF: +50000, Chaos DEF: +50000</v>
      </c>
      <c r="G762" s="32">
        <f>IFERROR(__xludf.DUMMYFUNCTION("""COMPUTED_VALUE"""),7.98E8)</f>
        <v>798000000</v>
      </c>
      <c r="H762" s="32"/>
      <c r="I762" s="32"/>
      <c r="J762" s="32"/>
      <c r="K762" s="32"/>
      <c r="L762" s="32"/>
      <c r="M762" s="32"/>
      <c r="N762" s="32"/>
      <c r="O762" s="32"/>
      <c r="P762" s="32"/>
      <c r="Q762" s="32"/>
      <c r="R762" s="32"/>
      <c r="S762" s="32"/>
      <c r="T762" s="32"/>
      <c r="U762" s="32"/>
      <c r="V762" s="32"/>
      <c r="W762" s="32"/>
      <c r="X762" s="32"/>
      <c r="Y762" s="32"/>
      <c r="Z762" s="32"/>
    </row>
    <row r="763">
      <c r="A763" s="32" t="str">
        <f>IFERROR(__xludf.DUMMYFUNCTION("""COMPUTED_VALUE"""),"Fallen Ruler's Crown")</f>
        <v>Fallen Ruler's Crown</v>
      </c>
      <c r="B763" s="32"/>
      <c r="C763" s="32" t="str">
        <f>IFERROR(__xludf.DUMMYFUNCTION("""COMPUTED_VALUE"""),"Item")</f>
        <v>Item</v>
      </c>
      <c r="D763" s="32" t="str">
        <f>IFERROR(__xludf.DUMMYFUNCTION("""COMPUTED_VALUE"""),"Head")</f>
        <v>Head</v>
      </c>
      <c r="E763" s="32">
        <f>IFERROR(__xludf.DUMMYFUNCTION("""COMPUTED_VALUE"""),1.0)</f>
        <v>1</v>
      </c>
      <c r="F763" s="32" t="str">
        <f>IFERROR(__xludf.DUMMYFUNCTION("""COMPUTED_VALUE""")," ++5% chance undead enemies will willingly surrender +-Cannot be forged or duplicated")</f>
        <v> ++5% chance undead enemies will willingly surrender +-Cannot be forged or duplicated</v>
      </c>
      <c r="G763" s="32">
        <f>IFERROR(__xludf.DUMMYFUNCTION("""COMPUTED_VALUE"""),0.0)</f>
        <v>0</v>
      </c>
      <c r="H763" s="32"/>
      <c r="I763" s="32"/>
      <c r="J763" s="32"/>
      <c r="K763" s="32"/>
      <c r="L763" s="32"/>
      <c r="M763" s="32"/>
      <c r="N763" s="32"/>
      <c r="O763" s="32"/>
      <c r="P763" s="32"/>
      <c r="Q763" s="32"/>
      <c r="R763" s="32"/>
      <c r="S763" s="32"/>
      <c r="T763" s="32"/>
      <c r="U763" s="32"/>
      <c r="V763" s="32"/>
      <c r="W763" s="32"/>
      <c r="X763" s="32"/>
      <c r="Y763" s="32"/>
      <c r="Z763" s="32"/>
    </row>
    <row r="764">
      <c r="A764" s="32" t="str">
        <f>IFERROR(__xludf.DUMMYFUNCTION("""COMPUTED_VALUE"""),"Old Knife")</f>
        <v>Old Knife</v>
      </c>
      <c r="B764" s="32"/>
      <c r="C764" s="32" t="str">
        <f>IFERROR(__xludf.DUMMYFUNCTION("""COMPUTED_VALUE"""),"Knife")</f>
        <v>Knife</v>
      </c>
      <c r="D764" s="32" t="str">
        <f>IFERROR(__xludf.DUMMYFUNCTION("""COMPUTED_VALUE"""),"Hand")</f>
        <v>Hand</v>
      </c>
      <c r="E764" s="32">
        <f>IFERROR(__xludf.DUMMYFUNCTION("""COMPUTED_VALUE"""),3640.0)</f>
        <v>3640</v>
      </c>
      <c r="F764" s="32" t="str">
        <f>IFERROR(__xludf.DUMMYFUNCTION("""COMPUTED_VALUE"""),"DMG: +12000, Blood DMG: +170000")</f>
        <v>DMG: +12000, Blood DMG: +170000</v>
      </c>
      <c r="G764" s="32">
        <f>IFERROR(__xludf.DUMMYFUNCTION("""COMPUTED_VALUE"""),6.6066E8)</f>
        <v>660660000</v>
      </c>
      <c r="H764" s="32"/>
      <c r="I764" s="32"/>
      <c r="J764" s="32"/>
      <c r="K764" s="32"/>
      <c r="L764" s="32"/>
      <c r="M764" s="32"/>
      <c r="N764" s="32"/>
      <c r="O764" s="32"/>
      <c r="P764" s="32"/>
      <c r="Q764" s="32"/>
      <c r="R764" s="32"/>
      <c r="S764" s="32"/>
      <c r="T764" s="32"/>
      <c r="U764" s="32"/>
      <c r="V764" s="32"/>
      <c r="W764" s="32"/>
      <c r="X764" s="32"/>
      <c r="Y764" s="32"/>
      <c r="Z764" s="32"/>
    </row>
    <row r="765">
      <c r="A765" s="32" t="str">
        <f>IFERROR(__xludf.DUMMYFUNCTION("""COMPUTED_VALUE"""),"Plunderbuss")</f>
        <v>Plunderbuss</v>
      </c>
      <c r="B765" s="32"/>
      <c r="C765" s="32" t="str">
        <f>IFERROR(__xludf.DUMMYFUNCTION("""COMPUTED_VALUE"""),"Firearm")</f>
        <v>Firearm</v>
      </c>
      <c r="D765" s="32" t="str">
        <f>IFERROR(__xludf.DUMMYFUNCTION("""COMPUTED_VALUE"""),"Hand")</f>
        <v>Hand</v>
      </c>
      <c r="E765" s="32">
        <f>IFERROR(__xludf.DUMMYFUNCTION("""COMPUTED_VALUE"""),3800.0)</f>
        <v>3800</v>
      </c>
      <c r="F765" s="32" t="str">
        <f>IFERROR(__xludf.DUMMYFUNCTION("""COMPUTED_VALUE"""),"DMG: +190000 +-Uses bullets, ++Get two of every loot drop you roll. +-Cannot be forged or duplicated")</f>
        <v>DMG: +190000 +-Uses bullets, ++Get two of every loot drop you roll. +-Cannot be forged or duplicated</v>
      </c>
      <c r="G765" s="32">
        <f>IFERROR(__xludf.DUMMYFUNCTION("""COMPUTED_VALUE"""),7.201E8)</f>
        <v>720100000</v>
      </c>
      <c r="H765" s="32"/>
      <c r="I765" s="32"/>
      <c r="J765" s="32"/>
      <c r="K765" s="32"/>
      <c r="L765" s="32"/>
      <c r="M765" s="32"/>
      <c r="N765" s="32"/>
      <c r="O765" s="32"/>
      <c r="P765" s="32"/>
      <c r="Q765" s="32"/>
      <c r="R765" s="32"/>
      <c r="S765" s="32"/>
      <c r="T765" s="32"/>
      <c r="U765" s="32"/>
      <c r="V765" s="32"/>
      <c r="W765" s="32"/>
      <c r="X765" s="32"/>
      <c r="Y765" s="32"/>
      <c r="Z765" s="32"/>
    </row>
    <row r="766">
      <c r="A766" s="32" t="str">
        <f>IFERROR(__xludf.DUMMYFUNCTION("""COMPUTED_VALUE"""),"Dragon Destroyer")</f>
        <v>Dragon Destroyer</v>
      </c>
      <c r="B766" s="32"/>
      <c r="C766" s="32" t="str">
        <f>IFERROR(__xludf.DUMMYFUNCTION("""COMPUTED_VALUE"""),"Axe")</f>
        <v>Axe</v>
      </c>
      <c r="D766" s="32" t="str">
        <f>IFERROR(__xludf.DUMMYFUNCTION("""COMPUTED_VALUE"""),"Hand")</f>
        <v>Hand</v>
      </c>
      <c r="E766" s="32">
        <f>IFERROR(__xludf.DUMMYFUNCTION("""COMPUTED_VALUE"""),6000.0)</f>
        <v>6000</v>
      </c>
      <c r="F766" s="32" t="str">
        <f>IFERROR(__xludf.DUMMYFUNCTION("""COMPUTED_VALUE"""),"DMG: +300000 ++deals unblockable damage to dragons +-Cannot be forged or duplicated")</f>
        <v>DMG: +300000 ++deals unblockable damage to dragons +-Cannot be forged or duplicated</v>
      </c>
      <c r="G766" s="32">
        <f>IFERROR(__xludf.DUMMYFUNCTION("""COMPUTED_VALUE"""),1.797E9)</f>
        <v>1797000000</v>
      </c>
      <c r="H766" s="32"/>
      <c r="I766" s="32"/>
      <c r="J766" s="32"/>
      <c r="K766" s="32"/>
      <c r="L766" s="32"/>
      <c r="M766" s="32"/>
      <c r="N766" s="32"/>
      <c r="O766" s="32"/>
      <c r="P766" s="32"/>
      <c r="Q766" s="32"/>
      <c r="R766" s="32"/>
      <c r="S766" s="32"/>
      <c r="T766" s="32"/>
      <c r="U766" s="32"/>
      <c r="V766" s="32"/>
      <c r="W766" s="32"/>
      <c r="X766" s="32"/>
      <c r="Y766" s="32"/>
      <c r="Z766" s="32"/>
    </row>
    <row r="767">
      <c r="A767" s="32" t="str">
        <f>IFERROR(__xludf.DUMMYFUNCTION("""COMPUTED_VALUE"""),"Dragonscale of Returns")</f>
        <v>Dragonscale of Returns</v>
      </c>
      <c r="B767" s="32"/>
      <c r="C767" s="32" t="str">
        <f>IFERROR(__xludf.DUMMYFUNCTION("""COMPUTED_VALUE"""),"Boomerang")</f>
        <v>Boomerang</v>
      </c>
      <c r="D767" s="32" t="str">
        <f>IFERROR(__xludf.DUMMYFUNCTION("""COMPUTED_VALUE"""),"Hand")</f>
        <v>Hand</v>
      </c>
      <c r="E767" s="32">
        <f>IFERROR(__xludf.DUMMYFUNCTION("""COMPUTED_VALUE"""),1500.0)</f>
        <v>1500</v>
      </c>
      <c r="F767" s="32" t="str">
        <f>IFERROR(__xludf.DUMMYFUNCTION("""COMPUTED_VALUE"""),"DMG: +75000 ++Receive a dragon scale when thrown at a dragon, +-Cannot be forged or duplicated")</f>
        <v>DMG: +75000 ++Receive a dragon scale when thrown at a dragon, +-Cannot be forged or duplicated</v>
      </c>
      <c r="G767" s="32">
        <f>IFERROR(__xludf.DUMMYFUNCTION("""COMPUTED_VALUE"""),1.1175E8)</f>
        <v>111750000</v>
      </c>
      <c r="H767" s="32"/>
      <c r="I767" s="32"/>
      <c r="J767" s="32"/>
      <c r="K767" s="32"/>
      <c r="L767" s="32"/>
      <c r="M767" s="32"/>
      <c r="N767" s="32"/>
      <c r="O767" s="32"/>
      <c r="P767" s="32"/>
      <c r="Q767" s="32"/>
      <c r="R767" s="32"/>
      <c r="S767" s="32"/>
      <c r="T767" s="32"/>
      <c r="U767" s="32"/>
      <c r="V767" s="32"/>
      <c r="W767" s="32"/>
      <c r="X767" s="32"/>
      <c r="Y767" s="32"/>
      <c r="Z767" s="32"/>
    </row>
    <row r="768">
      <c r="A768" s="32" t="str">
        <f>IFERROR(__xludf.DUMMYFUNCTION("""COMPUTED_VALUE"""),"Brimstone Staff")</f>
        <v>Brimstone Staff</v>
      </c>
      <c r="B768" s="32"/>
      <c r="C768" s="32" t="str">
        <f>IFERROR(__xludf.DUMMYFUNCTION("""COMPUTED_VALUE"""),"Staff")</f>
        <v>Staff</v>
      </c>
      <c r="D768" s="32" t="str">
        <f>IFERROR(__xludf.DUMMYFUNCTION("""COMPUTED_VALUE"""),"Hand")</f>
        <v>Hand</v>
      </c>
      <c r="E768" s="32">
        <f>IFERROR(__xludf.DUMMYFUNCTION("""COMPUTED_VALUE"""),4600.0)</f>
        <v>4600</v>
      </c>
      <c r="F768" s="32" t="str">
        <f>IFERROR(__xludf.DUMMYFUNCTION("""COMPUTED_VALUE"""),", Fire DMG: +230000 ++Fire spells cost half SP, +-Cannot be forged or duplicated")</f>
        <v>, Fire DMG: +230000 ++Fire spells cost half SP, +-Cannot be forged or duplicated</v>
      </c>
      <c r="G768" s="32">
        <f>IFERROR(__xludf.DUMMYFUNCTION("""COMPUTED_VALUE"""),1.0557E9)</f>
        <v>1055700000</v>
      </c>
      <c r="H768" s="32"/>
      <c r="I768" s="32"/>
      <c r="J768" s="32"/>
      <c r="K768" s="32"/>
      <c r="L768" s="32"/>
      <c r="M768" s="32"/>
      <c r="N768" s="32"/>
      <c r="O768" s="32"/>
      <c r="P768" s="32"/>
      <c r="Q768" s="32"/>
      <c r="R768" s="32"/>
      <c r="S768" s="32"/>
      <c r="T768" s="32"/>
      <c r="U768" s="32"/>
      <c r="V768" s="32"/>
      <c r="W768" s="32"/>
      <c r="X768" s="32"/>
      <c r="Y768" s="32"/>
      <c r="Z768" s="32"/>
    </row>
    <row r="769">
      <c r="A769" s="32" t="str">
        <f>IFERROR(__xludf.DUMMYFUNCTION("""COMPUTED_VALUE"""),"Eternal Ember")</f>
        <v>Eternal Ember</v>
      </c>
      <c r="B769" s="32"/>
      <c r="C769" s="32" t="str">
        <f>IFERROR(__xludf.DUMMYFUNCTION("""COMPUTED_VALUE"""),"Item")</f>
        <v>Item</v>
      </c>
      <c r="D769" s="32" t="str">
        <f>IFERROR(__xludf.DUMMYFUNCTION("""COMPUTED_VALUE"""),"Neck")</f>
        <v>Neck</v>
      </c>
      <c r="E769" s="32">
        <f>IFERROR(__xludf.DUMMYFUNCTION("""COMPUTED_VALUE"""),3000.0)</f>
        <v>3000</v>
      </c>
      <c r="F769" s="32"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32">
        <f>IFERROR(__xludf.DUMMYFUNCTION("""COMPUTED_VALUE"""),4.485E8)</f>
        <v>448500000</v>
      </c>
      <c r="H769" s="32"/>
      <c r="I769" s="32"/>
      <c r="J769" s="32"/>
      <c r="K769" s="32"/>
      <c r="L769" s="32"/>
      <c r="M769" s="32"/>
      <c r="N769" s="32"/>
      <c r="O769" s="32"/>
      <c r="P769" s="32"/>
      <c r="Q769" s="32"/>
      <c r="R769" s="32"/>
      <c r="S769" s="32"/>
      <c r="T769" s="32"/>
      <c r="U769" s="32"/>
      <c r="V769" s="32"/>
      <c r="W769" s="32"/>
      <c r="X769" s="32"/>
      <c r="Y769" s="32"/>
      <c r="Z769" s="32"/>
    </row>
    <row r="770">
      <c r="A770" s="32" t="str">
        <f>IFERROR(__xludf.DUMMYFUNCTION("""COMPUTED_VALUE"""),"Crystal Blood")</f>
        <v>Crystal Blood</v>
      </c>
      <c r="B770" s="32"/>
      <c r="C770" s="32" t="str">
        <f>IFERROR(__xludf.DUMMYFUNCTION("""COMPUTED_VALUE"""),"Item")</f>
        <v>Item</v>
      </c>
      <c r="D770" s="32" t="str">
        <f>IFERROR(__xludf.DUMMYFUNCTION("""COMPUTED_VALUE"""),"Neck")</f>
        <v>Neck</v>
      </c>
      <c r="E770" s="32">
        <f>IFERROR(__xludf.DUMMYFUNCTION("""COMPUTED_VALUE"""),1.0)</f>
        <v>1</v>
      </c>
      <c r="F770" s="32" t="str">
        <f>IFERROR(__xludf.DUMMYFUNCTION("""COMPUTED_VALUE""")," ++Wearer's first non-XHP cost blood spell of the battle has no HP cost , +-Cannot be forged or duplicated")</f>
        <v> ++Wearer's first non-XHP cost blood spell of the battle has no HP cost , +-Cannot be forged or duplicated</v>
      </c>
      <c r="G770" s="32">
        <f>IFERROR(__xludf.DUMMYFUNCTION("""COMPUTED_VALUE"""),0.0)</f>
        <v>0</v>
      </c>
      <c r="H770" s="32"/>
      <c r="I770" s="32"/>
      <c r="J770" s="32"/>
      <c r="K770" s="32"/>
      <c r="L770" s="32"/>
      <c r="M770" s="32"/>
      <c r="N770" s="32"/>
      <c r="O770" s="32"/>
      <c r="P770" s="32"/>
      <c r="Q770" s="32"/>
      <c r="R770" s="32"/>
      <c r="S770" s="32"/>
      <c r="T770" s="32"/>
      <c r="U770" s="32"/>
      <c r="V770" s="32"/>
      <c r="W770" s="32"/>
      <c r="X770" s="32"/>
      <c r="Y770" s="32"/>
      <c r="Z770" s="32"/>
    </row>
    <row r="771">
      <c r="A771" s="32" t="str">
        <f>IFERROR(__xludf.DUMMYFUNCTION("""COMPUTED_VALUE"""),"Ultimate Gamble")</f>
        <v>Ultimate Gamble</v>
      </c>
      <c r="B771" s="32"/>
      <c r="C771" s="32" t="str">
        <f>IFERROR(__xludf.DUMMYFUNCTION("""COMPUTED_VALUE"""),"Sword")</f>
        <v>Sword</v>
      </c>
      <c r="D771" s="32" t="str">
        <f>IFERROR(__xludf.DUMMYFUNCTION("""COMPUTED_VALUE"""),"Hand")</f>
        <v>Hand</v>
      </c>
      <c r="E771" s="32">
        <f>IFERROR(__xludf.DUMMYFUNCTION("""COMPUTED_VALUE"""),12000.0)</f>
        <v>12000</v>
      </c>
      <c r="F771" s="32"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32">
        <f>IFERROR(__xludf.DUMMYFUNCTION("""COMPUTED_VALUE"""),7.194E9)</f>
        <v>7194000000</v>
      </c>
      <c r="H771" s="32"/>
      <c r="I771" s="32"/>
      <c r="J771" s="32"/>
      <c r="K771" s="32"/>
      <c r="L771" s="32"/>
      <c r="M771" s="32"/>
      <c r="N771" s="32"/>
      <c r="O771" s="32"/>
      <c r="P771" s="32"/>
      <c r="Q771" s="32"/>
      <c r="R771" s="32"/>
      <c r="S771" s="32"/>
      <c r="T771" s="32"/>
      <c r="U771" s="32"/>
      <c r="V771" s="32"/>
      <c r="W771" s="32"/>
      <c r="X771" s="32"/>
      <c r="Y771" s="32"/>
      <c r="Z771" s="32"/>
    </row>
    <row r="772">
      <c r="A772" s="32" t="str">
        <f>IFERROR(__xludf.DUMMYFUNCTION("""COMPUTED_VALUE"""),"Awakened Evil")</f>
        <v>Awakened Evil</v>
      </c>
      <c r="B772" s="32"/>
      <c r="C772" s="32" t="str">
        <f>IFERROR(__xludf.DUMMYFUNCTION("""COMPUTED_VALUE"""),"Claw")</f>
        <v>Claw</v>
      </c>
      <c r="D772" s="32" t="str">
        <f>IFERROR(__xludf.DUMMYFUNCTION("""COMPUTED_VALUE"""),"Hand")</f>
        <v>Hand</v>
      </c>
      <c r="E772" s="32">
        <f>IFERROR(__xludf.DUMMYFUNCTION("""COMPUTED_VALUE"""),9000.0)</f>
        <v>9000</v>
      </c>
      <c r="F772" s="32" t="str">
        <f>IFERROR(__xludf.DUMMYFUNCTION("""COMPUTED_VALUE"""),"DMG: +450000")</f>
        <v>DMG: +450000</v>
      </c>
      <c r="G772" s="32">
        <f>IFERROR(__xludf.DUMMYFUNCTION("""COMPUTED_VALUE"""),4.0455E9)</f>
        <v>4045500000</v>
      </c>
      <c r="H772" s="32"/>
      <c r="I772" s="32"/>
      <c r="J772" s="32"/>
      <c r="K772" s="32"/>
      <c r="L772" s="32"/>
      <c r="M772" s="32"/>
      <c r="N772" s="32"/>
      <c r="O772" s="32"/>
      <c r="P772" s="32"/>
      <c r="Q772" s="32"/>
      <c r="R772" s="32"/>
      <c r="S772" s="32"/>
      <c r="T772" s="32"/>
      <c r="U772" s="32"/>
      <c r="V772" s="32"/>
      <c r="W772" s="32"/>
      <c r="X772" s="32"/>
      <c r="Y772" s="32"/>
      <c r="Z772" s="32"/>
    </row>
    <row r="773">
      <c r="A773" s="32" t="str">
        <f>IFERROR(__xludf.DUMMYFUNCTION("""COMPUTED_VALUE"""),"Soldier's Charge")</f>
        <v>Soldier's Charge</v>
      </c>
      <c r="B773" s="32"/>
      <c r="C773" s="32" t="str">
        <f>IFERROR(__xludf.DUMMYFUNCTION("""COMPUTED_VALUE"""),"Firearm")</f>
        <v>Firearm</v>
      </c>
      <c r="D773" s="32" t="str">
        <f>IFERROR(__xludf.DUMMYFUNCTION("""COMPUTED_VALUE"""),"Hand")</f>
        <v>Hand</v>
      </c>
      <c r="E773" s="32">
        <f>IFERROR(__xludf.DUMMYFUNCTION("""COMPUTED_VALUE"""),4400.0)</f>
        <v>4400</v>
      </c>
      <c r="F773" s="32" t="str">
        <f>IFERROR(__xludf.DUMMYFUNCTION("""COMPUTED_VALUE"""),"DMG: +60000, Fire DMG: +60000, Spirit DMG: +100000")</f>
        <v>DMG: +60000, Fire DMG: +60000, Spirit DMG: +100000</v>
      </c>
      <c r="G773" s="32">
        <f>IFERROR(__xludf.DUMMYFUNCTION("""COMPUTED_VALUE"""),9.658E8)</f>
        <v>965800000</v>
      </c>
      <c r="H773" s="32"/>
      <c r="I773" s="32"/>
      <c r="J773" s="32"/>
      <c r="K773" s="32"/>
      <c r="L773" s="32"/>
      <c r="M773" s="32"/>
      <c r="N773" s="32"/>
      <c r="O773" s="32"/>
      <c r="P773" s="32"/>
      <c r="Q773" s="32"/>
      <c r="R773" s="32"/>
      <c r="S773" s="32"/>
      <c r="T773" s="32"/>
      <c r="U773" s="32"/>
      <c r="V773" s="32"/>
      <c r="W773" s="32"/>
      <c r="X773" s="32"/>
      <c r="Y773" s="32"/>
      <c r="Z773" s="32"/>
    </row>
    <row r="774">
      <c r="A774" s="32" t="str">
        <f>IFERROR(__xludf.DUMMYFUNCTION("""COMPUTED_VALUE"""),"Weight of Sin")</f>
        <v>Weight of Sin</v>
      </c>
      <c r="B774" s="32"/>
      <c r="C774" s="32" t="str">
        <f>IFERROR(__xludf.DUMMYFUNCTION("""COMPUTED_VALUE"""),"Item")</f>
        <v>Item</v>
      </c>
      <c r="D774" s="32" t="str">
        <f>IFERROR(__xludf.DUMMYFUNCTION("""COMPUTED_VALUE"""),"Torso")</f>
        <v>Torso</v>
      </c>
      <c r="E774" s="32">
        <f>IFERROR(__xludf.DUMMYFUNCTION("""COMPUTED_VALUE"""),11200.0)</f>
        <v>11200</v>
      </c>
      <c r="F774" s="32" t="str">
        <f>IFERROR(__xludf.DUMMYFUNCTION("""COMPUTED_VALUE"""),"DEF: +560000 +-Always go last in turn order, +-Cannot be removed")</f>
        <v>DEF: +560000 +-Always go last in turn order, +-Cannot be removed</v>
      </c>
      <c r="G774" s="32">
        <f>IFERROR(__xludf.DUMMYFUNCTION("""COMPUTED_VALUE"""),6.2664E9)</f>
        <v>6266400000</v>
      </c>
      <c r="H774" s="32"/>
      <c r="I774" s="32"/>
      <c r="J774" s="32"/>
      <c r="K774" s="32"/>
      <c r="L774" s="32"/>
      <c r="M774" s="32"/>
      <c r="N774" s="32"/>
      <c r="O774" s="32"/>
      <c r="P774" s="32"/>
      <c r="Q774" s="32"/>
      <c r="R774" s="32"/>
      <c r="S774" s="32"/>
      <c r="T774" s="32"/>
      <c r="U774" s="32"/>
      <c r="V774" s="32"/>
      <c r="W774" s="32"/>
      <c r="X774" s="32"/>
      <c r="Y774" s="32"/>
      <c r="Z774" s="32"/>
    </row>
    <row r="775">
      <c r="A775" s="32" t="str">
        <f>IFERROR(__xludf.DUMMYFUNCTION("""COMPUTED_VALUE"""),"Volcano's Summit")</f>
        <v>Volcano's Summit</v>
      </c>
      <c r="B775" s="32"/>
      <c r="C775" s="32" t="str">
        <f>IFERROR(__xludf.DUMMYFUNCTION("""COMPUTED_VALUE"""),"Item")</f>
        <v>Item</v>
      </c>
      <c r="D775" s="32" t="str">
        <f>IFERROR(__xludf.DUMMYFUNCTION("""COMPUTED_VALUE"""),"Head")</f>
        <v>Head</v>
      </c>
      <c r="E775" s="32">
        <f>IFERROR(__xludf.DUMMYFUNCTION("""COMPUTED_VALUE"""),4000.0)</f>
        <v>4000</v>
      </c>
      <c r="F775" s="32" t="str">
        <f>IFERROR(__xludf.DUMMYFUNCTION("""COMPUTED_VALUE"""),", Fire DEF: +200000 ++X2 Fire damage")</f>
        <v>, Fire DEF: +200000 ++X2 Fire damage</v>
      </c>
      <c r="G775" s="32">
        <f>IFERROR(__xludf.DUMMYFUNCTION("""COMPUTED_VALUE"""),7.98E8)</f>
        <v>798000000</v>
      </c>
      <c r="H775" s="32"/>
      <c r="I775" s="32"/>
      <c r="J775" s="32"/>
      <c r="K775" s="32"/>
      <c r="L775" s="32"/>
      <c r="M775" s="32"/>
      <c r="N775" s="32"/>
      <c r="O775" s="32"/>
      <c r="P775" s="32"/>
      <c r="Q775" s="32"/>
      <c r="R775" s="32"/>
      <c r="S775" s="32"/>
      <c r="T775" s="32"/>
      <c r="U775" s="32"/>
      <c r="V775" s="32"/>
      <c r="W775" s="32"/>
      <c r="X775" s="32"/>
      <c r="Y775" s="32"/>
      <c r="Z775" s="32"/>
    </row>
    <row r="776">
      <c r="A776" s="32" t="str">
        <f>IFERROR(__xludf.DUMMYFUNCTION("""COMPUTED_VALUE"""),"Long Distance Loveletter")</f>
        <v>Long Distance Loveletter</v>
      </c>
      <c r="B776" s="32"/>
      <c r="C776" s="32" t="str">
        <f>IFERROR(__xludf.DUMMYFUNCTION("""COMPUTED_VALUE"""),"Firearm")</f>
        <v>Firearm</v>
      </c>
      <c r="D776" s="32" t="str">
        <f>IFERROR(__xludf.DUMMYFUNCTION("""COMPUTED_VALUE"""),"Hand")</f>
        <v>Hand</v>
      </c>
      <c r="E776" s="32">
        <f>IFERROR(__xludf.DUMMYFUNCTION("""COMPUTED_VALUE"""),12000.0)</f>
        <v>12000</v>
      </c>
      <c r="F776" s="32" t="str">
        <f>IFERROR(__xludf.DUMMYFUNCTION("""COMPUTED_VALUE"""),"DMG: +600000 ++10% chance for 1 enemy to become an ally at the beginning of battle.")</f>
        <v>DMG: +600000 ++10% chance for 1 enemy to become an ally at the beginning of battle.</v>
      </c>
      <c r="G776" s="32">
        <f>IFERROR(__xludf.DUMMYFUNCTION("""COMPUTED_VALUE"""),7.194E9)</f>
        <v>7194000000</v>
      </c>
      <c r="H776" s="32"/>
      <c r="I776" s="32"/>
      <c r="J776" s="32"/>
      <c r="K776" s="32"/>
      <c r="L776" s="32"/>
      <c r="M776" s="32"/>
      <c r="N776" s="32"/>
      <c r="O776" s="32"/>
      <c r="P776" s="32"/>
      <c r="Q776" s="32"/>
      <c r="R776" s="32"/>
      <c r="S776" s="32"/>
      <c r="T776" s="32"/>
      <c r="U776" s="32"/>
      <c r="V776" s="32"/>
      <c r="W776" s="32"/>
      <c r="X776" s="32"/>
      <c r="Y776" s="32"/>
      <c r="Z776" s="32"/>
    </row>
    <row r="777">
      <c r="A777" s="32" t="str">
        <f>IFERROR(__xludf.DUMMYFUNCTION("""COMPUTED_VALUE"""),"Cursed Child's Hatchet")</f>
        <v>Cursed Child's Hatchet</v>
      </c>
      <c r="B777" s="32"/>
      <c r="C777" s="32" t="str">
        <f>IFERROR(__xludf.DUMMYFUNCTION("""COMPUTED_VALUE"""),"Axe")</f>
        <v>Axe</v>
      </c>
      <c r="D777" s="32" t="str">
        <f>IFERROR(__xludf.DUMMYFUNCTION("""COMPUTED_VALUE"""),"Hand")</f>
        <v>Hand</v>
      </c>
      <c r="E777" s="32">
        <f>IFERROR(__xludf.DUMMYFUNCTION("""COMPUTED_VALUE"""),3000.0)</f>
        <v>3000</v>
      </c>
      <c r="F777" s="32" t="str">
        <f>IFERROR(__xludf.DUMMYFUNCTION("""COMPUTED_VALUE"""),"DMG: +150000 +- 15% chance of attacking a random ally")</f>
        <v>DMG: +150000 +- 15% chance of attacking a random ally</v>
      </c>
      <c r="G777" s="32">
        <f>IFERROR(__xludf.DUMMYFUNCTION("""COMPUTED_VALUE"""),4.485E8)</f>
        <v>448500000</v>
      </c>
      <c r="H777" s="32"/>
      <c r="I777" s="32"/>
      <c r="J777" s="32"/>
      <c r="K777" s="32"/>
      <c r="L777" s="32"/>
      <c r="M777" s="32"/>
      <c r="N777" s="32"/>
      <c r="O777" s="32"/>
      <c r="P777" s="32"/>
      <c r="Q777" s="32"/>
      <c r="R777" s="32"/>
      <c r="S777" s="32"/>
      <c r="T777" s="32"/>
      <c r="U777" s="32"/>
      <c r="V777" s="32"/>
      <c r="W777" s="32"/>
      <c r="X777" s="32"/>
      <c r="Y777" s="32"/>
      <c r="Z777" s="32"/>
    </row>
    <row r="778">
      <c r="A778" s="32" t="str">
        <f>IFERROR(__xludf.DUMMYFUNCTION("""COMPUTED_VALUE"""),"Helm of Lost Hope")</f>
        <v>Helm of Lost Hope</v>
      </c>
      <c r="B778" s="32"/>
      <c r="C778" s="32" t="str">
        <f>IFERROR(__xludf.DUMMYFUNCTION("""COMPUTED_VALUE"""),"Item")</f>
        <v>Item</v>
      </c>
      <c r="D778" s="32" t="str">
        <f>IFERROR(__xludf.DUMMYFUNCTION("""COMPUTED_VALUE"""),"Head")</f>
        <v>Head</v>
      </c>
      <c r="E778" s="32">
        <f>IFERROR(__xludf.DUMMYFUNCTION("""COMPUTED_VALUE"""),6800.0)</f>
        <v>6800</v>
      </c>
      <c r="F778" s="32" t="str">
        <f>IFERROR(__xludf.DUMMYFUNCTION("""COMPUTED_VALUE"""),"DEF: +340000")</f>
        <v>DEF: +340000</v>
      </c>
      <c r="G778" s="32">
        <f>IFERROR(__xludf.DUMMYFUNCTION("""COMPUTED_VALUE"""),2.3086E9)</f>
        <v>2308600000</v>
      </c>
      <c r="H778" s="32"/>
      <c r="I778" s="32"/>
      <c r="J778" s="32"/>
      <c r="K778" s="32"/>
      <c r="L778" s="32"/>
      <c r="M778" s="32"/>
      <c r="N778" s="32"/>
      <c r="O778" s="32"/>
      <c r="P778" s="32"/>
      <c r="Q778" s="32"/>
      <c r="R778" s="32"/>
      <c r="S778" s="32"/>
      <c r="T778" s="32"/>
      <c r="U778" s="32"/>
      <c r="V778" s="32"/>
      <c r="W778" s="32"/>
      <c r="X778" s="32"/>
      <c r="Y778" s="32"/>
      <c r="Z778" s="32"/>
    </row>
    <row r="779">
      <c r="A779" s="32" t="str">
        <f>IFERROR(__xludf.DUMMYFUNCTION("""COMPUTED_VALUE"""),"Cursed Shield")</f>
        <v>Cursed Shield</v>
      </c>
      <c r="B779" s="32"/>
      <c r="C779" s="32" t="str">
        <f>IFERROR(__xludf.DUMMYFUNCTION("""COMPUTED_VALUE"""),"Towershield")</f>
        <v>Towershield</v>
      </c>
      <c r="D779" s="32" t="str">
        <f>IFERROR(__xludf.DUMMYFUNCTION("""COMPUTED_VALUE"""),"Hand")</f>
        <v>Hand</v>
      </c>
      <c r="E779" s="32">
        <f>IFERROR(__xludf.DUMMYFUNCTION("""COMPUTED_VALUE"""),3200.0)</f>
        <v>3200</v>
      </c>
      <c r="F779" s="32" t="str">
        <f>IFERROR(__xludf.DUMMYFUNCTION("""COMPUTED_VALUE"""),"DEF: +160000 +-Unequipping destroys the item")</f>
        <v>DEF: +160000 +-Unequipping destroys the item</v>
      </c>
      <c r="G779" s="32">
        <f>IFERROR(__xludf.DUMMYFUNCTION("""COMPUTED_VALUE"""),5.104E8)</f>
        <v>510400000</v>
      </c>
      <c r="H779" s="32"/>
      <c r="I779" s="32"/>
      <c r="J779" s="32"/>
      <c r="K779" s="32"/>
      <c r="L779" s="32"/>
      <c r="M779" s="32"/>
      <c r="N779" s="32"/>
      <c r="O779" s="32"/>
      <c r="P779" s="32"/>
      <c r="Q779" s="32"/>
      <c r="R779" s="32"/>
      <c r="S779" s="32"/>
      <c r="T779" s="32"/>
      <c r="U779" s="32"/>
      <c r="V779" s="32"/>
      <c r="W779" s="32"/>
      <c r="X779" s="32"/>
      <c r="Y779" s="32"/>
      <c r="Z779" s="32"/>
    </row>
    <row r="780">
      <c r="A780" s="32" t="str">
        <f>IFERROR(__xludf.DUMMYFUNCTION("""COMPUTED_VALUE"""),"Dragonscale Buckler")</f>
        <v>Dragonscale Buckler</v>
      </c>
      <c r="B780" s="32"/>
      <c r="C780" s="32" t="str">
        <f>IFERROR(__xludf.DUMMYFUNCTION("""COMPUTED_VALUE"""),"Buckler")</f>
        <v>Buckler</v>
      </c>
      <c r="D780" s="32" t="str">
        <f>IFERROR(__xludf.DUMMYFUNCTION("""COMPUTED_VALUE"""),"Hand")</f>
        <v>Hand</v>
      </c>
      <c r="E780" s="32">
        <f>IFERROR(__xludf.DUMMYFUNCTION("""COMPUTED_VALUE"""),2140.0)</f>
        <v>2140</v>
      </c>
      <c r="F780" s="32" t="str">
        <f>IFERROR(__xludf.DUMMYFUNCTION("""COMPUTED_VALUE"""),"DEF: +107000")</f>
        <v>DEF: +107000</v>
      </c>
      <c r="G780" s="32">
        <f>IFERROR(__xludf.DUMMYFUNCTION("""COMPUTED_VALUE"""),2.2791E8)</f>
        <v>227910000</v>
      </c>
      <c r="H780" s="32"/>
      <c r="I780" s="32"/>
      <c r="J780" s="32"/>
      <c r="K780" s="32"/>
      <c r="L780" s="32"/>
      <c r="M780" s="32"/>
      <c r="N780" s="32"/>
      <c r="O780" s="32"/>
      <c r="P780" s="32"/>
      <c r="Q780" s="32"/>
      <c r="R780" s="32"/>
      <c r="S780" s="32"/>
      <c r="T780" s="32"/>
      <c r="U780" s="32"/>
      <c r="V780" s="32"/>
      <c r="W780" s="32"/>
      <c r="X780" s="32"/>
      <c r="Y780" s="32"/>
      <c r="Z780" s="32"/>
    </row>
    <row r="781">
      <c r="A781" s="32" t="str">
        <f>IFERROR(__xludf.DUMMYFUNCTION("""COMPUTED_VALUE"""),"Magma Trident")</f>
        <v>Magma Trident</v>
      </c>
      <c r="B781" s="32"/>
      <c r="C781" s="32" t="str">
        <f>IFERROR(__xludf.DUMMYFUNCTION("""COMPUTED_VALUE"""),"Spear")</f>
        <v>Spear</v>
      </c>
      <c r="D781" s="32" t="str">
        <f>IFERROR(__xludf.DUMMYFUNCTION("""COMPUTED_VALUE"""),"Hand")</f>
        <v>Hand</v>
      </c>
      <c r="E781" s="32">
        <f>IFERROR(__xludf.DUMMYFUNCTION("""COMPUTED_VALUE"""),4000.0)</f>
        <v>4000</v>
      </c>
      <c r="F781" s="32" t="str">
        <f>IFERROR(__xludf.DUMMYFUNCTION("""COMPUTED_VALUE"""),"DMG: +100000, Fire DMG: +100000")</f>
        <v>DMG: +100000, Fire DMG: +100000</v>
      </c>
      <c r="G781" s="32">
        <f>IFERROR(__xludf.DUMMYFUNCTION("""COMPUTED_VALUE"""),7.98E8)</f>
        <v>798000000</v>
      </c>
      <c r="H781" s="32"/>
      <c r="I781" s="32"/>
      <c r="J781" s="32"/>
      <c r="K781" s="32"/>
      <c r="L781" s="32"/>
      <c r="M781" s="32"/>
      <c r="N781" s="32"/>
      <c r="O781" s="32"/>
      <c r="P781" s="32"/>
      <c r="Q781" s="32"/>
      <c r="R781" s="32"/>
      <c r="S781" s="32"/>
      <c r="T781" s="32"/>
      <c r="U781" s="32"/>
      <c r="V781" s="32"/>
      <c r="W781" s="32"/>
      <c r="X781" s="32"/>
      <c r="Y781" s="32"/>
      <c r="Z781" s="32"/>
    </row>
    <row r="782">
      <c r="A782" s="32" t="str">
        <f>IFERROR(__xludf.DUMMYFUNCTION("""COMPUTED_VALUE"""),"Bonemerang")</f>
        <v>Bonemerang</v>
      </c>
      <c r="B782" s="32"/>
      <c r="C782" s="32" t="str">
        <f>IFERROR(__xludf.DUMMYFUNCTION("""COMPUTED_VALUE"""),"Boomerang")</f>
        <v>Boomerang</v>
      </c>
      <c r="D782" s="32" t="str">
        <f>IFERROR(__xludf.DUMMYFUNCTION("""COMPUTED_VALUE"""),"Hand")</f>
        <v>Hand</v>
      </c>
      <c r="E782" s="32">
        <f>IFERROR(__xludf.DUMMYFUNCTION("""COMPUTED_VALUE"""),5200.0)</f>
        <v>5200</v>
      </c>
      <c r="F782" s="32" t="str">
        <f>IFERROR(__xludf.DUMMYFUNCTION("""COMPUTED_VALUE"""),"DMG: +250000, Chaos DMG: +10000")</f>
        <v>DMG: +250000, Chaos DMG: +10000</v>
      </c>
      <c r="G782" s="32">
        <f>IFERROR(__xludf.DUMMYFUNCTION("""COMPUTED_VALUE"""),1.3494E9)</f>
        <v>1349400000</v>
      </c>
      <c r="H782" s="32"/>
      <c r="I782" s="32"/>
      <c r="J782" s="32"/>
      <c r="K782" s="32"/>
      <c r="L782" s="32"/>
      <c r="M782" s="32"/>
      <c r="N782" s="32"/>
      <c r="O782" s="32"/>
      <c r="P782" s="32"/>
      <c r="Q782" s="32"/>
      <c r="R782" s="32"/>
      <c r="S782" s="32"/>
      <c r="T782" s="32"/>
      <c r="U782" s="32"/>
      <c r="V782" s="32"/>
      <c r="W782" s="32"/>
      <c r="X782" s="32"/>
      <c r="Y782" s="32"/>
      <c r="Z782" s="32"/>
    </row>
    <row r="783">
      <c r="A783" s="32" t="str">
        <f>IFERROR(__xludf.DUMMYFUNCTION("""COMPUTED_VALUE"""),"Blamerang")</f>
        <v>Blamerang</v>
      </c>
      <c r="B783" s="32"/>
      <c r="C783" s="32" t="str">
        <f>IFERROR(__xludf.DUMMYFUNCTION("""COMPUTED_VALUE"""),"Boomerang")</f>
        <v>Boomerang</v>
      </c>
      <c r="D783" s="32" t="str">
        <f>IFERROR(__xludf.DUMMYFUNCTION("""COMPUTED_VALUE"""),"Hand")</f>
        <v>Hand</v>
      </c>
      <c r="E783" s="32">
        <f>IFERROR(__xludf.DUMMYFUNCTION("""COMPUTED_VALUE"""),4400.0)</f>
        <v>4400</v>
      </c>
      <c r="F783" s="32" t="str">
        <f>IFERROR(__xludf.DUMMYFUNCTION("""COMPUTED_VALUE"""),"DMG: +20000, Fire DMG: +200000 ++Explodes when thrown at an enemy, hitting other enemies")</f>
        <v>DMG: +20000, Fire DMG: +200000 ++Explodes when thrown at an enemy, hitting other enemies</v>
      </c>
      <c r="G783" s="32">
        <f>IFERROR(__xludf.DUMMYFUNCTION("""COMPUTED_VALUE"""),9.658E8)</f>
        <v>965800000</v>
      </c>
      <c r="H783" s="32"/>
      <c r="I783" s="32"/>
      <c r="J783" s="32"/>
      <c r="K783" s="32"/>
      <c r="L783" s="32"/>
      <c r="M783" s="32"/>
      <c r="N783" s="32"/>
      <c r="O783" s="32"/>
      <c r="P783" s="32"/>
      <c r="Q783" s="32"/>
      <c r="R783" s="32"/>
      <c r="S783" s="32"/>
      <c r="T783" s="32"/>
      <c r="U783" s="32"/>
      <c r="V783" s="32"/>
      <c r="W783" s="32"/>
      <c r="X783" s="32"/>
      <c r="Y783" s="32"/>
      <c r="Z783" s="32"/>
    </row>
    <row r="784">
      <c r="A784" s="32" t="str">
        <f>IFERROR(__xludf.DUMMYFUNCTION("""COMPUTED_VALUE"""),"Condemned Bow")</f>
        <v>Condemned Bow</v>
      </c>
      <c r="B784" s="32"/>
      <c r="C784" s="32" t="str">
        <f>IFERROR(__xludf.DUMMYFUNCTION("""COMPUTED_VALUE"""),"Bow")</f>
        <v>Bow</v>
      </c>
      <c r="D784" s="32" t="str">
        <f>IFERROR(__xludf.DUMMYFUNCTION("""COMPUTED_VALUE"""),"Hand")</f>
        <v>Hand</v>
      </c>
      <c r="E784" s="32">
        <f>IFERROR(__xludf.DUMMYFUNCTION("""COMPUTED_VALUE"""),6000.0)</f>
        <v>6000</v>
      </c>
      <c r="F784" s="32" t="str">
        <f>IFERROR(__xludf.DUMMYFUNCTION("""COMPUTED_VALUE"""),"DMG: +300000 +-5% chance for the DM to take control of your turn")</f>
        <v>DMG: +300000 +-5% chance for the DM to take control of your turn</v>
      </c>
      <c r="G784" s="32">
        <f>IFERROR(__xludf.DUMMYFUNCTION("""COMPUTED_VALUE"""),1.797E9)</f>
        <v>1797000000</v>
      </c>
      <c r="H784" s="32"/>
      <c r="I784" s="32"/>
      <c r="J784" s="32"/>
      <c r="K784" s="32"/>
      <c r="L784" s="32"/>
      <c r="M784" s="32"/>
      <c r="N784" s="32"/>
      <c r="O784" s="32"/>
      <c r="P784" s="32"/>
      <c r="Q784" s="32"/>
      <c r="R784" s="32"/>
      <c r="S784" s="32"/>
      <c r="T784" s="32"/>
      <c r="U784" s="32"/>
      <c r="V784" s="32"/>
      <c r="W784" s="32"/>
      <c r="X784" s="32"/>
      <c r="Y784" s="32"/>
      <c r="Z784" s="32"/>
    </row>
    <row r="785">
      <c r="A785" s="32" t="str">
        <f>IFERROR(__xludf.DUMMYFUNCTION("""COMPUTED_VALUE"""),"Ancient Blacksmith's Soul In A Bottle")</f>
        <v>Ancient Blacksmith's Soul In A Bottle</v>
      </c>
      <c r="B785" s="32"/>
      <c r="C785" s="32" t="str">
        <f>IFERROR(__xludf.DUMMYFUNCTION("""COMPUTED_VALUE"""),"Item")</f>
        <v>Item</v>
      </c>
      <c r="D785" s="32" t="str">
        <f>IFERROR(__xludf.DUMMYFUNCTION("""COMPUTED_VALUE"""),"Neck")</f>
        <v>Neck</v>
      </c>
      <c r="E785" s="32">
        <f>IFERROR(__xludf.DUMMYFUNCTION("""COMPUTED_VALUE"""),1.0)</f>
        <v>1</v>
      </c>
      <c r="F785" s="32"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32">
        <f>IFERROR(__xludf.DUMMYFUNCTION("""COMPUTED_VALUE"""),0.0)</f>
        <v>0</v>
      </c>
      <c r="H785" s="32"/>
      <c r="I785" s="32"/>
      <c r="J785" s="32"/>
      <c r="K785" s="32"/>
      <c r="L785" s="32"/>
      <c r="M785" s="32"/>
      <c r="N785" s="32"/>
      <c r="O785" s="32"/>
      <c r="P785" s="32"/>
      <c r="Q785" s="32"/>
      <c r="R785" s="32"/>
      <c r="S785" s="32"/>
      <c r="T785" s="32"/>
      <c r="U785" s="32"/>
      <c r="V785" s="32"/>
      <c r="W785" s="32"/>
      <c r="X785" s="32"/>
      <c r="Y785" s="32"/>
      <c r="Z785" s="32"/>
    </row>
    <row r="786">
      <c r="A786" s="32" t="str">
        <f>IFERROR(__xludf.DUMMYFUNCTION("""COMPUTED_VALUE"""),"Ancient Breeder's Soul In A Bottle")</f>
        <v>Ancient Breeder's Soul In A Bottle</v>
      </c>
      <c r="B786" s="32"/>
      <c r="C786" s="32" t="str">
        <f>IFERROR(__xludf.DUMMYFUNCTION("""COMPUTED_VALUE"""),"Item")</f>
        <v>Item</v>
      </c>
      <c r="D786" s="32" t="str">
        <f>IFERROR(__xludf.DUMMYFUNCTION("""COMPUTED_VALUE"""),"Neck")</f>
        <v>Neck</v>
      </c>
      <c r="E786" s="32">
        <f>IFERROR(__xludf.DUMMYFUNCTION("""COMPUTED_VALUE"""),1.0)</f>
        <v>1</v>
      </c>
      <c r="F786" s="32" t="str">
        <f>IFERROR(__xludf.DUMMYFUNCTION("""COMPUTED_VALUE""")," ++All creatures hatched from an egg deal X5 damage of all types.")</f>
        <v> ++All creatures hatched from an egg deal X5 damage of all types.</v>
      </c>
      <c r="G786" s="32">
        <f>IFERROR(__xludf.DUMMYFUNCTION("""COMPUTED_VALUE"""),0.0)</f>
        <v>0</v>
      </c>
      <c r="H786" s="32"/>
      <c r="I786" s="32"/>
      <c r="J786" s="32"/>
      <c r="K786" s="32"/>
      <c r="L786" s="32"/>
      <c r="M786" s="32"/>
      <c r="N786" s="32"/>
      <c r="O786" s="32"/>
      <c r="P786" s="32"/>
      <c r="Q786" s="32"/>
      <c r="R786" s="32"/>
      <c r="S786" s="32"/>
      <c r="T786" s="32"/>
      <c r="U786" s="32"/>
      <c r="V786" s="32"/>
      <c r="W786" s="32"/>
      <c r="X786" s="32"/>
      <c r="Y786" s="32"/>
      <c r="Z786" s="32"/>
    </row>
    <row r="787">
      <c r="A787" s="32" t="str">
        <f>IFERROR(__xludf.DUMMYFUNCTION("""COMPUTED_VALUE"""),"Ancient Crafter's Soul In A Bottle")</f>
        <v>Ancient Crafter's Soul In A Bottle</v>
      </c>
      <c r="B787" s="32"/>
      <c r="C787" s="32" t="str">
        <f>IFERROR(__xludf.DUMMYFUNCTION("""COMPUTED_VALUE"""),"Item")</f>
        <v>Item</v>
      </c>
      <c r="D787" s="32" t="str">
        <f>IFERROR(__xludf.DUMMYFUNCTION("""COMPUTED_VALUE"""),"Neck")</f>
        <v>Neck</v>
      </c>
      <c r="E787" s="32">
        <f>IFERROR(__xludf.DUMMYFUNCTION("""COMPUTED_VALUE"""),1.0)</f>
        <v>1</v>
      </c>
      <c r="F787" s="32" t="str">
        <f>IFERROR(__xludf.DUMMYFUNCTION("""COMPUTED_VALUE""")," ++Triples all crafting materials gathered")</f>
        <v> ++Triples all crafting materials gathered</v>
      </c>
      <c r="G787" s="32">
        <f>IFERROR(__xludf.DUMMYFUNCTION("""COMPUTED_VALUE"""),0.0)</f>
        <v>0</v>
      </c>
      <c r="H787" s="32"/>
      <c r="I787" s="32"/>
      <c r="J787" s="32"/>
      <c r="K787" s="32"/>
      <c r="L787" s="32"/>
      <c r="M787" s="32"/>
      <c r="N787" s="32"/>
      <c r="O787" s="32"/>
      <c r="P787" s="32"/>
      <c r="Q787" s="32"/>
      <c r="R787" s="32"/>
      <c r="S787" s="32"/>
      <c r="T787" s="32"/>
      <c r="U787" s="32"/>
      <c r="V787" s="32"/>
      <c r="W787" s="32"/>
      <c r="X787" s="32"/>
      <c r="Y787" s="32"/>
      <c r="Z787" s="32"/>
    </row>
    <row r="788">
      <c r="A788" s="32" t="str">
        <f>IFERROR(__xludf.DUMMYFUNCTION("""COMPUTED_VALUE"""),"Ancient Alchemist's Soul In A Bottle")</f>
        <v>Ancient Alchemist's Soul In A Bottle</v>
      </c>
      <c r="B788" s="32"/>
      <c r="C788" s="32" t="str">
        <f>IFERROR(__xludf.DUMMYFUNCTION("""COMPUTED_VALUE"""),"Item")</f>
        <v>Item</v>
      </c>
      <c r="D788" s="32" t="str">
        <f>IFERROR(__xludf.DUMMYFUNCTION("""COMPUTED_VALUE"""),"Neck")</f>
        <v>Neck</v>
      </c>
      <c r="E788" s="32">
        <f>IFERROR(__xludf.DUMMYFUNCTION("""COMPUTED_VALUE"""),1.0)</f>
        <v>1</v>
      </c>
      <c r="F788" s="32" t="str">
        <f>IFERROR(__xludf.DUMMYFUNCTION("""COMPUTED_VALUE""")," ++Doubles the effect of all herbs and potions")</f>
        <v> ++Doubles the effect of all herbs and potions</v>
      </c>
      <c r="G788" s="32">
        <f>IFERROR(__xludf.DUMMYFUNCTION("""COMPUTED_VALUE"""),0.0)</f>
        <v>0</v>
      </c>
      <c r="H788" s="32"/>
      <c r="I788" s="32"/>
      <c r="J788" s="32"/>
      <c r="K788" s="32"/>
      <c r="L788" s="32"/>
      <c r="M788" s="32"/>
      <c r="N788" s="32"/>
      <c r="O788" s="32"/>
      <c r="P788" s="32"/>
      <c r="Q788" s="32"/>
      <c r="R788" s="32"/>
      <c r="S788" s="32"/>
      <c r="T788" s="32"/>
      <c r="U788" s="32"/>
      <c r="V788" s="32"/>
      <c r="W788" s="32"/>
      <c r="X788" s="32"/>
      <c r="Y788" s="32"/>
      <c r="Z788" s="32"/>
    </row>
    <row r="789">
      <c r="A789" s="32" t="str">
        <f>IFERROR(__xludf.DUMMYFUNCTION("""COMPUTED_VALUE"""),"Ancient Farmer's Soul In A Bottle")</f>
        <v>Ancient Farmer's Soul In A Bottle</v>
      </c>
      <c r="B789" s="32"/>
      <c r="C789" s="32" t="str">
        <f>IFERROR(__xludf.DUMMYFUNCTION("""COMPUTED_VALUE"""),"Item")</f>
        <v>Item</v>
      </c>
      <c r="D789" s="32" t="str">
        <f>IFERROR(__xludf.DUMMYFUNCTION("""COMPUTED_VALUE"""),"Neck")</f>
        <v>Neck</v>
      </c>
      <c r="E789" s="32">
        <f>IFERROR(__xludf.DUMMYFUNCTION("""COMPUTED_VALUE"""),1.0)</f>
        <v>1</v>
      </c>
      <c r="F789" s="32" t="str">
        <f>IFERROR(__xludf.DUMMYFUNCTION("""COMPUTED_VALUE""")," ++Doubles all items harvested from your farms")</f>
        <v> ++Doubles all items harvested from your farms</v>
      </c>
      <c r="G789" s="32">
        <f>IFERROR(__xludf.DUMMYFUNCTION("""COMPUTED_VALUE"""),0.0)</f>
        <v>0</v>
      </c>
      <c r="H789" s="32"/>
      <c r="I789" s="32"/>
      <c r="J789" s="32"/>
      <c r="K789" s="32"/>
      <c r="L789" s="32"/>
      <c r="M789" s="32"/>
      <c r="N789" s="32"/>
      <c r="O789" s="32"/>
      <c r="P789" s="32"/>
      <c r="Q789" s="32"/>
      <c r="R789" s="32"/>
      <c r="S789" s="32"/>
      <c r="T789" s="32"/>
      <c r="U789" s="32"/>
      <c r="V789" s="32"/>
      <c r="W789" s="32"/>
      <c r="X789" s="32"/>
      <c r="Y789" s="32"/>
      <c r="Z789" s="32"/>
    </row>
    <row r="790">
      <c r="A790" s="32" t="str">
        <f>IFERROR(__xludf.DUMMYFUNCTION("""COMPUTED_VALUE"""),"Ancient Chef's Soul In A Bottle")</f>
        <v>Ancient Chef's Soul In A Bottle</v>
      </c>
      <c r="B790" s="32"/>
      <c r="C790" s="32" t="str">
        <f>IFERROR(__xludf.DUMMYFUNCTION("""COMPUTED_VALUE"""),"Item")</f>
        <v>Item</v>
      </c>
      <c r="D790" s="32" t="str">
        <f>IFERROR(__xludf.DUMMYFUNCTION("""COMPUTED_VALUE"""),"Neck")</f>
        <v>Neck</v>
      </c>
      <c r="E790" s="32">
        <f>IFERROR(__xludf.DUMMYFUNCTION("""COMPUTED_VALUE"""),1.0)</f>
        <v>1</v>
      </c>
      <c r="F790" s="32" t="str">
        <f>IFERROR(__xludf.DUMMYFUNCTION("""COMPUTED_VALUE""")," ++Doubles the effect of all food items cooked")</f>
        <v> ++Doubles the effect of all food items cooked</v>
      </c>
      <c r="G790" s="32">
        <f>IFERROR(__xludf.DUMMYFUNCTION("""COMPUTED_VALUE"""),0.0)</f>
        <v>0</v>
      </c>
      <c r="H790" s="32"/>
      <c r="I790" s="32"/>
      <c r="J790" s="32"/>
      <c r="K790" s="32"/>
      <c r="L790" s="32"/>
      <c r="M790" s="32"/>
      <c r="N790" s="32"/>
      <c r="O790" s="32"/>
      <c r="P790" s="32"/>
      <c r="Q790" s="32"/>
      <c r="R790" s="32"/>
      <c r="S790" s="32"/>
      <c r="T790" s="32"/>
      <c r="U790" s="32"/>
      <c r="V790" s="32"/>
      <c r="W790" s="32"/>
      <c r="X790" s="32"/>
      <c r="Y790" s="32"/>
      <c r="Z790" s="32"/>
    </row>
    <row r="791">
      <c r="A791" s="32" t="str">
        <f>IFERROR(__xludf.DUMMYFUNCTION("""COMPUTED_VALUE"""),"Ancient Miner's Soul In A Bottle")</f>
        <v>Ancient Miner's Soul In A Bottle</v>
      </c>
      <c r="B791" s="32"/>
      <c r="C791" s="32" t="str">
        <f>IFERROR(__xludf.DUMMYFUNCTION("""COMPUTED_VALUE"""),"Item")</f>
        <v>Item</v>
      </c>
      <c r="D791" s="32" t="str">
        <f>IFERROR(__xludf.DUMMYFUNCTION("""COMPUTED_VALUE"""),"Neck")</f>
        <v>Neck</v>
      </c>
      <c r="E791" s="32">
        <f>IFERROR(__xludf.DUMMYFUNCTION("""COMPUTED_VALUE"""),1.0)</f>
        <v>1</v>
      </c>
      <c r="F791" s="32" t="str">
        <f>IFERROR(__xludf.DUMMYFUNCTION("""COMPUTED_VALUE""")," ++Doubles all minerals obtained while mining")</f>
        <v> ++Doubles all minerals obtained while mining</v>
      </c>
      <c r="G791" s="32">
        <f>IFERROR(__xludf.DUMMYFUNCTION("""COMPUTED_VALUE"""),0.0)</f>
        <v>0</v>
      </c>
      <c r="H791" s="32"/>
      <c r="I791" s="32"/>
      <c r="J791" s="32"/>
      <c r="K791" s="32"/>
      <c r="L791" s="32"/>
      <c r="M791" s="32"/>
      <c r="N791" s="32"/>
      <c r="O791" s="32"/>
      <c r="P791" s="32"/>
      <c r="Q791" s="32"/>
      <c r="R791" s="32"/>
      <c r="S791" s="32"/>
      <c r="T791" s="32"/>
      <c r="U791" s="32"/>
      <c r="V791" s="32"/>
      <c r="W791" s="32"/>
      <c r="X791" s="32"/>
      <c r="Y791" s="32"/>
      <c r="Z791" s="32"/>
    </row>
    <row r="792">
      <c r="A792" s="32" t="str">
        <f>IFERROR(__xludf.DUMMYFUNCTION("""COMPUTED_VALUE"""),"Ancient Spira Guard's Soul In A Bottle")</f>
        <v>Ancient Spira Guard's Soul In A Bottle</v>
      </c>
      <c r="B792" s="32"/>
      <c r="C792" s="32" t="str">
        <f>IFERROR(__xludf.DUMMYFUNCTION("""COMPUTED_VALUE"""),"Item")</f>
        <v>Item</v>
      </c>
      <c r="D792" s="32" t="str">
        <f>IFERROR(__xludf.DUMMYFUNCTION("""COMPUTED_VALUE"""),"Neck")</f>
        <v>Neck</v>
      </c>
      <c r="E792" s="32">
        <f>IFERROR(__xludf.DUMMYFUNCTION("""COMPUTED_VALUE"""),1.0)</f>
        <v>1</v>
      </c>
      <c r="F792" s="32" t="str">
        <f>IFERROR(__xludf.DUMMYFUNCTION("""COMPUTED_VALUE""")," ++Add +5 to all rolls to arrest")</f>
        <v> ++Add +5 to all rolls to arrest</v>
      </c>
      <c r="G792" s="32">
        <f>IFERROR(__xludf.DUMMYFUNCTION("""COMPUTED_VALUE"""),0.0)</f>
        <v>0</v>
      </c>
      <c r="H792" s="32"/>
      <c r="I792" s="32"/>
      <c r="J792" s="32"/>
      <c r="K792" s="32"/>
      <c r="L792" s="32"/>
      <c r="M792" s="32"/>
      <c r="N792" s="32"/>
      <c r="O792" s="32"/>
      <c r="P792" s="32"/>
      <c r="Q792" s="32"/>
      <c r="R792" s="32"/>
      <c r="S792" s="32"/>
      <c r="T792" s="32"/>
      <c r="U792" s="32"/>
      <c r="V792" s="32"/>
      <c r="W792" s="32"/>
      <c r="X792" s="32"/>
      <c r="Y792" s="32"/>
      <c r="Z792" s="32"/>
    </row>
    <row r="793">
      <c r="A793" s="32" t="str">
        <f>IFERROR(__xludf.DUMMYFUNCTION("""COMPUTED_VALUE"""),"Ancient Fisherman's Soul In A Bottle")</f>
        <v>Ancient Fisherman's Soul In A Bottle</v>
      </c>
      <c r="B793" s="32"/>
      <c r="C793" s="32" t="str">
        <f>IFERROR(__xludf.DUMMYFUNCTION("""COMPUTED_VALUE"""),"Item")</f>
        <v>Item</v>
      </c>
      <c r="D793" s="32" t="str">
        <f>IFERROR(__xludf.DUMMYFUNCTION("""COMPUTED_VALUE"""),"Neck")</f>
        <v>Neck</v>
      </c>
      <c r="E793" s="32">
        <f>IFERROR(__xludf.DUMMYFUNCTION("""COMPUTED_VALUE"""),1.0)</f>
        <v>1</v>
      </c>
      <c r="F793" s="32" t="str">
        <f>IFERROR(__xludf.DUMMYFUNCTION("""COMPUTED_VALUE""")," ++Doubles all fish obtained while fishing")</f>
        <v> ++Doubles all fish obtained while fishing</v>
      </c>
      <c r="G793" s="32">
        <f>IFERROR(__xludf.DUMMYFUNCTION("""COMPUTED_VALUE"""),0.0)</f>
        <v>0</v>
      </c>
      <c r="H793" s="32"/>
      <c r="I793" s="32"/>
      <c r="J793" s="32"/>
      <c r="K793" s="32"/>
      <c r="L793" s="32"/>
      <c r="M793" s="32"/>
      <c r="N793" s="32"/>
      <c r="O793" s="32"/>
      <c r="P793" s="32"/>
      <c r="Q793" s="32"/>
      <c r="R793" s="32"/>
      <c r="S793" s="32"/>
      <c r="T793" s="32"/>
      <c r="U793" s="32"/>
      <c r="V793" s="32"/>
      <c r="W793" s="32"/>
      <c r="X793" s="32"/>
      <c r="Y793" s="32"/>
      <c r="Z793" s="32"/>
    </row>
    <row r="794">
      <c r="A794" s="32" t="str">
        <f>IFERROR(__xludf.DUMMYFUNCTION("""COMPUTED_VALUE"""),"The Thumper")</f>
        <v>The Thumper</v>
      </c>
      <c r="B794" s="32"/>
      <c r="C794" s="32" t="str">
        <f>IFERROR(__xludf.DUMMYFUNCTION("""COMPUTED_VALUE"""),"Firearm")</f>
        <v>Firearm</v>
      </c>
      <c r="D794" s="32" t="str">
        <f>IFERROR(__xludf.DUMMYFUNCTION("""COMPUTED_VALUE"""),"Hand")</f>
        <v>Hand</v>
      </c>
      <c r="E794" s="32">
        <f>IFERROR(__xludf.DUMMYFUNCTION("""COMPUTED_VALUE"""),200.0)</f>
        <v>200</v>
      </c>
      <c r="F794" s="32" t="str">
        <f>IFERROR(__xludf.DUMMYFUNCTION("""COMPUTED_VALUE"""),"Dmg: +5000, Physical Dmg: +5000 ++Fires 3 Grenades, +-Uses Grenades as Ammo +-Cannot Be Forged or Duplicated")</f>
        <v>Dmg: +5000, Physical Dmg: +5000 ++Fires 3 Grenades, +-Uses Grenades as Ammo +-Cannot Be Forged or Duplicated</v>
      </c>
      <c r="G794" s="32">
        <f>IFERROR(__xludf.DUMMYFUNCTION("""COMPUTED_VALUE"""),1900000.0)</f>
        <v>1900000</v>
      </c>
      <c r="H794" s="32"/>
      <c r="I794" s="32"/>
      <c r="J794" s="32"/>
      <c r="K794" s="32"/>
      <c r="L794" s="32"/>
      <c r="M794" s="32"/>
      <c r="N794" s="32"/>
      <c r="O794" s="32"/>
      <c r="P794" s="32"/>
      <c r="Q794" s="32"/>
      <c r="R794" s="32"/>
      <c r="S794" s="32"/>
      <c r="T794" s="32"/>
      <c r="U794" s="32"/>
      <c r="V794" s="32"/>
      <c r="W794" s="32"/>
      <c r="X794" s="32"/>
      <c r="Y794" s="32"/>
      <c r="Z794" s="32"/>
    </row>
    <row r="795">
      <c r="A795" s="32" t="str">
        <f>IFERROR(__xludf.DUMMYFUNCTION("""COMPUTED_VALUE"""),"Undead King's Sword")</f>
        <v>Undead King's Sword</v>
      </c>
      <c r="B795" s="32"/>
      <c r="C795" s="32" t="str">
        <f>IFERROR(__xludf.DUMMYFUNCTION("""COMPUTED_VALUE"""),"Sword")</f>
        <v>Sword</v>
      </c>
      <c r="D795" s="32" t="str">
        <f>IFERROR(__xludf.DUMMYFUNCTION("""COMPUTED_VALUE"""),"Hand")</f>
        <v>Hand</v>
      </c>
      <c r="E795" s="32">
        <f>IFERROR(__xludf.DUMMYFUNCTION("""COMPUTED_VALUE"""),1.0)</f>
        <v>1</v>
      </c>
      <c r="F795" s="32" t="str">
        <f>IFERROR(__xludf.DUMMYFUNCTION("""COMPUTED_VALUE"""),"")</f>
        <v/>
      </c>
      <c r="G795" s="32">
        <f>IFERROR(__xludf.DUMMYFUNCTION("""COMPUTED_VALUE"""),0.0)</f>
        <v>0</v>
      </c>
      <c r="H795" s="32"/>
      <c r="I795" s="32"/>
      <c r="J795" s="32"/>
      <c r="K795" s="32"/>
      <c r="L795" s="32"/>
      <c r="M795" s="32"/>
      <c r="N795" s="32"/>
      <c r="O795" s="32"/>
      <c r="P795" s="32"/>
      <c r="Q795" s="32"/>
      <c r="R795" s="32"/>
      <c r="S795" s="32"/>
      <c r="T795" s="32"/>
      <c r="U795" s="32"/>
      <c r="V795" s="32"/>
      <c r="W795" s="32"/>
      <c r="X795" s="32"/>
      <c r="Y795" s="32"/>
      <c r="Z795" s="32"/>
    </row>
    <row r="796">
      <c r="A796" s="32" t="str">
        <f>IFERROR(__xludf.DUMMYFUNCTION("""COMPUTED_VALUE"""),"Trapper's Monocle")</f>
        <v>Trapper's Monocle</v>
      </c>
      <c r="B796" s="32"/>
      <c r="C796" s="32" t="str">
        <f>IFERROR(__xludf.DUMMYFUNCTION("""COMPUTED_VALUE"""),"Item")</f>
        <v>Item</v>
      </c>
      <c r="D796" s="32" t="str">
        <f>IFERROR(__xludf.DUMMYFUNCTION("""COMPUTED_VALUE"""),"Head")</f>
        <v>Head</v>
      </c>
      <c r="E796" s="32">
        <f>IFERROR(__xludf.DUMMYFUNCTION("""COMPUTED_VALUE"""),1.0)</f>
        <v>1</v>
      </c>
      <c r="F796" s="32" t="str">
        <f>IFERROR(__xludf.DUMMYFUNCTION("""COMPUTED_VALUE""")," ++5 to any roll to disarm or avoid a trap.")</f>
        <v> ++5 to any roll to disarm or avoid a trap.</v>
      </c>
      <c r="G796" s="32">
        <f>IFERROR(__xludf.DUMMYFUNCTION("""COMPUTED_VALUE"""),0.0)</f>
        <v>0</v>
      </c>
      <c r="H796" s="32"/>
      <c r="I796" s="32"/>
      <c r="J796" s="32"/>
      <c r="K796" s="32"/>
      <c r="L796" s="32"/>
      <c r="M796" s="32"/>
      <c r="N796" s="32"/>
      <c r="O796" s="32"/>
      <c r="P796" s="32"/>
      <c r="Q796" s="32"/>
      <c r="R796" s="32"/>
      <c r="S796" s="32"/>
      <c r="T796" s="32"/>
      <c r="U796" s="32"/>
      <c r="V796" s="32"/>
      <c r="W796" s="32"/>
      <c r="X796" s="32"/>
      <c r="Y796" s="32"/>
      <c r="Z796" s="32"/>
    </row>
    <row r="797">
      <c r="A797" s="32" t="str">
        <f>IFERROR(__xludf.DUMMYFUNCTION("""COMPUTED_VALUE"""),"Dragon's Dogma")</f>
        <v>Dragon's Dogma</v>
      </c>
      <c r="B797" s="32"/>
      <c r="C797" s="32" t="str">
        <f>IFERROR(__xludf.DUMMYFUNCTION("""COMPUTED_VALUE"""),"Sword")</f>
        <v>Sword</v>
      </c>
      <c r="D797" s="32" t="str">
        <f>IFERROR(__xludf.DUMMYFUNCTION("""COMPUTED_VALUE"""),"Hand")</f>
        <v>Hand</v>
      </c>
      <c r="E797" s="32">
        <f>IFERROR(__xludf.DUMMYFUNCTION("""COMPUTED_VALUE"""),200.0)</f>
        <v>200</v>
      </c>
      <c r="F797" s="32" t="str">
        <f>IFERROR(__xludf.DUMMYFUNCTION("""COMPUTED_VALUE"""),"DMG: +250000, Celestial DMG: +50000 TBD")</f>
        <v>DMG: +250000, Celestial DMG: +50000 TBD</v>
      </c>
      <c r="G797" s="32">
        <f>IFERROR(__xludf.DUMMYFUNCTION("""COMPUTED_VALUE"""),1.797E9)</f>
        <v>1797000000</v>
      </c>
      <c r="H797" s="32"/>
      <c r="I797" s="32"/>
      <c r="J797" s="32"/>
      <c r="K797" s="32"/>
      <c r="L797" s="32"/>
      <c r="M797" s="32"/>
      <c r="N797" s="32"/>
      <c r="O797" s="32"/>
      <c r="P797" s="32"/>
      <c r="Q797" s="32"/>
      <c r="R797" s="32"/>
      <c r="S797" s="32"/>
      <c r="T797" s="32"/>
      <c r="U797" s="32"/>
      <c r="V797" s="32"/>
      <c r="W797" s="32"/>
      <c r="X797" s="32"/>
      <c r="Y797" s="32"/>
      <c r="Z797" s="32"/>
    </row>
    <row r="798">
      <c r="A798" s="32" t="str">
        <f>IFERROR(__xludf.DUMMYFUNCTION("""COMPUTED_VALUE"""),"Dragon's Dread")</f>
        <v>Dragon's Dread</v>
      </c>
      <c r="B798" s="32"/>
      <c r="C798" s="32" t="str">
        <f>IFERROR(__xludf.DUMMYFUNCTION("""COMPUTED_VALUE"""),"Bow")</f>
        <v>Bow</v>
      </c>
      <c r="D798" s="32" t="str">
        <f>IFERROR(__xludf.DUMMYFUNCTION("""COMPUTED_VALUE"""),"Hand")</f>
        <v>Hand</v>
      </c>
      <c r="E798" s="32">
        <f>IFERROR(__xludf.DUMMYFUNCTION("""COMPUTED_VALUE"""),200.0)</f>
        <v>200</v>
      </c>
      <c r="F798" s="32"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32">
        <f>IFERROR(__xludf.DUMMYFUNCTION("""COMPUTED_VALUE"""),7.194E9)</f>
        <v>7194000000</v>
      </c>
      <c r="H798" s="32"/>
      <c r="I798" s="32"/>
      <c r="J798" s="32"/>
      <c r="K798" s="32"/>
      <c r="L798" s="32"/>
      <c r="M798" s="32"/>
      <c r="N798" s="32"/>
      <c r="O798" s="32"/>
      <c r="P798" s="32"/>
      <c r="Q798" s="32"/>
      <c r="R798" s="32"/>
      <c r="S798" s="32"/>
      <c r="T798" s="32"/>
      <c r="U798" s="32"/>
      <c r="V798" s="32"/>
      <c r="W798" s="32"/>
      <c r="X798" s="32"/>
      <c r="Y798" s="32"/>
      <c r="Z798" s="32"/>
    </row>
    <row r="799">
      <c r="A799" s="32" t="str">
        <f>IFERROR(__xludf.DUMMYFUNCTION("""COMPUTED_VALUE"""),"Dragon's Dream Breaker")</f>
        <v>Dragon's Dream Breaker</v>
      </c>
      <c r="B799" s="32"/>
      <c r="C799" s="32" t="str">
        <f>IFERROR(__xludf.DUMMYFUNCTION("""COMPUTED_VALUE"""),"Claw")</f>
        <v>Claw</v>
      </c>
      <c r="D799" s="32" t="str">
        <f>IFERROR(__xludf.DUMMYFUNCTION("""COMPUTED_VALUE"""),"Hand")</f>
        <v>Hand</v>
      </c>
      <c r="E799" s="32">
        <f>IFERROR(__xludf.DUMMYFUNCTION("""COMPUTED_VALUE"""),200.0)</f>
        <v>200</v>
      </c>
      <c r="F799" s="32" t="str">
        <f>IFERROR(__xludf.DUMMYFUNCTION("""COMPUTED_VALUE"""),"DMG: +600000, Celestial DMG: +600000 TBD")</f>
        <v>DMG: +600000, Celestial DMG: +600000 TBD</v>
      </c>
      <c r="G799" s="32">
        <f>IFERROR(__xludf.DUMMYFUNCTION("""COMPUTED_VALUE"""),2.8788E10)</f>
        <v>28788000000</v>
      </c>
      <c r="H799" s="32"/>
      <c r="I799" s="32"/>
      <c r="J799" s="32"/>
      <c r="K799" s="32"/>
      <c r="L799" s="32"/>
      <c r="M799" s="32"/>
      <c r="N799" s="32"/>
      <c r="O799" s="32"/>
      <c r="P799" s="32"/>
      <c r="Q799" s="32"/>
      <c r="R799" s="32"/>
      <c r="S799" s="32"/>
      <c r="T799" s="32"/>
      <c r="U799" s="32"/>
      <c r="V799" s="32"/>
      <c r="W799" s="32"/>
      <c r="X799" s="32"/>
      <c r="Y799" s="32"/>
      <c r="Z799" s="32"/>
    </row>
    <row r="800">
      <c r="A800" s="32" t="str">
        <f>IFERROR(__xludf.DUMMYFUNCTION("""COMPUTED_VALUE"""),"Dragon's Draught")</f>
        <v>Dragon's Draught</v>
      </c>
      <c r="B800" s="32"/>
      <c r="C800" s="32" t="str">
        <f>IFERROR(__xludf.DUMMYFUNCTION("""COMPUTED_VALUE"""),"Staff")</f>
        <v>Staff</v>
      </c>
      <c r="D800" s="32" t="str">
        <f>IFERROR(__xludf.DUMMYFUNCTION("""COMPUTED_VALUE"""),"Hand")</f>
        <v>Hand</v>
      </c>
      <c r="E800" s="32">
        <f>IFERROR(__xludf.DUMMYFUNCTION("""COMPUTED_VALUE"""),1.0)</f>
        <v>1</v>
      </c>
      <c r="F800" s="32" t="str">
        <f>IFERROR(__xludf.DUMMYFUNCTION("""COMPUTED_VALUE""")," TBD")</f>
        <v> TBD</v>
      </c>
      <c r="G800" s="32">
        <f>IFERROR(__xludf.DUMMYFUNCTION("""COMPUTED_VALUE"""),0.0)</f>
        <v>0</v>
      </c>
      <c r="H800" s="32"/>
      <c r="I800" s="32"/>
      <c r="J800" s="32"/>
      <c r="K800" s="32"/>
      <c r="L800" s="32"/>
      <c r="M800" s="32"/>
      <c r="N800" s="32"/>
      <c r="O800" s="32"/>
      <c r="P800" s="32"/>
      <c r="Q800" s="32"/>
      <c r="R800" s="32"/>
      <c r="S800" s="32"/>
      <c r="T800" s="32"/>
      <c r="U800" s="32"/>
      <c r="V800" s="32"/>
      <c r="W800" s="32"/>
      <c r="X800" s="32"/>
      <c r="Y800" s="32"/>
      <c r="Z800" s="32"/>
    </row>
    <row r="801">
      <c r="A801" s="32" t="str">
        <f>IFERROR(__xludf.DUMMYFUNCTION("""COMPUTED_VALUE"""),"Dragon's Damnation")</f>
        <v>Dragon's Damnation</v>
      </c>
      <c r="B801" s="32"/>
      <c r="C801" s="32" t="str">
        <f>IFERROR(__xludf.DUMMYFUNCTION("""COMPUTED_VALUE"""),"Gauntlet")</f>
        <v>Gauntlet</v>
      </c>
      <c r="D801" s="32" t="str">
        <f>IFERROR(__xludf.DUMMYFUNCTION("""COMPUTED_VALUE"""),"Hand")</f>
        <v>Hand</v>
      </c>
      <c r="E801" s="32">
        <f>IFERROR(__xludf.DUMMYFUNCTION("""COMPUTED_VALUE"""),200.0)</f>
        <v>200</v>
      </c>
      <c r="F801" s="32"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32">
        <f>IFERROR(__xludf.DUMMYFUNCTION("""COMPUTED_VALUE"""),2.8788E10)</f>
        <v>28788000000</v>
      </c>
      <c r="H801" s="32"/>
      <c r="I801" s="32"/>
      <c r="J801" s="32"/>
      <c r="K801" s="32"/>
      <c r="L801" s="32"/>
      <c r="M801" s="32"/>
      <c r="N801" s="32"/>
      <c r="O801" s="32"/>
      <c r="P801" s="32"/>
      <c r="Q801" s="32"/>
      <c r="R801" s="32"/>
      <c r="S801" s="32"/>
      <c r="T801" s="32"/>
      <c r="U801" s="32"/>
      <c r="V801" s="32"/>
      <c r="W801" s="32"/>
      <c r="X801" s="32"/>
      <c r="Y801" s="32"/>
      <c r="Z801" s="32"/>
    </row>
    <row r="802">
      <c r="A802" s="32" t="str">
        <f>IFERROR(__xludf.DUMMYFUNCTION("""COMPUTED_VALUE"""),"Dragon's Destruction")</f>
        <v>Dragon's Destruction</v>
      </c>
      <c r="B802" s="32"/>
      <c r="C802" s="32" t="str">
        <f>IFERROR(__xludf.DUMMYFUNCTION("""COMPUTED_VALUE"""),"Spear")</f>
        <v>Spear</v>
      </c>
      <c r="D802" s="32" t="str">
        <f>IFERROR(__xludf.DUMMYFUNCTION("""COMPUTED_VALUE"""),"Hand")</f>
        <v>Hand</v>
      </c>
      <c r="E802" s="32">
        <f>IFERROR(__xludf.DUMMYFUNCTION("""COMPUTED_VALUE"""),200.0)</f>
        <v>200</v>
      </c>
      <c r="F802" s="32"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32">
        <f>IFERROR(__xludf.DUMMYFUNCTION("""COMPUTED_VALUE"""),2.8788E10)</f>
        <v>28788000000</v>
      </c>
      <c r="H802" s="32"/>
      <c r="I802" s="32"/>
      <c r="J802" s="32"/>
      <c r="K802" s="32"/>
      <c r="L802" s="32"/>
      <c r="M802" s="32"/>
      <c r="N802" s="32"/>
      <c r="O802" s="32"/>
      <c r="P802" s="32"/>
      <c r="Q802" s="32"/>
      <c r="R802" s="32"/>
      <c r="S802" s="32"/>
      <c r="T802" s="32"/>
      <c r="U802" s="32"/>
      <c r="V802" s="32"/>
      <c r="W802" s="32"/>
      <c r="X802" s="32"/>
      <c r="Y802" s="32"/>
      <c r="Z802" s="32"/>
    </row>
    <row r="803">
      <c r="A803" s="32" t="str">
        <f>IFERROR(__xludf.DUMMYFUNCTION("""COMPUTED_VALUE"""),"Confining Collar")</f>
        <v>Confining Collar</v>
      </c>
      <c r="B803" s="3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32" t="str">
        <f>IFERROR(__xludf.DUMMYFUNCTION("""COMPUTED_VALUE"""),"Item")</f>
        <v>Item</v>
      </c>
      <c r="D803" s="32" t="str">
        <f>IFERROR(__xludf.DUMMYFUNCTION("""COMPUTED_VALUE"""),"Neck")</f>
        <v>Neck</v>
      </c>
      <c r="E803" s="32">
        <f>IFERROR(__xludf.DUMMYFUNCTION("""COMPUTED_VALUE"""),100.0)</f>
        <v>100</v>
      </c>
      <c r="F803" s="32" t="str">
        <f>IFERROR(__xludf.DUMMYFUNCTION("""COMPUTED_VALUE"""),"DEF: +5000 +-5 to all rolls, +-Upon being worn can only be removed after 15 days of travel")</f>
        <v>DEF: +5000 +-5 to all rolls, +-Upon being worn can only be removed after 15 days of travel</v>
      </c>
      <c r="G803" s="32">
        <f>IFERROR(__xludf.DUMMYFUNCTION("""COMPUTED_VALUE"""),450000.0)</f>
        <v>450000</v>
      </c>
      <c r="H803" s="32"/>
      <c r="I803" s="32"/>
      <c r="J803" s="32"/>
      <c r="K803" s="32"/>
      <c r="L803" s="32"/>
      <c r="M803" s="32"/>
      <c r="N803" s="32"/>
      <c r="O803" s="32"/>
      <c r="P803" s="32"/>
      <c r="Q803" s="32"/>
      <c r="R803" s="32"/>
      <c r="S803" s="32"/>
      <c r="T803" s="32"/>
      <c r="U803" s="32"/>
      <c r="V803" s="32"/>
      <c r="W803" s="32"/>
      <c r="X803" s="32"/>
      <c r="Y803" s="32"/>
      <c r="Z803" s="32"/>
    </row>
    <row r="804">
      <c r="A804" s="32" t="str">
        <f>IFERROR(__xludf.DUMMYFUNCTION("""COMPUTED_VALUE"""),"Shiv")</f>
        <v>Shiv</v>
      </c>
      <c r="B804" s="32"/>
      <c r="C804" s="32" t="str">
        <f>IFERROR(__xludf.DUMMYFUNCTION("""COMPUTED_VALUE"""),"Knife")</f>
        <v>Knife</v>
      </c>
      <c r="D804" s="32" t="str">
        <f>IFERROR(__xludf.DUMMYFUNCTION("""COMPUTED_VALUE"""),"Hand")</f>
        <v>Hand</v>
      </c>
      <c r="E804" s="32">
        <f>IFERROR(__xludf.DUMMYFUNCTION("""COMPUTED_VALUE"""),4000.0)</f>
        <v>4000</v>
      </c>
      <c r="F804" s="32" t="str">
        <f>IFERROR(__xludf.DUMMYFUNCTION("""COMPUTED_VALUE"""),"DMG: +200000 ++has a 5% chance to give a random disease to any creature hit with this weapon.")</f>
        <v>DMG: +200000 ++has a 5% chance to give a random disease to any creature hit with this weapon.</v>
      </c>
      <c r="G804" s="32">
        <f>IFERROR(__xludf.DUMMYFUNCTION("""COMPUTED_VALUE"""),7.98E8)</f>
        <v>798000000</v>
      </c>
      <c r="H804" s="32"/>
      <c r="I804" s="32"/>
      <c r="J804" s="32"/>
      <c r="K804" s="32"/>
      <c r="L804" s="32"/>
      <c r="M804" s="32"/>
      <c r="N804" s="32"/>
      <c r="O804" s="32"/>
      <c r="P804" s="32"/>
      <c r="Q804" s="32"/>
      <c r="R804" s="32"/>
      <c r="S804" s="32"/>
      <c r="T804" s="32"/>
      <c r="U804" s="32"/>
      <c r="V804" s="32"/>
      <c r="W804" s="32"/>
      <c r="X804" s="32"/>
      <c r="Y804" s="32"/>
      <c r="Z804" s="32"/>
    </row>
    <row r="805">
      <c r="A805" s="32" t="str">
        <f>IFERROR(__xludf.DUMMYFUNCTION("""COMPUTED_VALUE"""),"Inmate's Cap")</f>
        <v>Inmate's Cap</v>
      </c>
      <c r="B805" s="32"/>
      <c r="C805" s="32" t="str">
        <f>IFERROR(__xludf.DUMMYFUNCTION("""COMPUTED_VALUE"""),"Item")</f>
        <v>Item</v>
      </c>
      <c r="D805" s="32" t="str">
        <f>IFERROR(__xludf.DUMMYFUNCTION("""COMPUTED_VALUE"""),"Head")</f>
        <v>Head</v>
      </c>
      <c r="E805" s="32">
        <f>IFERROR(__xludf.DUMMYFUNCTION("""COMPUTED_VALUE"""),2000.0)</f>
        <v>2000</v>
      </c>
      <c r="F805" s="32" t="str">
        <f>IFERROR(__xludf.DUMMYFUNCTION("""COMPUTED_VALUE"""),"DEF: +100000 ++has a 5% chance to avoid beng arrested without fail.")</f>
        <v>DEF: +100000 ++has a 5% chance to avoid beng arrested without fail.</v>
      </c>
      <c r="G805" s="32">
        <f>IFERROR(__xludf.DUMMYFUNCTION("""COMPUTED_VALUE"""),1.99E8)</f>
        <v>199000000</v>
      </c>
      <c r="H805" s="32"/>
      <c r="I805" s="32"/>
      <c r="J805" s="32"/>
      <c r="K805" s="32"/>
      <c r="L805" s="32"/>
      <c r="M805" s="32"/>
      <c r="N805" s="32"/>
      <c r="O805" s="32"/>
      <c r="P805" s="32"/>
      <c r="Q805" s="32"/>
      <c r="R805" s="32"/>
      <c r="S805" s="32"/>
      <c r="T805" s="32"/>
      <c r="U805" s="32"/>
      <c r="V805" s="32"/>
      <c r="W805" s="32"/>
      <c r="X805" s="32"/>
      <c r="Y805" s="32"/>
      <c r="Z805" s="32"/>
    </row>
    <row r="806">
      <c r="A806" s="32" t="str">
        <f>IFERROR(__xludf.DUMMYFUNCTION("""COMPUTED_VALUE"""),"Inmate's Shirt")</f>
        <v>Inmate's Shirt</v>
      </c>
      <c r="B806" s="32"/>
      <c r="C806" s="32" t="str">
        <f>IFERROR(__xludf.DUMMYFUNCTION("""COMPUTED_VALUE"""),"Item")</f>
        <v>Item</v>
      </c>
      <c r="D806" s="32" t="str">
        <f>IFERROR(__xludf.DUMMYFUNCTION("""COMPUTED_VALUE"""),"Torso")</f>
        <v>Torso</v>
      </c>
      <c r="E806" s="32">
        <f>IFERROR(__xludf.DUMMYFUNCTION("""COMPUTED_VALUE"""),2000.0)</f>
        <v>2000</v>
      </c>
      <c r="F806" s="32" t="str">
        <f>IFERROR(__xludf.DUMMYFUNCTION("""COMPUTED_VALUE"""),"DEF: +100000 ++has a 5% chance to avoid beng arrested without fail.")</f>
        <v>DEF: +100000 ++has a 5% chance to avoid beng arrested without fail.</v>
      </c>
      <c r="G806" s="32">
        <f>IFERROR(__xludf.DUMMYFUNCTION("""COMPUTED_VALUE"""),1.99E8)</f>
        <v>199000000</v>
      </c>
      <c r="H806" s="32"/>
      <c r="I806" s="32"/>
      <c r="J806" s="32"/>
      <c r="K806" s="32"/>
      <c r="L806" s="32"/>
      <c r="M806" s="32"/>
      <c r="N806" s="32"/>
      <c r="O806" s="32"/>
      <c r="P806" s="32"/>
      <c r="Q806" s="32"/>
      <c r="R806" s="32"/>
      <c r="S806" s="32"/>
      <c r="T806" s="32"/>
      <c r="U806" s="32"/>
      <c r="V806" s="32"/>
      <c r="W806" s="32"/>
      <c r="X806" s="32"/>
      <c r="Y806" s="32"/>
      <c r="Z806" s="32"/>
    </row>
    <row r="807">
      <c r="A807" s="32" t="str">
        <f>IFERROR(__xludf.DUMMYFUNCTION("""COMPUTED_VALUE"""),"Inmate's Pants")</f>
        <v>Inmate's Pants</v>
      </c>
      <c r="B807" s="32"/>
      <c r="C807" s="32" t="str">
        <f>IFERROR(__xludf.DUMMYFUNCTION("""COMPUTED_VALUE"""),"Item")</f>
        <v>Item</v>
      </c>
      <c r="D807" s="32" t="str">
        <f>IFERROR(__xludf.DUMMYFUNCTION("""COMPUTED_VALUE"""),"Legs")</f>
        <v>Legs</v>
      </c>
      <c r="E807" s="32">
        <f>IFERROR(__xludf.DUMMYFUNCTION("""COMPUTED_VALUE"""),2000.0)</f>
        <v>2000</v>
      </c>
      <c r="F807" s="32" t="str">
        <f>IFERROR(__xludf.DUMMYFUNCTION("""COMPUTED_VALUE"""),"DEF: +100000 ++has a 5% chance to avoid beng arrested without fail.")</f>
        <v>DEF: +100000 ++has a 5% chance to avoid beng arrested without fail.</v>
      </c>
      <c r="G807" s="32">
        <f>IFERROR(__xludf.DUMMYFUNCTION("""COMPUTED_VALUE"""),1.99E8)</f>
        <v>199000000</v>
      </c>
      <c r="H807" s="32"/>
      <c r="I807" s="32"/>
      <c r="J807" s="32"/>
      <c r="K807" s="32"/>
      <c r="L807" s="32"/>
      <c r="M807" s="32"/>
      <c r="N807" s="32"/>
      <c r="O807" s="32"/>
      <c r="P807" s="32"/>
      <c r="Q807" s="32"/>
      <c r="R807" s="32"/>
      <c r="S807" s="32"/>
      <c r="T807" s="32"/>
      <c r="U807" s="32"/>
      <c r="V807" s="32"/>
      <c r="W807" s="32"/>
      <c r="X807" s="32"/>
      <c r="Y807" s="32"/>
      <c r="Z807" s="32"/>
    </row>
    <row r="808">
      <c r="A808" s="32" t="str">
        <f>IFERROR(__xludf.DUMMYFUNCTION("""COMPUTED_VALUE"""),"Warden's Cap")</f>
        <v>Warden's Cap</v>
      </c>
      <c r="B808" s="32"/>
      <c r="C808" s="32" t="str">
        <f>IFERROR(__xludf.DUMMYFUNCTION("""COMPUTED_VALUE"""),"Item")</f>
        <v>Item</v>
      </c>
      <c r="D808" s="32" t="str">
        <f>IFERROR(__xludf.DUMMYFUNCTION("""COMPUTED_VALUE"""),"Head")</f>
        <v>Head</v>
      </c>
      <c r="E808" s="32">
        <f>IFERROR(__xludf.DUMMYFUNCTION("""COMPUTED_VALUE"""),2000.0)</f>
        <v>2000</v>
      </c>
      <c r="F808" s="32" t="str">
        <f>IFERROR(__xludf.DUMMYFUNCTION("""COMPUTED_VALUE"""),"DEF: +100000 ++X2 Damage with Clubs")</f>
        <v>DEF: +100000 ++X2 Damage with Clubs</v>
      </c>
      <c r="G808" s="32">
        <f>IFERROR(__xludf.DUMMYFUNCTION("""COMPUTED_VALUE"""),1.99E8)</f>
        <v>199000000</v>
      </c>
      <c r="H808" s="32"/>
      <c r="I808" s="32"/>
      <c r="J808" s="32"/>
      <c r="K808" s="32"/>
      <c r="L808" s="32"/>
      <c r="M808" s="32"/>
      <c r="N808" s="32"/>
      <c r="O808" s="32"/>
      <c r="P808" s="32"/>
      <c r="Q808" s="32"/>
      <c r="R808" s="32"/>
      <c r="S808" s="32"/>
      <c r="T808" s="32"/>
      <c r="U808" s="32"/>
      <c r="V808" s="32"/>
      <c r="W808" s="32"/>
      <c r="X808" s="32"/>
      <c r="Y808" s="32"/>
      <c r="Z808" s="32"/>
    </row>
    <row r="809">
      <c r="A809" s="32" t="str">
        <f>IFERROR(__xludf.DUMMYFUNCTION("""COMPUTED_VALUE"""),"Warden's Shirt")</f>
        <v>Warden's Shirt</v>
      </c>
      <c r="B809" s="32"/>
      <c r="C809" s="32" t="str">
        <f>IFERROR(__xludf.DUMMYFUNCTION("""COMPUTED_VALUE"""),"Item")</f>
        <v>Item</v>
      </c>
      <c r="D809" s="32" t="str">
        <f>IFERROR(__xludf.DUMMYFUNCTION("""COMPUTED_VALUE"""),"Torso")</f>
        <v>Torso</v>
      </c>
      <c r="E809" s="32">
        <f>IFERROR(__xludf.DUMMYFUNCTION("""COMPUTED_VALUE"""),2000.0)</f>
        <v>2000</v>
      </c>
      <c r="F809" s="32" t="str">
        <f>IFERROR(__xludf.DUMMYFUNCTION("""COMPUTED_VALUE"""),"DEF: +100000 ++X2 Damage with Clubs")</f>
        <v>DEF: +100000 ++X2 Damage with Clubs</v>
      </c>
      <c r="G809" s="32">
        <f>IFERROR(__xludf.DUMMYFUNCTION("""COMPUTED_VALUE"""),1.99E8)</f>
        <v>199000000</v>
      </c>
      <c r="H809" s="32"/>
      <c r="I809" s="32"/>
      <c r="J809" s="32"/>
      <c r="K809" s="32"/>
      <c r="L809" s="32"/>
      <c r="M809" s="32"/>
      <c r="N809" s="32"/>
      <c r="O809" s="32"/>
      <c r="P809" s="32"/>
      <c r="Q809" s="32"/>
      <c r="R809" s="32"/>
      <c r="S809" s="32"/>
      <c r="T809" s="32"/>
      <c r="U809" s="32"/>
      <c r="V809" s="32"/>
      <c r="W809" s="32"/>
      <c r="X809" s="32"/>
      <c r="Y809" s="32"/>
      <c r="Z809" s="32"/>
    </row>
    <row r="810">
      <c r="A810" s="32" t="str">
        <f>IFERROR(__xludf.DUMMYFUNCTION("""COMPUTED_VALUE"""),"Warden's Pants")</f>
        <v>Warden's Pants</v>
      </c>
      <c r="B810" s="32"/>
      <c r="C810" s="32" t="str">
        <f>IFERROR(__xludf.DUMMYFUNCTION("""COMPUTED_VALUE"""),"Item")</f>
        <v>Item</v>
      </c>
      <c r="D810" s="32" t="str">
        <f>IFERROR(__xludf.DUMMYFUNCTION("""COMPUTED_VALUE"""),"Legs")</f>
        <v>Legs</v>
      </c>
      <c r="E810" s="32">
        <f>IFERROR(__xludf.DUMMYFUNCTION("""COMPUTED_VALUE"""),2000.0)</f>
        <v>2000</v>
      </c>
      <c r="F810" s="32" t="str">
        <f>IFERROR(__xludf.DUMMYFUNCTION("""COMPUTED_VALUE"""),"DEF: +100000 ++X2 Damage with Clubs")</f>
        <v>DEF: +100000 ++X2 Damage with Clubs</v>
      </c>
      <c r="G810" s="32">
        <f>IFERROR(__xludf.DUMMYFUNCTION("""COMPUTED_VALUE"""),1.99E8)</f>
        <v>199000000</v>
      </c>
      <c r="H810" s="32"/>
      <c r="I810" s="32"/>
      <c r="J810" s="32"/>
      <c r="K810" s="32"/>
      <c r="L810" s="32"/>
      <c r="M810" s="32"/>
      <c r="N810" s="32"/>
      <c r="O810" s="32"/>
      <c r="P810" s="32"/>
      <c r="Q810" s="32"/>
      <c r="R810" s="32"/>
      <c r="S810" s="32"/>
      <c r="T810" s="32"/>
      <c r="U810" s="32"/>
      <c r="V810" s="32"/>
      <c r="W810" s="32"/>
      <c r="X810" s="32"/>
      <c r="Y810" s="32"/>
      <c r="Z810" s="32"/>
    </row>
    <row r="811">
      <c r="A811" s="32" t="str">
        <f>IFERROR(__xludf.DUMMYFUNCTION("""COMPUTED_VALUE"""),"Warden's Boots")</f>
        <v>Warden's Boots</v>
      </c>
      <c r="B811" s="32"/>
      <c r="C811" s="32" t="str">
        <f>IFERROR(__xludf.DUMMYFUNCTION("""COMPUTED_VALUE"""),"Item")</f>
        <v>Item</v>
      </c>
      <c r="D811" s="32" t="str">
        <f>IFERROR(__xludf.DUMMYFUNCTION("""COMPUTED_VALUE"""),"Feet")</f>
        <v>Feet</v>
      </c>
      <c r="E811" s="32">
        <f>IFERROR(__xludf.DUMMYFUNCTION("""COMPUTED_VALUE"""),2000.0)</f>
        <v>2000</v>
      </c>
      <c r="F811" s="32" t="str">
        <f>IFERROR(__xludf.DUMMYFUNCTION("""COMPUTED_VALUE"""),"DEF: +100000 ++X2 Damage with Clubs")</f>
        <v>DEF: +100000 ++X2 Damage with Clubs</v>
      </c>
      <c r="G811" s="32">
        <f>IFERROR(__xludf.DUMMYFUNCTION("""COMPUTED_VALUE"""),1.99E8)</f>
        <v>199000000</v>
      </c>
      <c r="H811" s="32"/>
      <c r="I811" s="32"/>
      <c r="J811" s="32"/>
      <c r="K811" s="32"/>
      <c r="L811" s="32"/>
      <c r="M811" s="32"/>
      <c r="N811" s="32"/>
      <c r="O811" s="32"/>
      <c r="P811" s="32"/>
      <c r="Q811" s="32"/>
      <c r="R811" s="32"/>
      <c r="S811" s="32"/>
      <c r="T811" s="32"/>
      <c r="U811" s="32"/>
      <c r="V811" s="32"/>
      <c r="W811" s="32"/>
      <c r="X811" s="32"/>
      <c r="Y811" s="32"/>
      <c r="Z811" s="32"/>
    </row>
    <row r="812">
      <c r="A812" s="32" t="str">
        <f>IFERROR(__xludf.DUMMYFUNCTION("""COMPUTED_VALUE"""),"Warden's Baton")</f>
        <v>Warden's Baton</v>
      </c>
      <c r="B812" s="32"/>
      <c r="C812" s="32" t="str">
        <f>IFERROR(__xludf.DUMMYFUNCTION("""COMPUTED_VALUE"""),"Club")</f>
        <v>Club</v>
      </c>
      <c r="D812" s="32" t="str">
        <f>IFERROR(__xludf.DUMMYFUNCTION("""COMPUTED_VALUE"""),"Hand")</f>
        <v>Hand</v>
      </c>
      <c r="E812" s="32">
        <f>IFERROR(__xludf.DUMMYFUNCTION("""COMPUTED_VALUE"""),4000.0)</f>
        <v>4000</v>
      </c>
      <c r="F812" s="32" t="str">
        <f>IFERROR(__xludf.DUMMYFUNCTION("""COMPUTED_VALUE"""),"DMG: +200000 ++X20 damage to any enemy wearing a confining collar.")</f>
        <v>DMG: +200000 ++X20 damage to any enemy wearing a confining collar.</v>
      </c>
      <c r="G812" s="32">
        <f>IFERROR(__xludf.DUMMYFUNCTION("""COMPUTED_VALUE"""),7.98E8)</f>
        <v>798000000</v>
      </c>
      <c r="H812" s="32"/>
      <c r="I812" s="32"/>
      <c r="J812" s="32"/>
      <c r="K812" s="32"/>
      <c r="L812" s="32"/>
      <c r="M812" s="32"/>
      <c r="N812" s="32"/>
      <c r="O812" s="32"/>
      <c r="P812" s="32"/>
      <c r="Q812" s="32"/>
      <c r="R812" s="32"/>
      <c r="S812" s="32"/>
      <c r="T812" s="32"/>
      <c r="U812" s="32"/>
      <c r="V812" s="32"/>
      <c r="W812" s="32"/>
      <c r="X812" s="32"/>
      <c r="Y812" s="32"/>
      <c r="Z812" s="32"/>
    </row>
    <row r="813">
      <c r="A813" s="32" t="str">
        <f>IFERROR(__xludf.DUMMYFUNCTION("""COMPUTED_VALUE"""),"Gentleman's Club")</f>
        <v>Gentleman's Club</v>
      </c>
      <c r="B813" s="32"/>
      <c r="C813" s="32" t="str">
        <f>IFERROR(__xludf.DUMMYFUNCTION("""COMPUTED_VALUE"""),"Club")</f>
        <v>Club</v>
      </c>
      <c r="D813" s="32" t="str">
        <f>IFERROR(__xludf.DUMMYFUNCTION("""COMPUTED_VALUE"""),"Hand")</f>
        <v>Hand</v>
      </c>
      <c r="E813" s="32">
        <f>IFERROR(__xludf.DUMMYFUNCTION("""COMPUTED_VALUE"""),3000.0)</f>
        <v>3000</v>
      </c>
      <c r="F813" s="32" t="str">
        <f>IFERROR(__xludf.DUMMYFUNCTION("""COMPUTED_VALUE"""),"DMG: +150000 ++Enemies hit with this weapon cannot cast spells for 2 rounds. +-Cannot be duplicated.")</f>
        <v>DMG: +150000 ++Enemies hit with this weapon cannot cast spells for 2 rounds. +-Cannot be duplicated.</v>
      </c>
      <c r="G813" s="32">
        <f>IFERROR(__xludf.DUMMYFUNCTION("""COMPUTED_VALUE"""),4.485E8)</f>
        <v>448500000</v>
      </c>
      <c r="H813" s="32"/>
      <c r="I813" s="32"/>
      <c r="J813" s="32"/>
      <c r="K813" s="32"/>
      <c r="L813" s="32"/>
      <c r="M813" s="32"/>
      <c r="N813" s="32"/>
      <c r="O813" s="32"/>
      <c r="P813" s="32"/>
      <c r="Q813" s="32"/>
      <c r="R813" s="32"/>
      <c r="S813" s="32"/>
      <c r="T813" s="32"/>
      <c r="U813" s="32"/>
      <c r="V813" s="32"/>
      <c r="W813" s="32"/>
      <c r="X813" s="32"/>
      <c r="Y813" s="32"/>
      <c r="Z813" s="32"/>
    </row>
    <row r="814">
      <c r="A814" s="32" t="str">
        <f>IFERROR(__xludf.DUMMYFUNCTION("""COMPUTED_VALUE"""),"Honest Shirt")</f>
        <v>Honest Shirt</v>
      </c>
      <c r="B814" s="32"/>
      <c r="C814" s="32" t="str">
        <f>IFERROR(__xludf.DUMMYFUNCTION("""COMPUTED_VALUE"""),"Item")</f>
        <v>Item</v>
      </c>
      <c r="D814" s="32" t="str">
        <f>IFERROR(__xludf.DUMMYFUNCTION("""COMPUTED_VALUE"""),"Torso")</f>
        <v>Torso</v>
      </c>
      <c r="E814" s="32">
        <f>IFERROR(__xludf.DUMMYFUNCTION("""COMPUTED_VALUE"""),2000.0)</f>
        <v>2000</v>
      </c>
      <c r="F814" s="32" t="str">
        <f>IFERROR(__xludf.DUMMYFUNCTION("""COMPUTED_VALUE"""),"DEF: +100000 ++25% chance any spell targeting the wearer fails.")</f>
        <v>DEF: +100000 ++25% chance any spell targeting the wearer fails.</v>
      </c>
      <c r="G814" s="32">
        <f>IFERROR(__xludf.DUMMYFUNCTION("""COMPUTED_VALUE"""),1.99E8)</f>
        <v>199000000</v>
      </c>
      <c r="H814" s="32"/>
      <c r="I814" s="32"/>
      <c r="J814" s="32"/>
      <c r="K814" s="32"/>
      <c r="L814" s="32"/>
      <c r="M814" s="32"/>
      <c r="N814" s="32"/>
      <c r="O814" s="32"/>
      <c r="P814" s="32"/>
      <c r="Q814" s="32"/>
      <c r="R814" s="32"/>
      <c r="S814" s="32"/>
      <c r="T814" s="32"/>
      <c r="U814" s="32"/>
      <c r="V814" s="32"/>
      <c r="W814" s="32"/>
      <c r="X814" s="32"/>
      <c r="Y814" s="32"/>
      <c r="Z814" s="32"/>
    </row>
    <row r="815">
      <c r="A815" s="32" t="str">
        <f>IFERROR(__xludf.DUMMYFUNCTION("""COMPUTED_VALUE"""),"Tinfoil Hat")</f>
        <v>Tinfoil Hat</v>
      </c>
      <c r="B815" s="32"/>
      <c r="C815" s="32" t="str">
        <f>IFERROR(__xludf.DUMMYFUNCTION("""COMPUTED_VALUE"""),"Item")</f>
        <v>Item</v>
      </c>
      <c r="D815" s="32" t="str">
        <f>IFERROR(__xludf.DUMMYFUNCTION("""COMPUTED_VALUE"""),"Head")</f>
        <v>Head</v>
      </c>
      <c r="E815" s="32">
        <f>IFERROR(__xludf.DUMMYFUNCTION("""COMPUTED_VALUE"""),1.0)</f>
        <v>1</v>
      </c>
      <c r="F815" s="32" t="str">
        <f>IFERROR(__xludf.DUMMYFUNCTION("""COMPUTED_VALUE""")," ++Immunity to Possession. +-Cannot be duplicated.")</f>
        <v> ++Immunity to Possession. +-Cannot be duplicated.</v>
      </c>
      <c r="G815" s="32">
        <f>IFERROR(__xludf.DUMMYFUNCTION("""COMPUTED_VALUE"""),0.0)</f>
        <v>0</v>
      </c>
      <c r="H815" s="32"/>
      <c r="I815" s="32"/>
      <c r="J815" s="32"/>
      <c r="K815" s="32"/>
      <c r="L815" s="32"/>
      <c r="M815" s="32"/>
      <c r="N815" s="32"/>
      <c r="O815" s="32"/>
      <c r="P815" s="32"/>
      <c r="Q815" s="32"/>
      <c r="R815" s="32"/>
      <c r="S815" s="32"/>
      <c r="T815" s="32"/>
      <c r="U815" s="32"/>
      <c r="V815" s="32"/>
      <c r="W815" s="32"/>
      <c r="X815" s="32"/>
      <c r="Y815" s="32"/>
      <c r="Z815" s="32"/>
    </row>
    <row r="816">
      <c r="A816" s="32" t="str">
        <f>IFERROR(__xludf.DUMMYFUNCTION("""COMPUTED_VALUE"""),"Anti-Magic Glasses")</f>
        <v>Anti-Magic Glasses</v>
      </c>
      <c r="B816" s="32"/>
      <c r="C816" s="32" t="str">
        <f>IFERROR(__xludf.DUMMYFUNCTION("""COMPUTED_VALUE"""),"Item")</f>
        <v>Item</v>
      </c>
      <c r="D816" s="32" t="str">
        <f>IFERROR(__xludf.DUMMYFUNCTION("""COMPUTED_VALUE"""),"Head")</f>
        <v>Head</v>
      </c>
      <c r="E816" s="32">
        <f>IFERROR(__xludf.DUMMYFUNCTION("""COMPUTED_VALUE"""),1.0)</f>
        <v>1</v>
      </c>
      <c r="F816" s="32" t="str">
        <f>IFERROR(__xludf.DUMMYFUNCTION("""COMPUTED_VALUE""")," ++Immunity to Blindness, Disorient, and Twilight. +-Cannot be duplicated")</f>
        <v> ++Immunity to Blindness, Disorient, and Twilight. +-Cannot be duplicated</v>
      </c>
      <c r="G816" s="32">
        <f>IFERROR(__xludf.DUMMYFUNCTION("""COMPUTED_VALUE"""),0.0)</f>
        <v>0</v>
      </c>
      <c r="H816" s="32"/>
      <c r="I816" s="32"/>
      <c r="J816" s="32"/>
      <c r="K816" s="32"/>
      <c r="L816" s="32"/>
      <c r="M816" s="32"/>
      <c r="N816" s="32"/>
      <c r="O816" s="32"/>
      <c r="P816" s="32"/>
      <c r="Q816" s="32"/>
      <c r="R816" s="32"/>
      <c r="S816" s="32"/>
      <c r="T816" s="32"/>
      <c r="U816" s="32"/>
      <c r="V816" s="32"/>
      <c r="W816" s="32"/>
      <c r="X816" s="32"/>
      <c r="Y816" s="32"/>
      <c r="Z816" s="32"/>
    </row>
    <row r="817">
      <c r="A817" s="32" t="str">
        <f>IFERROR(__xludf.DUMMYFUNCTION("""COMPUTED_VALUE"""),"Null Ring")</f>
        <v>Null Ring</v>
      </c>
      <c r="B817" s="32"/>
      <c r="C817" s="32" t="str">
        <f>IFERROR(__xludf.DUMMYFUNCTION("""COMPUTED_VALUE"""),"Item")</f>
        <v>Item</v>
      </c>
      <c r="D817" s="32" t="str">
        <f>IFERROR(__xludf.DUMMYFUNCTION("""COMPUTED_VALUE"""),"Finger")</f>
        <v>Finger</v>
      </c>
      <c r="E817" s="32">
        <f>IFERROR(__xludf.DUMMYFUNCTION("""COMPUTED_VALUE"""),1.0)</f>
        <v>1</v>
      </c>
      <c r="F817" s="32"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32">
        <f>IFERROR(__xludf.DUMMYFUNCTION("""COMPUTED_VALUE"""),0.0)</f>
        <v>0</v>
      </c>
      <c r="H817" s="32"/>
      <c r="I817" s="32"/>
      <c r="J817" s="32"/>
      <c r="K817" s="32"/>
      <c r="L817" s="32"/>
      <c r="M817" s="32"/>
      <c r="N817" s="32"/>
      <c r="O817" s="32"/>
      <c r="P817" s="32"/>
      <c r="Q817" s="32"/>
      <c r="R817" s="32"/>
      <c r="S817" s="32"/>
      <c r="T817" s="32"/>
      <c r="U817" s="32"/>
      <c r="V817" s="32"/>
      <c r="W817" s="32"/>
      <c r="X817" s="32"/>
      <c r="Y817" s="32"/>
      <c r="Z817" s="32"/>
    </row>
    <row r="818">
      <c r="A818" s="32" t="str">
        <f>IFERROR(__xludf.DUMMYFUNCTION("""COMPUTED_VALUE"""),"Quickdraw Bow")</f>
        <v>Quickdraw Bow</v>
      </c>
      <c r="B818" s="32"/>
      <c r="C818" s="32" t="str">
        <f>IFERROR(__xludf.DUMMYFUNCTION("""COMPUTED_VALUE"""),"Bow")</f>
        <v>Bow</v>
      </c>
      <c r="D818" s="32" t="str">
        <f>IFERROR(__xludf.DUMMYFUNCTION("""COMPUTED_VALUE"""),"Hand")</f>
        <v>Hand</v>
      </c>
      <c r="E818" s="32">
        <f>IFERROR(__xludf.DUMMYFUNCTION("""COMPUTED_VALUE"""),2000.0)</f>
        <v>2000</v>
      </c>
      <c r="F818" s="32" t="str">
        <f>IFERROR(__xludf.DUMMYFUNCTION("""COMPUTED_VALUE"""),"DMG: +99500, Spirit DMG: +500 ++Plus 2 to turn order roll +-Cannot be forged or duplicated")</f>
        <v>DMG: +99500, Spirit DMG: +500 ++Plus 2 to turn order roll +-Cannot be forged or duplicated</v>
      </c>
      <c r="G818" s="32">
        <f>IFERROR(__xludf.DUMMYFUNCTION("""COMPUTED_VALUE"""),1.99E8)</f>
        <v>199000000</v>
      </c>
      <c r="H818" s="32"/>
      <c r="I818" s="32"/>
      <c r="J818" s="32"/>
      <c r="K818" s="32"/>
      <c r="L818" s="32"/>
      <c r="M818" s="32"/>
      <c r="N818" s="32"/>
      <c r="O818" s="32"/>
      <c r="P818" s="32"/>
      <c r="Q818" s="32"/>
      <c r="R818" s="32"/>
      <c r="S818" s="32"/>
      <c r="T818" s="32"/>
      <c r="U818" s="32"/>
      <c r="V818" s="32"/>
      <c r="W818" s="32"/>
      <c r="X818" s="32"/>
      <c r="Y818" s="32"/>
      <c r="Z818" s="32"/>
    </row>
    <row r="819">
      <c r="A819" s="32" t="str">
        <f>IFERROR(__xludf.DUMMYFUNCTION("""COMPUTED_VALUE"""),"Chaos Bow")</f>
        <v>Chaos Bow</v>
      </c>
      <c r="B819" s="32"/>
      <c r="C819" s="32" t="str">
        <f>IFERROR(__xludf.DUMMYFUNCTION("""COMPUTED_VALUE"""),"Bow")</f>
        <v>Bow</v>
      </c>
      <c r="D819" s="32" t="str">
        <f>IFERROR(__xludf.DUMMYFUNCTION("""COMPUTED_VALUE"""),"Hand")</f>
        <v>Hand</v>
      </c>
      <c r="E819" s="32">
        <f>IFERROR(__xludf.DUMMYFUNCTION("""COMPUTED_VALUE"""),2600.0)</f>
        <v>2600</v>
      </c>
      <c r="F819" s="32" t="str">
        <f>IFERROR(__xludf.DUMMYFUNCTION("""COMPUTED_VALUE"""),"DMG: +50000, Chaos DMG: +80000 ++This bow targets a random enemy.")</f>
        <v>DMG: +50000, Chaos DMG: +80000 ++This bow targets a random enemy.</v>
      </c>
      <c r="G819" s="32">
        <f>IFERROR(__xludf.DUMMYFUNCTION("""COMPUTED_VALUE"""),3.367E8)</f>
        <v>336700000</v>
      </c>
      <c r="H819" s="32"/>
      <c r="I819" s="32"/>
      <c r="J819" s="32"/>
      <c r="K819" s="32"/>
      <c r="L819" s="32"/>
      <c r="M819" s="32"/>
      <c r="N819" s="32"/>
      <c r="O819" s="32"/>
      <c r="P819" s="32"/>
      <c r="Q819" s="32"/>
      <c r="R819" s="32"/>
      <c r="S819" s="32"/>
      <c r="T819" s="32"/>
      <c r="U819" s="32"/>
      <c r="V819" s="32"/>
      <c r="W819" s="32"/>
      <c r="X819" s="32"/>
      <c r="Y819" s="32"/>
      <c r="Z819" s="32"/>
    </row>
    <row r="820">
      <c r="A820" s="32" t="str">
        <f>IFERROR(__xludf.DUMMYFUNCTION("""COMPUTED_VALUE"""),"Crit Shot Bow")</f>
        <v>Crit Shot Bow</v>
      </c>
      <c r="B820" s="32"/>
      <c r="C820" s="32" t="str">
        <f>IFERROR(__xludf.DUMMYFUNCTION("""COMPUTED_VALUE"""),"Bow")</f>
        <v>Bow</v>
      </c>
      <c r="D820" s="32" t="str">
        <f>IFERROR(__xludf.DUMMYFUNCTION("""COMPUTED_VALUE"""),"Hand")</f>
        <v>Hand</v>
      </c>
      <c r="E820" s="32">
        <f>IFERROR(__xludf.DUMMYFUNCTION("""COMPUTED_VALUE"""),4000.0)</f>
        <v>4000</v>
      </c>
      <c r="F820" s="32" t="str">
        <f>IFERROR(__xludf.DUMMYFUNCTION("""COMPUTED_VALUE"""),"DMG: +200000 ++Deals 3x damage +-Accuracy halved")</f>
        <v>DMG: +200000 ++Deals 3x damage +-Accuracy halved</v>
      </c>
      <c r="G820" s="32">
        <f>IFERROR(__xludf.DUMMYFUNCTION("""COMPUTED_VALUE"""),7.98E8)</f>
        <v>798000000</v>
      </c>
      <c r="H820" s="32"/>
      <c r="I820" s="32"/>
      <c r="J820" s="32"/>
      <c r="K820" s="32"/>
      <c r="L820" s="32"/>
      <c r="M820" s="32"/>
      <c r="N820" s="32"/>
      <c r="O820" s="32"/>
      <c r="P820" s="32"/>
      <c r="Q820" s="32"/>
      <c r="R820" s="32"/>
      <c r="S820" s="32"/>
      <c r="T820" s="32"/>
      <c r="U820" s="32"/>
      <c r="V820" s="32"/>
      <c r="W820" s="32"/>
      <c r="X820" s="32"/>
      <c r="Y820" s="32"/>
      <c r="Z820" s="32"/>
    </row>
    <row r="821">
      <c r="A821" s="32" t="str">
        <f>IFERROR(__xludf.DUMMYFUNCTION("""COMPUTED_VALUE"""),"Incinerating Bow")</f>
        <v>Incinerating Bow</v>
      </c>
      <c r="B821" s="32"/>
      <c r="C821" s="32" t="str">
        <f>IFERROR(__xludf.DUMMYFUNCTION("""COMPUTED_VALUE"""),"Bow")</f>
        <v>Bow</v>
      </c>
      <c r="D821" s="32" t="str">
        <f>IFERROR(__xludf.DUMMYFUNCTION("""COMPUTED_VALUE"""),"Hand")</f>
        <v>Hand</v>
      </c>
      <c r="E821" s="32">
        <f>IFERROR(__xludf.DUMMYFUNCTION("""COMPUTED_VALUE"""),3800.0)</f>
        <v>3800</v>
      </c>
      <c r="F821" s="32"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32">
        <f>IFERROR(__xludf.DUMMYFUNCTION("""COMPUTED_VALUE"""),7.201E8)</f>
        <v>720100000</v>
      </c>
      <c r="H821" s="32"/>
      <c r="I821" s="32"/>
      <c r="J821" s="32"/>
      <c r="K821" s="32"/>
      <c r="L821" s="32"/>
      <c r="M821" s="32"/>
      <c r="N821" s="32"/>
      <c r="O821" s="32"/>
      <c r="P821" s="32"/>
      <c r="Q821" s="32"/>
      <c r="R821" s="32"/>
      <c r="S821" s="32"/>
      <c r="T821" s="32"/>
      <c r="U821" s="32"/>
      <c r="V821" s="32"/>
      <c r="W821" s="32"/>
      <c r="X821" s="32"/>
      <c r="Y821" s="32"/>
      <c r="Z821" s="32"/>
    </row>
    <row r="822">
      <c r="A822" s="32" t="str">
        <f>IFERROR(__xludf.DUMMYFUNCTION("""COMPUTED_VALUE"""),"Bone Bow")</f>
        <v>Bone Bow</v>
      </c>
      <c r="B822" s="32"/>
      <c r="C822" s="32" t="str">
        <f>IFERROR(__xludf.DUMMYFUNCTION("""COMPUTED_VALUE"""),"Bow")</f>
        <v>Bow</v>
      </c>
      <c r="D822" s="32" t="str">
        <f>IFERROR(__xludf.DUMMYFUNCTION("""COMPUTED_VALUE"""),"Hand")</f>
        <v>Hand</v>
      </c>
      <c r="E822" s="32">
        <f>IFERROR(__xludf.DUMMYFUNCTION("""COMPUTED_VALUE"""),3400.0)</f>
        <v>3400</v>
      </c>
      <c r="F822" s="32" t="str">
        <f>IFERROR(__xludf.DUMMYFUNCTION("""COMPUTED_VALUE"""),"DMG: +10000, Blood DMG: +160000 ++ 2x damage when user isundead")</f>
        <v>DMG: +10000, Blood DMG: +160000 ++ 2x damage when user isundead</v>
      </c>
      <c r="G822" s="32">
        <f>IFERROR(__xludf.DUMMYFUNCTION("""COMPUTED_VALUE"""),5.763E8)</f>
        <v>576300000</v>
      </c>
      <c r="H822" s="32"/>
      <c r="I822" s="32"/>
      <c r="J822" s="32"/>
      <c r="K822" s="32"/>
      <c r="L822" s="32"/>
      <c r="M822" s="32"/>
      <c r="N822" s="32"/>
      <c r="O822" s="32"/>
      <c r="P822" s="32"/>
      <c r="Q822" s="32"/>
      <c r="R822" s="32"/>
      <c r="S822" s="32"/>
      <c r="T822" s="32"/>
      <c r="U822" s="32"/>
      <c r="V822" s="32"/>
      <c r="W822" s="32"/>
      <c r="X822" s="32"/>
      <c r="Y822" s="32"/>
      <c r="Z822" s="32"/>
    </row>
    <row r="823">
      <c r="A823" s="32" t="str">
        <f>IFERROR(__xludf.DUMMYFUNCTION("""COMPUTED_VALUE"""),"Assassin's Fake Harp")</f>
        <v>Assassin's Fake Harp</v>
      </c>
      <c r="B823" s="32"/>
      <c r="C823" s="32" t="str">
        <f>IFERROR(__xludf.DUMMYFUNCTION("""COMPUTED_VALUE"""),"Bow")</f>
        <v>Bow</v>
      </c>
      <c r="D823" s="32" t="str">
        <f>IFERROR(__xludf.DUMMYFUNCTION("""COMPUTED_VALUE"""),"Hand")</f>
        <v>Hand</v>
      </c>
      <c r="E823" s="32">
        <f>IFERROR(__xludf.DUMMYFUNCTION("""COMPUTED_VALUE"""),3000.0)</f>
        <v>3000</v>
      </c>
      <c r="F823" s="32" t="str">
        <f>IFERROR(__xludf.DUMMYFUNCTION("""COMPUTED_VALUE"""),"DMG: +50000, Acoustic DMG: +100000 ++Deals X2 additional damage for the first round of battle.")</f>
        <v>DMG: +50000, Acoustic DMG: +100000 ++Deals X2 additional damage for the first round of battle.</v>
      </c>
      <c r="G823" s="32">
        <f>IFERROR(__xludf.DUMMYFUNCTION("""COMPUTED_VALUE"""),4.485E8)</f>
        <v>448500000</v>
      </c>
      <c r="H823" s="32"/>
      <c r="I823" s="32"/>
      <c r="J823" s="32"/>
      <c r="K823" s="32"/>
      <c r="L823" s="32"/>
      <c r="M823" s="32"/>
      <c r="N823" s="32"/>
      <c r="O823" s="32"/>
      <c r="P823" s="32"/>
      <c r="Q823" s="32"/>
      <c r="R823" s="32"/>
      <c r="S823" s="32"/>
      <c r="T823" s="32"/>
      <c r="U823" s="32"/>
      <c r="V823" s="32"/>
      <c r="W823" s="32"/>
      <c r="X823" s="32"/>
      <c r="Y823" s="32"/>
      <c r="Z823" s="32"/>
    </row>
    <row r="824">
      <c r="A824" s="32" t="str">
        <f>IFERROR(__xludf.DUMMYFUNCTION("""COMPUTED_VALUE"""),"Broken Bow")</f>
        <v>Broken Bow</v>
      </c>
      <c r="B824" s="32"/>
      <c r="C824" s="32" t="str">
        <f>IFERROR(__xludf.DUMMYFUNCTION("""COMPUTED_VALUE"""),"Club")</f>
        <v>Club</v>
      </c>
      <c r="D824" s="32" t="str">
        <f>IFERROR(__xludf.DUMMYFUNCTION("""COMPUTED_VALUE"""),"Hand")</f>
        <v>Hand</v>
      </c>
      <c r="E824" s="32">
        <f>IFERROR(__xludf.DUMMYFUNCTION("""COMPUTED_VALUE"""),20.0)</f>
        <v>20</v>
      </c>
      <c r="F824" s="32" t="str">
        <f>IFERROR(__xludf.DUMMYFUNCTION("""COMPUTED_VALUE"""),"DMG: +1000")</f>
        <v>DMG: +1000</v>
      </c>
      <c r="G824" s="32">
        <f>IFERROR(__xludf.DUMMYFUNCTION("""COMPUTED_VALUE"""),10000.0)</f>
        <v>10000</v>
      </c>
      <c r="H824" s="32"/>
      <c r="I824" s="32"/>
      <c r="J824" s="32"/>
      <c r="K824" s="32"/>
      <c r="L824" s="32"/>
      <c r="M824" s="32"/>
      <c r="N824" s="32"/>
      <c r="O824" s="32"/>
      <c r="P824" s="32"/>
      <c r="Q824" s="32"/>
      <c r="R824" s="32"/>
      <c r="S824" s="32"/>
      <c r="T824" s="32"/>
      <c r="U824" s="32"/>
      <c r="V824" s="32"/>
      <c r="W824" s="32"/>
      <c r="X824" s="32"/>
      <c r="Y824" s="32"/>
      <c r="Z824" s="32"/>
    </row>
    <row r="825">
      <c r="A825" s="32" t="str">
        <f>IFERROR(__xludf.DUMMYFUNCTION("""COMPUTED_VALUE"""),"Lizard Wizard Hat")</f>
        <v>Lizard Wizard Hat</v>
      </c>
      <c r="B825" s="32"/>
      <c r="C825" s="32" t="str">
        <f>IFERROR(__xludf.DUMMYFUNCTION("""COMPUTED_VALUE"""),"Item")</f>
        <v>Item</v>
      </c>
      <c r="D825" s="32" t="str">
        <f>IFERROR(__xludf.DUMMYFUNCTION("""COMPUTED_VALUE"""),"Head")</f>
        <v>Head</v>
      </c>
      <c r="E825" s="32">
        <f>IFERROR(__xludf.DUMMYFUNCTION("""COMPUTED_VALUE"""),200.0)</f>
        <v>200</v>
      </c>
      <c r="F825" s="32" t="str">
        <f>IFERROR(__xludf.DUMMYFUNCTION("""COMPUTED_VALUE"""),"DEF: +10000 ++7500 hp and sp, X2 poison damage")</f>
        <v>DEF: +10000 ++7500 hp and sp, X2 poison damage</v>
      </c>
      <c r="G825" s="32">
        <f>IFERROR(__xludf.DUMMYFUNCTION("""COMPUTED_VALUE"""),1900000.0)</f>
        <v>1900000</v>
      </c>
      <c r="H825" s="32"/>
      <c r="I825" s="32"/>
      <c r="J825" s="32"/>
      <c r="K825" s="32"/>
      <c r="L825" s="32"/>
      <c r="M825" s="32"/>
      <c r="N825" s="32"/>
      <c r="O825" s="32"/>
      <c r="P825" s="32"/>
      <c r="Q825" s="32"/>
      <c r="R825" s="32"/>
      <c r="S825" s="32"/>
      <c r="T825" s="32"/>
      <c r="U825" s="32"/>
      <c r="V825" s="32"/>
      <c r="W825" s="32"/>
      <c r="X825" s="32"/>
      <c r="Y825" s="32"/>
      <c r="Z825" s="32"/>
    </row>
    <row r="826">
      <c r="A826" s="32" t="str">
        <f>IFERROR(__xludf.DUMMYFUNCTION("""COMPUTED_VALUE"""),"Lizard Wizard Robes")</f>
        <v>Lizard Wizard Robes</v>
      </c>
      <c r="B826" s="32"/>
      <c r="C826" s="32" t="str">
        <f>IFERROR(__xludf.DUMMYFUNCTION("""COMPUTED_VALUE"""),"Item")</f>
        <v>Item</v>
      </c>
      <c r="D826" s="32" t="str">
        <f>IFERROR(__xludf.DUMMYFUNCTION("""COMPUTED_VALUE"""),"Torso")</f>
        <v>Torso</v>
      </c>
      <c r="E826" s="32">
        <f>IFERROR(__xludf.DUMMYFUNCTION("""COMPUTED_VALUE"""),200.0)</f>
        <v>200</v>
      </c>
      <c r="F826" s="32" t="str">
        <f>IFERROR(__xludf.DUMMYFUNCTION("""COMPUTED_VALUE"""),"DEF: +10000 ++7500 hp and sp, X2 poison damage")</f>
        <v>DEF: +10000 ++7500 hp and sp, X2 poison damage</v>
      </c>
      <c r="G826" s="32">
        <f>IFERROR(__xludf.DUMMYFUNCTION("""COMPUTED_VALUE"""),1900000.0)</f>
        <v>1900000</v>
      </c>
      <c r="H826" s="32"/>
      <c r="I826" s="32"/>
      <c r="J826" s="32"/>
      <c r="K826" s="32"/>
      <c r="L826" s="32"/>
      <c r="M826" s="32"/>
      <c r="N826" s="32"/>
      <c r="O826" s="32"/>
      <c r="P826" s="32"/>
      <c r="Q826" s="32"/>
      <c r="R826" s="32"/>
      <c r="S826" s="32"/>
      <c r="T826" s="32"/>
      <c r="U826" s="32"/>
      <c r="V826" s="32"/>
      <c r="W826" s="32"/>
      <c r="X826" s="32"/>
      <c r="Y826" s="32"/>
      <c r="Z826" s="32"/>
    </row>
    <row r="827">
      <c r="A827" s="32" t="str">
        <f>IFERROR(__xludf.DUMMYFUNCTION("""COMPUTED_VALUE"""),"Lizard Wizard Leggings")</f>
        <v>Lizard Wizard Leggings</v>
      </c>
      <c r="B827" s="32"/>
      <c r="C827" s="32" t="str">
        <f>IFERROR(__xludf.DUMMYFUNCTION("""COMPUTED_VALUE"""),"Item")</f>
        <v>Item</v>
      </c>
      <c r="D827" s="32" t="str">
        <f>IFERROR(__xludf.DUMMYFUNCTION("""COMPUTED_VALUE"""),"Legs")</f>
        <v>Legs</v>
      </c>
      <c r="E827" s="32">
        <f>IFERROR(__xludf.DUMMYFUNCTION("""COMPUTED_VALUE"""),200.0)</f>
        <v>200</v>
      </c>
      <c r="F827" s="32" t="str">
        <f>IFERROR(__xludf.DUMMYFUNCTION("""COMPUTED_VALUE"""),"DEF: +10000 ++7500 hp and sp, X2 poison damage")</f>
        <v>DEF: +10000 ++7500 hp and sp, X2 poison damage</v>
      </c>
      <c r="G827" s="32">
        <f>IFERROR(__xludf.DUMMYFUNCTION("""COMPUTED_VALUE"""),1900000.0)</f>
        <v>1900000</v>
      </c>
      <c r="H827" s="32"/>
      <c r="I827" s="32"/>
      <c r="J827" s="32"/>
      <c r="K827" s="32"/>
      <c r="L827" s="32"/>
      <c r="M827" s="32"/>
      <c r="N827" s="32"/>
      <c r="O827" s="32"/>
      <c r="P827" s="32"/>
      <c r="Q827" s="32"/>
      <c r="R827" s="32"/>
      <c r="S827" s="32"/>
      <c r="T827" s="32"/>
      <c r="U827" s="32"/>
      <c r="V827" s="32"/>
      <c r="W827" s="32"/>
      <c r="X827" s="32"/>
      <c r="Y827" s="32"/>
      <c r="Z827" s="32"/>
    </row>
    <row r="828">
      <c r="A828" s="32" t="str">
        <f>IFERROR(__xludf.DUMMYFUNCTION("""COMPUTED_VALUE"""),"Lizard Wizard Pointed Shoes")</f>
        <v>Lizard Wizard Pointed Shoes</v>
      </c>
      <c r="B828" s="32"/>
      <c r="C828" s="32" t="str">
        <f>IFERROR(__xludf.DUMMYFUNCTION("""COMPUTED_VALUE"""),"Item")</f>
        <v>Item</v>
      </c>
      <c r="D828" s="32" t="str">
        <f>IFERROR(__xludf.DUMMYFUNCTION("""COMPUTED_VALUE"""),"Feet")</f>
        <v>Feet</v>
      </c>
      <c r="E828" s="32">
        <f>IFERROR(__xludf.DUMMYFUNCTION("""COMPUTED_VALUE"""),200.0)</f>
        <v>200</v>
      </c>
      <c r="F828" s="32" t="str">
        <f>IFERROR(__xludf.DUMMYFUNCTION("""COMPUTED_VALUE"""),"DEF: +10000 ++7500 hp and sp, X2 poison damage")</f>
        <v>DEF: +10000 ++7500 hp and sp, X2 poison damage</v>
      </c>
      <c r="G828" s="32">
        <f>IFERROR(__xludf.DUMMYFUNCTION("""COMPUTED_VALUE"""),1900000.0)</f>
        <v>1900000</v>
      </c>
      <c r="H828" s="32"/>
      <c r="I828" s="32"/>
      <c r="J828" s="32"/>
      <c r="K828" s="32"/>
      <c r="L828" s="32"/>
      <c r="M828" s="32"/>
      <c r="N828" s="32"/>
      <c r="O828" s="32"/>
      <c r="P828" s="32"/>
      <c r="Q828" s="32"/>
      <c r="R828" s="32"/>
      <c r="S828" s="32"/>
      <c r="T828" s="32"/>
      <c r="U828" s="32"/>
      <c r="V828" s="32"/>
      <c r="W828" s="32"/>
      <c r="X828" s="32"/>
      <c r="Y828" s="32"/>
      <c r="Z828" s="32"/>
    </row>
    <row r="829">
      <c r="A829" s="32" t="str">
        <f>IFERROR(__xludf.DUMMYFUNCTION("""COMPUTED_VALUE"""),"Lizard Wizard Staff of Corroding Blizzard")</f>
        <v>Lizard Wizard Staff of Corroding Blizzard</v>
      </c>
      <c r="B829" s="32"/>
      <c r="C829" s="32" t="str">
        <f>IFERROR(__xludf.DUMMYFUNCTION("""COMPUTED_VALUE"""),"Staff")</f>
        <v>Staff</v>
      </c>
      <c r="D829" s="32" t="str">
        <f>IFERROR(__xludf.DUMMYFUNCTION("""COMPUTED_VALUE"""),"Hand")</f>
        <v>Hand</v>
      </c>
      <c r="E829" s="32">
        <f>IFERROR(__xludf.DUMMYFUNCTION("""COMPUTED_VALUE"""),3000.0)</f>
        <v>3000</v>
      </c>
      <c r="F829" s="32"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32">
        <f>IFERROR(__xludf.DUMMYFUNCTION("""COMPUTED_VALUE"""),4.485E8)</f>
        <v>448500000</v>
      </c>
      <c r="H829" s="32"/>
      <c r="I829" s="32"/>
      <c r="J829" s="32"/>
      <c r="K829" s="32"/>
      <c r="L829" s="32"/>
      <c r="M829" s="32"/>
      <c r="N829" s="32"/>
      <c r="O829" s="32"/>
      <c r="P829" s="32"/>
      <c r="Q829" s="32"/>
      <c r="R829" s="32"/>
      <c r="S829" s="32"/>
      <c r="T829" s="32"/>
      <c r="U829" s="32"/>
      <c r="V829" s="32"/>
      <c r="W829" s="32"/>
      <c r="X829" s="32"/>
      <c r="Y829" s="32"/>
      <c r="Z829" s="32"/>
    </row>
    <row r="830">
      <c r="A830" s="32" t="str">
        <f>IFERROR(__xludf.DUMMYFUNCTION("""COMPUTED_VALUE"""),"Lizard Wizard's Prized Ring")</f>
        <v>Lizard Wizard's Prized Ring</v>
      </c>
      <c r="B830" s="32" t="str">
        <f>IFERROR(__xludf.DUMMYFUNCTION("""COMPUTED_VALUE"""),"""The Most Prized shiny of all lizard wizard kind!"" ~Lizard Wizzard Gizzard")</f>
        <v>"The Most Prized shiny of all lizard wizard kind!" ~Lizard Wizzard Gizzard</v>
      </c>
      <c r="C830" s="32" t="str">
        <f>IFERROR(__xludf.DUMMYFUNCTION("""COMPUTED_VALUE"""),"Item")</f>
        <v>Item</v>
      </c>
      <c r="D830" s="32" t="str">
        <f>IFERROR(__xludf.DUMMYFUNCTION("""COMPUTED_VALUE"""),"Finger")</f>
        <v>Finger</v>
      </c>
      <c r="E830" s="32">
        <f>IFERROR(__xludf.DUMMYFUNCTION("""COMPUTED_VALUE"""),2000.0)</f>
        <v>2000</v>
      </c>
      <c r="F830" s="32" t="str">
        <f>IFERROR(__xludf.DUMMYFUNCTION("""COMPUTED_VALUE"""),"DEF: +100000 ++X5 Poison and Nature damage, +5 Wisdom for every enemy poisoned.")</f>
        <v>DEF: +100000 ++X5 Poison and Nature damage, +5 Wisdom for every enemy poisoned.</v>
      </c>
      <c r="G830" s="32">
        <f>IFERROR(__xludf.DUMMYFUNCTION("""COMPUTED_VALUE"""),1.99E8)</f>
        <v>199000000</v>
      </c>
      <c r="H830" s="32"/>
      <c r="I830" s="32"/>
      <c r="J830" s="32"/>
      <c r="K830" s="32"/>
      <c r="L830" s="32"/>
      <c r="M830" s="32"/>
      <c r="N830" s="32"/>
      <c r="O830" s="32"/>
      <c r="P830" s="32"/>
      <c r="Q830" s="32"/>
      <c r="R830" s="32"/>
      <c r="S830" s="32"/>
      <c r="T830" s="32"/>
      <c r="U830" s="32"/>
      <c r="V830" s="32"/>
      <c r="W830" s="32"/>
      <c r="X830" s="32"/>
      <c r="Y830" s="32"/>
      <c r="Z830" s="32"/>
    </row>
    <row r="831">
      <c r="A831" s="32" t="str">
        <f>IFERROR(__xludf.DUMMYFUNCTION("""COMPUTED_VALUE"""),"Lizard Thief's Bandana")</f>
        <v>Lizard Thief's Bandana</v>
      </c>
      <c r="B831" s="32"/>
      <c r="C831" s="32" t="str">
        <f>IFERROR(__xludf.DUMMYFUNCTION("""COMPUTED_VALUE"""),"Item")</f>
        <v>Item</v>
      </c>
      <c r="D831" s="32" t="str">
        <f>IFERROR(__xludf.DUMMYFUNCTION("""COMPUTED_VALUE"""),"Head")</f>
        <v>Head</v>
      </c>
      <c r="E831" s="32">
        <f>IFERROR(__xludf.DUMMYFUNCTION("""COMPUTED_VALUE"""),2000.0)</f>
        <v>2000</v>
      </c>
      <c r="F831" s="32" t="str">
        <f>IFERROR(__xludf.DUMMYFUNCTION("""COMPUTED_VALUE"""),"DEF: +100000 ++15000 ATK and ACC  ++X4 Knife Damage")</f>
        <v>DEF: +100000 ++15000 ATK and ACC  ++X4 Knife Damage</v>
      </c>
      <c r="G831" s="32">
        <f>IFERROR(__xludf.DUMMYFUNCTION("""COMPUTED_VALUE"""),1.99E8)</f>
        <v>199000000</v>
      </c>
      <c r="H831" s="32"/>
      <c r="I831" s="32"/>
      <c r="J831" s="32"/>
      <c r="K831" s="32"/>
      <c r="L831" s="32"/>
      <c r="M831" s="32"/>
      <c r="N831" s="32"/>
      <c r="O831" s="32"/>
      <c r="P831" s="32"/>
      <c r="Q831" s="32"/>
      <c r="R831" s="32"/>
      <c r="S831" s="32"/>
      <c r="T831" s="32"/>
      <c r="U831" s="32"/>
      <c r="V831" s="32"/>
      <c r="W831" s="32"/>
      <c r="X831" s="32"/>
      <c r="Y831" s="32"/>
      <c r="Z831" s="32"/>
    </row>
    <row r="832">
      <c r="A832" s="32" t="str">
        <f>IFERROR(__xludf.DUMMYFUNCTION("""COMPUTED_VALUE"""),"Lizard Thief's Leathers")</f>
        <v>Lizard Thief's Leathers</v>
      </c>
      <c r="B832" s="32"/>
      <c r="C832" s="32" t="str">
        <f>IFERROR(__xludf.DUMMYFUNCTION("""COMPUTED_VALUE"""),"Item")</f>
        <v>Item</v>
      </c>
      <c r="D832" s="32" t="str">
        <f>IFERROR(__xludf.DUMMYFUNCTION("""COMPUTED_VALUE"""),"Torso")</f>
        <v>Torso</v>
      </c>
      <c r="E832" s="32">
        <f>IFERROR(__xludf.DUMMYFUNCTION("""COMPUTED_VALUE"""),2000.0)</f>
        <v>2000</v>
      </c>
      <c r="F832" s="32" t="str">
        <f>IFERROR(__xludf.DUMMYFUNCTION("""COMPUTED_VALUE"""),"DEF: +100000 ++15000 ATK and ACC ++X4 Knife Damage")</f>
        <v>DEF: +100000 ++15000 ATK and ACC ++X4 Knife Damage</v>
      </c>
      <c r="G832" s="32">
        <f>IFERROR(__xludf.DUMMYFUNCTION("""COMPUTED_VALUE"""),1.99E8)</f>
        <v>199000000</v>
      </c>
      <c r="H832" s="32"/>
      <c r="I832" s="32"/>
      <c r="J832" s="32"/>
      <c r="K832" s="32"/>
      <c r="L832" s="32"/>
      <c r="M832" s="32"/>
      <c r="N832" s="32"/>
      <c r="O832" s="32"/>
      <c r="P832" s="32"/>
      <c r="Q832" s="32"/>
      <c r="R832" s="32"/>
      <c r="S832" s="32"/>
      <c r="T832" s="32"/>
      <c r="U832" s="32"/>
      <c r="V832" s="32"/>
      <c r="W832" s="32"/>
      <c r="X832" s="32"/>
      <c r="Y832" s="32"/>
      <c r="Z832" s="32"/>
    </row>
    <row r="833">
      <c r="A833" s="32" t="str">
        <f>IFERROR(__xludf.DUMMYFUNCTION("""COMPUTED_VALUE"""),"Lizard Thief's Pants")</f>
        <v>Lizard Thief's Pants</v>
      </c>
      <c r="B833" s="32"/>
      <c r="C833" s="32" t="str">
        <f>IFERROR(__xludf.DUMMYFUNCTION("""COMPUTED_VALUE"""),"Item")</f>
        <v>Item</v>
      </c>
      <c r="D833" s="32" t="str">
        <f>IFERROR(__xludf.DUMMYFUNCTION("""COMPUTED_VALUE"""),"Legs")</f>
        <v>Legs</v>
      </c>
      <c r="E833" s="32">
        <f>IFERROR(__xludf.DUMMYFUNCTION("""COMPUTED_VALUE"""),2000.0)</f>
        <v>2000</v>
      </c>
      <c r="F833" s="32" t="str">
        <f>IFERROR(__xludf.DUMMYFUNCTION("""COMPUTED_VALUE"""),"DEF: +100000 ++15000 ATK and ACC ++X4 Knife Damage")</f>
        <v>DEF: +100000 ++15000 ATK and ACC ++X4 Knife Damage</v>
      </c>
      <c r="G833" s="32">
        <f>IFERROR(__xludf.DUMMYFUNCTION("""COMPUTED_VALUE"""),1.99E8)</f>
        <v>199000000</v>
      </c>
      <c r="H833" s="32"/>
      <c r="I833" s="32"/>
      <c r="J833" s="32"/>
      <c r="K833" s="32"/>
      <c r="L833" s="32"/>
      <c r="M833" s="32"/>
      <c r="N833" s="32"/>
      <c r="O833" s="32"/>
      <c r="P833" s="32"/>
      <c r="Q833" s="32"/>
      <c r="R833" s="32"/>
      <c r="S833" s="32"/>
      <c r="T833" s="32"/>
      <c r="U833" s="32"/>
      <c r="V833" s="32"/>
      <c r="W833" s="32"/>
      <c r="X833" s="32"/>
      <c r="Y833" s="32"/>
      <c r="Z833" s="32"/>
    </row>
    <row r="834">
      <c r="A834" s="32" t="str">
        <f>IFERROR(__xludf.DUMMYFUNCTION("""COMPUTED_VALUE"""),"Lizard Thief's Boots")</f>
        <v>Lizard Thief's Boots</v>
      </c>
      <c r="B834" s="32"/>
      <c r="C834" s="32" t="str">
        <f>IFERROR(__xludf.DUMMYFUNCTION("""COMPUTED_VALUE"""),"Item")</f>
        <v>Item</v>
      </c>
      <c r="D834" s="32" t="str">
        <f>IFERROR(__xludf.DUMMYFUNCTION("""COMPUTED_VALUE"""),"Feet")</f>
        <v>Feet</v>
      </c>
      <c r="E834" s="32">
        <f>IFERROR(__xludf.DUMMYFUNCTION("""COMPUTED_VALUE"""),2000.0)</f>
        <v>2000</v>
      </c>
      <c r="F834" s="32" t="str">
        <f>IFERROR(__xludf.DUMMYFUNCTION("""COMPUTED_VALUE"""),"DEF: +100000 ++15000 ATK and ACC ++X4 Knife Damage")</f>
        <v>DEF: +100000 ++15000 ATK and ACC ++X4 Knife Damage</v>
      </c>
      <c r="G834" s="32">
        <f>IFERROR(__xludf.DUMMYFUNCTION("""COMPUTED_VALUE"""),1.99E8)</f>
        <v>199000000</v>
      </c>
      <c r="H834" s="32"/>
      <c r="I834" s="32"/>
      <c r="J834" s="32"/>
      <c r="K834" s="32"/>
      <c r="L834" s="32"/>
      <c r="M834" s="32"/>
      <c r="N834" s="32"/>
      <c r="O834" s="32"/>
      <c r="P834" s="32"/>
      <c r="Q834" s="32"/>
      <c r="R834" s="32"/>
      <c r="S834" s="32"/>
      <c r="T834" s="32"/>
      <c r="U834" s="32"/>
      <c r="V834" s="32"/>
      <c r="W834" s="32"/>
      <c r="X834" s="32"/>
      <c r="Y834" s="32"/>
      <c r="Z834" s="32"/>
    </row>
    <row r="835">
      <c r="A835" s="32" t="str">
        <f>IFERROR(__xludf.DUMMYFUNCTION("""COMPUTED_VALUE"""),"Lizard Thief's Shiny Swiper")</f>
        <v>Lizard Thief's Shiny Swiper</v>
      </c>
      <c r="B835" s="32"/>
      <c r="C835" s="32" t="str">
        <f>IFERROR(__xludf.DUMMYFUNCTION("""COMPUTED_VALUE"""),"Knife")</f>
        <v>Knife</v>
      </c>
      <c r="D835" s="32" t="str">
        <f>IFERROR(__xludf.DUMMYFUNCTION("""COMPUTED_VALUE"""),"Hand")</f>
        <v>Hand</v>
      </c>
      <c r="E835" s="32">
        <f>IFERROR(__xludf.DUMMYFUNCTION("""COMPUTED_VALUE"""),3000.0)</f>
        <v>3000</v>
      </c>
      <c r="F835" s="32"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32">
        <f>IFERROR(__xludf.DUMMYFUNCTION("""COMPUTED_VALUE"""),4.485E8)</f>
        <v>448500000</v>
      </c>
      <c r="H835" s="32"/>
      <c r="I835" s="32"/>
      <c r="J835" s="32"/>
      <c r="K835" s="32"/>
      <c r="L835" s="32"/>
      <c r="M835" s="32"/>
      <c r="N835" s="32"/>
      <c r="O835" s="32"/>
      <c r="P835" s="32"/>
      <c r="Q835" s="32"/>
      <c r="R835" s="32"/>
      <c r="S835" s="32"/>
      <c r="T835" s="32"/>
      <c r="U835" s="32"/>
      <c r="V835" s="32"/>
      <c r="W835" s="32"/>
      <c r="X835" s="32"/>
      <c r="Y835" s="32"/>
      <c r="Z835" s="32"/>
    </row>
    <row r="836">
      <c r="A836" s="32" t="str">
        <f>IFERROR(__xludf.DUMMYFUNCTION("""COMPUTED_VALUE"""),"Wyrmstone Club")</f>
        <v>Wyrmstone Club</v>
      </c>
      <c r="B836" s="32"/>
      <c r="C836" s="32" t="str">
        <f>IFERROR(__xludf.DUMMYFUNCTION("""COMPUTED_VALUE"""),"Club")</f>
        <v>Club</v>
      </c>
      <c r="D836" s="32" t="str">
        <f>IFERROR(__xludf.DUMMYFUNCTION("""COMPUTED_VALUE"""),"Hand")</f>
        <v>Hand</v>
      </c>
      <c r="E836" s="32">
        <f>IFERROR(__xludf.DUMMYFUNCTION("""COMPUTED_VALUE"""),2000.0)</f>
        <v>2000</v>
      </c>
      <c r="F836" s="32" t="str">
        <f>IFERROR(__xludf.DUMMYFUNCTION("""COMPUTED_VALUE"""),"DMG: +100000 +- Half damage against dragons")</f>
        <v>DMG: +100000 +- Half damage against dragons</v>
      </c>
      <c r="G836" s="32">
        <f>IFERROR(__xludf.DUMMYFUNCTION("""COMPUTED_VALUE"""),1.99E8)</f>
        <v>199000000</v>
      </c>
      <c r="H836" s="32"/>
      <c r="I836" s="32"/>
      <c r="J836" s="32"/>
      <c r="K836" s="32"/>
      <c r="L836" s="32"/>
      <c r="M836" s="32"/>
      <c r="N836" s="32"/>
      <c r="O836" s="32"/>
      <c r="P836" s="32"/>
      <c r="Q836" s="32"/>
      <c r="R836" s="32"/>
      <c r="S836" s="32"/>
      <c r="T836" s="32"/>
      <c r="U836" s="32"/>
      <c r="V836" s="32"/>
      <c r="W836" s="32"/>
      <c r="X836" s="32"/>
      <c r="Y836" s="32"/>
      <c r="Z836" s="32"/>
    </row>
    <row r="837">
      <c r="A837" s="32" t="str">
        <f>IFERROR(__xludf.DUMMYFUNCTION("""COMPUTED_VALUE"""),"Wyrmstone Mail")</f>
        <v>Wyrmstone Mail</v>
      </c>
      <c r="B837" s="32"/>
      <c r="C837" s="32" t="str">
        <f>IFERROR(__xludf.DUMMYFUNCTION("""COMPUTED_VALUE"""),"Item")</f>
        <v>Item</v>
      </c>
      <c r="D837" s="32" t="str">
        <f>IFERROR(__xludf.DUMMYFUNCTION("""COMPUTED_VALUE"""),"Torso")</f>
        <v>Torso</v>
      </c>
      <c r="E837" s="32">
        <f>IFERROR(__xludf.DUMMYFUNCTION("""COMPUTED_VALUE"""),2800.0)</f>
        <v>2800</v>
      </c>
      <c r="F837" s="32" t="str">
        <f>IFERROR(__xludf.DUMMYFUNCTION("""COMPUTED_VALUE"""),"DEF: +140000 ++Half damage received from dragons +-Cannot be forged or duplicated")</f>
        <v>DEF: +140000 ++Half damage received from dragons +-Cannot be forged or duplicated</v>
      </c>
      <c r="G837" s="32">
        <f>IFERROR(__xludf.DUMMYFUNCTION("""COMPUTED_VALUE"""),3.906E8)</f>
        <v>390600000</v>
      </c>
      <c r="H837" s="32"/>
      <c r="I837" s="32"/>
      <c r="J837" s="32"/>
      <c r="K837" s="32"/>
      <c r="L837" s="32"/>
      <c r="M837" s="32"/>
      <c r="N837" s="32"/>
      <c r="O837" s="32"/>
      <c r="P837" s="32"/>
      <c r="Q837" s="32"/>
      <c r="R837" s="32"/>
      <c r="S837" s="32"/>
      <c r="T837" s="32"/>
      <c r="U837" s="32"/>
      <c r="V837" s="32"/>
      <c r="W837" s="32"/>
      <c r="X837" s="32"/>
      <c r="Y837" s="32"/>
      <c r="Z837" s="32"/>
    </row>
    <row r="838">
      <c r="A838" s="32" t="str">
        <f>IFERROR(__xludf.DUMMYFUNCTION("""COMPUTED_VALUE"""),"Wyrmstone Helm")</f>
        <v>Wyrmstone Helm</v>
      </c>
      <c r="B838" s="32"/>
      <c r="C838" s="32" t="str">
        <f>IFERROR(__xludf.DUMMYFUNCTION("""COMPUTED_VALUE"""),"Item")</f>
        <v>Item</v>
      </c>
      <c r="D838" s="32" t="str">
        <f>IFERROR(__xludf.DUMMYFUNCTION("""COMPUTED_VALUE"""),"Head")</f>
        <v>Head</v>
      </c>
      <c r="E838" s="32">
        <f>IFERROR(__xludf.DUMMYFUNCTION("""COMPUTED_VALUE"""),2400.0)</f>
        <v>2400</v>
      </c>
      <c r="F838" s="32" t="str">
        <f>IFERROR(__xludf.DUMMYFUNCTION("""COMPUTED_VALUE"""),"DEF: +120000 +-Cannot be forged or duplicated")</f>
        <v>DEF: +120000 +-Cannot be forged or duplicated</v>
      </c>
      <c r="G838" s="32">
        <f>IFERROR(__xludf.DUMMYFUNCTION("""COMPUTED_VALUE"""),2.868E8)</f>
        <v>286800000</v>
      </c>
      <c r="H838" s="32"/>
      <c r="I838" s="32"/>
      <c r="J838" s="32"/>
      <c r="K838" s="32"/>
      <c r="L838" s="32"/>
      <c r="M838" s="32"/>
      <c r="N838" s="32"/>
      <c r="O838" s="32"/>
      <c r="P838" s="32"/>
      <c r="Q838" s="32"/>
      <c r="R838" s="32"/>
      <c r="S838" s="32"/>
      <c r="T838" s="32"/>
      <c r="U838" s="32"/>
      <c r="V838" s="32"/>
      <c r="W838" s="32"/>
      <c r="X838" s="32"/>
      <c r="Y838" s="32"/>
      <c r="Z838" s="32"/>
    </row>
    <row r="839">
      <c r="A839" s="32" t="str">
        <f>IFERROR(__xludf.DUMMYFUNCTION("""COMPUTED_VALUE"""),"Wyrmstone Buckler")</f>
        <v>Wyrmstone Buckler</v>
      </c>
      <c r="B839" s="32"/>
      <c r="C839" s="32" t="str">
        <f>IFERROR(__xludf.DUMMYFUNCTION("""COMPUTED_VALUE"""),"Buckler")</f>
        <v>Buckler</v>
      </c>
      <c r="D839" s="32" t="str">
        <f>IFERROR(__xludf.DUMMYFUNCTION("""COMPUTED_VALUE"""),"Hand")</f>
        <v>Hand</v>
      </c>
      <c r="E839" s="32">
        <f>IFERROR(__xludf.DUMMYFUNCTION("""COMPUTED_VALUE"""),3000.0)</f>
        <v>3000</v>
      </c>
      <c r="F839" s="32" t="str">
        <f>IFERROR(__xludf.DUMMYFUNCTION("""COMPUTED_VALUE"""),"DEF: +150000 ++25% chance to parry dragons' attacks +-Cannot be forged or duplicated")</f>
        <v>DEF: +150000 ++25% chance to parry dragons' attacks +-Cannot be forged or duplicated</v>
      </c>
      <c r="G839" s="32">
        <f>IFERROR(__xludf.DUMMYFUNCTION("""COMPUTED_VALUE"""),4.485E8)</f>
        <v>448500000</v>
      </c>
      <c r="H839" s="32"/>
      <c r="I839" s="32"/>
      <c r="J839" s="32"/>
      <c r="K839" s="32"/>
      <c r="L839" s="32"/>
      <c r="M839" s="32"/>
      <c r="N839" s="32"/>
      <c r="O839" s="32"/>
      <c r="P839" s="32"/>
      <c r="Q839" s="32"/>
      <c r="R839" s="32"/>
      <c r="S839" s="32"/>
      <c r="T839" s="32"/>
      <c r="U839" s="32"/>
      <c r="V839" s="32"/>
      <c r="W839" s="32"/>
      <c r="X839" s="32"/>
      <c r="Y839" s="32"/>
      <c r="Z839" s="32"/>
    </row>
    <row r="840">
      <c r="A840" s="32" t="str">
        <f>IFERROR(__xludf.DUMMYFUNCTION("""COMPUTED_VALUE"""),"Wyrmstone Gauntlet")</f>
        <v>Wyrmstone Gauntlet</v>
      </c>
      <c r="B840" s="32"/>
      <c r="C840" s="32" t="str">
        <f>IFERROR(__xludf.DUMMYFUNCTION("""COMPUTED_VALUE"""),"Gauntlet")</f>
        <v>Gauntlet</v>
      </c>
      <c r="D840" s="32" t="str">
        <f>IFERROR(__xludf.DUMMYFUNCTION("""COMPUTED_VALUE"""),"Hand")</f>
        <v>Hand</v>
      </c>
      <c r="E840" s="32">
        <f>IFERROR(__xludf.DUMMYFUNCTION("""COMPUTED_VALUE"""),3000.0)</f>
        <v>3000</v>
      </c>
      <c r="F840" s="32" t="str">
        <f>IFERROR(__xludf.DUMMYFUNCTION("""COMPUTED_VALUE"""),"DEF: +125000, Light DEF: +25000")</f>
        <v>DEF: +125000, Light DEF: +25000</v>
      </c>
      <c r="G840" s="32">
        <f>IFERROR(__xludf.DUMMYFUNCTION("""COMPUTED_VALUE"""),4.485E8)</f>
        <v>448500000</v>
      </c>
      <c r="H840" s="32"/>
      <c r="I840" s="32"/>
      <c r="J840" s="32"/>
      <c r="K840" s="32"/>
      <c r="L840" s="32"/>
      <c r="M840" s="32"/>
      <c r="N840" s="32"/>
      <c r="O840" s="32"/>
      <c r="P840" s="32"/>
      <c r="Q840" s="32"/>
      <c r="R840" s="32"/>
      <c r="S840" s="32"/>
      <c r="T840" s="32"/>
      <c r="U840" s="32"/>
      <c r="V840" s="32"/>
      <c r="W840" s="32"/>
      <c r="X840" s="32"/>
      <c r="Y840" s="32"/>
      <c r="Z840" s="32"/>
    </row>
    <row r="841">
      <c r="A841" s="32" t="str">
        <f>IFERROR(__xludf.DUMMYFUNCTION("""COMPUTED_VALUE"""),"Wyrmstone Leggings")</f>
        <v>Wyrmstone Leggings</v>
      </c>
      <c r="B841" s="32"/>
      <c r="C841" s="32" t="str">
        <f>IFERROR(__xludf.DUMMYFUNCTION("""COMPUTED_VALUE"""),"Item")</f>
        <v>Item</v>
      </c>
      <c r="D841" s="32" t="str">
        <f>IFERROR(__xludf.DUMMYFUNCTION("""COMPUTED_VALUE"""),"Legs")</f>
        <v>Legs</v>
      </c>
      <c r="E841" s="32">
        <f>IFERROR(__xludf.DUMMYFUNCTION("""COMPUTED_VALUE"""),2000.0)</f>
        <v>2000</v>
      </c>
      <c r="F841" s="32" t="str">
        <f>IFERROR(__xludf.DUMMYFUNCTION("""COMPUTED_VALUE"""),"DEF: +100000")</f>
        <v>DEF: +100000</v>
      </c>
      <c r="G841" s="32">
        <f>IFERROR(__xludf.DUMMYFUNCTION("""COMPUTED_VALUE"""),1.99E8)</f>
        <v>199000000</v>
      </c>
      <c r="H841" s="32"/>
      <c r="I841" s="32"/>
      <c r="J841" s="32"/>
      <c r="K841" s="32"/>
      <c r="L841" s="32"/>
      <c r="M841" s="32"/>
      <c r="N841" s="32"/>
      <c r="O841" s="32"/>
      <c r="P841" s="32"/>
      <c r="Q841" s="32"/>
      <c r="R841" s="32"/>
      <c r="S841" s="32"/>
      <c r="T841" s="32"/>
      <c r="U841" s="32"/>
      <c r="V841" s="32"/>
      <c r="W841" s="32"/>
      <c r="X841" s="32"/>
      <c r="Y841" s="32"/>
      <c r="Z841" s="32"/>
    </row>
    <row r="842">
      <c r="A842" s="32" t="str">
        <f>IFERROR(__xludf.DUMMYFUNCTION("""COMPUTED_VALUE"""),"Wyrmstone Lance")</f>
        <v>Wyrmstone Lance</v>
      </c>
      <c r="B842" s="32"/>
      <c r="C842" s="32" t="str">
        <f>IFERROR(__xludf.DUMMYFUNCTION("""COMPUTED_VALUE"""),"Spear")</f>
        <v>Spear</v>
      </c>
      <c r="D842" s="32" t="str">
        <f>IFERROR(__xludf.DUMMYFUNCTION("""COMPUTED_VALUE"""),"Hand")</f>
        <v>Hand</v>
      </c>
      <c r="E842" s="32">
        <f>IFERROR(__xludf.DUMMYFUNCTION("""COMPUTED_VALUE"""),2000.0)</f>
        <v>2000</v>
      </c>
      <c r="F842" s="32" t="str">
        <f>IFERROR(__xludf.DUMMYFUNCTION("""COMPUTED_VALUE"""),"DMG: +100000 ++Damage doubles if used two turns in a row +-Cannot be forged or duplicated")</f>
        <v>DMG: +100000 ++Damage doubles if used two turns in a row +-Cannot be forged or duplicated</v>
      </c>
      <c r="G842" s="32">
        <f>IFERROR(__xludf.DUMMYFUNCTION("""COMPUTED_VALUE"""),1.99E8)</f>
        <v>199000000</v>
      </c>
      <c r="H842" s="32"/>
      <c r="I842" s="32"/>
      <c r="J842" s="32"/>
      <c r="K842" s="32"/>
      <c r="L842" s="32"/>
      <c r="M842" s="32"/>
      <c r="N842" s="32"/>
      <c r="O842" s="32"/>
      <c r="P842" s="32"/>
      <c r="Q842" s="32"/>
      <c r="R842" s="32"/>
      <c r="S842" s="32"/>
      <c r="T842" s="32"/>
      <c r="U842" s="32"/>
      <c r="V842" s="32"/>
      <c r="W842" s="32"/>
      <c r="X842" s="32"/>
      <c r="Y842" s="32"/>
      <c r="Z842" s="32"/>
    </row>
    <row r="843">
      <c r="A843" s="32" t="str">
        <f>IFERROR(__xludf.DUMMYFUNCTION("""COMPUTED_VALUE"""),"Wyrmstone Nails")</f>
        <v>Wyrmstone Nails</v>
      </c>
      <c r="B843" s="32"/>
      <c r="C843" s="32" t="str">
        <f>IFERROR(__xludf.DUMMYFUNCTION("""COMPUTED_VALUE"""),"Claw")</f>
        <v>Claw</v>
      </c>
      <c r="D843" s="32" t="str">
        <f>IFERROR(__xludf.DUMMYFUNCTION("""COMPUTED_VALUE"""),"Hand")</f>
        <v>Hand</v>
      </c>
      <c r="E843" s="32">
        <f>IFERROR(__xludf.DUMMYFUNCTION("""COMPUTED_VALUE"""),2600.0)</f>
        <v>2600</v>
      </c>
      <c r="F843" s="32" t="str">
        <f>IFERROR(__xludf.DUMMYFUNCTION("""COMPUTED_VALUE"""),"DMG: +130000")</f>
        <v>DMG: +130000</v>
      </c>
      <c r="G843" s="32">
        <f>IFERROR(__xludf.DUMMYFUNCTION("""COMPUTED_VALUE"""),3.367E8)</f>
        <v>336700000</v>
      </c>
      <c r="H843" s="32"/>
      <c r="I843" s="32"/>
      <c r="J843" s="32"/>
      <c r="K843" s="32"/>
      <c r="L843" s="32"/>
      <c r="M843" s="32"/>
      <c r="N843" s="32"/>
      <c r="O843" s="32"/>
      <c r="P843" s="32"/>
      <c r="Q843" s="32"/>
      <c r="R843" s="32"/>
      <c r="S843" s="32"/>
      <c r="T843" s="32"/>
      <c r="U843" s="32"/>
      <c r="V843" s="32"/>
      <c r="W843" s="32"/>
      <c r="X843" s="32"/>
      <c r="Y843" s="32"/>
      <c r="Z843" s="32"/>
    </row>
    <row r="844">
      <c r="A844" s="32" t="str">
        <f>IFERROR(__xludf.DUMMYFUNCTION("""COMPUTED_VALUE"""),"Lizard Warrior's Scale Helm")</f>
        <v>Lizard Warrior's Scale Helm</v>
      </c>
      <c r="B844" s="32"/>
      <c r="C844" s="32" t="str">
        <f>IFERROR(__xludf.DUMMYFUNCTION("""COMPUTED_VALUE"""),"Item")</f>
        <v>Item</v>
      </c>
      <c r="D844" s="32" t="str">
        <f>IFERROR(__xludf.DUMMYFUNCTION("""COMPUTED_VALUE"""),"Head")</f>
        <v>Head</v>
      </c>
      <c r="E844" s="32">
        <f>IFERROR(__xludf.DUMMYFUNCTION("""COMPUTED_VALUE"""),3000.0)</f>
        <v>3000</v>
      </c>
      <c r="F844" s="32" t="str">
        <f>IFERROR(__xludf.DUMMYFUNCTION("""COMPUTED_VALUE"""),"DEF: +100000, Nature DEF: +50000")</f>
        <v>DEF: +100000, Nature DEF: +50000</v>
      </c>
      <c r="G844" s="32">
        <f>IFERROR(__xludf.DUMMYFUNCTION("""COMPUTED_VALUE"""),4.485E8)</f>
        <v>448500000</v>
      </c>
      <c r="H844" s="32"/>
      <c r="I844" s="32"/>
      <c r="J844" s="32"/>
      <c r="K844" s="32"/>
      <c r="L844" s="32"/>
      <c r="M844" s="32"/>
      <c r="N844" s="32"/>
      <c r="O844" s="32"/>
      <c r="P844" s="32"/>
      <c r="Q844" s="32"/>
      <c r="R844" s="32"/>
      <c r="S844" s="32"/>
      <c r="T844" s="32"/>
      <c r="U844" s="32"/>
      <c r="V844" s="32"/>
      <c r="W844" s="32"/>
      <c r="X844" s="32"/>
      <c r="Y844" s="32"/>
      <c r="Z844" s="32"/>
    </row>
    <row r="845">
      <c r="A845" s="32" t="str">
        <f>IFERROR(__xludf.DUMMYFUNCTION("""COMPUTED_VALUE"""),"Lizard Warrior's Scaled Pauldrons")</f>
        <v>Lizard Warrior's Scaled Pauldrons</v>
      </c>
      <c r="B845" s="32"/>
      <c r="C845" s="32" t="str">
        <f>IFERROR(__xludf.DUMMYFUNCTION("""COMPUTED_VALUE"""),"Item")</f>
        <v>Item</v>
      </c>
      <c r="D845" s="32" t="str">
        <f>IFERROR(__xludf.DUMMYFUNCTION("""COMPUTED_VALUE"""),"Shoulders")</f>
        <v>Shoulders</v>
      </c>
      <c r="E845" s="32">
        <f>IFERROR(__xludf.DUMMYFUNCTION("""COMPUTED_VALUE"""),3000.0)</f>
        <v>3000</v>
      </c>
      <c r="F845" s="32" t="str">
        <f>IFERROR(__xludf.DUMMYFUNCTION("""COMPUTED_VALUE"""),"DEF: +100000, Nature DEF: +50000")</f>
        <v>DEF: +100000, Nature DEF: +50000</v>
      </c>
      <c r="G845" s="32">
        <f>IFERROR(__xludf.DUMMYFUNCTION("""COMPUTED_VALUE"""),4.485E8)</f>
        <v>448500000</v>
      </c>
      <c r="H845" s="32"/>
      <c r="I845" s="32"/>
      <c r="J845" s="32"/>
      <c r="K845" s="32"/>
      <c r="L845" s="32"/>
      <c r="M845" s="32"/>
      <c r="N845" s="32"/>
      <c r="O845" s="32"/>
      <c r="P845" s="32"/>
      <c r="Q845" s="32"/>
      <c r="R845" s="32"/>
      <c r="S845" s="32"/>
      <c r="T845" s="32"/>
      <c r="U845" s="32"/>
      <c r="V845" s="32"/>
      <c r="W845" s="32"/>
      <c r="X845" s="32"/>
      <c r="Y845" s="32"/>
      <c r="Z845" s="32"/>
    </row>
    <row r="846">
      <c r="A846" s="32" t="str">
        <f>IFERROR(__xludf.DUMMYFUNCTION("""COMPUTED_VALUE"""),"Lizard Warrior's Scaled Chest")</f>
        <v>Lizard Warrior's Scaled Chest</v>
      </c>
      <c r="B846" s="32"/>
      <c r="C846" s="32" t="str">
        <f>IFERROR(__xludf.DUMMYFUNCTION("""COMPUTED_VALUE"""),"Item")</f>
        <v>Item</v>
      </c>
      <c r="D846" s="32" t="str">
        <f>IFERROR(__xludf.DUMMYFUNCTION("""COMPUTED_VALUE"""),"Torso")</f>
        <v>Torso</v>
      </c>
      <c r="E846" s="32">
        <f>IFERROR(__xludf.DUMMYFUNCTION("""COMPUTED_VALUE"""),3000.0)</f>
        <v>3000</v>
      </c>
      <c r="F846" s="32"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32">
        <f>IFERROR(__xludf.DUMMYFUNCTION("""COMPUTED_VALUE"""),4.485E8)</f>
        <v>448500000</v>
      </c>
      <c r="H846" s="32"/>
      <c r="I846" s="32"/>
      <c r="J846" s="32"/>
      <c r="K846" s="32"/>
      <c r="L846" s="32"/>
      <c r="M846" s="32"/>
      <c r="N846" s="32"/>
      <c r="O846" s="32"/>
      <c r="P846" s="32"/>
      <c r="Q846" s="32"/>
      <c r="R846" s="32"/>
      <c r="S846" s="32"/>
      <c r="T846" s="32"/>
      <c r="U846" s="32"/>
      <c r="V846" s="32"/>
      <c r="W846" s="32"/>
      <c r="X846" s="32"/>
      <c r="Y846" s="32"/>
      <c r="Z846" s="32"/>
    </row>
    <row r="847">
      <c r="A847" s="32" t="str">
        <f>IFERROR(__xludf.DUMMYFUNCTION("""COMPUTED_VALUE"""),"Lizard Warrior's Scaled Arms")</f>
        <v>Lizard Warrior's Scaled Arms</v>
      </c>
      <c r="B847" s="32"/>
      <c r="C847" s="32" t="str">
        <f>IFERROR(__xludf.DUMMYFUNCTION("""COMPUTED_VALUE"""),"Item")</f>
        <v>Item</v>
      </c>
      <c r="D847" s="32" t="str">
        <f>IFERROR(__xludf.DUMMYFUNCTION("""COMPUTED_VALUE"""),"Arms")</f>
        <v>Arms</v>
      </c>
      <c r="E847" s="32">
        <f>IFERROR(__xludf.DUMMYFUNCTION("""COMPUTED_VALUE"""),3000.0)</f>
        <v>3000</v>
      </c>
      <c r="F847" s="32" t="str">
        <f>IFERROR(__xludf.DUMMYFUNCTION("""COMPUTED_VALUE"""),"DEF: +100000, Nature DEF: +50000 ++7500 DEF for every enemy currently poisoned (Max 37500)")</f>
        <v>DEF: +100000, Nature DEF: +50000 ++7500 DEF for every enemy currently poisoned (Max 37500)</v>
      </c>
      <c r="G847" s="32">
        <f>IFERROR(__xludf.DUMMYFUNCTION("""COMPUTED_VALUE"""),4.485E8)</f>
        <v>448500000</v>
      </c>
      <c r="H847" s="32"/>
      <c r="I847" s="32"/>
      <c r="J847" s="32"/>
      <c r="K847" s="32"/>
      <c r="L847" s="32"/>
      <c r="M847" s="32"/>
      <c r="N847" s="32"/>
      <c r="O847" s="32"/>
      <c r="P847" s="32"/>
      <c r="Q847" s="32"/>
      <c r="R847" s="32"/>
      <c r="S847" s="32"/>
      <c r="T847" s="32"/>
      <c r="U847" s="32"/>
      <c r="V847" s="32"/>
      <c r="W847" s="32"/>
      <c r="X847" s="32"/>
      <c r="Y847" s="32"/>
      <c r="Z847" s="32"/>
    </row>
    <row r="848">
      <c r="A848" s="32" t="str">
        <f>IFERROR(__xludf.DUMMYFUNCTION("""COMPUTED_VALUE"""),"Lizard Warrior's Bracelets")</f>
        <v>Lizard Warrior's Bracelets</v>
      </c>
      <c r="B848" s="32"/>
      <c r="C848" s="32" t="str">
        <f>IFERROR(__xludf.DUMMYFUNCTION("""COMPUTED_VALUE"""),"Item")</f>
        <v>Item</v>
      </c>
      <c r="D848" s="32" t="str">
        <f>IFERROR(__xludf.DUMMYFUNCTION("""COMPUTED_VALUE"""),"Arms")</f>
        <v>Arms</v>
      </c>
      <c r="E848" s="32">
        <f>IFERROR(__xludf.DUMMYFUNCTION("""COMPUTED_VALUE"""),3000.0)</f>
        <v>3000</v>
      </c>
      <c r="F848" s="32" t="str">
        <f>IFERROR(__xludf.DUMMYFUNCTION("""COMPUTED_VALUE"""),"DEF: +100000, Nature DEF: +50000 ++5000 ACC for every enemy currently poisoned (Max 25000)")</f>
        <v>DEF: +100000, Nature DEF: +50000 ++5000 ACC for every enemy currently poisoned (Max 25000)</v>
      </c>
      <c r="G848" s="32">
        <f>IFERROR(__xludf.DUMMYFUNCTION("""COMPUTED_VALUE"""),4.485E8)</f>
        <v>448500000</v>
      </c>
      <c r="H848" s="32"/>
      <c r="I848" s="32"/>
      <c r="J848" s="32"/>
      <c r="K848" s="32"/>
      <c r="L848" s="32"/>
      <c r="M848" s="32"/>
      <c r="N848" s="32"/>
      <c r="O848" s="32"/>
      <c r="P848" s="32"/>
      <c r="Q848" s="32"/>
      <c r="R848" s="32"/>
      <c r="S848" s="32"/>
      <c r="T848" s="32"/>
      <c r="U848" s="32"/>
      <c r="V848" s="32"/>
      <c r="W848" s="32"/>
      <c r="X848" s="32"/>
      <c r="Y848" s="32"/>
      <c r="Z848" s="32"/>
    </row>
    <row r="849">
      <c r="A849" s="32" t="str">
        <f>IFERROR(__xludf.DUMMYFUNCTION("""COMPUTED_VALUE"""),"Lizard Warrior's Scaled Legs")</f>
        <v>Lizard Warrior's Scaled Legs</v>
      </c>
      <c r="B849" s="32"/>
      <c r="C849" s="32" t="str">
        <f>IFERROR(__xludf.DUMMYFUNCTION("""COMPUTED_VALUE"""),"Item")</f>
        <v>Item</v>
      </c>
      <c r="D849" s="32" t="str">
        <f>IFERROR(__xludf.DUMMYFUNCTION("""COMPUTED_VALUE"""),"Legs")</f>
        <v>Legs</v>
      </c>
      <c r="E849" s="32">
        <f>IFERROR(__xludf.DUMMYFUNCTION("""COMPUTED_VALUE"""),3000.0)</f>
        <v>3000</v>
      </c>
      <c r="F849" s="32" t="str">
        <f>IFERROR(__xludf.DUMMYFUNCTION("""COMPUTED_VALUE"""),"DEF: +100000, Nature DEF: +50000 ++5000 ATK for every enemy currently poisoned (Max 25000)")</f>
        <v>DEF: +100000, Nature DEF: +50000 ++5000 ATK for every enemy currently poisoned (Max 25000)</v>
      </c>
      <c r="G849" s="32">
        <f>IFERROR(__xludf.DUMMYFUNCTION("""COMPUTED_VALUE"""),4.485E8)</f>
        <v>448500000</v>
      </c>
      <c r="H849" s="32"/>
      <c r="I849" s="32"/>
      <c r="J849" s="32"/>
      <c r="K849" s="32"/>
      <c r="L849" s="32"/>
      <c r="M849" s="32"/>
      <c r="N849" s="32"/>
      <c r="O849" s="32"/>
      <c r="P849" s="32"/>
      <c r="Q849" s="32"/>
      <c r="R849" s="32"/>
      <c r="S849" s="32"/>
      <c r="T849" s="32"/>
      <c r="U849" s="32"/>
      <c r="V849" s="32"/>
      <c r="W849" s="32"/>
      <c r="X849" s="32"/>
      <c r="Y849" s="32"/>
      <c r="Z849" s="32"/>
    </row>
    <row r="850">
      <c r="A850" s="32" t="str">
        <f>IFERROR(__xludf.DUMMYFUNCTION("""COMPUTED_VALUE"""),"Lizard Warrior's Scaled Boots")</f>
        <v>Lizard Warrior's Scaled Boots</v>
      </c>
      <c r="B850" s="32"/>
      <c r="C850" s="32" t="str">
        <f>IFERROR(__xludf.DUMMYFUNCTION("""COMPUTED_VALUE"""),"Item")</f>
        <v>Item</v>
      </c>
      <c r="D850" s="32" t="str">
        <f>IFERROR(__xludf.DUMMYFUNCTION("""COMPUTED_VALUE"""),"Feet")</f>
        <v>Feet</v>
      </c>
      <c r="E850" s="32">
        <f>IFERROR(__xludf.DUMMYFUNCTION("""COMPUTED_VALUE"""),3000.0)</f>
        <v>3000</v>
      </c>
      <c r="F850" s="32" t="str">
        <f>IFERROR(__xludf.DUMMYFUNCTION("""COMPUTED_VALUE"""),"DEF: +100000, Nature DEF: +50000 ++1 Mobility for every enemy currently poisoned (Max 5)")</f>
        <v>DEF: +100000, Nature DEF: +50000 ++1 Mobility for every enemy currently poisoned (Max 5)</v>
      </c>
      <c r="G850" s="32">
        <f>IFERROR(__xludf.DUMMYFUNCTION("""COMPUTED_VALUE"""),4.485E8)</f>
        <v>448500000</v>
      </c>
      <c r="H850" s="32"/>
      <c r="I850" s="32"/>
      <c r="J850" s="32"/>
      <c r="K850" s="32"/>
      <c r="L850" s="32"/>
      <c r="M850" s="32"/>
      <c r="N850" s="32"/>
      <c r="O850" s="32"/>
      <c r="P850" s="32"/>
      <c r="Q850" s="32"/>
      <c r="R850" s="32"/>
      <c r="S850" s="32"/>
      <c r="T850" s="32"/>
      <c r="U850" s="32"/>
      <c r="V850" s="32"/>
      <c r="W850" s="32"/>
      <c r="X850" s="32"/>
      <c r="Y850" s="32"/>
      <c r="Z850" s="32"/>
    </row>
    <row r="851">
      <c r="A851" s="32" t="str">
        <f>IFERROR(__xludf.DUMMYFUNCTION("""COMPUTED_VALUE"""),"Lizard Warrior's Claw")</f>
        <v>Lizard Warrior's Claw</v>
      </c>
      <c r="B851" s="32"/>
      <c r="C851" s="32" t="str">
        <f>IFERROR(__xludf.DUMMYFUNCTION("""COMPUTED_VALUE"""),"Claw")</f>
        <v>Claw</v>
      </c>
      <c r="D851" s="32" t="str">
        <f>IFERROR(__xludf.DUMMYFUNCTION("""COMPUTED_VALUE"""),"Hand")</f>
        <v>Hand</v>
      </c>
      <c r="E851" s="32">
        <f>IFERROR(__xludf.DUMMYFUNCTION("""COMPUTED_VALUE"""),3000.0)</f>
        <v>3000</v>
      </c>
      <c r="F851" s="32"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32">
        <f>IFERROR(__xludf.DUMMYFUNCTION("""COMPUTED_VALUE"""),4.485E8)</f>
        <v>448500000</v>
      </c>
      <c r="H851" s="32"/>
      <c r="I851" s="32"/>
      <c r="J851" s="32"/>
      <c r="K851" s="32"/>
      <c r="L851" s="32"/>
      <c r="M851" s="32"/>
      <c r="N851" s="32"/>
      <c r="O851" s="32"/>
      <c r="P851" s="32"/>
      <c r="Q851" s="32"/>
      <c r="R851" s="32"/>
      <c r="S851" s="32"/>
      <c r="T851" s="32"/>
      <c r="U851" s="32"/>
      <c r="V851" s="32"/>
      <c r="W851" s="32"/>
      <c r="X851" s="32"/>
      <c r="Y851" s="32"/>
      <c r="Z851" s="32"/>
    </row>
    <row r="852">
      <c r="A852" s="32" t="str">
        <f>IFERROR(__xludf.DUMMYFUNCTION("""COMPUTED_VALUE"""),"Lizard Warrior Guantlet")</f>
        <v>Lizard Warrior Guantlet</v>
      </c>
      <c r="B852" s="32"/>
      <c r="C852" s="32" t="str">
        <f>IFERROR(__xludf.DUMMYFUNCTION("""COMPUTED_VALUE"""),"Gauntlet")</f>
        <v>Gauntlet</v>
      </c>
      <c r="D852" s="32" t="str">
        <f>IFERROR(__xludf.DUMMYFUNCTION("""COMPUTED_VALUE"""),"Hand")</f>
        <v>Hand</v>
      </c>
      <c r="E852" s="32">
        <f>IFERROR(__xludf.DUMMYFUNCTION("""COMPUTED_VALUE"""),3000.0)</f>
        <v>3000</v>
      </c>
      <c r="F852" s="32" t="str">
        <f>IFERROR(__xludf.DUMMYFUNCTION("""COMPUTED_VALUE"""),"DEF: +100000, Nature DEF: +50000 ++50% chance to be unaffected by a weapon attack from a poisoned enemy")</f>
        <v>DEF: +100000, Nature DEF: +50000 ++50% chance to be unaffected by a weapon attack from a poisoned enemy</v>
      </c>
      <c r="G852" s="32">
        <f>IFERROR(__xludf.DUMMYFUNCTION("""COMPUTED_VALUE"""),4.485E8)</f>
        <v>448500000</v>
      </c>
      <c r="H852" s="32"/>
      <c r="I852" s="32"/>
      <c r="J852" s="32"/>
      <c r="K852" s="32"/>
      <c r="L852" s="32"/>
      <c r="M852" s="32"/>
      <c r="N852" s="32"/>
      <c r="O852" s="32"/>
      <c r="P852" s="32"/>
      <c r="Q852" s="32"/>
      <c r="R852" s="32"/>
      <c r="S852" s="32"/>
      <c r="T852" s="32"/>
      <c r="U852" s="32"/>
      <c r="V852" s="32"/>
      <c r="W852" s="32"/>
      <c r="X852" s="32"/>
      <c r="Y852" s="32"/>
      <c r="Z852" s="32"/>
    </row>
    <row r="853">
      <c r="A853" s="32" t="str">
        <f>IFERROR(__xludf.DUMMYFUNCTION("""COMPUTED_VALUE"""),"Igaunian Assassin's Cowl")</f>
        <v>Igaunian Assassin's Cowl</v>
      </c>
      <c r="B853" s="32"/>
      <c r="C853" s="32" t="str">
        <f>IFERROR(__xludf.DUMMYFUNCTION("""COMPUTED_VALUE"""),"Item")</f>
        <v>Item</v>
      </c>
      <c r="D853" s="32" t="str">
        <f>IFERROR(__xludf.DUMMYFUNCTION("""COMPUTED_VALUE"""),"Head")</f>
        <v>Head</v>
      </c>
      <c r="E853" s="32">
        <f>IFERROR(__xludf.DUMMYFUNCTION("""COMPUTED_VALUE"""),2000.0)</f>
        <v>2000</v>
      </c>
      <c r="F853" s="32"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32">
        <f>IFERROR(__xludf.DUMMYFUNCTION("""COMPUTED_VALUE"""),1.99E8)</f>
        <v>199000000</v>
      </c>
      <c r="H853" s="32"/>
      <c r="I853" s="32"/>
      <c r="J853" s="32"/>
      <c r="K853" s="32"/>
      <c r="L853" s="32"/>
      <c r="M853" s="32"/>
      <c r="N853" s="32"/>
      <c r="O853" s="32"/>
      <c r="P853" s="32"/>
      <c r="Q853" s="32"/>
      <c r="R853" s="32"/>
      <c r="S853" s="32"/>
      <c r="T853" s="32"/>
      <c r="U853" s="32"/>
      <c r="V853" s="32"/>
      <c r="W853" s="32"/>
      <c r="X853" s="32"/>
      <c r="Y853" s="32"/>
      <c r="Z853" s="32"/>
    </row>
    <row r="854">
      <c r="A854" s="32" t="str">
        <f>IFERROR(__xludf.DUMMYFUNCTION("""COMPUTED_VALUE"""),"Igaunian Assassin's Cloths")</f>
        <v>Igaunian Assassin's Cloths</v>
      </c>
      <c r="B854" s="32"/>
      <c r="C854" s="32" t="str">
        <f>IFERROR(__xludf.DUMMYFUNCTION("""COMPUTED_VALUE"""),"Item")</f>
        <v>Item</v>
      </c>
      <c r="D854" s="32" t="str">
        <f>IFERROR(__xludf.DUMMYFUNCTION("""COMPUTED_VALUE"""),"Torso")</f>
        <v>Torso</v>
      </c>
      <c r="E854" s="32">
        <f>IFERROR(__xludf.DUMMYFUNCTION("""COMPUTED_VALUE"""),2000.0)</f>
        <v>2000</v>
      </c>
      <c r="F854" s="32" t="str">
        <f>IFERROR(__xludf.DUMMYFUNCTION("""COMPUTED_VALUE"""),"DEF: +75000, Nature DEF: +25000 ++15000 ATK and ACC ++X4 Knife and Boomerang damage")</f>
        <v>DEF: +75000, Nature DEF: +25000 ++15000 ATK and ACC ++X4 Knife and Boomerang damage</v>
      </c>
      <c r="G854" s="32">
        <f>IFERROR(__xludf.DUMMYFUNCTION("""COMPUTED_VALUE"""),1.99E8)</f>
        <v>199000000</v>
      </c>
      <c r="H854" s="32"/>
      <c r="I854" s="32"/>
      <c r="J854" s="32"/>
      <c r="K854" s="32"/>
      <c r="L854" s="32"/>
      <c r="M854" s="32"/>
      <c r="N854" s="32"/>
      <c r="O854" s="32"/>
      <c r="P854" s="32"/>
      <c r="Q854" s="32"/>
      <c r="R854" s="32"/>
      <c r="S854" s="32"/>
      <c r="T854" s="32"/>
      <c r="U854" s="32"/>
      <c r="V854" s="32"/>
      <c r="W854" s="32"/>
      <c r="X854" s="32"/>
      <c r="Y854" s="32"/>
      <c r="Z854" s="32"/>
    </row>
    <row r="855">
      <c r="A855" s="32" t="str">
        <f>IFERROR(__xludf.DUMMYFUNCTION("""COMPUTED_VALUE"""),"Iguanian Assassin's Pants")</f>
        <v>Iguanian Assassin's Pants</v>
      </c>
      <c r="B855" s="32"/>
      <c r="C855" s="32" t="str">
        <f>IFERROR(__xludf.DUMMYFUNCTION("""COMPUTED_VALUE"""),"Item")</f>
        <v>Item</v>
      </c>
      <c r="D855" s="32" t="str">
        <f>IFERROR(__xludf.DUMMYFUNCTION("""COMPUTED_VALUE"""),"Legs")</f>
        <v>Legs</v>
      </c>
      <c r="E855" s="32">
        <f>IFERROR(__xludf.DUMMYFUNCTION("""COMPUTED_VALUE"""),2000.0)</f>
        <v>2000</v>
      </c>
      <c r="F855" s="32" t="str">
        <f>IFERROR(__xludf.DUMMYFUNCTION("""COMPUTED_VALUE"""),"DEF: +75000, Nature DEF: +25000 ++15000 ATK and ACC ++X4 Knife and Boomerang damage")</f>
        <v>DEF: +75000, Nature DEF: +25000 ++15000 ATK and ACC ++X4 Knife and Boomerang damage</v>
      </c>
      <c r="G855" s="32">
        <f>IFERROR(__xludf.DUMMYFUNCTION("""COMPUTED_VALUE"""),1.99E8)</f>
        <v>199000000</v>
      </c>
      <c r="H855" s="32"/>
      <c r="I855" s="32"/>
      <c r="J855" s="32"/>
      <c r="K855" s="32"/>
      <c r="L855" s="32"/>
      <c r="M855" s="32"/>
      <c r="N855" s="32"/>
      <c r="O855" s="32"/>
      <c r="P855" s="32"/>
      <c r="Q855" s="32"/>
      <c r="R855" s="32"/>
      <c r="S855" s="32"/>
      <c r="T855" s="32"/>
      <c r="U855" s="32"/>
      <c r="V855" s="32"/>
      <c r="W855" s="32"/>
      <c r="X855" s="32"/>
      <c r="Y855" s="32"/>
      <c r="Z855" s="32"/>
    </row>
    <row r="856">
      <c r="A856" s="32" t="str">
        <f>IFERROR(__xludf.DUMMYFUNCTION("""COMPUTED_VALUE"""),"Iguanian Assassin's Boots")</f>
        <v>Iguanian Assassin's Boots</v>
      </c>
      <c r="B856" s="32"/>
      <c r="C856" s="32" t="str">
        <f>IFERROR(__xludf.DUMMYFUNCTION("""COMPUTED_VALUE"""),"Item")</f>
        <v>Item</v>
      </c>
      <c r="D856" s="32" t="str">
        <f>IFERROR(__xludf.DUMMYFUNCTION("""COMPUTED_VALUE"""),"Feet")</f>
        <v>Feet</v>
      </c>
      <c r="E856" s="32">
        <f>IFERROR(__xludf.DUMMYFUNCTION("""COMPUTED_VALUE"""),2000.0)</f>
        <v>2000</v>
      </c>
      <c r="F856" s="32" t="str">
        <f>IFERROR(__xludf.DUMMYFUNCTION("""COMPUTED_VALUE"""),"DEF: +75000, Nature DEF: +25000 ++15000 ATK and ACC ++X4 Knife and Boomerang damage")</f>
        <v>DEF: +75000, Nature DEF: +25000 ++15000 ATK and ACC ++X4 Knife and Boomerang damage</v>
      </c>
      <c r="G856" s="32">
        <f>IFERROR(__xludf.DUMMYFUNCTION("""COMPUTED_VALUE"""),1.99E8)</f>
        <v>199000000</v>
      </c>
      <c r="H856" s="32"/>
      <c r="I856" s="32"/>
      <c r="J856" s="32"/>
      <c r="K856" s="32"/>
      <c r="L856" s="32"/>
      <c r="M856" s="32"/>
      <c r="N856" s="32"/>
      <c r="O856" s="32"/>
      <c r="P856" s="32"/>
      <c r="Q856" s="32"/>
      <c r="R856" s="32"/>
      <c r="S856" s="32"/>
      <c r="T856" s="32"/>
      <c r="U856" s="32"/>
      <c r="V856" s="32"/>
      <c r="W856" s="32"/>
      <c r="X856" s="32"/>
      <c r="Y856" s="32"/>
      <c r="Z856" s="32"/>
    </row>
    <row r="857">
      <c r="A857" s="32" t="str">
        <f>IFERROR(__xludf.DUMMYFUNCTION("""COMPUTED_VALUE"""),"Iguanian Assassin's Chakram")</f>
        <v>Iguanian Assassin's Chakram</v>
      </c>
      <c r="B857" s="32"/>
      <c r="C857" s="32" t="str">
        <f>IFERROR(__xludf.DUMMYFUNCTION("""COMPUTED_VALUE"""),"Boomerang")</f>
        <v>Boomerang</v>
      </c>
      <c r="D857" s="32" t="str">
        <f>IFERROR(__xludf.DUMMYFUNCTION("""COMPUTED_VALUE"""),"Hand")</f>
        <v>Hand</v>
      </c>
      <c r="E857" s="32">
        <f>IFERROR(__xludf.DUMMYFUNCTION("""COMPUTED_VALUE"""),3000.0)</f>
        <v>3000</v>
      </c>
      <c r="F857" s="32" t="str">
        <f>IFERROR(__xludf.DUMMYFUNCTION("""COMPUTED_VALUE"""),"DMG: +100000, Nature DMG: +50000 ++Increases the weapon effect chance by 10%")</f>
        <v>DMG: +100000, Nature DMG: +50000 ++Increases the weapon effect chance by 10%</v>
      </c>
      <c r="G857" s="32">
        <f>IFERROR(__xludf.DUMMYFUNCTION("""COMPUTED_VALUE"""),4.485E8)</f>
        <v>448500000</v>
      </c>
      <c r="H857" s="32"/>
      <c r="I857" s="32"/>
      <c r="J857" s="32"/>
      <c r="K857" s="32"/>
      <c r="L857" s="32"/>
      <c r="M857" s="32"/>
      <c r="N857" s="32"/>
      <c r="O857" s="32"/>
      <c r="P857" s="32"/>
      <c r="Q857" s="32"/>
      <c r="R857" s="32"/>
      <c r="S857" s="32"/>
      <c r="T857" s="32"/>
      <c r="U857" s="32"/>
      <c r="V857" s="32"/>
      <c r="W857" s="32"/>
      <c r="X857" s="32"/>
      <c r="Y857" s="32"/>
      <c r="Z857" s="32"/>
    </row>
    <row r="858">
      <c r="A858" s="32" t="str">
        <f>IFERROR(__xludf.DUMMYFUNCTION("""COMPUTED_VALUE"""),"Iguanian Assassin's Slicer")</f>
        <v>Iguanian Assassin's Slicer</v>
      </c>
      <c r="B858" s="32"/>
      <c r="C858" s="32" t="str">
        <f>IFERROR(__xludf.DUMMYFUNCTION("""COMPUTED_VALUE"""),"Knife")</f>
        <v>Knife</v>
      </c>
      <c r="D858" s="32" t="str">
        <f>IFERROR(__xludf.DUMMYFUNCTION("""COMPUTED_VALUE"""),"Hand")</f>
        <v>Hand</v>
      </c>
      <c r="E858" s="32">
        <f>IFERROR(__xludf.DUMMYFUNCTION("""COMPUTED_VALUE"""),3000.0)</f>
        <v>3000</v>
      </c>
      <c r="F858" s="32"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32">
        <f>IFERROR(__xludf.DUMMYFUNCTION("""COMPUTED_VALUE"""),4.485E8)</f>
        <v>448500000</v>
      </c>
      <c r="H858" s="32"/>
      <c r="I858" s="32"/>
      <c r="J858" s="32"/>
      <c r="K858" s="32"/>
      <c r="L858" s="32"/>
      <c r="M858" s="32"/>
      <c r="N858" s="32"/>
      <c r="O858" s="32"/>
      <c r="P858" s="32"/>
      <c r="Q858" s="32"/>
      <c r="R858" s="32"/>
      <c r="S858" s="32"/>
      <c r="T858" s="32"/>
      <c r="U858" s="32"/>
      <c r="V858" s="32"/>
      <c r="W858" s="32"/>
      <c r="X858" s="32"/>
      <c r="Y858" s="32"/>
      <c r="Z858" s="32"/>
    </row>
    <row r="859">
      <c r="A859" s="32" t="str">
        <f>IFERROR(__xludf.DUMMYFUNCTION("""COMPUTED_VALUE"""),"Wyverntooth Smasher")</f>
        <v>Wyverntooth Smasher</v>
      </c>
      <c r="B859" s="32"/>
      <c r="C859" s="32" t="str">
        <f>IFERROR(__xludf.DUMMYFUNCTION("""COMPUTED_VALUE"""),"Axe")</f>
        <v>Axe</v>
      </c>
      <c r="D859" s="32" t="str">
        <f>IFERROR(__xludf.DUMMYFUNCTION("""COMPUTED_VALUE"""),"Hand")</f>
        <v>Hand</v>
      </c>
      <c r="E859" s="32">
        <f>IFERROR(__xludf.DUMMYFUNCTION("""COMPUTED_VALUE"""),2400.0)</f>
        <v>2400</v>
      </c>
      <c r="F859" s="32" t="str">
        <f>IFERROR(__xludf.DUMMYFUNCTION("""COMPUTED_VALUE"""),"DMG: +30000, Chaos DMG: +90000")</f>
        <v>DMG: +30000, Chaos DMG: +90000</v>
      </c>
      <c r="G859" s="32">
        <f>IFERROR(__xludf.DUMMYFUNCTION("""COMPUTED_VALUE"""),2.868E8)</f>
        <v>286800000</v>
      </c>
      <c r="H859" s="32"/>
      <c r="I859" s="32"/>
      <c r="J859" s="32"/>
      <c r="K859" s="32"/>
      <c r="L859" s="32"/>
      <c r="M859" s="32"/>
      <c r="N859" s="32"/>
      <c r="O859" s="32"/>
      <c r="P859" s="32"/>
      <c r="Q859" s="32"/>
      <c r="R859" s="32"/>
      <c r="S859" s="32"/>
      <c r="T859" s="32"/>
      <c r="U859" s="32"/>
      <c r="V859" s="32"/>
      <c r="W859" s="32"/>
      <c r="X859" s="32"/>
      <c r="Y859" s="32"/>
      <c r="Z859" s="32"/>
    </row>
    <row r="860">
      <c r="A860" s="32" t="str">
        <f>IFERROR(__xludf.DUMMYFUNCTION("""COMPUTED_VALUE"""),"Wyvernblade")</f>
        <v>Wyvernblade</v>
      </c>
      <c r="B860" s="32"/>
      <c r="C860" s="32" t="str">
        <f>IFERROR(__xludf.DUMMYFUNCTION("""COMPUTED_VALUE"""),"Knife")</f>
        <v>Knife</v>
      </c>
      <c r="D860" s="32" t="str">
        <f>IFERROR(__xludf.DUMMYFUNCTION("""COMPUTED_VALUE"""),"Hand")</f>
        <v>Hand</v>
      </c>
      <c r="E860" s="32">
        <f>IFERROR(__xludf.DUMMYFUNCTION("""COMPUTED_VALUE"""),2600.0)</f>
        <v>2600</v>
      </c>
      <c r="F860" s="32" t="str">
        <f>IFERROR(__xludf.DUMMYFUNCTION("""COMPUTED_VALUE"""),", Melee DMG: +130000")</f>
        <v>, Melee DMG: +130000</v>
      </c>
      <c r="G860" s="32">
        <f>IFERROR(__xludf.DUMMYFUNCTION("""COMPUTED_VALUE"""),3.367E8)</f>
        <v>336700000</v>
      </c>
      <c r="H860" s="32"/>
      <c r="I860" s="32"/>
      <c r="J860" s="32"/>
      <c r="K860" s="32"/>
      <c r="L860" s="32"/>
      <c r="M860" s="32"/>
      <c r="N860" s="32"/>
      <c r="O860" s="32"/>
      <c r="P860" s="32"/>
      <c r="Q860" s="32"/>
      <c r="R860" s="32"/>
      <c r="S860" s="32"/>
      <c r="T860" s="32"/>
      <c r="U860" s="32"/>
      <c r="V860" s="32"/>
      <c r="W860" s="32"/>
      <c r="X860" s="32"/>
      <c r="Y860" s="32"/>
      <c r="Z860" s="32"/>
    </row>
    <row r="861">
      <c r="A861" s="32" t="str">
        <f>IFERROR(__xludf.DUMMYFUNCTION("""COMPUTED_VALUE"""),"Wyvernscale Ring")</f>
        <v>Wyvernscale Ring</v>
      </c>
      <c r="B861" s="32"/>
      <c r="C861" s="32" t="str">
        <f>IFERROR(__xludf.DUMMYFUNCTION("""COMPUTED_VALUE"""),"Item")</f>
        <v>Item</v>
      </c>
      <c r="D861" s="32" t="str">
        <f>IFERROR(__xludf.DUMMYFUNCTION("""COMPUTED_VALUE"""),"Finger")</f>
        <v>Finger</v>
      </c>
      <c r="E861" s="32">
        <f>IFERROR(__xludf.DUMMYFUNCTION("""COMPUTED_VALUE"""),2000.0)</f>
        <v>2000</v>
      </c>
      <c r="F861" s="32" t="str">
        <f>IFERROR(__xludf.DUMMYFUNCTION("""COMPUTED_VALUE"""),", Melee DEF: +100000 ++50% chance to negate any damage from a wyvern +-Cannot be forged or duplicated")</f>
        <v>, Melee DEF: +100000 ++50% chance to negate any damage from a wyvern +-Cannot be forged or duplicated</v>
      </c>
      <c r="G861" s="32">
        <f>IFERROR(__xludf.DUMMYFUNCTION("""COMPUTED_VALUE"""),1.99E8)</f>
        <v>199000000</v>
      </c>
      <c r="H861" s="32"/>
      <c r="I861" s="32"/>
      <c r="J861" s="32"/>
      <c r="K861" s="32"/>
      <c r="L861" s="32"/>
      <c r="M861" s="32"/>
      <c r="N861" s="32"/>
      <c r="O861" s="32"/>
      <c r="P861" s="32"/>
      <c r="Q861" s="32"/>
      <c r="R861" s="32"/>
      <c r="S861" s="32"/>
      <c r="T861" s="32"/>
      <c r="U861" s="32"/>
      <c r="V861" s="32"/>
      <c r="W861" s="32"/>
      <c r="X861" s="32"/>
      <c r="Y861" s="32"/>
      <c r="Z861" s="32"/>
    </row>
    <row r="862">
      <c r="A862" s="32" t="str">
        <f>IFERROR(__xludf.DUMMYFUNCTION("""COMPUTED_VALUE"""),"Wyvern Hood")</f>
        <v>Wyvern Hood</v>
      </c>
      <c r="B862" s="32"/>
      <c r="C862" s="32" t="str">
        <f>IFERROR(__xludf.DUMMYFUNCTION("""COMPUTED_VALUE"""),"Item")</f>
        <v>Item</v>
      </c>
      <c r="D862" s="32" t="str">
        <f>IFERROR(__xludf.DUMMYFUNCTION("""COMPUTED_VALUE"""),"Head")</f>
        <v>Head</v>
      </c>
      <c r="E862" s="32">
        <f>IFERROR(__xludf.DUMMYFUNCTION("""COMPUTED_VALUE"""),1.0)</f>
        <v>1</v>
      </c>
      <c r="F862" s="32" t="str">
        <f>IFERROR(__xludf.DUMMYFUNCTION("""COMPUTED_VALUE""")," ++When in a party of 4 or more, enemy wyverns cannot target the wearer +-Cannot be forged or duplicated")</f>
        <v> ++When in a party of 4 or more, enemy wyverns cannot target the wearer +-Cannot be forged or duplicated</v>
      </c>
      <c r="G862" s="32">
        <f>IFERROR(__xludf.DUMMYFUNCTION("""COMPUTED_VALUE"""),0.0)</f>
        <v>0</v>
      </c>
      <c r="H862" s="32"/>
      <c r="I862" s="32"/>
      <c r="J862" s="32"/>
      <c r="K862" s="32"/>
      <c r="L862" s="32"/>
      <c r="M862" s="32"/>
      <c r="N862" s="32"/>
      <c r="O862" s="32"/>
      <c r="P862" s="32"/>
      <c r="Q862" s="32"/>
      <c r="R862" s="32"/>
      <c r="S862" s="32"/>
      <c r="T862" s="32"/>
      <c r="U862" s="32"/>
      <c r="V862" s="32"/>
      <c r="W862" s="32"/>
      <c r="X862" s="32"/>
      <c r="Y862" s="32"/>
      <c r="Z862" s="32"/>
    </row>
    <row r="863">
      <c r="A863" s="32" t="str">
        <f>IFERROR(__xludf.DUMMYFUNCTION("""COMPUTED_VALUE"""),"Wyvernarang")</f>
        <v>Wyvernarang</v>
      </c>
      <c r="B863" s="32"/>
      <c r="C863" s="32" t="str">
        <f>IFERROR(__xludf.DUMMYFUNCTION("""COMPUTED_VALUE"""),"Boomerang")</f>
        <v>Boomerang</v>
      </c>
      <c r="D863" s="32" t="str">
        <f>IFERROR(__xludf.DUMMYFUNCTION("""COMPUTED_VALUE"""),"Hand")</f>
        <v>Hand</v>
      </c>
      <c r="E863" s="32">
        <f>IFERROR(__xludf.DUMMYFUNCTION("""COMPUTED_VALUE"""),3000.0)</f>
        <v>3000</v>
      </c>
      <c r="F863" s="32" t="str">
        <f>IFERROR(__xludf.DUMMYFUNCTION("""COMPUTED_VALUE"""),"DMG: +50000, Spirit DMG: +50000, Chaos DMG: +50000")</f>
        <v>DMG: +50000, Spirit DMG: +50000, Chaos DMG: +50000</v>
      </c>
      <c r="G863" s="32">
        <f>IFERROR(__xludf.DUMMYFUNCTION("""COMPUTED_VALUE"""),4.485E8)</f>
        <v>448500000</v>
      </c>
      <c r="H863" s="32"/>
      <c r="I863" s="32"/>
      <c r="J863" s="32"/>
      <c r="K863" s="32"/>
      <c r="L863" s="32"/>
      <c r="M863" s="32"/>
      <c r="N863" s="32"/>
      <c r="O863" s="32"/>
      <c r="P863" s="32"/>
      <c r="Q863" s="32"/>
      <c r="R863" s="32"/>
      <c r="S863" s="32"/>
      <c r="T863" s="32"/>
      <c r="U863" s="32"/>
      <c r="V863" s="32"/>
      <c r="W863" s="32"/>
      <c r="X863" s="32"/>
      <c r="Y863" s="32"/>
      <c r="Z863" s="32"/>
    </row>
    <row r="864">
      <c r="A864" s="32" t="str">
        <f>IFERROR(__xludf.DUMMYFUNCTION("""COMPUTED_VALUE"""),"Iguanian Assassin's Memento")</f>
        <v>Iguanian Assassin's Memento</v>
      </c>
      <c r="B864" s="32" t="str">
        <f>IFERROR(__xludf.DUMMYFUNCTION("""COMPUTED_VALUE"""),"From this necklace hangs a series of teeth, each one taken from an iguanian assassin's victim.")</f>
        <v>From this necklace hangs a series of teeth, each one taken from an iguanian assassin's victim.</v>
      </c>
      <c r="C864" s="32"/>
      <c r="D864" s="32" t="str">
        <f>IFERROR(__xludf.DUMMYFUNCTION("""COMPUTED_VALUE"""),"Neck")</f>
        <v>Neck</v>
      </c>
      <c r="E864" s="32">
        <f>IFERROR(__xludf.DUMMYFUNCTION("""COMPUTED_VALUE"""),1.0)</f>
        <v>1</v>
      </c>
      <c r="F864" s="32" t="str">
        <f>IFERROR(__xludf.DUMMYFUNCTION("""COMPUTED_VALUE""")," ++For every enemy killed with this item equipped +1 permanent ATK (0/100000)")</f>
        <v> ++For every enemy killed with this item equipped +1 permanent ATK (0/100000)</v>
      </c>
      <c r="G864" s="32">
        <f>IFERROR(__xludf.DUMMYFUNCTION("""COMPUTED_VALUE"""),0.0)</f>
        <v>0</v>
      </c>
      <c r="H864" s="32"/>
      <c r="I864" s="32"/>
      <c r="J864" s="32"/>
      <c r="K864" s="32"/>
      <c r="L864" s="32"/>
      <c r="M864" s="32"/>
      <c r="N864" s="32"/>
      <c r="O864" s="32"/>
      <c r="P864" s="32"/>
      <c r="Q864" s="32"/>
      <c r="R864" s="32"/>
      <c r="S864" s="32"/>
      <c r="T864" s="32"/>
      <c r="U864" s="32"/>
      <c r="V864" s="32"/>
      <c r="W864" s="32"/>
      <c r="X864" s="32"/>
      <c r="Y864" s="32"/>
      <c r="Z864" s="32"/>
    </row>
    <row r="865">
      <c r="A865" s="32" t="str">
        <f>IFERROR(__xludf.DUMMYFUNCTION("""COMPUTED_VALUE"""),"Salamander Boots")</f>
        <v>Salamander Boots</v>
      </c>
      <c r="B865" s="32"/>
      <c r="C865" s="32" t="str">
        <f>IFERROR(__xludf.DUMMYFUNCTION("""COMPUTED_VALUE"""),"Item")</f>
        <v>Item</v>
      </c>
      <c r="D865" s="32" t="str">
        <f>IFERROR(__xludf.DUMMYFUNCTION("""COMPUTED_VALUE"""),"Feet")</f>
        <v>Feet</v>
      </c>
      <c r="E865" s="32">
        <f>IFERROR(__xludf.DUMMYFUNCTION("""COMPUTED_VALUE"""),2000.0)</f>
        <v>2000</v>
      </c>
      <c r="F865" s="32" t="str">
        <f>IFERROR(__xludf.DUMMYFUNCTION("""COMPUTED_VALUE"""),", Fire DEF: +100000")</f>
        <v>, Fire DEF: +100000</v>
      </c>
      <c r="G865" s="32">
        <f>IFERROR(__xludf.DUMMYFUNCTION("""COMPUTED_VALUE"""),1.99E8)</f>
        <v>199000000</v>
      </c>
      <c r="H865" s="32"/>
      <c r="I865" s="32"/>
      <c r="J865" s="32"/>
      <c r="K865" s="32"/>
      <c r="L865" s="32"/>
      <c r="M865" s="32"/>
      <c r="N865" s="32"/>
      <c r="O865" s="32"/>
      <c r="P865" s="32"/>
      <c r="Q865" s="32"/>
      <c r="R865" s="32"/>
      <c r="S865" s="32"/>
      <c r="T865" s="32"/>
      <c r="U865" s="32"/>
      <c r="V865" s="32"/>
      <c r="W865" s="32"/>
      <c r="X865" s="32"/>
      <c r="Y865" s="32"/>
      <c r="Z865" s="32"/>
    </row>
    <row r="866">
      <c r="A866" s="32" t="str">
        <f>IFERROR(__xludf.DUMMYFUNCTION("""COMPUTED_VALUE"""),"Salamanderscale Chainmail")</f>
        <v>Salamanderscale Chainmail</v>
      </c>
      <c r="B866" s="32"/>
      <c r="C866" s="32" t="str">
        <f>IFERROR(__xludf.DUMMYFUNCTION("""COMPUTED_VALUE"""),"Item")</f>
        <v>Item</v>
      </c>
      <c r="D866" s="32" t="str">
        <f>IFERROR(__xludf.DUMMYFUNCTION("""COMPUTED_VALUE"""),"Torso")</f>
        <v>Torso</v>
      </c>
      <c r="E866" s="32">
        <f>IFERROR(__xludf.DUMMYFUNCTION("""COMPUTED_VALUE"""),2000.0)</f>
        <v>2000</v>
      </c>
      <c r="F866" s="32" t="str">
        <f>IFERROR(__xludf.DUMMYFUNCTION("""COMPUTED_VALUE"""),", Fire DEF: +120000, Water DEF: +-10000, Storm DEF: +-10000 +-Water and Storm deal additional 20000 damage to the wearer")</f>
        <v>, Fire DEF: +120000, Water DEF: +-10000, Storm DEF: +-10000 +-Water and Storm deal additional 20000 damage to the wearer</v>
      </c>
      <c r="G866" s="32">
        <f>IFERROR(__xludf.DUMMYFUNCTION("""COMPUTED_VALUE"""),1.99E8)</f>
        <v>199000000</v>
      </c>
      <c r="H866" s="32"/>
      <c r="I866" s="32"/>
      <c r="J866" s="32"/>
      <c r="K866" s="32"/>
      <c r="L866" s="32"/>
      <c r="M866" s="32"/>
      <c r="N866" s="32"/>
      <c r="O866" s="32"/>
      <c r="P866" s="32"/>
      <c r="Q866" s="32"/>
      <c r="R866" s="32"/>
      <c r="S866" s="32"/>
      <c r="T866" s="32"/>
      <c r="U866" s="32"/>
      <c r="V866" s="32"/>
      <c r="W866" s="32"/>
      <c r="X866" s="32"/>
      <c r="Y866" s="32"/>
      <c r="Z866" s="32"/>
    </row>
    <row r="867">
      <c r="A867" s="32" t="str">
        <f>IFERROR(__xludf.DUMMYFUNCTION("""COMPUTED_VALUE"""),"Iguanian Brawler's Headband")</f>
        <v>Iguanian Brawler's Headband</v>
      </c>
      <c r="B867" s="32"/>
      <c r="C867" s="32" t="str">
        <f>IFERROR(__xludf.DUMMYFUNCTION("""COMPUTED_VALUE"""),"Item")</f>
        <v>Item</v>
      </c>
      <c r="D867" s="32" t="str">
        <f>IFERROR(__xludf.DUMMYFUNCTION("""COMPUTED_VALUE"""),"Head")</f>
        <v>Head</v>
      </c>
      <c r="E867" s="32">
        <f>IFERROR(__xludf.DUMMYFUNCTION("""COMPUTED_VALUE"""),3000.0)</f>
        <v>3000</v>
      </c>
      <c r="F867" s="32" t="str">
        <f>IFERROR(__xludf.DUMMYFUNCTION("""COMPUTED_VALUE"""),"DEF: +150000, Water DEF: +50000, Nature DEF: +-50000")</f>
        <v>DEF: +150000, Water DEF: +50000, Nature DEF: +-50000</v>
      </c>
      <c r="G867" s="32">
        <f>IFERROR(__xludf.DUMMYFUNCTION("""COMPUTED_VALUE"""),4.485E8)</f>
        <v>448500000</v>
      </c>
      <c r="H867" s="32"/>
      <c r="I867" s="32"/>
      <c r="J867" s="32"/>
      <c r="K867" s="32"/>
      <c r="L867" s="32"/>
      <c r="M867" s="32"/>
      <c r="N867" s="32"/>
      <c r="O867" s="32"/>
      <c r="P867" s="32"/>
      <c r="Q867" s="32"/>
      <c r="R867" s="32"/>
      <c r="S867" s="32"/>
      <c r="T867" s="32"/>
      <c r="U867" s="32"/>
      <c r="V867" s="32"/>
      <c r="W867" s="32"/>
      <c r="X867" s="32"/>
      <c r="Y867" s="32"/>
      <c r="Z867" s="32"/>
    </row>
    <row r="868">
      <c r="A868" s="32" t="str">
        <f>IFERROR(__xludf.DUMMYFUNCTION("""COMPUTED_VALUE"""),"Iguanian Brawler's Cape")</f>
        <v>Iguanian Brawler's Cape</v>
      </c>
      <c r="B868" s="32"/>
      <c r="C868" s="32" t="str">
        <f>IFERROR(__xludf.DUMMYFUNCTION("""COMPUTED_VALUE"""),"Item")</f>
        <v>Item</v>
      </c>
      <c r="D868" s="32" t="str">
        <f>IFERROR(__xludf.DUMMYFUNCTION("""COMPUTED_VALUE"""),"Shoulders")</f>
        <v>Shoulders</v>
      </c>
      <c r="E868" s="32">
        <f>IFERROR(__xludf.DUMMYFUNCTION("""COMPUTED_VALUE"""),3000.0)</f>
        <v>3000</v>
      </c>
      <c r="F868" s="32" t="str">
        <f>IFERROR(__xludf.DUMMYFUNCTION("""COMPUTED_VALUE"""),"DEF: +150000, Water DEF: +50000, Nature DEF: +-50000")</f>
        <v>DEF: +150000, Water DEF: +50000, Nature DEF: +-50000</v>
      </c>
      <c r="G868" s="32">
        <f>IFERROR(__xludf.DUMMYFUNCTION("""COMPUTED_VALUE"""),4.485E8)</f>
        <v>448500000</v>
      </c>
      <c r="H868" s="32"/>
      <c r="I868" s="32"/>
      <c r="J868" s="32"/>
      <c r="K868" s="32"/>
      <c r="L868" s="32"/>
      <c r="M868" s="32"/>
      <c r="N868" s="32"/>
      <c r="O868" s="32"/>
      <c r="P868" s="32"/>
      <c r="Q868" s="32"/>
      <c r="R868" s="32"/>
      <c r="S868" s="32"/>
      <c r="T868" s="32"/>
      <c r="U868" s="32"/>
      <c r="V868" s="32"/>
      <c r="W868" s="32"/>
      <c r="X868" s="32"/>
      <c r="Y868" s="32"/>
      <c r="Z868" s="32"/>
    </row>
    <row r="869">
      <c r="A869" s="32" t="str">
        <f>IFERROR(__xludf.DUMMYFUNCTION("""COMPUTED_VALUE"""),"Iguanian Brawler's Sash")</f>
        <v>Iguanian Brawler's Sash</v>
      </c>
      <c r="B869" s="32"/>
      <c r="C869" s="32" t="str">
        <f>IFERROR(__xludf.DUMMYFUNCTION("""COMPUTED_VALUE"""),"Item")</f>
        <v>Item</v>
      </c>
      <c r="D869" s="32" t="str">
        <f>IFERROR(__xludf.DUMMYFUNCTION("""COMPUTED_VALUE"""),"Torso")</f>
        <v>Torso</v>
      </c>
      <c r="E869" s="32">
        <f>IFERROR(__xludf.DUMMYFUNCTION("""COMPUTED_VALUE"""),3000.0)</f>
        <v>3000</v>
      </c>
      <c r="F869" s="32" t="str">
        <f>IFERROR(__xludf.DUMMYFUNCTION("""COMPUTED_VALUE"""),"DEF: +150000, Water DEF: +50000, Nature DEF: +-50000")</f>
        <v>DEF: +150000, Water DEF: +50000, Nature DEF: +-50000</v>
      </c>
      <c r="G869" s="32">
        <f>IFERROR(__xludf.DUMMYFUNCTION("""COMPUTED_VALUE"""),4.485E8)</f>
        <v>448500000</v>
      </c>
      <c r="H869" s="32"/>
      <c r="I869" s="32"/>
      <c r="J869" s="32"/>
      <c r="K869" s="32"/>
      <c r="L869" s="32"/>
      <c r="M869" s="32"/>
      <c r="N869" s="32"/>
      <c r="O869" s="32"/>
      <c r="P869" s="32"/>
      <c r="Q869" s="32"/>
      <c r="R869" s="32"/>
      <c r="S869" s="32"/>
      <c r="T869" s="32"/>
      <c r="U869" s="32"/>
      <c r="V869" s="32"/>
      <c r="W869" s="32"/>
      <c r="X869" s="32"/>
      <c r="Y869" s="32"/>
      <c r="Z869" s="32"/>
    </row>
    <row r="870">
      <c r="A870" s="32" t="str">
        <f>IFERROR(__xludf.DUMMYFUNCTION("""COMPUTED_VALUE"""),"Iguanian Brawler's Arm Wraps")</f>
        <v>Iguanian Brawler's Arm Wraps</v>
      </c>
      <c r="B870" s="32"/>
      <c r="C870" s="32" t="str">
        <f>IFERROR(__xludf.DUMMYFUNCTION("""COMPUTED_VALUE"""),"Item")</f>
        <v>Item</v>
      </c>
      <c r="D870" s="32" t="str">
        <f>IFERROR(__xludf.DUMMYFUNCTION("""COMPUTED_VALUE"""),"Arms")</f>
        <v>Arms</v>
      </c>
      <c r="E870" s="32">
        <f>IFERROR(__xludf.DUMMYFUNCTION("""COMPUTED_VALUE"""),3000.0)</f>
        <v>3000</v>
      </c>
      <c r="F870" s="32" t="str">
        <f>IFERROR(__xludf.DUMMYFUNCTION("""COMPUTED_VALUE"""),"DEF: +150000, Water DEF: +50000, Nature DEF: +-50000")</f>
        <v>DEF: +150000, Water DEF: +50000, Nature DEF: +-50000</v>
      </c>
      <c r="G870" s="32">
        <f>IFERROR(__xludf.DUMMYFUNCTION("""COMPUTED_VALUE"""),4.485E8)</f>
        <v>448500000</v>
      </c>
      <c r="H870" s="32"/>
      <c r="I870" s="32"/>
      <c r="J870" s="32"/>
      <c r="K870" s="32"/>
      <c r="L870" s="32"/>
      <c r="M870" s="32"/>
      <c r="N870" s="32"/>
      <c r="O870" s="32"/>
      <c r="P870" s="32"/>
      <c r="Q870" s="32"/>
      <c r="R870" s="32"/>
      <c r="S870" s="32"/>
      <c r="T870" s="32"/>
      <c r="U870" s="32"/>
      <c r="V870" s="32"/>
      <c r="W870" s="32"/>
      <c r="X870" s="32"/>
      <c r="Y870" s="32"/>
      <c r="Z870" s="32"/>
    </row>
    <row r="871">
      <c r="A871" s="32" t="str">
        <f>IFERROR(__xludf.DUMMYFUNCTION("""COMPUTED_VALUE"""),"Iguanian Brawler's Shorts")</f>
        <v>Iguanian Brawler's Shorts</v>
      </c>
      <c r="B871" s="32"/>
      <c r="C871" s="32" t="str">
        <f>IFERROR(__xludf.DUMMYFUNCTION("""COMPUTED_VALUE"""),"Item")</f>
        <v>Item</v>
      </c>
      <c r="D871" s="32" t="str">
        <f>IFERROR(__xludf.DUMMYFUNCTION("""COMPUTED_VALUE"""),"Legs")</f>
        <v>Legs</v>
      </c>
      <c r="E871" s="32">
        <f>IFERROR(__xludf.DUMMYFUNCTION("""COMPUTED_VALUE"""),3000.0)</f>
        <v>3000</v>
      </c>
      <c r="F871" s="32" t="str">
        <f>IFERROR(__xludf.DUMMYFUNCTION("""COMPUTED_VALUE"""),"DEF: +150000, Water DEF: +50000, Nature DEF: +-50000")</f>
        <v>DEF: +150000, Water DEF: +50000, Nature DEF: +-50000</v>
      </c>
      <c r="G871" s="32">
        <f>IFERROR(__xludf.DUMMYFUNCTION("""COMPUTED_VALUE"""),4.485E8)</f>
        <v>448500000</v>
      </c>
      <c r="H871" s="32"/>
      <c r="I871" s="32"/>
      <c r="J871" s="32"/>
      <c r="K871" s="32"/>
      <c r="L871" s="32"/>
      <c r="M871" s="32"/>
      <c r="N871" s="32"/>
      <c r="O871" s="32"/>
      <c r="P871" s="32"/>
      <c r="Q871" s="32"/>
      <c r="R871" s="32"/>
      <c r="S871" s="32"/>
      <c r="T871" s="32"/>
      <c r="U871" s="32"/>
      <c r="V871" s="32"/>
      <c r="W871" s="32"/>
      <c r="X871" s="32"/>
      <c r="Y871" s="32"/>
      <c r="Z871" s="32"/>
    </row>
    <row r="872">
      <c r="A872" s="32" t="str">
        <f>IFERROR(__xludf.DUMMYFUNCTION("""COMPUTED_VALUE"""),"Iguanian Brawler's Sandals")</f>
        <v>Iguanian Brawler's Sandals</v>
      </c>
      <c r="B872" s="32"/>
      <c r="C872" s="32" t="str">
        <f>IFERROR(__xludf.DUMMYFUNCTION("""COMPUTED_VALUE"""),"Item")</f>
        <v>Item</v>
      </c>
      <c r="D872" s="32" t="str">
        <f>IFERROR(__xludf.DUMMYFUNCTION("""COMPUTED_VALUE"""),"Feet")</f>
        <v>Feet</v>
      </c>
      <c r="E872" s="32">
        <f>IFERROR(__xludf.DUMMYFUNCTION("""COMPUTED_VALUE"""),3000.0)</f>
        <v>3000</v>
      </c>
      <c r="F872" s="32" t="str">
        <f>IFERROR(__xludf.DUMMYFUNCTION("""COMPUTED_VALUE"""),"DEF: +150000, Water DEF: +50000, Nature DEF: +-50000")</f>
        <v>DEF: +150000, Water DEF: +50000, Nature DEF: +-50000</v>
      </c>
      <c r="G872" s="32">
        <f>IFERROR(__xludf.DUMMYFUNCTION("""COMPUTED_VALUE"""),4.485E8)</f>
        <v>448500000</v>
      </c>
      <c r="H872" s="32"/>
      <c r="I872" s="32"/>
      <c r="J872" s="32"/>
      <c r="K872" s="32"/>
      <c r="L872" s="32"/>
      <c r="M872" s="32"/>
      <c r="N872" s="32"/>
      <c r="O872" s="32"/>
      <c r="P872" s="32"/>
      <c r="Q872" s="32"/>
      <c r="R872" s="32"/>
      <c r="S872" s="32"/>
      <c r="T872" s="32"/>
      <c r="U872" s="32"/>
      <c r="V872" s="32"/>
      <c r="W872" s="32"/>
      <c r="X872" s="32"/>
      <c r="Y872" s="32"/>
      <c r="Z872" s="32"/>
    </row>
    <row r="873">
      <c r="A873" s="32" t="str">
        <f>IFERROR(__xludf.DUMMYFUNCTION("""COMPUTED_VALUE"""),"Iguanian Brawler's Knuckles")</f>
        <v>Iguanian Brawler's Knuckles</v>
      </c>
      <c r="B873" s="32"/>
      <c r="C873" s="32" t="str">
        <f>IFERROR(__xludf.DUMMYFUNCTION("""COMPUTED_VALUE"""),"Gauntlet")</f>
        <v>Gauntlet</v>
      </c>
      <c r="D873" s="32" t="str">
        <f>IFERROR(__xludf.DUMMYFUNCTION("""COMPUTED_VALUE"""),"Hand")</f>
        <v>Hand</v>
      </c>
      <c r="E873" s="32">
        <f>IFERROR(__xludf.DUMMYFUNCTION("""COMPUTED_VALUE"""),3000.0)</f>
        <v>3000</v>
      </c>
      <c r="F873" s="32" t="str">
        <f>IFERROR(__xludf.DUMMYFUNCTION("""COMPUTED_VALUE"""),"DEF: +100000, Water DEF: +50000")</f>
        <v>DEF: +100000, Water DEF: +50000</v>
      </c>
      <c r="G873" s="32">
        <f>IFERROR(__xludf.DUMMYFUNCTION("""COMPUTED_VALUE"""),4.485E8)</f>
        <v>448500000</v>
      </c>
      <c r="H873" s="32"/>
      <c r="I873" s="32"/>
      <c r="J873" s="32"/>
      <c r="K873" s="32"/>
      <c r="L873" s="32"/>
      <c r="M873" s="32"/>
      <c r="N873" s="32"/>
      <c r="O873" s="32"/>
      <c r="P873" s="32"/>
      <c r="Q873" s="32"/>
      <c r="R873" s="32"/>
      <c r="S873" s="32"/>
      <c r="T873" s="32"/>
      <c r="U873" s="32"/>
      <c r="V873" s="32"/>
      <c r="W873" s="32"/>
      <c r="X873" s="32"/>
      <c r="Y873" s="32"/>
      <c r="Z873" s="32"/>
    </row>
    <row r="874">
      <c r="A874" s="32" t="str">
        <f>IFERROR(__xludf.DUMMYFUNCTION("""COMPUTED_VALUE"""),"Iguanian Brawler's Ring")</f>
        <v>Iguanian Brawler's Ring</v>
      </c>
      <c r="B874" s="32"/>
      <c r="C874" s="32"/>
      <c r="D874" s="32" t="str">
        <f>IFERROR(__xludf.DUMMYFUNCTION("""COMPUTED_VALUE"""),"Finger")</f>
        <v>Finger</v>
      </c>
      <c r="E874" s="32">
        <f>IFERROR(__xludf.DUMMYFUNCTION("""COMPUTED_VALUE"""),1.0)</f>
        <v>1</v>
      </c>
      <c r="F874" s="32" t="str">
        <f>IFERROR(__xludf.DUMMYFUNCTION("""COMPUTED_VALUE""")," ++X10 Natural Attack damage")</f>
        <v> ++X10 Natural Attack damage</v>
      </c>
      <c r="G874" s="32">
        <f>IFERROR(__xludf.DUMMYFUNCTION("""COMPUTED_VALUE"""),0.0)</f>
        <v>0</v>
      </c>
      <c r="H874" s="32"/>
      <c r="I874" s="32"/>
      <c r="J874" s="32"/>
      <c r="K874" s="32"/>
      <c r="L874" s="32"/>
      <c r="M874" s="32"/>
      <c r="N874" s="32"/>
      <c r="O874" s="32"/>
      <c r="P874" s="32"/>
      <c r="Q874" s="32"/>
      <c r="R874" s="32"/>
      <c r="S874" s="32"/>
      <c r="T874" s="32"/>
      <c r="U874" s="32"/>
      <c r="V874" s="32"/>
      <c r="W874" s="32"/>
      <c r="X874" s="32"/>
      <c r="Y874" s="32"/>
      <c r="Z874" s="32"/>
    </row>
    <row r="875">
      <c r="A875" s="32" t="str">
        <f>IFERROR(__xludf.DUMMYFUNCTION("""COMPUTED_VALUE"""),"Cursed Ring of Sudden Death")</f>
        <v>Cursed Ring of Sudden Death</v>
      </c>
      <c r="B875" s="32"/>
      <c r="C875" s="32" t="str">
        <f>IFERROR(__xludf.DUMMYFUNCTION("""COMPUTED_VALUE"""),"Item")</f>
        <v>Item</v>
      </c>
      <c r="D875" s="32" t="str">
        <f>IFERROR(__xludf.DUMMYFUNCTION("""COMPUTED_VALUE"""),"Finger")</f>
        <v>Finger</v>
      </c>
      <c r="E875" s="32">
        <f>IFERROR(__xludf.DUMMYFUNCTION("""COMPUTED_VALUE"""),1.0)</f>
        <v>1</v>
      </c>
      <c r="F875" s="32"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32">
        <f>IFERROR(__xludf.DUMMYFUNCTION("""COMPUTED_VALUE"""),0.0)</f>
        <v>0</v>
      </c>
      <c r="H875" s="32"/>
      <c r="I875" s="32"/>
      <c r="J875" s="32"/>
      <c r="K875" s="32"/>
      <c r="L875" s="32"/>
      <c r="M875" s="32"/>
      <c r="N875" s="32"/>
      <c r="O875" s="32"/>
      <c r="P875" s="32"/>
      <c r="Q875" s="32"/>
      <c r="R875" s="32"/>
      <c r="S875" s="32"/>
      <c r="T875" s="32"/>
      <c r="U875" s="32"/>
      <c r="V875" s="32"/>
      <c r="W875" s="32"/>
      <c r="X875" s="32"/>
      <c r="Y875" s="32"/>
      <c r="Z875" s="32"/>
    </row>
    <row r="876">
      <c r="A876" s="32" t="str">
        <f>IFERROR(__xludf.DUMMYFUNCTION("""COMPUTED_VALUE"""),"Ring of Action")</f>
        <v>Ring of Action</v>
      </c>
      <c r="B876" s="32"/>
      <c r="C876" s="32" t="str">
        <f>IFERROR(__xludf.DUMMYFUNCTION("""COMPUTED_VALUE"""),"Item")</f>
        <v>Item</v>
      </c>
      <c r="D876" s="32" t="str">
        <f>IFERROR(__xludf.DUMMYFUNCTION("""COMPUTED_VALUE"""),"Finger")</f>
        <v>Finger</v>
      </c>
      <c r="E876" s="32">
        <f>IFERROR(__xludf.DUMMYFUNCTION("""COMPUTED_VALUE"""),1.0)</f>
        <v>1</v>
      </c>
      <c r="F876" s="32" t="str">
        <f>IFERROR(__xludf.DUMMYFUNCTION("""COMPUTED_VALUE""")," ++10000 SP")</f>
        <v> ++10000 SP</v>
      </c>
      <c r="G876" s="32">
        <f>IFERROR(__xludf.DUMMYFUNCTION("""COMPUTED_VALUE"""),0.0)</f>
        <v>0</v>
      </c>
      <c r="H876" s="32"/>
      <c r="I876" s="32"/>
      <c r="J876" s="32"/>
      <c r="K876" s="32"/>
      <c r="L876" s="32"/>
      <c r="M876" s="32"/>
      <c r="N876" s="32"/>
      <c r="O876" s="32"/>
      <c r="P876" s="32"/>
      <c r="Q876" s="32"/>
      <c r="R876" s="32"/>
      <c r="S876" s="32"/>
      <c r="T876" s="32"/>
      <c r="U876" s="32"/>
      <c r="V876" s="32"/>
      <c r="W876" s="32"/>
      <c r="X876" s="32"/>
      <c r="Y876" s="32"/>
      <c r="Z876" s="32"/>
    </row>
    <row r="877">
      <c r="A877" s="32" t="str">
        <f>IFERROR(__xludf.DUMMYFUNCTION("""COMPUTED_VALUE"""),"Iguanian Mage Hat")</f>
        <v>Iguanian Mage Hat</v>
      </c>
      <c r="B877" s="32"/>
      <c r="C877" s="32" t="str">
        <f>IFERROR(__xludf.DUMMYFUNCTION("""COMPUTED_VALUE"""),"Item")</f>
        <v>Item</v>
      </c>
      <c r="D877" s="32"/>
      <c r="E877" s="32">
        <f>IFERROR(__xludf.DUMMYFUNCTION("""COMPUTED_VALUE"""),1.0)</f>
        <v>1</v>
      </c>
      <c r="F877" s="32" t="str">
        <f>IFERROR(__xludf.DUMMYFUNCTION("""COMPUTED_VALUE""")," ++10000 hp and sp")</f>
        <v> ++10000 hp and sp</v>
      </c>
      <c r="G877" s="32">
        <f>IFERROR(__xludf.DUMMYFUNCTION("""COMPUTED_VALUE"""),0.0)</f>
        <v>0</v>
      </c>
      <c r="H877" s="32"/>
      <c r="I877" s="32"/>
      <c r="J877" s="32"/>
      <c r="K877" s="32"/>
      <c r="L877" s="32"/>
      <c r="M877" s="32"/>
      <c r="N877" s="32"/>
      <c r="O877" s="32"/>
      <c r="P877" s="32"/>
      <c r="Q877" s="32"/>
      <c r="R877" s="32"/>
      <c r="S877" s="32"/>
      <c r="T877" s="32"/>
      <c r="U877" s="32"/>
      <c r="V877" s="32"/>
      <c r="W877" s="32"/>
      <c r="X877" s="32"/>
      <c r="Y877" s="32"/>
      <c r="Z877" s="32"/>
    </row>
    <row r="878">
      <c r="A878" s="32" t="str">
        <f>IFERROR(__xludf.DUMMYFUNCTION("""COMPUTED_VALUE"""),"Iguanian Mage Robes")</f>
        <v>Iguanian Mage Robes</v>
      </c>
      <c r="B878" s="32"/>
      <c r="C878" s="32" t="str">
        <f>IFERROR(__xludf.DUMMYFUNCTION("""COMPUTED_VALUE"""),"Item")</f>
        <v>Item</v>
      </c>
      <c r="D878" s="32"/>
      <c r="E878" s="32">
        <f>IFERROR(__xludf.DUMMYFUNCTION("""COMPUTED_VALUE"""),1.0)</f>
        <v>1</v>
      </c>
      <c r="F878" s="32" t="str">
        <f>IFERROR(__xludf.DUMMYFUNCTION("""COMPUTED_VALUE""")," ++10000 hp and sp")</f>
        <v> ++10000 hp and sp</v>
      </c>
      <c r="G878" s="32">
        <f>IFERROR(__xludf.DUMMYFUNCTION("""COMPUTED_VALUE"""),0.0)</f>
        <v>0</v>
      </c>
      <c r="H878" s="32"/>
      <c r="I878" s="32"/>
      <c r="J878" s="32"/>
      <c r="K878" s="32"/>
      <c r="L878" s="32"/>
      <c r="M878" s="32"/>
      <c r="N878" s="32"/>
      <c r="O878" s="32"/>
      <c r="P878" s="32"/>
      <c r="Q878" s="32"/>
      <c r="R878" s="32"/>
      <c r="S878" s="32"/>
      <c r="T878" s="32"/>
      <c r="U878" s="32"/>
      <c r="V878" s="32"/>
      <c r="W878" s="32"/>
      <c r="X878" s="32"/>
      <c r="Y878" s="32"/>
      <c r="Z878" s="32"/>
    </row>
    <row r="879">
      <c r="A879" s="32" t="str">
        <f>IFERROR(__xludf.DUMMYFUNCTION("""COMPUTED_VALUE"""),"Iguanian Mage Leggings")</f>
        <v>Iguanian Mage Leggings</v>
      </c>
      <c r="B879" s="32"/>
      <c r="C879" s="32" t="str">
        <f>IFERROR(__xludf.DUMMYFUNCTION("""COMPUTED_VALUE"""),"Item")</f>
        <v>Item</v>
      </c>
      <c r="D879" s="32"/>
      <c r="E879" s="32">
        <f>IFERROR(__xludf.DUMMYFUNCTION("""COMPUTED_VALUE"""),1.0)</f>
        <v>1</v>
      </c>
      <c r="F879" s="32" t="str">
        <f>IFERROR(__xludf.DUMMYFUNCTION("""COMPUTED_VALUE""")," ++10000 hp and sp")</f>
        <v> ++10000 hp and sp</v>
      </c>
      <c r="G879" s="32">
        <f>IFERROR(__xludf.DUMMYFUNCTION("""COMPUTED_VALUE"""),0.0)</f>
        <v>0</v>
      </c>
      <c r="H879" s="32"/>
      <c r="I879" s="32"/>
      <c r="J879" s="32"/>
      <c r="K879" s="32"/>
      <c r="L879" s="32"/>
      <c r="M879" s="32"/>
      <c r="N879" s="32"/>
      <c r="O879" s="32"/>
      <c r="P879" s="32"/>
      <c r="Q879" s="32"/>
      <c r="R879" s="32"/>
      <c r="S879" s="32"/>
      <c r="T879" s="32"/>
      <c r="U879" s="32"/>
      <c r="V879" s="32"/>
      <c r="W879" s="32"/>
      <c r="X879" s="32"/>
      <c r="Y879" s="32"/>
      <c r="Z879" s="32"/>
    </row>
    <row r="880">
      <c r="A880" s="32" t="str">
        <f>IFERROR(__xludf.DUMMYFUNCTION("""COMPUTED_VALUE"""),"Iguanian Mage Pointed Shoes")</f>
        <v>Iguanian Mage Pointed Shoes</v>
      </c>
      <c r="B880" s="32"/>
      <c r="C880" s="32" t="str">
        <f>IFERROR(__xludf.DUMMYFUNCTION("""COMPUTED_VALUE"""),"Item")</f>
        <v>Item</v>
      </c>
      <c r="D880" s="32"/>
      <c r="E880" s="32">
        <f>IFERROR(__xludf.DUMMYFUNCTION("""COMPUTED_VALUE"""),1.0)</f>
        <v>1</v>
      </c>
      <c r="F880" s="32" t="str">
        <f>IFERROR(__xludf.DUMMYFUNCTION("""COMPUTED_VALUE""")," ++10000 hp and sp")</f>
        <v> ++10000 hp and sp</v>
      </c>
      <c r="G880" s="32">
        <f>IFERROR(__xludf.DUMMYFUNCTION("""COMPUTED_VALUE"""),0.0)</f>
        <v>0</v>
      </c>
      <c r="H880" s="32"/>
      <c r="I880" s="32"/>
      <c r="J880" s="32"/>
      <c r="K880" s="32"/>
      <c r="L880" s="32"/>
      <c r="M880" s="32"/>
      <c r="N880" s="32"/>
      <c r="O880" s="32"/>
      <c r="P880" s="32"/>
      <c r="Q880" s="32"/>
      <c r="R880" s="32"/>
      <c r="S880" s="32"/>
      <c r="T880" s="32"/>
      <c r="U880" s="32"/>
      <c r="V880" s="32"/>
      <c r="W880" s="32"/>
      <c r="X880" s="32"/>
      <c r="Y880" s="32"/>
      <c r="Z880" s="32"/>
    </row>
    <row r="881">
      <c r="A881" s="32" t="str">
        <f>IFERROR(__xludf.DUMMYFUNCTION("""COMPUTED_VALUE"""),"Iguanian Mage Staff of Hail")</f>
        <v>Iguanian Mage Staff of Hail</v>
      </c>
      <c r="B881" s="32"/>
      <c r="C881" s="32" t="str">
        <f>IFERROR(__xludf.DUMMYFUNCTION("""COMPUTED_VALUE"""),"Staff")</f>
        <v>Staff</v>
      </c>
      <c r="D881" s="32"/>
      <c r="E881" s="32">
        <f>IFERROR(__xludf.DUMMYFUNCTION("""COMPUTED_VALUE"""),1.0)</f>
        <v>1</v>
      </c>
      <c r="F881" s="32"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32">
        <f>IFERROR(__xludf.DUMMYFUNCTION("""COMPUTED_VALUE"""),0.0)</f>
        <v>0</v>
      </c>
      <c r="H881" s="32"/>
      <c r="I881" s="32"/>
      <c r="J881" s="32"/>
      <c r="K881" s="32"/>
      <c r="L881" s="32"/>
      <c r="M881" s="32"/>
      <c r="N881" s="32"/>
      <c r="O881" s="32"/>
      <c r="P881" s="32"/>
      <c r="Q881" s="32"/>
      <c r="R881" s="32"/>
      <c r="S881" s="32"/>
      <c r="T881" s="32"/>
      <c r="U881" s="32"/>
      <c r="V881" s="32"/>
      <c r="W881" s="32"/>
      <c r="X881" s="32"/>
      <c r="Y881" s="32"/>
      <c r="Z881" s="32"/>
    </row>
    <row r="882">
      <c r="A882" s="32" t="str">
        <f>IFERROR(__xludf.DUMMYFUNCTION("""COMPUTED_VALUE"""),"Blood Finger Ring")</f>
        <v>Blood Finger Ring</v>
      </c>
      <c r="B882" s="32"/>
      <c r="C882" s="32" t="str">
        <f>IFERROR(__xludf.DUMMYFUNCTION("""COMPUTED_VALUE"""),"Item")</f>
        <v>Item</v>
      </c>
      <c r="D882" s="32" t="str">
        <f>IFERROR(__xludf.DUMMYFUNCTION("""COMPUTED_VALUE"""),"Finger")</f>
        <v>Finger</v>
      </c>
      <c r="E882" s="32">
        <f>IFERROR(__xludf.DUMMYFUNCTION("""COMPUTED_VALUE"""),1.0)</f>
        <v>1</v>
      </c>
      <c r="F882" s="32" t="str">
        <f>IFERROR(__xludf.DUMMYFUNCTION("""COMPUTED_VALUE""")," ++Once per battle, if HP&lt;110, heal 10000 HP +-Cannot be forged or duplicated")</f>
        <v> ++Once per battle, if HP&lt;110, heal 10000 HP +-Cannot be forged or duplicated</v>
      </c>
      <c r="G882" s="32">
        <f>IFERROR(__xludf.DUMMYFUNCTION("""COMPUTED_VALUE"""),0.0)</f>
        <v>0</v>
      </c>
      <c r="H882" s="32"/>
      <c r="I882" s="32"/>
      <c r="J882" s="32"/>
      <c r="K882" s="32"/>
      <c r="L882" s="32"/>
      <c r="M882" s="32"/>
      <c r="N882" s="32"/>
      <c r="O882" s="32"/>
      <c r="P882" s="32"/>
      <c r="Q882" s="32"/>
      <c r="R882" s="32"/>
      <c r="S882" s="32"/>
      <c r="T882" s="32"/>
      <c r="U882" s="32"/>
      <c r="V882" s="32"/>
      <c r="W882" s="32"/>
      <c r="X882" s="32"/>
      <c r="Y882" s="32"/>
      <c r="Z882" s="32"/>
    </row>
    <row r="883">
      <c r="A883" s="32" t="str">
        <f>IFERROR(__xludf.DUMMYFUNCTION("""COMPUTED_VALUE"""),"Finger Food Ring")</f>
        <v>Finger Food Ring</v>
      </c>
      <c r="B883" s="32"/>
      <c r="C883" s="32" t="str">
        <f>IFERROR(__xludf.DUMMYFUNCTION("""COMPUTED_VALUE"""),"Item")</f>
        <v>Item</v>
      </c>
      <c r="D883" s="32" t="str">
        <f>IFERROR(__xludf.DUMMYFUNCTION("""COMPUTED_VALUE"""),"Finger")</f>
        <v>Finger</v>
      </c>
      <c r="E883" s="32">
        <f>IFERROR(__xludf.DUMMYFUNCTION("""COMPUTED_VALUE"""),1.0)</f>
        <v>1</v>
      </c>
      <c r="F883" s="32"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32">
        <f>IFERROR(__xludf.DUMMYFUNCTION("""COMPUTED_VALUE"""),0.0)</f>
        <v>0</v>
      </c>
      <c r="H883" s="32"/>
      <c r="I883" s="32"/>
      <c r="J883" s="32"/>
      <c r="K883" s="32"/>
      <c r="L883" s="32"/>
      <c r="M883" s="32"/>
      <c r="N883" s="32"/>
      <c r="O883" s="32"/>
      <c r="P883" s="32"/>
      <c r="Q883" s="32"/>
      <c r="R883" s="32"/>
      <c r="S883" s="32"/>
      <c r="T883" s="32"/>
      <c r="U883" s="32"/>
      <c r="V883" s="32"/>
      <c r="W883" s="32"/>
      <c r="X883" s="32"/>
      <c r="Y883" s="32"/>
      <c r="Z883" s="32"/>
    </row>
    <row r="884">
      <c r="A884" s="32" t="str">
        <f>IFERROR(__xludf.DUMMYFUNCTION("""COMPUTED_VALUE"""),"Ring of Power")</f>
        <v>Ring of Power</v>
      </c>
      <c r="B884" s="32"/>
      <c r="C884" s="32" t="str">
        <f>IFERROR(__xludf.DUMMYFUNCTION("""COMPUTED_VALUE"""),"Item")</f>
        <v>Item</v>
      </c>
      <c r="D884" s="32" t="str">
        <f>IFERROR(__xludf.DUMMYFUNCTION("""COMPUTED_VALUE"""),"Finger")</f>
        <v>Finger</v>
      </c>
      <c r="E884" s="32">
        <f>IFERROR(__xludf.DUMMYFUNCTION("""COMPUTED_VALUE"""),1.0)</f>
        <v>1</v>
      </c>
      <c r="F884" s="32" t="str">
        <f>IFERROR(__xludf.DUMMYFUNCTION("""COMPUTED_VALUE""")," ++1500 ATK and ACC")</f>
        <v> ++1500 ATK and ACC</v>
      </c>
      <c r="G884" s="32">
        <f>IFERROR(__xludf.DUMMYFUNCTION("""COMPUTED_VALUE"""),0.0)</f>
        <v>0</v>
      </c>
      <c r="H884" s="32"/>
      <c r="I884" s="32"/>
      <c r="J884" s="32"/>
      <c r="K884" s="32"/>
      <c r="L884" s="32"/>
      <c r="M884" s="32"/>
      <c r="N884" s="32"/>
      <c r="O884" s="32"/>
      <c r="P884" s="32"/>
      <c r="Q884" s="32"/>
      <c r="R884" s="32"/>
      <c r="S884" s="32"/>
      <c r="T884" s="32"/>
      <c r="U884" s="32"/>
      <c r="V884" s="32"/>
      <c r="W884" s="32"/>
      <c r="X884" s="32"/>
      <c r="Y884" s="32"/>
      <c r="Z884" s="32"/>
    </row>
    <row r="885">
      <c r="A885" s="32" t="str">
        <f>IFERROR(__xludf.DUMMYFUNCTION("""COMPUTED_VALUE"""),"Axe of Red")</f>
        <v>Axe of Red</v>
      </c>
      <c r="B885" s="32"/>
      <c r="C885" s="32" t="str">
        <f>IFERROR(__xludf.DUMMYFUNCTION("""COMPUTED_VALUE"""),"Axe")</f>
        <v>Axe</v>
      </c>
      <c r="D885" s="32" t="str">
        <f>IFERROR(__xludf.DUMMYFUNCTION("""COMPUTED_VALUE"""),"Hand")</f>
        <v>Hand</v>
      </c>
      <c r="E885" s="32">
        <f>IFERROR(__xludf.DUMMYFUNCTION("""COMPUTED_VALUE"""),4500.0)</f>
        <v>4500</v>
      </c>
      <c r="F885" s="32" t="str">
        <f>IFERROR(__xludf.DUMMYFUNCTION("""COMPUTED_VALUE"""),", Fire DMG: +75000, Chaos DMG: +75000, Blood DMG: +75000")</f>
        <v>, Fire DMG: +75000, Chaos DMG: +75000, Blood DMG: +75000</v>
      </c>
      <c r="G885" s="32">
        <f>IFERROR(__xludf.DUMMYFUNCTION("""COMPUTED_VALUE"""),1.01025E9)</f>
        <v>1010250000</v>
      </c>
      <c r="H885" s="32"/>
      <c r="I885" s="32"/>
      <c r="J885" s="32"/>
      <c r="K885" s="32"/>
      <c r="L885" s="32"/>
      <c r="M885" s="32"/>
      <c r="N885" s="32"/>
      <c r="O885" s="32"/>
      <c r="P885" s="32"/>
      <c r="Q885" s="32"/>
      <c r="R885" s="32"/>
      <c r="S885" s="32"/>
      <c r="T885" s="32"/>
      <c r="U885" s="32"/>
      <c r="V885" s="32"/>
      <c r="W885" s="32"/>
      <c r="X885" s="32"/>
      <c r="Y885" s="32"/>
      <c r="Z885" s="32"/>
    </row>
    <row r="886">
      <c r="A886" s="32" t="str">
        <f>IFERROR(__xludf.DUMMYFUNCTION("""COMPUTED_VALUE"""),"Wyrmscale Staff")</f>
        <v>Wyrmscale Staff</v>
      </c>
      <c r="B886" s="32"/>
      <c r="C886" s="32" t="str">
        <f>IFERROR(__xludf.DUMMYFUNCTION("""COMPUTED_VALUE"""),"Staff")</f>
        <v>Staff</v>
      </c>
      <c r="D886" s="32" t="str">
        <f>IFERROR(__xludf.DUMMYFUNCTION("""COMPUTED_VALUE"""),"Hand")</f>
        <v>Hand</v>
      </c>
      <c r="E886" s="32">
        <f>IFERROR(__xludf.DUMMYFUNCTION("""COMPUTED_VALUE"""),1.0)</f>
        <v>1</v>
      </c>
      <c r="F886" s="32" t="str">
        <f>IFERROR(__xludf.DUMMYFUNCTION("""COMPUTED_VALUE""")," ++Spells have double effect when cast on dragons +-Cannot be forged or duplicated")</f>
        <v> ++Spells have double effect when cast on dragons +-Cannot be forged or duplicated</v>
      </c>
      <c r="G886" s="32">
        <f>IFERROR(__xludf.DUMMYFUNCTION("""COMPUTED_VALUE"""),0.0)</f>
        <v>0</v>
      </c>
      <c r="H886" s="32"/>
      <c r="I886" s="32"/>
      <c r="J886" s="32"/>
      <c r="K886" s="32"/>
      <c r="L886" s="32"/>
      <c r="M886" s="32"/>
      <c r="N886" s="32"/>
      <c r="O886" s="32"/>
      <c r="P886" s="32"/>
      <c r="Q886" s="32"/>
      <c r="R886" s="32"/>
      <c r="S886" s="32"/>
      <c r="T886" s="32"/>
      <c r="U886" s="32"/>
      <c r="V886" s="32"/>
      <c r="W886" s="32"/>
      <c r="X886" s="32"/>
      <c r="Y886" s="32"/>
      <c r="Z886" s="32"/>
    </row>
    <row r="887">
      <c r="A887" s="32" t="str">
        <f>IFERROR(__xludf.DUMMYFUNCTION("""COMPUTED_VALUE"""),"Wyrmscale Wand")</f>
        <v>Wyrmscale Wand</v>
      </c>
      <c r="B887" s="32"/>
      <c r="C887" s="32" t="str">
        <f>IFERROR(__xludf.DUMMYFUNCTION("""COMPUTED_VALUE"""),"Wand")</f>
        <v>Wand</v>
      </c>
      <c r="D887" s="32" t="str">
        <f>IFERROR(__xludf.DUMMYFUNCTION("""COMPUTED_VALUE"""),"Hand")</f>
        <v>Hand</v>
      </c>
      <c r="E887" s="32">
        <f>IFERROR(__xludf.DUMMYFUNCTION("""COMPUTED_VALUE"""),1.0)</f>
        <v>1</v>
      </c>
      <c r="F887" s="32" t="str">
        <f>IFERROR(__xludf.DUMMYFUNCTION("""COMPUTED_VALUE""")," ++Half the SP/HP cost of spells when in the presence of a dragon +-Cannot be forged or duplicated")</f>
        <v> ++Half the SP/HP cost of spells when in the presence of a dragon +-Cannot be forged or duplicated</v>
      </c>
      <c r="G887" s="32">
        <f>IFERROR(__xludf.DUMMYFUNCTION("""COMPUTED_VALUE"""),0.0)</f>
        <v>0</v>
      </c>
      <c r="H887" s="32"/>
      <c r="I887" s="32"/>
      <c r="J887" s="32"/>
      <c r="K887" s="32"/>
      <c r="L887" s="32"/>
      <c r="M887" s="32"/>
      <c r="N887" s="32"/>
      <c r="O887" s="32"/>
      <c r="P887" s="32"/>
      <c r="Q887" s="32"/>
      <c r="R887" s="32"/>
      <c r="S887" s="32"/>
      <c r="T887" s="32"/>
      <c r="U887" s="32"/>
      <c r="V887" s="32"/>
      <c r="W887" s="32"/>
      <c r="X887" s="32"/>
      <c r="Y887" s="32"/>
      <c r="Z887" s="32"/>
    </row>
    <row r="888">
      <c r="A888" s="32"/>
      <c r="B888" s="32" t="str">
        <f>IFERROR(__xludf.DUMMYFUNCTION("""COMPUTED_VALUE"""),"")</f>
        <v/>
      </c>
      <c r="C888" s="32" t="str">
        <f>IFERROR(__xludf.DUMMYFUNCTION("""COMPUTED_VALUE"""),"")</f>
        <v/>
      </c>
      <c r="D888" s="32" t="str">
        <f>IFERROR(__xludf.DUMMYFUNCTION("""COMPUTED_VALUE"""),"")</f>
        <v/>
      </c>
      <c r="E888" s="32" t="str">
        <f>IFERROR(__xludf.DUMMYFUNCTION("""COMPUTED_VALUE"""),"")</f>
        <v/>
      </c>
      <c r="F888" s="32" t="str">
        <f>IFERROR(__xludf.DUMMYFUNCTION("""COMPUTED_VALUE"""),"")</f>
        <v/>
      </c>
      <c r="G888" s="32" t="str">
        <f>IFERROR(__xludf.DUMMYFUNCTION("""COMPUTED_VALUE"""),"")</f>
        <v/>
      </c>
      <c r="H888" s="32"/>
      <c r="I888" s="32"/>
      <c r="J888" s="32"/>
      <c r="K888" s="32"/>
      <c r="L888" s="32"/>
      <c r="M888" s="32"/>
      <c r="N888" s="32"/>
      <c r="O888" s="32"/>
      <c r="P888" s="32"/>
      <c r="Q888" s="32"/>
      <c r="R888" s="32"/>
      <c r="S888" s="32"/>
      <c r="T888" s="32"/>
      <c r="U888" s="32"/>
      <c r="V888" s="32"/>
      <c r="W888" s="32"/>
      <c r="X888" s="32"/>
      <c r="Y888" s="32"/>
      <c r="Z888" s="32"/>
    </row>
    <row r="889">
      <c r="A889" s="32"/>
      <c r="B889" s="32" t="str">
        <f>IFERROR(__xludf.DUMMYFUNCTION("""COMPUTED_VALUE"""),"")</f>
        <v/>
      </c>
      <c r="C889" s="32" t="str">
        <f>IFERROR(__xludf.DUMMYFUNCTION("""COMPUTED_VALUE"""),"")</f>
        <v/>
      </c>
      <c r="D889" s="32" t="str">
        <f>IFERROR(__xludf.DUMMYFUNCTION("""COMPUTED_VALUE"""),"")</f>
        <v/>
      </c>
      <c r="E889" s="32" t="str">
        <f>IFERROR(__xludf.DUMMYFUNCTION("""COMPUTED_VALUE"""),"")</f>
        <v/>
      </c>
      <c r="F889" s="32" t="str">
        <f>IFERROR(__xludf.DUMMYFUNCTION("""COMPUTED_VALUE"""),"")</f>
        <v/>
      </c>
      <c r="G889" s="32" t="str">
        <f>IFERROR(__xludf.DUMMYFUNCTION("""COMPUTED_VALUE"""),"")</f>
        <v/>
      </c>
      <c r="H889" s="32"/>
      <c r="I889" s="32"/>
      <c r="J889" s="32"/>
      <c r="K889" s="32"/>
      <c r="L889" s="32"/>
      <c r="M889" s="32"/>
      <c r="N889" s="32"/>
      <c r="O889" s="32"/>
      <c r="P889" s="32"/>
      <c r="Q889" s="32"/>
      <c r="R889" s="32"/>
      <c r="S889" s="32"/>
      <c r="T889" s="32"/>
      <c r="U889" s="32"/>
      <c r="V889" s="32"/>
      <c r="W889" s="32"/>
      <c r="X889" s="32"/>
      <c r="Y889" s="32"/>
      <c r="Z889" s="32"/>
    </row>
    <row r="890">
      <c r="A890" s="32"/>
      <c r="B890" s="32" t="str">
        <f>IFERROR(__xludf.DUMMYFUNCTION("""COMPUTED_VALUE"""),"")</f>
        <v/>
      </c>
      <c r="C890" s="32" t="str">
        <f>IFERROR(__xludf.DUMMYFUNCTION("""COMPUTED_VALUE"""),"")</f>
        <v/>
      </c>
      <c r="D890" s="32" t="str">
        <f>IFERROR(__xludf.DUMMYFUNCTION("""COMPUTED_VALUE"""),"")</f>
        <v/>
      </c>
      <c r="E890" s="32" t="str">
        <f>IFERROR(__xludf.DUMMYFUNCTION("""COMPUTED_VALUE"""),"")</f>
        <v/>
      </c>
      <c r="F890" s="32" t="str">
        <f>IFERROR(__xludf.DUMMYFUNCTION("""COMPUTED_VALUE"""),"")</f>
        <v/>
      </c>
      <c r="G890" s="32" t="str">
        <f>IFERROR(__xludf.DUMMYFUNCTION("""COMPUTED_VALUE"""),"")</f>
        <v/>
      </c>
      <c r="H890" s="32"/>
      <c r="I890" s="32"/>
      <c r="J890" s="32"/>
      <c r="K890" s="32"/>
      <c r="L890" s="32"/>
      <c r="M890" s="32"/>
      <c r="N890" s="32"/>
      <c r="O890" s="32"/>
      <c r="P890" s="32"/>
      <c r="Q890" s="32"/>
      <c r="R890" s="32"/>
      <c r="S890" s="32"/>
      <c r="T890" s="32"/>
      <c r="U890" s="32"/>
      <c r="V890" s="32"/>
      <c r="W890" s="32"/>
      <c r="X890" s="32"/>
      <c r="Y890" s="32"/>
      <c r="Z890" s="32"/>
    </row>
    <row r="891">
      <c r="A891" s="32"/>
      <c r="B891" s="32" t="str">
        <f>IFERROR(__xludf.DUMMYFUNCTION("""COMPUTED_VALUE"""),"")</f>
        <v/>
      </c>
      <c r="C891" s="32" t="str">
        <f>IFERROR(__xludf.DUMMYFUNCTION("""COMPUTED_VALUE"""),"")</f>
        <v/>
      </c>
      <c r="D891" s="32" t="str">
        <f>IFERROR(__xludf.DUMMYFUNCTION("""COMPUTED_VALUE"""),"")</f>
        <v/>
      </c>
      <c r="E891" s="32" t="str">
        <f>IFERROR(__xludf.DUMMYFUNCTION("""COMPUTED_VALUE"""),"")</f>
        <v/>
      </c>
      <c r="F891" s="32" t="str">
        <f>IFERROR(__xludf.DUMMYFUNCTION("""COMPUTED_VALUE"""),"")</f>
        <v/>
      </c>
      <c r="G891" s="32" t="str">
        <f>IFERROR(__xludf.DUMMYFUNCTION("""COMPUTED_VALUE"""),"")</f>
        <v/>
      </c>
      <c r="H891" s="32"/>
      <c r="I891" s="32"/>
      <c r="J891" s="32"/>
      <c r="K891" s="32"/>
      <c r="L891" s="32"/>
      <c r="M891" s="32"/>
      <c r="N891" s="32"/>
      <c r="O891" s="32"/>
      <c r="P891" s="32"/>
      <c r="Q891" s="32"/>
      <c r="R891" s="32"/>
      <c r="S891" s="32"/>
      <c r="T891" s="32"/>
      <c r="U891" s="32"/>
      <c r="V891" s="32"/>
      <c r="W891" s="32"/>
      <c r="X891" s="32"/>
      <c r="Y891" s="32"/>
      <c r="Z891" s="32"/>
    </row>
    <row r="892">
      <c r="A892" s="32"/>
      <c r="B892" s="32" t="str">
        <f>IFERROR(__xludf.DUMMYFUNCTION("""COMPUTED_VALUE"""),"")</f>
        <v/>
      </c>
      <c r="C892" s="32" t="str">
        <f>IFERROR(__xludf.DUMMYFUNCTION("""COMPUTED_VALUE"""),"")</f>
        <v/>
      </c>
      <c r="D892" s="32" t="str">
        <f>IFERROR(__xludf.DUMMYFUNCTION("""COMPUTED_VALUE"""),"")</f>
        <v/>
      </c>
      <c r="E892" s="32" t="str">
        <f>IFERROR(__xludf.DUMMYFUNCTION("""COMPUTED_VALUE"""),"")</f>
        <v/>
      </c>
      <c r="F892" s="32" t="str">
        <f>IFERROR(__xludf.DUMMYFUNCTION("""COMPUTED_VALUE"""),"")</f>
        <v/>
      </c>
      <c r="G892" s="32" t="str">
        <f>IFERROR(__xludf.DUMMYFUNCTION("""COMPUTED_VALUE"""),"")</f>
        <v/>
      </c>
      <c r="H892" s="32"/>
      <c r="I892" s="32"/>
      <c r="J892" s="32"/>
      <c r="K892" s="32"/>
      <c r="L892" s="32"/>
      <c r="M892" s="32"/>
      <c r="N892" s="32"/>
      <c r="O892" s="32"/>
      <c r="P892" s="32"/>
      <c r="Q892" s="32"/>
      <c r="R892" s="32"/>
      <c r="S892" s="32"/>
      <c r="T892" s="32"/>
      <c r="U892" s="32"/>
      <c r="V892" s="32"/>
      <c r="W892" s="32"/>
      <c r="X892" s="32"/>
      <c r="Y892" s="32"/>
      <c r="Z892" s="32"/>
    </row>
    <row r="893">
      <c r="A893" s="32"/>
      <c r="B893" s="32" t="str">
        <f>IFERROR(__xludf.DUMMYFUNCTION("""COMPUTED_VALUE"""),"")</f>
        <v/>
      </c>
      <c r="C893" s="32" t="str">
        <f>IFERROR(__xludf.DUMMYFUNCTION("""COMPUTED_VALUE"""),"")</f>
        <v/>
      </c>
      <c r="D893" s="32" t="str">
        <f>IFERROR(__xludf.DUMMYFUNCTION("""COMPUTED_VALUE"""),"")</f>
        <v/>
      </c>
      <c r="E893" s="32" t="str">
        <f>IFERROR(__xludf.DUMMYFUNCTION("""COMPUTED_VALUE"""),"")</f>
        <v/>
      </c>
      <c r="F893" s="32" t="str">
        <f>IFERROR(__xludf.DUMMYFUNCTION("""COMPUTED_VALUE"""),"")</f>
        <v/>
      </c>
      <c r="G893" s="32" t="str">
        <f>IFERROR(__xludf.DUMMYFUNCTION("""COMPUTED_VALUE"""),"")</f>
        <v/>
      </c>
      <c r="H893" s="32"/>
      <c r="I893" s="32"/>
      <c r="J893" s="32"/>
      <c r="K893" s="32"/>
      <c r="L893" s="32"/>
      <c r="M893" s="32"/>
      <c r="N893" s="32"/>
      <c r="O893" s="32"/>
      <c r="P893" s="32"/>
      <c r="Q893" s="32"/>
      <c r="R893" s="32"/>
      <c r="S893" s="32"/>
      <c r="T893" s="32"/>
      <c r="U893" s="32"/>
      <c r="V893" s="32"/>
      <c r="W893" s="32"/>
      <c r="X893" s="32"/>
      <c r="Y893" s="32"/>
      <c r="Z893" s="32"/>
    </row>
    <row r="894">
      <c r="A894" s="32"/>
      <c r="B894" s="32" t="str">
        <f>IFERROR(__xludf.DUMMYFUNCTION("""COMPUTED_VALUE"""),"")</f>
        <v/>
      </c>
      <c r="C894" s="32" t="str">
        <f>IFERROR(__xludf.DUMMYFUNCTION("""COMPUTED_VALUE"""),"")</f>
        <v/>
      </c>
      <c r="D894" s="32" t="str">
        <f>IFERROR(__xludf.DUMMYFUNCTION("""COMPUTED_VALUE"""),"")</f>
        <v/>
      </c>
      <c r="E894" s="32" t="str">
        <f>IFERROR(__xludf.DUMMYFUNCTION("""COMPUTED_VALUE"""),"")</f>
        <v/>
      </c>
      <c r="F894" s="32" t="str">
        <f>IFERROR(__xludf.DUMMYFUNCTION("""COMPUTED_VALUE"""),"")</f>
        <v/>
      </c>
      <c r="G894" s="32" t="str">
        <f>IFERROR(__xludf.DUMMYFUNCTION("""COMPUTED_VALUE"""),"")</f>
        <v/>
      </c>
      <c r="H894" s="32"/>
      <c r="I894" s="32"/>
      <c r="J894" s="32"/>
      <c r="K894" s="32"/>
      <c r="L894" s="32"/>
      <c r="M894" s="32"/>
      <c r="N894" s="32"/>
      <c r="O894" s="32"/>
      <c r="P894" s="32"/>
      <c r="Q894" s="32"/>
      <c r="R894" s="32"/>
      <c r="S894" s="32"/>
      <c r="T894" s="32"/>
      <c r="U894" s="32"/>
      <c r="V894" s="32"/>
      <c r="W894" s="32"/>
      <c r="X894" s="32"/>
      <c r="Y894" s="32"/>
      <c r="Z894" s="32"/>
    </row>
    <row r="895">
      <c r="A895" s="32"/>
      <c r="B895" s="32" t="str">
        <f>IFERROR(__xludf.DUMMYFUNCTION("""COMPUTED_VALUE"""),"")</f>
        <v/>
      </c>
      <c r="C895" s="32" t="str">
        <f>IFERROR(__xludf.DUMMYFUNCTION("""COMPUTED_VALUE"""),"")</f>
        <v/>
      </c>
      <c r="D895" s="32" t="str">
        <f>IFERROR(__xludf.DUMMYFUNCTION("""COMPUTED_VALUE"""),"")</f>
        <v/>
      </c>
      <c r="E895" s="32" t="str">
        <f>IFERROR(__xludf.DUMMYFUNCTION("""COMPUTED_VALUE"""),"")</f>
        <v/>
      </c>
      <c r="F895" s="32" t="str">
        <f>IFERROR(__xludf.DUMMYFUNCTION("""COMPUTED_VALUE"""),"")</f>
        <v/>
      </c>
      <c r="G895" s="32" t="str">
        <f>IFERROR(__xludf.DUMMYFUNCTION("""COMPUTED_VALUE"""),"")</f>
        <v/>
      </c>
      <c r="H895" s="32"/>
      <c r="I895" s="32"/>
      <c r="J895" s="32"/>
      <c r="K895" s="32"/>
      <c r="L895" s="32"/>
      <c r="M895" s="32"/>
      <c r="N895" s="32"/>
      <c r="O895" s="32"/>
      <c r="P895" s="32"/>
      <c r="Q895" s="32"/>
      <c r="R895" s="32"/>
      <c r="S895" s="32"/>
      <c r="T895" s="32"/>
      <c r="U895" s="32"/>
      <c r="V895" s="32"/>
      <c r="W895" s="32"/>
      <c r="X895" s="32"/>
      <c r="Y895" s="32"/>
      <c r="Z895" s="32"/>
    </row>
    <row r="896">
      <c r="A896" s="32"/>
      <c r="B896" s="32" t="str">
        <f>IFERROR(__xludf.DUMMYFUNCTION("""COMPUTED_VALUE"""),"")</f>
        <v/>
      </c>
      <c r="C896" s="32" t="str">
        <f>IFERROR(__xludf.DUMMYFUNCTION("""COMPUTED_VALUE"""),"")</f>
        <v/>
      </c>
      <c r="D896" s="32" t="str">
        <f>IFERROR(__xludf.DUMMYFUNCTION("""COMPUTED_VALUE"""),"")</f>
        <v/>
      </c>
      <c r="E896" s="32" t="str">
        <f>IFERROR(__xludf.DUMMYFUNCTION("""COMPUTED_VALUE"""),"")</f>
        <v/>
      </c>
      <c r="F896" s="32" t="str">
        <f>IFERROR(__xludf.DUMMYFUNCTION("""COMPUTED_VALUE"""),"")</f>
        <v/>
      </c>
      <c r="G896" s="32" t="str">
        <f>IFERROR(__xludf.DUMMYFUNCTION("""COMPUTED_VALUE"""),"")</f>
        <v/>
      </c>
      <c r="H896" s="32"/>
      <c r="I896" s="32"/>
      <c r="J896" s="32"/>
      <c r="K896" s="32"/>
      <c r="L896" s="32"/>
      <c r="M896" s="32"/>
      <c r="N896" s="32"/>
      <c r="O896" s="32"/>
      <c r="P896" s="32"/>
      <c r="Q896" s="32"/>
      <c r="R896" s="32"/>
      <c r="S896" s="32"/>
      <c r="T896" s="32"/>
      <c r="U896" s="32"/>
      <c r="V896" s="32"/>
      <c r="W896" s="32"/>
      <c r="X896" s="32"/>
      <c r="Y896" s="32"/>
      <c r="Z896" s="32"/>
    </row>
    <row r="897">
      <c r="A897" s="32"/>
      <c r="B897" s="32" t="str">
        <f>IFERROR(__xludf.DUMMYFUNCTION("""COMPUTED_VALUE"""),"")</f>
        <v/>
      </c>
      <c r="C897" s="32" t="str">
        <f>IFERROR(__xludf.DUMMYFUNCTION("""COMPUTED_VALUE"""),"")</f>
        <v/>
      </c>
      <c r="D897" s="32" t="str">
        <f>IFERROR(__xludf.DUMMYFUNCTION("""COMPUTED_VALUE"""),"")</f>
        <v/>
      </c>
      <c r="E897" s="32" t="str">
        <f>IFERROR(__xludf.DUMMYFUNCTION("""COMPUTED_VALUE"""),"")</f>
        <v/>
      </c>
      <c r="F897" s="32" t="str">
        <f>IFERROR(__xludf.DUMMYFUNCTION("""COMPUTED_VALUE"""),"")</f>
        <v/>
      </c>
      <c r="G897" s="32" t="str">
        <f>IFERROR(__xludf.DUMMYFUNCTION("""COMPUTED_VALUE"""),"")</f>
        <v/>
      </c>
      <c r="H897" s="32"/>
      <c r="I897" s="32"/>
      <c r="J897" s="32"/>
      <c r="K897" s="32"/>
      <c r="L897" s="32"/>
      <c r="M897" s="32"/>
      <c r="N897" s="32"/>
      <c r="O897" s="32"/>
      <c r="P897" s="32"/>
      <c r="Q897" s="32"/>
      <c r="R897" s="32"/>
      <c r="S897" s="32"/>
      <c r="T897" s="32"/>
      <c r="U897" s="32"/>
      <c r="V897" s="32"/>
      <c r="W897" s="32"/>
      <c r="X897" s="32"/>
      <c r="Y897" s="32"/>
      <c r="Z897" s="32"/>
    </row>
    <row r="898">
      <c r="A898" s="32"/>
      <c r="B898" s="32" t="str">
        <f>IFERROR(__xludf.DUMMYFUNCTION("""COMPUTED_VALUE"""),"")</f>
        <v/>
      </c>
      <c r="C898" s="32" t="str">
        <f>IFERROR(__xludf.DUMMYFUNCTION("""COMPUTED_VALUE"""),"")</f>
        <v/>
      </c>
      <c r="D898" s="32" t="str">
        <f>IFERROR(__xludf.DUMMYFUNCTION("""COMPUTED_VALUE"""),"")</f>
        <v/>
      </c>
      <c r="E898" s="32" t="str">
        <f>IFERROR(__xludf.DUMMYFUNCTION("""COMPUTED_VALUE"""),"")</f>
        <v/>
      </c>
      <c r="F898" s="32" t="str">
        <f>IFERROR(__xludf.DUMMYFUNCTION("""COMPUTED_VALUE"""),"")</f>
        <v/>
      </c>
      <c r="G898" s="32" t="str">
        <f>IFERROR(__xludf.DUMMYFUNCTION("""COMPUTED_VALUE"""),"")</f>
        <v/>
      </c>
      <c r="H898" s="32"/>
      <c r="I898" s="32"/>
      <c r="J898" s="32"/>
      <c r="K898" s="32"/>
      <c r="L898" s="32"/>
      <c r="M898" s="32"/>
      <c r="N898" s="32"/>
      <c r="O898" s="32"/>
      <c r="P898" s="32"/>
      <c r="Q898" s="32"/>
      <c r="R898" s="32"/>
      <c r="S898" s="32"/>
      <c r="T898" s="32"/>
      <c r="U898" s="32"/>
      <c r="V898" s="32"/>
      <c r="W898" s="32"/>
      <c r="X898" s="32"/>
      <c r="Y898" s="32"/>
      <c r="Z898" s="32"/>
    </row>
    <row r="899">
      <c r="A899" s="32"/>
      <c r="B899" s="32" t="str">
        <f>IFERROR(__xludf.DUMMYFUNCTION("""COMPUTED_VALUE"""),"")</f>
        <v/>
      </c>
      <c r="C899" s="32" t="str">
        <f>IFERROR(__xludf.DUMMYFUNCTION("""COMPUTED_VALUE"""),"")</f>
        <v/>
      </c>
      <c r="D899" s="32" t="str">
        <f>IFERROR(__xludf.DUMMYFUNCTION("""COMPUTED_VALUE"""),"")</f>
        <v/>
      </c>
      <c r="E899" s="32" t="str">
        <f>IFERROR(__xludf.DUMMYFUNCTION("""COMPUTED_VALUE"""),"")</f>
        <v/>
      </c>
      <c r="F899" s="32" t="str">
        <f>IFERROR(__xludf.DUMMYFUNCTION("""COMPUTED_VALUE"""),"")</f>
        <v/>
      </c>
      <c r="G899" s="32" t="str">
        <f>IFERROR(__xludf.DUMMYFUNCTION("""COMPUTED_VALUE"""),"")</f>
        <v/>
      </c>
      <c r="H899" s="32"/>
      <c r="I899" s="32"/>
      <c r="J899" s="32"/>
      <c r="K899" s="32"/>
      <c r="L899" s="32"/>
      <c r="M899" s="32"/>
      <c r="N899" s="32"/>
      <c r="O899" s="32"/>
      <c r="P899" s="32"/>
      <c r="Q899" s="32"/>
      <c r="R899" s="32"/>
      <c r="S899" s="32"/>
      <c r="T899" s="32"/>
      <c r="U899" s="32"/>
      <c r="V899" s="32"/>
      <c r="W899" s="32"/>
      <c r="X899" s="32"/>
      <c r="Y899" s="32"/>
      <c r="Z899" s="32"/>
    </row>
    <row r="900">
      <c r="A900" s="32"/>
      <c r="B900" s="32" t="str">
        <f>IFERROR(__xludf.DUMMYFUNCTION("""COMPUTED_VALUE"""),"")</f>
        <v/>
      </c>
      <c r="C900" s="32" t="str">
        <f>IFERROR(__xludf.DUMMYFUNCTION("""COMPUTED_VALUE"""),"")</f>
        <v/>
      </c>
      <c r="D900" s="32" t="str">
        <f>IFERROR(__xludf.DUMMYFUNCTION("""COMPUTED_VALUE"""),"")</f>
        <v/>
      </c>
      <c r="E900" s="32" t="str">
        <f>IFERROR(__xludf.DUMMYFUNCTION("""COMPUTED_VALUE"""),"")</f>
        <v/>
      </c>
      <c r="F900" s="32" t="str">
        <f>IFERROR(__xludf.DUMMYFUNCTION("""COMPUTED_VALUE"""),"")</f>
        <v/>
      </c>
      <c r="G900" s="32" t="str">
        <f>IFERROR(__xludf.DUMMYFUNCTION("""COMPUTED_VALUE"""),"")</f>
        <v/>
      </c>
      <c r="H900" s="32"/>
      <c r="I900" s="32"/>
      <c r="J900" s="32"/>
      <c r="K900" s="32"/>
      <c r="L900" s="32"/>
      <c r="M900" s="32"/>
      <c r="N900" s="32"/>
      <c r="O900" s="32"/>
      <c r="P900" s="32"/>
      <c r="Q900" s="32"/>
      <c r="R900" s="32"/>
      <c r="S900" s="32"/>
      <c r="T900" s="32"/>
      <c r="U900" s="32"/>
      <c r="V900" s="32"/>
      <c r="W900" s="32"/>
      <c r="X900" s="32"/>
      <c r="Y900" s="32"/>
      <c r="Z900" s="32"/>
    </row>
    <row r="901">
      <c r="A901" s="32"/>
      <c r="B901" s="32" t="str">
        <f>IFERROR(__xludf.DUMMYFUNCTION("""COMPUTED_VALUE"""),"")</f>
        <v/>
      </c>
      <c r="C901" s="32" t="str">
        <f>IFERROR(__xludf.DUMMYFUNCTION("""COMPUTED_VALUE"""),"")</f>
        <v/>
      </c>
      <c r="D901" s="32" t="str">
        <f>IFERROR(__xludf.DUMMYFUNCTION("""COMPUTED_VALUE"""),"")</f>
        <v/>
      </c>
      <c r="E901" s="32" t="str">
        <f>IFERROR(__xludf.DUMMYFUNCTION("""COMPUTED_VALUE"""),"")</f>
        <v/>
      </c>
      <c r="F901" s="32" t="str">
        <f>IFERROR(__xludf.DUMMYFUNCTION("""COMPUTED_VALUE"""),"")</f>
        <v/>
      </c>
      <c r="G901" s="32" t="str">
        <f>IFERROR(__xludf.DUMMYFUNCTION("""COMPUTED_VALUE"""),"")</f>
        <v/>
      </c>
      <c r="H901" s="32"/>
      <c r="I901" s="32"/>
      <c r="J901" s="32"/>
      <c r="K901" s="32"/>
      <c r="L901" s="32"/>
      <c r="M901" s="32"/>
      <c r="N901" s="32"/>
      <c r="O901" s="32"/>
      <c r="P901" s="32"/>
      <c r="Q901" s="32"/>
      <c r="R901" s="32"/>
      <c r="S901" s="32"/>
      <c r="T901" s="32"/>
      <c r="U901" s="32"/>
      <c r="V901" s="32"/>
      <c r="W901" s="32"/>
      <c r="X901" s="32"/>
      <c r="Y901" s="32"/>
      <c r="Z901" s="32"/>
    </row>
    <row r="902">
      <c r="A902" s="32"/>
      <c r="B902" s="32" t="str">
        <f>IFERROR(__xludf.DUMMYFUNCTION("""COMPUTED_VALUE"""),"")</f>
        <v/>
      </c>
      <c r="C902" s="32" t="str">
        <f>IFERROR(__xludf.DUMMYFUNCTION("""COMPUTED_VALUE"""),"")</f>
        <v/>
      </c>
      <c r="D902" s="32" t="str">
        <f>IFERROR(__xludf.DUMMYFUNCTION("""COMPUTED_VALUE"""),"")</f>
        <v/>
      </c>
      <c r="E902" s="32" t="str">
        <f>IFERROR(__xludf.DUMMYFUNCTION("""COMPUTED_VALUE"""),"")</f>
        <v/>
      </c>
      <c r="F902" s="32" t="str">
        <f>IFERROR(__xludf.DUMMYFUNCTION("""COMPUTED_VALUE"""),"")</f>
        <v/>
      </c>
      <c r="G902" s="32" t="str">
        <f>IFERROR(__xludf.DUMMYFUNCTION("""COMPUTED_VALUE"""),"")</f>
        <v/>
      </c>
      <c r="H902" s="32"/>
      <c r="I902" s="32"/>
      <c r="J902" s="32"/>
      <c r="K902" s="32"/>
      <c r="L902" s="32"/>
      <c r="M902" s="32"/>
      <c r="N902" s="32"/>
      <c r="O902" s="32"/>
      <c r="P902" s="32"/>
      <c r="Q902" s="32"/>
      <c r="R902" s="32"/>
      <c r="S902" s="32"/>
      <c r="T902" s="32"/>
      <c r="U902" s="32"/>
      <c r="V902" s="32"/>
      <c r="W902" s="32"/>
      <c r="X902" s="32"/>
      <c r="Y902" s="32"/>
      <c r="Z902" s="32"/>
    </row>
    <row r="903">
      <c r="A903" s="32"/>
      <c r="B903" s="32" t="str">
        <f>IFERROR(__xludf.DUMMYFUNCTION("""COMPUTED_VALUE"""),"")</f>
        <v/>
      </c>
      <c r="C903" s="32" t="str">
        <f>IFERROR(__xludf.DUMMYFUNCTION("""COMPUTED_VALUE"""),"")</f>
        <v/>
      </c>
      <c r="D903" s="32" t="str">
        <f>IFERROR(__xludf.DUMMYFUNCTION("""COMPUTED_VALUE"""),"")</f>
        <v/>
      </c>
      <c r="E903" s="32" t="str">
        <f>IFERROR(__xludf.DUMMYFUNCTION("""COMPUTED_VALUE"""),"")</f>
        <v/>
      </c>
      <c r="F903" s="32" t="str">
        <f>IFERROR(__xludf.DUMMYFUNCTION("""COMPUTED_VALUE"""),"")</f>
        <v/>
      </c>
      <c r="G903" s="32" t="str">
        <f>IFERROR(__xludf.DUMMYFUNCTION("""COMPUTED_VALUE"""),"")</f>
        <v/>
      </c>
      <c r="H903" s="32"/>
      <c r="I903" s="32"/>
      <c r="J903" s="32"/>
      <c r="K903" s="32"/>
      <c r="L903" s="32"/>
      <c r="M903" s="32"/>
      <c r="N903" s="32"/>
      <c r="O903" s="32"/>
      <c r="P903" s="32"/>
      <c r="Q903" s="32"/>
      <c r="R903" s="32"/>
      <c r="S903" s="32"/>
      <c r="T903" s="32"/>
      <c r="U903" s="32"/>
      <c r="V903" s="32"/>
      <c r="W903" s="32"/>
      <c r="X903" s="32"/>
      <c r="Y903" s="32"/>
      <c r="Z903" s="32"/>
    </row>
    <row r="904">
      <c r="A904" s="32"/>
      <c r="B904" s="32" t="str">
        <f>IFERROR(__xludf.DUMMYFUNCTION("""COMPUTED_VALUE"""),"")</f>
        <v/>
      </c>
      <c r="C904" s="32" t="str">
        <f>IFERROR(__xludf.DUMMYFUNCTION("""COMPUTED_VALUE"""),"")</f>
        <v/>
      </c>
      <c r="D904" s="32" t="str">
        <f>IFERROR(__xludf.DUMMYFUNCTION("""COMPUTED_VALUE"""),"")</f>
        <v/>
      </c>
      <c r="E904" s="32" t="str">
        <f>IFERROR(__xludf.DUMMYFUNCTION("""COMPUTED_VALUE"""),"")</f>
        <v/>
      </c>
      <c r="F904" s="32" t="str">
        <f>IFERROR(__xludf.DUMMYFUNCTION("""COMPUTED_VALUE"""),"")</f>
        <v/>
      </c>
      <c r="G904" s="32" t="str">
        <f>IFERROR(__xludf.DUMMYFUNCTION("""COMPUTED_VALUE"""),"")</f>
        <v/>
      </c>
      <c r="H904" s="32"/>
      <c r="I904" s="32"/>
      <c r="J904" s="32"/>
      <c r="K904" s="32"/>
      <c r="L904" s="32"/>
      <c r="M904" s="32"/>
      <c r="N904" s="32"/>
      <c r="O904" s="32"/>
      <c r="P904" s="32"/>
      <c r="Q904" s="32"/>
      <c r="R904" s="32"/>
      <c r="S904" s="32"/>
      <c r="T904" s="32"/>
      <c r="U904" s="32"/>
      <c r="V904" s="32"/>
      <c r="W904" s="32"/>
      <c r="X904" s="32"/>
      <c r="Y904" s="32"/>
      <c r="Z904" s="32"/>
    </row>
    <row r="905">
      <c r="A905" s="32"/>
      <c r="B905" s="32" t="str">
        <f>IFERROR(__xludf.DUMMYFUNCTION("""COMPUTED_VALUE"""),"")</f>
        <v/>
      </c>
      <c r="C905" s="32" t="str">
        <f>IFERROR(__xludf.DUMMYFUNCTION("""COMPUTED_VALUE"""),"")</f>
        <v/>
      </c>
      <c r="D905" s="32" t="str">
        <f>IFERROR(__xludf.DUMMYFUNCTION("""COMPUTED_VALUE"""),"")</f>
        <v/>
      </c>
      <c r="E905" s="32" t="str">
        <f>IFERROR(__xludf.DUMMYFUNCTION("""COMPUTED_VALUE"""),"")</f>
        <v/>
      </c>
      <c r="F905" s="32" t="str">
        <f>IFERROR(__xludf.DUMMYFUNCTION("""COMPUTED_VALUE"""),"")</f>
        <v/>
      </c>
      <c r="G905" s="32" t="str">
        <f>IFERROR(__xludf.DUMMYFUNCTION("""COMPUTED_VALUE"""),"")</f>
        <v/>
      </c>
      <c r="H905" s="32"/>
      <c r="I905" s="32"/>
      <c r="J905" s="32"/>
      <c r="K905" s="32"/>
      <c r="L905" s="32"/>
      <c r="M905" s="32"/>
      <c r="N905" s="32"/>
      <c r="O905" s="32"/>
      <c r="P905" s="32"/>
      <c r="Q905" s="32"/>
      <c r="R905" s="32"/>
      <c r="S905" s="32"/>
      <c r="T905" s="32"/>
      <c r="U905" s="32"/>
      <c r="V905" s="32"/>
      <c r="W905" s="32"/>
      <c r="X905" s="32"/>
      <c r="Y905" s="32"/>
      <c r="Z905" s="32"/>
    </row>
    <row r="906">
      <c r="A906" s="32"/>
      <c r="B906" s="32" t="str">
        <f>IFERROR(__xludf.DUMMYFUNCTION("""COMPUTED_VALUE"""),"")</f>
        <v/>
      </c>
      <c r="C906" s="32" t="str">
        <f>IFERROR(__xludf.DUMMYFUNCTION("""COMPUTED_VALUE"""),"")</f>
        <v/>
      </c>
      <c r="D906" s="32" t="str">
        <f>IFERROR(__xludf.DUMMYFUNCTION("""COMPUTED_VALUE"""),"")</f>
        <v/>
      </c>
      <c r="E906" s="32" t="str">
        <f>IFERROR(__xludf.DUMMYFUNCTION("""COMPUTED_VALUE"""),"")</f>
        <v/>
      </c>
      <c r="F906" s="32" t="str">
        <f>IFERROR(__xludf.DUMMYFUNCTION("""COMPUTED_VALUE"""),"")</f>
        <v/>
      </c>
      <c r="G906" s="32" t="str">
        <f>IFERROR(__xludf.DUMMYFUNCTION("""COMPUTED_VALUE"""),"")</f>
        <v/>
      </c>
      <c r="H906" s="32"/>
      <c r="I906" s="32"/>
      <c r="J906" s="32"/>
      <c r="K906" s="32"/>
      <c r="L906" s="32"/>
      <c r="M906" s="32"/>
      <c r="N906" s="32"/>
      <c r="O906" s="32"/>
      <c r="P906" s="32"/>
      <c r="Q906" s="32"/>
      <c r="R906" s="32"/>
      <c r="S906" s="32"/>
      <c r="T906" s="32"/>
      <c r="U906" s="32"/>
      <c r="V906" s="32"/>
      <c r="W906" s="32"/>
      <c r="X906" s="32"/>
      <c r="Y906" s="32"/>
      <c r="Z906" s="32"/>
    </row>
    <row r="907">
      <c r="A907" s="32"/>
      <c r="B907" s="32" t="str">
        <f>IFERROR(__xludf.DUMMYFUNCTION("""COMPUTED_VALUE"""),"")</f>
        <v/>
      </c>
      <c r="C907" s="32" t="str">
        <f>IFERROR(__xludf.DUMMYFUNCTION("""COMPUTED_VALUE"""),"")</f>
        <v/>
      </c>
      <c r="D907" s="32" t="str">
        <f>IFERROR(__xludf.DUMMYFUNCTION("""COMPUTED_VALUE"""),"")</f>
        <v/>
      </c>
      <c r="E907" s="32" t="str">
        <f>IFERROR(__xludf.DUMMYFUNCTION("""COMPUTED_VALUE"""),"")</f>
        <v/>
      </c>
      <c r="F907" s="32" t="str">
        <f>IFERROR(__xludf.DUMMYFUNCTION("""COMPUTED_VALUE"""),"")</f>
        <v/>
      </c>
      <c r="G907" s="32" t="str">
        <f>IFERROR(__xludf.DUMMYFUNCTION("""COMPUTED_VALUE"""),"")</f>
        <v/>
      </c>
      <c r="H907" s="32"/>
      <c r="I907" s="32"/>
      <c r="J907" s="32"/>
      <c r="K907" s="32"/>
      <c r="L907" s="32"/>
      <c r="M907" s="32"/>
      <c r="N907" s="32"/>
      <c r="O907" s="32"/>
      <c r="P907" s="32"/>
      <c r="Q907" s="32"/>
      <c r="R907" s="32"/>
      <c r="S907" s="32"/>
      <c r="T907" s="32"/>
      <c r="U907" s="32"/>
      <c r="V907" s="32"/>
      <c r="W907" s="32"/>
      <c r="X907" s="32"/>
      <c r="Y907" s="32"/>
      <c r="Z907" s="32"/>
    </row>
    <row r="908">
      <c r="A908" s="32"/>
      <c r="B908" s="32" t="str">
        <f>IFERROR(__xludf.DUMMYFUNCTION("""COMPUTED_VALUE"""),"")</f>
        <v/>
      </c>
      <c r="C908" s="32" t="str">
        <f>IFERROR(__xludf.DUMMYFUNCTION("""COMPUTED_VALUE"""),"")</f>
        <v/>
      </c>
      <c r="D908" s="32" t="str">
        <f>IFERROR(__xludf.DUMMYFUNCTION("""COMPUTED_VALUE"""),"")</f>
        <v/>
      </c>
      <c r="E908" s="32" t="str">
        <f>IFERROR(__xludf.DUMMYFUNCTION("""COMPUTED_VALUE"""),"")</f>
        <v/>
      </c>
      <c r="F908" s="32" t="str">
        <f>IFERROR(__xludf.DUMMYFUNCTION("""COMPUTED_VALUE"""),"")</f>
        <v/>
      </c>
      <c r="G908" s="32" t="str">
        <f>IFERROR(__xludf.DUMMYFUNCTION("""COMPUTED_VALUE"""),"")</f>
        <v/>
      </c>
      <c r="H908" s="32"/>
      <c r="I908" s="32"/>
      <c r="J908" s="32"/>
      <c r="K908" s="32"/>
      <c r="L908" s="32"/>
      <c r="M908" s="32"/>
      <c r="N908" s="32"/>
      <c r="O908" s="32"/>
      <c r="P908" s="32"/>
      <c r="Q908" s="32"/>
      <c r="R908" s="32"/>
      <c r="S908" s="32"/>
      <c r="T908" s="32"/>
      <c r="U908" s="32"/>
      <c r="V908" s="32"/>
      <c r="W908" s="32"/>
      <c r="X908" s="32"/>
      <c r="Y908" s="32"/>
      <c r="Z908" s="32"/>
    </row>
    <row r="909">
      <c r="A909" s="32"/>
      <c r="B909" s="32" t="str">
        <f>IFERROR(__xludf.DUMMYFUNCTION("""COMPUTED_VALUE"""),"")</f>
        <v/>
      </c>
      <c r="C909" s="32" t="str">
        <f>IFERROR(__xludf.DUMMYFUNCTION("""COMPUTED_VALUE"""),"")</f>
        <v/>
      </c>
      <c r="D909" s="32" t="str">
        <f>IFERROR(__xludf.DUMMYFUNCTION("""COMPUTED_VALUE"""),"")</f>
        <v/>
      </c>
      <c r="E909" s="32" t="str">
        <f>IFERROR(__xludf.DUMMYFUNCTION("""COMPUTED_VALUE"""),"")</f>
        <v/>
      </c>
      <c r="F909" s="32" t="str">
        <f>IFERROR(__xludf.DUMMYFUNCTION("""COMPUTED_VALUE"""),"")</f>
        <v/>
      </c>
      <c r="G909" s="32" t="str">
        <f>IFERROR(__xludf.DUMMYFUNCTION("""COMPUTED_VALUE"""),"")</f>
        <v/>
      </c>
      <c r="H909" s="32"/>
      <c r="I909" s="32"/>
      <c r="J909" s="32"/>
      <c r="K909" s="32"/>
      <c r="L909" s="32"/>
      <c r="M909" s="32"/>
      <c r="N909" s="32"/>
      <c r="O909" s="32"/>
      <c r="P909" s="32"/>
      <c r="Q909" s="32"/>
      <c r="R909" s="32"/>
      <c r="S909" s="32"/>
      <c r="T909" s="32"/>
      <c r="U909" s="32"/>
      <c r="V909" s="32"/>
      <c r="W909" s="32"/>
      <c r="X909" s="32"/>
      <c r="Y909" s="32"/>
      <c r="Z909" s="32"/>
    </row>
    <row r="910">
      <c r="A910" s="32"/>
      <c r="B910" s="32" t="str">
        <f>IFERROR(__xludf.DUMMYFUNCTION("""COMPUTED_VALUE"""),"")</f>
        <v/>
      </c>
      <c r="C910" s="32" t="str">
        <f>IFERROR(__xludf.DUMMYFUNCTION("""COMPUTED_VALUE"""),"")</f>
        <v/>
      </c>
      <c r="D910" s="32" t="str">
        <f>IFERROR(__xludf.DUMMYFUNCTION("""COMPUTED_VALUE"""),"")</f>
        <v/>
      </c>
      <c r="E910" s="32" t="str">
        <f>IFERROR(__xludf.DUMMYFUNCTION("""COMPUTED_VALUE"""),"")</f>
        <v/>
      </c>
      <c r="F910" s="32" t="str">
        <f>IFERROR(__xludf.DUMMYFUNCTION("""COMPUTED_VALUE"""),"")</f>
        <v/>
      </c>
      <c r="G910" s="32" t="str">
        <f>IFERROR(__xludf.DUMMYFUNCTION("""COMPUTED_VALUE"""),"")</f>
        <v/>
      </c>
      <c r="H910" s="32"/>
      <c r="I910" s="32"/>
      <c r="J910" s="32"/>
      <c r="K910" s="32"/>
      <c r="L910" s="32"/>
      <c r="M910" s="32"/>
      <c r="N910" s="32"/>
      <c r="O910" s="32"/>
      <c r="P910" s="32"/>
      <c r="Q910" s="32"/>
      <c r="R910" s="32"/>
      <c r="S910" s="32"/>
      <c r="T910" s="32"/>
      <c r="U910" s="32"/>
      <c r="V910" s="32"/>
      <c r="W910" s="32"/>
      <c r="X910" s="32"/>
      <c r="Y910" s="32"/>
      <c r="Z910" s="32"/>
    </row>
    <row r="911">
      <c r="A911" s="32"/>
      <c r="B911" s="32" t="str">
        <f>IFERROR(__xludf.DUMMYFUNCTION("""COMPUTED_VALUE"""),"")</f>
        <v/>
      </c>
      <c r="C911" s="32" t="str">
        <f>IFERROR(__xludf.DUMMYFUNCTION("""COMPUTED_VALUE"""),"")</f>
        <v/>
      </c>
      <c r="D911" s="32" t="str">
        <f>IFERROR(__xludf.DUMMYFUNCTION("""COMPUTED_VALUE"""),"")</f>
        <v/>
      </c>
      <c r="E911" s="32" t="str">
        <f>IFERROR(__xludf.DUMMYFUNCTION("""COMPUTED_VALUE"""),"")</f>
        <v/>
      </c>
      <c r="F911" s="32" t="str">
        <f>IFERROR(__xludf.DUMMYFUNCTION("""COMPUTED_VALUE"""),"")</f>
        <v/>
      </c>
      <c r="G911" s="32" t="str">
        <f>IFERROR(__xludf.DUMMYFUNCTION("""COMPUTED_VALUE"""),"")</f>
        <v/>
      </c>
      <c r="H911" s="32"/>
      <c r="I911" s="32"/>
      <c r="J911" s="32"/>
      <c r="K911" s="32"/>
      <c r="L911" s="32"/>
      <c r="M911" s="32"/>
      <c r="N911" s="32"/>
      <c r="O911" s="32"/>
      <c r="P911" s="32"/>
      <c r="Q911" s="32"/>
      <c r="R911" s="32"/>
      <c r="S911" s="32"/>
      <c r="T911" s="32"/>
      <c r="U911" s="32"/>
      <c r="V911" s="32"/>
      <c r="W911" s="32"/>
      <c r="X911" s="32"/>
      <c r="Y911" s="32"/>
      <c r="Z911" s="32"/>
    </row>
    <row r="912">
      <c r="A912" s="32"/>
      <c r="B912" s="32" t="str">
        <f>IFERROR(__xludf.DUMMYFUNCTION("""COMPUTED_VALUE"""),"")</f>
        <v/>
      </c>
      <c r="C912" s="32" t="str">
        <f>IFERROR(__xludf.DUMMYFUNCTION("""COMPUTED_VALUE"""),"")</f>
        <v/>
      </c>
      <c r="D912" s="32" t="str">
        <f>IFERROR(__xludf.DUMMYFUNCTION("""COMPUTED_VALUE"""),"")</f>
        <v/>
      </c>
      <c r="E912" s="32" t="str">
        <f>IFERROR(__xludf.DUMMYFUNCTION("""COMPUTED_VALUE"""),"")</f>
        <v/>
      </c>
      <c r="F912" s="32" t="str">
        <f>IFERROR(__xludf.DUMMYFUNCTION("""COMPUTED_VALUE"""),"")</f>
        <v/>
      </c>
      <c r="G912" s="32" t="str">
        <f>IFERROR(__xludf.DUMMYFUNCTION("""COMPUTED_VALUE"""),"")</f>
        <v/>
      </c>
      <c r="H912" s="32"/>
      <c r="I912" s="32"/>
      <c r="J912" s="32"/>
      <c r="K912" s="32"/>
      <c r="L912" s="32"/>
      <c r="M912" s="32"/>
      <c r="N912" s="32"/>
      <c r="O912" s="32"/>
      <c r="P912" s="32"/>
      <c r="Q912" s="32"/>
      <c r="R912" s="32"/>
      <c r="S912" s="32"/>
      <c r="T912" s="32"/>
      <c r="U912" s="32"/>
      <c r="V912" s="32"/>
      <c r="W912" s="32"/>
      <c r="X912" s="32"/>
      <c r="Y912" s="32"/>
      <c r="Z912" s="32"/>
    </row>
    <row r="913">
      <c r="A913" s="32"/>
      <c r="B913" s="32" t="str">
        <f>IFERROR(__xludf.DUMMYFUNCTION("""COMPUTED_VALUE"""),"")</f>
        <v/>
      </c>
      <c r="C913" s="32" t="str">
        <f>IFERROR(__xludf.DUMMYFUNCTION("""COMPUTED_VALUE"""),"")</f>
        <v/>
      </c>
      <c r="D913" s="32" t="str">
        <f>IFERROR(__xludf.DUMMYFUNCTION("""COMPUTED_VALUE"""),"")</f>
        <v/>
      </c>
      <c r="E913" s="32" t="str">
        <f>IFERROR(__xludf.DUMMYFUNCTION("""COMPUTED_VALUE"""),"")</f>
        <v/>
      </c>
      <c r="F913" s="32" t="str">
        <f>IFERROR(__xludf.DUMMYFUNCTION("""COMPUTED_VALUE"""),"")</f>
        <v/>
      </c>
      <c r="G913" s="32" t="str">
        <f>IFERROR(__xludf.DUMMYFUNCTION("""COMPUTED_VALUE"""),"")</f>
        <v/>
      </c>
      <c r="H913" s="32"/>
      <c r="I913" s="32"/>
      <c r="J913" s="32"/>
      <c r="K913" s="32"/>
      <c r="L913" s="32"/>
      <c r="M913" s="32"/>
      <c r="N913" s="32"/>
      <c r="O913" s="32"/>
      <c r="P913" s="32"/>
      <c r="Q913" s="32"/>
      <c r="R913" s="32"/>
      <c r="S913" s="32"/>
      <c r="T913" s="32"/>
      <c r="U913" s="32"/>
      <c r="V913" s="32"/>
      <c r="W913" s="32"/>
      <c r="X913" s="32"/>
      <c r="Y913" s="32"/>
      <c r="Z913" s="32"/>
    </row>
    <row r="914">
      <c r="A914" s="32"/>
      <c r="B914" s="32" t="str">
        <f>IFERROR(__xludf.DUMMYFUNCTION("""COMPUTED_VALUE"""),"")</f>
        <v/>
      </c>
      <c r="C914" s="32" t="str">
        <f>IFERROR(__xludf.DUMMYFUNCTION("""COMPUTED_VALUE"""),"")</f>
        <v/>
      </c>
      <c r="D914" s="32" t="str">
        <f>IFERROR(__xludf.DUMMYFUNCTION("""COMPUTED_VALUE"""),"")</f>
        <v/>
      </c>
      <c r="E914" s="32" t="str">
        <f>IFERROR(__xludf.DUMMYFUNCTION("""COMPUTED_VALUE"""),"")</f>
        <v/>
      </c>
      <c r="F914" s="32" t="str">
        <f>IFERROR(__xludf.DUMMYFUNCTION("""COMPUTED_VALUE"""),"")</f>
        <v/>
      </c>
      <c r="G914" s="32" t="str">
        <f>IFERROR(__xludf.DUMMYFUNCTION("""COMPUTED_VALUE"""),"")</f>
        <v/>
      </c>
      <c r="H914" s="32"/>
      <c r="I914" s="32"/>
      <c r="J914" s="32"/>
      <c r="K914" s="32"/>
      <c r="L914" s="32"/>
      <c r="M914" s="32"/>
      <c r="N914" s="32"/>
      <c r="O914" s="32"/>
      <c r="P914" s="32"/>
      <c r="Q914" s="32"/>
      <c r="R914" s="32"/>
      <c r="S914" s="32"/>
      <c r="T914" s="32"/>
      <c r="U914" s="32"/>
      <c r="V914" s="32"/>
      <c r="W914" s="32"/>
      <c r="X914" s="32"/>
      <c r="Y914" s="32"/>
      <c r="Z914" s="32"/>
    </row>
    <row r="915">
      <c r="A915" s="32"/>
      <c r="B915" s="32" t="str">
        <f>IFERROR(__xludf.DUMMYFUNCTION("""COMPUTED_VALUE"""),"")</f>
        <v/>
      </c>
      <c r="C915" s="32" t="str">
        <f>IFERROR(__xludf.DUMMYFUNCTION("""COMPUTED_VALUE"""),"")</f>
        <v/>
      </c>
      <c r="D915" s="32" t="str">
        <f>IFERROR(__xludf.DUMMYFUNCTION("""COMPUTED_VALUE"""),"")</f>
        <v/>
      </c>
      <c r="E915" s="32" t="str">
        <f>IFERROR(__xludf.DUMMYFUNCTION("""COMPUTED_VALUE"""),"")</f>
        <v/>
      </c>
      <c r="F915" s="32" t="str">
        <f>IFERROR(__xludf.DUMMYFUNCTION("""COMPUTED_VALUE"""),"")</f>
        <v/>
      </c>
      <c r="G915" s="32" t="str">
        <f>IFERROR(__xludf.DUMMYFUNCTION("""COMPUTED_VALUE"""),"")</f>
        <v/>
      </c>
      <c r="H915" s="32"/>
      <c r="I915" s="32"/>
      <c r="J915" s="32"/>
      <c r="K915" s="32"/>
      <c r="L915" s="32"/>
      <c r="M915" s="32"/>
      <c r="N915" s="32"/>
      <c r="O915" s="32"/>
      <c r="P915" s="32"/>
      <c r="Q915" s="32"/>
      <c r="R915" s="32"/>
      <c r="S915" s="32"/>
      <c r="T915" s="32"/>
      <c r="U915" s="32"/>
      <c r="V915" s="32"/>
      <c r="W915" s="32"/>
      <c r="X915" s="32"/>
      <c r="Y915" s="32"/>
      <c r="Z915" s="32"/>
    </row>
    <row r="916">
      <c r="A916" s="32"/>
      <c r="B916" s="32" t="str">
        <f>IFERROR(__xludf.DUMMYFUNCTION("""COMPUTED_VALUE"""),"")</f>
        <v/>
      </c>
      <c r="C916" s="32" t="str">
        <f>IFERROR(__xludf.DUMMYFUNCTION("""COMPUTED_VALUE"""),"")</f>
        <v/>
      </c>
      <c r="D916" s="32" t="str">
        <f>IFERROR(__xludf.DUMMYFUNCTION("""COMPUTED_VALUE"""),"")</f>
        <v/>
      </c>
      <c r="E916" s="32" t="str">
        <f>IFERROR(__xludf.DUMMYFUNCTION("""COMPUTED_VALUE"""),"")</f>
        <v/>
      </c>
      <c r="F916" s="32" t="str">
        <f>IFERROR(__xludf.DUMMYFUNCTION("""COMPUTED_VALUE"""),"")</f>
        <v/>
      </c>
      <c r="G916" s="32" t="str">
        <f>IFERROR(__xludf.DUMMYFUNCTION("""COMPUTED_VALUE"""),"")</f>
        <v/>
      </c>
      <c r="H916" s="32"/>
      <c r="I916" s="32"/>
      <c r="J916" s="32"/>
      <c r="K916" s="32"/>
      <c r="L916" s="32"/>
      <c r="M916" s="32"/>
      <c r="N916" s="32"/>
      <c r="O916" s="32"/>
      <c r="P916" s="32"/>
      <c r="Q916" s="32"/>
      <c r="R916" s="32"/>
      <c r="S916" s="32"/>
      <c r="T916" s="32"/>
      <c r="U916" s="32"/>
      <c r="V916" s="32"/>
      <c r="W916" s="32"/>
      <c r="X916" s="32"/>
      <c r="Y916" s="32"/>
      <c r="Z916" s="32"/>
    </row>
    <row r="917">
      <c r="A917" s="32"/>
      <c r="B917" s="32" t="str">
        <f>IFERROR(__xludf.DUMMYFUNCTION("""COMPUTED_VALUE"""),"")</f>
        <v/>
      </c>
      <c r="C917" s="32" t="str">
        <f>IFERROR(__xludf.DUMMYFUNCTION("""COMPUTED_VALUE"""),"")</f>
        <v/>
      </c>
      <c r="D917" s="32" t="str">
        <f>IFERROR(__xludf.DUMMYFUNCTION("""COMPUTED_VALUE"""),"")</f>
        <v/>
      </c>
      <c r="E917" s="32" t="str">
        <f>IFERROR(__xludf.DUMMYFUNCTION("""COMPUTED_VALUE"""),"")</f>
        <v/>
      </c>
      <c r="F917" s="32" t="str">
        <f>IFERROR(__xludf.DUMMYFUNCTION("""COMPUTED_VALUE"""),"")</f>
        <v/>
      </c>
      <c r="G917" s="32" t="str">
        <f>IFERROR(__xludf.DUMMYFUNCTION("""COMPUTED_VALUE"""),"")</f>
        <v/>
      </c>
      <c r="H917" s="32"/>
      <c r="I917" s="32"/>
      <c r="J917" s="32"/>
      <c r="K917" s="32"/>
      <c r="L917" s="32"/>
      <c r="M917" s="32"/>
      <c r="N917" s="32"/>
      <c r="O917" s="32"/>
      <c r="P917" s="32"/>
      <c r="Q917" s="32"/>
      <c r="R917" s="32"/>
      <c r="S917" s="32"/>
      <c r="T917" s="32"/>
      <c r="U917" s="32"/>
      <c r="V917" s="32"/>
      <c r="W917" s="32"/>
      <c r="X917" s="32"/>
      <c r="Y917" s="32"/>
      <c r="Z917" s="32"/>
    </row>
    <row r="918">
      <c r="A918" s="32"/>
      <c r="B918" s="32" t="str">
        <f>IFERROR(__xludf.DUMMYFUNCTION("""COMPUTED_VALUE"""),"")</f>
        <v/>
      </c>
      <c r="C918" s="32" t="str">
        <f>IFERROR(__xludf.DUMMYFUNCTION("""COMPUTED_VALUE"""),"")</f>
        <v/>
      </c>
      <c r="D918" s="32" t="str">
        <f>IFERROR(__xludf.DUMMYFUNCTION("""COMPUTED_VALUE"""),"")</f>
        <v/>
      </c>
      <c r="E918" s="32" t="str">
        <f>IFERROR(__xludf.DUMMYFUNCTION("""COMPUTED_VALUE"""),"")</f>
        <v/>
      </c>
      <c r="F918" s="32" t="str">
        <f>IFERROR(__xludf.DUMMYFUNCTION("""COMPUTED_VALUE"""),"")</f>
        <v/>
      </c>
      <c r="G918" s="32" t="str">
        <f>IFERROR(__xludf.DUMMYFUNCTION("""COMPUTED_VALUE"""),"")</f>
        <v/>
      </c>
      <c r="H918" s="32"/>
      <c r="I918" s="32"/>
      <c r="J918" s="32"/>
      <c r="K918" s="32"/>
      <c r="L918" s="32"/>
      <c r="M918" s="32"/>
      <c r="N918" s="32"/>
      <c r="O918" s="32"/>
      <c r="P918" s="32"/>
      <c r="Q918" s="32"/>
      <c r="R918" s="32"/>
      <c r="S918" s="32"/>
      <c r="T918" s="32"/>
      <c r="U918" s="32"/>
      <c r="V918" s="32"/>
      <c r="W918" s="32"/>
      <c r="X918" s="32"/>
      <c r="Y918" s="32"/>
      <c r="Z918" s="32"/>
    </row>
    <row r="919">
      <c r="A919" s="32"/>
      <c r="B919" s="32" t="str">
        <f>IFERROR(__xludf.DUMMYFUNCTION("""COMPUTED_VALUE"""),"")</f>
        <v/>
      </c>
      <c r="C919" s="32" t="str">
        <f>IFERROR(__xludf.DUMMYFUNCTION("""COMPUTED_VALUE"""),"")</f>
        <v/>
      </c>
      <c r="D919" s="32" t="str">
        <f>IFERROR(__xludf.DUMMYFUNCTION("""COMPUTED_VALUE"""),"")</f>
        <v/>
      </c>
      <c r="E919" s="32" t="str">
        <f>IFERROR(__xludf.DUMMYFUNCTION("""COMPUTED_VALUE"""),"")</f>
        <v/>
      </c>
      <c r="F919" s="32" t="str">
        <f>IFERROR(__xludf.DUMMYFUNCTION("""COMPUTED_VALUE"""),"")</f>
        <v/>
      </c>
      <c r="G919" s="32" t="str">
        <f>IFERROR(__xludf.DUMMYFUNCTION("""COMPUTED_VALUE"""),"")</f>
        <v/>
      </c>
      <c r="H919" s="32"/>
      <c r="I919" s="32"/>
      <c r="J919" s="32"/>
      <c r="K919" s="32"/>
      <c r="L919" s="32"/>
      <c r="M919" s="32"/>
      <c r="N919" s="32"/>
      <c r="O919" s="32"/>
      <c r="P919" s="32"/>
      <c r="Q919" s="32"/>
      <c r="R919" s="32"/>
      <c r="S919" s="32"/>
      <c r="T919" s="32"/>
      <c r="U919" s="32"/>
      <c r="V919" s="32"/>
      <c r="W919" s="32"/>
      <c r="X919" s="32"/>
      <c r="Y919" s="32"/>
      <c r="Z919" s="32"/>
    </row>
    <row r="920">
      <c r="A920" s="32"/>
      <c r="B920" s="32" t="str">
        <f>IFERROR(__xludf.DUMMYFUNCTION("""COMPUTED_VALUE"""),"")</f>
        <v/>
      </c>
      <c r="C920" s="32" t="str">
        <f>IFERROR(__xludf.DUMMYFUNCTION("""COMPUTED_VALUE"""),"")</f>
        <v/>
      </c>
      <c r="D920" s="32" t="str">
        <f>IFERROR(__xludf.DUMMYFUNCTION("""COMPUTED_VALUE"""),"")</f>
        <v/>
      </c>
      <c r="E920" s="32" t="str">
        <f>IFERROR(__xludf.DUMMYFUNCTION("""COMPUTED_VALUE"""),"")</f>
        <v/>
      </c>
      <c r="F920" s="32" t="str">
        <f>IFERROR(__xludf.DUMMYFUNCTION("""COMPUTED_VALUE"""),"")</f>
        <v/>
      </c>
      <c r="G920" s="32" t="str">
        <f>IFERROR(__xludf.DUMMYFUNCTION("""COMPUTED_VALUE"""),"")</f>
        <v/>
      </c>
      <c r="H920" s="32"/>
      <c r="I920" s="32"/>
      <c r="J920" s="32"/>
      <c r="K920" s="32"/>
      <c r="L920" s="32"/>
      <c r="M920" s="32"/>
      <c r="N920" s="32"/>
      <c r="O920" s="32"/>
      <c r="P920" s="32"/>
      <c r="Q920" s="32"/>
      <c r="R920" s="32"/>
      <c r="S920" s="32"/>
      <c r="T920" s="32"/>
      <c r="U920" s="32"/>
      <c r="V920" s="32"/>
      <c r="W920" s="32"/>
      <c r="X920" s="32"/>
      <c r="Y920" s="32"/>
      <c r="Z920" s="32"/>
    </row>
    <row r="921">
      <c r="A921" s="32"/>
      <c r="B921" s="32" t="str">
        <f>IFERROR(__xludf.DUMMYFUNCTION("""COMPUTED_VALUE"""),"")</f>
        <v/>
      </c>
      <c r="C921" s="32" t="str">
        <f>IFERROR(__xludf.DUMMYFUNCTION("""COMPUTED_VALUE"""),"")</f>
        <v/>
      </c>
      <c r="D921" s="32" t="str">
        <f>IFERROR(__xludf.DUMMYFUNCTION("""COMPUTED_VALUE"""),"")</f>
        <v/>
      </c>
      <c r="E921" s="32" t="str">
        <f>IFERROR(__xludf.DUMMYFUNCTION("""COMPUTED_VALUE"""),"")</f>
        <v/>
      </c>
      <c r="F921" s="32" t="str">
        <f>IFERROR(__xludf.DUMMYFUNCTION("""COMPUTED_VALUE"""),"")</f>
        <v/>
      </c>
      <c r="G921" s="32" t="str">
        <f>IFERROR(__xludf.DUMMYFUNCTION("""COMPUTED_VALUE"""),"")</f>
        <v/>
      </c>
      <c r="H921" s="32"/>
      <c r="I921" s="32"/>
      <c r="J921" s="32"/>
      <c r="K921" s="32"/>
      <c r="L921" s="32"/>
      <c r="M921" s="32"/>
      <c r="N921" s="32"/>
      <c r="O921" s="32"/>
      <c r="P921" s="32"/>
      <c r="Q921" s="32"/>
      <c r="R921" s="32"/>
      <c r="S921" s="32"/>
      <c r="T921" s="32"/>
      <c r="U921" s="32"/>
      <c r="V921" s="32"/>
      <c r="W921" s="32"/>
      <c r="X921" s="32"/>
      <c r="Y921" s="32"/>
      <c r="Z921" s="32"/>
    </row>
    <row r="922">
      <c r="A922" s="32"/>
      <c r="B922" s="32" t="str">
        <f>IFERROR(__xludf.DUMMYFUNCTION("""COMPUTED_VALUE"""),"")</f>
        <v/>
      </c>
      <c r="C922" s="32" t="str">
        <f>IFERROR(__xludf.DUMMYFUNCTION("""COMPUTED_VALUE"""),"")</f>
        <v/>
      </c>
      <c r="D922" s="32" t="str">
        <f>IFERROR(__xludf.DUMMYFUNCTION("""COMPUTED_VALUE"""),"")</f>
        <v/>
      </c>
      <c r="E922" s="32" t="str">
        <f>IFERROR(__xludf.DUMMYFUNCTION("""COMPUTED_VALUE"""),"")</f>
        <v/>
      </c>
      <c r="F922" s="32" t="str">
        <f>IFERROR(__xludf.DUMMYFUNCTION("""COMPUTED_VALUE"""),"")</f>
        <v/>
      </c>
      <c r="G922" s="32" t="str">
        <f>IFERROR(__xludf.DUMMYFUNCTION("""COMPUTED_VALUE"""),"")</f>
        <v/>
      </c>
      <c r="H922" s="32"/>
      <c r="I922" s="32"/>
      <c r="J922" s="32"/>
      <c r="K922" s="32"/>
      <c r="L922" s="32"/>
      <c r="M922" s="32"/>
      <c r="N922" s="32"/>
      <c r="O922" s="32"/>
      <c r="P922" s="32"/>
      <c r="Q922" s="32"/>
      <c r="R922" s="32"/>
      <c r="S922" s="32"/>
      <c r="T922" s="32"/>
      <c r="U922" s="32"/>
      <c r="V922" s="32"/>
      <c r="W922" s="32"/>
      <c r="X922" s="32"/>
      <c r="Y922" s="32"/>
      <c r="Z922" s="32"/>
    </row>
    <row r="923">
      <c r="A923" s="32"/>
      <c r="B923" s="32" t="str">
        <f>IFERROR(__xludf.DUMMYFUNCTION("""COMPUTED_VALUE"""),"")</f>
        <v/>
      </c>
      <c r="C923" s="32" t="str">
        <f>IFERROR(__xludf.DUMMYFUNCTION("""COMPUTED_VALUE"""),"")</f>
        <v/>
      </c>
      <c r="D923" s="32" t="str">
        <f>IFERROR(__xludf.DUMMYFUNCTION("""COMPUTED_VALUE"""),"")</f>
        <v/>
      </c>
      <c r="E923" s="32" t="str">
        <f>IFERROR(__xludf.DUMMYFUNCTION("""COMPUTED_VALUE"""),"")</f>
        <v/>
      </c>
      <c r="F923" s="32" t="str">
        <f>IFERROR(__xludf.DUMMYFUNCTION("""COMPUTED_VALUE"""),"")</f>
        <v/>
      </c>
      <c r="G923" s="32" t="str">
        <f>IFERROR(__xludf.DUMMYFUNCTION("""COMPUTED_VALUE"""),"")</f>
        <v/>
      </c>
      <c r="H923" s="32"/>
      <c r="I923" s="32"/>
      <c r="J923" s="32"/>
      <c r="K923" s="32"/>
      <c r="L923" s="32"/>
      <c r="M923" s="32"/>
      <c r="N923" s="32"/>
      <c r="O923" s="32"/>
      <c r="P923" s="32"/>
      <c r="Q923" s="32"/>
      <c r="R923" s="32"/>
      <c r="S923" s="32"/>
      <c r="T923" s="32"/>
      <c r="U923" s="32"/>
      <c r="V923" s="32"/>
      <c r="W923" s="32"/>
      <c r="X923" s="32"/>
      <c r="Y923" s="32"/>
      <c r="Z923" s="32"/>
    </row>
    <row r="924">
      <c r="A924" s="32"/>
      <c r="B924" s="32" t="str">
        <f>IFERROR(__xludf.DUMMYFUNCTION("""COMPUTED_VALUE"""),"")</f>
        <v/>
      </c>
      <c r="C924" s="32" t="str">
        <f>IFERROR(__xludf.DUMMYFUNCTION("""COMPUTED_VALUE"""),"")</f>
        <v/>
      </c>
      <c r="D924" s="32" t="str">
        <f>IFERROR(__xludf.DUMMYFUNCTION("""COMPUTED_VALUE"""),"")</f>
        <v/>
      </c>
      <c r="E924" s="32" t="str">
        <f>IFERROR(__xludf.DUMMYFUNCTION("""COMPUTED_VALUE"""),"")</f>
        <v/>
      </c>
      <c r="F924" s="32" t="str">
        <f>IFERROR(__xludf.DUMMYFUNCTION("""COMPUTED_VALUE"""),"")</f>
        <v/>
      </c>
      <c r="G924" s="32" t="str">
        <f>IFERROR(__xludf.DUMMYFUNCTION("""COMPUTED_VALUE"""),"")</f>
        <v/>
      </c>
      <c r="H924" s="32"/>
      <c r="I924" s="32"/>
      <c r="J924" s="32"/>
      <c r="K924" s="32"/>
      <c r="L924" s="32"/>
      <c r="M924" s="32"/>
      <c r="N924" s="32"/>
      <c r="O924" s="32"/>
      <c r="P924" s="32"/>
      <c r="Q924" s="32"/>
      <c r="R924" s="32"/>
      <c r="S924" s="32"/>
      <c r="T924" s="32"/>
      <c r="U924" s="32"/>
      <c r="V924" s="32"/>
      <c r="W924" s="32"/>
      <c r="X924" s="32"/>
      <c r="Y924" s="32"/>
      <c r="Z924" s="32"/>
    </row>
    <row r="925">
      <c r="A925" s="32"/>
      <c r="B925" s="32" t="str">
        <f>IFERROR(__xludf.DUMMYFUNCTION("""COMPUTED_VALUE"""),"")</f>
        <v/>
      </c>
      <c r="C925" s="32" t="str">
        <f>IFERROR(__xludf.DUMMYFUNCTION("""COMPUTED_VALUE"""),"")</f>
        <v/>
      </c>
      <c r="D925" s="32" t="str">
        <f>IFERROR(__xludf.DUMMYFUNCTION("""COMPUTED_VALUE"""),"")</f>
        <v/>
      </c>
      <c r="E925" s="32" t="str">
        <f>IFERROR(__xludf.DUMMYFUNCTION("""COMPUTED_VALUE"""),"")</f>
        <v/>
      </c>
      <c r="F925" s="32" t="str">
        <f>IFERROR(__xludf.DUMMYFUNCTION("""COMPUTED_VALUE"""),"")</f>
        <v/>
      </c>
      <c r="G925" s="32" t="str">
        <f>IFERROR(__xludf.DUMMYFUNCTION("""COMPUTED_VALUE"""),"")</f>
        <v/>
      </c>
      <c r="H925" s="32"/>
      <c r="I925" s="32"/>
      <c r="J925" s="32"/>
      <c r="K925" s="32"/>
      <c r="L925" s="32"/>
      <c r="M925" s="32"/>
      <c r="N925" s="32"/>
      <c r="O925" s="32"/>
      <c r="P925" s="32"/>
      <c r="Q925" s="32"/>
      <c r="R925" s="32"/>
      <c r="S925" s="32"/>
      <c r="T925" s="32"/>
      <c r="U925" s="32"/>
      <c r="V925" s="32"/>
      <c r="W925" s="32"/>
      <c r="X925" s="32"/>
      <c r="Y925" s="32"/>
      <c r="Z925" s="32"/>
    </row>
    <row r="926">
      <c r="A926" s="32"/>
      <c r="B926" s="32" t="str">
        <f>IFERROR(__xludf.DUMMYFUNCTION("""COMPUTED_VALUE"""),"")</f>
        <v/>
      </c>
      <c r="C926" s="32" t="str">
        <f>IFERROR(__xludf.DUMMYFUNCTION("""COMPUTED_VALUE"""),"")</f>
        <v/>
      </c>
      <c r="D926" s="32" t="str">
        <f>IFERROR(__xludf.DUMMYFUNCTION("""COMPUTED_VALUE"""),"")</f>
        <v/>
      </c>
      <c r="E926" s="32" t="str">
        <f>IFERROR(__xludf.DUMMYFUNCTION("""COMPUTED_VALUE"""),"")</f>
        <v/>
      </c>
      <c r="F926" s="32" t="str">
        <f>IFERROR(__xludf.DUMMYFUNCTION("""COMPUTED_VALUE"""),"")</f>
        <v/>
      </c>
      <c r="G926" s="32" t="str">
        <f>IFERROR(__xludf.DUMMYFUNCTION("""COMPUTED_VALUE"""),"")</f>
        <v/>
      </c>
      <c r="H926" s="32"/>
      <c r="I926" s="32"/>
      <c r="J926" s="32"/>
      <c r="K926" s="32"/>
      <c r="L926" s="32"/>
      <c r="M926" s="32"/>
      <c r="N926" s="32"/>
      <c r="O926" s="32"/>
      <c r="P926" s="32"/>
      <c r="Q926" s="32"/>
      <c r="R926" s="32"/>
      <c r="S926" s="32"/>
      <c r="T926" s="32"/>
      <c r="U926" s="32"/>
      <c r="V926" s="32"/>
      <c r="W926" s="32"/>
      <c r="X926" s="32"/>
      <c r="Y926" s="32"/>
      <c r="Z926" s="32"/>
    </row>
    <row r="927">
      <c r="A927" s="32"/>
      <c r="B927" s="32" t="str">
        <f>IFERROR(__xludf.DUMMYFUNCTION("""COMPUTED_VALUE"""),"")</f>
        <v/>
      </c>
      <c r="C927" s="32" t="str">
        <f>IFERROR(__xludf.DUMMYFUNCTION("""COMPUTED_VALUE"""),"")</f>
        <v/>
      </c>
      <c r="D927" s="32" t="str">
        <f>IFERROR(__xludf.DUMMYFUNCTION("""COMPUTED_VALUE"""),"")</f>
        <v/>
      </c>
      <c r="E927" s="32" t="str">
        <f>IFERROR(__xludf.DUMMYFUNCTION("""COMPUTED_VALUE"""),"")</f>
        <v/>
      </c>
      <c r="F927" s="32" t="str">
        <f>IFERROR(__xludf.DUMMYFUNCTION("""COMPUTED_VALUE"""),"")</f>
        <v/>
      </c>
      <c r="G927" s="32" t="str">
        <f>IFERROR(__xludf.DUMMYFUNCTION("""COMPUTED_VALUE"""),"")</f>
        <v/>
      </c>
      <c r="H927" s="32"/>
      <c r="I927" s="32"/>
      <c r="J927" s="32"/>
      <c r="K927" s="32"/>
      <c r="L927" s="32"/>
      <c r="M927" s="32"/>
      <c r="N927" s="32"/>
      <c r="O927" s="32"/>
      <c r="P927" s="32"/>
      <c r="Q927" s="32"/>
      <c r="R927" s="32"/>
      <c r="S927" s="32"/>
      <c r="T927" s="32"/>
      <c r="U927" s="32"/>
      <c r="V927" s="32"/>
      <c r="W927" s="32"/>
      <c r="X927" s="32"/>
      <c r="Y927" s="32"/>
      <c r="Z927" s="32"/>
    </row>
    <row r="928">
      <c r="A928" s="32"/>
      <c r="B928" s="32" t="str">
        <f>IFERROR(__xludf.DUMMYFUNCTION("""COMPUTED_VALUE"""),"")</f>
        <v/>
      </c>
      <c r="C928" s="32" t="str">
        <f>IFERROR(__xludf.DUMMYFUNCTION("""COMPUTED_VALUE"""),"")</f>
        <v/>
      </c>
      <c r="D928" s="32" t="str">
        <f>IFERROR(__xludf.DUMMYFUNCTION("""COMPUTED_VALUE"""),"")</f>
        <v/>
      </c>
      <c r="E928" s="32" t="str">
        <f>IFERROR(__xludf.DUMMYFUNCTION("""COMPUTED_VALUE"""),"")</f>
        <v/>
      </c>
      <c r="F928" s="32" t="str">
        <f>IFERROR(__xludf.DUMMYFUNCTION("""COMPUTED_VALUE"""),"")</f>
        <v/>
      </c>
      <c r="G928" s="32" t="str">
        <f>IFERROR(__xludf.DUMMYFUNCTION("""COMPUTED_VALUE"""),"")</f>
        <v/>
      </c>
      <c r="H928" s="32"/>
      <c r="I928" s="32"/>
      <c r="J928" s="32"/>
      <c r="K928" s="32"/>
      <c r="L928" s="32"/>
      <c r="M928" s="32"/>
      <c r="N928" s="32"/>
      <c r="O928" s="32"/>
      <c r="P928" s="32"/>
      <c r="Q928" s="32"/>
      <c r="R928" s="32"/>
      <c r="S928" s="32"/>
      <c r="T928" s="32"/>
      <c r="U928" s="32"/>
      <c r="V928" s="32"/>
      <c r="W928" s="32"/>
      <c r="X928" s="32"/>
      <c r="Y928" s="32"/>
      <c r="Z928" s="32"/>
    </row>
    <row r="929">
      <c r="A929" s="32"/>
      <c r="B929" s="32" t="str">
        <f>IFERROR(__xludf.DUMMYFUNCTION("""COMPUTED_VALUE"""),"")</f>
        <v/>
      </c>
      <c r="C929" s="32" t="str">
        <f>IFERROR(__xludf.DUMMYFUNCTION("""COMPUTED_VALUE"""),"")</f>
        <v/>
      </c>
      <c r="D929" s="32" t="str">
        <f>IFERROR(__xludf.DUMMYFUNCTION("""COMPUTED_VALUE"""),"")</f>
        <v/>
      </c>
      <c r="E929" s="32" t="str">
        <f>IFERROR(__xludf.DUMMYFUNCTION("""COMPUTED_VALUE"""),"")</f>
        <v/>
      </c>
      <c r="F929" s="32" t="str">
        <f>IFERROR(__xludf.DUMMYFUNCTION("""COMPUTED_VALUE"""),"")</f>
        <v/>
      </c>
      <c r="G929" s="32" t="str">
        <f>IFERROR(__xludf.DUMMYFUNCTION("""COMPUTED_VALUE"""),"")</f>
        <v/>
      </c>
      <c r="H929" s="32"/>
      <c r="I929" s="32"/>
      <c r="J929" s="32"/>
      <c r="K929" s="32"/>
      <c r="L929" s="32"/>
      <c r="M929" s="32"/>
      <c r="N929" s="32"/>
      <c r="O929" s="32"/>
      <c r="P929" s="32"/>
      <c r="Q929" s="32"/>
      <c r="R929" s="32"/>
      <c r="S929" s="32"/>
      <c r="T929" s="32"/>
      <c r="U929" s="32"/>
      <c r="V929" s="32"/>
      <c r="W929" s="32"/>
      <c r="X929" s="32"/>
      <c r="Y929" s="32"/>
      <c r="Z929" s="32"/>
    </row>
    <row r="930">
      <c r="A930" s="32"/>
      <c r="B930" s="32" t="str">
        <f>IFERROR(__xludf.DUMMYFUNCTION("""COMPUTED_VALUE"""),"")</f>
        <v/>
      </c>
      <c r="C930" s="32" t="str">
        <f>IFERROR(__xludf.DUMMYFUNCTION("""COMPUTED_VALUE"""),"")</f>
        <v/>
      </c>
      <c r="D930" s="32" t="str">
        <f>IFERROR(__xludf.DUMMYFUNCTION("""COMPUTED_VALUE"""),"")</f>
        <v/>
      </c>
      <c r="E930" s="32" t="str">
        <f>IFERROR(__xludf.DUMMYFUNCTION("""COMPUTED_VALUE"""),"")</f>
        <v/>
      </c>
      <c r="F930" s="32" t="str">
        <f>IFERROR(__xludf.DUMMYFUNCTION("""COMPUTED_VALUE"""),"")</f>
        <v/>
      </c>
      <c r="G930" s="32" t="str">
        <f>IFERROR(__xludf.DUMMYFUNCTION("""COMPUTED_VALUE"""),"")</f>
        <v/>
      </c>
      <c r="H930" s="32"/>
      <c r="I930" s="32"/>
      <c r="J930" s="32"/>
      <c r="K930" s="32"/>
      <c r="L930" s="32"/>
      <c r="M930" s="32"/>
      <c r="N930" s="32"/>
      <c r="O930" s="32"/>
      <c r="P930" s="32"/>
      <c r="Q930" s="32"/>
      <c r="R930" s="32"/>
      <c r="S930" s="32"/>
      <c r="T930" s="32"/>
      <c r="U930" s="32"/>
      <c r="V930" s="32"/>
      <c r="W930" s="32"/>
      <c r="X930" s="32"/>
      <c r="Y930" s="32"/>
      <c r="Z930" s="32"/>
    </row>
    <row r="931">
      <c r="A931" s="32"/>
      <c r="B931" s="32" t="str">
        <f>IFERROR(__xludf.DUMMYFUNCTION("""COMPUTED_VALUE"""),"")</f>
        <v/>
      </c>
      <c r="C931" s="32" t="str">
        <f>IFERROR(__xludf.DUMMYFUNCTION("""COMPUTED_VALUE"""),"")</f>
        <v/>
      </c>
      <c r="D931" s="32" t="str">
        <f>IFERROR(__xludf.DUMMYFUNCTION("""COMPUTED_VALUE"""),"")</f>
        <v/>
      </c>
      <c r="E931" s="32" t="str">
        <f>IFERROR(__xludf.DUMMYFUNCTION("""COMPUTED_VALUE"""),"")</f>
        <v/>
      </c>
      <c r="F931" s="32" t="str">
        <f>IFERROR(__xludf.DUMMYFUNCTION("""COMPUTED_VALUE"""),"")</f>
        <v/>
      </c>
      <c r="G931" s="32" t="str">
        <f>IFERROR(__xludf.DUMMYFUNCTION("""COMPUTED_VALUE"""),"")</f>
        <v/>
      </c>
      <c r="H931" s="32"/>
      <c r="I931" s="32"/>
      <c r="J931" s="32"/>
      <c r="K931" s="32"/>
      <c r="L931" s="32"/>
      <c r="M931" s="32"/>
      <c r="N931" s="32"/>
      <c r="O931" s="32"/>
      <c r="P931" s="32"/>
      <c r="Q931" s="32"/>
      <c r="R931" s="32"/>
      <c r="S931" s="32"/>
      <c r="T931" s="32"/>
      <c r="U931" s="32"/>
      <c r="V931" s="32"/>
      <c r="W931" s="32"/>
      <c r="X931" s="32"/>
      <c r="Y931" s="32"/>
      <c r="Z931" s="32"/>
    </row>
    <row r="932">
      <c r="A932" s="32"/>
      <c r="B932" s="32" t="str">
        <f>IFERROR(__xludf.DUMMYFUNCTION("""COMPUTED_VALUE"""),"")</f>
        <v/>
      </c>
      <c r="C932" s="32" t="str">
        <f>IFERROR(__xludf.DUMMYFUNCTION("""COMPUTED_VALUE"""),"")</f>
        <v/>
      </c>
      <c r="D932" s="32" t="str">
        <f>IFERROR(__xludf.DUMMYFUNCTION("""COMPUTED_VALUE"""),"")</f>
        <v/>
      </c>
      <c r="E932" s="32" t="str">
        <f>IFERROR(__xludf.DUMMYFUNCTION("""COMPUTED_VALUE"""),"")</f>
        <v/>
      </c>
      <c r="F932" s="32" t="str">
        <f>IFERROR(__xludf.DUMMYFUNCTION("""COMPUTED_VALUE"""),"")</f>
        <v/>
      </c>
      <c r="G932" s="32" t="str">
        <f>IFERROR(__xludf.DUMMYFUNCTION("""COMPUTED_VALUE"""),"")</f>
        <v/>
      </c>
      <c r="H932" s="32"/>
      <c r="I932" s="32"/>
      <c r="J932" s="32"/>
      <c r="K932" s="32"/>
      <c r="L932" s="32"/>
      <c r="M932" s="32"/>
      <c r="N932" s="32"/>
      <c r="O932" s="32"/>
      <c r="P932" s="32"/>
      <c r="Q932" s="32"/>
      <c r="R932" s="32"/>
      <c r="S932" s="32"/>
      <c r="T932" s="32"/>
      <c r="U932" s="32"/>
      <c r="V932" s="32"/>
      <c r="W932" s="32"/>
      <c r="X932" s="32"/>
      <c r="Y932" s="32"/>
      <c r="Z932" s="32"/>
    </row>
    <row r="933">
      <c r="A933" s="32"/>
      <c r="B933" s="32" t="str">
        <f>IFERROR(__xludf.DUMMYFUNCTION("""COMPUTED_VALUE"""),"")</f>
        <v/>
      </c>
      <c r="C933" s="32" t="str">
        <f>IFERROR(__xludf.DUMMYFUNCTION("""COMPUTED_VALUE"""),"")</f>
        <v/>
      </c>
      <c r="D933" s="32" t="str">
        <f>IFERROR(__xludf.DUMMYFUNCTION("""COMPUTED_VALUE"""),"")</f>
        <v/>
      </c>
      <c r="E933" s="32" t="str">
        <f>IFERROR(__xludf.DUMMYFUNCTION("""COMPUTED_VALUE"""),"")</f>
        <v/>
      </c>
      <c r="F933" s="32" t="str">
        <f>IFERROR(__xludf.DUMMYFUNCTION("""COMPUTED_VALUE"""),"")</f>
        <v/>
      </c>
      <c r="G933" s="32" t="str">
        <f>IFERROR(__xludf.DUMMYFUNCTION("""COMPUTED_VALUE"""),"")</f>
        <v/>
      </c>
      <c r="H933" s="32"/>
      <c r="I933" s="32"/>
      <c r="J933" s="32"/>
      <c r="K933" s="32"/>
      <c r="L933" s="32"/>
      <c r="M933" s="32"/>
      <c r="N933" s="32"/>
      <c r="O933" s="32"/>
      <c r="P933" s="32"/>
      <c r="Q933" s="32"/>
      <c r="R933" s="32"/>
      <c r="S933" s="32"/>
      <c r="T933" s="32"/>
      <c r="U933" s="32"/>
      <c r="V933" s="32"/>
      <c r="W933" s="32"/>
      <c r="X933" s="32"/>
      <c r="Y933" s="32"/>
      <c r="Z933" s="32"/>
    </row>
    <row r="934">
      <c r="A934" s="32"/>
      <c r="B934" s="32" t="str">
        <f>IFERROR(__xludf.DUMMYFUNCTION("""COMPUTED_VALUE"""),"")</f>
        <v/>
      </c>
      <c r="C934" s="32" t="str">
        <f>IFERROR(__xludf.DUMMYFUNCTION("""COMPUTED_VALUE"""),"")</f>
        <v/>
      </c>
      <c r="D934" s="32" t="str">
        <f>IFERROR(__xludf.DUMMYFUNCTION("""COMPUTED_VALUE"""),"")</f>
        <v/>
      </c>
      <c r="E934" s="32" t="str">
        <f>IFERROR(__xludf.DUMMYFUNCTION("""COMPUTED_VALUE"""),"")</f>
        <v/>
      </c>
      <c r="F934" s="32" t="str">
        <f>IFERROR(__xludf.DUMMYFUNCTION("""COMPUTED_VALUE"""),"")</f>
        <v/>
      </c>
      <c r="G934" s="32" t="str">
        <f>IFERROR(__xludf.DUMMYFUNCTION("""COMPUTED_VALUE"""),"")</f>
        <v/>
      </c>
      <c r="H934" s="32"/>
      <c r="I934" s="32"/>
      <c r="J934" s="32"/>
      <c r="K934" s="32"/>
      <c r="L934" s="32"/>
      <c r="M934" s="32"/>
      <c r="N934" s="32"/>
      <c r="O934" s="32"/>
      <c r="P934" s="32"/>
      <c r="Q934" s="32"/>
      <c r="R934" s="32"/>
      <c r="S934" s="32"/>
      <c r="T934" s="32"/>
      <c r="U934" s="32"/>
      <c r="V934" s="32"/>
      <c r="W934" s="32"/>
      <c r="X934" s="32"/>
      <c r="Y934" s="32"/>
      <c r="Z934" s="32"/>
    </row>
    <row r="935">
      <c r="A935" s="32"/>
      <c r="B935" s="32" t="str">
        <f>IFERROR(__xludf.DUMMYFUNCTION("""COMPUTED_VALUE"""),"")</f>
        <v/>
      </c>
      <c r="C935" s="32" t="str">
        <f>IFERROR(__xludf.DUMMYFUNCTION("""COMPUTED_VALUE"""),"")</f>
        <v/>
      </c>
      <c r="D935" s="32" t="str">
        <f>IFERROR(__xludf.DUMMYFUNCTION("""COMPUTED_VALUE"""),"")</f>
        <v/>
      </c>
      <c r="E935" s="32" t="str">
        <f>IFERROR(__xludf.DUMMYFUNCTION("""COMPUTED_VALUE"""),"")</f>
        <v/>
      </c>
      <c r="F935" s="32" t="str">
        <f>IFERROR(__xludf.DUMMYFUNCTION("""COMPUTED_VALUE"""),"")</f>
        <v/>
      </c>
      <c r="G935" s="32" t="str">
        <f>IFERROR(__xludf.DUMMYFUNCTION("""COMPUTED_VALUE"""),"")</f>
        <v/>
      </c>
      <c r="H935" s="32"/>
      <c r="I935" s="32"/>
      <c r="J935" s="32"/>
      <c r="K935" s="32"/>
      <c r="L935" s="32"/>
      <c r="M935" s="32"/>
      <c r="N935" s="32"/>
      <c r="O935" s="32"/>
      <c r="P935" s="32"/>
      <c r="Q935" s="32"/>
      <c r="R935" s="32"/>
      <c r="S935" s="32"/>
      <c r="T935" s="32"/>
      <c r="U935" s="32"/>
      <c r="V935" s="32"/>
      <c r="W935" s="32"/>
      <c r="X935" s="32"/>
      <c r="Y935" s="32"/>
      <c r="Z935" s="32"/>
    </row>
    <row r="936">
      <c r="A936" s="32"/>
      <c r="B936" s="32" t="str">
        <f>IFERROR(__xludf.DUMMYFUNCTION("""COMPUTED_VALUE"""),"")</f>
        <v/>
      </c>
      <c r="C936" s="32" t="str">
        <f>IFERROR(__xludf.DUMMYFUNCTION("""COMPUTED_VALUE"""),"")</f>
        <v/>
      </c>
      <c r="D936" s="32" t="str">
        <f>IFERROR(__xludf.DUMMYFUNCTION("""COMPUTED_VALUE"""),"")</f>
        <v/>
      </c>
      <c r="E936" s="32" t="str">
        <f>IFERROR(__xludf.DUMMYFUNCTION("""COMPUTED_VALUE"""),"")</f>
        <v/>
      </c>
      <c r="F936" s="32" t="str">
        <f>IFERROR(__xludf.DUMMYFUNCTION("""COMPUTED_VALUE"""),"")</f>
        <v/>
      </c>
      <c r="G936" s="32" t="str">
        <f>IFERROR(__xludf.DUMMYFUNCTION("""COMPUTED_VALUE"""),"")</f>
        <v/>
      </c>
      <c r="H936" s="32"/>
      <c r="I936" s="32"/>
      <c r="J936" s="32"/>
      <c r="K936" s="32"/>
      <c r="L936" s="32"/>
      <c r="M936" s="32"/>
      <c r="N936" s="32"/>
      <c r="O936" s="32"/>
      <c r="P936" s="32"/>
      <c r="Q936" s="32"/>
      <c r="R936" s="32"/>
      <c r="S936" s="32"/>
      <c r="T936" s="32"/>
      <c r="U936" s="32"/>
      <c r="V936" s="32"/>
      <c r="W936" s="32"/>
      <c r="X936" s="32"/>
      <c r="Y936" s="32"/>
      <c r="Z936" s="32"/>
    </row>
    <row r="937">
      <c r="A937" s="32"/>
      <c r="B937" s="32" t="str">
        <f>IFERROR(__xludf.DUMMYFUNCTION("""COMPUTED_VALUE"""),"")</f>
        <v/>
      </c>
      <c r="C937" s="32" t="str">
        <f>IFERROR(__xludf.DUMMYFUNCTION("""COMPUTED_VALUE"""),"")</f>
        <v/>
      </c>
      <c r="D937" s="32" t="str">
        <f>IFERROR(__xludf.DUMMYFUNCTION("""COMPUTED_VALUE"""),"")</f>
        <v/>
      </c>
      <c r="E937" s="32" t="str">
        <f>IFERROR(__xludf.DUMMYFUNCTION("""COMPUTED_VALUE"""),"")</f>
        <v/>
      </c>
      <c r="F937" s="32" t="str">
        <f>IFERROR(__xludf.DUMMYFUNCTION("""COMPUTED_VALUE"""),"")</f>
        <v/>
      </c>
      <c r="G937" s="32" t="str">
        <f>IFERROR(__xludf.DUMMYFUNCTION("""COMPUTED_VALUE"""),"")</f>
        <v/>
      </c>
      <c r="H937" s="32"/>
      <c r="I937" s="32"/>
      <c r="J937" s="32"/>
      <c r="K937" s="32"/>
      <c r="L937" s="32"/>
      <c r="M937" s="32"/>
      <c r="N937" s="32"/>
      <c r="O937" s="32"/>
      <c r="P937" s="32"/>
      <c r="Q937" s="32"/>
      <c r="R937" s="32"/>
      <c r="S937" s="32"/>
      <c r="T937" s="32"/>
      <c r="U937" s="32"/>
      <c r="V937" s="32"/>
      <c r="W937" s="32"/>
      <c r="X937" s="32"/>
      <c r="Y937" s="32"/>
      <c r="Z937" s="32"/>
    </row>
    <row r="938">
      <c r="A938" s="32"/>
      <c r="B938" s="32" t="str">
        <f>IFERROR(__xludf.DUMMYFUNCTION("""COMPUTED_VALUE"""),"")</f>
        <v/>
      </c>
      <c r="C938" s="32" t="str">
        <f>IFERROR(__xludf.DUMMYFUNCTION("""COMPUTED_VALUE"""),"")</f>
        <v/>
      </c>
      <c r="D938" s="32" t="str">
        <f>IFERROR(__xludf.DUMMYFUNCTION("""COMPUTED_VALUE"""),"")</f>
        <v/>
      </c>
      <c r="E938" s="32" t="str">
        <f>IFERROR(__xludf.DUMMYFUNCTION("""COMPUTED_VALUE"""),"")</f>
        <v/>
      </c>
      <c r="F938" s="32" t="str">
        <f>IFERROR(__xludf.DUMMYFUNCTION("""COMPUTED_VALUE"""),"")</f>
        <v/>
      </c>
      <c r="G938" s="32" t="str">
        <f>IFERROR(__xludf.DUMMYFUNCTION("""COMPUTED_VALUE"""),"")</f>
        <v/>
      </c>
      <c r="H938" s="32"/>
      <c r="I938" s="32"/>
      <c r="J938" s="32"/>
      <c r="K938" s="32"/>
      <c r="L938" s="32"/>
      <c r="M938" s="32"/>
      <c r="N938" s="32"/>
      <c r="O938" s="32"/>
      <c r="P938" s="32"/>
      <c r="Q938" s="32"/>
      <c r="R938" s="32"/>
      <c r="S938" s="32"/>
      <c r="T938" s="32"/>
      <c r="U938" s="32"/>
      <c r="V938" s="32"/>
      <c r="W938" s="32"/>
      <c r="X938" s="32"/>
      <c r="Y938" s="32"/>
      <c r="Z938" s="32"/>
    </row>
    <row r="939">
      <c r="A939" s="32"/>
      <c r="B939" s="32" t="str">
        <f>IFERROR(__xludf.DUMMYFUNCTION("""COMPUTED_VALUE"""),"")</f>
        <v/>
      </c>
      <c r="C939" s="32" t="str">
        <f>IFERROR(__xludf.DUMMYFUNCTION("""COMPUTED_VALUE"""),"")</f>
        <v/>
      </c>
      <c r="D939" s="32" t="str">
        <f>IFERROR(__xludf.DUMMYFUNCTION("""COMPUTED_VALUE"""),"")</f>
        <v/>
      </c>
      <c r="E939" s="32" t="str">
        <f>IFERROR(__xludf.DUMMYFUNCTION("""COMPUTED_VALUE"""),"")</f>
        <v/>
      </c>
      <c r="F939" s="32" t="str">
        <f>IFERROR(__xludf.DUMMYFUNCTION("""COMPUTED_VALUE"""),"")</f>
        <v/>
      </c>
      <c r="G939" s="32" t="str">
        <f>IFERROR(__xludf.DUMMYFUNCTION("""COMPUTED_VALUE"""),"")</f>
        <v/>
      </c>
      <c r="H939" s="32"/>
      <c r="I939" s="32"/>
      <c r="J939" s="32"/>
      <c r="K939" s="32"/>
      <c r="L939" s="32"/>
      <c r="M939" s="32"/>
      <c r="N939" s="32"/>
      <c r="O939" s="32"/>
      <c r="P939" s="32"/>
      <c r="Q939" s="32"/>
      <c r="R939" s="32"/>
      <c r="S939" s="32"/>
      <c r="T939" s="32"/>
      <c r="U939" s="32"/>
      <c r="V939" s="32"/>
      <c r="W939" s="32"/>
      <c r="X939" s="32"/>
      <c r="Y939" s="32"/>
      <c r="Z939" s="32"/>
    </row>
    <row r="940">
      <c r="A940" s="32"/>
      <c r="B940" s="32" t="str">
        <f>IFERROR(__xludf.DUMMYFUNCTION("""COMPUTED_VALUE"""),"")</f>
        <v/>
      </c>
      <c r="C940" s="32" t="str">
        <f>IFERROR(__xludf.DUMMYFUNCTION("""COMPUTED_VALUE"""),"")</f>
        <v/>
      </c>
      <c r="D940" s="32" t="str">
        <f>IFERROR(__xludf.DUMMYFUNCTION("""COMPUTED_VALUE"""),"")</f>
        <v/>
      </c>
      <c r="E940" s="32" t="str">
        <f>IFERROR(__xludf.DUMMYFUNCTION("""COMPUTED_VALUE"""),"")</f>
        <v/>
      </c>
      <c r="F940" s="32" t="str">
        <f>IFERROR(__xludf.DUMMYFUNCTION("""COMPUTED_VALUE"""),"")</f>
        <v/>
      </c>
      <c r="G940" s="32" t="str">
        <f>IFERROR(__xludf.DUMMYFUNCTION("""COMPUTED_VALUE"""),"")</f>
        <v/>
      </c>
      <c r="H940" s="32"/>
      <c r="I940" s="32"/>
      <c r="J940" s="32"/>
      <c r="K940" s="32"/>
      <c r="L940" s="32"/>
      <c r="M940" s="32"/>
      <c r="N940" s="32"/>
      <c r="O940" s="32"/>
      <c r="P940" s="32"/>
      <c r="Q940" s="32"/>
      <c r="R940" s="32"/>
      <c r="S940" s="32"/>
      <c r="T940" s="32"/>
      <c r="U940" s="32"/>
      <c r="V940" s="32"/>
      <c r="W940" s="32"/>
      <c r="X940" s="32"/>
      <c r="Y940" s="32"/>
      <c r="Z940" s="32"/>
    </row>
    <row r="941">
      <c r="A941" s="32"/>
      <c r="B941" s="32" t="str">
        <f>IFERROR(__xludf.DUMMYFUNCTION("""COMPUTED_VALUE"""),"")</f>
        <v/>
      </c>
      <c r="C941" s="32" t="str">
        <f>IFERROR(__xludf.DUMMYFUNCTION("""COMPUTED_VALUE"""),"")</f>
        <v/>
      </c>
      <c r="D941" s="32" t="str">
        <f>IFERROR(__xludf.DUMMYFUNCTION("""COMPUTED_VALUE"""),"")</f>
        <v/>
      </c>
      <c r="E941" s="32" t="str">
        <f>IFERROR(__xludf.DUMMYFUNCTION("""COMPUTED_VALUE"""),"")</f>
        <v/>
      </c>
      <c r="F941" s="32" t="str">
        <f>IFERROR(__xludf.DUMMYFUNCTION("""COMPUTED_VALUE"""),"")</f>
        <v/>
      </c>
      <c r="G941" s="32" t="str">
        <f>IFERROR(__xludf.DUMMYFUNCTION("""COMPUTED_VALUE"""),"")</f>
        <v/>
      </c>
      <c r="H941" s="32"/>
      <c r="I941" s="32"/>
      <c r="J941" s="32"/>
      <c r="K941" s="32"/>
      <c r="L941" s="32"/>
      <c r="M941" s="32"/>
      <c r="N941" s="32"/>
      <c r="O941" s="32"/>
      <c r="P941" s="32"/>
      <c r="Q941" s="32"/>
      <c r="R941" s="32"/>
      <c r="S941" s="32"/>
      <c r="T941" s="32"/>
      <c r="U941" s="32"/>
      <c r="V941" s="32"/>
      <c r="W941" s="32"/>
      <c r="X941" s="32"/>
      <c r="Y941" s="32"/>
      <c r="Z941" s="32"/>
    </row>
    <row r="942">
      <c r="A942" s="32"/>
      <c r="B942" s="32" t="str">
        <f>IFERROR(__xludf.DUMMYFUNCTION("""COMPUTED_VALUE"""),"")</f>
        <v/>
      </c>
      <c r="C942" s="32" t="str">
        <f>IFERROR(__xludf.DUMMYFUNCTION("""COMPUTED_VALUE"""),"")</f>
        <v/>
      </c>
      <c r="D942" s="32" t="str">
        <f>IFERROR(__xludf.DUMMYFUNCTION("""COMPUTED_VALUE"""),"")</f>
        <v/>
      </c>
      <c r="E942" s="32" t="str">
        <f>IFERROR(__xludf.DUMMYFUNCTION("""COMPUTED_VALUE"""),"")</f>
        <v/>
      </c>
      <c r="F942" s="32" t="str">
        <f>IFERROR(__xludf.DUMMYFUNCTION("""COMPUTED_VALUE"""),"")</f>
        <v/>
      </c>
      <c r="G942" s="32" t="str">
        <f>IFERROR(__xludf.DUMMYFUNCTION("""COMPUTED_VALUE"""),"")</f>
        <v/>
      </c>
      <c r="H942" s="32"/>
      <c r="I942" s="32"/>
      <c r="J942" s="32"/>
      <c r="K942" s="32"/>
      <c r="L942" s="32"/>
      <c r="M942" s="32"/>
      <c r="N942" s="32"/>
      <c r="O942" s="32"/>
      <c r="P942" s="32"/>
      <c r="Q942" s="32"/>
      <c r="R942" s="32"/>
      <c r="S942" s="32"/>
      <c r="T942" s="32"/>
      <c r="U942" s="32"/>
      <c r="V942" s="32"/>
      <c r="W942" s="32"/>
      <c r="X942" s="32"/>
      <c r="Y942" s="32"/>
      <c r="Z942" s="32"/>
    </row>
    <row r="943">
      <c r="A943" s="32"/>
      <c r="B943" s="32" t="str">
        <f>IFERROR(__xludf.DUMMYFUNCTION("""COMPUTED_VALUE"""),"")</f>
        <v/>
      </c>
      <c r="C943" s="32" t="str">
        <f>IFERROR(__xludf.DUMMYFUNCTION("""COMPUTED_VALUE"""),"")</f>
        <v/>
      </c>
      <c r="D943" s="32" t="str">
        <f>IFERROR(__xludf.DUMMYFUNCTION("""COMPUTED_VALUE"""),"")</f>
        <v/>
      </c>
      <c r="E943" s="32" t="str">
        <f>IFERROR(__xludf.DUMMYFUNCTION("""COMPUTED_VALUE"""),"")</f>
        <v/>
      </c>
      <c r="F943" s="32" t="str">
        <f>IFERROR(__xludf.DUMMYFUNCTION("""COMPUTED_VALUE"""),"")</f>
        <v/>
      </c>
      <c r="G943" s="32" t="str">
        <f>IFERROR(__xludf.DUMMYFUNCTION("""COMPUTED_VALUE"""),"")</f>
        <v/>
      </c>
      <c r="H943" s="32"/>
      <c r="I943" s="32"/>
      <c r="J943" s="32"/>
      <c r="K943" s="32"/>
      <c r="L943" s="32"/>
      <c r="M943" s="32"/>
      <c r="N943" s="32"/>
      <c r="O943" s="32"/>
      <c r="P943" s="32"/>
      <c r="Q943" s="32"/>
      <c r="R943" s="32"/>
      <c r="S943" s="32"/>
      <c r="T943" s="32"/>
      <c r="U943" s="32"/>
      <c r="V943" s="32"/>
      <c r="W943" s="32"/>
      <c r="X943" s="32"/>
      <c r="Y943" s="32"/>
      <c r="Z943" s="32"/>
    </row>
    <row r="944">
      <c r="A944" s="32"/>
      <c r="B944" s="32" t="str">
        <f>IFERROR(__xludf.DUMMYFUNCTION("""COMPUTED_VALUE"""),"")</f>
        <v/>
      </c>
      <c r="C944" s="32" t="str">
        <f>IFERROR(__xludf.DUMMYFUNCTION("""COMPUTED_VALUE"""),"")</f>
        <v/>
      </c>
      <c r="D944" s="32" t="str">
        <f>IFERROR(__xludf.DUMMYFUNCTION("""COMPUTED_VALUE"""),"")</f>
        <v/>
      </c>
      <c r="E944" s="32" t="str">
        <f>IFERROR(__xludf.DUMMYFUNCTION("""COMPUTED_VALUE"""),"")</f>
        <v/>
      </c>
      <c r="F944" s="32" t="str">
        <f>IFERROR(__xludf.DUMMYFUNCTION("""COMPUTED_VALUE"""),"")</f>
        <v/>
      </c>
      <c r="G944" s="32" t="str">
        <f>IFERROR(__xludf.DUMMYFUNCTION("""COMPUTED_VALUE"""),"")</f>
        <v/>
      </c>
      <c r="H944" s="32"/>
      <c r="I944" s="32"/>
      <c r="J944" s="32"/>
      <c r="K944" s="32"/>
      <c r="L944" s="32"/>
      <c r="M944" s="32"/>
      <c r="N944" s="32"/>
      <c r="O944" s="32"/>
      <c r="P944" s="32"/>
      <c r="Q944" s="32"/>
      <c r="R944" s="32"/>
      <c r="S944" s="32"/>
      <c r="T944" s="32"/>
      <c r="U944" s="32"/>
      <c r="V944" s="32"/>
      <c r="W944" s="32"/>
      <c r="X944" s="32"/>
      <c r="Y944" s="32"/>
      <c r="Z944" s="32"/>
    </row>
    <row r="945">
      <c r="A945" s="32"/>
      <c r="B945" s="32" t="str">
        <f>IFERROR(__xludf.DUMMYFUNCTION("""COMPUTED_VALUE"""),"")</f>
        <v/>
      </c>
      <c r="C945" s="32" t="str">
        <f>IFERROR(__xludf.DUMMYFUNCTION("""COMPUTED_VALUE"""),"")</f>
        <v/>
      </c>
      <c r="D945" s="32" t="str">
        <f>IFERROR(__xludf.DUMMYFUNCTION("""COMPUTED_VALUE"""),"")</f>
        <v/>
      </c>
      <c r="E945" s="32" t="str">
        <f>IFERROR(__xludf.DUMMYFUNCTION("""COMPUTED_VALUE"""),"")</f>
        <v/>
      </c>
      <c r="F945" s="32" t="str">
        <f>IFERROR(__xludf.DUMMYFUNCTION("""COMPUTED_VALUE"""),"")</f>
        <v/>
      </c>
      <c r="G945" s="32" t="str">
        <f>IFERROR(__xludf.DUMMYFUNCTION("""COMPUTED_VALUE"""),"")</f>
        <v/>
      </c>
      <c r="H945" s="32"/>
      <c r="I945" s="32"/>
      <c r="J945" s="32"/>
      <c r="K945" s="32"/>
      <c r="L945" s="32"/>
      <c r="M945" s="32"/>
      <c r="N945" s="32"/>
      <c r="O945" s="32"/>
      <c r="P945" s="32"/>
      <c r="Q945" s="32"/>
      <c r="R945" s="32"/>
      <c r="S945" s="32"/>
      <c r="T945" s="32"/>
      <c r="U945" s="32"/>
      <c r="V945" s="32"/>
      <c r="W945" s="32"/>
      <c r="X945" s="32"/>
      <c r="Y945" s="32"/>
      <c r="Z945" s="32"/>
    </row>
    <row r="946">
      <c r="A946" s="32"/>
      <c r="B946" s="32" t="str">
        <f>IFERROR(__xludf.DUMMYFUNCTION("""COMPUTED_VALUE"""),"")</f>
        <v/>
      </c>
      <c r="C946" s="32" t="str">
        <f>IFERROR(__xludf.DUMMYFUNCTION("""COMPUTED_VALUE"""),"")</f>
        <v/>
      </c>
      <c r="D946" s="32" t="str">
        <f>IFERROR(__xludf.DUMMYFUNCTION("""COMPUTED_VALUE"""),"")</f>
        <v/>
      </c>
      <c r="E946" s="32" t="str">
        <f>IFERROR(__xludf.DUMMYFUNCTION("""COMPUTED_VALUE"""),"")</f>
        <v/>
      </c>
      <c r="F946" s="32" t="str">
        <f>IFERROR(__xludf.DUMMYFUNCTION("""COMPUTED_VALUE"""),"")</f>
        <v/>
      </c>
      <c r="G946" s="32" t="str">
        <f>IFERROR(__xludf.DUMMYFUNCTION("""COMPUTED_VALUE"""),"")</f>
        <v/>
      </c>
      <c r="H946" s="32"/>
      <c r="I946" s="32"/>
      <c r="J946" s="32"/>
      <c r="K946" s="32"/>
      <c r="L946" s="32"/>
      <c r="M946" s="32"/>
      <c r="N946" s="32"/>
      <c r="O946" s="32"/>
      <c r="P946" s="32"/>
      <c r="Q946" s="32"/>
      <c r="R946" s="32"/>
      <c r="S946" s="32"/>
      <c r="T946" s="32"/>
      <c r="U946" s="32"/>
      <c r="V946" s="32"/>
      <c r="W946" s="32"/>
      <c r="X946" s="32"/>
      <c r="Y946" s="32"/>
      <c r="Z946" s="32"/>
    </row>
    <row r="947">
      <c r="A947" s="32"/>
      <c r="B947" s="32" t="str">
        <f>IFERROR(__xludf.DUMMYFUNCTION("""COMPUTED_VALUE"""),"")</f>
        <v/>
      </c>
      <c r="C947" s="32" t="str">
        <f>IFERROR(__xludf.DUMMYFUNCTION("""COMPUTED_VALUE"""),"")</f>
        <v/>
      </c>
      <c r="D947" s="32" t="str">
        <f>IFERROR(__xludf.DUMMYFUNCTION("""COMPUTED_VALUE"""),"")</f>
        <v/>
      </c>
      <c r="E947" s="32" t="str">
        <f>IFERROR(__xludf.DUMMYFUNCTION("""COMPUTED_VALUE"""),"")</f>
        <v/>
      </c>
      <c r="F947" s="32" t="str">
        <f>IFERROR(__xludf.DUMMYFUNCTION("""COMPUTED_VALUE"""),"")</f>
        <v/>
      </c>
      <c r="G947" s="32" t="str">
        <f>IFERROR(__xludf.DUMMYFUNCTION("""COMPUTED_VALUE"""),"")</f>
        <v/>
      </c>
      <c r="H947" s="32"/>
      <c r="I947" s="32"/>
      <c r="J947" s="32"/>
      <c r="K947" s="32"/>
      <c r="L947" s="32"/>
      <c r="M947" s="32"/>
      <c r="N947" s="32"/>
      <c r="O947" s="32"/>
      <c r="P947" s="32"/>
      <c r="Q947" s="32"/>
      <c r="R947" s="32"/>
      <c r="S947" s="32"/>
      <c r="T947" s="32"/>
      <c r="U947" s="32"/>
      <c r="V947" s="32"/>
      <c r="W947" s="32"/>
      <c r="X947" s="32"/>
      <c r="Y947" s="32"/>
      <c r="Z947" s="32"/>
    </row>
    <row r="948">
      <c r="A948" s="32"/>
      <c r="B948" s="32" t="str">
        <f>IFERROR(__xludf.DUMMYFUNCTION("""COMPUTED_VALUE"""),"")</f>
        <v/>
      </c>
      <c r="C948" s="32" t="str">
        <f>IFERROR(__xludf.DUMMYFUNCTION("""COMPUTED_VALUE"""),"")</f>
        <v/>
      </c>
      <c r="D948" s="32" t="str">
        <f>IFERROR(__xludf.DUMMYFUNCTION("""COMPUTED_VALUE"""),"")</f>
        <v/>
      </c>
      <c r="E948" s="32" t="str">
        <f>IFERROR(__xludf.DUMMYFUNCTION("""COMPUTED_VALUE"""),"")</f>
        <v/>
      </c>
      <c r="F948" s="32" t="str">
        <f>IFERROR(__xludf.DUMMYFUNCTION("""COMPUTED_VALUE"""),"")</f>
        <v/>
      </c>
      <c r="G948" s="32" t="str">
        <f>IFERROR(__xludf.DUMMYFUNCTION("""COMPUTED_VALUE"""),"")</f>
        <v/>
      </c>
      <c r="H948" s="32"/>
      <c r="I948" s="32"/>
      <c r="J948" s="32"/>
      <c r="K948" s="32"/>
      <c r="L948" s="32"/>
      <c r="M948" s="32"/>
      <c r="N948" s="32"/>
      <c r="O948" s="32"/>
      <c r="P948" s="32"/>
      <c r="Q948" s="32"/>
      <c r="R948" s="32"/>
      <c r="S948" s="32"/>
      <c r="T948" s="32"/>
      <c r="U948" s="32"/>
      <c r="V948" s="32"/>
      <c r="W948" s="32"/>
      <c r="X948" s="32"/>
      <c r="Y948" s="32"/>
      <c r="Z948" s="32"/>
    </row>
    <row r="949">
      <c r="A949" s="32"/>
      <c r="B949" s="32" t="str">
        <f>IFERROR(__xludf.DUMMYFUNCTION("""COMPUTED_VALUE"""),"")</f>
        <v/>
      </c>
      <c r="C949" s="32" t="str">
        <f>IFERROR(__xludf.DUMMYFUNCTION("""COMPUTED_VALUE"""),"")</f>
        <v/>
      </c>
      <c r="D949" s="32" t="str">
        <f>IFERROR(__xludf.DUMMYFUNCTION("""COMPUTED_VALUE"""),"")</f>
        <v/>
      </c>
      <c r="E949" s="32" t="str">
        <f>IFERROR(__xludf.DUMMYFUNCTION("""COMPUTED_VALUE"""),"")</f>
        <v/>
      </c>
      <c r="F949" s="32" t="str">
        <f>IFERROR(__xludf.DUMMYFUNCTION("""COMPUTED_VALUE"""),"")</f>
        <v/>
      </c>
      <c r="G949" s="32" t="str">
        <f>IFERROR(__xludf.DUMMYFUNCTION("""COMPUTED_VALUE"""),"")</f>
        <v/>
      </c>
      <c r="H949" s="32"/>
      <c r="I949" s="32"/>
      <c r="J949" s="32"/>
      <c r="K949" s="32"/>
      <c r="L949" s="32"/>
      <c r="M949" s="32"/>
      <c r="N949" s="32"/>
      <c r="O949" s="32"/>
      <c r="P949" s="32"/>
      <c r="Q949" s="32"/>
      <c r="R949" s="32"/>
      <c r="S949" s="32"/>
      <c r="T949" s="32"/>
      <c r="U949" s="32"/>
      <c r="V949" s="32"/>
      <c r="W949" s="32"/>
      <c r="X949" s="32"/>
      <c r="Y949" s="32"/>
      <c r="Z949" s="32"/>
    </row>
    <row r="950">
      <c r="A950" s="32"/>
      <c r="B950" s="32" t="str">
        <f>IFERROR(__xludf.DUMMYFUNCTION("""COMPUTED_VALUE"""),"")</f>
        <v/>
      </c>
      <c r="C950" s="32" t="str">
        <f>IFERROR(__xludf.DUMMYFUNCTION("""COMPUTED_VALUE"""),"")</f>
        <v/>
      </c>
      <c r="D950" s="32" t="str">
        <f>IFERROR(__xludf.DUMMYFUNCTION("""COMPUTED_VALUE"""),"")</f>
        <v/>
      </c>
      <c r="E950" s="32" t="str">
        <f>IFERROR(__xludf.DUMMYFUNCTION("""COMPUTED_VALUE"""),"")</f>
        <v/>
      </c>
      <c r="F950" s="32" t="str">
        <f>IFERROR(__xludf.DUMMYFUNCTION("""COMPUTED_VALUE"""),"")</f>
        <v/>
      </c>
      <c r="G950" s="32" t="str">
        <f>IFERROR(__xludf.DUMMYFUNCTION("""COMPUTED_VALUE"""),"")</f>
        <v/>
      </c>
      <c r="H950" s="32"/>
      <c r="I950" s="32"/>
      <c r="J950" s="32"/>
      <c r="K950" s="32"/>
      <c r="L950" s="32"/>
      <c r="M950" s="32"/>
      <c r="N950" s="32"/>
      <c r="O950" s="32"/>
      <c r="P950" s="32"/>
      <c r="Q950" s="32"/>
      <c r="R950" s="32"/>
      <c r="S950" s="32"/>
      <c r="T950" s="32"/>
      <c r="U950" s="32"/>
      <c r="V950" s="32"/>
      <c r="W950" s="32"/>
      <c r="X950" s="32"/>
      <c r="Y950" s="32"/>
      <c r="Z950" s="32"/>
    </row>
    <row r="951">
      <c r="A951" s="32"/>
      <c r="B951" s="32" t="str">
        <f>IFERROR(__xludf.DUMMYFUNCTION("""COMPUTED_VALUE"""),"")</f>
        <v/>
      </c>
      <c r="C951" s="32" t="str">
        <f>IFERROR(__xludf.DUMMYFUNCTION("""COMPUTED_VALUE"""),"")</f>
        <v/>
      </c>
      <c r="D951" s="32" t="str">
        <f>IFERROR(__xludf.DUMMYFUNCTION("""COMPUTED_VALUE"""),"")</f>
        <v/>
      </c>
      <c r="E951" s="32" t="str">
        <f>IFERROR(__xludf.DUMMYFUNCTION("""COMPUTED_VALUE"""),"")</f>
        <v/>
      </c>
      <c r="F951" s="32" t="str">
        <f>IFERROR(__xludf.DUMMYFUNCTION("""COMPUTED_VALUE"""),"")</f>
        <v/>
      </c>
      <c r="G951" s="32" t="str">
        <f>IFERROR(__xludf.DUMMYFUNCTION("""COMPUTED_VALUE"""),"")</f>
        <v/>
      </c>
      <c r="H951" s="32"/>
      <c r="I951" s="32"/>
      <c r="J951" s="32"/>
      <c r="K951" s="32"/>
      <c r="L951" s="32"/>
      <c r="M951" s="32"/>
      <c r="N951" s="32"/>
      <c r="O951" s="32"/>
      <c r="P951" s="32"/>
      <c r="Q951" s="32"/>
      <c r="R951" s="32"/>
      <c r="S951" s="32"/>
      <c r="T951" s="32"/>
      <c r="U951" s="32"/>
      <c r="V951" s="32"/>
      <c r="W951" s="32"/>
      <c r="X951" s="32"/>
      <c r="Y951" s="32"/>
      <c r="Z951" s="32"/>
    </row>
    <row r="952">
      <c r="A952" s="32"/>
      <c r="B952" s="32" t="str">
        <f>IFERROR(__xludf.DUMMYFUNCTION("""COMPUTED_VALUE"""),"")</f>
        <v/>
      </c>
      <c r="C952" s="32" t="str">
        <f>IFERROR(__xludf.DUMMYFUNCTION("""COMPUTED_VALUE"""),"")</f>
        <v/>
      </c>
      <c r="D952" s="32" t="str">
        <f>IFERROR(__xludf.DUMMYFUNCTION("""COMPUTED_VALUE"""),"")</f>
        <v/>
      </c>
      <c r="E952" s="32" t="str">
        <f>IFERROR(__xludf.DUMMYFUNCTION("""COMPUTED_VALUE"""),"")</f>
        <v/>
      </c>
      <c r="F952" s="32" t="str">
        <f>IFERROR(__xludf.DUMMYFUNCTION("""COMPUTED_VALUE"""),"")</f>
        <v/>
      </c>
      <c r="G952" s="32" t="str">
        <f>IFERROR(__xludf.DUMMYFUNCTION("""COMPUTED_VALUE"""),"")</f>
        <v/>
      </c>
      <c r="H952" s="32"/>
      <c r="I952" s="32"/>
      <c r="J952" s="32"/>
      <c r="K952" s="32"/>
      <c r="L952" s="32"/>
      <c r="M952" s="32"/>
      <c r="N952" s="32"/>
      <c r="O952" s="32"/>
      <c r="P952" s="32"/>
      <c r="Q952" s="32"/>
      <c r="R952" s="32"/>
      <c r="S952" s="32"/>
      <c r="T952" s="32"/>
      <c r="U952" s="32"/>
      <c r="V952" s="32"/>
      <c r="W952" s="32"/>
      <c r="X952" s="32"/>
      <c r="Y952" s="32"/>
      <c r="Z952" s="32"/>
    </row>
    <row r="953">
      <c r="A953" s="32"/>
      <c r="B953" s="32" t="str">
        <f>IFERROR(__xludf.DUMMYFUNCTION("""COMPUTED_VALUE"""),"")</f>
        <v/>
      </c>
      <c r="C953" s="32" t="str">
        <f>IFERROR(__xludf.DUMMYFUNCTION("""COMPUTED_VALUE"""),"")</f>
        <v/>
      </c>
      <c r="D953" s="32" t="str">
        <f>IFERROR(__xludf.DUMMYFUNCTION("""COMPUTED_VALUE"""),"")</f>
        <v/>
      </c>
      <c r="E953" s="32" t="str">
        <f>IFERROR(__xludf.DUMMYFUNCTION("""COMPUTED_VALUE"""),"")</f>
        <v/>
      </c>
      <c r="F953" s="32" t="str">
        <f>IFERROR(__xludf.DUMMYFUNCTION("""COMPUTED_VALUE"""),"")</f>
        <v/>
      </c>
      <c r="G953" s="32" t="str">
        <f>IFERROR(__xludf.DUMMYFUNCTION("""COMPUTED_VALUE"""),"")</f>
        <v/>
      </c>
      <c r="H953" s="32"/>
      <c r="I953" s="32"/>
      <c r="J953" s="32"/>
      <c r="K953" s="32"/>
      <c r="L953" s="32"/>
      <c r="M953" s="32"/>
      <c r="N953" s="32"/>
      <c r="O953" s="32"/>
      <c r="P953" s="32"/>
      <c r="Q953" s="32"/>
      <c r="R953" s="32"/>
      <c r="S953" s="32"/>
      <c r="T953" s="32"/>
      <c r="U953" s="32"/>
      <c r="V953" s="32"/>
      <c r="W953" s="32"/>
      <c r="X953" s="32"/>
      <c r="Y953" s="32"/>
      <c r="Z953" s="32"/>
    </row>
    <row r="954">
      <c r="A954" s="32"/>
      <c r="B954" s="32" t="str">
        <f>IFERROR(__xludf.DUMMYFUNCTION("""COMPUTED_VALUE"""),"")</f>
        <v/>
      </c>
      <c r="C954" s="32" t="str">
        <f>IFERROR(__xludf.DUMMYFUNCTION("""COMPUTED_VALUE"""),"")</f>
        <v/>
      </c>
      <c r="D954" s="32" t="str">
        <f>IFERROR(__xludf.DUMMYFUNCTION("""COMPUTED_VALUE"""),"")</f>
        <v/>
      </c>
      <c r="E954" s="32" t="str">
        <f>IFERROR(__xludf.DUMMYFUNCTION("""COMPUTED_VALUE"""),"")</f>
        <v/>
      </c>
      <c r="F954" s="32" t="str">
        <f>IFERROR(__xludf.DUMMYFUNCTION("""COMPUTED_VALUE"""),"")</f>
        <v/>
      </c>
      <c r="G954" s="32" t="str">
        <f>IFERROR(__xludf.DUMMYFUNCTION("""COMPUTED_VALUE"""),"")</f>
        <v/>
      </c>
      <c r="H954" s="32"/>
      <c r="I954" s="32"/>
      <c r="J954" s="32"/>
      <c r="K954" s="32"/>
      <c r="L954" s="32"/>
      <c r="M954" s="32"/>
      <c r="N954" s="32"/>
      <c r="O954" s="32"/>
      <c r="P954" s="32"/>
      <c r="Q954" s="32"/>
      <c r="R954" s="32"/>
      <c r="S954" s="32"/>
      <c r="T954" s="32"/>
      <c r="U954" s="32"/>
      <c r="V954" s="32"/>
      <c r="W954" s="32"/>
      <c r="X954" s="32"/>
      <c r="Y954" s="32"/>
      <c r="Z954" s="32"/>
    </row>
    <row r="955">
      <c r="A955" s="32"/>
      <c r="B955" s="32" t="str">
        <f>IFERROR(__xludf.DUMMYFUNCTION("""COMPUTED_VALUE"""),"")</f>
        <v/>
      </c>
      <c r="C955" s="32" t="str">
        <f>IFERROR(__xludf.DUMMYFUNCTION("""COMPUTED_VALUE"""),"")</f>
        <v/>
      </c>
      <c r="D955" s="32" t="str">
        <f>IFERROR(__xludf.DUMMYFUNCTION("""COMPUTED_VALUE"""),"")</f>
        <v/>
      </c>
      <c r="E955" s="32" t="str">
        <f>IFERROR(__xludf.DUMMYFUNCTION("""COMPUTED_VALUE"""),"")</f>
        <v/>
      </c>
      <c r="F955" s="32" t="str">
        <f>IFERROR(__xludf.DUMMYFUNCTION("""COMPUTED_VALUE"""),"")</f>
        <v/>
      </c>
      <c r="G955" s="32" t="str">
        <f>IFERROR(__xludf.DUMMYFUNCTION("""COMPUTED_VALUE"""),"")</f>
        <v/>
      </c>
      <c r="H955" s="32"/>
      <c r="I955" s="32"/>
      <c r="J955" s="32"/>
      <c r="K955" s="32"/>
      <c r="L955" s="32"/>
      <c r="M955" s="32"/>
      <c r="N955" s="32"/>
      <c r="O955" s="32"/>
      <c r="P955" s="32"/>
      <c r="Q955" s="32"/>
      <c r="R955" s="32"/>
      <c r="S955" s="32"/>
      <c r="T955" s="32"/>
      <c r="U955" s="32"/>
      <c r="V955" s="32"/>
      <c r="W955" s="32"/>
      <c r="X955" s="32"/>
      <c r="Y955" s="32"/>
      <c r="Z955" s="32"/>
    </row>
    <row r="956">
      <c r="A956" s="32"/>
      <c r="B956" s="32" t="str">
        <f>IFERROR(__xludf.DUMMYFUNCTION("""COMPUTED_VALUE"""),"")</f>
        <v/>
      </c>
      <c r="C956" s="32" t="str">
        <f>IFERROR(__xludf.DUMMYFUNCTION("""COMPUTED_VALUE"""),"")</f>
        <v/>
      </c>
      <c r="D956" s="32" t="str">
        <f>IFERROR(__xludf.DUMMYFUNCTION("""COMPUTED_VALUE"""),"")</f>
        <v/>
      </c>
      <c r="E956" s="32" t="str">
        <f>IFERROR(__xludf.DUMMYFUNCTION("""COMPUTED_VALUE"""),"")</f>
        <v/>
      </c>
      <c r="F956" s="32" t="str">
        <f>IFERROR(__xludf.DUMMYFUNCTION("""COMPUTED_VALUE"""),"")</f>
        <v/>
      </c>
      <c r="G956" s="32" t="str">
        <f>IFERROR(__xludf.DUMMYFUNCTION("""COMPUTED_VALUE"""),"")</f>
        <v/>
      </c>
      <c r="H956" s="32"/>
      <c r="I956" s="32"/>
      <c r="J956" s="32"/>
      <c r="K956" s="32"/>
      <c r="L956" s="32"/>
      <c r="M956" s="32"/>
      <c r="N956" s="32"/>
      <c r="O956" s="32"/>
      <c r="P956" s="32"/>
      <c r="Q956" s="32"/>
      <c r="R956" s="32"/>
      <c r="S956" s="32"/>
      <c r="T956" s="32"/>
      <c r="U956" s="32"/>
      <c r="V956" s="32"/>
      <c r="W956" s="32"/>
      <c r="X956" s="32"/>
      <c r="Y956" s="32"/>
      <c r="Z956" s="32"/>
    </row>
    <row r="957">
      <c r="A957" s="32"/>
      <c r="B957" s="32" t="str">
        <f>IFERROR(__xludf.DUMMYFUNCTION("""COMPUTED_VALUE"""),"")</f>
        <v/>
      </c>
      <c r="C957" s="32" t="str">
        <f>IFERROR(__xludf.DUMMYFUNCTION("""COMPUTED_VALUE"""),"")</f>
        <v/>
      </c>
      <c r="D957" s="32" t="str">
        <f>IFERROR(__xludf.DUMMYFUNCTION("""COMPUTED_VALUE"""),"")</f>
        <v/>
      </c>
      <c r="E957" s="32" t="str">
        <f>IFERROR(__xludf.DUMMYFUNCTION("""COMPUTED_VALUE"""),"")</f>
        <v/>
      </c>
      <c r="F957" s="32" t="str">
        <f>IFERROR(__xludf.DUMMYFUNCTION("""COMPUTED_VALUE"""),"")</f>
        <v/>
      </c>
      <c r="G957" s="32" t="str">
        <f>IFERROR(__xludf.DUMMYFUNCTION("""COMPUTED_VALUE"""),"")</f>
        <v/>
      </c>
      <c r="H957" s="32"/>
      <c r="I957" s="32"/>
      <c r="J957" s="32"/>
      <c r="K957" s="32"/>
      <c r="L957" s="32"/>
      <c r="M957" s="32"/>
      <c r="N957" s="32"/>
      <c r="O957" s="32"/>
      <c r="P957" s="32"/>
      <c r="Q957" s="32"/>
      <c r="R957" s="32"/>
      <c r="S957" s="32"/>
      <c r="T957" s="32"/>
      <c r="U957" s="32"/>
      <c r="V957" s="32"/>
      <c r="W957" s="32"/>
      <c r="X957" s="32"/>
      <c r="Y957" s="32"/>
      <c r="Z957" s="32"/>
    </row>
    <row r="958">
      <c r="A958" s="32"/>
      <c r="B958" s="32" t="str">
        <f>IFERROR(__xludf.DUMMYFUNCTION("""COMPUTED_VALUE"""),"")</f>
        <v/>
      </c>
      <c r="C958" s="32" t="str">
        <f>IFERROR(__xludf.DUMMYFUNCTION("""COMPUTED_VALUE"""),"")</f>
        <v/>
      </c>
      <c r="D958" s="32" t="str">
        <f>IFERROR(__xludf.DUMMYFUNCTION("""COMPUTED_VALUE"""),"")</f>
        <v/>
      </c>
      <c r="E958" s="32" t="str">
        <f>IFERROR(__xludf.DUMMYFUNCTION("""COMPUTED_VALUE"""),"")</f>
        <v/>
      </c>
      <c r="F958" s="32" t="str">
        <f>IFERROR(__xludf.DUMMYFUNCTION("""COMPUTED_VALUE"""),"")</f>
        <v/>
      </c>
      <c r="G958" s="32" t="str">
        <f>IFERROR(__xludf.DUMMYFUNCTION("""COMPUTED_VALUE"""),"")</f>
        <v/>
      </c>
      <c r="H958" s="32"/>
      <c r="I958" s="32"/>
      <c r="J958" s="32"/>
      <c r="K958" s="32"/>
      <c r="L958" s="32"/>
      <c r="M958" s="32"/>
      <c r="N958" s="32"/>
      <c r="O958" s="32"/>
      <c r="P958" s="32"/>
      <c r="Q958" s="32"/>
      <c r="R958" s="32"/>
      <c r="S958" s="32"/>
      <c r="T958" s="32"/>
      <c r="U958" s="32"/>
      <c r="V958" s="32"/>
      <c r="W958" s="32"/>
      <c r="X958" s="32"/>
      <c r="Y958" s="32"/>
      <c r="Z958" s="32"/>
    </row>
    <row r="959">
      <c r="A959" s="32"/>
      <c r="B959" s="32" t="str">
        <f>IFERROR(__xludf.DUMMYFUNCTION("""COMPUTED_VALUE"""),"")</f>
        <v/>
      </c>
      <c r="C959" s="32" t="str">
        <f>IFERROR(__xludf.DUMMYFUNCTION("""COMPUTED_VALUE"""),"")</f>
        <v/>
      </c>
      <c r="D959" s="32" t="str">
        <f>IFERROR(__xludf.DUMMYFUNCTION("""COMPUTED_VALUE"""),"")</f>
        <v/>
      </c>
      <c r="E959" s="32" t="str">
        <f>IFERROR(__xludf.DUMMYFUNCTION("""COMPUTED_VALUE"""),"")</f>
        <v/>
      </c>
      <c r="F959" s="32" t="str">
        <f>IFERROR(__xludf.DUMMYFUNCTION("""COMPUTED_VALUE"""),"")</f>
        <v/>
      </c>
      <c r="G959" s="32" t="str">
        <f>IFERROR(__xludf.DUMMYFUNCTION("""COMPUTED_VALUE"""),"")</f>
        <v/>
      </c>
      <c r="H959" s="32"/>
      <c r="I959" s="32"/>
      <c r="J959" s="32"/>
      <c r="K959" s="32"/>
      <c r="L959" s="32"/>
      <c r="M959" s="32"/>
      <c r="N959" s="32"/>
      <c r="O959" s="32"/>
      <c r="P959" s="32"/>
      <c r="Q959" s="32"/>
      <c r="R959" s="32"/>
      <c r="S959" s="32"/>
      <c r="T959" s="32"/>
      <c r="U959" s="32"/>
      <c r="V959" s="32"/>
      <c r="W959" s="32"/>
      <c r="X959" s="32"/>
      <c r="Y959" s="32"/>
      <c r="Z959" s="32"/>
    </row>
    <row r="960">
      <c r="A960" s="32"/>
      <c r="B960" s="32" t="str">
        <f>IFERROR(__xludf.DUMMYFUNCTION("""COMPUTED_VALUE"""),"")</f>
        <v/>
      </c>
      <c r="C960" s="32" t="str">
        <f>IFERROR(__xludf.DUMMYFUNCTION("""COMPUTED_VALUE"""),"")</f>
        <v/>
      </c>
      <c r="D960" s="32" t="str">
        <f>IFERROR(__xludf.DUMMYFUNCTION("""COMPUTED_VALUE"""),"")</f>
        <v/>
      </c>
      <c r="E960" s="32" t="str">
        <f>IFERROR(__xludf.DUMMYFUNCTION("""COMPUTED_VALUE"""),"")</f>
        <v/>
      </c>
      <c r="F960" s="32" t="str">
        <f>IFERROR(__xludf.DUMMYFUNCTION("""COMPUTED_VALUE"""),"")</f>
        <v/>
      </c>
      <c r="G960" s="32" t="str">
        <f>IFERROR(__xludf.DUMMYFUNCTION("""COMPUTED_VALUE"""),"")</f>
        <v/>
      </c>
      <c r="H960" s="32"/>
      <c r="I960" s="32"/>
      <c r="J960" s="32"/>
      <c r="K960" s="32"/>
      <c r="L960" s="32"/>
      <c r="M960" s="32"/>
      <c r="N960" s="32"/>
      <c r="O960" s="32"/>
      <c r="P960" s="32"/>
      <c r="Q960" s="32"/>
      <c r="R960" s="32"/>
      <c r="S960" s="32"/>
      <c r="T960" s="32"/>
      <c r="U960" s="32"/>
      <c r="V960" s="32"/>
      <c r="W960" s="32"/>
      <c r="X960" s="32"/>
      <c r="Y960" s="32"/>
      <c r="Z960" s="32"/>
    </row>
    <row r="961">
      <c r="A961" s="32"/>
      <c r="B961" s="32" t="str">
        <f>IFERROR(__xludf.DUMMYFUNCTION("""COMPUTED_VALUE"""),"")</f>
        <v/>
      </c>
      <c r="C961" s="32" t="str">
        <f>IFERROR(__xludf.DUMMYFUNCTION("""COMPUTED_VALUE"""),"")</f>
        <v/>
      </c>
      <c r="D961" s="32" t="str">
        <f>IFERROR(__xludf.DUMMYFUNCTION("""COMPUTED_VALUE"""),"")</f>
        <v/>
      </c>
      <c r="E961" s="32" t="str">
        <f>IFERROR(__xludf.DUMMYFUNCTION("""COMPUTED_VALUE"""),"")</f>
        <v/>
      </c>
      <c r="F961" s="32" t="str">
        <f>IFERROR(__xludf.DUMMYFUNCTION("""COMPUTED_VALUE"""),"")</f>
        <v/>
      </c>
      <c r="G961" s="32" t="str">
        <f>IFERROR(__xludf.DUMMYFUNCTION("""COMPUTED_VALUE"""),"")</f>
        <v/>
      </c>
      <c r="H961" s="32"/>
      <c r="I961" s="32"/>
      <c r="J961" s="32"/>
      <c r="K961" s="32"/>
      <c r="L961" s="32"/>
      <c r="M961" s="32"/>
      <c r="N961" s="32"/>
      <c r="O961" s="32"/>
      <c r="P961" s="32"/>
      <c r="Q961" s="32"/>
      <c r="R961" s="32"/>
      <c r="S961" s="32"/>
      <c r="T961" s="32"/>
      <c r="U961" s="32"/>
      <c r="V961" s="32"/>
      <c r="W961" s="32"/>
      <c r="X961" s="32"/>
      <c r="Y961" s="32"/>
      <c r="Z961" s="32"/>
    </row>
    <row r="962">
      <c r="A962" s="32"/>
      <c r="B962" s="32" t="str">
        <f>IFERROR(__xludf.DUMMYFUNCTION("""COMPUTED_VALUE"""),"")</f>
        <v/>
      </c>
      <c r="C962" s="32" t="str">
        <f>IFERROR(__xludf.DUMMYFUNCTION("""COMPUTED_VALUE"""),"")</f>
        <v/>
      </c>
      <c r="D962" s="32" t="str">
        <f>IFERROR(__xludf.DUMMYFUNCTION("""COMPUTED_VALUE"""),"")</f>
        <v/>
      </c>
      <c r="E962" s="32" t="str">
        <f>IFERROR(__xludf.DUMMYFUNCTION("""COMPUTED_VALUE"""),"")</f>
        <v/>
      </c>
      <c r="F962" s="32" t="str">
        <f>IFERROR(__xludf.DUMMYFUNCTION("""COMPUTED_VALUE"""),"")</f>
        <v/>
      </c>
      <c r="G962" s="32" t="str">
        <f>IFERROR(__xludf.DUMMYFUNCTION("""COMPUTED_VALUE"""),"")</f>
        <v/>
      </c>
      <c r="H962" s="32"/>
      <c r="I962" s="32"/>
      <c r="J962" s="32"/>
      <c r="K962" s="32"/>
      <c r="L962" s="32"/>
      <c r="M962" s="32"/>
      <c r="N962" s="32"/>
      <c r="O962" s="32"/>
      <c r="P962" s="32"/>
      <c r="Q962" s="32"/>
      <c r="R962" s="32"/>
      <c r="S962" s="32"/>
      <c r="T962" s="32"/>
      <c r="U962" s="32"/>
      <c r="V962" s="32"/>
      <c r="W962" s="32"/>
      <c r="X962" s="32"/>
      <c r="Y962" s="32"/>
      <c r="Z962" s="32"/>
    </row>
    <row r="963">
      <c r="A963" s="32"/>
      <c r="B963" s="32" t="str">
        <f>IFERROR(__xludf.DUMMYFUNCTION("""COMPUTED_VALUE"""),"")</f>
        <v/>
      </c>
      <c r="C963" s="32" t="str">
        <f>IFERROR(__xludf.DUMMYFUNCTION("""COMPUTED_VALUE"""),"")</f>
        <v/>
      </c>
      <c r="D963" s="32" t="str">
        <f>IFERROR(__xludf.DUMMYFUNCTION("""COMPUTED_VALUE"""),"")</f>
        <v/>
      </c>
      <c r="E963" s="32" t="str">
        <f>IFERROR(__xludf.DUMMYFUNCTION("""COMPUTED_VALUE"""),"")</f>
        <v/>
      </c>
      <c r="F963" s="32" t="str">
        <f>IFERROR(__xludf.DUMMYFUNCTION("""COMPUTED_VALUE"""),"")</f>
        <v/>
      </c>
      <c r="G963" s="32" t="str">
        <f>IFERROR(__xludf.DUMMYFUNCTION("""COMPUTED_VALUE"""),"")</f>
        <v/>
      </c>
      <c r="H963" s="32"/>
      <c r="I963" s="32"/>
      <c r="J963" s="32"/>
      <c r="K963" s="32"/>
      <c r="L963" s="32"/>
      <c r="M963" s="32"/>
      <c r="N963" s="32"/>
      <c r="O963" s="32"/>
      <c r="P963" s="32"/>
      <c r="Q963" s="32"/>
      <c r="R963" s="32"/>
      <c r="S963" s="32"/>
      <c r="T963" s="32"/>
      <c r="U963" s="32"/>
      <c r="V963" s="32"/>
      <c r="W963" s="32"/>
      <c r="X963" s="32"/>
      <c r="Y963" s="32"/>
      <c r="Z963" s="32"/>
    </row>
    <row r="964">
      <c r="A964" s="32"/>
      <c r="B964" s="32" t="str">
        <f>IFERROR(__xludf.DUMMYFUNCTION("""COMPUTED_VALUE"""),"")</f>
        <v/>
      </c>
      <c r="C964" s="32" t="str">
        <f>IFERROR(__xludf.DUMMYFUNCTION("""COMPUTED_VALUE"""),"")</f>
        <v/>
      </c>
      <c r="D964" s="32" t="str">
        <f>IFERROR(__xludf.DUMMYFUNCTION("""COMPUTED_VALUE"""),"")</f>
        <v/>
      </c>
      <c r="E964" s="32" t="str">
        <f>IFERROR(__xludf.DUMMYFUNCTION("""COMPUTED_VALUE"""),"")</f>
        <v/>
      </c>
      <c r="F964" s="32" t="str">
        <f>IFERROR(__xludf.DUMMYFUNCTION("""COMPUTED_VALUE"""),"")</f>
        <v/>
      </c>
      <c r="G964" s="32" t="str">
        <f>IFERROR(__xludf.DUMMYFUNCTION("""COMPUTED_VALUE"""),"")</f>
        <v/>
      </c>
      <c r="H964" s="32"/>
      <c r="I964" s="32"/>
      <c r="J964" s="32"/>
      <c r="K964" s="32"/>
      <c r="L964" s="32"/>
      <c r="M964" s="32"/>
      <c r="N964" s="32"/>
      <c r="O964" s="32"/>
      <c r="P964" s="32"/>
      <c r="Q964" s="32"/>
      <c r="R964" s="32"/>
      <c r="S964" s="32"/>
      <c r="T964" s="32"/>
      <c r="U964" s="32"/>
      <c r="V964" s="32"/>
      <c r="W964" s="32"/>
      <c r="X964" s="32"/>
      <c r="Y964" s="32"/>
      <c r="Z964" s="32"/>
    </row>
    <row r="965">
      <c r="A965" s="32"/>
      <c r="B965" s="32" t="str">
        <f>IFERROR(__xludf.DUMMYFUNCTION("""COMPUTED_VALUE"""),"")</f>
        <v/>
      </c>
      <c r="C965" s="32" t="str">
        <f>IFERROR(__xludf.DUMMYFUNCTION("""COMPUTED_VALUE"""),"")</f>
        <v/>
      </c>
      <c r="D965" s="32" t="str">
        <f>IFERROR(__xludf.DUMMYFUNCTION("""COMPUTED_VALUE"""),"")</f>
        <v/>
      </c>
      <c r="E965" s="32" t="str">
        <f>IFERROR(__xludf.DUMMYFUNCTION("""COMPUTED_VALUE"""),"")</f>
        <v/>
      </c>
      <c r="F965" s="32" t="str">
        <f>IFERROR(__xludf.DUMMYFUNCTION("""COMPUTED_VALUE"""),"")</f>
        <v/>
      </c>
      <c r="G965" s="32" t="str">
        <f>IFERROR(__xludf.DUMMYFUNCTION("""COMPUTED_VALUE"""),"")</f>
        <v/>
      </c>
      <c r="H965" s="32"/>
      <c r="I965" s="32"/>
      <c r="J965" s="32"/>
      <c r="K965" s="32"/>
      <c r="L965" s="32"/>
      <c r="M965" s="32"/>
      <c r="N965" s="32"/>
      <c r="O965" s="32"/>
      <c r="P965" s="32"/>
      <c r="Q965" s="32"/>
      <c r="R965" s="32"/>
      <c r="S965" s="32"/>
      <c r="T965" s="32"/>
      <c r="U965" s="32"/>
      <c r="V965" s="32"/>
      <c r="W965" s="32"/>
      <c r="X965" s="32"/>
      <c r="Y965" s="32"/>
      <c r="Z965" s="32"/>
    </row>
    <row r="966">
      <c r="A966" s="32"/>
      <c r="B966" s="32" t="str">
        <f>IFERROR(__xludf.DUMMYFUNCTION("""COMPUTED_VALUE"""),"")</f>
        <v/>
      </c>
      <c r="C966" s="32" t="str">
        <f>IFERROR(__xludf.DUMMYFUNCTION("""COMPUTED_VALUE"""),"")</f>
        <v/>
      </c>
      <c r="D966" s="32" t="str">
        <f>IFERROR(__xludf.DUMMYFUNCTION("""COMPUTED_VALUE"""),"")</f>
        <v/>
      </c>
      <c r="E966" s="32" t="str">
        <f>IFERROR(__xludf.DUMMYFUNCTION("""COMPUTED_VALUE"""),"")</f>
        <v/>
      </c>
      <c r="F966" s="32" t="str">
        <f>IFERROR(__xludf.DUMMYFUNCTION("""COMPUTED_VALUE"""),"")</f>
        <v/>
      </c>
      <c r="G966" s="32" t="str">
        <f>IFERROR(__xludf.DUMMYFUNCTION("""COMPUTED_VALUE"""),"")</f>
        <v/>
      </c>
      <c r="H966" s="32"/>
      <c r="I966" s="32"/>
      <c r="J966" s="32"/>
      <c r="K966" s="32"/>
      <c r="L966" s="32"/>
      <c r="M966" s="32"/>
      <c r="N966" s="32"/>
      <c r="O966" s="32"/>
      <c r="P966" s="32"/>
      <c r="Q966" s="32"/>
      <c r="R966" s="32"/>
      <c r="S966" s="32"/>
      <c r="T966" s="32"/>
      <c r="U966" s="32"/>
      <c r="V966" s="32"/>
      <c r="W966" s="32"/>
      <c r="X966" s="32"/>
      <c r="Y966" s="32"/>
      <c r="Z966" s="32"/>
    </row>
    <row r="967">
      <c r="A967" s="32"/>
      <c r="B967" s="32" t="str">
        <f>IFERROR(__xludf.DUMMYFUNCTION("""COMPUTED_VALUE"""),"")</f>
        <v/>
      </c>
      <c r="C967" s="32" t="str">
        <f>IFERROR(__xludf.DUMMYFUNCTION("""COMPUTED_VALUE"""),"")</f>
        <v/>
      </c>
      <c r="D967" s="32" t="str">
        <f>IFERROR(__xludf.DUMMYFUNCTION("""COMPUTED_VALUE"""),"")</f>
        <v/>
      </c>
      <c r="E967" s="32" t="str">
        <f>IFERROR(__xludf.DUMMYFUNCTION("""COMPUTED_VALUE"""),"")</f>
        <v/>
      </c>
      <c r="F967" s="32" t="str">
        <f>IFERROR(__xludf.DUMMYFUNCTION("""COMPUTED_VALUE"""),"")</f>
        <v/>
      </c>
      <c r="G967" s="32" t="str">
        <f>IFERROR(__xludf.DUMMYFUNCTION("""COMPUTED_VALUE"""),"")</f>
        <v/>
      </c>
      <c r="H967" s="32"/>
      <c r="I967" s="32"/>
      <c r="J967" s="32"/>
      <c r="K967" s="32"/>
      <c r="L967" s="32"/>
      <c r="M967" s="32"/>
      <c r="N967" s="32"/>
      <c r="O967" s="32"/>
      <c r="P967" s="32"/>
      <c r="Q967" s="32"/>
      <c r="R967" s="32"/>
      <c r="S967" s="32"/>
      <c r="T967" s="32"/>
      <c r="U967" s="32"/>
      <c r="V967" s="32"/>
      <c r="W967" s="32"/>
      <c r="X967" s="32"/>
      <c r="Y967" s="32"/>
      <c r="Z967" s="32"/>
    </row>
    <row r="968">
      <c r="A968" s="32"/>
      <c r="B968" s="32" t="str">
        <f>IFERROR(__xludf.DUMMYFUNCTION("""COMPUTED_VALUE"""),"")</f>
        <v/>
      </c>
      <c r="C968" s="32" t="str">
        <f>IFERROR(__xludf.DUMMYFUNCTION("""COMPUTED_VALUE"""),"")</f>
        <v/>
      </c>
      <c r="D968" s="32" t="str">
        <f>IFERROR(__xludf.DUMMYFUNCTION("""COMPUTED_VALUE"""),"")</f>
        <v/>
      </c>
      <c r="E968" s="32" t="str">
        <f>IFERROR(__xludf.DUMMYFUNCTION("""COMPUTED_VALUE"""),"")</f>
        <v/>
      </c>
      <c r="F968" s="32" t="str">
        <f>IFERROR(__xludf.DUMMYFUNCTION("""COMPUTED_VALUE"""),"")</f>
        <v/>
      </c>
      <c r="G968" s="32" t="str">
        <f>IFERROR(__xludf.DUMMYFUNCTION("""COMPUTED_VALUE"""),"")</f>
        <v/>
      </c>
      <c r="H968" s="32"/>
      <c r="I968" s="32"/>
      <c r="J968" s="32"/>
      <c r="K968" s="32"/>
      <c r="L968" s="32"/>
      <c r="M968" s="32"/>
      <c r="N968" s="32"/>
      <c r="O968" s="32"/>
      <c r="P968" s="32"/>
      <c r="Q968" s="32"/>
      <c r="R968" s="32"/>
      <c r="S968" s="32"/>
      <c r="T968" s="32"/>
      <c r="U968" s="32"/>
      <c r="V968" s="32"/>
      <c r="W968" s="32"/>
      <c r="X968" s="32"/>
      <c r="Y968" s="32"/>
      <c r="Z968" s="32"/>
    </row>
    <row r="969">
      <c r="A969" s="32"/>
      <c r="B969" s="32" t="str">
        <f>IFERROR(__xludf.DUMMYFUNCTION("""COMPUTED_VALUE"""),"")</f>
        <v/>
      </c>
      <c r="C969" s="32" t="str">
        <f>IFERROR(__xludf.DUMMYFUNCTION("""COMPUTED_VALUE"""),"")</f>
        <v/>
      </c>
      <c r="D969" s="32" t="str">
        <f>IFERROR(__xludf.DUMMYFUNCTION("""COMPUTED_VALUE"""),"")</f>
        <v/>
      </c>
      <c r="E969" s="32" t="str">
        <f>IFERROR(__xludf.DUMMYFUNCTION("""COMPUTED_VALUE"""),"")</f>
        <v/>
      </c>
      <c r="F969" s="32" t="str">
        <f>IFERROR(__xludf.DUMMYFUNCTION("""COMPUTED_VALUE"""),"")</f>
        <v/>
      </c>
      <c r="G969" s="32" t="str">
        <f>IFERROR(__xludf.DUMMYFUNCTION("""COMPUTED_VALUE"""),"")</f>
        <v/>
      </c>
      <c r="H969" s="32"/>
      <c r="I969" s="32"/>
      <c r="J969" s="32"/>
      <c r="K969" s="32"/>
      <c r="L969" s="32"/>
      <c r="M969" s="32"/>
      <c r="N969" s="32"/>
      <c r="O969" s="32"/>
      <c r="P969" s="32"/>
      <c r="Q969" s="32"/>
      <c r="R969" s="32"/>
      <c r="S969" s="32"/>
      <c r="T969" s="32"/>
      <c r="U969" s="32"/>
      <c r="V969" s="32"/>
      <c r="W969" s="32"/>
      <c r="X969" s="32"/>
      <c r="Y969" s="32"/>
      <c r="Z969" s="32"/>
    </row>
    <row r="970">
      <c r="A970" s="32"/>
      <c r="B970" s="32" t="str">
        <f>IFERROR(__xludf.DUMMYFUNCTION("""COMPUTED_VALUE"""),"")</f>
        <v/>
      </c>
      <c r="C970" s="32" t="str">
        <f>IFERROR(__xludf.DUMMYFUNCTION("""COMPUTED_VALUE"""),"")</f>
        <v/>
      </c>
      <c r="D970" s="32" t="str">
        <f>IFERROR(__xludf.DUMMYFUNCTION("""COMPUTED_VALUE"""),"")</f>
        <v/>
      </c>
      <c r="E970" s="32" t="str">
        <f>IFERROR(__xludf.DUMMYFUNCTION("""COMPUTED_VALUE"""),"")</f>
        <v/>
      </c>
      <c r="F970" s="32" t="str">
        <f>IFERROR(__xludf.DUMMYFUNCTION("""COMPUTED_VALUE"""),"")</f>
        <v/>
      </c>
      <c r="G970" s="32" t="str">
        <f>IFERROR(__xludf.DUMMYFUNCTION("""COMPUTED_VALUE"""),"")</f>
        <v/>
      </c>
      <c r="H970" s="32"/>
      <c r="I970" s="32"/>
      <c r="J970" s="32"/>
      <c r="K970" s="32"/>
      <c r="L970" s="32"/>
      <c r="M970" s="32"/>
      <c r="N970" s="32"/>
      <c r="O970" s="32"/>
      <c r="P970" s="32"/>
      <c r="Q970" s="32"/>
      <c r="R970" s="32"/>
      <c r="S970" s="32"/>
      <c r="T970" s="32"/>
      <c r="U970" s="32"/>
      <c r="V970" s="32"/>
      <c r="W970" s="32"/>
      <c r="X970" s="32"/>
      <c r="Y970" s="32"/>
      <c r="Z970" s="32"/>
    </row>
    <row r="971">
      <c r="A971" s="32"/>
      <c r="B971" s="32" t="str">
        <f>IFERROR(__xludf.DUMMYFUNCTION("""COMPUTED_VALUE"""),"")</f>
        <v/>
      </c>
      <c r="C971" s="32" t="str">
        <f>IFERROR(__xludf.DUMMYFUNCTION("""COMPUTED_VALUE"""),"")</f>
        <v/>
      </c>
      <c r="D971" s="32" t="str">
        <f>IFERROR(__xludf.DUMMYFUNCTION("""COMPUTED_VALUE"""),"")</f>
        <v/>
      </c>
      <c r="E971" s="32" t="str">
        <f>IFERROR(__xludf.DUMMYFUNCTION("""COMPUTED_VALUE"""),"")</f>
        <v/>
      </c>
      <c r="F971" s="32" t="str">
        <f>IFERROR(__xludf.DUMMYFUNCTION("""COMPUTED_VALUE"""),"")</f>
        <v/>
      </c>
      <c r="G971" s="32" t="str">
        <f>IFERROR(__xludf.DUMMYFUNCTION("""COMPUTED_VALUE"""),"")</f>
        <v/>
      </c>
      <c r="H971" s="32"/>
      <c r="I971" s="32"/>
      <c r="J971" s="32"/>
      <c r="K971" s="32"/>
      <c r="L971" s="32"/>
      <c r="M971" s="32"/>
      <c r="N971" s="32"/>
      <c r="O971" s="32"/>
      <c r="P971" s="32"/>
      <c r="Q971" s="32"/>
      <c r="R971" s="32"/>
      <c r="S971" s="32"/>
      <c r="T971" s="32"/>
      <c r="U971" s="32"/>
      <c r="V971" s="32"/>
      <c r="W971" s="32"/>
      <c r="X971" s="32"/>
      <c r="Y971" s="32"/>
      <c r="Z971" s="32"/>
    </row>
    <row r="972">
      <c r="A972" s="32"/>
      <c r="B972" s="32" t="str">
        <f>IFERROR(__xludf.DUMMYFUNCTION("""COMPUTED_VALUE"""),"")</f>
        <v/>
      </c>
      <c r="C972" s="32" t="str">
        <f>IFERROR(__xludf.DUMMYFUNCTION("""COMPUTED_VALUE"""),"")</f>
        <v/>
      </c>
      <c r="D972" s="32" t="str">
        <f>IFERROR(__xludf.DUMMYFUNCTION("""COMPUTED_VALUE"""),"")</f>
        <v/>
      </c>
      <c r="E972" s="32" t="str">
        <f>IFERROR(__xludf.DUMMYFUNCTION("""COMPUTED_VALUE"""),"")</f>
        <v/>
      </c>
      <c r="F972" s="32" t="str">
        <f>IFERROR(__xludf.DUMMYFUNCTION("""COMPUTED_VALUE"""),"")</f>
        <v/>
      </c>
      <c r="G972" s="32" t="str">
        <f>IFERROR(__xludf.DUMMYFUNCTION("""COMPUTED_VALUE"""),"")</f>
        <v/>
      </c>
      <c r="H972" s="32"/>
      <c r="I972" s="32"/>
      <c r="J972" s="32"/>
      <c r="K972" s="32"/>
      <c r="L972" s="32"/>
      <c r="M972" s="32"/>
      <c r="N972" s="32"/>
      <c r="O972" s="32"/>
      <c r="P972" s="32"/>
      <c r="Q972" s="32"/>
      <c r="R972" s="32"/>
      <c r="S972" s="32"/>
      <c r="T972" s="32"/>
      <c r="U972" s="32"/>
      <c r="V972" s="32"/>
      <c r="W972" s="32"/>
      <c r="X972" s="32"/>
      <c r="Y972" s="32"/>
      <c r="Z972" s="32"/>
    </row>
    <row r="973">
      <c r="A973" s="32"/>
      <c r="B973" s="32" t="str">
        <f>IFERROR(__xludf.DUMMYFUNCTION("""COMPUTED_VALUE"""),"")</f>
        <v/>
      </c>
      <c r="C973" s="32" t="str">
        <f>IFERROR(__xludf.DUMMYFUNCTION("""COMPUTED_VALUE"""),"")</f>
        <v/>
      </c>
      <c r="D973" s="32" t="str">
        <f>IFERROR(__xludf.DUMMYFUNCTION("""COMPUTED_VALUE"""),"")</f>
        <v/>
      </c>
      <c r="E973" s="32" t="str">
        <f>IFERROR(__xludf.DUMMYFUNCTION("""COMPUTED_VALUE"""),"")</f>
        <v/>
      </c>
      <c r="F973" s="32" t="str">
        <f>IFERROR(__xludf.DUMMYFUNCTION("""COMPUTED_VALUE"""),"")</f>
        <v/>
      </c>
      <c r="G973" s="32" t="str">
        <f>IFERROR(__xludf.DUMMYFUNCTION("""COMPUTED_VALUE"""),"")</f>
        <v/>
      </c>
      <c r="H973" s="32"/>
      <c r="I973" s="32"/>
      <c r="J973" s="32"/>
      <c r="K973" s="32"/>
      <c r="L973" s="32"/>
      <c r="M973" s="32"/>
      <c r="N973" s="32"/>
      <c r="O973" s="32"/>
      <c r="P973" s="32"/>
      <c r="Q973" s="32"/>
      <c r="R973" s="32"/>
      <c r="S973" s="32"/>
      <c r="T973" s="32"/>
      <c r="U973" s="32"/>
      <c r="V973" s="32"/>
      <c r="W973" s="32"/>
      <c r="X973" s="32"/>
      <c r="Y973" s="32"/>
      <c r="Z973" s="32"/>
    </row>
    <row r="974">
      <c r="A974" s="32"/>
      <c r="B974" s="32" t="str">
        <f>IFERROR(__xludf.DUMMYFUNCTION("""COMPUTED_VALUE"""),"")</f>
        <v/>
      </c>
      <c r="C974" s="32" t="str">
        <f>IFERROR(__xludf.DUMMYFUNCTION("""COMPUTED_VALUE"""),"")</f>
        <v/>
      </c>
      <c r="D974" s="32" t="str">
        <f>IFERROR(__xludf.DUMMYFUNCTION("""COMPUTED_VALUE"""),"")</f>
        <v/>
      </c>
      <c r="E974" s="32" t="str">
        <f>IFERROR(__xludf.DUMMYFUNCTION("""COMPUTED_VALUE"""),"")</f>
        <v/>
      </c>
      <c r="F974" s="32" t="str">
        <f>IFERROR(__xludf.DUMMYFUNCTION("""COMPUTED_VALUE"""),"")</f>
        <v/>
      </c>
      <c r="G974" s="32" t="str">
        <f>IFERROR(__xludf.DUMMYFUNCTION("""COMPUTED_VALUE"""),"")</f>
        <v/>
      </c>
      <c r="H974" s="32"/>
      <c r="I974" s="32"/>
      <c r="J974" s="32"/>
      <c r="K974" s="32"/>
      <c r="L974" s="32"/>
      <c r="M974" s="32"/>
      <c r="N974" s="32"/>
      <c r="O974" s="32"/>
      <c r="P974" s="32"/>
      <c r="Q974" s="32"/>
      <c r="R974" s="32"/>
      <c r="S974" s="32"/>
      <c r="T974" s="32"/>
      <c r="U974" s="32"/>
      <c r="V974" s="32"/>
      <c r="W974" s="32"/>
      <c r="X974" s="32"/>
      <c r="Y974" s="32"/>
      <c r="Z974" s="32"/>
    </row>
    <row r="975">
      <c r="A975" s="32"/>
      <c r="B975" s="32" t="str">
        <f>IFERROR(__xludf.DUMMYFUNCTION("""COMPUTED_VALUE"""),"")</f>
        <v/>
      </c>
      <c r="C975" s="32" t="str">
        <f>IFERROR(__xludf.DUMMYFUNCTION("""COMPUTED_VALUE"""),"")</f>
        <v/>
      </c>
      <c r="D975" s="32" t="str">
        <f>IFERROR(__xludf.DUMMYFUNCTION("""COMPUTED_VALUE"""),"")</f>
        <v/>
      </c>
      <c r="E975" s="32" t="str">
        <f>IFERROR(__xludf.DUMMYFUNCTION("""COMPUTED_VALUE"""),"")</f>
        <v/>
      </c>
      <c r="F975" s="32" t="str">
        <f>IFERROR(__xludf.DUMMYFUNCTION("""COMPUTED_VALUE"""),"")</f>
        <v/>
      </c>
      <c r="G975" s="32" t="str">
        <f>IFERROR(__xludf.DUMMYFUNCTION("""COMPUTED_VALUE"""),"")</f>
        <v/>
      </c>
      <c r="H975" s="32"/>
      <c r="I975" s="32"/>
      <c r="J975" s="32"/>
      <c r="K975" s="32"/>
      <c r="L975" s="32"/>
      <c r="M975" s="32"/>
      <c r="N975" s="32"/>
      <c r="O975" s="32"/>
      <c r="P975" s="32"/>
      <c r="Q975" s="32"/>
      <c r="R975" s="32"/>
      <c r="S975" s="32"/>
      <c r="T975" s="32"/>
      <c r="U975" s="32"/>
      <c r="V975" s="32"/>
      <c r="W975" s="32"/>
      <c r="X975" s="32"/>
      <c r="Y975" s="32"/>
      <c r="Z975" s="32"/>
    </row>
    <row r="976">
      <c r="A976" s="32"/>
      <c r="B976" s="32" t="str">
        <f>IFERROR(__xludf.DUMMYFUNCTION("""COMPUTED_VALUE"""),"")</f>
        <v/>
      </c>
      <c r="C976" s="32" t="str">
        <f>IFERROR(__xludf.DUMMYFUNCTION("""COMPUTED_VALUE"""),"")</f>
        <v/>
      </c>
      <c r="D976" s="32" t="str">
        <f>IFERROR(__xludf.DUMMYFUNCTION("""COMPUTED_VALUE"""),"")</f>
        <v/>
      </c>
      <c r="E976" s="32" t="str">
        <f>IFERROR(__xludf.DUMMYFUNCTION("""COMPUTED_VALUE"""),"")</f>
        <v/>
      </c>
      <c r="F976" s="32" t="str">
        <f>IFERROR(__xludf.DUMMYFUNCTION("""COMPUTED_VALUE"""),"")</f>
        <v/>
      </c>
      <c r="G976" s="32" t="str">
        <f>IFERROR(__xludf.DUMMYFUNCTION("""COMPUTED_VALUE"""),"")</f>
        <v/>
      </c>
      <c r="H976" s="32"/>
      <c r="I976" s="32"/>
      <c r="J976" s="32"/>
      <c r="K976" s="32"/>
      <c r="L976" s="32"/>
      <c r="M976" s="32"/>
      <c r="N976" s="32"/>
      <c r="O976" s="32"/>
      <c r="P976" s="32"/>
      <c r="Q976" s="32"/>
      <c r="R976" s="32"/>
      <c r="S976" s="32"/>
      <c r="T976" s="32"/>
      <c r="U976" s="32"/>
      <c r="V976" s="32"/>
      <c r="W976" s="32"/>
      <c r="X976" s="32"/>
      <c r="Y976" s="32"/>
      <c r="Z976" s="32"/>
    </row>
    <row r="977">
      <c r="A977" s="32"/>
      <c r="B977" s="32" t="str">
        <f>IFERROR(__xludf.DUMMYFUNCTION("""COMPUTED_VALUE"""),"")</f>
        <v/>
      </c>
      <c r="C977" s="32" t="str">
        <f>IFERROR(__xludf.DUMMYFUNCTION("""COMPUTED_VALUE"""),"")</f>
        <v/>
      </c>
      <c r="D977" s="32" t="str">
        <f>IFERROR(__xludf.DUMMYFUNCTION("""COMPUTED_VALUE"""),"")</f>
        <v/>
      </c>
      <c r="E977" s="32" t="str">
        <f>IFERROR(__xludf.DUMMYFUNCTION("""COMPUTED_VALUE"""),"")</f>
        <v/>
      </c>
      <c r="F977" s="32" t="str">
        <f>IFERROR(__xludf.DUMMYFUNCTION("""COMPUTED_VALUE"""),"")</f>
        <v/>
      </c>
      <c r="G977" s="32" t="str">
        <f>IFERROR(__xludf.DUMMYFUNCTION("""COMPUTED_VALUE"""),"")</f>
        <v/>
      </c>
      <c r="H977" s="32"/>
      <c r="I977" s="32"/>
      <c r="J977" s="32"/>
      <c r="K977" s="32"/>
      <c r="L977" s="32"/>
      <c r="M977" s="32"/>
      <c r="N977" s="32"/>
      <c r="O977" s="32"/>
      <c r="P977" s="32"/>
      <c r="Q977" s="32"/>
      <c r="R977" s="32"/>
      <c r="S977" s="32"/>
      <c r="T977" s="32"/>
      <c r="U977" s="32"/>
      <c r="V977" s="32"/>
      <c r="W977" s="32"/>
      <c r="X977" s="32"/>
      <c r="Y977" s="32"/>
      <c r="Z977" s="32"/>
    </row>
    <row r="978">
      <c r="A978" s="32"/>
      <c r="B978" s="32" t="str">
        <f>IFERROR(__xludf.DUMMYFUNCTION("""COMPUTED_VALUE"""),"")</f>
        <v/>
      </c>
      <c r="C978" s="32" t="str">
        <f>IFERROR(__xludf.DUMMYFUNCTION("""COMPUTED_VALUE"""),"")</f>
        <v/>
      </c>
      <c r="D978" s="32" t="str">
        <f>IFERROR(__xludf.DUMMYFUNCTION("""COMPUTED_VALUE"""),"")</f>
        <v/>
      </c>
      <c r="E978" s="32" t="str">
        <f>IFERROR(__xludf.DUMMYFUNCTION("""COMPUTED_VALUE"""),"")</f>
        <v/>
      </c>
      <c r="F978" s="32" t="str">
        <f>IFERROR(__xludf.DUMMYFUNCTION("""COMPUTED_VALUE"""),"")</f>
        <v/>
      </c>
      <c r="G978" s="32" t="str">
        <f>IFERROR(__xludf.DUMMYFUNCTION("""COMPUTED_VALUE"""),"")</f>
        <v/>
      </c>
      <c r="H978" s="32"/>
      <c r="I978" s="32"/>
      <c r="J978" s="32"/>
      <c r="K978" s="32"/>
      <c r="L978" s="32"/>
      <c r="M978" s="32"/>
      <c r="N978" s="32"/>
      <c r="O978" s="32"/>
      <c r="P978" s="32"/>
      <c r="Q978" s="32"/>
      <c r="R978" s="32"/>
      <c r="S978" s="32"/>
      <c r="T978" s="32"/>
      <c r="U978" s="32"/>
      <c r="V978" s="32"/>
      <c r="W978" s="32"/>
      <c r="X978" s="32"/>
      <c r="Y978" s="32"/>
      <c r="Z978" s="32"/>
    </row>
    <row r="979">
      <c r="A979" s="32"/>
      <c r="B979" s="32" t="str">
        <f>IFERROR(__xludf.DUMMYFUNCTION("""COMPUTED_VALUE"""),"")</f>
        <v/>
      </c>
      <c r="C979" s="32" t="str">
        <f>IFERROR(__xludf.DUMMYFUNCTION("""COMPUTED_VALUE"""),"")</f>
        <v/>
      </c>
      <c r="D979" s="32" t="str">
        <f>IFERROR(__xludf.DUMMYFUNCTION("""COMPUTED_VALUE"""),"")</f>
        <v/>
      </c>
      <c r="E979" s="32" t="str">
        <f>IFERROR(__xludf.DUMMYFUNCTION("""COMPUTED_VALUE"""),"")</f>
        <v/>
      </c>
      <c r="F979" s="32" t="str">
        <f>IFERROR(__xludf.DUMMYFUNCTION("""COMPUTED_VALUE"""),"")</f>
        <v/>
      </c>
      <c r="G979" s="32" t="str">
        <f>IFERROR(__xludf.DUMMYFUNCTION("""COMPUTED_VALUE"""),"")</f>
        <v/>
      </c>
      <c r="H979" s="32"/>
      <c r="I979" s="32"/>
      <c r="J979" s="32"/>
      <c r="K979" s="32"/>
      <c r="L979" s="32"/>
      <c r="M979" s="32"/>
      <c r="N979" s="32"/>
      <c r="O979" s="32"/>
      <c r="P979" s="32"/>
      <c r="Q979" s="32"/>
      <c r="R979" s="32"/>
      <c r="S979" s="32"/>
      <c r="T979" s="32"/>
      <c r="U979" s="32"/>
      <c r="V979" s="32"/>
      <c r="W979" s="32"/>
      <c r="X979" s="32"/>
      <c r="Y979" s="32"/>
      <c r="Z979" s="32"/>
    </row>
    <row r="980">
      <c r="A980" s="32"/>
      <c r="B980" s="32" t="str">
        <f>IFERROR(__xludf.DUMMYFUNCTION("""COMPUTED_VALUE"""),"")</f>
        <v/>
      </c>
      <c r="C980" s="32" t="str">
        <f>IFERROR(__xludf.DUMMYFUNCTION("""COMPUTED_VALUE"""),"")</f>
        <v/>
      </c>
      <c r="D980" s="32" t="str">
        <f>IFERROR(__xludf.DUMMYFUNCTION("""COMPUTED_VALUE"""),"")</f>
        <v/>
      </c>
      <c r="E980" s="32" t="str">
        <f>IFERROR(__xludf.DUMMYFUNCTION("""COMPUTED_VALUE"""),"")</f>
        <v/>
      </c>
      <c r="F980" s="32" t="str">
        <f>IFERROR(__xludf.DUMMYFUNCTION("""COMPUTED_VALUE"""),"")</f>
        <v/>
      </c>
      <c r="G980" s="32" t="str">
        <f>IFERROR(__xludf.DUMMYFUNCTION("""COMPUTED_VALUE"""),"")</f>
        <v/>
      </c>
      <c r="H980" s="32"/>
      <c r="I980" s="32"/>
      <c r="J980" s="32"/>
      <c r="K980" s="32"/>
      <c r="L980" s="32"/>
      <c r="M980" s="32"/>
      <c r="N980" s="32"/>
      <c r="O980" s="32"/>
      <c r="P980" s="32"/>
      <c r="Q980" s="32"/>
      <c r="R980" s="32"/>
      <c r="S980" s="32"/>
      <c r="T980" s="32"/>
      <c r="U980" s="32"/>
      <c r="V980" s="32"/>
      <c r="W980" s="32"/>
      <c r="X980" s="32"/>
      <c r="Y980" s="32"/>
      <c r="Z980" s="32"/>
    </row>
    <row r="981">
      <c r="A981" s="32"/>
      <c r="B981" s="32" t="str">
        <f>IFERROR(__xludf.DUMMYFUNCTION("""COMPUTED_VALUE"""),"")</f>
        <v/>
      </c>
      <c r="C981" s="32" t="str">
        <f>IFERROR(__xludf.DUMMYFUNCTION("""COMPUTED_VALUE"""),"")</f>
        <v/>
      </c>
      <c r="D981" s="32" t="str">
        <f>IFERROR(__xludf.DUMMYFUNCTION("""COMPUTED_VALUE"""),"")</f>
        <v/>
      </c>
      <c r="E981" s="32" t="str">
        <f>IFERROR(__xludf.DUMMYFUNCTION("""COMPUTED_VALUE"""),"")</f>
        <v/>
      </c>
      <c r="F981" s="32" t="str">
        <f>IFERROR(__xludf.DUMMYFUNCTION("""COMPUTED_VALUE"""),"")</f>
        <v/>
      </c>
      <c r="G981" s="32" t="str">
        <f>IFERROR(__xludf.DUMMYFUNCTION("""COMPUTED_VALUE"""),"")</f>
        <v/>
      </c>
      <c r="H981" s="32"/>
      <c r="I981" s="32"/>
      <c r="J981" s="32"/>
      <c r="K981" s="32"/>
      <c r="L981" s="32"/>
      <c r="M981" s="32"/>
      <c r="N981" s="32"/>
      <c r="O981" s="32"/>
      <c r="P981" s="32"/>
      <c r="Q981" s="32"/>
      <c r="R981" s="32"/>
      <c r="S981" s="32"/>
      <c r="T981" s="32"/>
      <c r="U981" s="32"/>
      <c r="V981" s="32"/>
      <c r="W981" s="32"/>
      <c r="X981" s="32"/>
      <c r="Y981" s="32"/>
      <c r="Z981" s="32"/>
    </row>
    <row r="982">
      <c r="A982" s="32"/>
      <c r="B982" s="32" t="str">
        <f>IFERROR(__xludf.DUMMYFUNCTION("""COMPUTED_VALUE"""),"")</f>
        <v/>
      </c>
      <c r="C982" s="32" t="str">
        <f>IFERROR(__xludf.DUMMYFUNCTION("""COMPUTED_VALUE"""),"")</f>
        <v/>
      </c>
      <c r="D982" s="32" t="str">
        <f>IFERROR(__xludf.DUMMYFUNCTION("""COMPUTED_VALUE"""),"")</f>
        <v/>
      </c>
      <c r="E982" s="32" t="str">
        <f>IFERROR(__xludf.DUMMYFUNCTION("""COMPUTED_VALUE"""),"")</f>
        <v/>
      </c>
      <c r="F982" s="32" t="str">
        <f>IFERROR(__xludf.DUMMYFUNCTION("""COMPUTED_VALUE"""),"")</f>
        <v/>
      </c>
      <c r="G982" s="32" t="str">
        <f>IFERROR(__xludf.DUMMYFUNCTION("""COMPUTED_VALUE"""),"")</f>
        <v/>
      </c>
      <c r="H982" s="32"/>
      <c r="I982" s="32"/>
      <c r="J982" s="32"/>
      <c r="K982" s="32"/>
      <c r="L982" s="32"/>
      <c r="M982" s="32"/>
      <c r="N982" s="32"/>
      <c r="O982" s="32"/>
      <c r="P982" s="32"/>
      <c r="Q982" s="32"/>
      <c r="R982" s="32"/>
      <c r="S982" s="32"/>
      <c r="T982" s="32"/>
      <c r="U982" s="32"/>
      <c r="V982" s="32"/>
      <c r="W982" s="32"/>
      <c r="X982" s="32"/>
      <c r="Y982" s="32"/>
      <c r="Z982" s="32"/>
    </row>
    <row r="983">
      <c r="A983" s="32"/>
      <c r="B983" s="32" t="str">
        <f>IFERROR(__xludf.DUMMYFUNCTION("""COMPUTED_VALUE"""),"")</f>
        <v/>
      </c>
      <c r="C983" s="32" t="str">
        <f>IFERROR(__xludf.DUMMYFUNCTION("""COMPUTED_VALUE"""),"")</f>
        <v/>
      </c>
      <c r="D983" s="32" t="str">
        <f>IFERROR(__xludf.DUMMYFUNCTION("""COMPUTED_VALUE"""),"")</f>
        <v/>
      </c>
      <c r="E983" s="32" t="str">
        <f>IFERROR(__xludf.DUMMYFUNCTION("""COMPUTED_VALUE"""),"")</f>
        <v/>
      </c>
      <c r="F983" s="32" t="str">
        <f>IFERROR(__xludf.DUMMYFUNCTION("""COMPUTED_VALUE"""),"")</f>
        <v/>
      </c>
      <c r="G983" s="32" t="str">
        <f>IFERROR(__xludf.DUMMYFUNCTION("""COMPUTED_VALUE"""),"")</f>
        <v/>
      </c>
      <c r="H983" s="32"/>
      <c r="I983" s="32"/>
      <c r="J983" s="32"/>
      <c r="K983" s="32"/>
      <c r="L983" s="32"/>
      <c r="M983" s="32"/>
      <c r="N983" s="32"/>
      <c r="O983" s="32"/>
      <c r="P983" s="32"/>
      <c r="Q983" s="32"/>
      <c r="R983" s="32"/>
      <c r="S983" s="32"/>
      <c r="T983" s="32"/>
      <c r="U983" s="32"/>
      <c r="V983" s="32"/>
      <c r="W983" s="32"/>
      <c r="X983" s="32"/>
      <c r="Y983" s="32"/>
      <c r="Z983" s="32"/>
    </row>
    <row r="984">
      <c r="A984" s="32"/>
      <c r="B984" s="32" t="str">
        <f>IFERROR(__xludf.DUMMYFUNCTION("""COMPUTED_VALUE"""),"")</f>
        <v/>
      </c>
      <c r="C984" s="32" t="str">
        <f>IFERROR(__xludf.DUMMYFUNCTION("""COMPUTED_VALUE"""),"")</f>
        <v/>
      </c>
      <c r="D984" s="32" t="str">
        <f>IFERROR(__xludf.DUMMYFUNCTION("""COMPUTED_VALUE"""),"")</f>
        <v/>
      </c>
      <c r="E984" s="32" t="str">
        <f>IFERROR(__xludf.DUMMYFUNCTION("""COMPUTED_VALUE"""),"")</f>
        <v/>
      </c>
      <c r="F984" s="32" t="str">
        <f>IFERROR(__xludf.DUMMYFUNCTION("""COMPUTED_VALUE"""),"")</f>
        <v/>
      </c>
      <c r="G984" s="32" t="str">
        <f>IFERROR(__xludf.DUMMYFUNCTION("""COMPUTED_VALUE"""),"")</f>
        <v/>
      </c>
      <c r="H984" s="32"/>
      <c r="I984" s="32"/>
      <c r="J984" s="32"/>
      <c r="K984" s="32"/>
      <c r="L984" s="32"/>
      <c r="M984" s="32"/>
      <c r="N984" s="32"/>
      <c r="O984" s="32"/>
      <c r="P984" s="32"/>
      <c r="Q984" s="32"/>
      <c r="R984" s="32"/>
      <c r="S984" s="32"/>
      <c r="T984" s="32"/>
      <c r="U984" s="32"/>
      <c r="V984" s="32"/>
      <c r="W984" s="32"/>
      <c r="X984" s="32"/>
      <c r="Y984" s="32"/>
      <c r="Z984" s="32"/>
    </row>
    <row r="985">
      <c r="A985" s="32"/>
      <c r="B985" s="32" t="str">
        <f>IFERROR(__xludf.DUMMYFUNCTION("""COMPUTED_VALUE"""),"")</f>
        <v/>
      </c>
      <c r="C985" s="32" t="str">
        <f>IFERROR(__xludf.DUMMYFUNCTION("""COMPUTED_VALUE"""),"")</f>
        <v/>
      </c>
      <c r="D985" s="32" t="str">
        <f>IFERROR(__xludf.DUMMYFUNCTION("""COMPUTED_VALUE"""),"")</f>
        <v/>
      </c>
      <c r="E985" s="32" t="str">
        <f>IFERROR(__xludf.DUMMYFUNCTION("""COMPUTED_VALUE"""),"")</f>
        <v/>
      </c>
      <c r="F985" s="32" t="str">
        <f>IFERROR(__xludf.DUMMYFUNCTION("""COMPUTED_VALUE"""),"")</f>
        <v/>
      </c>
      <c r="G985" s="32" t="str">
        <f>IFERROR(__xludf.DUMMYFUNCTION("""COMPUTED_VALUE"""),"")</f>
        <v/>
      </c>
      <c r="H985" s="32"/>
      <c r="I985" s="32"/>
      <c r="J985" s="32"/>
      <c r="K985" s="32"/>
      <c r="L985" s="32"/>
      <c r="M985" s="32"/>
      <c r="N985" s="32"/>
      <c r="O985" s="32"/>
      <c r="P985" s="32"/>
      <c r="Q985" s="32"/>
      <c r="R985" s="32"/>
      <c r="S985" s="32"/>
      <c r="T985" s="32"/>
      <c r="U985" s="32"/>
      <c r="V985" s="32"/>
      <c r="W985" s="32"/>
      <c r="X985" s="32"/>
      <c r="Y985" s="32"/>
      <c r="Z985" s="32"/>
    </row>
    <row r="986">
      <c r="A986" s="32"/>
      <c r="B986" s="32" t="str">
        <f>IFERROR(__xludf.DUMMYFUNCTION("""COMPUTED_VALUE"""),"")</f>
        <v/>
      </c>
      <c r="C986" s="32" t="str">
        <f>IFERROR(__xludf.DUMMYFUNCTION("""COMPUTED_VALUE"""),"")</f>
        <v/>
      </c>
      <c r="D986" s="32" t="str">
        <f>IFERROR(__xludf.DUMMYFUNCTION("""COMPUTED_VALUE"""),"")</f>
        <v/>
      </c>
      <c r="E986" s="32" t="str">
        <f>IFERROR(__xludf.DUMMYFUNCTION("""COMPUTED_VALUE"""),"")</f>
        <v/>
      </c>
      <c r="F986" s="32" t="str">
        <f>IFERROR(__xludf.DUMMYFUNCTION("""COMPUTED_VALUE"""),"")</f>
        <v/>
      </c>
      <c r="G986" s="32" t="str">
        <f>IFERROR(__xludf.DUMMYFUNCTION("""COMPUTED_VALUE"""),"")</f>
        <v/>
      </c>
      <c r="H986" s="32"/>
      <c r="I986" s="32"/>
      <c r="J986" s="32"/>
      <c r="K986" s="32"/>
      <c r="L986" s="32"/>
      <c r="M986" s="32"/>
      <c r="N986" s="32"/>
      <c r="O986" s="32"/>
      <c r="P986" s="32"/>
      <c r="Q986" s="32"/>
      <c r="R986" s="32"/>
      <c r="S986" s="32"/>
      <c r="T986" s="32"/>
      <c r="U986" s="32"/>
      <c r="V986" s="32"/>
      <c r="W986" s="32"/>
      <c r="X986" s="32"/>
      <c r="Y986" s="32"/>
      <c r="Z986" s="32"/>
    </row>
    <row r="987">
      <c r="A987" s="32"/>
      <c r="B987" s="32" t="str">
        <f>IFERROR(__xludf.DUMMYFUNCTION("""COMPUTED_VALUE"""),"")</f>
        <v/>
      </c>
      <c r="C987" s="32" t="str">
        <f>IFERROR(__xludf.DUMMYFUNCTION("""COMPUTED_VALUE"""),"")</f>
        <v/>
      </c>
      <c r="D987" s="32" t="str">
        <f>IFERROR(__xludf.DUMMYFUNCTION("""COMPUTED_VALUE"""),"")</f>
        <v/>
      </c>
      <c r="E987" s="32" t="str">
        <f>IFERROR(__xludf.DUMMYFUNCTION("""COMPUTED_VALUE"""),"")</f>
        <v/>
      </c>
      <c r="F987" s="32" t="str">
        <f>IFERROR(__xludf.DUMMYFUNCTION("""COMPUTED_VALUE"""),"")</f>
        <v/>
      </c>
      <c r="G987" s="32" t="str">
        <f>IFERROR(__xludf.DUMMYFUNCTION("""COMPUTED_VALUE"""),"")</f>
        <v/>
      </c>
      <c r="H987" s="32"/>
      <c r="I987" s="32"/>
      <c r="J987" s="32"/>
      <c r="K987" s="32"/>
      <c r="L987" s="32"/>
      <c r="M987" s="32"/>
      <c r="N987" s="32"/>
      <c r="O987" s="32"/>
      <c r="P987" s="32"/>
      <c r="Q987" s="32"/>
      <c r="R987" s="32"/>
      <c r="S987" s="32"/>
      <c r="T987" s="32"/>
      <c r="U987" s="32"/>
      <c r="V987" s="32"/>
      <c r="W987" s="32"/>
      <c r="X987" s="32"/>
      <c r="Y987" s="32"/>
      <c r="Z987" s="32"/>
    </row>
    <row r="988">
      <c r="A988" s="32"/>
      <c r="B988" s="32" t="str">
        <f>IFERROR(__xludf.DUMMYFUNCTION("""COMPUTED_VALUE"""),"")</f>
        <v/>
      </c>
      <c r="C988" s="32" t="str">
        <f>IFERROR(__xludf.DUMMYFUNCTION("""COMPUTED_VALUE"""),"")</f>
        <v/>
      </c>
      <c r="D988" s="32" t="str">
        <f>IFERROR(__xludf.DUMMYFUNCTION("""COMPUTED_VALUE"""),"")</f>
        <v/>
      </c>
      <c r="E988" s="32" t="str">
        <f>IFERROR(__xludf.DUMMYFUNCTION("""COMPUTED_VALUE"""),"")</f>
        <v/>
      </c>
      <c r="F988" s="32" t="str">
        <f>IFERROR(__xludf.DUMMYFUNCTION("""COMPUTED_VALUE"""),"")</f>
        <v/>
      </c>
      <c r="G988" s="32" t="str">
        <f>IFERROR(__xludf.DUMMYFUNCTION("""COMPUTED_VALUE"""),"")</f>
        <v/>
      </c>
      <c r="H988" s="32"/>
      <c r="I988" s="32"/>
      <c r="J988" s="32"/>
      <c r="K988" s="32"/>
      <c r="L988" s="32"/>
      <c r="M988" s="32"/>
      <c r="N988" s="32"/>
      <c r="O988" s="32"/>
      <c r="P988" s="32"/>
      <c r="Q988" s="32"/>
      <c r="R988" s="32"/>
      <c r="S988" s="32"/>
      <c r="T988" s="32"/>
      <c r="U988" s="32"/>
      <c r="V988" s="32"/>
      <c r="W988" s="32"/>
      <c r="X988" s="32"/>
      <c r="Y988" s="32"/>
      <c r="Z988" s="32"/>
    </row>
    <row r="989">
      <c r="A989" s="32"/>
      <c r="B989" s="32" t="str">
        <f>IFERROR(__xludf.DUMMYFUNCTION("""COMPUTED_VALUE"""),"")</f>
        <v/>
      </c>
      <c r="C989" s="32" t="str">
        <f>IFERROR(__xludf.DUMMYFUNCTION("""COMPUTED_VALUE"""),"")</f>
        <v/>
      </c>
      <c r="D989" s="32" t="str">
        <f>IFERROR(__xludf.DUMMYFUNCTION("""COMPUTED_VALUE"""),"")</f>
        <v/>
      </c>
      <c r="E989" s="32" t="str">
        <f>IFERROR(__xludf.DUMMYFUNCTION("""COMPUTED_VALUE"""),"")</f>
        <v/>
      </c>
      <c r="F989" s="32" t="str">
        <f>IFERROR(__xludf.DUMMYFUNCTION("""COMPUTED_VALUE"""),"")</f>
        <v/>
      </c>
      <c r="G989" s="32" t="str">
        <f>IFERROR(__xludf.DUMMYFUNCTION("""COMPUTED_VALUE"""),"")</f>
        <v/>
      </c>
      <c r="H989" s="32"/>
      <c r="I989" s="32"/>
      <c r="J989" s="32"/>
      <c r="K989" s="32"/>
      <c r="L989" s="32"/>
      <c r="M989" s="32"/>
      <c r="N989" s="32"/>
      <c r="O989" s="32"/>
      <c r="P989" s="32"/>
      <c r="Q989" s="32"/>
      <c r="R989" s="32"/>
      <c r="S989" s="32"/>
      <c r="T989" s="32"/>
      <c r="U989" s="32"/>
      <c r="V989" s="32"/>
      <c r="W989" s="32"/>
      <c r="X989" s="32"/>
      <c r="Y989" s="32"/>
      <c r="Z989" s="32"/>
    </row>
    <row r="990">
      <c r="A990" s="32"/>
      <c r="B990" s="32" t="str">
        <f>IFERROR(__xludf.DUMMYFUNCTION("""COMPUTED_VALUE"""),"")</f>
        <v/>
      </c>
      <c r="C990" s="32" t="str">
        <f>IFERROR(__xludf.DUMMYFUNCTION("""COMPUTED_VALUE"""),"")</f>
        <v/>
      </c>
      <c r="D990" s="32" t="str">
        <f>IFERROR(__xludf.DUMMYFUNCTION("""COMPUTED_VALUE"""),"")</f>
        <v/>
      </c>
      <c r="E990" s="32" t="str">
        <f>IFERROR(__xludf.DUMMYFUNCTION("""COMPUTED_VALUE"""),"")</f>
        <v/>
      </c>
      <c r="F990" s="32" t="str">
        <f>IFERROR(__xludf.DUMMYFUNCTION("""COMPUTED_VALUE"""),"")</f>
        <v/>
      </c>
      <c r="G990" s="32" t="str">
        <f>IFERROR(__xludf.DUMMYFUNCTION("""COMPUTED_VALUE"""),"")</f>
        <v/>
      </c>
      <c r="H990" s="32"/>
      <c r="I990" s="32"/>
      <c r="J990" s="32"/>
      <c r="K990" s="32"/>
      <c r="L990" s="32"/>
      <c r="M990" s="32"/>
      <c r="N990" s="32"/>
      <c r="O990" s="32"/>
      <c r="P990" s="32"/>
      <c r="Q990" s="32"/>
      <c r="R990" s="32"/>
      <c r="S990" s="32"/>
      <c r="T990" s="32"/>
      <c r="U990" s="32"/>
      <c r="V990" s="32"/>
      <c r="W990" s="32"/>
      <c r="X990" s="32"/>
      <c r="Y990" s="32"/>
      <c r="Z990" s="32"/>
    </row>
    <row r="991">
      <c r="A991" s="32"/>
      <c r="B991" s="32" t="str">
        <f>IFERROR(__xludf.DUMMYFUNCTION("""COMPUTED_VALUE"""),"")</f>
        <v/>
      </c>
      <c r="C991" s="32" t="str">
        <f>IFERROR(__xludf.DUMMYFUNCTION("""COMPUTED_VALUE"""),"")</f>
        <v/>
      </c>
      <c r="D991" s="32" t="str">
        <f>IFERROR(__xludf.DUMMYFUNCTION("""COMPUTED_VALUE"""),"")</f>
        <v/>
      </c>
      <c r="E991" s="32" t="str">
        <f>IFERROR(__xludf.DUMMYFUNCTION("""COMPUTED_VALUE"""),"")</f>
        <v/>
      </c>
      <c r="F991" s="32" t="str">
        <f>IFERROR(__xludf.DUMMYFUNCTION("""COMPUTED_VALUE"""),"")</f>
        <v/>
      </c>
      <c r="G991" s="32" t="str">
        <f>IFERROR(__xludf.DUMMYFUNCTION("""COMPUTED_VALUE"""),"")</f>
        <v/>
      </c>
      <c r="H991" s="32"/>
      <c r="I991" s="32"/>
      <c r="J991" s="32"/>
      <c r="K991" s="32"/>
      <c r="L991" s="32"/>
      <c r="M991" s="32"/>
      <c r="N991" s="32"/>
      <c r="O991" s="32"/>
      <c r="P991" s="32"/>
      <c r="Q991" s="32"/>
      <c r="R991" s="32"/>
      <c r="S991" s="32"/>
      <c r="T991" s="32"/>
      <c r="U991" s="32"/>
      <c r="V991" s="32"/>
      <c r="W991" s="32"/>
      <c r="X991" s="32"/>
      <c r="Y991" s="32"/>
      <c r="Z991" s="32"/>
    </row>
    <row r="992">
      <c r="A992" s="32"/>
      <c r="B992" s="32" t="str">
        <f>IFERROR(__xludf.DUMMYFUNCTION("""COMPUTED_VALUE"""),"")</f>
        <v/>
      </c>
      <c r="C992" s="32" t="str">
        <f>IFERROR(__xludf.DUMMYFUNCTION("""COMPUTED_VALUE"""),"")</f>
        <v/>
      </c>
      <c r="D992" s="32" t="str">
        <f>IFERROR(__xludf.DUMMYFUNCTION("""COMPUTED_VALUE"""),"")</f>
        <v/>
      </c>
      <c r="E992" s="32" t="str">
        <f>IFERROR(__xludf.DUMMYFUNCTION("""COMPUTED_VALUE"""),"")</f>
        <v/>
      </c>
      <c r="F992" s="32" t="str">
        <f>IFERROR(__xludf.DUMMYFUNCTION("""COMPUTED_VALUE"""),"")</f>
        <v/>
      </c>
      <c r="G992" s="32" t="str">
        <f>IFERROR(__xludf.DUMMYFUNCTION("""COMPUTED_VALUE"""),"")</f>
        <v/>
      </c>
      <c r="H992" s="32"/>
      <c r="I992" s="32"/>
      <c r="J992" s="32"/>
      <c r="K992" s="32"/>
      <c r="L992" s="32"/>
      <c r="M992" s="32"/>
      <c r="N992" s="32"/>
      <c r="O992" s="32"/>
      <c r="P992" s="32"/>
      <c r="Q992" s="32"/>
      <c r="R992" s="32"/>
      <c r="S992" s="32"/>
      <c r="T992" s="32"/>
      <c r="U992" s="32"/>
      <c r="V992" s="32"/>
      <c r="W992" s="32"/>
      <c r="X992" s="32"/>
      <c r="Y992" s="32"/>
      <c r="Z992" s="32"/>
    </row>
    <row r="993">
      <c r="A993" s="32"/>
      <c r="B993" s="32" t="str">
        <f>IFERROR(__xludf.DUMMYFUNCTION("""COMPUTED_VALUE"""),"")</f>
        <v/>
      </c>
      <c r="C993" s="32" t="str">
        <f>IFERROR(__xludf.DUMMYFUNCTION("""COMPUTED_VALUE"""),"")</f>
        <v/>
      </c>
      <c r="D993" s="32" t="str">
        <f>IFERROR(__xludf.DUMMYFUNCTION("""COMPUTED_VALUE"""),"")</f>
        <v/>
      </c>
      <c r="E993" s="32" t="str">
        <f>IFERROR(__xludf.DUMMYFUNCTION("""COMPUTED_VALUE"""),"")</f>
        <v/>
      </c>
      <c r="F993" s="32" t="str">
        <f>IFERROR(__xludf.DUMMYFUNCTION("""COMPUTED_VALUE"""),"")</f>
        <v/>
      </c>
      <c r="G993" s="32" t="str">
        <f>IFERROR(__xludf.DUMMYFUNCTION("""COMPUTED_VALUE"""),"")</f>
        <v/>
      </c>
      <c r="H993" s="32"/>
      <c r="I993" s="32"/>
      <c r="J993" s="32"/>
      <c r="K993" s="32"/>
      <c r="L993" s="32"/>
      <c r="M993" s="32"/>
      <c r="N993" s="32"/>
      <c r="O993" s="32"/>
      <c r="P993" s="32"/>
      <c r="Q993" s="32"/>
      <c r="R993" s="32"/>
      <c r="S993" s="32"/>
      <c r="T993" s="32"/>
      <c r="U993" s="32"/>
      <c r="V993" s="32"/>
      <c r="W993" s="32"/>
      <c r="X993" s="32"/>
      <c r="Y993" s="32"/>
      <c r="Z993" s="32"/>
    </row>
    <row r="994">
      <c r="A994" s="32"/>
      <c r="B994" s="32" t="str">
        <f>IFERROR(__xludf.DUMMYFUNCTION("""COMPUTED_VALUE"""),"")</f>
        <v/>
      </c>
      <c r="C994" s="32" t="str">
        <f>IFERROR(__xludf.DUMMYFUNCTION("""COMPUTED_VALUE"""),"")</f>
        <v/>
      </c>
      <c r="D994" s="32" t="str">
        <f>IFERROR(__xludf.DUMMYFUNCTION("""COMPUTED_VALUE"""),"")</f>
        <v/>
      </c>
      <c r="E994" s="32" t="str">
        <f>IFERROR(__xludf.DUMMYFUNCTION("""COMPUTED_VALUE"""),"")</f>
        <v/>
      </c>
      <c r="F994" s="32" t="str">
        <f>IFERROR(__xludf.DUMMYFUNCTION("""COMPUTED_VALUE"""),"")</f>
        <v/>
      </c>
      <c r="G994" s="32" t="str">
        <f>IFERROR(__xludf.DUMMYFUNCTION("""COMPUTED_VALUE"""),"")</f>
        <v/>
      </c>
      <c r="H994" s="32"/>
      <c r="I994" s="32"/>
      <c r="J994" s="32"/>
      <c r="K994" s="32"/>
      <c r="L994" s="32"/>
      <c r="M994" s="32"/>
      <c r="N994" s="32"/>
      <c r="O994" s="32"/>
      <c r="P994" s="32"/>
      <c r="Q994" s="32"/>
      <c r="R994" s="32"/>
      <c r="S994" s="32"/>
      <c r="T994" s="32"/>
      <c r="U994" s="32"/>
      <c r="V994" s="32"/>
      <c r="W994" s="32"/>
      <c r="X994" s="32"/>
      <c r="Y994" s="32"/>
      <c r="Z994" s="32"/>
    </row>
    <row r="995">
      <c r="A995" s="32"/>
      <c r="B995" s="32" t="str">
        <f>IFERROR(__xludf.DUMMYFUNCTION("""COMPUTED_VALUE"""),"")</f>
        <v/>
      </c>
      <c r="C995" s="32" t="str">
        <f>IFERROR(__xludf.DUMMYFUNCTION("""COMPUTED_VALUE"""),"")</f>
        <v/>
      </c>
      <c r="D995" s="32" t="str">
        <f>IFERROR(__xludf.DUMMYFUNCTION("""COMPUTED_VALUE"""),"")</f>
        <v/>
      </c>
      <c r="E995" s="32" t="str">
        <f>IFERROR(__xludf.DUMMYFUNCTION("""COMPUTED_VALUE"""),"")</f>
        <v/>
      </c>
      <c r="F995" s="32" t="str">
        <f>IFERROR(__xludf.DUMMYFUNCTION("""COMPUTED_VALUE"""),"")</f>
        <v/>
      </c>
      <c r="G995" s="32" t="str">
        <f>IFERROR(__xludf.DUMMYFUNCTION("""COMPUTED_VALUE"""),"")</f>
        <v/>
      </c>
      <c r="H995" s="32"/>
      <c r="I995" s="32"/>
      <c r="J995" s="32"/>
      <c r="K995" s="32"/>
      <c r="L995" s="32"/>
      <c r="M995" s="32"/>
      <c r="N995" s="32"/>
      <c r="O995" s="32"/>
      <c r="P995" s="32"/>
      <c r="Q995" s="32"/>
      <c r="R995" s="32"/>
      <c r="S995" s="32"/>
      <c r="T995" s="32"/>
      <c r="U995" s="32"/>
      <c r="V995" s="32"/>
      <c r="W995" s="32"/>
      <c r="X995" s="32"/>
      <c r="Y995" s="32"/>
      <c r="Z995" s="32"/>
    </row>
    <row r="996">
      <c r="A996" s="32"/>
      <c r="B996" s="32" t="str">
        <f>IFERROR(__xludf.DUMMYFUNCTION("""COMPUTED_VALUE"""),"")</f>
        <v/>
      </c>
      <c r="C996" s="32" t="str">
        <f>IFERROR(__xludf.DUMMYFUNCTION("""COMPUTED_VALUE"""),"")</f>
        <v/>
      </c>
      <c r="D996" s="32" t="str">
        <f>IFERROR(__xludf.DUMMYFUNCTION("""COMPUTED_VALUE"""),"")</f>
        <v/>
      </c>
      <c r="E996" s="32" t="str">
        <f>IFERROR(__xludf.DUMMYFUNCTION("""COMPUTED_VALUE"""),"")</f>
        <v/>
      </c>
      <c r="F996" s="32" t="str">
        <f>IFERROR(__xludf.DUMMYFUNCTION("""COMPUTED_VALUE"""),"")</f>
        <v/>
      </c>
      <c r="G996" s="32" t="str">
        <f>IFERROR(__xludf.DUMMYFUNCTION("""COMPUTED_VALUE"""),"")</f>
        <v/>
      </c>
      <c r="H996" s="32"/>
      <c r="I996" s="32"/>
      <c r="J996" s="32"/>
      <c r="K996" s="32"/>
      <c r="L996" s="32"/>
      <c r="M996" s="32"/>
      <c r="N996" s="32"/>
      <c r="O996" s="32"/>
      <c r="P996" s="32"/>
      <c r="Q996" s="32"/>
      <c r="R996" s="32"/>
      <c r="S996" s="32"/>
      <c r="T996" s="32"/>
      <c r="U996" s="32"/>
      <c r="V996" s="32"/>
      <c r="W996" s="32"/>
      <c r="X996" s="32"/>
      <c r="Y996" s="32"/>
      <c r="Z996" s="32"/>
    </row>
    <row r="997">
      <c r="A997" s="32"/>
      <c r="B997" s="32" t="str">
        <f>IFERROR(__xludf.DUMMYFUNCTION("""COMPUTED_VALUE"""),"")</f>
        <v/>
      </c>
      <c r="C997" s="32" t="str">
        <f>IFERROR(__xludf.DUMMYFUNCTION("""COMPUTED_VALUE"""),"")</f>
        <v/>
      </c>
      <c r="D997" s="32" t="str">
        <f>IFERROR(__xludf.DUMMYFUNCTION("""COMPUTED_VALUE"""),"")</f>
        <v/>
      </c>
      <c r="E997" s="32" t="str">
        <f>IFERROR(__xludf.DUMMYFUNCTION("""COMPUTED_VALUE"""),"")</f>
        <v/>
      </c>
      <c r="F997" s="32" t="str">
        <f>IFERROR(__xludf.DUMMYFUNCTION("""COMPUTED_VALUE"""),"")</f>
        <v/>
      </c>
      <c r="G997" s="32" t="str">
        <f>IFERROR(__xludf.DUMMYFUNCTION("""COMPUTED_VALUE"""),"")</f>
        <v/>
      </c>
      <c r="H997" s="32"/>
      <c r="I997" s="32"/>
      <c r="J997" s="32"/>
      <c r="K997" s="32"/>
      <c r="L997" s="32"/>
      <c r="M997" s="32"/>
      <c r="N997" s="32"/>
      <c r="O997" s="32"/>
      <c r="P997" s="32"/>
      <c r="Q997" s="32"/>
      <c r="R997" s="32"/>
      <c r="S997" s="32"/>
      <c r="T997" s="32"/>
      <c r="U997" s="32"/>
      <c r="V997" s="32"/>
      <c r="W997" s="32"/>
      <c r="X997" s="32"/>
      <c r="Y997" s="32"/>
      <c r="Z997" s="32"/>
    </row>
    <row r="998">
      <c r="A998" s="32"/>
      <c r="B998" s="32" t="str">
        <f>IFERROR(__xludf.DUMMYFUNCTION("""COMPUTED_VALUE"""),"")</f>
        <v/>
      </c>
      <c r="C998" s="32" t="str">
        <f>IFERROR(__xludf.DUMMYFUNCTION("""COMPUTED_VALUE"""),"")</f>
        <v/>
      </c>
      <c r="D998" s="32" t="str">
        <f>IFERROR(__xludf.DUMMYFUNCTION("""COMPUTED_VALUE"""),"")</f>
        <v/>
      </c>
      <c r="E998" s="32" t="str">
        <f>IFERROR(__xludf.DUMMYFUNCTION("""COMPUTED_VALUE"""),"")</f>
        <v/>
      </c>
      <c r="F998" s="32" t="str">
        <f>IFERROR(__xludf.DUMMYFUNCTION("""COMPUTED_VALUE"""),"")</f>
        <v/>
      </c>
      <c r="G998" s="32" t="str">
        <f>IFERROR(__xludf.DUMMYFUNCTION("""COMPUTED_VALUE"""),"")</f>
        <v/>
      </c>
      <c r="H998" s="32"/>
      <c r="I998" s="32"/>
      <c r="J998" s="32"/>
      <c r="K998" s="32"/>
      <c r="L998" s="32"/>
      <c r="M998" s="32"/>
      <c r="N998" s="32"/>
      <c r="O998" s="32"/>
      <c r="P998" s="32"/>
      <c r="Q998" s="32"/>
      <c r="R998" s="32"/>
      <c r="S998" s="32"/>
      <c r="T998" s="32"/>
      <c r="U998" s="32"/>
      <c r="V998" s="32"/>
      <c r="W998" s="32"/>
      <c r="X998" s="32"/>
      <c r="Y998" s="32"/>
      <c r="Z998" s="32"/>
    </row>
    <row r="999">
      <c r="A999" s="32"/>
      <c r="B999" s="32" t="str">
        <f>IFERROR(__xludf.DUMMYFUNCTION("""COMPUTED_VALUE"""),"")</f>
        <v/>
      </c>
      <c r="C999" s="32" t="str">
        <f>IFERROR(__xludf.DUMMYFUNCTION("""COMPUTED_VALUE"""),"")</f>
        <v/>
      </c>
      <c r="D999" s="32" t="str">
        <f>IFERROR(__xludf.DUMMYFUNCTION("""COMPUTED_VALUE"""),"")</f>
        <v/>
      </c>
      <c r="E999" s="32" t="str">
        <f>IFERROR(__xludf.DUMMYFUNCTION("""COMPUTED_VALUE"""),"")</f>
        <v/>
      </c>
      <c r="F999" s="32" t="str">
        <f>IFERROR(__xludf.DUMMYFUNCTION("""COMPUTED_VALUE"""),"")</f>
        <v/>
      </c>
      <c r="G999" s="32" t="str">
        <f>IFERROR(__xludf.DUMMYFUNCTION("""COMPUTED_VALUE"""),"")</f>
        <v/>
      </c>
      <c r="H999" s="32"/>
      <c r="I999" s="32"/>
      <c r="J999" s="32"/>
      <c r="K999" s="32"/>
      <c r="L999" s="32"/>
      <c r="M999" s="32"/>
      <c r="N999" s="32"/>
      <c r="O999" s="32"/>
      <c r="P999" s="32"/>
      <c r="Q999" s="32"/>
      <c r="R999" s="32"/>
      <c r="S999" s="32"/>
      <c r="T999" s="32"/>
      <c r="U999" s="32"/>
      <c r="V999" s="32"/>
      <c r="W999" s="32"/>
      <c r="X999" s="32"/>
      <c r="Y999" s="32"/>
      <c r="Z999" s="32"/>
    </row>
    <row r="1000">
      <c r="A1000" s="32"/>
      <c r="B1000" s="32" t="str">
        <f>IFERROR(__xludf.DUMMYFUNCTION("""COMPUTED_VALUE"""),"")</f>
        <v/>
      </c>
      <c r="C1000" s="32" t="str">
        <f>IFERROR(__xludf.DUMMYFUNCTION("""COMPUTED_VALUE"""),"")</f>
        <v/>
      </c>
      <c r="D1000" s="32" t="str">
        <f>IFERROR(__xludf.DUMMYFUNCTION("""COMPUTED_VALUE"""),"")</f>
        <v/>
      </c>
      <c r="E1000" s="32" t="str">
        <f>IFERROR(__xludf.DUMMYFUNCTION("""COMPUTED_VALUE"""),"")</f>
        <v/>
      </c>
      <c r="F1000" s="32" t="str">
        <f>IFERROR(__xludf.DUMMYFUNCTION("""COMPUTED_VALUE"""),"")</f>
        <v/>
      </c>
      <c r="G1000" s="32" t="str">
        <f>IFERROR(__xludf.DUMMYFUNCTION("""COMPUTED_VALUE"""),"")</f>
        <v/>
      </c>
      <c r="H1000" s="32"/>
      <c r="I1000" s="32"/>
      <c r="J1000" s="32"/>
      <c r="K1000" s="32"/>
      <c r="L1000" s="32"/>
      <c r="M1000" s="32"/>
      <c r="N1000" s="32"/>
      <c r="O1000" s="32"/>
      <c r="P1000" s="32"/>
      <c r="Q1000" s="32"/>
      <c r="R1000" s="32"/>
      <c r="S1000" s="32"/>
      <c r="T1000" s="32"/>
      <c r="U1000" s="32"/>
      <c r="V1000" s="32"/>
      <c r="W1000" s="32"/>
      <c r="X1000" s="32"/>
      <c r="Y1000" s="32"/>
      <c r="Z1000" s="32"/>
    </row>
    <row r="1001">
      <c r="A1001" s="32"/>
      <c r="B1001" s="32" t="str">
        <f>IFERROR(__xludf.DUMMYFUNCTION("""COMPUTED_VALUE"""),"")</f>
        <v/>
      </c>
      <c r="C1001" s="32" t="str">
        <f>IFERROR(__xludf.DUMMYFUNCTION("""COMPUTED_VALUE"""),"")</f>
        <v/>
      </c>
      <c r="D1001" s="32" t="str">
        <f>IFERROR(__xludf.DUMMYFUNCTION("""COMPUTED_VALUE"""),"")</f>
        <v/>
      </c>
      <c r="E1001" s="32" t="str">
        <f>IFERROR(__xludf.DUMMYFUNCTION("""COMPUTED_VALUE"""),"")</f>
        <v/>
      </c>
      <c r="F1001" s="32" t="str">
        <f>IFERROR(__xludf.DUMMYFUNCTION("""COMPUTED_VALUE"""),"")</f>
        <v/>
      </c>
      <c r="G1001" s="32" t="str">
        <f>IFERROR(__xludf.DUMMYFUNCTION("""COMPUTED_VALUE"""),"")</f>
        <v/>
      </c>
      <c r="H1001" s="32"/>
      <c r="I1001" s="32"/>
      <c r="J1001" s="32"/>
      <c r="K1001" s="32"/>
      <c r="L1001" s="32"/>
      <c r="M1001" s="32"/>
      <c r="N1001" s="32"/>
      <c r="O1001" s="32"/>
      <c r="P1001" s="32"/>
      <c r="Q1001" s="32"/>
      <c r="R1001" s="32"/>
      <c r="S1001" s="32"/>
      <c r="T1001" s="32"/>
      <c r="U1001" s="32"/>
      <c r="V1001" s="32"/>
      <c r="W1001" s="32"/>
      <c r="X1001" s="32"/>
      <c r="Y1001" s="32"/>
      <c r="Z1001" s="3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25"/>
  </cols>
  <sheetData>
    <row r="1">
      <c r="A1" s="2" t="s">
        <v>32</v>
      </c>
      <c r="B1" s="2" t="s">
        <v>33</v>
      </c>
      <c r="C1" s="2" t="s">
        <v>34</v>
      </c>
    </row>
    <row r="2">
      <c r="A2" s="2">
        <v>1.0</v>
      </c>
      <c r="B2" s="2" t="s">
        <v>35</v>
      </c>
    </row>
    <row r="3">
      <c r="A3" s="2">
        <v>2.0</v>
      </c>
      <c r="B3" s="2" t="s">
        <v>36</v>
      </c>
    </row>
    <row r="4">
      <c r="A4" s="2">
        <v>3.0</v>
      </c>
      <c r="B4" s="2" t="s">
        <v>37</v>
      </c>
    </row>
    <row r="5">
      <c r="A5" s="2">
        <v>4.0</v>
      </c>
      <c r="B5" s="2" t="s">
        <v>38</v>
      </c>
    </row>
    <row r="6">
      <c r="A6" s="2">
        <v>5.0</v>
      </c>
      <c r="B6" s="2" t="s">
        <v>39</v>
      </c>
    </row>
    <row r="7">
      <c r="A7" s="2">
        <v>6.0</v>
      </c>
      <c r="B7" s="2" t="s">
        <v>40</v>
      </c>
    </row>
    <row r="8">
      <c r="A8" s="2">
        <v>7.0</v>
      </c>
      <c r="B8" s="2" t="s">
        <v>41</v>
      </c>
    </row>
    <row r="9">
      <c r="A9" s="2">
        <v>8.0</v>
      </c>
      <c r="B9" s="2" t="s">
        <v>42</v>
      </c>
    </row>
    <row r="10">
      <c r="A10" s="2">
        <v>9.0</v>
      </c>
      <c r="B10" s="2" t="s">
        <v>43</v>
      </c>
    </row>
    <row r="11">
      <c r="A11" s="2">
        <v>10.0</v>
      </c>
      <c r="B11" s="2" t="s">
        <v>44</v>
      </c>
    </row>
    <row r="12">
      <c r="A12" s="2">
        <v>11.0</v>
      </c>
      <c r="B12" s="2" t="s">
        <v>45</v>
      </c>
    </row>
    <row r="13">
      <c r="A13" s="2">
        <v>12.0</v>
      </c>
      <c r="B13" s="2" t="s">
        <v>46</v>
      </c>
    </row>
    <row r="14">
      <c r="A14" s="2">
        <v>13.0</v>
      </c>
      <c r="B14" s="2" t="s">
        <v>47</v>
      </c>
    </row>
    <row r="15">
      <c r="A15" s="2">
        <v>14.0</v>
      </c>
      <c r="B15" s="2" t="s">
        <v>48</v>
      </c>
    </row>
    <row r="16">
      <c r="A16" s="2">
        <v>15.0</v>
      </c>
      <c r="B16" s="2" t="s">
        <v>49</v>
      </c>
    </row>
    <row r="17">
      <c r="A17" s="2">
        <v>16.0</v>
      </c>
      <c r="B17" s="2" t="s">
        <v>50</v>
      </c>
    </row>
    <row r="18">
      <c r="A18" s="2">
        <v>17.0</v>
      </c>
      <c r="B18" s="2" t="s">
        <v>51</v>
      </c>
    </row>
    <row r="19">
      <c r="A19" s="2">
        <v>18.0</v>
      </c>
      <c r="B19" s="2" t="s">
        <v>52</v>
      </c>
    </row>
    <row r="20">
      <c r="A20" s="2">
        <v>19.0</v>
      </c>
      <c r="B20" s="2" t="s">
        <v>53</v>
      </c>
    </row>
    <row r="21">
      <c r="A21" s="2">
        <v>20.0</v>
      </c>
      <c r="B21" s="2" t="s">
        <v>54</v>
      </c>
    </row>
  </sheetData>
  <dataValidations>
    <dataValidation type="list" allowBlank="1" showErrorMessage="1" sqref="B2:B20">
      <formula1>Mobs!$A$2:$A1000</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tr">
        <f>IFERROR(__xludf.DUMMYFUNCTION("IMPORTRANGE(""https://docs.google.com/spreadsheets/d/1HXoAI5UG3zq1UHqU5n7fPdbQk93qOha2VQb1r7iRi1o"",""Mobs!A:BQ"")"),"Name")</f>
        <v>Name</v>
      </c>
      <c r="B1" s="32" t="str">
        <f>IFERROR(__xludf.DUMMYFUNCTION("""COMPUTED_VALUE"""),"Level")</f>
        <v>Level</v>
      </c>
      <c r="C1" s="32" t="str">
        <f>IFERROR(__xludf.DUMMYFUNCTION("""COMPUTED_VALUE"""),"Description")</f>
        <v>Description</v>
      </c>
      <c r="D1" s="32" t="str">
        <f>IFERROR(__xludf.DUMMYFUNCTION("""COMPUTED_VALUE"""),"EntityType")</f>
        <v>EntityType</v>
      </c>
      <c r="E1" s="32" t="str">
        <f>IFERROR(__xludf.DUMMYFUNCTION("""COMPUTED_VALUE"""),"Attack")</f>
        <v>Attack</v>
      </c>
      <c r="F1" s="32" t="str">
        <f>IFERROR(__xludf.DUMMYFUNCTION("""COMPUTED_VALUE"""),"Accuracy")</f>
        <v>Accuracy</v>
      </c>
      <c r="G1" s="32" t="str">
        <f>IFERROR(__xludf.DUMMYFUNCTION("""COMPUTED_VALUE"""),"Defence")</f>
        <v>Defence</v>
      </c>
      <c r="H1" s="32" t="str">
        <f>IFERROR(__xludf.DUMMYFUNCTION("""COMPUTED_VALUE"""),"Evasion")</f>
        <v>Evasion</v>
      </c>
      <c r="I1" s="32" t="str">
        <f>IFERROR(__xludf.DUMMYFUNCTION("""COMPUTED_VALUE"""),"Intimidation")</f>
        <v>Intimidation</v>
      </c>
      <c r="J1" s="32" t="str">
        <f>IFERROR(__xludf.DUMMYFUNCTION("""COMPUTED_VALUE"""),"Wisdom")</f>
        <v>Wisdom</v>
      </c>
      <c r="K1" s="32" t="str">
        <f>IFERROR(__xludf.DUMMYFUNCTION("""COMPUTED_VALUE"""),"HP")</f>
        <v>HP</v>
      </c>
      <c r="L1" s="32" t="str">
        <f>IFERROR(__xludf.DUMMYFUNCTION("""COMPUTED_VALUE"""),"SP")</f>
        <v>SP</v>
      </c>
      <c r="M1" s="32" t="str">
        <f>IFERROR(__xludf.DUMMYFUNCTION("""COMPUTED_VALUE"""),"Resistances")</f>
        <v>Resistances</v>
      </c>
      <c r="N1" s="32" t="str">
        <f>IFERROR(__xludf.DUMMYFUNCTION("""COMPUTED_VALUE"""),"Vulnerabilities")</f>
        <v>Vulnerabilities</v>
      </c>
      <c r="O1" s="32" t="str">
        <f>IFERROR(__xludf.DUMMYFUNCTION("""COMPUTED_VALUE"""),"Head")</f>
        <v>Head</v>
      </c>
      <c r="P1" s="32" t="str">
        <f>IFERROR(__xludf.DUMMYFUNCTION("""COMPUTED_VALUE"""),"Neck 1")</f>
        <v>Neck 1</v>
      </c>
      <c r="Q1" s="32" t="str">
        <f>IFERROR(__xludf.DUMMYFUNCTION("""COMPUTED_VALUE"""),"Neck 2")</f>
        <v>Neck 2</v>
      </c>
      <c r="R1" s="32" t="str">
        <f>IFERROR(__xludf.DUMMYFUNCTION("""COMPUTED_VALUE"""),"Neck 3")</f>
        <v>Neck 3</v>
      </c>
      <c r="S1" s="32" t="str">
        <f>IFERROR(__xludf.DUMMYFUNCTION("""COMPUTED_VALUE"""),"Shoulders")</f>
        <v>Shoulders</v>
      </c>
      <c r="T1" s="32" t="str">
        <f>IFERROR(__xludf.DUMMYFUNCTION("""COMPUTED_VALUE"""),"Torso")</f>
        <v>Torso</v>
      </c>
      <c r="U1" s="32" t="str">
        <f>IFERROR(__xludf.DUMMYFUNCTION("""COMPUTED_VALUE"""),"Arms")</f>
        <v>Arms</v>
      </c>
      <c r="V1" s="32" t="str">
        <f>IFERROR(__xludf.DUMMYFUNCTION("""COMPUTED_VALUE"""),"L. Hand")</f>
        <v>L. Hand</v>
      </c>
      <c r="W1" s="32" t="str">
        <f>IFERROR(__xludf.DUMMYFUNCTION("""COMPUTED_VALUE"""),"R. Hand")</f>
        <v>R. Hand</v>
      </c>
      <c r="X1" s="32" t="str">
        <f>IFERROR(__xludf.DUMMYFUNCTION("""COMPUTED_VALUE"""),"Finger 1")</f>
        <v>Finger 1</v>
      </c>
      <c r="Y1" s="32" t="str">
        <f>IFERROR(__xludf.DUMMYFUNCTION("""COMPUTED_VALUE"""),"Finger 2")</f>
        <v>Finger 2</v>
      </c>
      <c r="Z1" s="32" t="str">
        <f>IFERROR(__xludf.DUMMYFUNCTION("""COMPUTED_VALUE"""),"Finger 3")</f>
        <v>Finger 3</v>
      </c>
      <c r="AA1" s="32" t="str">
        <f>IFERROR(__xludf.DUMMYFUNCTION("""COMPUTED_VALUE"""),"Finger 4")</f>
        <v>Finger 4</v>
      </c>
      <c r="AB1" s="32" t="str">
        <f>IFERROR(__xludf.DUMMYFUNCTION("""COMPUTED_VALUE"""),"Finger 5")</f>
        <v>Finger 5</v>
      </c>
      <c r="AC1" s="32" t="str">
        <f>IFERROR(__xludf.DUMMYFUNCTION("""COMPUTED_VALUE"""),"Finger 6")</f>
        <v>Finger 6</v>
      </c>
      <c r="AD1" s="32" t="str">
        <f>IFERROR(__xludf.DUMMYFUNCTION("""COMPUTED_VALUE"""),"Finger 7")</f>
        <v>Finger 7</v>
      </c>
      <c r="AE1" s="32" t="str">
        <f>IFERROR(__xludf.DUMMYFUNCTION("""COMPUTED_VALUE"""),"Finger 8")</f>
        <v>Finger 8</v>
      </c>
      <c r="AF1" s="32" t="str">
        <f>IFERROR(__xludf.DUMMYFUNCTION("""COMPUTED_VALUE"""),"Finger 9")</f>
        <v>Finger 9</v>
      </c>
      <c r="AG1" s="32" t="str">
        <f>IFERROR(__xludf.DUMMYFUNCTION("""COMPUTED_VALUE"""),"Finger 10")</f>
        <v>Finger 10</v>
      </c>
      <c r="AH1" s="32" t="str">
        <f>IFERROR(__xludf.DUMMYFUNCTION("""COMPUTED_VALUE"""),"Legs")</f>
        <v>Legs</v>
      </c>
      <c r="AI1" s="32" t="str">
        <f>IFERROR(__xludf.DUMMYFUNCTION("""COMPUTED_VALUE"""),"Feet")</f>
        <v>Feet</v>
      </c>
      <c r="AJ1" s="32" t="str">
        <f>IFERROR(__xludf.DUMMYFUNCTION("""COMPUTED_VALUE"""),"Spell 1")</f>
        <v>Spell 1</v>
      </c>
      <c r="AK1" s="32" t="str">
        <f>IFERROR(__xludf.DUMMYFUNCTION("""COMPUTED_VALUE"""),"Spell 2")</f>
        <v>Spell 2</v>
      </c>
      <c r="AL1" s="32" t="str">
        <f>IFERROR(__xludf.DUMMYFUNCTION("""COMPUTED_VALUE"""),"Spell 3")</f>
        <v>Spell 3</v>
      </c>
      <c r="AM1" s="32" t="str">
        <f>IFERROR(__xludf.DUMMYFUNCTION("""COMPUTED_VALUE"""),"Spell 4")</f>
        <v>Spell 4</v>
      </c>
      <c r="AN1" s="32" t="str">
        <f>IFERROR(__xludf.DUMMYFUNCTION("""COMPUTED_VALUE"""),"Spell 5")</f>
        <v>Spell 5</v>
      </c>
      <c r="AO1" s="32" t="str">
        <f>IFERROR(__xludf.DUMMYFUNCTION("""COMPUTED_VALUE"""),"Spell 6")</f>
        <v>Spell 6</v>
      </c>
      <c r="AP1" s="32" t="str">
        <f>IFERROR(__xludf.DUMMYFUNCTION("""COMPUTED_VALUE"""),"Spell 7")</f>
        <v>Spell 7</v>
      </c>
      <c r="AQ1" s="32" t="str">
        <f>IFERROR(__xludf.DUMMYFUNCTION("""COMPUTED_VALUE"""),"Spell 8")</f>
        <v>Spell 8</v>
      </c>
      <c r="AR1" s="32" t="str">
        <f>IFERROR(__xludf.DUMMYFUNCTION("""COMPUTED_VALUE"""),"Spell 9")</f>
        <v>Spell 9</v>
      </c>
      <c r="AS1" s="32" t="str">
        <f>IFERROR(__xludf.DUMMYFUNCTION("""COMPUTED_VALUE"""),"Spell 10")</f>
        <v>Spell 10</v>
      </c>
      <c r="AT1" s="32" t="str">
        <f>IFERROR(__xludf.DUMMYFUNCTION("""COMPUTED_VALUE"""),"Spell 11")</f>
        <v>Spell 11</v>
      </c>
      <c r="AU1" s="32" t="str">
        <f>IFERROR(__xludf.DUMMYFUNCTION("""COMPUTED_VALUE"""),"Spell 12")</f>
        <v>Spell 12</v>
      </c>
      <c r="AV1" s="32" t="str">
        <f>IFERROR(__xludf.DUMMYFUNCTION("""COMPUTED_VALUE"""),"Spell 13")</f>
        <v>Spell 13</v>
      </c>
      <c r="AW1" s="32" t="str">
        <f>IFERROR(__xludf.DUMMYFUNCTION("""COMPUTED_VALUE"""),"Spell 14")</f>
        <v>Spell 14</v>
      </c>
      <c r="AX1" s="32" t="str">
        <f>IFERROR(__xludf.DUMMYFUNCTION("""COMPUTED_VALUE"""),"Spell 15")</f>
        <v>Spell 15</v>
      </c>
      <c r="AY1" s="32" t="str">
        <f>IFERROR(__xludf.DUMMYFUNCTION("""COMPUTED_VALUE"""),"Spell 16")</f>
        <v>Spell 16</v>
      </c>
      <c r="AZ1" s="32" t="str">
        <f>IFERROR(__xludf.DUMMYFUNCTION("""COMPUTED_VALUE"""),"Spell 17")</f>
        <v>Spell 17</v>
      </c>
      <c r="BA1" s="32" t="str">
        <f>IFERROR(__xludf.DUMMYFUNCTION("""COMPUTED_VALUE"""),"Spell 18")</f>
        <v>Spell 18</v>
      </c>
      <c r="BB1" s="32" t="str">
        <f>IFERROR(__xludf.DUMMYFUNCTION("""COMPUTED_VALUE"""),"Spell 19")</f>
        <v>Spell 19</v>
      </c>
      <c r="BC1" s="32" t="str">
        <f>IFERROR(__xludf.DUMMYFUNCTION("""COMPUTED_VALUE"""),"Spell 20")</f>
        <v>Spell 20</v>
      </c>
      <c r="BD1" s="32" t="str">
        <f>IFERROR(__xludf.DUMMYFUNCTION("""COMPUTED_VALUE"""),"Charisma")</f>
        <v>Charisma</v>
      </c>
      <c r="BE1" s="32" t="str">
        <f>IFERROR(__xludf.DUMMYFUNCTION("""COMPUTED_VALUE"""),"Mobility")</f>
        <v>Mobility</v>
      </c>
      <c r="BF1" s="32" t="str">
        <f>IFERROR(__xludf.DUMMYFUNCTION("""COMPUTED_VALUE"""),"OtherBonusesAndAbilities")</f>
        <v>OtherBonusesAndAbilities</v>
      </c>
      <c r="BG1" s="32" t="str">
        <f>IFERROR(__xludf.DUMMYFUNCTION("""COMPUTED_VALUE"""),"Region")</f>
        <v>Region</v>
      </c>
      <c r="BH1" s="32" t="str">
        <f>IFERROR(__xludf.DUMMYFUNCTION("""COMPUTED_VALUE"""),"Worlds")</f>
        <v>Worlds</v>
      </c>
      <c r="BI1" s="32" t="str">
        <f>IFERROR(__xludf.DUMMYFUNCTION("""COMPUTED_VALUE"""),"DLC")</f>
        <v>DLC</v>
      </c>
      <c r="BJ1" s="32" t="str">
        <f>IFERROR(__xludf.DUMMYFUNCTION("""COMPUTED_VALUE"""),"Event")</f>
        <v>Event</v>
      </c>
      <c r="BK1" s="32" t="str">
        <f>IFERROR(__xludf.DUMMYFUNCTION("""COMPUTED_VALUE"""),"Fuel")</f>
        <v>Fuel</v>
      </c>
      <c r="BL1" s="32" t="str">
        <f>IFERROR(__xludf.DUMMYFUNCTION("""COMPUTED_VALUE"""),"Vehicle")</f>
        <v>Vehicle</v>
      </c>
      <c r="BM1" s="32" t="str">
        <f>IFERROR(__xludf.DUMMYFUNCTION("""COMPUTED_VALUE"""),"VehicleType")</f>
        <v>VehicleType</v>
      </c>
      <c r="BN1" s="32"/>
      <c r="BO1" s="32"/>
      <c r="BP1" s="32"/>
      <c r="BQ1" s="32"/>
    </row>
    <row r="2">
      <c r="A2" s="32" t="str">
        <f>IFERROR(__xludf.DUMMYFUNCTION("""COMPUTED_VALUE"""),"Acid Dragon")</f>
        <v>Acid Dragon</v>
      </c>
      <c r="B2" s="32">
        <f>IFERROR(__xludf.DUMMYFUNCTION("""COMPUTED_VALUE"""),1.0)</f>
        <v>1</v>
      </c>
      <c r="C2" s="3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33" t="str">
        <f>IFERROR(__xludf.DUMMYFUNCTION("""COMPUTED_VALUE"""),"Draconic")</f>
        <v>Draconic</v>
      </c>
      <c r="E2" s="33">
        <f>IFERROR(__xludf.DUMMYFUNCTION("""COMPUTED_VALUE"""),1010.0)</f>
        <v>1010</v>
      </c>
      <c r="F2" s="33">
        <f>IFERROR(__xludf.DUMMYFUNCTION("""COMPUTED_VALUE"""),1010.0)</f>
        <v>1010</v>
      </c>
      <c r="G2" s="33">
        <f>IFERROR(__xludf.DUMMYFUNCTION("""COMPUTED_VALUE"""),1010.0)</f>
        <v>1010</v>
      </c>
      <c r="H2" s="32">
        <f>IFERROR(__xludf.DUMMYFUNCTION("""COMPUTED_VALUE"""),10.0)</f>
        <v>10</v>
      </c>
      <c r="I2" s="32">
        <f>IFERROR(__xludf.DUMMYFUNCTION("""COMPUTED_VALUE"""),0.0)</f>
        <v>0</v>
      </c>
      <c r="J2" s="32">
        <f>IFERROR(__xludf.DUMMYFUNCTION("""COMPUTED_VALUE"""),0.0)</f>
        <v>0</v>
      </c>
      <c r="K2" s="32">
        <f>IFERROR(__xludf.DUMMYFUNCTION("""COMPUTED_VALUE"""),100.0)</f>
        <v>100</v>
      </c>
      <c r="L2" s="32">
        <f>IFERROR(__xludf.DUMMYFUNCTION("""COMPUTED_VALUE"""),100.0)</f>
        <v>100</v>
      </c>
      <c r="M2" s="32" t="str">
        <f>IFERROR(__xludf.DUMMYFUNCTION("""COMPUTED_VALUE"""),"Nature:Immune, Instant Death:Immune, Banishment:Immune, ")</f>
        <v>Nature:Immune, Instant Death:Immune, Banishment:Immune, </v>
      </c>
      <c r="N2" s="32" t="str">
        <f>IFERROR(__xludf.DUMMYFUNCTION("""COMPUTED_VALUE"""),"Fire:100, Storm:100, ")</f>
        <v>Fire:100, Storm:100, </v>
      </c>
      <c r="O2" s="32"/>
      <c r="P2" s="32"/>
      <c r="Q2" s="32"/>
      <c r="R2" s="32"/>
      <c r="S2" s="32"/>
      <c r="T2" s="32"/>
      <c r="U2" s="32"/>
      <c r="V2" s="32"/>
      <c r="W2" s="32"/>
      <c r="X2" s="32"/>
      <c r="Y2" s="32"/>
      <c r="Z2" s="32"/>
      <c r="AA2" s="32"/>
      <c r="AB2" s="32"/>
      <c r="AC2" s="32"/>
      <c r="AD2" s="32"/>
      <c r="AE2" s="32"/>
      <c r="AF2" s="32"/>
      <c r="AG2" s="32"/>
      <c r="AH2" s="32"/>
      <c r="AI2" s="32"/>
      <c r="AJ2" s="32" t="str">
        <f>IFERROR(__xludf.DUMMYFUNCTION("""COMPUTED_VALUE"""),"Dragon's Breath")</f>
        <v>Dragon's Breath</v>
      </c>
      <c r="AK2" s="32" t="str">
        <f>IFERROR(__xludf.DUMMYFUNCTION("""COMPUTED_VALUE"""),"Bite")</f>
        <v>Bite</v>
      </c>
      <c r="AL2" s="32" t="str">
        <f>IFERROR(__xludf.DUMMYFUNCTION("""COMPUTED_VALUE"""),"Tail Smash")</f>
        <v>Tail Smash</v>
      </c>
      <c r="AM2" s="32" t="str">
        <f>IFERROR(__xludf.DUMMYFUNCTION("""COMPUTED_VALUE"""),"Claws")</f>
        <v>Claws</v>
      </c>
      <c r="AN2" s="32" t="str">
        <f>IFERROR(__xludf.DUMMYFUNCTION("""COMPUTED_VALUE"""),"Berserk")</f>
        <v>Berserk</v>
      </c>
      <c r="AO2" s="32" t="str">
        <f>IFERROR(__xludf.DUMMYFUNCTION("""COMPUTED_VALUE"""),"Multishot")</f>
        <v>Multishot</v>
      </c>
      <c r="AP2" s="32" t="str">
        <f>IFERROR(__xludf.DUMMYFUNCTION("""COMPUTED_VALUE"""),"Draconic Scream")</f>
        <v>Draconic Scream</v>
      </c>
      <c r="AQ2" s="32" t="str">
        <f>IFERROR(__xludf.DUMMYFUNCTION("""COMPUTED_VALUE"""),"Poison Fang")</f>
        <v>Poison Fang</v>
      </c>
      <c r="AR2" s="32" t="str">
        <f>IFERROR(__xludf.DUMMYFUNCTION("""COMPUTED_VALUE"""),"Class 3 Poison")</f>
        <v>Class 3 Poison</v>
      </c>
      <c r="AS2" s="32" t="str">
        <f>IFERROR(__xludf.DUMMYFUNCTION("""COMPUTED_VALUE"""),"1000 Poisons Body")</f>
        <v>1000 Poisons Body</v>
      </c>
      <c r="AT2" s="32" t="str">
        <f>IFERROR(__xludf.DUMMYFUNCTION("""COMPUTED_VALUE"""),"Poisonous Fumes")</f>
        <v>Poisonous Fumes</v>
      </c>
      <c r="AU2" s="32" t="str">
        <f>IFERROR(__xludf.DUMMYFUNCTION("""COMPUTED_VALUE"""),"Celestial Wrath")</f>
        <v>Celestial Wrath</v>
      </c>
      <c r="AV2" s="32"/>
      <c r="AW2" s="32"/>
      <c r="AX2" s="32"/>
      <c r="AY2" s="32"/>
      <c r="AZ2" s="32"/>
      <c r="BA2" s="32"/>
      <c r="BB2" s="32"/>
      <c r="BC2" s="32"/>
      <c r="BD2" s="32">
        <f>IFERROR(__xludf.DUMMYFUNCTION("""COMPUTED_VALUE"""),0.0)</f>
        <v>0</v>
      </c>
      <c r="BE2" s="32">
        <f>IFERROR(__xludf.DUMMYFUNCTION("""COMPUTED_VALUE"""),10.0)</f>
        <v>10</v>
      </c>
      <c r="BF2"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32" t="str">
        <f>IFERROR(__xludf.DUMMYFUNCTION("""COMPUTED_VALUE"""),"Swamp")</f>
        <v>Swamp</v>
      </c>
      <c r="BH2" s="32" t="str">
        <f>IFERROR(__xludf.DUMMYFUNCTION("""COMPUTED_VALUE"""),"Dragonscale Island")</f>
        <v>Dragonscale Island</v>
      </c>
      <c r="BI2" s="32"/>
      <c r="BJ2" s="32"/>
      <c r="BK2" s="32"/>
      <c r="BL2" s="32" t="b">
        <f>IFERROR(__xludf.DUMMYFUNCTION("""COMPUTED_VALUE"""),FALSE)</f>
        <v>0</v>
      </c>
      <c r="BM2" s="32"/>
      <c r="BN2" s="32"/>
      <c r="BO2" s="32"/>
      <c r="BP2" s="32"/>
      <c r="BQ2" s="32"/>
    </row>
    <row r="3">
      <c r="A3" s="32" t="str">
        <f>IFERROR(__xludf.DUMMYFUNCTION("""COMPUTED_VALUE"""),"Acid Slime")</f>
        <v>Acid Slime</v>
      </c>
      <c r="B3" s="32">
        <f>IFERROR(__xludf.DUMMYFUNCTION("""COMPUTED_VALUE"""),1.0)</f>
        <v>1</v>
      </c>
      <c r="C3" s="32" t="str">
        <f>IFERROR(__xludf.DUMMYFUNCTION("""COMPUTED_VALUE"""),"Kris's worst nightmare, and it can be yours too for the low cost of everything in your bag.")</f>
        <v>Kris's worst nightmare, and it can be yours too for the low cost of everything in your bag.</v>
      </c>
      <c r="D3" s="33" t="str">
        <f>IFERROR(__xludf.DUMMYFUNCTION("""COMPUTED_VALUE"""),"Monstrosity")</f>
        <v>Monstrosity</v>
      </c>
      <c r="E3" s="33">
        <f>IFERROR(__xludf.DUMMYFUNCTION("""COMPUTED_VALUE"""),1010.0)</f>
        <v>1010</v>
      </c>
      <c r="F3" s="33">
        <f>IFERROR(__xludf.DUMMYFUNCTION("""COMPUTED_VALUE"""),1010.0)</f>
        <v>1010</v>
      </c>
      <c r="G3" s="33">
        <f>IFERROR(__xludf.DUMMYFUNCTION("""COMPUTED_VALUE"""),1010.0)</f>
        <v>1010</v>
      </c>
      <c r="H3" s="32">
        <f>IFERROR(__xludf.DUMMYFUNCTION("""COMPUTED_VALUE"""),10.0)</f>
        <v>10</v>
      </c>
      <c r="I3" s="32">
        <f>IFERROR(__xludf.DUMMYFUNCTION("""COMPUTED_VALUE"""),0.0)</f>
        <v>0</v>
      </c>
      <c r="J3" s="32">
        <f>IFERROR(__xludf.DUMMYFUNCTION("""COMPUTED_VALUE"""),0.0)</f>
        <v>0</v>
      </c>
      <c r="K3" s="32">
        <f>IFERROR(__xludf.DUMMYFUNCTION("""COMPUTED_VALUE"""),100.0)</f>
        <v>100</v>
      </c>
      <c r="L3" s="32">
        <f>IFERROR(__xludf.DUMMYFUNCTION("""COMPUTED_VALUE"""),100.0)</f>
        <v>100</v>
      </c>
      <c r="M3" s="32" t="str">
        <f>IFERROR(__xludf.DUMMYFUNCTION("""COMPUTED_VALUE"""),"Nature:Immune, ")</f>
        <v>Nature:Immune, </v>
      </c>
      <c r="N3" s="32" t="str">
        <f>IFERROR(__xludf.DUMMYFUNCTION("""COMPUTED_VALUE"""),"")</f>
        <v/>
      </c>
      <c r="O3" s="32"/>
      <c r="P3" s="32"/>
      <c r="Q3" s="32"/>
      <c r="R3" s="32"/>
      <c r="S3" s="32"/>
      <c r="T3" s="32"/>
      <c r="U3" s="32"/>
      <c r="V3" s="32"/>
      <c r="W3" s="32"/>
      <c r="X3" s="32"/>
      <c r="Y3" s="32"/>
      <c r="Z3" s="32"/>
      <c r="AA3" s="32"/>
      <c r="AB3" s="32"/>
      <c r="AC3" s="32"/>
      <c r="AD3" s="32"/>
      <c r="AE3" s="32"/>
      <c r="AF3" s="32"/>
      <c r="AG3" s="32"/>
      <c r="AH3" s="32"/>
      <c r="AI3" s="32"/>
      <c r="AJ3" s="32" t="str">
        <f>IFERROR(__xludf.DUMMYFUNCTION("""COMPUTED_VALUE"""),"Latch on")</f>
        <v>Latch on</v>
      </c>
      <c r="AK3" s="32" t="str">
        <f>IFERROR(__xludf.DUMMYFUNCTION("""COMPUTED_VALUE"""),"Absorb Enemy ")</f>
        <v>Absorb Enemy </v>
      </c>
      <c r="AL3" s="32" t="str">
        <f>IFERROR(__xludf.DUMMYFUNCTION("""COMPUTED_VALUE"""),"Poison Needle")</f>
        <v>Poison Needle</v>
      </c>
      <c r="AM3" s="32" t="str">
        <f>IFERROR(__xludf.DUMMYFUNCTION("""COMPUTED_VALUE"""),"Poisonous Fumes")</f>
        <v>Poisonous Fumes</v>
      </c>
      <c r="AN3" s="32" t="str">
        <f>IFERROR(__xludf.DUMMYFUNCTION("""COMPUTED_VALUE"""),"Darkest Abyss")</f>
        <v>Darkest Abyss</v>
      </c>
      <c r="AO3" s="32" t="str">
        <f>IFERROR(__xludf.DUMMYFUNCTION("""COMPUTED_VALUE"""),"Dark Curse")</f>
        <v>Dark Curse</v>
      </c>
      <c r="AP3" s="32"/>
      <c r="AQ3" s="32"/>
      <c r="AR3" s="32"/>
      <c r="AS3" s="32"/>
      <c r="AT3" s="32"/>
      <c r="AU3" s="32"/>
      <c r="AV3" s="32"/>
      <c r="AW3" s="32"/>
      <c r="AX3" s="32"/>
      <c r="AY3" s="32"/>
      <c r="AZ3" s="32"/>
      <c r="BA3" s="32"/>
      <c r="BB3" s="32"/>
      <c r="BC3" s="32"/>
      <c r="BD3" s="32">
        <f>IFERROR(__xludf.DUMMYFUNCTION("""COMPUTED_VALUE"""),0.0)</f>
        <v>0</v>
      </c>
      <c r="BE3" s="32">
        <f>IFERROR(__xludf.DUMMYFUNCTION("""COMPUTED_VALUE"""),10.0)</f>
        <v>10</v>
      </c>
      <c r="BF3" s="32"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32" t="str">
        <f>IFERROR(__xludf.DUMMYFUNCTION("""COMPUTED_VALUE"""),"All")</f>
        <v>All</v>
      </c>
      <c r="BH3" s="32" t="str">
        <f>IFERROR(__xludf.DUMMYFUNCTION("""COMPUTED_VALUE"""),"Abstara")</f>
        <v>Abstara</v>
      </c>
      <c r="BI3" s="32"/>
      <c r="BJ3" s="32"/>
      <c r="BK3" s="32"/>
      <c r="BL3" s="32" t="b">
        <f>IFERROR(__xludf.DUMMYFUNCTION("""COMPUTED_VALUE"""),FALSE)</f>
        <v>0</v>
      </c>
      <c r="BM3" s="32"/>
      <c r="BN3" s="32"/>
      <c r="BO3" s="32"/>
      <c r="BP3" s="32"/>
      <c r="BQ3" s="32"/>
    </row>
    <row r="4">
      <c r="A4" s="32" t="str">
        <f>IFERROR(__xludf.DUMMYFUNCTION("""COMPUTED_VALUE"""),"Ancient Colossal Frost Spider")</f>
        <v>Ancient Colossal Frost Spider</v>
      </c>
      <c r="B4" s="32">
        <f>IFERROR(__xludf.DUMMYFUNCTION("""COMPUTED_VALUE"""),1.0)</f>
        <v>1</v>
      </c>
      <c r="C4" s="32" t="str">
        <f>IFERROR(__xludf.DUMMYFUNCTION("""COMPUTED_VALUE"""),"A prime example that being old and being strong do not correlate.")</f>
        <v>A prime example that being old and being strong do not correlate.</v>
      </c>
      <c r="D4" s="33" t="str">
        <f>IFERROR(__xludf.DUMMYFUNCTION("""COMPUTED_VALUE"""),"Beast")</f>
        <v>Beast</v>
      </c>
      <c r="E4" s="33">
        <f>IFERROR(__xludf.DUMMYFUNCTION("""COMPUTED_VALUE"""),1010.0)</f>
        <v>1010</v>
      </c>
      <c r="F4" s="33">
        <f>IFERROR(__xludf.DUMMYFUNCTION("""COMPUTED_VALUE"""),1010.0)</f>
        <v>1010</v>
      </c>
      <c r="G4" s="33">
        <f>IFERROR(__xludf.DUMMYFUNCTION("""COMPUTED_VALUE"""),1010.0)</f>
        <v>1010</v>
      </c>
      <c r="H4" s="32">
        <f>IFERROR(__xludf.DUMMYFUNCTION("""COMPUTED_VALUE"""),10.0)</f>
        <v>10</v>
      </c>
      <c r="I4" s="32">
        <f>IFERROR(__xludf.DUMMYFUNCTION("""COMPUTED_VALUE"""),0.0)</f>
        <v>0</v>
      </c>
      <c r="J4" s="32">
        <f>IFERROR(__xludf.DUMMYFUNCTION("""COMPUTED_VALUE"""),0.0)</f>
        <v>0</v>
      </c>
      <c r="K4" s="32">
        <f>IFERROR(__xludf.DUMMYFUNCTION("""COMPUTED_VALUE"""),100.0)</f>
        <v>100</v>
      </c>
      <c r="L4" s="32">
        <f>IFERROR(__xludf.DUMMYFUNCTION("""COMPUTED_VALUE"""),100.0)</f>
        <v>100</v>
      </c>
      <c r="M4" s="32" t="str">
        <f>IFERROR(__xludf.DUMMYFUNCTION("""COMPUTED_VALUE"""),"Water:100, ")</f>
        <v>Water:100, </v>
      </c>
      <c r="N4" s="32" t="str">
        <f>IFERROR(__xludf.DUMMYFUNCTION("""COMPUTED_VALUE"""),"Fire:100, Nature:100, ")</f>
        <v>Fire:100, Nature:100, </v>
      </c>
      <c r="O4" s="32"/>
      <c r="P4" s="32"/>
      <c r="Q4" s="32"/>
      <c r="R4" s="32"/>
      <c r="S4" s="32"/>
      <c r="T4" s="32"/>
      <c r="U4" s="32"/>
      <c r="V4" s="32"/>
      <c r="W4" s="32"/>
      <c r="X4" s="32"/>
      <c r="Y4" s="32"/>
      <c r="Z4" s="32"/>
      <c r="AA4" s="32"/>
      <c r="AB4" s="32"/>
      <c r="AC4" s="32"/>
      <c r="AD4" s="32"/>
      <c r="AE4" s="32"/>
      <c r="AF4" s="32"/>
      <c r="AG4" s="32"/>
      <c r="AH4" s="32"/>
      <c r="AI4" s="32"/>
      <c r="AJ4" s="32" t="str">
        <f>IFERROR(__xludf.DUMMYFUNCTION("""COMPUTED_VALUE"""),"Frost Cloak")</f>
        <v>Frost Cloak</v>
      </c>
      <c r="AK4" s="32" t="str">
        <f>IFERROR(__xludf.DUMMYFUNCTION("""COMPUTED_VALUE"""),"Web Shot")</f>
        <v>Web Shot</v>
      </c>
      <c r="AL4" s="32" t="str">
        <f>IFERROR(__xludf.DUMMYFUNCTION("""COMPUTED_VALUE"""),"Freezing Fog")</f>
        <v>Freezing Fog</v>
      </c>
      <c r="AM4" s="32" t="str">
        <f>IFERROR(__xludf.DUMMYFUNCTION("""COMPUTED_VALUE"""),"Multishot")</f>
        <v>Multishot</v>
      </c>
      <c r="AN4" s="32" t="str">
        <f>IFERROR(__xludf.DUMMYFUNCTION("""COMPUTED_VALUE"""),"Berserk")</f>
        <v>Berserk</v>
      </c>
      <c r="AO4" s="32" t="str">
        <f>IFERROR(__xludf.DUMMYFUNCTION("""COMPUTED_VALUE"""),"Avalanche")</f>
        <v>Avalanche</v>
      </c>
      <c r="AP4" s="32" t="str">
        <f>IFERROR(__xludf.DUMMYFUNCTION("""COMPUTED_VALUE"""),"Celestial Wrath")</f>
        <v>Celestial Wrath</v>
      </c>
      <c r="AQ4" s="32"/>
      <c r="AR4" s="32"/>
      <c r="AS4" s="32"/>
      <c r="AT4" s="32"/>
      <c r="AU4" s="32"/>
      <c r="AV4" s="32"/>
      <c r="AW4" s="32"/>
      <c r="AX4" s="32"/>
      <c r="AY4" s="32"/>
      <c r="AZ4" s="32"/>
      <c r="BA4" s="32"/>
      <c r="BB4" s="32"/>
      <c r="BC4" s="32"/>
      <c r="BD4" s="32">
        <f>IFERROR(__xludf.DUMMYFUNCTION("""COMPUTED_VALUE"""),0.0)</f>
        <v>0</v>
      </c>
      <c r="BE4" s="32">
        <f>IFERROR(__xludf.DUMMYFUNCTION("""COMPUTED_VALUE"""),10.0)</f>
        <v>10</v>
      </c>
      <c r="BF4" s="32"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32" t="str">
        <f>IFERROR(__xludf.DUMMYFUNCTION("""COMPUTED_VALUE"""),"Tundra")</f>
        <v>Tundra</v>
      </c>
      <c r="BH4" s="32" t="str">
        <f>IFERROR(__xludf.DUMMYFUNCTION("""COMPUTED_VALUE"""),"Land of Spira")</f>
        <v>Land of Spira</v>
      </c>
      <c r="BI4" s="32"/>
      <c r="BJ4" s="32"/>
      <c r="BK4" s="32"/>
      <c r="BL4" s="32" t="b">
        <f>IFERROR(__xludf.DUMMYFUNCTION("""COMPUTED_VALUE"""),FALSE)</f>
        <v>0</v>
      </c>
      <c r="BM4" s="32"/>
      <c r="BN4" s="32"/>
      <c r="BO4" s="32"/>
      <c r="BP4" s="32"/>
      <c r="BQ4" s="32"/>
    </row>
    <row r="5">
      <c r="A5" s="32" t="str">
        <f>IFERROR(__xludf.DUMMYFUNCTION("""COMPUTED_VALUE"""),"Ancient Deer Of The Forest")</f>
        <v>Ancient Deer Of The Forest</v>
      </c>
      <c r="B5" s="32">
        <f>IFERROR(__xludf.DUMMYFUNCTION("""COMPUTED_VALUE"""),1.0)</f>
        <v>1</v>
      </c>
      <c r="C5" s="32" t="str">
        <f>IFERROR(__xludf.DUMMYFUNCTION("""COMPUTED_VALUE"""),"It's a mirracle no one has tried to eat this yet.")</f>
        <v>It's a mirracle no one has tried to eat this yet.</v>
      </c>
      <c r="D5" s="32" t="str">
        <f>IFERROR(__xludf.DUMMYFUNCTION("""COMPUTED_VALUE"""),"Beast")</f>
        <v>Beast</v>
      </c>
      <c r="E5" s="32">
        <f>IFERROR(__xludf.DUMMYFUNCTION("""COMPUTED_VALUE"""),1010.0)</f>
        <v>1010</v>
      </c>
      <c r="F5" s="33">
        <f>IFERROR(__xludf.DUMMYFUNCTION("""COMPUTED_VALUE"""),1010.0)</f>
        <v>1010</v>
      </c>
      <c r="G5" s="32">
        <f>IFERROR(__xludf.DUMMYFUNCTION("""COMPUTED_VALUE"""),1010.0)</f>
        <v>1010</v>
      </c>
      <c r="H5" s="32">
        <f>IFERROR(__xludf.DUMMYFUNCTION("""COMPUTED_VALUE"""),10.0)</f>
        <v>10</v>
      </c>
      <c r="I5" s="32">
        <f>IFERROR(__xludf.DUMMYFUNCTION("""COMPUTED_VALUE"""),0.0)</f>
        <v>0</v>
      </c>
      <c r="J5" s="32">
        <f>IFERROR(__xludf.DUMMYFUNCTION("""COMPUTED_VALUE"""),0.0)</f>
        <v>0</v>
      </c>
      <c r="K5" s="32">
        <f>IFERROR(__xludf.DUMMYFUNCTION("""COMPUTED_VALUE"""),100.0)</f>
        <v>100</v>
      </c>
      <c r="L5" s="32">
        <f>IFERROR(__xludf.DUMMYFUNCTION("""COMPUTED_VALUE"""),100.0)</f>
        <v>100</v>
      </c>
      <c r="M5" s="32" t="str">
        <f>IFERROR(__xludf.DUMMYFUNCTION("""COMPUTED_VALUE"""),"Nature:Immune, ")</f>
        <v>Nature:Immune, </v>
      </c>
      <c r="N5" s="32" t="str">
        <f>IFERROR(__xludf.DUMMYFUNCTION("""COMPUTED_VALUE"""),"Fire:100, Storm:100, ")</f>
        <v>Fire:100, Storm:100, </v>
      </c>
      <c r="O5" s="32"/>
      <c r="P5" s="32"/>
      <c r="Q5" s="32"/>
      <c r="R5" s="32"/>
      <c r="S5" s="32"/>
      <c r="T5" s="32"/>
      <c r="U5" s="32"/>
      <c r="V5" s="32"/>
      <c r="W5" s="32"/>
      <c r="X5" s="32"/>
      <c r="Y5" s="32"/>
      <c r="Z5" s="32"/>
      <c r="AA5" s="32"/>
      <c r="AB5" s="32"/>
      <c r="AC5" s="32"/>
      <c r="AD5" s="32"/>
      <c r="AE5" s="32"/>
      <c r="AF5" s="32"/>
      <c r="AG5" s="32"/>
      <c r="AH5" s="32"/>
      <c r="AI5" s="32"/>
      <c r="AJ5" s="32" t="str">
        <f>IFERROR(__xludf.DUMMYFUNCTION("""COMPUTED_VALUE"""),"Gore")</f>
        <v>Gore</v>
      </c>
      <c r="AK5" s="32"/>
      <c r="AL5" s="32"/>
      <c r="AM5" s="32"/>
      <c r="AN5" s="32"/>
      <c r="AO5" s="32"/>
      <c r="AP5" s="32"/>
      <c r="AQ5" s="32"/>
      <c r="AR5" s="32"/>
      <c r="AS5" s="32"/>
      <c r="AT5" s="32"/>
      <c r="AU5" s="32"/>
      <c r="AV5" s="32"/>
      <c r="AW5" s="32"/>
      <c r="AX5" s="32"/>
      <c r="AY5" s="32"/>
      <c r="AZ5" s="32"/>
      <c r="BA5" s="32"/>
      <c r="BB5" s="32"/>
      <c r="BC5" s="32"/>
      <c r="BD5" s="32">
        <f>IFERROR(__xludf.DUMMYFUNCTION("""COMPUTED_VALUE"""),0.0)</f>
        <v>0</v>
      </c>
      <c r="BE5" s="32">
        <f>IFERROR(__xludf.DUMMYFUNCTION("""COMPUTED_VALUE"""),10.0)</f>
        <v>10</v>
      </c>
      <c r="BF5" s="32"/>
      <c r="BG5" s="32" t="str">
        <f>IFERROR(__xludf.DUMMYFUNCTION("""COMPUTED_VALUE"""),"Forest")</f>
        <v>Forest</v>
      </c>
      <c r="BH5" s="32" t="str">
        <f>IFERROR(__xludf.DUMMYFUNCTION("""COMPUTED_VALUE"""),"Land of Spira")</f>
        <v>Land of Spira</v>
      </c>
      <c r="BI5" s="32"/>
      <c r="BJ5" s="32"/>
      <c r="BK5" s="32"/>
      <c r="BL5" s="32" t="b">
        <f>IFERROR(__xludf.DUMMYFUNCTION("""COMPUTED_VALUE"""),FALSE)</f>
        <v>0</v>
      </c>
      <c r="BM5" s="32"/>
      <c r="BN5" s="32"/>
      <c r="BO5" s="32"/>
      <c r="BP5" s="32"/>
      <c r="BQ5" s="32"/>
    </row>
    <row r="6">
      <c r="A6" s="32" t="str">
        <f>IFERROR(__xludf.DUMMYFUNCTION("""COMPUTED_VALUE"""),"Demon Snowman")</f>
        <v>Demon Snowman</v>
      </c>
      <c r="B6" s="32">
        <f>IFERROR(__xludf.DUMMYFUNCTION("""COMPUTED_VALUE"""),1.0)</f>
        <v>1</v>
      </c>
      <c r="C6" s="32" t="str">
        <f>IFERROR(__xludf.DUMMYFUNCTION("""COMPUTED_VALUE"""),"Frosty the snowman, Will eat your fucking soul")</f>
        <v>Frosty the snowman, Will eat your fucking soul</v>
      </c>
      <c r="D6" s="33" t="str">
        <f>IFERROR(__xludf.DUMMYFUNCTION("""COMPUTED_VALUE"""),"Monstrosity")</f>
        <v>Monstrosity</v>
      </c>
      <c r="E6" s="33">
        <f>IFERROR(__xludf.DUMMYFUNCTION("""COMPUTED_VALUE"""),1010.0)</f>
        <v>1010</v>
      </c>
      <c r="F6" s="33">
        <f>IFERROR(__xludf.DUMMYFUNCTION("""COMPUTED_VALUE"""),1010.0)</f>
        <v>1010</v>
      </c>
      <c r="G6" s="33">
        <f>IFERROR(__xludf.DUMMYFUNCTION("""COMPUTED_VALUE"""),1010.0)</f>
        <v>1010</v>
      </c>
      <c r="H6" s="32">
        <f>IFERROR(__xludf.DUMMYFUNCTION("""COMPUTED_VALUE"""),10.0)</f>
        <v>10</v>
      </c>
      <c r="I6" s="32">
        <f>IFERROR(__xludf.DUMMYFUNCTION("""COMPUTED_VALUE"""),0.0)</f>
        <v>0</v>
      </c>
      <c r="J6" s="32">
        <f>IFERROR(__xludf.DUMMYFUNCTION("""COMPUTED_VALUE"""),0.0)</f>
        <v>0</v>
      </c>
      <c r="K6" s="32">
        <f>IFERROR(__xludf.DUMMYFUNCTION("""COMPUTED_VALUE"""),100.0)</f>
        <v>100</v>
      </c>
      <c r="L6" s="32">
        <f>IFERROR(__xludf.DUMMYFUNCTION("""COMPUTED_VALUE"""),100.0)</f>
        <v>100</v>
      </c>
      <c r="M6" s="32" t="str">
        <f>IFERROR(__xludf.DUMMYFUNCTION("""COMPUTED_VALUE"""),"Water:100, ")</f>
        <v>Water:100, </v>
      </c>
      <c r="N6" s="32" t="str">
        <f>IFERROR(__xludf.DUMMYFUNCTION("""COMPUTED_VALUE"""),"Fire:100, Nature:100, ")</f>
        <v>Fire:100, Nature:100, </v>
      </c>
      <c r="O6" s="32"/>
      <c r="P6" s="32"/>
      <c r="Q6" s="32"/>
      <c r="R6" s="32"/>
      <c r="S6" s="32"/>
      <c r="T6" s="32"/>
      <c r="U6" s="32"/>
      <c r="V6" s="32" t="str">
        <f>IFERROR(__xludf.DUMMYFUNCTION("""COMPUTED_VALUE"""),"Frozen carrot dagger")</f>
        <v>Frozen carrot dagger</v>
      </c>
      <c r="W6" s="32" t="str">
        <f>IFERROR(__xludf.DUMMYFUNCTION("""COMPUTED_VALUE"""),"Snowball")</f>
        <v>Snowball</v>
      </c>
      <c r="X6" s="32"/>
      <c r="Y6" s="32"/>
      <c r="Z6" s="32"/>
      <c r="AA6" s="32"/>
      <c r="AB6" s="32"/>
      <c r="AC6" s="32"/>
      <c r="AD6" s="32"/>
      <c r="AE6" s="32"/>
      <c r="AF6" s="32"/>
      <c r="AG6" s="32"/>
      <c r="AH6" s="32"/>
      <c r="AI6" s="32"/>
      <c r="AJ6" s="32" t="str">
        <f>IFERROR(__xludf.DUMMYFUNCTION("""COMPUTED_VALUE"""),"Storm Of Snowballs")</f>
        <v>Storm Of Snowballs</v>
      </c>
      <c r="AK6" s="32" t="str">
        <f>IFERROR(__xludf.DUMMYFUNCTION("""COMPUTED_VALUE"""),"Blizzard")</f>
        <v>Blizzard</v>
      </c>
      <c r="AL6" s="32" t="str">
        <f>IFERROR(__xludf.DUMMYFUNCTION("""COMPUTED_VALUE"""),"Snowmans Wrath")</f>
        <v>Snowmans Wrath</v>
      </c>
      <c r="AM6" s="32" t="str">
        <f>IFERROR(__xludf.DUMMYFUNCTION("""COMPUTED_VALUE"""),"Freezing Fog")</f>
        <v>Freezing Fog</v>
      </c>
      <c r="AN6" s="32" t="str">
        <f>IFERROR(__xludf.DUMMYFUNCTION("""COMPUTED_VALUE"""),"Avalanche")</f>
        <v>Avalanche</v>
      </c>
      <c r="AO6" s="32"/>
      <c r="AP6" s="32"/>
      <c r="AQ6" s="32"/>
      <c r="AR6" s="32"/>
      <c r="AS6" s="32"/>
      <c r="AT6" s="32"/>
      <c r="AU6" s="32"/>
      <c r="AV6" s="32"/>
      <c r="AW6" s="32"/>
      <c r="AX6" s="32"/>
      <c r="AY6" s="32"/>
      <c r="AZ6" s="32"/>
      <c r="BA6" s="32"/>
      <c r="BB6" s="32"/>
      <c r="BC6" s="32"/>
      <c r="BD6" s="32">
        <f>IFERROR(__xludf.DUMMYFUNCTION("""COMPUTED_VALUE"""),0.0)</f>
        <v>0</v>
      </c>
      <c r="BE6" s="32">
        <f>IFERROR(__xludf.DUMMYFUNCTION("""COMPUTED_VALUE"""),10.0)</f>
        <v>10</v>
      </c>
      <c r="BF6" s="32"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32" t="str">
        <f>IFERROR(__xludf.DUMMYFUNCTION("""COMPUTED_VALUE"""),"Tundra")</f>
        <v>Tundra</v>
      </c>
      <c r="BH6" s="32" t="str">
        <f>IFERROR(__xludf.DUMMYFUNCTION("""COMPUTED_VALUE"""),"Land of Spira")</f>
        <v>Land of Spira</v>
      </c>
      <c r="BI6" s="32"/>
      <c r="BJ6" s="32"/>
      <c r="BK6" s="32"/>
      <c r="BL6" s="32" t="b">
        <f>IFERROR(__xludf.DUMMYFUNCTION("""COMPUTED_VALUE"""),FALSE)</f>
        <v>0</v>
      </c>
      <c r="BM6" s="32"/>
      <c r="BN6" s="32"/>
      <c r="BO6" s="32"/>
      <c r="BP6" s="32"/>
      <c r="BQ6" s="32"/>
    </row>
    <row r="7">
      <c r="A7" s="32" t="str">
        <f>IFERROR(__xludf.DUMMYFUNCTION("""COMPUTED_VALUE"""),"Ancient Desert Serpent")</f>
        <v>Ancient Desert Serpent</v>
      </c>
      <c r="B7" s="32">
        <f>IFERROR(__xludf.DUMMYFUNCTION("""COMPUTED_VALUE"""),1.0)</f>
        <v>1</v>
      </c>
      <c r="C7" s="32" t="str">
        <f>IFERROR(__xludf.DUMMYFUNCTION("""COMPUTED_VALUE"""),"Just a big snake, that's litterally it.")</f>
        <v>Just a big snake, that's litterally it.</v>
      </c>
      <c r="D7" s="33" t="str">
        <f>IFERROR(__xludf.DUMMYFUNCTION("""COMPUTED_VALUE"""),"Beast")</f>
        <v>Beast</v>
      </c>
      <c r="E7" s="33">
        <f>IFERROR(__xludf.DUMMYFUNCTION("""COMPUTED_VALUE"""),1010.0)</f>
        <v>1010</v>
      </c>
      <c r="F7" s="33">
        <f>IFERROR(__xludf.DUMMYFUNCTION("""COMPUTED_VALUE"""),1010.0)</f>
        <v>1010</v>
      </c>
      <c r="G7" s="33">
        <f>IFERROR(__xludf.DUMMYFUNCTION("""COMPUTED_VALUE"""),1010.0)</f>
        <v>1010</v>
      </c>
      <c r="H7" s="32">
        <f>IFERROR(__xludf.DUMMYFUNCTION("""COMPUTED_VALUE"""),10.0)</f>
        <v>10</v>
      </c>
      <c r="I7" s="32">
        <f>IFERROR(__xludf.DUMMYFUNCTION("""COMPUTED_VALUE"""),0.0)</f>
        <v>0</v>
      </c>
      <c r="J7" s="32">
        <f>IFERROR(__xludf.DUMMYFUNCTION("""COMPUTED_VALUE"""),0.0)</f>
        <v>0</v>
      </c>
      <c r="K7" s="32">
        <f>IFERROR(__xludf.DUMMYFUNCTION("""COMPUTED_VALUE"""),100.0)</f>
        <v>100</v>
      </c>
      <c r="L7" s="32">
        <f>IFERROR(__xludf.DUMMYFUNCTION("""COMPUTED_VALUE"""),100.0)</f>
        <v>100</v>
      </c>
      <c r="M7" s="32" t="str">
        <f>IFERROR(__xludf.DUMMYFUNCTION("""COMPUTED_VALUE"""),"Fire:Immune, Water:Immune, ")</f>
        <v>Fire:Immune, Water:Immune, </v>
      </c>
      <c r="N7" s="32" t="str">
        <f>IFERROR(__xludf.DUMMYFUNCTION("""COMPUTED_VALUE"""),"Water:100, Storm:100, ")</f>
        <v>Water:100, Storm:100, </v>
      </c>
      <c r="O7" s="32"/>
      <c r="P7" s="32"/>
      <c r="Q7" s="32"/>
      <c r="R7" s="32"/>
      <c r="S7" s="32"/>
      <c r="T7" s="32"/>
      <c r="U7" s="32"/>
      <c r="V7" s="32"/>
      <c r="W7" s="32"/>
      <c r="X7" s="32"/>
      <c r="Y7" s="32"/>
      <c r="Z7" s="32"/>
      <c r="AA7" s="32"/>
      <c r="AB7" s="32"/>
      <c r="AC7" s="32"/>
      <c r="AD7" s="32"/>
      <c r="AE7" s="32"/>
      <c r="AF7" s="32"/>
      <c r="AG7" s="32"/>
      <c r="AH7" s="32"/>
      <c r="AI7" s="32"/>
      <c r="AJ7" s="32" t="str">
        <f>IFERROR(__xludf.DUMMYFUNCTION("""COMPUTED_VALUE"""),"Earthquake")</f>
        <v>Earthquake</v>
      </c>
      <c r="AK7" s="32" t="str">
        <f>IFERROR(__xludf.DUMMYFUNCTION("""COMPUTED_VALUE"""),"Quicksand")</f>
        <v>Quicksand</v>
      </c>
      <c r="AL7" s="32" t="str">
        <f>IFERROR(__xludf.DUMMYFUNCTION("""COMPUTED_VALUE"""),"Mountain Formation")</f>
        <v>Mountain Formation</v>
      </c>
      <c r="AM7" s="32" t="str">
        <f>IFERROR(__xludf.DUMMYFUNCTION("""COMPUTED_VALUE"""),"Rock Cycle")</f>
        <v>Rock Cycle</v>
      </c>
      <c r="AN7" s="32" t="str">
        <f>IFERROR(__xludf.DUMMYFUNCTION("""COMPUTED_VALUE"""),"Sandstorm")</f>
        <v>Sandstorm</v>
      </c>
      <c r="AO7" s="32"/>
      <c r="AP7" s="32"/>
      <c r="AQ7" s="32"/>
      <c r="AR7" s="32"/>
      <c r="AS7" s="32"/>
      <c r="AT7" s="32"/>
      <c r="AU7" s="32"/>
      <c r="AV7" s="32"/>
      <c r="AW7" s="32"/>
      <c r="AX7" s="32"/>
      <c r="AY7" s="32"/>
      <c r="AZ7" s="32"/>
      <c r="BA7" s="32"/>
      <c r="BB7" s="32"/>
      <c r="BC7" s="32"/>
      <c r="BD7" s="32">
        <f>IFERROR(__xludf.DUMMYFUNCTION("""COMPUTED_VALUE"""),0.0)</f>
        <v>0</v>
      </c>
      <c r="BE7" s="32">
        <f>IFERROR(__xludf.DUMMYFUNCTION("""COMPUTED_VALUE"""),10.0)</f>
        <v>10</v>
      </c>
      <c r="BF7" s="32" t="str">
        <f>IFERROR(__xludf.DUMMYFUNCTION("""COMPUTED_VALUE"""),"Serpents Luck: +5 can be added to this mobs rolls.")</f>
        <v>Serpents Luck: +5 can be added to this mobs rolls.</v>
      </c>
      <c r="BG7" s="32" t="str">
        <f>IFERROR(__xludf.DUMMYFUNCTION("""COMPUTED_VALUE"""),"Desert")</f>
        <v>Desert</v>
      </c>
      <c r="BH7" s="32" t="str">
        <f>IFERROR(__xludf.DUMMYFUNCTION("""COMPUTED_VALUE"""),"Land of Spira")</f>
        <v>Land of Spira</v>
      </c>
      <c r="BI7" s="32"/>
      <c r="BJ7" s="32"/>
      <c r="BK7" s="32"/>
      <c r="BL7" s="32" t="b">
        <f>IFERROR(__xludf.DUMMYFUNCTION("""COMPUTED_VALUE"""),FALSE)</f>
        <v>0</v>
      </c>
      <c r="BM7" s="32"/>
      <c r="BN7" s="32"/>
      <c r="BO7" s="32"/>
      <c r="BP7" s="32"/>
      <c r="BQ7" s="32"/>
    </row>
    <row r="8">
      <c r="A8" s="32" t="str">
        <f>IFERROR(__xludf.DUMMYFUNCTION("""COMPUTED_VALUE"""),"Ancient Fire Sentinel")</f>
        <v>Ancient Fire Sentinel</v>
      </c>
      <c r="B8" s="32">
        <f>IFERROR(__xludf.DUMMYFUNCTION("""COMPUTED_VALUE"""),1.0)</f>
        <v>1</v>
      </c>
      <c r="C8" s="32"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33" t="str">
        <f>IFERROR(__xludf.DUMMYFUNCTION("""COMPUTED_VALUE"""),"Construct")</f>
        <v>Construct</v>
      </c>
      <c r="E8" s="33">
        <f>IFERROR(__xludf.DUMMYFUNCTION("""COMPUTED_VALUE"""),1010.0)</f>
        <v>1010</v>
      </c>
      <c r="F8" s="33">
        <f>IFERROR(__xludf.DUMMYFUNCTION("""COMPUTED_VALUE"""),1010.0)</f>
        <v>1010</v>
      </c>
      <c r="G8" s="33">
        <f>IFERROR(__xludf.DUMMYFUNCTION("""COMPUTED_VALUE"""),1010.0)</f>
        <v>1010</v>
      </c>
      <c r="H8" s="32">
        <f>IFERROR(__xludf.DUMMYFUNCTION("""COMPUTED_VALUE"""),10.0)</f>
        <v>10</v>
      </c>
      <c r="I8" s="32">
        <f>IFERROR(__xludf.DUMMYFUNCTION("""COMPUTED_VALUE"""),0.0)</f>
        <v>0</v>
      </c>
      <c r="J8" s="32">
        <f>IFERROR(__xludf.DUMMYFUNCTION("""COMPUTED_VALUE"""),0.0)</f>
        <v>0</v>
      </c>
      <c r="K8" s="32">
        <f>IFERROR(__xludf.DUMMYFUNCTION("""COMPUTED_VALUE"""),100.0)</f>
        <v>100</v>
      </c>
      <c r="L8" s="32">
        <f>IFERROR(__xludf.DUMMYFUNCTION("""COMPUTED_VALUE"""),100.0)</f>
        <v>100</v>
      </c>
      <c r="M8" s="32" t="str">
        <f>IFERROR(__xludf.DUMMYFUNCTION("""COMPUTED_VALUE"""),"Fire:100, Nature:Immune, ")</f>
        <v>Fire:100, Nature:Immune, </v>
      </c>
      <c r="N8" s="32" t="str">
        <f>IFERROR(__xludf.DUMMYFUNCTION("""COMPUTED_VALUE"""),"Water:100, Earth:100, ")</f>
        <v>Water:100, Earth:100, </v>
      </c>
      <c r="O8" s="32"/>
      <c r="P8" s="32"/>
      <c r="Q8" s="32"/>
      <c r="R8" s="32"/>
      <c r="S8" s="32"/>
      <c r="T8" s="32"/>
      <c r="U8" s="32"/>
      <c r="V8" s="32"/>
      <c r="W8" s="32"/>
      <c r="X8" s="32"/>
      <c r="Y8" s="32"/>
      <c r="Z8" s="32"/>
      <c r="AA8" s="32"/>
      <c r="AB8" s="32"/>
      <c r="AC8" s="32"/>
      <c r="AD8" s="32"/>
      <c r="AE8" s="32"/>
      <c r="AF8" s="32"/>
      <c r="AG8" s="32"/>
      <c r="AH8" s="32"/>
      <c r="AI8" s="32"/>
      <c r="AJ8" s="32" t="str">
        <f>IFERROR(__xludf.DUMMYFUNCTION("""COMPUTED_VALUE"""),"Mass Destruction")</f>
        <v>Mass Destruction</v>
      </c>
      <c r="AK8" s="32" t="str">
        <f>IFERROR(__xludf.DUMMYFUNCTION("""COMPUTED_VALUE"""),"Last resort")</f>
        <v>Last resort</v>
      </c>
      <c r="AL8" s="32" t="str">
        <f>IFERROR(__xludf.DUMMYFUNCTION("""COMPUTED_VALUE"""),"Flame Sanctuary")</f>
        <v>Flame Sanctuary</v>
      </c>
      <c r="AM8" s="32" t="str">
        <f>IFERROR(__xludf.DUMMYFUNCTION("""COMPUTED_VALUE"""),"Volcanic Rain")</f>
        <v>Volcanic Rain</v>
      </c>
      <c r="AN8" s="32" t="str">
        <f>IFERROR(__xludf.DUMMYFUNCTION("""COMPUTED_VALUE"""),"Rock Cycle")</f>
        <v>Rock Cycle</v>
      </c>
      <c r="AO8" s="32" t="str">
        <f>IFERROR(__xludf.DUMMYFUNCTION("""COMPUTED_VALUE"""),"Earthquake")</f>
        <v>Earthquake</v>
      </c>
      <c r="AP8" s="32"/>
      <c r="AQ8" s="32"/>
      <c r="AR8" s="32"/>
      <c r="AS8" s="32"/>
      <c r="AT8" s="32"/>
      <c r="AU8" s="32"/>
      <c r="AV8" s="32"/>
      <c r="AW8" s="32"/>
      <c r="AX8" s="32"/>
      <c r="AY8" s="32"/>
      <c r="AZ8" s="32"/>
      <c r="BA8" s="32"/>
      <c r="BB8" s="32"/>
      <c r="BC8" s="32"/>
      <c r="BD8" s="32">
        <f>IFERROR(__xludf.DUMMYFUNCTION("""COMPUTED_VALUE"""),0.0)</f>
        <v>0</v>
      </c>
      <c r="BE8" s="32">
        <f>IFERROR(__xludf.DUMMYFUNCTION("""COMPUTED_VALUE"""),10.0)</f>
        <v>10</v>
      </c>
      <c r="BF8" s="32"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32" t="str">
        <f>IFERROR(__xludf.DUMMYFUNCTION("""COMPUTED_VALUE"""),"Jungle")</f>
        <v>Jungle</v>
      </c>
      <c r="BH8" s="32" t="str">
        <f>IFERROR(__xludf.DUMMYFUNCTION("""COMPUTED_VALUE"""),"Land Of Spira")</f>
        <v>Land Of Spira</v>
      </c>
      <c r="BI8" s="32"/>
      <c r="BJ8" s="32"/>
      <c r="BK8" s="32"/>
      <c r="BL8" s="32" t="b">
        <f>IFERROR(__xludf.DUMMYFUNCTION("""COMPUTED_VALUE"""),FALSE)</f>
        <v>0</v>
      </c>
      <c r="BM8" s="32"/>
      <c r="BN8" s="32"/>
      <c r="BO8" s="32"/>
      <c r="BP8" s="32"/>
      <c r="BQ8" s="32"/>
    </row>
    <row r="9">
      <c r="A9" s="32" t="str">
        <f>IFERROR(__xludf.DUMMYFUNCTION("""COMPUTED_VALUE"""),"Ancient Fire Serpent")</f>
        <v>Ancient Fire Serpent</v>
      </c>
      <c r="B9" s="32">
        <f>IFERROR(__xludf.DUMMYFUNCTION("""COMPUTED_VALUE"""),1.0)</f>
        <v>1</v>
      </c>
      <c r="C9" s="32" t="str">
        <f>IFERROR(__xludf.DUMMYFUNCTION("""COMPUTED_VALUE"""),"Big snake Part 2: electric boogaloo")</f>
        <v>Big snake Part 2: electric boogaloo</v>
      </c>
      <c r="D9" s="33" t="str">
        <f>IFERROR(__xludf.DUMMYFUNCTION("""COMPUTED_VALUE"""),"Beast")</f>
        <v>Beast</v>
      </c>
      <c r="E9" s="33">
        <f>IFERROR(__xludf.DUMMYFUNCTION("""COMPUTED_VALUE"""),1010.0)</f>
        <v>1010</v>
      </c>
      <c r="F9" s="33">
        <f>IFERROR(__xludf.DUMMYFUNCTION("""COMPUTED_VALUE"""),1010.0)</f>
        <v>1010</v>
      </c>
      <c r="G9" s="33">
        <f>IFERROR(__xludf.DUMMYFUNCTION("""COMPUTED_VALUE"""),1010.0)</f>
        <v>1010</v>
      </c>
      <c r="H9" s="32">
        <f>IFERROR(__xludf.DUMMYFUNCTION("""COMPUTED_VALUE"""),10.0)</f>
        <v>10</v>
      </c>
      <c r="I9" s="32">
        <f>IFERROR(__xludf.DUMMYFUNCTION("""COMPUTED_VALUE"""),0.0)</f>
        <v>0</v>
      </c>
      <c r="J9" s="32">
        <f>IFERROR(__xludf.DUMMYFUNCTION("""COMPUTED_VALUE"""),0.0)</f>
        <v>0</v>
      </c>
      <c r="K9" s="32">
        <f>IFERROR(__xludf.DUMMYFUNCTION("""COMPUTED_VALUE"""),100.0)</f>
        <v>100</v>
      </c>
      <c r="L9" s="32">
        <f>IFERROR(__xludf.DUMMYFUNCTION("""COMPUTED_VALUE"""),100.0)</f>
        <v>100</v>
      </c>
      <c r="M9" s="32" t="str">
        <f>IFERROR(__xludf.DUMMYFUNCTION("""COMPUTED_VALUE"""),"Fire:100, Nature:Immune, Instant Death:Immune, ")</f>
        <v>Fire:100, Nature:Immune, Instant Death:Immune, </v>
      </c>
      <c r="N9" s="32" t="str">
        <f>IFERROR(__xludf.DUMMYFUNCTION("""COMPUTED_VALUE"""),"Water:100, ")</f>
        <v>Water:100, </v>
      </c>
      <c r="O9" s="32"/>
      <c r="P9" s="32"/>
      <c r="Q9" s="32"/>
      <c r="R9" s="32"/>
      <c r="S9" s="32"/>
      <c r="T9" s="32"/>
      <c r="U9" s="32"/>
      <c r="V9" s="32"/>
      <c r="W9" s="32"/>
      <c r="X9" s="32"/>
      <c r="Y9" s="32"/>
      <c r="Z9" s="32"/>
      <c r="AA9" s="32"/>
      <c r="AB9" s="32"/>
      <c r="AC9" s="32"/>
      <c r="AD9" s="32"/>
      <c r="AE9" s="32"/>
      <c r="AF9" s="32"/>
      <c r="AG9" s="32"/>
      <c r="AH9" s="32"/>
      <c r="AI9" s="32"/>
      <c r="AJ9" s="32" t="str">
        <f>IFERROR(__xludf.DUMMYFUNCTION("""COMPUTED_VALUE"""),"Take")</f>
        <v>Take</v>
      </c>
      <c r="AK9" s="32" t="str">
        <f>IFERROR(__xludf.DUMMYFUNCTION("""COMPUTED_VALUE"""),"Berserk")</f>
        <v>Berserk</v>
      </c>
      <c r="AL9" s="32" t="str">
        <f>IFERROR(__xludf.DUMMYFUNCTION("""COMPUTED_VALUE"""),"Volcanic Rain")</f>
        <v>Volcanic Rain</v>
      </c>
      <c r="AM9" s="32" t="str">
        <f>IFERROR(__xludf.DUMMYFUNCTION("""COMPUTED_VALUE"""),"Celestial Blast")</f>
        <v>Celestial Blast</v>
      </c>
      <c r="AN9" s="32" t="str">
        <f>IFERROR(__xludf.DUMMYFUNCTION("""COMPUTED_VALUE"""),"Mass Destruction")</f>
        <v>Mass Destruction</v>
      </c>
      <c r="AO9" s="32"/>
      <c r="AP9" s="32"/>
      <c r="AQ9" s="32"/>
      <c r="AR9" s="32"/>
      <c r="AS9" s="32"/>
      <c r="AT9" s="32"/>
      <c r="AU9" s="32"/>
      <c r="AV9" s="32"/>
      <c r="AW9" s="32"/>
      <c r="AX9" s="32"/>
      <c r="AY9" s="32"/>
      <c r="AZ9" s="32"/>
      <c r="BA9" s="32"/>
      <c r="BB9" s="32"/>
      <c r="BC9" s="32"/>
      <c r="BD9" s="32">
        <f>IFERROR(__xludf.DUMMYFUNCTION("""COMPUTED_VALUE"""),0.0)</f>
        <v>0</v>
      </c>
      <c r="BE9" s="32">
        <f>IFERROR(__xludf.DUMMYFUNCTION("""COMPUTED_VALUE"""),10.0)</f>
        <v>10</v>
      </c>
      <c r="BF9" s="32"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32" t="str">
        <f>IFERROR(__xludf.DUMMYFUNCTION("""COMPUTED_VALUE"""),"Jungle")</f>
        <v>Jungle</v>
      </c>
      <c r="BH9" s="32" t="str">
        <f>IFERROR(__xludf.DUMMYFUNCTION("""COMPUTED_VALUE"""),"Land Of Spira")</f>
        <v>Land Of Spira</v>
      </c>
      <c r="BI9" s="32"/>
      <c r="BJ9" s="32"/>
      <c r="BK9" s="32"/>
      <c r="BL9" s="32" t="b">
        <f>IFERROR(__xludf.DUMMYFUNCTION("""COMPUTED_VALUE"""),FALSE)</f>
        <v>0</v>
      </c>
      <c r="BM9" s="32"/>
      <c r="BN9" s="32"/>
      <c r="BO9" s="32"/>
      <c r="BP9" s="32"/>
      <c r="BQ9" s="32"/>
    </row>
    <row r="10">
      <c r="A10" s="32" t="str">
        <f>IFERROR(__xludf.DUMMYFUNCTION("""COMPUTED_VALUE"""),"Flame Ostrich")</f>
        <v>Flame Ostrich</v>
      </c>
      <c r="B10" s="32">
        <f>IFERROR(__xludf.DUMMYFUNCTION("""COMPUTED_VALUE"""),1.0)</f>
        <v>1</v>
      </c>
      <c r="C10" s="32" t="str">
        <f>IFERROR(__xludf.DUMMYFUNCTION("""COMPUTED_VALUE"""),"Commonly known for beating Desert island in a war")</f>
        <v>Commonly known for beating Desert island in a war</v>
      </c>
      <c r="D10" s="33" t="str">
        <f>IFERROR(__xludf.DUMMYFUNCTION("""COMPUTED_VALUE"""),"Beast")</f>
        <v>Beast</v>
      </c>
      <c r="E10" s="33">
        <f>IFERROR(__xludf.DUMMYFUNCTION("""COMPUTED_VALUE"""),1010.0)</f>
        <v>1010</v>
      </c>
      <c r="F10" s="33">
        <f>IFERROR(__xludf.DUMMYFUNCTION("""COMPUTED_VALUE"""),1010.0)</f>
        <v>1010</v>
      </c>
      <c r="G10" s="33">
        <f>IFERROR(__xludf.DUMMYFUNCTION("""COMPUTED_VALUE"""),1010.0)</f>
        <v>1010</v>
      </c>
      <c r="H10" s="32">
        <f>IFERROR(__xludf.DUMMYFUNCTION("""COMPUTED_VALUE"""),10.0)</f>
        <v>10</v>
      </c>
      <c r="I10" s="32">
        <f>IFERROR(__xludf.DUMMYFUNCTION("""COMPUTED_VALUE"""),0.0)</f>
        <v>0</v>
      </c>
      <c r="J10" s="32">
        <f>IFERROR(__xludf.DUMMYFUNCTION("""COMPUTED_VALUE"""),0.0)</f>
        <v>0</v>
      </c>
      <c r="K10" s="32">
        <f>IFERROR(__xludf.DUMMYFUNCTION("""COMPUTED_VALUE"""),100.0)</f>
        <v>100</v>
      </c>
      <c r="L10" s="32">
        <f>IFERROR(__xludf.DUMMYFUNCTION("""COMPUTED_VALUE"""),100.0)</f>
        <v>100</v>
      </c>
      <c r="M10" s="32" t="str">
        <f>IFERROR(__xludf.DUMMYFUNCTION("""COMPUTED_VALUE"""),"Fire:100, Nature:Immune, ")</f>
        <v>Fire:100, Nature:Immune, </v>
      </c>
      <c r="N10" s="32" t="str">
        <f>IFERROR(__xludf.DUMMYFUNCTION("""COMPUTED_VALUE"""),"Water:100, ")</f>
        <v>Water:100, </v>
      </c>
      <c r="O10" s="32"/>
      <c r="P10" s="32"/>
      <c r="Q10" s="32"/>
      <c r="R10" s="32"/>
      <c r="S10" s="32"/>
      <c r="T10" s="32"/>
      <c r="U10" s="32"/>
      <c r="V10" s="32"/>
      <c r="W10" s="32"/>
      <c r="X10" s="32"/>
      <c r="Y10" s="32"/>
      <c r="Z10" s="32"/>
      <c r="AA10" s="32"/>
      <c r="AB10" s="32"/>
      <c r="AC10" s="32"/>
      <c r="AD10" s="32"/>
      <c r="AE10" s="32"/>
      <c r="AF10" s="32"/>
      <c r="AG10" s="32"/>
      <c r="AH10" s="32"/>
      <c r="AI10" s="32"/>
      <c r="AJ10" s="32" t="str">
        <f>IFERROR(__xludf.DUMMYFUNCTION("""COMPUTED_VALUE"""),"Sacred Flame Peck")</f>
        <v>Sacred Flame Peck</v>
      </c>
      <c r="AK10" s="32" t="str">
        <f>IFERROR(__xludf.DUMMYFUNCTION("""COMPUTED_VALUE"""),"Screech of the Ostrich")</f>
        <v>Screech of the Ostrich</v>
      </c>
      <c r="AL10" s="32"/>
      <c r="AM10" s="32"/>
      <c r="AN10" s="32"/>
      <c r="AO10" s="32"/>
      <c r="AP10" s="32"/>
      <c r="AQ10" s="32"/>
      <c r="AR10" s="32"/>
      <c r="AS10" s="32"/>
      <c r="AT10" s="32"/>
      <c r="AU10" s="32"/>
      <c r="AV10" s="32"/>
      <c r="AW10" s="32"/>
      <c r="AX10" s="32"/>
      <c r="AY10" s="32"/>
      <c r="AZ10" s="32"/>
      <c r="BA10" s="32"/>
      <c r="BB10" s="32"/>
      <c r="BC10" s="32"/>
      <c r="BD10" s="32">
        <f>IFERROR(__xludf.DUMMYFUNCTION("""COMPUTED_VALUE"""),0.0)</f>
        <v>0</v>
      </c>
      <c r="BE10" s="32">
        <f>IFERROR(__xludf.DUMMYFUNCTION("""COMPUTED_VALUE"""),10.0)</f>
        <v>10</v>
      </c>
      <c r="BF10" s="32"/>
      <c r="BG10" s="32" t="str">
        <f>IFERROR(__xludf.DUMMYFUNCTION("""COMPUTED_VALUE"""),"Jungle")</f>
        <v>Jungle</v>
      </c>
      <c r="BH10" s="32" t="str">
        <f>IFERROR(__xludf.DUMMYFUNCTION("""COMPUTED_VALUE"""),"Land Of Spira")</f>
        <v>Land Of Spira</v>
      </c>
      <c r="BI10" s="32"/>
      <c r="BJ10" s="32"/>
      <c r="BK10" s="32"/>
      <c r="BL10" s="32" t="b">
        <f>IFERROR(__xludf.DUMMYFUNCTION("""COMPUTED_VALUE"""),FALSE)</f>
        <v>0</v>
      </c>
      <c r="BM10" s="32"/>
      <c r="BN10" s="32"/>
      <c r="BO10" s="32"/>
      <c r="BP10" s="32"/>
      <c r="BQ10" s="32"/>
    </row>
    <row r="11">
      <c r="A11" s="32" t="str">
        <f>IFERROR(__xludf.DUMMYFUNCTION("""COMPUTED_VALUE"""),"Ancient Forest Colossus")</f>
        <v>Ancient Forest Colossus</v>
      </c>
      <c r="B11" s="32">
        <f>IFERROR(__xludf.DUMMYFUNCTION("""COMPUTED_VALUE"""),1.0)</f>
        <v>1</v>
      </c>
      <c r="C11" s="32" t="str">
        <f>IFERROR(__xludf.DUMMYFUNCTION("""COMPUTED_VALUE"""),"One of the Guardians of Spira.")</f>
        <v>One of the Guardians of Spira.</v>
      </c>
      <c r="D11" s="33" t="str">
        <f>IFERROR(__xludf.DUMMYFUNCTION("""COMPUTED_VALUE"""),"Giant")</f>
        <v>Giant</v>
      </c>
      <c r="E11" s="33">
        <f>IFERROR(__xludf.DUMMYFUNCTION("""COMPUTED_VALUE"""),1010.0)</f>
        <v>1010</v>
      </c>
      <c r="F11" s="33">
        <f>IFERROR(__xludf.DUMMYFUNCTION("""COMPUTED_VALUE"""),1010.0)</f>
        <v>1010</v>
      </c>
      <c r="G11" s="33">
        <f>IFERROR(__xludf.DUMMYFUNCTION("""COMPUTED_VALUE"""),1010.0)</f>
        <v>1010</v>
      </c>
      <c r="H11" s="32">
        <f>IFERROR(__xludf.DUMMYFUNCTION("""COMPUTED_VALUE"""),10.0)</f>
        <v>10</v>
      </c>
      <c r="I11" s="32">
        <f>IFERROR(__xludf.DUMMYFUNCTION("""COMPUTED_VALUE"""),0.0)</f>
        <v>0</v>
      </c>
      <c r="J11" s="32">
        <f>IFERROR(__xludf.DUMMYFUNCTION("""COMPUTED_VALUE"""),0.0)</f>
        <v>0</v>
      </c>
      <c r="K11" s="32">
        <f>IFERROR(__xludf.DUMMYFUNCTION("""COMPUTED_VALUE"""),100.0)</f>
        <v>100</v>
      </c>
      <c r="L11" s="32">
        <f>IFERROR(__xludf.DUMMYFUNCTION("""COMPUTED_VALUE"""),100.0)</f>
        <v>100</v>
      </c>
      <c r="M11" s="32" t="str">
        <f>IFERROR(__xludf.DUMMYFUNCTION("""COMPUTED_VALUE"""),"Water:100, Nature:Immune, Instant Death:Immune, ")</f>
        <v>Water:100, Nature:Immune, Instant Death:Immune, </v>
      </c>
      <c r="N11" s="32" t="str">
        <f>IFERROR(__xludf.DUMMYFUNCTION("""COMPUTED_VALUE"""),"Fire:100, Storm:100, ")</f>
        <v>Fire:100, Storm:100, </v>
      </c>
      <c r="O11" s="32"/>
      <c r="P11" s="32"/>
      <c r="Q11" s="32"/>
      <c r="R11" s="32"/>
      <c r="S11" s="32"/>
      <c r="T11" s="32"/>
      <c r="U11" s="32"/>
      <c r="V11" s="32"/>
      <c r="W11" s="32" t="str">
        <f>IFERROR(__xludf.DUMMYFUNCTION("""COMPUTED_VALUE"""),"Ancient Colossus Forest Hammer")</f>
        <v>Ancient Colossus Forest Hammer</v>
      </c>
      <c r="X11" s="32"/>
      <c r="Y11" s="32"/>
      <c r="Z11" s="32"/>
      <c r="AA11" s="32"/>
      <c r="AB11" s="32"/>
      <c r="AC11" s="32"/>
      <c r="AD11" s="32"/>
      <c r="AE11" s="32"/>
      <c r="AF11" s="32"/>
      <c r="AG11" s="32"/>
      <c r="AH11" s="32"/>
      <c r="AI11" s="32"/>
      <c r="AJ11" s="32" t="str">
        <f>IFERROR(__xludf.DUMMYFUNCTION("""COMPUTED_VALUE"""),"Poisonous Fumes")</f>
        <v>Poisonous Fumes</v>
      </c>
      <c r="AK11" s="32" t="str">
        <f>IFERROR(__xludf.DUMMYFUNCTION("""COMPUTED_VALUE"""),"Creature Control")</f>
        <v>Creature Control</v>
      </c>
      <c r="AL11" s="32" t="str">
        <f>IFERROR(__xludf.DUMMYFUNCTION("""COMPUTED_VALUE"""),"Mass Destruction")</f>
        <v>Mass Destruction</v>
      </c>
      <c r="AM11" s="32" t="str">
        <f>IFERROR(__xludf.DUMMYFUNCTION("""COMPUTED_VALUE"""),"The World Tree")</f>
        <v>The World Tree</v>
      </c>
      <c r="AN11" s="32" t="str">
        <f>IFERROR(__xludf.DUMMYFUNCTION("""COMPUTED_VALUE"""),"Chaincast")</f>
        <v>Chaincast</v>
      </c>
      <c r="AO11" s="32" t="str">
        <f>IFERROR(__xludf.DUMMYFUNCTION("""COMPUTED_VALUE"""),"Berserk")</f>
        <v>Berserk</v>
      </c>
      <c r="AP11" s="32" t="str">
        <f>IFERROR(__xludf.DUMMYFUNCTION("""COMPUTED_VALUE"""),"Multishot")</f>
        <v>Multishot</v>
      </c>
      <c r="AQ11" s="32"/>
      <c r="AR11" s="32"/>
      <c r="AS11" s="32"/>
      <c r="AT11" s="32"/>
      <c r="AU11" s="32"/>
      <c r="AV11" s="32"/>
      <c r="AW11" s="32"/>
      <c r="AX11" s="32"/>
      <c r="AY11" s="32"/>
      <c r="AZ11" s="32"/>
      <c r="BA11" s="32"/>
      <c r="BB11" s="32"/>
      <c r="BC11" s="32"/>
      <c r="BD11" s="32">
        <f>IFERROR(__xludf.DUMMYFUNCTION("""COMPUTED_VALUE"""),20.0)</f>
        <v>20</v>
      </c>
      <c r="BE11" s="32">
        <f>IFERROR(__xludf.DUMMYFUNCTION("""COMPUTED_VALUE"""),10.0)</f>
        <v>10</v>
      </c>
      <c r="BF11" s="32"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32" t="str">
        <f>IFERROR(__xludf.DUMMYFUNCTION("""COMPUTED_VALUE"""),"Forest")</f>
        <v>Forest</v>
      </c>
      <c r="BH11" s="32" t="str">
        <f>IFERROR(__xludf.DUMMYFUNCTION("""COMPUTED_VALUE"""),"Land of Spira")</f>
        <v>Land of Spira</v>
      </c>
      <c r="BI11" s="32"/>
      <c r="BJ11" s="32"/>
      <c r="BK11" s="32"/>
      <c r="BL11" s="32" t="b">
        <f>IFERROR(__xludf.DUMMYFUNCTION("""COMPUTED_VALUE"""),FALSE)</f>
        <v>0</v>
      </c>
      <c r="BM11" s="32"/>
      <c r="BN11" s="32"/>
      <c r="BO11" s="32"/>
      <c r="BP11" s="32"/>
      <c r="BQ11" s="32"/>
    </row>
    <row r="12">
      <c r="A12" s="32" t="str">
        <f>IFERROR(__xludf.DUMMYFUNCTION("""COMPUTED_VALUE"""),"Frost Colossus")</f>
        <v>Frost Colossus</v>
      </c>
      <c r="B12" s="32">
        <f>IFERROR(__xludf.DUMMYFUNCTION("""COMPUTED_VALUE"""),1.0)</f>
        <v>1</v>
      </c>
      <c r="C12" s="32"/>
      <c r="D12" s="33" t="str">
        <f>IFERROR(__xludf.DUMMYFUNCTION("""COMPUTED_VALUE"""),"Giant")</f>
        <v>Giant</v>
      </c>
      <c r="E12" s="33">
        <f>IFERROR(__xludf.DUMMYFUNCTION("""COMPUTED_VALUE"""),1010.0)</f>
        <v>1010</v>
      </c>
      <c r="F12" s="33">
        <f>IFERROR(__xludf.DUMMYFUNCTION("""COMPUTED_VALUE"""),1010.0)</f>
        <v>1010</v>
      </c>
      <c r="G12" s="33">
        <f>IFERROR(__xludf.DUMMYFUNCTION("""COMPUTED_VALUE"""),1010.0)</f>
        <v>1010</v>
      </c>
      <c r="H12" s="32">
        <f>IFERROR(__xludf.DUMMYFUNCTION("""COMPUTED_VALUE"""),10.0)</f>
        <v>10</v>
      </c>
      <c r="I12" s="32">
        <f>IFERROR(__xludf.DUMMYFUNCTION("""COMPUTED_VALUE"""),0.0)</f>
        <v>0</v>
      </c>
      <c r="J12" s="32">
        <f>IFERROR(__xludf.DUMMYFUNCTION("""COMPUTED_VALUE"""),0.0)</f>
        <v>0</v>
      </c>
      <c r="K12" s="32">
        <f>IFERROR(__xludf.DUMMYFUNCTION("""COMPUTED_VALUE"""),100.0)</f>
        <v>100</v>
      </c>
      <c r="L12" s="32">
        <f>IFERROR(__xludf.DUMMYFUNCTION("""COMPUTED_VALUE"""),100.0)</f>
        <v>100</v>
      </c>
      <c r="M12" s="32" t="str">
        <f>IFERROR(__xludf.DUMMYFUNCTION("""COMPUTED_VALUE"""),"Water:Immune, ")</f>
        <v>Water:Immune, </v>
      </c>
      <c r="N12" s="32" t="str">
        <f>IFERROR(__xludf.DUMMYFUNCTION("""COMPUTED_VALUE"""),"Fire:100, Nature:100, ")</f>
        <v>Fire:100, Nature:100, </v>
      </c>
      <c r="O12" s="32"/>
      <c r="P12" s="32"/>
      <c r="Q12" s="32"/>
      <c r="R12" s="32"/>
      <c r="S12" s="32"/>
      <c r="T12" s="32"/>
      <c r="U12" s="32"/>
      <c r="V12" s="32"/>
      <c r="W12" s="32" t="str">
        <f>IFERROR(__xludf.DUMMYFUNCTION("""COMPUTED_VALUE"""),"Frozen Head-Splitter")</f>
        <v>Frozen Head-Splitter</v>
      </c>
      <c r="X12" s="32"/>
      <c r="Y12" s="32"/>
      <c r="Z12" s="32"/>
      <c r="AA12" s="32"/>
      <c r="AB12" s="32"/>
      <c r="AC12" s="32"/>
      <c r="AD12" s="32"/>
      <c r="AE12" s="32"/>
      <c r="AF12" s="32"/>
      <c r="AG12" s="32"/>
      <c r="AH12" s="32"/>
      <c r="AI12" s="32"/>
      <c r="AJ12" s="32" t="str">
        <f>IFERROR(__xludf.DUMMYFUNCTION("""COMPUTED_VALUE"""),"Freezing Fog")</f>
        <v>Freezing Fog</v>
      </c>
      <c r="AK12" s="32" t="str">
        <f>IFERROR(__xludf.DUMMYFUNCTION("""COMPUTED_VALUE"""),"Blizzard")</f>
        <v>Blizzard</v>
      </c>
      <c r="AL12" s="32" t="str">
        <f>IFERROR(__xludf.DUMMYFUNCTION("""COMPUTED_VALUE"""),"Roaring Frost Winds")</f>
        <v>Roaring Frost Winds</v>
      </c>
      <c r="AM12" s="32" t="str">
        <f>IFERROR(__xludf.DUMMYFUNCTION("""COMPUTED_VALUE"""),"Crashing Waves (Enhanced)")</f>
        <v>Crashing Waves (Enhanced)</v>
      </c>
      <c r="AN12" s="32" t="str">
        <f>IFERROR(__xludf.DUMMYFUNCTION("""COMPUTED_VALUE"""),"Chaincast")</f>
        <v>Chaincast</v>
      </c>
      <c r="AO12" s="32" t="str">
        <f>IFERROR(__xludf.DUMMYFUNCTION("""COMPUTED_VALUE"""),"Mass Destruction")</f>
        <v>Mass Destruction</v>
      </c>
      <c r="AP12" s="32" t="str">
        <f>IFERROR(__xludf.DUMMYFUNCTION("""COMPUTED_VALUE"""),"Berserk")</f>
        <v>Berserk</v>
      </c>
      <c r="AQ12" s="32" t="str">
        <f>IFERROR(__xludf.DUMMYFUNCTION("""COMPUTED_VALUE"""),"Multishot")</f>
        <v>Multishot</v>
      </c>
      <c r="AR12" s="32"/>
      <c r="AS12" s="32"/>
      <c r="AT12" s="32"/>
      <c r="AU12" s="32"/>
      <c r="AV12" s="32"/>
      <c r="AW12" s="32"/>
      <c r="AX12" s="32"/>
      <c r="AY12" s="32"/>
      <c r="AZ12" s="32"/>
      <c r="BA12" s="32"/>
      <c r="BB12" s="32"/>
      <c r="BC12" s="32"/>
      <c r="BD12" s="32">
        <f>IFERROR(__xludf.DUMMYFUNCTION("""COMPUTED_VALUE"""),20.0)</f>
        <v>20</v>
      </c>
      <c r="BE12" s="32">
        <f>IFERROR(__xludf.DUMMYFUNCTION("""COMPUTED_VALUE"""),10.0)</f>
        <v>10</v>
      </c>
      <c r="BF12" s="32"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32" t="str">
        <f>IFERROR(__xludf.DUMMYFUNCTION("""COMPUTED_VALUE"""),"Tundra")</f>
        <v>Tundra</v>
      </c>
      <c r="BH12" s="32" t="str">
        <f>IFERROR(__xludf.DUMMYFUNCTION("""COMPUTED_VALUE"""),"Land of Spira")</f>
        <v>Land of Spira</v>
      </c>
      <c r="BI12" s="32"/>
      <c r="BJ12" s="32"/>
      <c r="BK12" s="32"/>
      <c r="BL12" s="32" t="b">
        <f>IFERROR(__xludf.DUMMYFUNCTION("""COMPUTED_VALUE"""),FALSE)</f>
        <v>0</v>
      </c>
      <c r="BM12" s="32"/>
      <c r="BN12" s="32"/>
      <c r="BO12" s="32"/>
      <c r="BP12" s="32"/>
      <c r="BQ12" s="32"/>
    </row>
    <row r="13">
      <c r="A13" s="32" t="str">
        <f>IFERROR(__xludf.DUMMYFUNCTION("""COMPUTED_VALUE"""),"Frost Cyclops")</f>
        <v>Frost Cyclops</v>
      </c>
      <c r="B13" s="32">
        <f>IFERROR(__xludf.DUMMYFUNCTION("""COMPUTED_VALUE"""),1.0)</f>
        <v>1</v>
      </c>
      <c r="C13" s="32"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33" t="str">
        <f>IFERROR(__xludf.DUMMYFUNCTION("""COMPUTED_VALUE"""),"Giant")</f>
        <v>Giant</v>
      </c>
      <c r="E13" s="33">
        <f>IFERROR(__xludf.DUMMYFUNCTION("""COMPUTED_VALUE"""),1010.0)</f>
        <v>1010</v>
      </c>
      <c r="F13" s="33">
        <f>IFERROR(__xludf.DUMMYFUNCTION("""COMPUTED_VALUE"""),1010.0)</f>
        <v>1010</v>
      </c>
      <c r="G13" s="33">
        <f>IFERROR(__xludf.DUMMYFUNCTION("""COMPUTED_VALUE"""),1010.0)</f>
        <v>1010</v>
      </c>
      <c r="H13" s="32">
        <f>IFERROR(__xludf.DUMMYFUNCTION("""COMPUTED_VALUE"""),10.0)</f>
        <v>10</v>
      </c>
      <c r="I13" s="32">
        <f>IFERROR(__xludf.DUMMYFUNCTION("""COMPUTED_VALUE"""),0.0)</f>
        <v>0</v>
      </c>
      <c r="J13" s="32">
        <f>IFERROR(__xludf.DUMMYFUNCTION("""COMPUTED_VALUE"""),0.0)</f>
        <v>0</v>
      </c>
      <c r="K13" s="32">
        <f>IFERROR(__xludf.DUMMYFUNCTION("""COMPUTED_VALUE"""),100.0)</f>
        <v>100</v>
      </c>
      <c r="L13" s="32">
        <f>IFERROR(__xludf.DUMMYFUNCTION("""COMPUTED_VALUE"""),100.0)</f>
        <v>100</v>
      </c>
      <c r="M13" s="32" t="str">
        <f>IFERROR(__xludf.DUMMYFUNCTION("""COMPUTED_VALUE"""),"Water:Immune, ")</f>
        <v>Water:Immune, </v>
      </c>
      <c r="N13" s="32" t="str">
        <f>IFERROR(__xludf.DUMMYFUNCTION("""COMPUTED_VALUE"""),"Fire:100, Nature:100, ")</f>
        <v>Fire:100, Nature:100, </v>
      </c>
      <c r="O13" s="32"/>
      <c r="P13" s="32"/>
      <c r="Q13" s="32"/>
      <c r="R13" s="32"/>
      <c r="S13" s="32"/>
      <c r="T13" s="32"/>
      <c r="U13" s="32"/>
      <c r="V13" s="32"/>
      <c r="W13" s="32" t="str">
        <f>IFERROR(__xludf.DUMMYFUNCTION("""COMPUTED_VALUE"""),"Frozen Head-Splitter")</f>
        <v>Frozen Head-Splitter</v>
      </c>
      <c r="X13" s="32"/>
      <c r="Y13" s="32"/>
      <c r="Z13" s="32"/>
      <c r="AA13" s="32"/>
      <c r="AB13" s="32"/>
      <c r="AC13" s="32"/>
      <c r="AD13" s="32"/>
      <c r="AE13" s="32"/>
      <c r="AF13" s="32"/>
      <c r="AG13" s="32"/>
      <c r="AH13" s="32"/>
      <c r="AI13" s="32"/>
      <c r="AJ13" s="32" t="str">
        <f>IFERROR(__xludf.DUMMYFUNCTION("""COMPUTED_VALUE"""),"Blizzard")</f>
        <v>Blizzard</v>
      </c>
      <c r="AK13" s="32" t="str">
        <f>IFERROR(__xludf.DUMMYFUNCTION("""COMPUTED_VALUE"""),"Freezing Fog")</f>
        <v>Freezing Fog</v>
      </c>
      <c r="AL13" s="32" t="str">
        <f>IFERROR(__xludf.DUMMYFUNCTION("""COMPUTED_VALUE"""),"Icicle spear")</f>
        <v>Icicle spear</v>
      </c>
      <c r="AM13" s="32" t="str">
        <f>IFERROR(__xludf.DUMMYFUNCTION("""COMPUTED_VALUE"""),"Avalanche")</f>
        <v>Avalanche</v>
      </c>
      <c r="AN13" s="32"/>
      <c r="AO13" s="32"/>
      <c r="AP13" s="32"/>
      <c r="AQ13" s="32"/>
      <c r="AR13" s="32"/>
      <c r="AS13" s="32"/>
      <c r="AT13" s="32"/>
      <c r="AU13" s="32"/>
      <c r="AV13" s="32"/>
      <c r="AW13" s="32"/>
      <c r="AX13" s="32"/>
      <c r="AY13" s="32"/>
      <c r="AZ13" s="32"/>
      <c r="BA13" s="32"/>
      <c r="BB13" s="32"/>
      <c r="BC13" s="32"/>
      <c r="BD13" s="32">
        <f>IFERROR(__xludf.DUMMYFUNCTION("""COMPUTED_VALUE"""),0.0)</f>
        <v>0</v>
      </c>
      <c r="BE13" s="32">
        <f>IFERROR(__xludf.DUMMYFUNCTION("""COMPUTED_VALUE"""),10.0)</f>
        <v>10</v>
      </c>
      <c r="BF13" s="32" t="str">
        <f>IFERROR(__xludf.DUMMYFUNCTION("""COMPUTED_VALUE"""),"+5 can be added to this mobs d20 rolls.
Immune to Freezing.")</f>
        <v>+5 can be added to this mobs d20 rolls.
Immune to Freezing.</v>
      </c>
      <c r="BG13" s="32" t="str">
        <f>IFERROR(__xludf.DUMMYFUNCTION("""COMPUTED_VALUE"""),"Tundra")</f>
        <v>Tundra</v>
      </c>
      <c r="BH13" s="32" t="str">
        <f>IFERROR(__xludf.DUMMYFUNCTION("""COMPUTED_VALUE"""),"Land of Spira")</f>
        <v>Land of Spira</v>
      </c>
      <c r="BI13" s="32"/>
      <c r="BJ13" s="32"/>
      <c r="BK13" s="32"/>
      <c r="BL13" s="32" t="b">
        <f>IFERROR(__xludf.DUMMYFUNCTION("""COMPUTED_VALUE"""),FALSE)</f>
        <v>0</v>
      </c>
      <c r="BM13" s="32"/>
      <c r="BN13" s="32"/>
      <c r="BO13" s="32"/>
      <c r="BP13" s="32"/>
      <c r="BQ13" s="32"/>
    </row>
    <row r="14">
      <c r="A14" s="32" t="str">
        <f>IFERROR(__xludf.DUMMYFUNCTION("""COMPUTED_VALUE"""),"Frost Grand Mage")</f>
        <v>Frost Grand Mage</v>
      </c>
      <c r="B14" s="32">
        <f>IFERROR(__xludf.DUMMYFUNCTION("""COMPUTED_VALUE"""),1.0)</f>
        <v>1</v>
      </c>
      <c r="C14" s="32"/>
      <c r="D14" s="33" t="str">
        <f>IFERROR(__xludf.DUMMYFUNCTION("""COMPUTED_VALUE"""),"Humanoid")</f>
        <v>Humanoid</v>
      </c>
      <c r="E14" s="33">
        <f>IFERROR(__xludf.DUMMYFUNCTION("""COMPUTED_VALUE"""),1010.0)</f>
        <v>1010</v>
      </c>
      <c r="F14" s="33">
        <f>IFERROR(__xludf.DUMMYFUNCTION("""COMPUTED_VALUE"""),1010.0)</f>
        <v>1010</v>
      </c>
      <c r="G14" s="33">
        <f>IFERROR(__xludf.DUMMYFUNCTION("""COMPUTED_VALUE"""),1010.0)</f>
        <v>1010</v>
      </c>
      <c r="H14" s="32">
        <f>IFERROR(__xludf.DUMMYFUNCTION("""COMPUTED_VALUE"""),20.0)</f>
        <v>20</v>
      </c>
      <c r="I14" s="32">
        <f>IFERROR(__xludf.DUMMYFUNCTION("""COMPUTED_VALUE"""),0.0)</f>
        <v>0</v>
      </c>
      <c r="J14" s="32">
        <f>IFERROR(__xludf.DUMMYFUNCTION("""COMPUTED_VALUE"""),0.0)</f>
        <v>0</v>
      </c>
      <c r="K14" s="32">
        <f>IFERROR(__xludf.DUMMYFUNCTION("""COMPUTED_VALUE"""),100.0)</f>
        <v>100</v>
      </c>
      <c r="L14" s="32">
        <f>IFERROR(__xludf.DUMMYFUNCTION("""COMPUTED_VALUE"""),100.0)</f>
        <v>100</v>
      </c>
      <c r="M14" s="32" t="str">
        <f>IFERROR(__xludf.DUMMYFUNCTION("""COMPUTED_VALUE"""),"Water:Immune, Storm:100, Instant Death:Immune, ")</f>
        <v>Water:Immune, Storm:100, Instant Death:Immune, </v>
      </c>
      <c r="N14" s="32" t="str">
        <f>IFERROR(__xludf.DUMMYFUNCTION("""COMPUTED_VALUE"""),"Fire:100, Nature:100, ")</f>
        <v>Fire:100, Nature:100, </v>
      </c>
      <c r="O14" s="32" t="str">
        <f>IFERROR(__xludf.DUMMYFUNCTION("""COMPUTED_VALUE"""),"Frost Mage's Hood")</f>
        <v>Frost Mage's Hood</v>
      </c>
      <c r="P14" s="32"/>
      <c r="Q14" s="32"/>
      <c r="R14" s="32"/>
      <c r="S14" s="32"/>
      <c r="T14" s="32" t="str">
        <f>IFERROR(__xludf.DUMMYFUNCTION("""COMPUTED_VALUE"""),"Frost Mage's Cloak")</f>
        <v>Frost Mage's Cloak</v>
      </c>
      <c r="U14" s="32"/>
      <c r="V14" s="32" t="str">
        <f>IFERROR(__xludf.DUMMYFUNCTION("""COMPUTED_VALUE"""),"Frost Mage's Staff")</f>
        <v>Frost Mage's Staff</v>
      </c>
      <c r="W14" s="32"/>
      <c r="X14" s="32"/>
      <c r="Y14" s="32"/>
      <c r="Z14" s="32"/>
      <c r="AA14" s="32"/>
      <c r="AB14" s="32"/>
      <c r="AC14" s="32"/>
      <c r="AD14" s="32"/>
      <c r="AE14" s="32"/>
      <c r="AF14" s="32"/>
      <c r="AG14" s="32"/>
      <c r="AH14" s="32"/>
      <c r="AI14" s="32" t="str">
        <f>IFERROR(__xludf.DUMMYFUNCTION("""COMPUTED_VALUE"""),"Frost Mage's Boots")</f>
        <v>Frost Mage's Boots</v>
      </c>
      <c r="AJ14" s="32" t="str">
        <f>IFERROR(__xludf.DUMMYFUNCTION("""COMPUTED_VALUE"""),"Chaincast")</f>
        <v>Chaincast</v>
      </c>
      <c r="AK14" s="32" t="str">
        <f>IFERROR(__xludf.DUMMYFUNCTION("""COMPUTED_VALUE"""),"Ancient Frost Grand Mages Curse")</f>
        <v>Ancient Frost Grand Mages Curse</v>
      </c>
      <c r="AL14" s="32" t="str">
        <f>IFERROR(__xludf.DUMMYFUNCTION("""COMPUTED_VALUE"""),"Frost Barrier")</f>
        <v>Frost Barrier</v>
      </c>
      <c r="AM14" s="32" t="str">
        <f>IFERROR(__xludf.DUMMYFUNCTION("""COMPUTED_VALUE"""),"Frost Cloak")</f>
        <v>Frost Cloak</v>
      </c>
      <c r="AN14" s="32" t="str">
        <f>IFERROR(__xludf.DUMMYFUNCTION("""COMPUTED_VALUE"""),"Freezing Fog")</f>
        <v>Freezing Fog</v>
      </c>
      <c r="AO14" s="32" t="str">
        <f>IFERROR(__xludf.DUMMYFUNCTION("""COMPUTED_VALUE"""),"Brewing Storm")</f>
        <v>Brewing Storm</v>
      </c>
      <c r="AP14" s="32" t="str">
        <f>IFERROR(__xludf.DUMMYFUNCTION("""COMPUTED_VALUE"""),"Berserk")</f>
        <v>Berserk</v>
      </c>
      <c r="AQ14" s="32" t="str">
        <f>IFERROR(__xludf.DUMMYFUNCTION("""COMPUTED_VALUE"""),"Multishot")</f>
        <v>Multishot</v>
      </c>
      <c r="AR14" s="32" t="str">
        <f>IFERROR(__xludf.DUMMYFUNCTION("""COMPUTED_VALUE"""),"Mass Destruction")</f>
        <v>Mass Destruction</v>
      </c>
      <c r="AS14" s="32"/>
      <c r="AT14" s="32"/>
      <c r="AU14" s="32"/>
      <c r="AV14" s="32"/>
      <c r="AW14" s="32"/>
      <c r="AX14" s="32"/>
      <c r="AY14" s="32"/>
      <c r="AZ14" s="32"/>
      <c r="BA14" s="32"/>
      <c r="BB14" s="32"/>
      <c r="BC14" s="32"/>
      <c r="BD14" s="32">
        <f>IFERROR(__xludf.DUMMYFUNCTION("""COMPUTED_VALUE"""),0.0)</f>
        <v>0</v>
      </c>
      <c r="BE14" s="32">
        <f>IFERROR(__xludf.DUMMYFUNCTION("""COMPUTED_VALUE"""),20.0)</f>
        <v>20</v>
      </c>
      <c r="BF14" s="32"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32" t="str">
        <f>IFERROR(__xludf.DUMMYFUNCTION("""COMPUTED_VALUE"""),"Tundra")</f>
        <v>Tundra</v>
      </c>
      <c r="BH14" s="32" t="str">
        <f>IFERROR(__xludf.DUMMYFUNCTION("""COMPUTED_VALUE"""),"Land of Spira")</f>
        <v>Land of Spira</v>
      </c>
      <c r="BI14" s="32"/>
      <c r="BJ14" s="32"/>
      <c r="BK14" s="32"/>
      <c r="BL14" s="32" t="b">
        <f>IFERROR(__xludf.DUMMYFUNCTION("""COMPUTED_VALUE"""),FALSE)</f>
        <v>0</v>
      </c>
      <c r="BM14" s="32"/>
      <c r="BN14" s="32"/>
      <c r="BO14" s="32"/>
      <c r="BP14" s="32"/>
      <c r="BQ14" s="32"/>
    </row>
    <row r="15">
      <c r="A15" s="32" t="str">
        <f>IFERROR(__xludf.DUMMYFUNCTION("""COMPUTED_VALUE"""),"Frost King")</f>
        <v>Frost King</v>
      </c>
      <c r="B15" s="32">
        <f>IFERROR(__xludf.DUMMYFUNCTION("""COMPUTED_VALUE"""),1.0)</f>
        <v>1</v>
      </c>
      <c r="C15" s="32"/>
      <c r="D15" s="33" t="str">
        <f>IFERROR(__xludf.DUMMYFUNCTION("""COMPUTED_VALUE"""),"Humanoid")</f>
        <v>Humanoid</v>
      </c>
      <c r="E15" s="33">
        <f>IFERROR(__xludf.DUMMYFUNCTION("""COMPUTED_VALUE"""),1010.0)</f>
        <v>1010</v>
      </c>
      <c r="F15" s="33">
        <f>IFERROR(__xludf.DUMMYFUNCTION("""COMPUTED_VALUE"""),1010.0)</f>
        <v>1010</v>
      </c>
      <c r="G15" s="33">
        <f>IFERROR(__xludf.DUMMYFUNCTION("""COMPUTED_VALUE"""),1010.0)</f>
        <v>1010</v>
      </c>
      <c r="H15" s="32">
        <f>IFERROR(__xludf.DUMMYFUNCTION("""COMPUTED_VALUE"""),20.0)</f>
        <v>20</v>
      </c>
      <c r="I15" s="32">
        <f>IFERROR(__xludf.DUMMYFUNCTION("""COMPUTED_VALUE"""),0.0)</f>
        <v>0</v>
      </c>
      <c r="J15" s="32">
        <f>IFERROR(__xludf.DUMMYFUNCTION("""COMPUTED_VALUE"""),0.0)</f>
        <v>0</v>
      </c>
      <c r="K15" s="32">
        <f>IFERROR(__xludf.DUMMYFUNCTION("""COMPUTED_VALUE"""),100.0)</f>
        <v>100</v>
      </c>
      <c r="L15" s="32">
        <f>IFERROR(__xludf.DUMMYFUNCTION("""COMPUTED_VALUE"""),100.0)</f>
        <v>100</v>
      </c>
      <c r="M15" s="32" t="str">
        <f>IFERROR(__xludf.DUMMYFUNCTION("""COMPUTED_VALUE"""),"Water:Immune, ")</f>
        <v>Water:Immune, </v>
      </c>
      <c r="N15" s="32" t="str">
        <f>IFERROR(__xludf.DUMMYFUNCTION("""COMPUTED_VALUE"""),"Fire:100, Nature:100, ")</f>
        <v>Fire:100, Nature:100, </v>
      </c>
      <c r="O15" s="32" t="str">
        <f>IFERROR(__xludf.DUMMYFUNCTION("""COMPUTED_VALUE"""),"Crown of Frozen Swords")</f>
        <v>Crown of Frozen Swords</v>
      </c>
      <c r="P15" s="32"/>
      <c r="Q15" s="32"/>
      <c r="R15" s="32"/>
      <c r="S15" s="32" t="str">
        <f>IFERROR(__xludf.DUMMYFUNCTION("""COMPUTED_VALUE"""),"Frost-bitten Cape")</f>
        <v>Frost-bitten Cape</v>
      </c>
      <c r="T15" s="32" t="str">
        <f>IFERROR(__xludf.DUMMYFUNCTION("""COMPUTED_VALUE"""),"Plate of the Frozen Sun")</f>
        <v>Plate of the Frozen Sun</v>
      </c>
      <c r="U15" s="32" t="str">
        <f>IFERROR(__xludf.DUMMYFUNCTION("""COMPUTED_VALUE"""),"Ice-steel Bracers")</f>
        <v>Ice-steel Bracers</v>
      </c>
      <c r="V15" s="32"/>
      <c r="W15" s="32" t="str">
        <f>IFERROR(__xludf.DUMMYFUNCTION("""COMPUTED_VALUE"""),"Cryogenic Claymore")</f>
        <v>Cryogenic Claymore</v>
      </c>
      <c r="X15" s="32"/>
      <c r="Y15" s="32"/>
      <c r="Z15" s="32"/>
      <c r="AA15" s="32"/>
      <c r="AB15" s="32"/>
      <c r="AC15" s="32"/>
      <c r="AD15" s="32"/>
      <c r="AE15" s="32"/>
      <c r="AF15" s="32"/>
      <c r="AG15" s="32"/>
      <c r="AH15" s="32" t="str">
        <f>IFERROR(__xludf.DUMMYFUNCTION("""COMPUTED_VALUE"""),"Ice-steel Chausses")</f>
        <v>Ice-steel Chausses</v>
      </c>
      <c r="AI15" s="32" t="str">
        <f>IFERROR(__xludf.DUMMYFUNCTION("""COMPUTED_VALUE"""),"Frost Stompers")</f>
        <v>Frost Stompers</v>
      </c>
      <c r="AJ15" s="32" t="str">
        <f>IFERROR(__xludf.DUMMYFUNCTION("""COMPUTED_VALUE"""),"Chaincast")</f>
        <v>Chaincast</v>
      </c>
      <c r="AK15" s="32" t="str">
        <f>IFERROR(__xludf.DUMMYFUNCTION("""COMPUTED_VALUE"""),"Ancient Frost Grand Mages Curse")</f>
        <v>Ancient Frost Grand Mages Curse</v>
      </c>
      <c r="AL15" s="32" t="str">
        <f>IFERROR(__xludf.DUMMYFUNCTION("""COMPUTED_VALUE"""),"Frost Barrier")</f>
        <v>Frost Barrier</v>
      </c>
      <c r="AM15" s="32" t="str">
        <f>IFERROR(__xludf.DUMMYFUNCTION("""COMPUTED_VALUE"""),"Roaring Frost Winds")</f>
        <v>Roaring Frost Winds</v>
      </c>
      <c r="AN15" s="32" t="str">
        <f>IFERROR(__xludf.DUMMYFUNCTION("""COMPUTED_VALUE"""),"Freezing Fog")</f>
        <v>Freezing Fog</v>
      </c>
      <c r="AO15" s="32" t="str">
        <f>IFERROR(__xludf.DUMMYFUNCTION("""COMPUTED_VALUE"""),"HailStorm")</f>
        <v>HailStorm</v>
      </c>
      <c r="AP15" s="32" t="str">
        <f>IFERROR(__xludf.DUMMYFUNCTION("""COMPUTED_VALUE"""),"Avalanche")</f>
        <v>Avalanche</v>
      </c>
      <c r="AQ15" s="32" t="str">
        <f>IFERROR(__xludf.DUMMYFUNCTION("""COMPUTED_VALUE"""),"Frost Boost")</f>
        <v>Frost Boost</v>
      </c>
      <c r="AR15" s="32" t="str">
        <f>IFERROR(__xludf.DUMMYFUNCTION("""COMPUTED_VALUE"""),"Mass Destruction")</f>
        <v>Mass Destruction</v>
      </c>
      <c r="AS15" s="32" t="str">
        <f>IFERROR(__xludf.DUMMYFUNCTION("""COMPUTED_VALUE"""),"Vaporize")</f>
        <v>Vaporize</v>
      </c>
      <c r="AT15" s="32" t="str">
        <f>IFERROR(__xludf.DUMMYFUNCTION("""COMPUTED_VALUE"""),"Arrest")</f>
        <v>Arrest</v>
      </c>
      <c r="AU15" s="32" t="str">
        <f>IFERROR(__xludf.DUMMYFUNCTION("""COMPUTED_VALUE"""),"Berserk")</f>
        <v>Berserk</v>
      </c>
      <c r="AV15" s="32"/>
      <c r="AW15" s="32"/>
      <c r="AX15" s="32"/>
      <c r="AY15" s="32"/>
      <c r="AZ15" s="32"/>
      <c r="BA15" s="32"/>
      <c r="BB15" s="32"/>
      <c r="BC15" s="32"/>
      <c r="BD15" s="32">
        <f>IFERROR(__xludf.DUMMYFUNCTION("""COMPUTED_VALUE"""),20.0)</f>
        <v>20</v>
      </c>
      <c r="BE15" s="32">
        <f>IFERROR(__xludf.DUMMYFUNCTION("""COMPUTED_VALUE"""),20.0)</f>
        <v>20</v>
      </c>
      <c r="BF15" s="32"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32" t="str">
        <f>IFERROR(__xludf.DUMMYFUNCTION("""COMPUTED_VALUE"""),"Tundra")</f>
        <v>Tundra</v>
      </c>
      <c r="BH15" s="32" t="str">
        <f>IFERROR(__xludf.DUMMYFUNCTION("""COMPUTED_VALUE"""),"Land of Spira")</f>
        <v>Land of Spira</v>
      </c>
      <c r="BI15" s="32"/>
      <c r="BJ15" s="32"/>
      <c r="BK15" s="32"/>
      <c r="BL15" s="32" t="b">
        <f>IFERROR(__xludf.DUMMYFUNCTION("""COMPUTED_VALUE"""),FALSE)</f>
        <v>0</v>
      </c>
      <c r="BM15" s="32"/>
      <c r="BN15" s="32"/>
      <c r="BO15" s="32"/>
      <c r="BP15" s="32"/>
      <c r="BQ15" s="32"/>
    </row>
    <row r="16">
      <c r="A16" s="32" t="str">
        <f>IFERROR(__xludf.DUMMYFUNCTION("""COMPUTED_VALUE"""),"Frost Queen")</f>
        <v>Frost Queen</v>
      </c>
      <c r="B16" s="32">
        <f>IFERROR(__xludf.DUMMYFUNCTION("""COMPUTED_VALUE"""),1.0)</f>
        <v>1</v>
      </c>
      <c r="C16" s="32"/>
      <c r="D16" s="33" t="str">
        <f>IFERROR(__xludf.DUMMYFUNCTION("""COMPUTED_VALUE"""),"Humanoid")</f>
        <v>Humanoid</v>
      </c>
      <c r="E16" s="33">
        <f>IFERROR(__xludf.DUMMYFUNCTION("""COMPUTED_VALUE"""),1010.0)</f>
        <v>1010</v>
      </c>
      <c r="F16" s="33">
        <f>IFERROR(__xludf.DUMMYFUNCTION("""COMPUTED_VALUE"""),1010.0)</f>
        <v>1010</v>
      </c>
      <c r="G16" s="33">
        <f>IFERROR(__xludf.DUMMYFUNCTION("""COMPUTED_VALUE"""),1010.0)</f>
        <v>1010</v>
      </c>
      <c r="H16" s="32">
        <f>IFERROR(__xludf.DUMMYFUNCTION("""COMPUTED_VALUE"""),20.0)</f>
        <v>20</v>
      </c>
      <c r="I16" s="32">
        <f>IFERROR(__xludf.DUMMYFUNCTION("""COMPUTED_VALUE"""),0.0)</f>
        <v>0</v>
      </c>
      <c r="J16" s="32">
        <f>IFERROR(__xludf.DUMMYFUNCTION("""COMPUTED_VALUE"""),0.0)</f>
        <v>0</v>
      </c>
      <c r="K16" s="32">
        <f>IFERROR(__xludf.DUMMYFUNCTION("""COMPUTED_VALUE"""),100.0)</f>
        <v>100</v>
      </c>
      <c r="L16" s="32">
        <f>IFERROR(__xludf.DUMMYFUNCTION("""COMPUTED_VALUE"""),100.0)</f>
        <v>100</v>
      </c>
      <c r="M16" s="32" t="str">
        <f>IFERROR(__xludf.DUMMYFUNCTION("""COMPUTED_VALUE"""),"Water:Immune, ")</f>
        <v>Water:Immune, </v>
      </c>
      <c r="N16" s="32" t="str">
        <f>IFERROR(__xludf.DUMMYFUNCTION("""COMPUTED_VALUE"""),"Fire:100, Nature:100, ")</f>
        <v>Fire:100, Nature:100, </v>
      </c>
      <c r="O16" s="32" t="str">
        <f>IFERROR(__xludf.DUMMYFUNCTION("""COMPUTED_VALUE"""),"Crown of Ice Spears")</f>
        <v>Crown of Ice Spears</v>
      </c>
      <c r="P16" s="32"/>
      <c r="Q16" s="32"/>
      <c r="R16" s="32"/>
      <c r="S16" s="32" t="str">
        <f>IFERROR(__xludf.DUMMYFUNCTION("""COMPUTED_VALUE"""),"Frozen Spearman's Fur Cloak")</f>
        <v>Frozen Spearman's Fur Cloak</v>
      </c>
      <c r="T16" s="32" t="str">
        <f>IFERROR(__xludf.DUMMYFUNCTION("""COMPUTED_VALUE"""),"Frozen Spearman's High-Low Dress")</f>
        <v>Frozen Spearman's High-Low Dress</v>
      </c>
      <c r="U16" s="32" t="str">
        <f>IFERROR(__xludf.DUMMYFUNCTION("""COMPUTED_VALUE"""),"Frozen Spearman's Bracers")</f>
        <v>Frozen Spearman's Bracers</v>
      </c>
      <c r="V16" s="32"/>
      <c r="W16" s="32" t="str">
        <f>IFERROR(__xludf.DUMMYFUNCTION("""COMPUTED_VALUE"""),"Frost Spear")</f>
        <v>Frost Spear</v>
      </c>
      <c r="X16" s="32"/>
      <c r="Y16" s="32"/>
      <c r="Z16" s="32"/>
      <c r="AA16" s="32"/>
      <c r="AB16" s="32"/>
      <c r="AC16" s="32"/>
      <c r="AD16" s="32"/>
      <c r="AE16" s="32"/>
      <c r="AF16" s="32"/>
      <c r="AG16" s="32"/>
      <c r="AH16" s="32" t="str">
        <f>IFERROR(__xludf.DUMMYFUNCTION("""COMPUTED_VALUE"""),"Frozen Spearman's Jhodpur's")</f>
        <v>Frozen Spearman's Jhodpur's</v>
      </c>
      <c r="AI16" s="32" t="str">
        <f>IFERROR(__xludf.DUMMYFUNCTION("""COMPUTED_VALUE"""),"Frozen Spearman's Fur Boots")</f>
        <v>Frozen Spearman's Fur Boots</v>
      </c>
      <c r="AJ16" s="32" t="str">
        <f>IFERROR(__xludf.DUMMYFUNCTION("""COMPUTED_VALUE"""),"Chaincast")</f>
        <v>Chaincast</v>
      </c>
      <c r="AK16" s="32" t="str">
        <f>IFERROR(__xludf.DUMMYFUNCTION("""COMPUTED_VALUE"""),"Ancient Frost Grand Mages Curse")</f>
        <v>Ancient Frost Grand Mages Curse</v>
      </c>
      <c r="AL16" s="32" t="str">
        <f>IFERROR(__xludf.DUMMYFUNCTION("""COMPUTED_VALUE"""),"Frost Barrier")</f>
        <v>Frost Barrier</v>
      </c>
      <c r="AM16" s="32" t="str">
        <f>IFERROR(__xludf.DUMMYFUNCTION("""COMPUTED_VALUE"""),"Roaring Frost Winds")</f>
        <v>Roaring Frost Winds</v>
      </c>
      <c r="AN16" s="32" t="str">
        <f>IFERROR(__xludf.DUMMYFUNCTION("""COMPUTED_VALUE"""),"Freezing Fog")</f>
        <v>Freezing Fog</v>
      </c>
      <c r="AO16" s="32" t="str">
        <f>IFERROR(__xludf.DUMMYFUNCTION("""COMPUTED_VALUE"""),"HailStorm")</f>
        <v>HailStorm</v>
      </c>
      <c r="AP16" s="32" t="str">
        <f>IFERROR(__xludf.DUMMYFUNCTION("""COMPUTED_VALUE"""),"Avalanche")</f>
        <v>Avalanche</v>
      </c>
      <c r="AQ16" s="32" t="str">
        <f>IFERROR(__xludf.DUMMYFUNCTION("""COMPUTED_VALUE"""),"Frost Boost")</f>
        <v>Frost Boost</v>
      </c>
      <c r="AR16" s="32" t="str">
        <f>IFERROR(__xludf.DUMMYFUNCTION("""COMPUTED_VALUE"""),"Mass Destruction")</f>
        <v>Mass Destruction</v>
      </c>
      <c r="AS16" s="32" t="str">
        <f>IFERROR(__xludf.DUMMYFUNCTION("""COMPUTED_VALUE"""),"Vaporize")</f>
        <v>Vaporize</v>
      </c>
      <c r="AT16" s="32" t="str">
        <f>IFERROR(__xludf.DUMMYFUNCTION("""COMPUTED_VALUE"""),"Arrest")</f>
        <v>Arrest</v>
      </c>
      <c r="AU16" s="32" t="str">
        <f>IFERROR(__xludf.DUMMYFUNCTION("""COMPUTED_VALUE"""),"Berserk")</f>
        <v>Berserk</v>
      </c>
      <c r="AV16" s="32"/>
      <c r="AW16" s="32"/>
      <c r="AX16" s="32"/>
      <c r="AY16" s="32"/>
      <c r="AZ16" s="32"/>
      <c r="BA16" s="32"/>
      <c r="BB16" s="32"/>
      <c r="BC16" s="32"/>
      <c r="BD16" s="32">
        <f>IFERROR(__xludf.DUMMYFUNCTION("""COMPUTED_VALUE"""),20.0)</f>
        <v>20</v>
      </c>
      <c r="BE16" s="32">
        <f>IFERROR(__xludf.DUMMYFUNCTION("""COMPUTED_VALUE"""),20.0)</f>
        <v>20</v>
      </c>
      <c r="BF16" s="32"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32" t="str">
        <f>IFERROR(__xludf.DUMMYFUNCTION("""COMPUTED_VALUE"""),"Tundra")</f>
        <v>Tundra</v>
      </c>
      <c r="BH16" s="32" t="str">
        <f>IFERROR(__xludf.DUMMYFUNCTION("""COMPUTED_VALUE"""),"Land of Spira")</f>
        <v>Land of Spira</v>
      </c>
      <c r="BI16" s="32"/>
      <c r="BJ16" s="32"/>
      <c r="BK16" s="32"/>
      <c r="BL16" s="32" t="b">
        <f>IFERROR(__xludf.DUMMYFUNCTION("""COMPUTED_VALUE"""),FALSE)</f>
        <v>0</v>
      </c>
      <c r="BM16" s="32"/>
      <c r="BN16" s="32"/>
      <c r="BO16" s="32"/>
      <c r="BP16" s="32"/>
      <c r="BQ16" s="32"/>
    </row>
    <row r="17">
      <c r="A17" s="32" t="str">
        <f>IFERROR(__xludf.DUMMYFUNCTION("""COMPUTED_VALUE"""),"Sea Dinosaur (WD)")</f>
        <v>Sea Dinosaur (WD)</v>
      </c>
      <c r="B17" s="32">
        <f>IFERROR(__xludf.DUMMYFUNCTION("""COMPUTED_VALUE"""),1.0)</f>
        <v>1</v>
      </c>
      <c r="C17" s="32" t="str">
        <f>IFERROR(__xludf.DUMMYFUNCTION("""COMPUTED_VALUE"""),"Also known as the big fucking fish from Jurrassic Park,")</f>
        <v>Also known as the big fucking fish from Jurrassic Park,</v>
      </c>
      <c r="D17" s="33" t="str">
        <f>IFERROR(__xludf.DUMMYFUNCTION("""COMPUTED_VALUE"""),"Beast")</f>
        <v>Beast</v>
      </c>
      <c r="E17" s="33">
        <f>IFERROR(__xludf.DUMMYFUNCTION("""COMPUTED_VALUE"""),1010.0)</f>
        <v>1010</v>
      </c>
      <c r="F17" s="33">
        <f>IFERROR(__xludf.DUMMYFUNCTION("""COMPUTED_VALUE"""),1010.0)</f>
        <v>1010</v>
      </c>
      <c r="G17" s="33">
        <f>IFERROR(__xludf.DUMMYFUNCTION("""COMPUTED_VALUE"""),1010.0)</f>
        <v>1010</v>
      </c>
      <c r="H17" s="32">
        <f>IFERROR(__xludf.DUMMYFUNCTION("""COMPUTED_VALUE"""),10.0)</f>
        <v>10</v>
      </c>
      <c r="I17" s="32">
        <f>IFERROR(__xludf.DUMMYFUNCTION("""COMPUTED_VALUE"""),0.0)</f>
        <v>0</v>
      </c>
      <c r="J17" s="32">
        <f>IFERROR(__xludf.DUMMYFUNCTION("""COMPUTED_VALUE"""),0.0)</f>
        <v>0</v>
      </c>
      <c r="K17" s="32">
        <f>IFERROR(__xludf.DUMMYFUNCTION("""COMPUTED_VALUE"""),100.0)</f>
        <v>100</v>
      </c>
      <c r="L17" s="32">
        <f>IFERROR(__xludf.DUMMYFUNCTION("""COMPUTED_VALUE"""),100.0)</f>
        <v>100</v>
      </c>
      <c r="M17" s="32" t="str">
        <f>IFERROR(__xludf.DUMMYFUNCTION("""COMPUTED_VALUE"""),"Fire:Immune, Water:Immune, Instant Death:Immune, ")</f>
        <v>Fire:Immune, Water:Immune, Instant Death:Immune, </v>
      </c>
      <c r="N17" s="32" t="str">
        <f>IFERROR(__xludf.DUMMYFUNCTION("""COMPUTED_VALUE"""),"Nature:100, ")</f>
        <v>Nature:100, </v>
      </c>
      <c r="O17" s="32"/>
      <c r="P17" s="32"/>
      <c r="Q17" s="32"/>
      <c r="R17" s="32"/>
      <c r="S17" s="32"/>
      <c r="T17" s="32"/>
      <c r="U17" s="32"/>
      <c r="V17" s="32"/>
      <c r="W17" s="32"/>
      <c r="X17" s="32"/>
      <c r="Y17" s="32"/>
      <c r="Z17" s="32"/>
      <c r="AA17" s="32"/>
      <c r="AB17" s="32"/>
      <c r="AC17" s="32"/>
      <c r="AD17" s="32"/>
      <c r="AE17" s="32"/>
      <c r="AF17" s="32"/>
      <c r="AG17" s="32"/>
      <c r="AH17" s="32"/>
      <c r="AI17" s="32"/>
      <c r="AJ17" s="32" t="str">
        <f>IFERROR(__xludf.DUMMYFUNCTION("""COMPUTED_VALUE"""),"Tail Smash")</f>
        <v>Tail Smash</v>
      </c>
      <c r="AK17" s="32" t="str">
        <f>IFERROR(__xludf.DUMMYFUNCTION("""COMPUTED_VALUE"""),"Full Impact")</f>
        <v>Full Impact</v>
      </c>
      <c r="AL17" s="32" t="str">
        <f>IFERROR(__xludf.DUMMYFUNCTION("""COMPUTED_VALUE"""),"Reckless Chomp ")</f>
        <v>Reckless Chomp </v>
      </c>
      <c r="AM17" s="32" t="str">
        <f>IFERROR(__xludf.DUMMYFUNCTION("""COMPUTED_VALUE"""),"Aggressive Chomp")</f>
        <v>Aggressive Chomp</v>
      </c>
      <c r="AN17" s="32" t="str">
        <f>IFERROR(__xludf.DUMMYFUNCTION("""COMPUTED_VALUE"""),"Crashing Waves")</f>
        <v>Crashing Waves</v>
      </c>
      <c r="AO17" s="32" t="str">
        <f>IFERROR(__xludf.DUMMYFUNCTION("""COMPUTED_VALUE"""),"Mass Destruction")</f>
        <v>Mass Destruction</v>
      </c>
      <c r="AP17" s="32" t="str">
        <f>IFERROR(__xludf.DUMMYFUNCTION("""COMPUTED_VALUE"""),"Berserk")</f>
        <v>Berserk</v>
      </c>
      <c r="AQ17" s="32" t="str">
        <f>IFERROR(__xludf.DUMMYFUNCTION("""COMPUTED_VALUE"""),"Multishot")</f>
        <v>Multishot</v>
      </c>
      <c r="AR17" s="32" t="str">
        <f>IFERROR(__xludf.DUMMYFUNCTION("""COMPUTED_VALUE"""),"Bite")</f>
        <v>Bite</v>
      </c>
      <c r="AS17" s="32" t="str">
        <f>IFERROR(__xludf.DUMMYFUNCTION("""COMPUTED_VALUE"""),"Distracting Blow")</f>
        <v>Distracting Blow</v>
      </c>
      <c r="AT17" s="32"/>
      <c r="AU17" s="32"/>
      <c r="AV17" s="32"/>
      <c r="AW17" s="32"/>
      <c r="AX17" s="32"/>
      <c r="AY17" s="32"/>
      <c r="AZ17" s="32"/>
      <c r="BA17" s="32"/>
      <c r="BB17" s="32"/>
      <c r="BC17" s="32"/>
      <c r="BD17" s="32">
        <f>IFERROR(__xludf.DUMMYFUNCTION("""COMPUTED_VALUE"""),0.0)</f>
        <v>0</v>
      </c>
      <c r="BE17" s="32">
        <f>IFERROR(__xludf.DUMMYFUNCTION("""COMPUTED_VALUE"""),10.0)</f>
        <v>10</v>
      </c>
      <c r="BF17" s="32"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32" t="str">
        <f>IFERROR(__xludf.DUMMYFUNCTION("""COMPUTED_VALUE"""),"Ocean")</f>
        <v>Ocean</v>
      </c>
      <c r="BH17" s="32" t="str">
        <f>IFERROR(__xludf.DUMMYFUNCTION("""COMPUTED_VALUE"""),"Land Of Spira")</f>
        <v>Land Of Spira</v>
      </c>
      <c r="BI17" s="32"/>
      <c r="BJ17" s="32"/>
      <c r="BK17" s="32"/>
      <c r="BL17" s="32" t="b">
        <f>IFERROR(__xludf.DUMMYFUNCTION("""COMPUTED_VALUE"""),FALSE)</f>
        <v>0</v>
      </c>
      <c r="BM17" s="32"/>
      <c r="BN17" s="32"/>
      <c r="BO17" s="32"/>
      <c r="BP17" s="32"/>
      <c r="BQ17" s="32"/>
    </row>
    <row r="18">
      <c r="A18" s="32" t="str">
        <f>IFERROR(__xludf.DUMMYFUNCTION("""COMPUTED_VALUE"""),"Sea Dinosaur (WD) (Enhanced)")</f>
        <v>Sea Dinosaur (WD) (Enhanced)</v>
      </c>
      <c r="B18" s="32">
        <f>IFERROR(__xludf.DUMMYFUNCTION("""COMPUTED_VALUE"""),1.0)</f>
        <v>1</v>
      </c>
      <c r="C18" s="32" t="str">
        <f>IFERROR(__xludf.DUMMYFUNCTION("""COMPUTED_VALUE"""),"Also known as the big fucking fish from Jurrassic Park,")</f>
        <v>Also known as the big fucking fish from Jurrassic Park,</v>
      </c>
      <c r="D18" s="33" t="str">
        <f>IFERROR(__xludf.DUMMYFUNCTION("""COMPUTED_VALUE"""),"Beast")</f>
        <v>Beast</v>
      </c>
      <c r="E18" s="33">
        <f>IFERROR(__xludf.DUMMYFUNCTION("""COMPUTED_VALUE"""),1010.0)</f>
        <v>1010</v>
      </c>
      <c r="F18" s="33">
        <f>IFERROR(__xludf.DUMMYFUNCTION("""COMPUTED_VALUE"""),1010.0)</f>
        <v>1010</v>
      </c>
      <c r="G18" s="33">
        <f>IFERROR(__xludf.DUMMYFUNCTION("""COMPUTED_VALUE"""),1010.0)</f>
        <v>1010</v>
      </c>
      <c r="H18" s="32">
        <f>IFERROR(__xludf.DUMMYFUNCTION("""COMPUTED_VALUE"""),10.0)</f>
        <v>10</v>
      </c>
      <c r="I18" s="32">
        <f>IFERROR(__xludf.DUMMYFUNCTION("""COMPUTED_VALUE"""),0.0)</f>
        <v>0</v>
      </c>
      <c r="J18" s="32">
        <f>IFERROR(__xludf.DUMMYFUNCTION("""COMPUTED_VALUE"""),0.0)</f>
        <v>0</v>
      </c>
      <c r="K18" s="32">
        <f>IFERROR(__xludf.DUMMYFUNCTION("""COMPUTED_VALUE"""),100.0)</f>
        <v>100</v>
      </c>
      <c r="L18" s="32">
        <f>IFERROR(__xludf.DUMMYFUNCTION("""COMPUTED_VALUE"""),100.0)</f>
        <v>100</v>
      </c>
      <c r="M18" s="32" t="str">
        <f>IFERROR(__xludf.DUMMYFUNCTION("""COMPUTED_VALUE"""),"Fire:Immune, Water:Immune, Instant Death:Immune, ")</f>
        <v>Fire:Immune, Water:Immune, Instant Death:Immune, </v>
      </c>
      <c r="N18" s="32" t="str">
        <f>IFERROR(__xludf.DUMMYFUNCTION("""COMPUTED_VALUE"""),"Nature:100, ")</f>
        <v>Nature:100, </v>
      </c>
      <c r="O18" s="32"/>
      <c r="P18" s="32"/>
      <c r="Q18" s="32"/>
      <c r="R18" s="32"/>
      <c r="S18" s="32"/>
      <c r="T18" s="32"/>
      <c r="U18" s="32"/>
      <c r="V18" s="32"/>
      <c r="W18" s="32"/>
      <c r="X18" s="32"/>
      <c r="Y18" s="32"/>
      <c r="Z18" s="32"/>
      <c r="AA18" s="32"/>
      <c r="AB18" s="32"/>
      <c r="AC18" s="32"/>
      <c r="AD18" s="32"/>
      <c r="AE18" s="32"/>
      <c r="AF18" s="32"/>
      <c r="AG18" s="32"/>
      <c r="AH18" s="32"/>
      <c r="AI18" s="32"/>
      <c r="AJ18" s="32" t="str">
        <f>IFERROR(__xludf.DUMMYFUNCTION("""COMPUTED_VALUE"""),"Tail Smash")</f>
        <v>Tail Smash</v>
      </c>
      <c r="AK18" s="32" t="str">
        <f>IFERROR(__xludf.DUMMYFUNCTION("""COMPUTED_VALUE"""),"Full Impact")</f>
        <v>Full Impact</v>
      </c>
      <c r="AL18" s="32" t="str">
        <f>IFERROR(__xludf.DUMMYFUNCTION("""COMPUTED_VALUE"""),"Reckless Chomp ")</f>
        <v>Reckless Chomp </v>
      </c>
      <c r="AM18" s="32" t="str">
        <f>IFERROR(__xludf.DUMMYFUNCTION("""COMPUTED_VALUE"""),"Aggressive Chomp")</f>
        <v>Aggressive Chomp</v>
      </c>
      <c r="AN18" s="32" t="str">
        <f>IFERROR(__xludf.DUMMYFUNCTION("""COMPUTED_VALUE"""),"Crashing Waves (Enhanced)")</f>
        <v>Crashing Waves (Enhanced)</v>
      </c>
      <c r="AO18" s="32" t="str">
        <f>IFERROR(__xludf.DUMMYFUNCTION("""COMPUTED_VALUE"""),"Mass Destruction")</f>
        <v>Mass Destruction</v>
      </c>
      <c r="AP18" s="32" t="str">
        <f>IFERROR(__xludf.DUMMYFUNCTION("""COMPUTED_VALUE"""),"Berserk")</f>
        <v>Berserk</v>
      </c>
      <c r="AQ18" s="32" t="str">
        <f>IFERROR(__xludf.DUMMYFUNCTION("""COMPUTED_VALUE"""),"Multishot")</f>
        <v>Multishot</v>
      </c>
      <c r="AR18" s="32" t="str">
        <f>IFERROR(__xludf.DUMMYFUNCTION("""COMPUTED_VALUE"""),"Bite")</f>
        <v>Bite</v>
      </c>
      <c r="AS18" s="32" t="str">
        <f>IFERROR(__xludf.DUMMYFUNCTION("""COMPUTED_VALUE"""),"Distracting Blow")</f>
        <v>Distracting Blow</v>
      </c>
      <c r="AT18" s="32"/>
      <c r="AU18" s="32"/>
      <c r="AV18" s="32"/>
      <c r="AW18" s="32"/>
      <c r="AX18" s="32"/>
      <c r="AY18" s="32"/>
      <c r="AZ18" s="32"/>
      <c r="BA18" s="32"/>
      <c r="BB18" s="32"/>
      <c r="BC18" s="32"/>
      <c r="BD18" s="32">
        <f>IFERROR(__xludf.DUMMYFUNCTION("""COMPUTED_VALUE"""),0.0)</f>
        <v>0</v>
      </c>
      <c r="BE18" s="32">
        <f>IFERROR(__xludf.DUMMYFUNCTION("""COMPUTED_VALUE"""),10.0)</f>
        <v>10</v>
      </c>
      <c r="BF18" s="3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32" t="str">
        <f>IFERROR(__xludf.DUMMYFUNCTION("""COMPUTED_VALUE"""),"Ocean")</f>
        <v>Ocean</v>
      </c>
      <c r="BH18" s="32" t="str">
        <f>IFERROR(__xludf.DUMMYFUNCTION("""COMPUTED_VALUE"""),"Land Of Spira")</f>
        <v>Land Of Spira</v>
      </c>
      <c r="BI18" s="32"/>
      <c r="BJ18" s="32"/>
      <c r="BK18" s="32"/>
      <c r="BL18" s="32" t="b">
        <f>IFERROR(__xludf.DUMMYFUNCTION("""COMPUTED_VALUE"""),FALSE)</f>
        <v>0</v>
      </c>
      <c r="BM18" s="32"/>
      <c r="BN18" s="32"/>
      <c r="BO18" s="32"/>
      <c r="BP18" s="32"/>
      <c r="BQ18" s="32"/>
    </row>
    <row r="19">
      <c r="A19" s="32" t="str">
        <f>IFERROR(__xludf.DUMMYFUNCTION("""COMPUTED_VALUE"""),"Ancient Skeleton Colossus")</f>
        <v>Ancient Skeleton Colossus</v>
      </c>
      <c r="B19" s="32">
        <f>IFERROR(__xludf.DUMMYFUNCTION("""COMPUTED_VALUE"""),1.0)</f>
        <v>1</v>
      </c>
      <c r="C19" s="32"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33" t="str">
        <f>IFERROR(__xludf.DUMMYFUNCTION("""COMPUTED_VALUE"""),"Undead")</f>
        <v>Undead</v>
      </c>
      <c r="E19" s="33">
        <f>IFERROR(__xludf.DUMMYFUNCTION("""COMPUTED_VALUE"""),1010.0)</f>
        <v>1010</v>
      </c>
      <c r="F19" s="33">
        <f>IFERROR(__xludf.DUMMYFUNCTION("""COMPUTED_VALUE"""),1010.0)</f>
        <v>1010</v>
      </c>
      <c r="G19" s="33">
        <f>IFERROR(__xludf.DUMMYFUNCTION("""COMPUTED_VALUE"""),1010.0)</f>
        <v>1010</v>
      </c>
      <c r="H19" s="32">
        <f>IFERROR(__xludf.DUMMYFUNCTION("""COMPUTED_VALUE"""),20.0)</f>
        <v>20</v>
      </c>
      <c r="I19" s="32">
        <f>IFERROR(__xludf.DUMMYFUNCTION("""COMPUTED_VALUE"""),0.0)</f>
        <v>0</v>
      </c>
      <c r="J19" s="32">
        <f>IFERROR(__xludf.DUMMYFUNCTION("""COMPUTED_VALUE"""),0.0)</f>
        <v>0</v>
      </c>
      <c r="K19" s="32">
        <f>IFERROR(__xludf.DUMMYFUNCTION("""COMPUTED_VALUE"""),100.0)</f>
        <v>100</v>
      </c>
      <c r="L19" s="32">
        <f>IFERROR(__xludf.DUMMYFUNCTION("""COMPUTED_VALUE"""),100.0)</f>
        <v>100</v>
      </c>
      <c r="M19" s="32" t="str">
        <f>IFERROR(__xludf.DUMMYFUNCTION("""COMPUTED_VALUE"""),"Dark:Immune, Instant Death:Immune, Banishment:Immune, ")</f>
        <v>Dark:Immune, Instant Death:Immune, Banishment:Immune, </v>
      </c>
      <c r="N19" s="32" t="str">
        <f>IFERROR(__xludf.DUMMYFUNCTION("""COMPUTED_VALUE"""),"Fire:100, Light:100, ")</f>
        <v>Fire:100, Light:100, </v>
      </c>
      <c r="O19" s="32"/>
      <c r="P19" s="32"/>
      <c r="Q19" s="32"/>
      <c r="R19" s="32"/>
      <c r="S19" s="32"/>
      <c r="T19" s="32"/>
      <c r="U19" s="32"/>
      <c r="V19" s="32" t="str">
        <f>IFERROR(__xludf.DUMMYFUNCTION("""COMPUTED_VALUE"""),"Colossus Bone Sword")</f>
        <v>Colossus Bone Sword</v>
      </c>
      <c r="W19" s="32"/>
      <c r="X19" s="32"/>
      <c r="Y19" s="32"/>
      <c r="Z19" s="32"/>
      <c r="AA19" s="32"/>
      <c r="AB19" s="32"/>
      <c r="AC19" s="32"/>
      <c r="AD19" s="32"/>
      <c r="AE19" s="32"/>
      <c r="AF19" s="32"/>
      <c r="AG19" s="32"/>
      <c r="AH19" s="32"/>
      <c r="AI19" s="32"/>
      <c r="AJ19" s="32" t="str">
        <f>IFERROR(__xludf.DUMMYFUNCTION("""COMPUTED_VALUE"""),"Undead Energy")</f>
        <v>Undead Energy</v>
      </c>
      <c r="AK19" s="32" t="str">
        <f>IFERROR(__xludf.DUMMYFUNCTION("""COMPUTED_VALUE"""),"Dark Curse")</f>
        <v>Dark Curse</v>
      </c>
      <c r="AL19" s="32" t="str">
        <f>IFERROR(__xludf.DUMMYFUNCTION("""COMPUTED_VALUE"""),"Shadow Strike")</f>
        <v>Shadow Strike</v>
      </c>
      <c r="AM19" s="32" t="str">
        <f>IFERROR(__xludf.DUMMYFUNCTION("""COMPUTED_VALUE"""),"Darkest Abyss")</f>
        <v>Darkest Abyss</v>
      </c>
      <c r="AN19" s="32" t="str">
        <f>IFERROR(__xludf.DUMMYFUNCTION("""COMPUTED_VALUE"""),"Mass Destruction")</f>
        <v>Mass Destruction</v>
      </c>
      <c r="AO19" s="32" t="str">
        <f>IFERROR(__xludf.DUMMYFUNCTION("""COMPUTED_VALUE"""),"Multishot")</f>
        <v>Multishot</v>
      </c>
      <c r="AP19" s="32" t="str">
        <f>IFERROR(__xludf.DUMMYFUNCTION("""COMPUTED_VALUE"""),"Berserk")</f>
        <v>Berserk</v>
      </c>
      <c r="AQ19" s="32" t="str">
        <f>IFERROR(__xludf.DUMMYFUNCTION("""COMPUTED_VALUE"""),"Punch")</f>
        <v>Punch</v>
      </c>
      <c r="AR19" s="32"/>
      <c r="AS19" s="32"/>
      <c r="AT19" s="32"/>
      <c r="AU19" s="32"/>
      <c r="AV19" s="32"/>
      <c r="AW19" s="32"/>
      <c r="AX19" s="32"/>
      <c r="AY19" s="32"/>
      <c r="AZ19" s="32"/>
      <c r="BA19" s="32"/>
      <c r="BB19" s="32"/>
      <c r="BC19" s="32"/>
      <c r="BD19" s="32">
        <f>IFERROR(__xludf.DUMMYFUNCTION("""COMPUTED_VALUE"""),20.0)</f>
        <v>20</v>
      </c>
      <c r="BE19" s="32">
        <f>IFERROR(__xludf.DUMMYFUNCTION("""COMPUTED_VALUE"""),20.0)</f>
        <v>20</v>
      </c>
      <c r="BF19" s="32"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32" t="str">
        <f>IFERROR(__xludf.DUMMYFUNCTION("""COMPUTED_VALUE"""),"All")</f>
        <v>All</v>
      </c>
      <c r="BH19" s="32" t="str">
        <f>IFERROR(__xludf.DUMMYFUNCTION("""COMPUTED_VALUE"""),"Land Of Spira")</f>
        <v>Land Of Spira</v>
      </c>
      <c r="BI19" s="32"/>
      <c r="BJ19" s="32"/>
      <c r="BK19" s="32"/>
      <c r="BL19" s="32" t="b">
        <f>IFERROR(__xludf.DUMMYFUNCTION("""COMPUTED_VALUE"""),FALSE)</f>
        <v>0</v>
      </c>
      <c r="BM19" s="32"/>
      <c r="BN19" s="32"/>
      <c r="BO19" s="32"/>
      <c r="BP19" s="32"/>
      <c r="BQ19" s="32"/>
    </row>
    <row r="20">
      <c r="A20" s="32" t="str">
        <f>IFERROR(__xludf.DUMMYFUNCTION("""COMPUTED_VALUE"""),"Ancient Stone Guard")</f>
        <v>Ancient Stone Guard</v>
      </c>
      <c r="B20" s="32">
        <f>IFERROR(__xludf.DUMMYFUNCTION("""COMPUTED_VALUE"""),1.0)</f>
        <v>1</v>
      </c>
      <c r="C20" s="32"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33" t="str">
        <f>IFERROR(__xludf.DUMMYFUNCTION("""COMPUTED_VALUE"""),"Construct")</f>
        <v>Construct</v>
      </c>
      <c r="E20" s="33">
        <f>IFERROR(__xludf.DUMMYFUNCTION("""COMPUTED_VALUE"""),1010.0)</f>
        <v>1010</v>
      </c>
      <c r="F20" s="33">
        <f>IFERROR(__xludf.DUMMYFUNCTION("""COMPUTED_VALUE"""),1010.0)</f>
        <v>1010</v>
      </c>
      <c r="G20" s="33">
        <f>IFERROR(__xludf.DUMMYFUNCTION("""COMPUTED_VALUE"""),1010.0)</f>
        <v>1010</v>
      </c>
      <c r="H20" s="32">
        <f>IFERROR(__xludf.DUMMYFUNCTION("""COMPUTED_VALUE"""),10.0)</f>
        <v>10</v>
      </c>
      <c r="I20" s="32">
        <f>IFERROR(__xludf.DUMMYFUNCTION("""COMPUTED_VALUE"""),0.0)</f>
        <v>0</v>
      </c>
      <c r="J20" s="32">
        <f>IFERROR(__xludf.DUMMYFUNCTION("""COMPUTED_VALUE"""),0.0)</f>
        <v>0</v>
      </c>
      <c r="K20" s="32">
        <f>IFERROR(__xludf.DUMMYFUNCTION("""COMPUTED_VALUE"""),100.0)</f>
        <v>100</v>
      </c>
      <c r="L20" s="32">
        <f>IFERROR(__xludf.DUMMYFUNCTION("""COMPUTED_VALUE"""),100.0)</f>
        <v>100</v>
      </c>
      <c r="M20" s="32" t="str">
        <f>IFERROR(__xludf.DUMMYFUNCTION("""COMPUTED_VALUE"""),"Earth:Immune, Light:100, Order:Immune, ")</f>
        <v>Earth:Immune, Light:100, Order:Immune, </v>
      </c>
      <c r="N20" s="32" t="str">
        <f>IFERROR(__xludf.DUMMYFUNCTION("""COMPUTED_VALUE"""),"Water:100, Storm:100, Dark:100, Chaos:100, ")</f>
        <v>Water:100, Storm:100, Dark:100, Chaos:100, </v>
      </c>
      <c r="O20" s="32"/>
      <c r="P20" s="32"/>
      <c r="Q20" s="32"/>
      <c r="R20" s="32"/>
      <c r="S20" s="32"/>
      <c r="T20" s="32"/>
      <c r="U20" s="32"/>
      <c r="V20" s="32"/>
      <c r="W20" s="32" t="str">
        <f>IFERROR(__xludf.DUMMYFUNCTION("""COMPUTED_VALUE"""),"Ancient Stone Guardians Sword")</f>
        <v>Ancient Stone Guardians Sword</v>
      </c>
      <c r="X20" s="32"/>
      <c r="Y20" s="32"/>
      <c r="Z20" s="32"/>
      <c r="AA20" s="32"/>
      <c r="AB20" s="32"/>
      <c r="AC20" s="32"/>
      <c r="AD20" s="32"/>
      <c r="AE20" s="32"/>
      <c r="AF20" s="32"/>
      <c r="AG20" s="32"/>
      <c r="AH20" s="32"/>
      <c r="AI20" s="32"/>
      <c r="AJ20" s="32" t="str">
        <f>IFERROR(__xludf.DUMMYFUNCTION("""COMPUTED_VALUE"""),"Arrest")</f>
        <v>Arrest</v>
      </c>
      <c r="AK20" s="32" t="str">
        <f>IFERROR(__xludf.DUMMYFUNCTION("""COMPUTED_VALUE"""),"Earthquake")</f>
        <v>Earthquake</v>
      </c>
      <c r="AL20" s="32" t="str">
        <f>IFERROR(__xludf.DUMMYFUNCTION("""COMPUTED_VALUE"""),"Rock Cycle")</f>
        <v>Rock Cycle</v>
      </c>
      <c r="AM20" s="32" t="str">
        <f>IFERROR(__xludf.DUMMYFUNCTION("""COMPUTED_VALUE"""),"Mud Wave")</f>
        <v>Mud Wave</v>
      </c>
      <c r="AN20" s="32" t="str">
        <f>IFERROR(__xludf.DUMMYFUNCTION("""COMPUTED_VALUE"""),"Obliterating Light of Blindness")</f>
        <v>Obliterating Light of Blindness</v>
      </c>
      <c r="AO20" s="32" t="str">
        <f>IFERROR(__xludf.DUMMYFUNCTION("""COMPUTED_VALUE"""),"Berserk")</f>
        <v>Berserk</v>
      </c>
      <c r="AP20" s="32" t="str">
        <f>IFERROR(__xludf.DUMMYFUNCTION("""COMPUTED_VALUE"""),"Confiscate")</f>
        <v>Confiscate</v>
      </c>
      <c r="AQ20" s="32" t="str">
        <f>IFERROR(__xludf.DUMMYFUNCTION("""COMPUTED_VALUE"""),"Mass Destruction")</f>
        <v>Mass Destruction</v>
      </c>
      <c r="AR20" s="32"/>
      <c r="AS20" s="32"/>
      <c r="AT20" s="32"/>
      <c r="AU20" s="32"/>
      <c r="AV20" s="32"/>
      <c r="AW20" s="32"/>
      <c r="AX20" s="32"/>
      <c r="AY20" s="32"/>
      <c r="AZ20" s="32"/>
      <c r="BA20" s="32"/>
      <c r="BB20" s="32"/>
      <c r="BC20" s="32"/>
      <c r="BD20" s="32">
        <f>IFERROR(__xludf.DUMMYFUNCTION("""COMPUTED_VALUE"""),10.0)</f>
        <v>10</v>
      </c>
      <c r="BE20" s="32">
        <f>IFERROR(__xludf.DUMMYFUNCTION("""COMPUTED_VALUE"""),10.0)</f>
        <v>10</v>
      </c>
      <c r="BF20" s="32"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32" t="str">
        <f>IFERROR(__xludf.DUMMYFUNCTION("""COMPUTED_VALUE"""),"Mountains")</f>
        <v>Mountains</v>
      </c>
      <c r="BH20" s="32" t="str">
        <f>IFERROR(__xludf.DUMMYFUNCTION("""COMPUTED_VALUE"""),"Land Of Spira")</f>
        <v>Land Of Spira</v>
      </c>
      <c r="BI20" s="32"/>
      <c r="BJ20" s="32"/>
      <c r="BK20" s="32"/>
      <c r="BL20" s="32" t="b">
        <f>IFERROR(__xludf.DUMMYFUNCTION("""COMPUTED_VALUE"""),FALSE)</f>
        <v>0</v>
      </c>
      <c r="BM20" s="32"/>
      <c r="BN20" s="32"/>
      <c r="BO20" s="32"/>
      <c r="BP20" s="32"/>
      <c r="BQ20" s="32"/>
    </row>
    <row r="21">
      <c r="A21" s="32" t="str">
        <f>IFERROR(__xludf.DUMMYFUNCTION("""COMPUTED_VALUE"""),"Ancient Tree Of Flames")</f>
        <v>Ancient Tree Of Flames</v>
      </c>
      <c r="B21" s="32">
        <f>IFERROR(__xludf.DUMMYFUNCTION("""COMPUTED_VALUE"""),1.0)</f>
        <v>1</v>
      </c>
      <c r="C21" s="32" t="str">
        <f>IFERROR(__xludf.DUMMYFUNCTION("""COMPUTED_VALUE"""),"A warning to Forestview, you're next.")</f>
        <v>A warning to Forestview, you're next.</v>
      </c>
      <c r="D21" s="33" t="str">
        <f>IFERROR(__xludf.DUMMYFUNCTION("""COMPUTED_VALUE"""),"Monstrosity")</f>
        <v>Monstrosity</v>
      </c>
      <c r="E21" s="33">
        <f>IFERROR(__xludf.DUMMYFUNCTION("""COMPUTED_VALUE"""),1010.0)</f>
        <v>1010</v>
      </c>
      <c r="F21" s="33">
        <f>IFERROR(__xludf.DUMMYFUNCTION("""COMPUTED_VALUE"""),1010.0)</f>
        <v>1010</v>
      </c>
      <c r="G21" s="33">
        <f>IFERROR(__xludf.DUMMYFUNCTION("""COMPUTED_VALUE"""),1010.0)</f>
        <v>1010</v>
      </c>
      <c r="H21" s="32">
        <f>IFERROR(__xludf.DUMMYFUNCTION("""COMPUTED_VALUE"""),10.0)</f>
        <v>10</v>
      </c>
      <c r="I21" s="32">
        <f>IFERROR(__xludf.DUMMYFUNCTION("""COMPUTED_VALUE"""),0.0)</f>
        <v>0</v>
      </c>
      <c r="J21" s="32">
        <f>IFERROR(__xludf.DUMMYFUNCTION("""COMPUTED_VALUE"""),0.0)</f>
        <v>0</v>
      </c>
      <c r="K21" s="32">
        <f>IFERROR(__xludf.DUMMYFUNCTION("""COMPUTED_VALUE"""),100.0)</f>
        <v>100</v>
      </c>
      <c r="L21" s="32">
        <f>IFERROR(__xludf.DUMMYFUNCTION("""COMPUTED_VALUE"""),100.0)</f>
        <v>100</v>
      </c>
      <c r="M21" s="32" t="str">
        <f>IFERROR(__xludf.DUMMYFUNCTION("""COMPUTED_VALUE"""),"Nature:Immune, ")</f>
        <v>Nature:Immune, </v>
      </c>
      <c r="N21" s="32" t="str">
        <f>IFERROR(__xludf.DUMMYFUNCTION("""COMPUTED_VALUE"""),"Water:100, ")</f>
        <v>Water:100, </v>
      </c>
      <c r="O21" s="32"/>
      <c r="P21" s="32"/>
      <c r="Q21" s="32"/>
      <c r="R21" s="32"/>
      <c r="S21" s="32"/>
      <c r="T21" s="32"/>
      <c r="U21" s="32"/>
      <c r="V21" s="32"/>
      <c r="W21" s="32"/>
      <c r="X21" s="32"/>
      <c r="Y21" s="32"/>
      <c r="Z21" s="32"/>
      <c r="AA21" s="32"/>
      <c r="AB21" s="32"/>
      <c r="AC21" s="32"/>
      <c r="AD21" s="32"/>
      <c r="AE21" s="32"/>
      <c r="AF21" s="32"/>
      <c r="AG21" s="32"/>
      <c r="AH21" s="32"/>
      <c r="AI21" s="32"/>
      <c r="AJ21" s="32" t="str">
        <f>IFERROR(__xludf.DUMMYFUNCTION("""COMPUTED_VALUE"""),"Last resort")</f>
        <v>Last resort</v>
      </c>
      <c r="AK21" s="32"/>
      <c r="AL21" s="32"/>
      <c r="AM21" s="32"/>
      <c r="AN21" s="32"/>
      <c r="AO21" s="32"/>
      <c r="AP21" s="32"/>
      <c r="AQ21" s="32"/>
      <c r="AR21" s="32"/>
      <c r="AS21" s="32"/>
      <c r="AT21" s="32"/>
      <c r="AU21" s="32"/>
      <c r="AV21" s="32"/>
      <c r="AW21" s="32"/>
      <c r="AX21" s="32"/>
      <c r="AY21" s="32"/>
      <c r="AZ21" s="32"/>
      <c r="BA21" s="32"/>
      <c r="BB21" s="32"/>
      <c r="BC21" s="32"/>
      <c r="BD21" s="32">
        <f>IFERROR(__xludf.DUMMYFUNCTION("""COMPUTED_VALUE"""),0.0)</f>
        <v>0</v>
      </c>
      <c r="BE21" s="32">
        <f>IFERROR(__xludf.DUMMYFUNCTION("""COMPUTED_VALUE"""),10.0)</f>
        <v>10</v>
      </c>
      <c r="BF21" s="32" t="str">
        <f>IFERROR(__xludf.DUMMYFUNCTION("""COMPUTED_VALUE"""),"Ancient Flame Charge: +5 is added to turn order for caster.
Ignores all defense")</f>
        <v>Ancient Flame Charge: +5 is added to turn order for caster.
Ignores all defense</v>
      </c>
      <c r="BG21" s="32" t="str">
        <f>IFERROR(__xludf.DUMMYFUNCTION("""COMPUTED_VALUE"""),"Tundra")</f>
        <v>Tundra</v>
      </c>
      <c r="BH21" s="32" t="str">
        <f>IFERROR(__xludf.DUMMYFUNCTION("""COMPUTED_VALUE"""),"Land Of Spira")</f>
        <v>Land Of Spira</v>
      </c>
      <c r="BI21" s="32"/>
      <c r="BJ21" s="32"/>
      <c r="BK21" s="32"/>
      <c r="BL21" s="32" t="b">
        <f>IFERROR(__xludf.DUMMYFUNCTION("""COMPUTED_VALUE"""),FALSE)</f>
        <v>0</v>
      </c>
      <c r="BM21" s="32"/>
      <c r="BN21" s="32"/>
      <c r="BO21" s="32"/>
      <c r="BP21" s="32"/>
      <c r="BQ21" s="32"/>
    </row>
    <row r="22">
      <c r="A22" s="32" t="str">
        <f>IFERROR(__xludf.DUMMYFUNCTION("""COMPUTED_VALUE"""),"Volcanic Worm")</f>
        <v>Volcanic Worm</v>
      </c>
      <c r="B22" s="32">
        <f>IFERROR(__xludf.DUMMYFUNCTION("""COMPUTED_VALUE"""),1.0)</f>
        <v>1</v>
      </c>
      <c r="C22" s="32" t="str">
        <f>IFERROR(__xludf.DUMMYFUNCTION("""COMPUTED_VALUE"""),"Big slithery thing that will absolutely fucking eat you.")</f>
        <v>Big slithery thing that will absolutely fucking eat you.</v>
      </c>
      <c r="D22" s="33" t="str">
        <f>IFERROR(__xludf.DUMMYFUNCTION("""COMPUTED_VALUE"""),"Monstrosity")</f>
        <v>Monstrosity</v>
      </c>
      <c r="E22" s="33">
        <f>IFERROR(__xludf.DUMMYFUNCTION("""COMPUTED_VALUE"""),1010.0)</f>
        <v>1010</v>
      </c>
      <c r="F22" s="33">
        <f>IFERROR(__xludf.DUMMYFUNCTION("""COMPUTED_VALUE"""),1010.0)</f>
        <v>1010</v>
      </c>
      <c r="G22" s="33">
        <f>IFERROR(__xludf.DUMMYFUNCTION("""COMPUTED_VALUE"""),1010.0)</f>
        <v>1010</v>
      </c>
      <c r="H22" s="32">
        <f>IFERROR(__xludf.DUMMYFUNCTION("""COMPUTED_VALUE"""),10.0)</f>
        <v>10</v>
      </c>
      <c r="I22" s="32">
        <f>IFERROR(__xludf.DUMMYFUNCTION("""COMPUTED_VALUE"""),0.0)</f>
        <v>0</v>
      </c>
      <c r="J22" s="32">
        <f>IFERROR(__xludf.DUMMYFUNCTION("""COMPUTED_VALUE"""),0.0)</f>
        <v>0</v>
      </c>
      <c r="K22" s="32">
        <f>IFERROR(__xludf.DUMMYFUNCTION("""COMPUTED_VALUE"""),100.0)</f>
        <v>100</v>
      </c>
      <c r="L22" s="32">
        <f>IFERROR(__xludf.DUMMYFUNCTION("""COMPUTED_VALUE"""),100.0)</f>
        <v>100</v>
      </c>
      <c r="M22" s="32" t="str">
        <f>IFERROR(__xludf.DUMMYFUNCTION("""COMPUTED_VALUE"""),"Fire:100, Nature:Immune, Instant Death:Immune, ")</f>
        <v>Fire:100, Nature:Immune, Instant Death:Immune, </v>
      </c>
      <c r="N22" s="32" t="str">
        <f>IFERROR(__xludf.DUMMYFUNCTION("""COMPUTED_VALUE"""),"Water:100, ")</f>
        <v>Water:100, </v>
      </c>
      <c r="O22" s="32"/>
      <c r="P22" s="32"/>
      <c r="Q22" s="32"/>
      <c r="R22" s="32"/>
      <c r="S22" s="32"/>
      <c r="T22" s="32"/>
      <c r="U22" s="32"/>
      <c r="V22" s="32"/>
      <c r="W22" s="32"/>
      <c r="X22" s="32"/>
      <c r="Y22" s="32"/>
      <c r="Z22" s="32"/>
      <c r="AA22" s="32"/>
      <c r="AB22" s="32"/>
      <c r="AC22" s="32"/>
      <c r="AD22" s="32"/>
      <c r="AE22" s="32"/>
      <c r="AF22" s="32"/>
      <c r="AG22" s="32"/>
      <c r="AH22" s="32"/>
      <c r="AI22" s="32"/>
      <c r="AJ22" s="32" t="str">
        <f>IFERROR(__xludf.DUMMYFUNCTION("""COMPUTED_VALUE"""),"Absorb")</f>
        <v>Absorb</v>
      </c>
      <c r="AK22" s="32" t="str">
        <f>IFERROR(__xludf.DUMMYFUNCTION("""COMPUTED_VALUE"""),"Absorb Enemy ")</f>
        <v>Absorb Enemy </v>
      </c>
      <c r="AL22" s="32" t="str">
        <f>IFERROR(__xludf.DUMMYFUNCTION("""COMPUTED_VALUE"""),"Mass Ignition")</f>
        <v>Mass Ignition</v>
      </c>
      <c r="AM22" s="32" t="str">
        <f>IFERROR(__xludf.DUMMYFUNCTION("""COMPUTED_VALUE"""),"Meteor Shower")</f>
        <v>Meteor Shower</v>
      </c>
      <c r="AN22" s="32" t="str">
        <f>IFERROR(__xludf.DUMMYFUNCTION("""COMPUTED_VALUE"""),"Forgotten Fire")</f>
        <v>Forgotten Fire</v>
      </c>
      <c r="AO22" s="32" t="str">
        <f>IFERROR(__xludf.DUMMYFUNCTION("""COMPUTED_VALUE"""),"Lesser Nova")</f>
        <v>Lesser Nova</v>
      </c>
      <c r="AP22" s="32" t="str">
        <f>IFERROR(__xludf.DUMMYFUNCTION("""COMPUTED_VALUE"""),"Celestial blast")</f>
        <v>Celestial blast</v>
      </c>
      <c r="AQ22" s="32" t="str">
        <f>IFERROR(__xludf.DUMMYFUNCTION("""COMPUTED_VALUE"""),"Berserk")</f>
        <v>Berserk</v>
      </c>
      <c r="AR22" s="32"/>
      <c r="AS22" s="32"/>
      <c r="AT22" s="32"/>
      <c r="AU22" s="32"/>
      <c r="AV22" s="32"/>
      <c r="AW22" s="32"/>
      <c r="AX22" s="32"/>
      <c r="AY22" s="32"/>
      <c r="AZ22" s="32"/>
      <c r="BA22" s="32"/>
      <c r="BB22" s="32"/>
      <c r="BC22" s="32"/>
      <c r="BD22" s="32">
        <f>IFERROR(__xludf.DUMMYFUNCTION("""COMPUTED_VALUE"""),0.0)</f>
        <v>0</v>
      </c>
      <c r="BE22" s="32">
        <f>IFERROR(__xludf.DUMMYFUNCTION("""COMPUTED_VALUE"""),15.0)</f>
        <v>15</v>
      </c>
      <c r="BF22" s="32" t="str">
        <f>IFERROR(__xludf.DUMMYFUNCTION("""COMPUTED_VALUE"""),"Absorb Attack (Enhanced): has a 75% to absorb an attack or spell.")</f>
        <v>Absorb Attack (Enhanced): has a 75% to absorb an attack or spell.</v>
      </c>
      <c r="BG22" s="32" t="str">
        <f>IFERROR(__xludf.DUMMYFUNCTION("""COMPUTED_VALUE"""),"Tundra")</f>
        <v>Tundra</v>
      </c>
      <c r="BH22" s="32" t="str">
        <f>IFERROR(__xludf.DUMMYFUNCTION("""COMPUTED_VALUE"""),"Land Of Spira")</f>
        <v>Land Of Spira</v>
      </c>
      <c r="BI22" s="32"/>
      <c r="BJ22" s="32"/>
      <c r="BK22" s="32"/>
      <c r="BL22" s="32" t="b">
        <f>IFERROR(__xludf.DUMMYFUNCTION("""COMPUTED_VALUE"""),FALSE)</f>
        <v>0</v>
      </c>
      <c r="BM22" s="32"/>
      <c r="BN22" s="32"/>
      <c r="BO22" s="32"/>
      <c r="BP22" s="32"/>
      <c r="BQ22" s="32"/>
    </row>
    <row r="23">
      <c r="A23" s="32" t="str">
        <f>IFERROR(__xludf.DUMMYFUNCTION("""COMPUTED_VALUE"""),"Water Dragon (WD)")</f>
        <v>Water Dragon (WD)</v>
      </c>
      <c r="B23" s="32">
        <f>IFERROR(__xludf.DUMMYFUNCTION("""COMPUTED_VALUE"""),1.0)</f>
        <v>1</v>
      </c>
      <c r="C23" s="32"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33" t="str">
        <f>IFERROR(__xludf.DUMMYFUNCTION("""COMPUTED_VALUE"""),"Draconic")</f>
        <v>Draconic</v>
      </c>
      <c r="E23" s="33">
        <f>IFERROR(__xludf.DUMMYFUNCTION("""COMPUTED_VALUE"""),1010.0)</f>
        <v>1010</v>
      </c>
      <c r="F23" s="33">
        <f>IFERROR(__xludf.DUMMYFUNCTION("""COMPUTED_VALUE"""),1010.0)</f>
        <v>1010</v>
      </c>
      <c r="G23" s="33">
        <f>IFERROR(__xludf.DUMMYFUNCTION("""COMPUTED_VALUE"""),1010.0)</f>
        <v>1010</v>
      </c>
      <c r="H23" s="32">
        <f>IFERROR(__xludf.DUMMYFUNCTION("""COMPUTED_VALUE"""),10.0)</f>
        <v>10</v>
      </c>
      <c r="I23" s="32">
        <f>IFERROR(__xludf.DUMMYFUNCTION("""COMPUTED_VALUE"""),0.0)</f>
        <v>0</v>
      </c>
      <c r="J23" s="32">
        <f>IFERROR(__xludf.DUMMYFUNCTION("""COMPUTED_VALUE"""),0.0)</f>
        <v>0</v>
      </c>
      <c r="K23" s="32">
        <f>IFERROR(__xludf.DUMMYFUNCTION("""COMPUTED_VALUE"""),100.0)</f>
        <v>100</v>
      </c>
      <c r="L23" s="32">
        <f>IFERROR(__xludf.DUMMYFUNCTION("""COMPUTED_VALUE"""),100.0)</f>
        <v>100</v>
      </c>
      <c r="M23" s="32" t="str">
        <f>IFERROR(__xludf.DUMMYFUNCTION("""COMPUTED_VALUE"""),"Fire:Immune, Water:Immune, Instant Death:Immune, Banishment:Immune, ")</f>
        <v>Fire:Immune, Water:Immune, Instant Death:Immune, Banishment:Immune, </v>
      </c>
      <c r="N23" s="32" t="str">
        <f>IFERROR(__xludf.DUMMYFUNCTION("""COMPUTED_VALUE"""),"Nature:100, ")</f>
        <v>Nature:100, </v>
      </c>
      <c r="O23" s="32"/>
      <c r="P23" s="32"/>
      <c r="Q23" s="32"/>
      <c r="R23" s="32"/>
      <c r="S23" s="32"/>
      <c r="T23" s="32"/>
      <c r="U23" s="32"/>
      <c r="V23" s="32"/>
      <c r="W23" s="32"/>
      <c r="X23" s="32"/>
      <c r="Y23" s="32"/>
      <c r="Z23" s="32"/>
      <c r="AA23" s="32"/>
      <c r="AB23" s="32"/>
      <c r="AC23" s="32"/>
      <c r="AD23" s="32"/>
      <c r="AE23" s="32"/>
      <c r="AF23" s="32"/>
      <c r="AG23" s="32"/>
      <c r="AH23" s="32"/>
      <c r="AI23" s="32"/>
      <c r="AJ23" s="32" t="str">
        <f>IFERROR(__xludf.DUMMYFUNCTION("""COMPUTED_VALUE"""),"Dragon's Breath")</f>
        <v>Dragon's Breath</v>
      </c>
      <c r="AK23" s="32" t="str">
        <f>IFERROR(__xludf.DUMMYFUNCTION("""COMPUTED_VALUE"""),"Bite")</f>
        <v>Bite</v>
      </c>
      <c r="AL23" s="32" t="str">
        <f>IFERROR(__xludf.DUMMYFUNCTION("""COMPUTED_VALUE"""),"Tail Smash")</f>
        <v>Tail Smash</v>
      </c>
      <c r="AM23" s="32" t="str">
        <f>IFERROR(__xludf.DUMMYFUNCTION("""COMPUTED_VALUE"""),"Claws")</f>
        <v>Claws</v>
      </c>
      <c r="AN23" s="32" t="str">
        <f>IFERROR(__xludf.DUMMYFUNCTION("""COMPUTED_VALUE"""),"Berserk")</f>
        <v>Berserk</v>
      </c>
      <c r="AO23" s="32" t="str">
        <f>IFERROR(__xludf.DUMMYFUNCTION("""COMPUTED_VALUE"""),"Multishot")</f>
        <v>Multishot</v>
      </c>
      <c r="AP23" s="32" t="str">
        <f>IFERROR(__xludf.DUMMYFUNCTION("""COMPUTED_VALUE"""),"Draconic Scream")</f>
        <v>Draconic Scream</v>
      </c>
      <c r="AQ23" s="32" t="str">
        <f>IFERROR(__xludf.DUMMYFUNCTION("""COMPUTED_VALUE"""),"Crashing Waves")</f>
        <v>Crashing Waves</v>
      </c>
      <c r="AR23" s="32" t="str">
        <f>IFERROR(__xludf.DUMMYFUNCTION("""COMPUTED_VALUE"""),"Celestial Wrath")</f>
        <v>Celestial Wrath</v>
      </c>
      <c r="AS23" s="32"/>
      <c r="AT23" s="32"/>
      <c r="AU23" s="32"/>
      <c r="AV23" s="32"/>
      <c r="AW23" s="32"/>
      <c r="AX23" s="32"/>
      <c r="AY23" s="32"/>
      <c r="AZ23" s="32"/>
      <c r="BA23" s="32"/>
      <c r="BB23" s="32"/>
      <c r="BC23" s="32"/>
      <c r="BD23" s="32">
        <f>IFERROR(__xludf.DUMMYFUNCTION("""COMPUTED_VALUE"""),0.0)</f>
        <v>0</v>
      </c>
      <c r="BE23" s="32">
        <f>IFERROR(__xludf.DUMMYFUNCTION("""COMPUTED_VALUE"""),10.0)</f>
        <v>10</v>
      </c>
      <c r="BF23"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32" t="str">
        <f>IFERROR(__xludf.DUMMYFUNCTION("""COMPUTED_VALUE"""),"Ocean")</f>
        <v>Ocean</v>
      </c>
      <c r="BH23" s="32" t="str">
        <f>IFERROR(__xludf.DUMMYFUNCTION("""COMPUTED_VALUE"""),"Land Of Spira")</f>
        <v>Land Of Spira</v>
      </c>
      <c r="BI23" s="32"/>
      <c r="BJ23" s="32"/>
      <c r="BK23" s="32"/>
      <c r="BL23" s="32" t="b">
        <f>IFERROR(__xludf.DUMMYFUNCTION("""COMPUTED_VALUE"""),FALSE)</f>
        <v>0</v>
      </c>
      <c r="BM23" s="32"/>
      <c r="BN23" s="32"/>
      <c r="BO23" s="32"/>
      <c r="BP23" s="32"/>
      <c r="BQ23" s="32"/>
    </row>
    <row r="24">
      <c r="A24" s="32"/>
      <c r="B24" s="32">
        <f>IFERROR(__xludf.DUMMYFUNCTION("""COMPUTED_VALUE"""),1.0)</f>
        <v>1</v>
      </c>
      <c r="C24" s="32"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33" t="str">
        <f>IFERROR(__xludf.DUMMYFUNCTION("""COMPUTED_VALUE"""),"Draconic")</f>
        <v>Draconic</v>
      </c>
      <c r="E24" s="33">
        <f>IFERROR(__xludf.DUMMYFUNCTION("""COMPUTED_VALUE"""),1010.0)</f>
        <v>1010</v>
      </c>
      <c r="F24" s="33">
        <f>IFERROR(__xludf.DUMMYFUNCTION("""COMPUTED_VALUE"""),1010.0)</f>
        <v>1010</v>
      </c>
      <c r="G24" s="33">
        <f>IFERROR(__xludf.DUMMYFUNCTION("""COMPUTED_VALUE"""),1010.0)</f>
        <v>1010</v>
      </c>
      <c r="H24" s="32">
        <f>IFERROR(__xludf.DUMMYFUNCTION("""COMPUTED_VALUE"""),10.0)</f>
        <v>10</v>
      </c>
      <c r="I24" s="32">
        <f>IFERROR(__xludf.DUMMYFUNCTION("""COMPUTED_VALUE"""),0.0)</f>
        <v>0</v>
      </c>
      <c r="J24" s="32">
        <f>IFERROR(__xludf.DUMMYFUNCTION("""COMPUTED_VALUE"""),0.0)</f>
        <v>0</v>
      </c>
      <c r="K24" s="32">
        <f>IFERROR(__xludf.DUMMYFUNCTION("""COMPUTED_VALUE"""),100.0)</f>
        <v>100</v>
      </c>
      <c r="L24" s="32">
        <f>IFERROR(__xludf.DUMMYFUNCTION("""COMPUTED_VALUE"""),100.0)</f>
        <v>100</v>
      </c>
      <c r="M24" s="32" t="str">
        <f>IFERROR(__xludf.DUMMYFUNCTION("""COMPUTED_VALUE"""),"#N/A")</f>
        <v>#N/A</v>
      </c>
      <c r="N24" s="32" t="str">
        <f>IFERROR(__xludf.DUMMYFUNCTION("""COMPUTED_VALUE"""),"#N/A")</f>
        <v>#N/A</v>
      </c>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f>IFERROR(__xludf.DUMMYFUNCTION("""COMPUTED_VALUE"""),0.0)</f>
        <v>0</v>
      </c>
      <c r="BE24" s="32">
        <f>IFERROR(__xludf.DUMMYFUNCTION("""COMPUTED_VALUE"""),10.0)</f>
        <v>10</v>
      </c>
      <c r="BF24" s="32"/>
      <c r="BG24" s="32"/>
      <c r="BH24" s="32"/>
      <c r="BI24" s="32"/>
      <c r="BJ24" s="32"/>
      <c r="BK24" s="32"/>
      <c r="BL24" s="32" t="b">
        <f>IFERROR(__xludf.DUMMYFUNCTION("""COMPUTED_VALUE"""),FALSE)</f>
        <v>0</v>
      </c>
      <c r="BM24" s="32"/>
      <c r="BN24" s="32"/>
      <c r="BO24" s="32"/>
      <c r="BP24" s="32"/>
      <c r="BQ24" s="32"/>
    </row>
    <row r="25">
      <c r="A25" s="32" t="str">
        <f>IFERROR(__xludf.DUMMYFUNCTION("""COMPUTED_VALUE"""),"Aonbharr of Manannán")</f>
        <v>Aonbharr of Manannán</v>
      </c>
      <c r="B25" s="32">
        <f>IFERROR(__xludf.DUMMYFUNCTION("""COMPUTED_VALUE"""),1.0)</f>
        <v>1</v>
      </c>
      <c r="C25" s="32" t="str">
        <f>IFERROR(__xludf.DUMMYFUNCTION("""COMPUTED_VALUE"""),"A trusty mount fit for a god")</f>
        <v>A trusty mount fit for a god</v>
      </c>
      <c r="D25" s="32" t="str">
        <f>IFERROR(__xludf.DUMMYFUNCTION("""COMPUTED_VALUE"""),"Beast")</f>
        <v>Beast</v>
      </c>
      <c r="E25" s="32">
        <f>IFERROR(__xludf.DUMMYFUNCTION("""COMPUTED_VALUE"""),1010.0)</f>
        <v>1010</v>
      </c>
      <c r="F25" s="33">
        <f>IFERROR(__xludf.DUMMYFUNCTION("""COMPUTED_VALUE"""),1010.0)</f>
        <v>1010</v>
      </c>
      <c r="G25" s="32">
        <f>IFERROR(__xludf.DUMMYFUNCTION("""COMPUTED_VALUE"""),1010.0)</f>
        <v>1010</v>
      </c>
      <c r="H25" s="32">
        <f>IFERROR(__xludf.DUMMYFUNCTION("""COMPUTED_VALUE"""),10.0)</f>
        <v>10</v>
      </c>
      <c r="I25" s="32">
        <f>IFERROR(__xludf.DUMMYFUNCTION("""COMPUTED_VALUE"""),0.0)</f>
        <v>0</v>
      </c>
      <c r="J25" s="32">
        <f>IFERROR(__xludf.DUMMYFUNCTION("""COMPUTED_VALUE"""),0.0)</f>
        <v>0</v>
      </c>
      <c r="K25" s="32">
        <f>IFERROR(__xludf.DUMMYFUNCTION("""COMPUTED_VALUE"""),100.0)</f>
        <v>100</v>
      </c>
      <c r="L25" s="32">
        <f>IFERROR(__xludf.DUMMYFUNCTION("""COMPUTED_VALUE"""),100.0)</f>
        <v>100</v>
      </c>
      <c r="M25" s="32" t="str">
        <f>IFERROR(__xludf.DUMMYFUNCTION("""COMPUTED_VALUE"""),"")</f>
        <v/>
      </c>
      <c r="N25" s="32" t="str">
        <f>IFERROR(__xludf.DUMMYFUNCTION("""COMPUTED_VALUE"""),"")</f>
        <v/>
      </c>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f>IFERROR(__xludf.DUMMYFUNCTION("""COMPUTED_VALUE"""),0.0)</f>
        <v>0</v>
      </c>
      <c r="BE25" s="32">
        <f>IFERROR(__xludf.DUMMYFUNCTION("""COMPUTED_VALUE"""),10.0)</f>
        <v>10</v>
      </c>
      <c r="BF25" s="32" t="str">
        <f>IFERROR(__xludf.DUMMYFUNCTION("""COMPUTED_VALUE"""),"Can traverse water without a boat 
*Acts as a boat when ridden in the water ")</f>
        <v>Can traverse water without a boat 
*Acts as a boat when ridden in the water </v>
      </c>
      <c r="BG25" s="32"/>
      <c r="BH25" s="32" t="str">
        <f>IFERROR(__xludf.DUMMYFUNCTION("""COMPUTED_VALUE"""),"Land of Spira")</f>
        <v>Land of Spira</v>
      </c>
      <c r="BI25" s="32"/>
      <c r="BJ25" s="32" t="str">
        <f>IFERROR(__xludf.DUMMYFUNCTION("""COMPUTED_VALUE"""),"Lughnasadh")</f>
        <v>Lughnasadh</v>
      </c>
      <c r="BK25" s="32"/>
      <c r="BL25" s="32" t="b">
        <f>IFERROR(__xludf.DUMMYFUNCTION("""COMPUTED_VALUE"""),FALSE)</f>
        <v>0</v>
      </c>
      <c r="BM25" s="32"/>
      <c r="BN25" s="32"/>
      <c r="BO25" s="32"/>
      <c r="BP25" s="32"/>
      <c r="BQ25" s="32"/>
    </row>
    <row r="26">
      <c r="A26" s="32" t="str">
        <f>IFERROR(__xludf.DUMMYFUNCTION("""COMPUTED_VALUE"""),"Aquatic Serpent")</f>
        <v>Aquatic Serpent</v>
      </c>
      <c r="B26" s="32">
        <f>IFERROR(__xludf.DUMMYFUNCTION("""COMPUTED_VALUE"""),1.0)</f>
        <v>1</v>
      </c>
      <c r="C26" s="32" t="str">
        <f>IFERROR(__xludf.DUMMYFUNCTION("""COMPUTED_VALUE"""),"A mighty serpent of the sea known for casuig terror across Port Fawn")</f>
        <v>A mighty serpent of the sea known for casuig terror across Port Fawn</v>
      </c>
      <c r="D26" s="32" t="str">
        <f>IFERROR(__xludf.DUMMYFUNCTION("""COMPUTED_VALUE"""),"Beast")</f>
        <v>Beast</v>
      </c>
      <c r="E26" s="32">
        <f>IFERROR(__xludf.DUMMYFUNCTION("""COMPUTED_VALUE"""),1010.0)</f>
        <v>1010</v>
      </c>
      <c r="F26" s="33">
        <f>IFERROR(__xludf.DUMMYFUNCTION("""COMPUTED_VALUE"""),1010.0)</f>
        <v>1010</v>
      </c>
      <c r="G26" s="32">
        <f>IFERROR(__xludf.DUMMYFUNCTION("""COMPUTED_VALUE"""),1010.0)</f>
        <v>1010</v>
      </c>
      <c r="H26" s="32">
        <f>IFERROR(__xludf.DUMMYFUNCTION("""COMPUTED_VALUE"""),10.0)</f>
        <v>10</v>
      </c>
      <c r="I26" s="32">
        <f>IFERROR(__xludf.DUMMYFUNCTION("""COMPUTED_VALUE"""),0.0)</f>
        <v>0</v>
      </c>
      <c r="J26" s="32">
        <f>IFERROR(__xludf.DUMMYFUNCTION("""COMPUTED_VALUE"""),0.0)</f>
        <v>0</v>
      </c>
      <c r="K26" s="32">
        <f>IFERROR(__xludf.DUMMYFUNCTION("""COMPUTED_VALUE"""),100.0)</f>
        <v>100</v>
      </c>
      <c r="L26" s="32">
        <f>IFERROR(__xludf.DUMMYFUNCTION("""COMPUTED_VALUE"""),100.0)</f>
        <v>100</v>
      </c>
      <c r="M26" s="32" t="str">
        <f>IFERROR(__xludf.DUMMYFUNCTION("""COMPUTED_VALUE"""),"Fire:Immune, Water:Immune, Instant Death:Immune, Banishment:Immune, ")</f>
        <v>Fire:Immune, Water:Immune, Instant Death:Immune, Banishment:Immune, </v>
      </c>
      <c r="N26" s="32" t="str">
        <f>IFERROR(__xludf.DUMMYFUNCTION("""COMPUTED_VALUE"""),"Nature:100, ")</f>
        <v>Nature:100, </v>
      </c>
      <c r="O26" s="32"/>
      <c r="P26" s="32"/>
      <c r="Q26" s="32"/>
      <c r="R26" s="32"/>
      <c r="S26" s="32"/>
      <c r="T26" s="32"/>
      <c r="U26" s="32"/>
      <c r="V26" s="32"/>
      <c r="W26" s="32"/>
      <c r="X26" s="32"/>
      <c r="Y26" s="32"/>
      <c r="Z26" s="32"/>
      <c r="AA26" s="32"/>
      <c r="AB26" s="32"/>
      <c r="AC26" s="32"/>
      <c r="AD26" s="32"/>
      <c r="AE26" s="32"/>
      <c r="AF26" s="32"/>
      <c r="AG26" s="32"/>
      <c r="AH26" s="32"/>
      <c r="AI26" s="32"/>
      <c r="AJ26" s="32" t="str">
        <f>IFERROR(__xludf.DUMMYFUNCTION("""COMPUTED_VALUE"""),"Ancient Monolith Of Water")</f>
        <v>Ancient Monolith Of Water</v>
      </c>
      <c r="AK26" s="32" t="str">
        <f>IFERROR(__xludf.DUMMYFUNCTION("""COMPUTED_VALUE"""),"Water Ward")</f>
        <v>Water Ward</v>
      </c>
      <c r="AL26" s="32" t="str">
        <f>IFERROR(__xludf.DUMMYFUNCTION("""COMPUTED_VALUE"""),"Torrential Downpour")</f>
        <v>Torrential Downpour</v>
      </c>
      <c r="AM26" s="32" t="str">
        <f>IFERROR(__xludf.DUMMYFUNCTION("""COMPUTED_VALUE"""),"Crashing Waves (Enhanced)")</f>
        <v>Crashing Waves (Enhanced)</v>
      </c>
      <c r="AN26" s="32" t="str">
        <f>IFERROR(__xludf.DUMMYFUNCTION("""COMPUTED_VALUE"""),"Reckless Chomp ")</f>
        <v>Reckless Chomp </v>
      </c>
      <c r="AO26" s="32" t="str">
        <f>IFERROR(__xludf.DUMMYFUNCTION("""COMPUTED_VALUE"""),"Celestial Wrath")</f>
        <v>Celestial Wrath</v>
      </c>
      <c r="AP26" s="32"/>
      <c r="AQ26" s="32"/>
      <c r="AR26" s="32"/>
      <c r="AS26" s="32"/>
      <c r="AT26" s="32"/>
      <c r="AU26" s="32"/>
      <c r="AV26" s="32"/>
      <c r="AW26" s="32"/>
      <c r="AX26" s="32"/>
      <c r="AY26" s="32"/>
      <c r="AZ26" s="32"/>
      <c r="BA26" s="32"/>
      <c r="BB26" s="32"/>
      <c r="BC26" s="32"/>
      <c r="BD26" s="32">
        <f>IFERROR(__xludf.DUMMYFUNCTION("""COMPUTED_VALUE"""),0.0)</f>
        <v>0</v>
      </c>
      <c r="BE26" s="32">
        <f>IFERROR(__xludf.DUMMYFUNCTION("""COMPUTED_VALUE"""),10.0)</f>
        <v>10</v>
      </c>
      <c r="BF26" s="32"/>
      <c r="BG26" s="32" t="str">
        <f>IFERROR(__xludf.DUMMYFUNCTION("""COMPUTED_VALUE"""),"Ocean")</f>
        <v>Ocean</v>
      </c>
      <c r="BH26" s="32" t="str">
        <f>IFERROR(__xludf.DUMMYFUNCTION("""COMPUTED_VALUE"""),"Land of Spira")</f>
        <v>Land of Spira</v>
      </c>
      <c r="BI26" s="32"/>
      <c r="BJ26" s="32"/>
      <c r="BK26" s="32"/>
      <c r="BL26" s="32" t="b">
        <f>IFERROR(__xludf.DUMMYFUNCTION("""COMPUTED_VALUE"""),FALSE)</f>
        <v>0</v>
      </c>
      <c r="BM26" s="32"/>
      <c r="BN26" s="32"/>
      <c r="BO26" s="32"/>
      <c r="BP26" s="32"/>
      <c r="BQ26" s="32"/>
    </row>
    <row r="27">
      <c r="A27" s="32" t="str">
        <f>IFERROR(__xludf.DUMMYFUNCTION("""COMPUTED_VALUE"""),"Assassin Doll")</f>
        <v>Assassin Doll</v>
      </c>
      <c r="B27" s="32">
        <f>IFERROR(__xludf.DUMMYFUNCTION("""COMPUTED_VALUE"""),1.0)</f>
        <v>1</v>
      </c>
      <c r="C27" s="32"/>
      <c r="D27" s="32" t="str">
        <f>IFERROR(__xludf.DUMMYFUNCTION("""COMPUTED_VALUE"""),"Construct")</f>
        <v>Construct</v>
      </c>
      <c r="E27" s="32">
        <f>IFERROR(__xludf.DUMMYFUNCTION("""COMPUTED_VALUE"""),1010.0)</f>
        <v>1010</v>
      </c>
      <c r="F27" s="33">
        <f>IFERROR(__xludf.DUMMYFUNCTION("""COMPUTED_VALUE"""),1010.0)</f>
        <v>1010</v>
      </c>
      <c r="G27" s="32">
        <f>IFERROR(__xludf.DUMMYFUNCTION("""COMPUTED_VALUE"""),1010.0)</f>
        <v>1010</v>
      </c>
      <c r="H27" s="32">
        <f>IFERROR(__xludf.DUMMYFUNCTION("""COMPUTED_VALUE"""),10.0)</f>
        <v>10</v>
      </c>
      <c r="I27" s="32">
        <f>IFERROR(__xludf.DUMMYFUNCTION("""COMPUTED_VALUE"""),0.0)</f>
        <v>0</v>
      </c>
      <c r="J27" s="32">
        <f>IFERROR(__xludf.DUMMYFUNCTION("""COMPUTED_VALUE"""),0.0)</f>
        <v>0</v>
      </c>
      <c r="K27" s="32">
        <f>IFERROR(__xludf.DUMMYFUNCTION("""COMPUTED_VALUE"""),100.0)</f>
        <v>100</v>
      </c>
      <c r="L27" s="32">
        <f>IFERROR(__xludf.DUMMYFUNCTION("""COMPUTED_VALUE"""),100.0)</f>
        <v>100</v>
      </c>
      <c r="M27" s="32" t="str">
        <f>IFERROR(__xludf.DUMMYFUNCTION("""COMPUTED_VALUE"""),"Dark:Immune, Spirit:Immune, Voodoo:Immune, Instant Death:Immune, ")</f>
        <v>Dark:Immune, Spirit:Immune, Voodoo:Immune, Instant Death:Immune, </v>
      </c>
      <c r="N27" s="32" t="str">
        <f>IFERROR(__xludf.DUMMYFUNCTION("""COMPUTED_VALUE"""),"Light:100, ")</f>
        <v>Light:100, </v>
      </c>
      <c r="O27" s="32"/>
      <c r="P27" s="32"/>
      <c r="Q27" s="32"/>
      <c r="R27" s="32"/>
      <c r="S27" s="32"/>
      <c r="T27" s="32"/>
      <c r="U27" s="32"/>
      <c r="V27" s="32"/>
      <c r="W27" s="32" t="str">
        <f>IFERROR(__xludf.DUMMYFUNCTION("""COMPUTED_VALUE"""),"Dagger")</f>
        <v>Dagger</v>
      </c>
      <c r="X27" s="32"/>
      <c r="Y27" s="32"/>
      <c r="Z27" s="32"/>
      <c r="AA27" s="32"/>
      <c r="AB27" s="32"/>
      <c r="AC27" s="32"/>
      <c r="AD27" s="32"/>
      <c r="AE27" s="32"/>
      <c r="AF27" s="32"/>
      <c r="AG27" s="32"/>
      <c r="AH27" s="32"/>
      <c r="AI27" s="32"/>
      <c r="AJ27" s="32" t="str">
        <f>IFERROR(__xludf.DUMMYFUNCTION("""COMPUTED_VALUE"""),"Final Rest")</f>
        <v>Final Rest</v>
      </c>
      <c r="AK27" s="32"/>
      <c r="AL27" s="32"/>
      <c r="AM27" s="32"/>
      <c r="AN27" s="32"/>
      <c r="AO27" s="32"/>
      <c r="AP27" s="32"/>
      <c r="AQ27" s="32"/>
      <c r="AR27" s="32"/>
      <c r="AS27" s="32"/>
      <c r="AT27" s="32"/>
      <c r="AU27" s="32"/>
      <c r="AV27" s="32"/>
      <c r="AW27" s="32"/>
      <c r="AX27" s="32"/>
      <c r="AY27" s="32"/>
      <c r="AZ27" s="32"/>
      <c r="BA27" s="32"/>
      <c r="BB27" s="32"/>
      <c r="BC27" s="32"/>
      <c r="BD27" s="32">
        <f>IFERROR(__xludf.DUMMYFUNCTION("""COMPUTED_VALUE"""),0.0)</f>
        <v>0</v>
      </c>
      <c r="BE27" s="32">
        <f>IFERROR(__xludf.DUMMYFUNCTION("""COMPUTED_VALUE"""),10.0)</f>
        <v>10</v>
      </c>
      <c r="BF27" s="32" t="str">
        <f>IFERROR(__xludf.DUMMYFUNCTION("""COMPUTED_VALUE"""),"100% chance of fleeing on its third turn")</f>
        <v>100% chance of fleeing on its third turn</v>
      </c>
      <c r="BG27" s="32" t="str">
        <f>IFERROR(__xludf.DUMMYFUNCTION("""COMPUTED_VALUE"""),"All")</f>
        <v>All</v>
      </c>
      <c r="BH27" s="32" t="str">
        <f>IFERROR(__xludf.DUMMYFUNCTION("""COMPUTED_VALUE"""),"Land of Spira")</f>
        <v>Land of Spira</v>
      </c>
      <c r="BI27" s="32"/>
      <c r="BJ27" s="32"/>
      <c r="BK27" s="32"/>
      <c r="BL27" s="32" t="b">
        <f>IFERROR(__xludf.DUMMYFUNCTION("""COMPUTED_VALUE"""),FALSE)</f>
        <v>0</v>
      </c>
      <c r="BM27" s="32"/>
      <c r="BN27" s="32"/>
      <c r="BO27" s="32"/>
      <c r="BP27" s="32"/>
      <c r="BQ27" s="32"/>
    </row>
    <row r="28">
      <c r="A28" s="32" t="str">
        <f>IFERROR(__xludf.DUMMYFUNCTION("""COMPUTED_VALUE"""),"Astral Dragon")</f>
        <v>Astral Dragon</v>
      </c>
      <c r="B28" s="32">
        <f>IFERROR(__xludf.DUMMYFUNCTION("""COMPUTED_VALUE"""),1.0)</f>
        <v>1</v>
      </c>
      <c r="C28" s="32" t="str">
        <f>IFERROR(__xludf.DUMMYFUNCTION("""COMPUTED_VALUE"""),"The Regal Astral Dragon are thought to be the distant offspring of Astralis")</f>
        <v>The Regal Astral Dragon are thought to be the distant offspring of Astralis</v>
      </c>
      <c r="D28" s="32" t="str">
        <f>IFERROR(__xludf.DUMMYFUNCTION("""COMPUTED_VALUE"""),"Draconic")</f>
        <v>Draconic</v>
      </c>
      <c r="E28" s="32">
        <f>IFERROR(__xludf.DUMMYFUNCTION("""COMPUTED_VALUE"""),1010.0)</f>
        <v>1010</v>
      </c>
      <c r="F28" s="33">
        <f>IFERROR(__xludf.DUMMYFUNCTION("""COMPUTED_VALUE"""),31010.0)</f>
        <v>31010</v>
      </c>
      <c r="G28" s="32">
        <f>IFERROR(__xludf.DUMMYFUNCTION("""COMPUTED_VALUE"""),1010.0)</f>
        <v>1010</v>
      </c>
      <c r="H28" s="32">
        <f>IFERROR(__xludf.DUMMYFUNCTION("""COMPUTED_VALUE"""),10.0)</f>
        <v>10</v>
      </c>
      <c r="I28" s="32">
        <f>IFERROR(__xludf.DUMMYFUNCTION("""COMPUTED_VALUE"""),0.0)</f>
        <v>0</v>
      </c>
      <c r="J28" s="32">
        <f>IFERROR(__xludf.DUMMYFUNCTION("""COMPUTED_VALUE"""),0.0)</f>
        <v>0</v>
      </c>
      <c r="K28" s="32">
        <f>IFERROR(__xludf.DUMMYFUNCTION("""COMPUTED_VALUE"""),100.0)</f>
        <v>100</v>
      </c>
      <c r="L28" s="32">
        <f>IFERROR(__xludf.DUMMYFUNCTION("""COMPUTED_VALUE"""),100.0)</f>
        <v>100</v>
      </c>
      <c r="M28" s="32" t="str">
        <f>IFERROR(__xludf.DUMMYFUNCTION("""COMPUTED_VALUE"""),"Astral:Immune, Instant Death:Immune, Banishment:Immune, ")</f>
        <v>Astral:Immune, Instant Death:Immune, Banishment:Immune, </v>
      </c>
      <c r="N28" s="32" t="str">
        <f>IFERROR(__xludf.DUMMYFUNCTION("""COMPUTED_VALUE"""),"Celestial:100, ")</f>
        <v>Celestial:100, </v>
      </c>
      <c r="O28" s="32"/>
      <c r="P28" s="32"/>
      <c r="Q28" s="32"/>
      <c r="R28" s="32"/>
      <c r="S28" s="32"/>
      <c r="T28" s="32"/>
      <c r="U28" s="32"/>
      <c r="V28" s="32"/>
      <c r="W28" s="32"/>
      <c r="X28" s="32"/>
      <c r="Y28" s="32"/>
      <c r="Z28" s="32"/>
      <c r="AA28" s="32"/>
      <c r="AB28" s="32"/>
      <c r="AC28" s="32"/>
      <c r="AD28" s="32"/>
      <c r="AE28" s="32"/>
      <c r="AF28" s="32"/>
      <c r="AG28" s="32"/>
      <c r="AH28" s="32"/>
      <c r="AI28" s="32"/>
      <c r="AJ28" s="32" t="str">
        <f>IFERROR(__xludf.DUMMYFUNCTION("""COMPUTED_VALUE"""),"Dragon's Breath")</f>
        <v>Dragon's Breath</v>
      </c>
      <c r="AK28" s="32" t="str">
        <f>IFERROR(__xludf.DUMMYFUNCTION("""COMPUTED_VALUE"""),"Bite")</f>
        <v>Bite</v>
      </c>
      <c r="AL28" s="32" t="str">
        <f>IFERROR(__xludf.DUMMYFUNCTION("""COMPUTED_VALUE"""),"Tail Smash")</f>
        <v>Tail Smash</v>
      </c>
      <c r="AM28" s="32" t="str">
        <f>IFERROR(__xludf.DUMMYFUNCTION("""COMPUTED_VALUE"""),"Claws")</f>
        <v>Claws</v>
      </c>
      <c r="AN28" s="32" t="str">
        <f>IFERROR(__xludf.DUMMYFUNCTION("""COMPUTED_VALUE"""),"Berserk")</f>
        <v>Berserk</v>
      </c>
      <c r="AO28" s="32" t="str">
        <f>IFERROR(__xludf.DUMMYFUNCTION("""COMPUTED_VALUE"""),"Multishot")</f>
        <v>Multishot</v>
      </c>
      <c r="AP28" s="32" t="str">
        <f>IFERROR(__xludf.DUMMYFUNCTION("""COMPUTED_VALUE"""),"Draconic Scream")</f>
        <v>Draconic Scream</v>
      </c>
      <c r="AQ28" s="32" t="str">
        <f>IFERROR(__xludf.DUMMYFUNCTION("""COMPUTED_VALUE"""),"Black Hole")</f>
        <v>Black Hole</v>
      </c>
      <c r="AR28" s="32" t="str">
        <f>IFERROR(__xludf.DUMMYFUNCTION("""COMPUTED_VALUE"""),"Planetary Meteor Storm")</f>
        <v>Planetary Meteor Storm</v>
      </c>
      <c r="AS28" s="32" t="str">
        <f>IFERROR(__xludf.DUMMYFUNCTION("""COMPUTED_VALUE"""),"Lunar Ward")</f>
        <v>Lunar Ward</v>
      </c>
      <c r="AT28" s="32" t="str">
        <f>IFERROR(__xludf.DUMMYFUNCTION("""COMPUTED_VALUE"""),"Solar Ward")</f>
        <v>Solar Ward</v>
      </c>
      <c r="AU28" s="32" t="str">
        <f>IFERROR(__xludf.DUMMYFUNCTION("""COMPUTED_VALUE"""),"Celestial Wrath")</f>
        <v>Celestial Wrath</v>
      </c>
      <c r="AV28" s="32"/>
      <c r="AW28" s="32"/>
      <c r="AX28" s="32"/>
      <c r="AY28" s="32"/>
      <c r="AZ28" s="32"/>
      <c r="BA28" s="32"/>
      <c r="BB28" s="32"/>
      <c r="BC28" s="32"/>
      <c r="BD28" s="32">
        <f>IFERROR(__xludf.DUMMYFUNCTION("""COMPUTED_VALUE"""),0.0)</f>
        <v>0</v>
      </c>
      <c r="BE28" s="32">
        <f>IFERROR(__xludf.DUMMYFUNCTION("""COMPUTED_VALUE"""),10.0)</f>
        <v>10</v>
      </c>
      <c r="BF28"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32" t="str">
        <f>IFERROR(__xludf.DUMMYFUNCTION("""COMPUTED_VALUE"""),"All")</f>
        <v>All</v>
      </c>
      <c r="BH28" s="32" t="str">
        <f>IFERROR(__xludf.DUMMYFUNCTION("""COMPUTED_VALUE"""),"Dragonscale Island")</f>
        <v>Dragonscale Island</v>
      </c>
      <c r="BI28" s="32"/>
      <c r="BJ28" s="32"/>
      <c r="BK28" s="32"/>
      <c r="BL28" s="32" t="b">
        <f>IFERROR(__xludf.DUMMYFUNCTION("""COMPUTED_VALUE"""),FALSE)</f>
        <v>0</v>
      </c>
      <c r="BM28" s="32"/>
      <c r="BN28" s="32"/>
      <c r="BO28" s="32"/>
      <c r="BP28" s="32"/>
      <c r="BQ28" s="32"/>
    </row>
    <row r="29">
      <c r="A29" s="32" t="str">
        <f>IFERROR(__xludf.DUMMYFUNCTION("""COMPUTED_VALUE"""),"Baboon")</f>
        <v>Baboon</v>
      </c>
      <c r="B29" s="32">
        <f>IFERROR(__xludf.DUMMYFUNCTION("""COMPUTED_VALUE"""),1.0)</f>
        <v>1</v>
      </c>
      <c r="C29" s="32"/>
      <c r="D29" s="33" t="str">
        <f>IFERROR(__xludf.DUMMYFUNCTION("""COMPUTED_VALUE"""),"Beast")</f>
        <v>Beast</v>
      </c>
      <c r="E29" s="33">
        <f>IFERROR(__xludf.DUMMYFUNCTION("""COMPUTED_VALUE"""),1010.0)</f>
        <v>1010</v>
      </c>
      <c r="F29" s="33">
        <f>IFERROR(__xludf.DUMMYFUNCTION("""COMPUTED_VALUE"""),1010.0)</f>
        <v>1010</v>
      </c>
      <c r="G29" s="33">
        <f>IFERROR(__xludf.DUMMYFUNCTION("""COMPUTED_VALUE"""),1010.0)</f>
        <v>1010</v>
      </c>
      <c r="H29" s="32">
        <f>IFERROR(__xludf.DUMMYFUNCTION("""COMPUTED_VALUE"""),10.0)</f>
        <v>10</v>
      </c>
      <c r="I29" s="32">
        <f>IFERROR(__xludf.DUMMYFUNCTION("""COMPUTED_VALUE"""),0.0)</f>
        <v>0</v>
      </c>
      <c r="J29" s="32">
        <f>IFERROR(__xludf.DUMMYFUNCTION("""COMPUTED_VALUE"""),0.0)</f>
        <v>0</v>
      </c>
      <c r="K29" s="32">
        <f>IFERROR(__xludf.DUMMYFUNCTION("""COMPUTED_VALUE"""),100.0)</f>
        <v>100</v>
      </c>
      <c r="L29" s="32">
        <f>IFERROR(__xludf.DUMMYFUNCTION("""COMPUTED_VALUE"""),100.0)</f>
        <v>100</v>
      </c>
      <c r="M29" s="32" t="str">
        <f>IFERROR(__xludf.DUMMYFUNCTION("""COMPUTED_VALUE"""),"")</f>
        <v/>
      </c>
      <c r="N29" s="32" t="str">
        <f>IFERROR(__xludf.DUMMYFUNCTION("""COMPUTED_VALUE"""),"")</f>
        <v/>
      </c>
      <c r="O29" s="32"/>
      <c r="P29" s="32"/>
      <c r="Q29" s="32"/>
      <c r="R29" s="32"/>
      <c r="S29" s="32"/>
      <c r="T29" s="32"/>
      <c r="U29" s="32"/>
      <c r="V29" s="32"/>
      <c r="W29" s="32"/>
      <c r="X29" s="32"/>
      <c r="Y29" s="32"/>
      <c r="Z29" s="32"/>
      <c r="AA29" s="32"/>
      <c r="AB29" s="32"/>
      <c r="AC29" s="32"/>
      <c r="AD29" s="32"/>
      <c r="AE29" s="32"/>
      <c r="AF29" s="32"/>
      <c r="AG29" s="32"/>
      <c r="AH29" s="32"/>
      <c r="AI29" s="32"/>
      <c r="AJ29" s="32"/>
      <c r="AK29" s="32" t="str">
        <f>IFERROR(__xludf.DUMMYFUNCTION("""COMPUTED_VALUE"""),"Punch")</f>
        <v>Punch</v>
      </c>
      <c r="AL29" s="32" t="str">
        <f>IFERROR(__xludf.DUMMYFUNCTION("""COMPUTED_VALUE"""),"Bite")</f>
        <v>Bite</v>
      </c>
      <c r="AM29" s="32" t="str">
        <f>IFERROR(__xludf.DUMMYFUNCTION("""COMPUTED_VALUE"""),"Take")</f>
        <v>Take</v>
      </c>
      <c r="AN29" s="32"/>
      <c r="AO29" s="32"/>
      <c r="AP29" s="32"/>
      <c r="AQ29" s="32"/>
      <c r="AR29" s="32"/>
      <c r="AS29" s="32"/>
      <c r="AT29" s="32"/>
      <c r="AU29" s="32"/>
      <c r="AV29" s="32"/>
      <c r="AW29" s="32"/>
      <c r="AX29" s="32"/>
      <c r="AY29" s="32"/>
      <c r="AZ29" s="32"/>
      <c r="BA29" s="32"/>
      <c r="BB29" s="32"/>
      <c r="BC29" s="32"/>
      <c r="BD29" s="32">
        <f>IFERROR(__xludf.DUMMYFUNCTION("""COMPUTED_VALUE"""),0.0)</f>
        <v>0</v>
      </c>
      <c r="BE29" s="32">
        <f>IFERROR(__xludf.DUMMYFUNCTION("""COMPUTED_VALUE"""),10.0)</f>
        <v>10</v>
      </c>
      <c r="BF29" s="32"/>
      <c r="BG29" s="32" t="str">
        <f>IFERROR(__xludf.DUMMYFUNCTION("""COMPUTED_VALUE"""),"Jungle")</f>
        <v>Jungle</v>
      </c>
      <c r="BH29" s="32" t="str">
        <f>IFERROR(__xludf.DUMMYFUNCTION("""COMPUTED_VALUE"""),"Land Of Spira")</f>
        <v>Land Of Spira</v>
      </c>
      <c r="BI29" s="32"/>
      <c r="BJ29" s="32"/>
      <c r="BK29" s="32"/>
      <c r="BL29" s="32" t="b">
        <f>IFERROR(__xludf.DUMMYFUNCTION("""COMPUTED_VALUE"""),FALSE)</f>
        <v>0</v>
      </c>
      <c r="BM29" s="32"/>
      <c r="BN29" s="32"/>
      <c r="BO29" s="32"/>
      <c r="BP29" s="32"/>
      <c r="BQ29" s="32"/>
    </row>
    <row r="30">
      <c r="A30" s="32" t="str">
        <f>IFERROR(__xludf.DUMMYFUNCTION("""COMPUTED_VALUE"""),"Bandit")</f>
        <v>Bandit</v>
      </c>
      <c r="B30" s="32">
        <f>IFERROR(__xludf.DUMMYFUNCTION("""COMPUTED_VALUE"""),1.0)</f>
        <v>1</v>
      </c>
      <c r="C30" s="32" t="str">
        <f>IFERROR(__xludf.DUMMYFUNCTION("""COMPUTED_VALUE"""),"A nefarious ne'er do well")</f>
        <v>A nefarious ne'er do well</v>
      </c>
      <c r="D30" s="33" t="str">
        <f>IFERROR(__xludf.DUMMYFUNCTION("""COMPUTED_VALUE"""),"Humanoid")</f>
        <v>Humanoid</v>
      </c>
      <c r="E30" s="33">
        <f>IFERROR(__xludf.DUMMYFUNCTION("""COMPUTED_VALUE"""),1010.0)</f>
        <v>1010</v>
      </c>
      <c r="F30" s="33">
        <f>IFERROR(__xludf.DUMMYFUNCTION("""COMPUTED_VALUE"""),1010.0)</f>
        <v>1010</v>
      </c>
      <c r="G30" s="33">
        <f>IFERROR(__xludf.DUMMYFUNCTION("""COMPUTED_VALUE"""),301010.0)</f>
        <v>301010</v>
      </c>
      <c r="H30" s="32">
        <f>IFERROR(__xludf.DUMMYFUNCTION("""COMPUTED_VALUE"""),10.0)</f>
        <v>10</v>
      </c>
      <c r="I30" s="32">
        <f>IFERROR(__xludf.DUMMYFUNCTION("""COMPUTED_VALUE"""),5.0)</f>
        <v>5</v>
      </c>
      <c r="J30" s="32">
        <f>IFERROR(__xludf.DUMMYFUNCTION("""COMPUTED_VALUE"""),0.0)</f>
        <v>0</v>
      </c>
      <c r="K30" s="32">
        <f>IFERROR(__xludf.DUMMYFUNCTION("""COMPUTED_VALUE"""),100.0)</f>
        <v>100</v>
      </c>
      <c r="L30" s="32">
        <f>IFERROR(__xludf.DUMMYFUNCTION("""COMPUTED_VALUE"""),100.0)</f>
        <v>100</v>
      </c>
      <c r="M30" s="32" t="str">
        <f>IFERROR(__xludf.DUMMYFUNCTION("""COMPUTED_VALUE"""),"")</f>
        <v/>
      </c>
      <c r="N30" s="32" t="str">
        <f>IFERROR(__xludf.DUMMYFUNCTION("""COMPUTED_VALUE"""),"")</f>
        <v/>
      </c>
      <c r="O30" s="32" t="str">
        <f>IFERROR(__xludf.DUMMYFUNCTION("""COMPUTED_VALUE"""),"Bandit Hide Helm")</f>
        <v>Bandit Hide Helm</v>
      </c>
      <c r="P30" s="32"/>
      <c r="Q30" s="32"/>
      <c r="R30" s="32"/>
      <c r="S30" s="32" t="str">
        <f>IFERROR(__xludf.DUMMYFUNCTION("""COMPUTED_VALUE"""),"Bandit Hide Padding")</f>
        <v>Bandit Hide Padding</v>
      </c>
      <c r="T30" s="32" t="str">
        <f>IFERROR(__xludf.DUMMYFUNCTION("""COMPUTED_VALUE"""),"Bandit Hide Chestplate")</f>
        <v>Bandit Hide Chestplate</v>
      </c>
      <c r="U30" s="32" t="str">
        <f>IFERROR(__xludf.DUMMYFUNCTION("""COMPUTED_VALUE"""),"Bandit Hide Vambraces")</f>
        <v>Bandit Hide Vambraces</v>
      </c>
      <c r="V30" s="32" t="str">
        <f>IFERROR(__xludf.DUMMYFUNCTION("""COMPUTED_VALUE"""),"Steel Bandit Dagger")</f>
        <v>Steel Bandit Dagger</v>
      </c>
      <c r="W30" s="32" t="str">
        <f>IFERROR(__xludf.DUMMYFUNCTION("""COMPUTED_VALUE"""),"Sword of Bad Luck")</f>
        <v>Sword of Bad Luck</v>
      </c>
      <c r="X30" s="32"/>
      <c r="Y30" s="32"/>
      <c r="Z30" s="32"/>
      <c r="AA30" s="32"/>
      <c r="AB30" s="32"/>
      <c r="AC30" s="32"/>
      <c r="AD30" s="32"/>
      <c r="AE30" s="32"/>
      <c r="AF30" s="32"/>
      <c r="AG30" s="32"/>
      <c r="AH30" s="32" t="str">
        <f>IFERROR(__xludf.DUMMYFUNCTION("""COMPUTED_VALUE"""),"Bandit Hide Greaves")</f>
        <v>Bandit Hide Greaves</v>
      </c>
      <c r="AI30" s="32" t="str">
        <f>IFERROR(__xludf.DUMMYFUNCTION("""COMPUTED_VALUE"""),"Bandit Hide Boots")</f>
        <v>Bandit Hide Boots</v>
      </c>
      <c r="AJ30" s="32" t="str">
        <f>IFERROR(__xludf.DUMMYFUNCTION("""COMPUTED_VALUE"""),"Pick Pocket")</f>
        <v>Pick Pocket</v>
      </c>
      <c r="AK30" s="32" t="str">
        <f>IFERROR(__xludf.DUMMYFUNCTION("""COMPUTED_VALUE"""),"Punch")</f>
        <v>Punch</v>
      </c>
      <c r="AL30" s="32" t="str">
        <f>IFERROR(__xludf.DUMMYFUNCTION("""COMPUTED_VALUE"""),"Double Strike")</f>
        <v>Double Strike</v>
      </c>
      <c r="AM30" s="32" t="str">
        <f>IFERROR(__xludf.DUMMYFUNCTION("""COMPUTED_VALUE"""),"Berserk")</f>
        <v>Berserk</v>
      </c>
      <c r="AN30" s="32"/>
      <c r="AO30" s="32"/>
      <c r="AP30" s="32"/>
      <c r="AQ30" s="32"/>
      <c r="AR30" s="32"/>
      <c r="AS30" s="32"/>
      <c r="AT30" s="32"/>
      <c r="AU30" s="32"/>
      <c r="AV30" s="32"/>
      <c r="AW30" s="32"/>
      <c r="AX30" s="32"/>
      <c r="AY30" s="32"/>
      <c r="AZ30" s="32"/>
      <c r="BA30" s="32"/>
      <c r="BB30" s="32"/>
      <c r="BC30" s="32"/>
      <c r="BD30" s="32">
        <f>IFERROR(__xludf.DUMMYFUNCTION("""COMPUTED_VALUE"""),5.0)</f>
        <v>5</v>
      </c>
      <c r="BE30" s="32">
        <f>IFERROR(__xludf.DUMMYFUNCTION("""COMPUTED_VALUE"""),10.0)</f>
        <v>10</v>
      </c>
      <c r="BF30" s="32"/>
      <c r="BG30" s="32" t="str">
        <f>IFERROR(__xludf.DUMMYFUNCTION("""COMPUTED_VALUE"""),"All")</f>
        <v>All</v>
      </c>
      <c r="BH30" s="32" t="str">
        <f>IFERROR(__xludf.DUMMYFUNCTION("""COMPUTED_VALUE"""),"Land of Spira")</f>
        <v>Land of Spira</v>
      </c>
      <c r="BI30" s="32"/>
      <c r="BJ30" s="32"/>
      <c r="BK30" s="32"/>
      <c r="BL30" s="32" t="b">
        <f>IFERROR(__xludf.DUMMYFUNCTION("""COMPUTED_VALUE"""),FALSE)</f>
        <v>0</v>
      </c>
      <c r="BM30" s="32"/>
      <c r="BN30" s="32"/>
      <c r="BO30" s="32"/>
      <c r="BP30" s="32"/>
      <c r="BQ30" s="32"/>
    </row>
    <row r="31">
      <c r="A31" s="32" t="str">
        <f>IFERROR(__xludf.DUMMYFUNCTION("""COMPUTED_VALUE"""),"Bees")</f>
        <v>Bees</v>
      </c>
      <c r="B31" s="32">
        <f>IFERROR(__xludf.DUMMYFUNCTION("""COMPUTED_VALUE"""),1.0)</f>
        <v>1</v>
      </c>
      <c r="C31" s="32" t="str">
        <f>IFERROR(__xludf.DUMMYFUNCTION("""COMPUTED_VALUE"""),"BEEEEEEEEEEEEEEEEEEEEEEEEEEEEESSSSSSSSSSSSSSSS!!!!!!!!!!!!!!!!!")</f>
        <v>BEEEEEEEEEEEEEEEEEEEEEEEEEEEEESSSSSSSSSSSSSSSS!!!!!!!!!!!!!!!!!</v>
      </c>
      <c r="D31" s="33" t="str">
        <f>IFERROR(__xludf.DUMMYFUNCTION("""COMPUTED_VALUE"""),"Beast")</f>
        <v>Beast</v>
      </c>
      <c r="E31" s="33">
        <f>IFERROR(__xludf.DUMMYFUNCTION("""COMPUTED_VALUE"""),1010.0)</f>
        <v>1010</v>
      </c>
      <c r="F31" s="33">
        <f>IFERROR(__xludf.DUMMYFUNCTION("""COMPUTED_VALUE"""),1010.0)</f>
        <v>1010</v>
      </c>
      <c r="G31" s="33">
        <f>IFERROR(__xludf.DUMMYFUNCTION("""COMPUTED_VALUE"""),1010.0)</f>
        <v>1010</v>
      </c>
      <c r="H31" s="32">
        <f>IFERROR(__xludf.DUMMYFUNCTION("""COMPUTED_VALUE"""),10.0)</f>
        <v>10</v>
      </c>
      <c r="I31" s="32">
        <f>IFERROR(__xludf.DUMMYFUNCTION("""COMPUTED_VALUE"""),0.0)</f>
        <v>0</v>
      </c>
      <c r="J31" s="32">
        <f>IFERROR(__xludf.DUMMYFUNCTION("""COMPUTED_VALUE"""),0.0)</f>
        <v>0</v>
      </c>
      <c r="K31" s="32">
        <f>IFERROR(__xludf.DUMMYFUNCTION("""COMPUTED_VALUE"""),100.0)</f>
        <v>100</v>
      </c>
      <c r="L31" s="32">
        <f>IFERROR(__xludf.DUMMYFUNCTION("""COMPUTED_VALUE"""),100.0)</f>
        <v>100</v>
      </c>
      <c r="M31" s="32" t="str">
        <f>IFERROR(__xludf.DUMMYFUNCTION("""COMPUTED_VALUE"""),"Nature:100, ")</f>
        <v>Nature:100, </v>
      </c>
      <c r="N31" s="32" t="str">
        <f>IFERROR(__xludf.DUMMYFUNCTION("""COMPUTED_VALUE"""),"Fire:100, Water:100, ")</f>
        <v>Fire:100, Water:100, </v>
      </c>
      <c r="O31" s="32" t="str">
        <f>IFERROR(__xludf.DUMMYFUNCTION("""COMPUTED_VALUE"""),"Top Hat")</f>
        <v>Top Hat</v>
      </c>
      <c r="P31" s="32"/>
      <c r="Q31" s="32"/>
      <c r="R31" s="32"/>
      <c r="S31" s="32"/>
      <c r="T31" s="32"/>
      <c r="U31" s="32"/>
      <c r="V31" s="32"/>
      <c r="W31" s="32"/>
      <c r="X31" s="32"/>
      <c r="Y31" s="32"/>
      <c r="Z31" s="32"/>
      <c r="AA31" s="32"/>
      <c r="AB31" s="32"/>
      <c r="AC31" s="32"/>
      <c r="AD31" s="32"/>
      <c r="AE31" s="32"/>
      <c r="AF31" s="32"/>
      <c r="AG31" s="32"/>
      <c r="AH31" s="32"/>
      <c r="AI31" s="32"/>
      <c r="AJ31" s="32" t="str">
        <f>IFERROR(__xludf.DUMMYFUNCTION("""COMPUTED_VALUE"""),"Stinger (Bee)")</f>
        <v>Stinger (Bee)</v>
      </c>
      <c r="AK31" s="32" t="str">
        <f>IFERROR(__xludf.DUMMYFUNCTION("""COMPUTED_VALUE"""),"Poison Needle")</f>
        <v>Poison Needle</v>
      </c>
      <c r="AL31" s="32" t="str">
        <f>IFERROR(__xludf.DUMMYFUNCTION("""COMPUTED_VALUE"""),"Multishot")</f>
        <v>Multishot</v>
      </c>
      <c r="AM31" s="32" t="str">
        <f>IFERROR(__xludf.DUMMYFUNCTION("""COMPUTED_VALUE"""),"Dive Bomb")</f>
        <v>Dive Bomb</v>
      </c>
      <c r="AN31" s="32"/>
      <c r="AO31" s="32"/>
      <c r="AP31" s="32"/>
      <c r="AQ31" s="32"/>
      <c r="AR31" s="32"/>
      <c r="AS31" s="32"/>
      <c r="AT31" s="32"/>
      <c r="AU31" s="32"/>
      <c r="AV31" s="32"/>
      <c r="AW31" s="32"/>
      <c r="AX31" s="32"/>
      <c r="AY31" s="32"/>
      <c r="AZ31" s="32"/>
      <c r="BA31" s="32"/>
      <c r="BB31" s="32"/>
      <c r="BC31" s="32"/>
      <c r="BD31" s="32">
        <f>IFERROR(__xludf.DUMMYFUNCTION("""COMPUTED_VALUE"""),0.0)</f>
        <v>0</v>
      </c>
      <c r="BE31" s="32">
        <f>IFERROR(__xludf.DUMMYFUNCTION("""COMPUTED_VALUE"""),10.0)</f>
        <v>10</v>
      </c>
      <c r="BF31" s="32"/>
      <c r="BG31" s="32" t="str">
        <f>IFERROR(__xludf.DUMMYFUNCTION("""COMPUTED_VALUE"""),"Grassland")</f>
        <v>Grassland</v>
      </c>
      <c r="BH31" s="32" t="str">
        <f>IFERROR(__xludf.DUMMYFUNCTION("""COMPUTED_VALUE"""),"Land of Spira")</f>
        <v>Land of Spira</v>
      </c>
      <c r="BI31" s="32"/>
      <c r="BJ31" s="32"/>
      <c r="BK31" s="32"/>
      <c r="BL31" s="32" t="b">
        <f>IFERROR(__xludf.DUMMYFUNCTION("""COMPUTED_VALUE"""),FALSE)</f>
        <v>0</v>
      </c>
      <c r="BM31" s="32"/>
      <c r="BN31" s="32"/>
      <c r="BO31" s="32"/>
      <c r="BP31" s="32"/>
      <c r="BQ31" s="32"/>
    </row>
    <row r="32">
      <c r="A32" s="32" t="str">
        <f>IFERROR(__xludf.DUMMYFUNCTION("""COMPUTED_VALUE"""),"Big Frost Owl")</f>
        <v>Big Frost Owl</v>
      </c>
      <c r="B32" s="32">
        <f>IFERROR(__xludf.DUMMYFUNCTION("""COMPUTED_VALUE"""),1.0)</f>
        <v>1</v>
      </c>
      <c r="C32" s="32" t="str">
        <f>IFERROR(__xludf.DUMMYFUNCTION("""COMPUTED_VALUE"""),"Hoo! Who? Nay, It's whom for they are the object for which an event is occuring! Said event being death.")</f>
        <v>Hoo! Who? Nay, It's whom for they are the object for which an event is occuring! Said event being death.</v>
      </c>
      <c r="D32" s="33" t="str">
        <f>IFERROR(__xludf.DUMMYFUNCTION("""COMPUTED_VALUE"""),"Beast")</f>
        <v>Beast</v>
      </c>
      <c r="E32" s="33">
        <f>IFERROR(__xludf.DUMMYFUNCTION("""COMPUTED_VALUE"""),1010.0)</f>
        <v>1010</v>
      </c>
      <c r="F32" s="33">
        <f>IFERROR(__xludf.DUMMYFUNCTION("""COMPUTED_VALUE"""),1010.0)</f>
        <v>1010</v>
      </c>
      <c r="G32" s="33">
        <f>IFERROR(__xludf.DUMMYFUNCTION("""COMPUTED_VALUE"""),1010.0)</f>
        <v>1010</v>
      </c>
      <c r="H32" s="32">
        <f>IFERROR(__xludf.DUMMYFUNCTION("""COMPUTED_VALUE"""),10.0)</f>
        <v>10</v>
      </c>
      <c r="I32" s="32">
        <f>IFERROR(__xludf.DUMMYFUNCTION("""COMPUTED_VALUE"""),0.0)</f>
        <v>0</v>
      </c>
      <c r="J32" s="32">
        <f>IFERROR(__xludf.DUMMYFUNCTION("""COMPUTED_VALUE"""),0.0)</f>
        <v>0</v>
      </c>
      <c r="K32" s="32">
        <f>IFERROR(__xludf.DUMMYFUNCTION("""COMPUTED_VALUE"""),100.0)</f>
        <v>100</v>
      </c>
      <c r="L32" s="32">
        <f>IFERROR(__xludf.DUMMYFUNCTION("""COMPUTED_VALUE"""),100.0)</f>
        <v>100</v>
      </c>
      <c r="M32" s="32" t="str">
        <f>IFERROR(__xludf.DUMMYFUNCTION("""COMPUTED_VALUE"""),"Water:100, ")</f>
        <v>Water:100, </v>
      </c>
      <c r="N32" s="32" t="str">
        <f>IFERROR(__xludf.DUMMYFUNCTION("""COMPUTED_VALUE"""),"Fire:100, Nature:100, ")</f>
        <v>Fire:100, Nature:100, </v>
      </c>
      <c r="O32" s="32"/>
      <c r="P32" s="32"/>
      <c r="Q32" s="32"/>
      <c r="R32" s="32"/>
      <c r="S32" s="32"/>
      <c r="T32" s="32"/>
      <c r="U32" s="32"/>
      <c r="V32" s="32"/>
      <c r="W32" s="32"/>
      <c r="X32" s="32"/>
      <c r="Y32" s="32"/>
      <c r="Z32" s="32"/>
      <c r="AA32" s="32"/>
      <c r="AB32" s="32"/>
      <c r="AC32" s="32"/>
      <c r="AD32" s="32"/>
      <c r="AE32" s="32"/>
      <c r="AF32" s="32"/>
      <c r="AG32" s="32"/>
      <c r="AH32" s="32"/>
      <c r="AI32" s="32"/>
      <c r="AJ32" s="32" t="str">
        <f>IFERROR(__xludf.DUMMYFUNCTION("""COMPUTED_VALUE"""),"Rapid Frost Peck")</f>
        <v>Rapid Frost Peck</v>
      </c>
      <c r="AK32" s="32" t="str">
        <f>IFERROR(__xludf.DUMMYFUNCTION("""COMPUTED_VALUE"""),"Roaring Frost Winds")</f>
        <v>Roaring Frost Winds</v>
      </c>
      <c r="AL32" s="32" t="str">
        <f>IFERROR(__xludf.DUMMYFUNCTION("""COMPUTED_VALUE"""),"Bullseye")</f>
        <v>Bullseye</v>
      </c>
      <c r="AM32" s="32" t="str">
        <f>IFERROR(__xludf.DUMMYFUNCTION("""COMPUTED_VALUE"""),"Rapid Swoop")</f>
        <v>Rapid Swoop</v>
      </c>
      <c r="AN32" s="32" t="str">
        <f>IFERROR(__xludf.DUMMYFUNCTION("""COMPUTED_VALUE"""),"Bite")</f>
        <v>Bite</v>
      </c>
      <c r="AO32" s="32" t="str">
        <f>IFERROR(__xludf.DUMMYFUNCTION("""COMPUTED_VALUE"""),"Distracting Blow")</f>
        <v>Distracting Blow</v>
      </c>
      <c r="AP32" s="32" t="str">
        <f>IFERROR(__xludf.DUMMYFUNCTION("""COMPUTED_VALUE"""),"Dive Bomb")</f>
        <v>Dive Bomb</v>
      </c>
      <c r="AQ32" s="32" t="str">
        <f>IFERROR(__xludf.DUMMYFUNCTION("""COMPUTED_VALUE"""),"Freezing Fog")</f>
        <v>Freezing Fog</v>
      </c>
      <c r="AR32" s="32" t="str">
        <f>IFERROR(__xludf.DUMMYFUNCTION("""COMPUTED_VALUE"""),"Multishot")</f>
        <v>Multishot</v>
      </c>
      <c r="AS32" s="32"/>
      <c r="AT32" s="32"/>
      <c r="AU32" s="32"/>
      <c r="AV32" s="32"/>
      <c r="AW32" s="32"/>
      <c r="AX32" s="32"/>
      <c r="AY32" s="32"/>
      <c r="AZ32" s="32"/>
      <c r="BA32" s="32"/>
      <c r="BB32" s="32"/>
      <c r="BC32" s="32"/>
      <c r="BD32" s="32">
        <f>IFERROR(__xludf.DUMMYFUNCTION("""COMPUTED_VALUE"""),0.0)</f>
        <v>0</v>
      </c>
      <c r="BE32" s="32">
        <f>IFERROR(__xludf.DUMMYFUNCTION("""COMPUTED_VALUE"""),10.0)</f>
        <v>10</v>
      </c>
      <c r="BF32" s="32" t="str">
        <f>IFERROR(__xludf.DUMMYFUNCTION("""COMPUTED_VALUE"""),"+5 can be added to this mobs d20 rolls.
Immune to Freezing.")</f>
        <v>+5 can be added to this mobs d20 rolls.
Immune to Freezing.</v>
      </c>
      <c r="BG32" s="32" t="str">
        <f>IFERROR(__xludf.DUMMYFUNCTION("""COMPUTED_VALUE"""),"Tundra")</f>
        <v>Tundra</v>
      </c>
      <c r="BH32" s="32" t="str">
        <f>IFERROR(__xludf.DUMMYFUNCTION("""COMPUTED_VALUE"""),"Land of Spira")</f>
        <v>Land of Spira</v>
      </c>
      <c r="BI32" s="32"/>
      <c r="BJ32" s="32"/>
      <c r="BK32" s="32"/>
      <c r="BL32" s="32" t="b">
        <f>IFERROR(__xludf.DUMMYFUNCTION("""COMPUTED_VALUE"""),FALSE)</f>
        <v>0</v>
      </c>
      <c r="BM32" s="32"/>
      <c r="BN32" s="32"/>
      <c r="BO32" s="32"/>
      <c r="BP32" s="32"/>
      <c r="BQ32" s="32"/>
    </row>
    <row r="33">
      <c r="A33" s="32" t="str">
        <f>IFERROR(__xludf.DUMMYFUNCTION("""COMPUTED_VALUE"""),"Black Serpent Dragon")</f>
        <v>Black Serpent Dragon</v>
      </c>
      <c r="B33" s="32">
        <f>IFERROR(__xludf.DUMMYFUNCTION("""COMPUTED_VALUE"""),1.0)</f>
        <v>1</v>
      </c>
      <c r="C33" s="32" t="str">
        <f>IFERROR(__xludf.DUMMYFUNCTION("""COMPUTED_VALUE"""),"Is it a dragon? Is it a snake? Fuck no it's both, as if it couldn't get worse.")</f>
        <v>Is it a dragon? Is it a snake? Fuck no it's both, as if it couldn't get worse.</v>
      </c>
      <c r="D33" s="33" t="str">
        <f>IFERROR(__xludf.DUMMYFUNCTION("""COMPUTED_VALUE"""),"Draconic")</f>
        <v>Draconic</v>
      </c>
      <c r="E33" s="33">
        <f>IFERROR(__xludf.DUMMYFUNCTION("""COMPUTED_VALUE"""),1010.0)</f>
        <v>1010</v>
      </c>
      <c r="F33" s="33">
        <f>IFERROR(__xludf.DUMMYFUNCTION("""COMPUTED_VALUE"""),1010.0)</f>
        <v>1010</v>
      </c>
      <c r="G33" s="33">
        <f>IFERROR(__xludf.DUMMYFUNCTION("""COMPUTED_VALUE"""),1010.0)</f>
        <v>1010</v>
      </c>
      <c r="H33" s="32">
        <f>IFERROR(__xludf.DUMMYFUNCTION("""COMPUTED_VALUE"""),10.0)</f>
        <v>10</v>
      </c>
      <c r="I33" s="32">
        <f>IFERROR(__xludf.DUMMYFUNCTION("""COMPUTED_VALUE"""),0.0)</f>
        <v>0</v>
      </c>
      <c r="J33" s="32">
        <f>IFERROR(__xludf.DUMMYFUNCTION("""COMPUTED_VALUE"""),0.0)</f>
        <v>0</v>
      </c>
      <c r="K33" s="32">
        <f>IFERROR(__xludf.DUMMYFUNCTION("""COMPUTED_VALUE"""),100.0)</f>
        <v>100</v>
      </c>
      <c r="L33" s="32">
        <f>IFERROR(__xludf.DUMMYFUNCTION("""COMPUTED_VALUE"""),100.0)</f>
        <v>100</v>
      </c>
      <c r="M33" s="32"/>
      <c r="N33" s="32"/>
      <c r="O33" s="32"/>
      <c r="P33" s="32"/>
      <c r="Q33" s="32"/>
      <c r="R33" s="32"/>
      <c r="S33" s="32"/>
      <c r="T33" s="32"/>
      <c r="U33" s="32"/>
      <c r="V33" s="32"/>
      <c r="W33" s="32"/>
      <c r="X33" s="32"/>
      <c r="Y33" s="32"/>
      <c r="Z33" s="32"/>
      <c r="AA33" s="32"/>
      <c r="AB33" s="32"/>
      <c r="AC33" s="32"/>
      <c r="AD33" s="32"/>
      <c r="AE33" s="32"/>
      <c r="AF33" s="32"/>
      <c r="AG33" s="32"/>
      <c r="AH33" s="32"/>
      <c r="AI33" s="32"/>
      <c r="AJ33" s="32" t="str">
        <f>IFERROR(__xludf.DUMMYFUNCTION("""COMPUTED_VALUE"""),"Darkest Abyss")</f>
        <v>Darkest Abyss</v>
      </c>
      <c r="AK33" s="32" t="str">
        <f>IFERROR(__xludf.DUMMYFUNCTION("""COMPUTED_VALUE"""),"Dark Curse")</f>
        <v>Dark Curse</v>
      </c>
      <c r="AL33" s="32" t="str">
        <f>IFERROR(__xludf.DUMMYFUNCTION("""COMPUTED_VALUE"""),"Darkness Ablaze")</f>
        <v>Darkness Ablaze</v>
      </c>
      <c r="AM33" s="32" t="str">
        <f>IFERROR(__xludf.DUMMYFUNCTION("""COMPUTED_VALUE"""),"Chaotic Shadow Storm")</f>
        <v>Chaotic Shadow Storm</v>
      </c>
      <c r="AN33" s="32" t="str">
        <f>IFERROR(__xludf.DUMMYFUNCTION("""COMPUTED_VALUE"""),"Chaotic Shadow Breath")</f>
        <v>Chaotic Shadow Breath</v>
      </c>
      <c r="AO33" s="32" t="str">
        <f>IFERROR(__xludf.DUMMYFUNCTION("""COMPUTED_VALUE"""),"Berserk")</f>
        <v>Berserk</v>
      </c>
      <c r="AP33" s="32" t="str">
        <f>IFERROR(__xludf.DUMMYFUNCTION("""COMPUTED_VALUE"""),"Multishot")</f>
        <v>Multishot</v>
      </c>
      <c r="AQ33" s="32" t="str">
        <f>IFERROR(__xludf.DUMMYFUNCTION("""COMPUTED_VALUE"""),"Claws")</f>
        <v>Claws</v>
      </c>
      <c r="AR33" s="32" t="str">
        <f>IFERROR(__xludf.DUMMYFUNCTION("""COMPUTED_VALUE"""),"Greater Dragon's Breath")</f>
        <v>Greater Dragon's Breath</v>
      </c>
      <c r="AS33" s="32" t="str">
        <f>IFERROR(__xludf.DUMMYFUNCTION("""COMPUTED_VALUE"""),"Vaporize")</f>
        <v>Vaporize</v>
      </c>
      <c r="AT33" s="32" t="str">
        <f>IFERROR(__xludf.DUMMYFUNCTION("""COMPUTED_VALUE"""),"Cancel")</f>
        <v>Cancel</v>
      </c>
      <c r="AU33" s="32" t="str">
        <f>IFERROR(__xludf.DUMMYFUNCTION("""COMPUTED_VALUE"""),"Dive Bomb")</f>
        <v>Dive Bomb</v>
      </c>
      <c r="AV33" s="32" t="str">
        <f>IFERROR(__xludf.DUMMYFUNCTION("""COMPUTED_VALUE"""),"Max Focus")</f>
        <v>Max Focus</v>
      </c>
      <c r="AW33" s="32"/>
      <c r="AX33" s="32"/>
      <c r="AY33" s="32"/>
      <c r="AZ33" s="32"/>
      <c r="BA33" s="32"/>
      <c r="BB33" s="32"/>
      <c r="BC33" s="32"/>
      <c r="BD33" s="32">
        <f>IFERROR(__xludf.DUMMYFUNCTION("""COMPUTED_VALUE"""),0.0)</f>
        <v>0</v>
      </c>
      <c r="BE33" s="32">
        <f>IFERROR(__xludf.DUMMYFUNCTION("""COMPUTED_VALUE"""),10.0)</f>
        <v>10</v>
      </c>
      <c r="BF33" s="32"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32" t="str">
        <f>IFERROR(__xludf.DUMMYFUNCTION("""COMPUTED_VALUE"""),"All")</f>
        <v>All</v>
      </c>
      <c r="BH33" s="32" t="str">
        <f>IFERROR(__xludf.DUMMYFUNCTION("""COMPUTED_VALUE"""),"Abstara")</f>
        <v>Abstara</v>
      </c>
      <c r="BI33" s="32"/>
      <c r="BJ33" s="32"/>
      <c r="BK33" s="32"/>
      <c r="BL33" s="32" t="b">
        <f>IFERROR(__xludf.DUMMYFUNCTION("""COMPUTED_VALUE"""),FALSE)</f>
        <v>0</v>
      </c>
      <c r="BM33" s="32"/>
      <c r="BN33" s="32"/>
      <c r="BO33" s="32"/>
      <c r="BP33" s="32"/>
      <c r="BQ33" s="32"/>
    </row>
    <row r="34">
      <c r="A34" s="32" t="str">
        <f>IFERROR(__xludf.DUMMYFUNCTION("""COMPUTED_VALUE"""),"Black Soul")</f>
        <v>Black Soul</v>
      </c>
      <c r="B34" s="32">
        <f>IFERROR(__xludf.DUMMYFUNCTION("""COMPUTED_VALUE"""),1.0)</f>
        <v>1</v>
      </c>
      <c r="C34" s="3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33" t="str">
        <f>IFERROR(__xludf.DUMMYFUNCTION("""COMPUTED_VALUE"""),"Spirit")</f>
        <v>Spirit</v>
      </c>
      <c r="E34" s="33">
        <f>IFERROR(__xludf.DUMMYFUNCTION("""COMPUTED_VALUE"""),1010.0)</f>
        <v>1010</v>
      </c>
      <c r="F34" s="33">
        <f>IFERROR(__xludf.DUMMYFUNCTION("""COMPUTED_VALUE"""),1010.0)</f>
        <v>1010</v>
      </c>
      <c r="G34" s="33">
        <f>IFERROR(__xludf.DUMMYFUNCTION("""COMPUTED_VALUE"""),1010.0)</f>
        <v>1010</v>
      </c>
      <c r="H34" s="32">
        <f>IFERROR(__xludf.DUMMYFUNCTION("""COMPUTED_VALUE"""),10.0)</f>
        <v>10</v>
      </c>
      <c r="I34" s="32">
        <f>IFERROR(__xludf.DUMMYFUNCTION("""COMPUTED_VALUE"""),0.0)</f>
        <v>0</v>
      </c>
      <c r="J34" s="32">
        <f>IFERROR(__xludf.DUMMYFUNCTION("""COMPUTED_VALUE"""),0.0)</f>
        <v>0</v>
      </c>
      <c r="K34" s="32">
        <f>IFERROR(__xludf.DUMMYFUNCTION("""COMPUTED_VALUE"""),100.0)</f>
        <v>100</v>
      </c>
      <c r="L34" s="32">
        <f>IFERROR(__xludf.DUMMYFUNCTION("""COMPUTED_VALUE"""),100.0)</f>
        <v>100</v>
      </c>
      <c r="M34" s="32" t="str">
        <f>IFERROR(__xludf.DUMMYFUNCTION("""COMPUTED_VALUE"""),"Dark:Immune, Spirit:Immune, ")</f>
        <v>Dark:Immune, Spirit:Immune, </v>
      </c>
      <c r="N34" s="32" t="str">
        <f>IFERROR(__xludf.DUMMYFUNCTION("""COMPUTED_VALUE"""),"Fire:100, Light:100, ")</f>
        <v>Fire:100, Light:100, </v>
      </c>
      <c r="O34" s="32"/>
      <c r="P34" s="32"/>
      <c r="Q34" s="32"/>
      <c r="R34" s="32"/>
      <c r="S34" s="32"/>
      <c r="T34" s="32"/>
      <c r="U34" s="32"/>
      <c r="V34" s="32"/>
      <c r="W34" s="32"/>
      <c r="X34" s="32"/>
      <c r="Y34" s="32"/>
      <c r="Z34" s="32"/>
      <c r="AA34" s="32"/>
      <c r="AB34" s="32"/>
      <c r="AC34" s="32"/>
      <c r="AD34" s="32"/>
      <c r="AE34" s="32"/>
      <c r="AF34" s="32"/>
      <c r="AG34" s="32"/>
      <c r="AH34" s="32"/>
      <c r="AI34" s="32"/>
      <c r="AJ34" s="32" t="str">
        <f>IFERROR(__xludf.DUMMYFUNCTION("""COMPUTED_VALUE"""),"A Deal With The Spirit World")</f>
        <v>A Deal With The Spirit World</v>
      </c>
      <c r="AK34" s="32" t="str">
        <f>IFERROR(__xludf.DUMMYFUNCTION("""COMPUTED_VALUE"""),"Final Blast")</f>
        <v>Final Blast</v>
      </c>
      <c r="AL34" s="32" t="str">
        <f>IFERROR(__xludf.DUMMYFUNCTION("""COMPUTED_VALUE"""),"Soul Shot")</f>
        <v>Soul Shot</v>
      </c>
      <c r="AM34" s="32" t="str">
        <f>IFERROR(__xludf.DUMMYFUNCTION("""COMPUTED_VALUE"""),"Final Rest")</f>
        <v>Final Rest</v>
      </c>
      <c r="AN34" s="32" t="str">
        <f>IFERROR(__xludf.DUMMYFUNCTION("""COMPUTED_VALUE"""),"Soul Trap")</f>
        <v>Soul Trap</v>
      </c>
      <c r="AO34" s="32" t="str">
        <f>IFERROR(__xludf.DUMMYFUNCTION("""COMPUTED_VALUE"""),"Possession")</f>
        <v>Possession</v>
      </c>
      <c r="AP34" s="32" t="str">
        <f>IFERROR(__xludf.DUMMYFUNCTION("""COMPUTED_VALUE"""),"Confuse")</f>
        <v>Confuse</v>
      </c>
      <c r="AQ34" s="32"/>
      <c r="AR34" s="32"/>
      <c r="AS34" s="32"/>
      <c r="AT34" s="32"/>
      <c r="AU34" s="32"/>
      <c r="AV34" s="32"/>
      <c r="AW34" s="32"/>
      <c r="AX34" s="32"/>
      <c r="AY34" s="32"/>
      <c r="AZ34" s="32"/>
      <c r="BA34" s="32"/>
      <c r="BB34" s="32"/>
      <c r="BC34" s="32"/>
      <c r="BD34" s="32">
        <f>IFERROR(__xludf.DUMMYFUNCTION("""COMPUTED_VALUE"""),0.0)</f>
        <v>0</v>
      </c>
      <c r="BE34" s="32">
        <f>IFERROR(__xludf.DUMMYFUNCTION("""COMPUTED_VALUE"""),10.0)</f>
        <v>10</v>
      </c>
      <c r="BF34" s="32"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32" t="str">
        <f>IFERROR(__xludf.DUMMYFUNCTION("""COMPUTED_VALUE"""),"All")</f>
        <v>All</v>
      </c>
      <c r="BH34" s="32" t="str">
        <f>IFERROR(__xludf.DUMMYFUNCTION("""COMPUTED_VALUE"""),"Abstara")</f>
        <v>Abstara</v>
      </c>
      <c r="BI34" s="32"/>
      <c r="BJ34" s="32"/>
      <c r="BK34" s="32"/>
      <c r="BL34" s="32" t="b">
        <f>IFERROR(__xludf.DUMMYFUNCTION("""COMPUTED_VALUE"""),FALSE)</f>
        <v>0</v>
      </c>
      <c r="BM34" s="32"/>
      <c r="BN34" s="32"/>
      <c r="BO34" s="32"/>
      <c r="BP34" s="32"/>
      <c r="BQ34" s="32"/>
    </row>
    <row r="35">
      <c r="A35" s="32" t="str">
        <f>IFERROR(__xludf.DUMMYFUNCTION("""COMPUTED_VALUE"""),"Blood Monk")</f>
        <v>Blood Monk</v>
      </c>
      <c r="B35" s="32">
        <f>IFERROR(__xludf.DUMMYFUNCTION("""COMPUTED_VALUE"""),1.0)</f>
        <v>1</v>
      </c>
      <c r="C35" s="32" t="str">
        <f>IFERROR(__xludf.DUMMYFUNCTION("""COMPUTED_VALUE"""),"Monks, edgy edition.")</f>
        <v>Monks, edgy edition.</v>
      </c>
      <c r="D35" s="33" t="str">
        <f>IFERROR(__xludf.DUMMYFUNCTION("""COMPUTED_VALUE"""),"Humanoid")</f>
        <v>Humanoid</v>
      </c>
      <c r="E35" s="33">
        <f>IFERROR(__xludf.DUMMYFUNCTION("""COMPUTED_VALUE"""),1010.0)</f>
        <v>1010</v>
      </c>
      <c r="F35" s="33">
        <f>IFERROR(__xludf.DUMMYFUNCTION("""COMPUTED_VALUE"""),1010.0)</f>
        <v>1010</v>
      </c>
      <c r="G35" s="33">
        <f>IFERROR(__xludf.DUMMYFUNCTION("""COMPUTED_VALUE"""),1010.0)</f>
        <v>1010</v>
      </c>
      <c r="H35" s="32">
        <f>IFERROR(__xludf.DUMMYFUNCTION("""COMPUTED_VALUE"""),10.0)</f>
        <v>10</v>
      </c>
      <c r="I35" s="32">
        <f>IFERROR(__xludf.DUMMYFUNCTION("""COMPUTED_VALUE"""),0.0)</f>
        <v>0</v>
      </c>
      <c r="J35" s="32">
        <f>IFERROR(__xludf.DUMMYFUNCTION("""COMPUTED_VALUE"""),0.0)</f>
        <v>0</v>
      </c>
      <c r="K35" s="32">
        <f>IFERROR(__xludf.DUMMYFUNCTION("""COMPUTED_VALUE"""),100.0)</f>
        <v>100</v>
      </c>
      <c r="L35" s="32">
        <f>IFERROR(__xludf.DUMMYFUNCTION("""COMPUTED_VALUE"""),100.0)</f>
        <v>100</v>
      </c>
      <c r="M35" s="32" t="str">
        <f>IFERROR(__xludf.DUMMYFUNCTION("""COMPUTED_VALUE"""),"Dark:Immune, Zen:Immune, ")</f>
        <v>Dark:Immune, Zen:Immune, </v>
      </c>
      <c r="N35" s="32" t="str">
        <f>IFERROR(__xludf.DUMMYFUNCTION("""COMPUTED_VALUE"""),"Fire:100, Light:100, Voodoo:100, ")</f>
        <v>Fire:100, Light:100, Voodoo:100, </v>
      </c>
      <c r="O35" s="32"/>
      <c r="P35" s="32"/>
      <c r="Q35" s="32"/>
      <c r="R35" s="32"/>
      <c r="S35" s="32"/>
      <c r="T35" s="32"/>
      <c r="U35" s="32"/>
      <c r="V35" s="32"/>
      <c r="W35" s="32" t="str">
        <f>IFERROR(__xludf.DUMMYFUNCTION("""COMPUTED_VALUE"""),"Blood Katana")</f>
        <v>Blood Katana</v>
      </c>
      <c r="X35" s="32"/>
      <c r="Y35" s="32"/>
      <c r="Z35" s="32"/>
      <c r="AA35" s="32"/>
      <c r="AB35" s="32"/>
      <c r="AC35" s="32"/>
      <c r="AD35" s="32"/>
      <c r="AE35" s="32"/>
      <c r="AF35" s="32"/>
      <c r="AG35" s="32"/>
      <c r="AH35" s="32"/>
      <c r="AI35" s="32"/>
      <c r="AJ35" s="32" t="str">
        <f>IFERROR(__xludf.DUMMYFUNCTION("""COMPUTED_VALUE"""),"The All Knowing Eye")</f>
        <v>The All Knowing Eye</v>
      </c>
      <c r="AK35" s="32" t="str">
        <f>IFERROR(__xludf.DUMMYFUNCTION("""COMPUTED_VALUE"""),"Focus")</f>
        <v>Focus</v>
      </c>
      <c r="AL35" s="32" t="str">
        <f>IFERROR(__xludf.DUMMYFUNCTION("""COMPUTED_VALUE"""),"Mind Press")</f>
        <v>Mind Press</v>
      </c>
      <c r="AM35" s="32" t="str">
        <f>IFERROR(__xludf.DUMMYFUNCTION("""COMPUTED_VALUE"""),"FlashStep")</f>
        <v>FlashStep</v>
      </c>
      <c r="AN35" s="32" t="str">
        <f>IFERROR(__xludf.DUMMYFUNCTION("""COMPUTED_VALUE"""),"A Worthy Sacrifice")</f>
        <v>A Worthy Sacrifice</v>
      </c>
      <c r="AO35" s="32" t="str">
        <f>IFERROR(__xludf.DUMMYFUNCTION("""COMPUTED_VALUE"""),"Blood Barrage")</f>
        <v>Blood Barrage</v>
      </c>
      <c r="AP35" s="32" t="str">
        <f>IFERROR(__xludf.DUMMYFUNCTION("""COMPUTED_VALUE"""),"Blood Geyser")</f>
        <v>Blood Geyser</v>
      </c>
      <c r="AQ35" s="32"/>
      <c r="AR35" s="32"/>
      <c r="AS35" s="32"/>
      <c r="AT35" s="32"/>
      <c r="AU35" s="32"/>
      <c r="AV35" s="32"/>
      <c r="AW35" s="32"/>
      <c r="AX35" s="32"/>
      <c r="AY35" s="32"/>
      <c r="AZ35" s="32"/>
      <c r="BA35" s="32"/>
      <c r="BB35" s="32"/>
      <c r="BC35" s="32"/>
      <c r="BD35" s="32">
        <f>IFERROR(__xludf.DUMMYFUNCTION("""COMPUTED_VALUE"""),0.0)</f>
        <v>0</v>
      </c>
      <c r="BE35" s="32">
        <f>IFERROR(__xludf.DUMMYFUNCTION("""COMPUTED_VALUE"""),10.0)</f>
        <v>10</v>
      </c>
      <c r="BF35" s="32"/>
      <c r="BG35" s="32" t="str">
        <f>IFERROR(__xludf.DUMMYFUNCTION("""COMPUTED_VALUE"""),"City/Town")</f>
        <v>City/Town</v>
      </c>
      <c r="BH35" s="32" t="str">
        <f>IFERROR(__xludf.DUMMYFUNCTION("""COMPUTED_VALUE"""),"Land Of Spira")</f>
        <v>Land Of Spira</v>
      </c>
      <c r="BI35" s="32"/>
      <c r="BJ35" s="32"/>
      <c r="BK35" s="32"/>
      <c r="BL35" s="32" t="b">
        <f>IFERROR(__xludf.DUMMYFUNCTION("""COMPUTED_VALUE"""),FALSE)</f>
        <v>0</v>
      </c>
      <c r="BM35" s="32"/>
      <c r="BN35" s="32"/>
      <c r="BO35" s="32"/>
      <c r="BP35" s="32"/>
      <c r="BQ35" s="32"/>
    </row>
    <row r="36">
      <c r="A36" s="32" t="str">
        <f>IFERROR(__xludf.DUMMYFUNCTION("""COMPUTED_VALUE"""),"Blue Soul")</f>
        <v>Blue Soul</v>
      </c>
      <c r="B36" s="32">
        <f>IFERROR(__xludf.DUMMYFUNCTION("""COMPUTED_VALUE"""),1.0)</f>
        <v>1</v>
      </c>
      <c r="C36" s="3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33" t="str">
        <f>IFERROR(__xludf.DUMMYFUNCTION("""COMPUTED_VALUE"""),"Spirit")</f>
        <v>Spirit</v>
      </c>
      <c r="E36" s="33">
        <f>IFERROR(__xludf.DUMMYFUNCTION("""COMPUTED_VALUE"""),1010.0)</f>
        <v>1010</v>
      </c>
      <c r="F36" s="33">
        <f>IFERROR(__xludf.DUMMYFUNCTION("""COMPUTED_VALUE"""),1010.0)</f>
        <v>1010</v>
      </c>
      <c r="G36" s="33">
        <f>IFERROR(__xludf.DUMMYFUNCTION("""COMPUTED_VALUE"""),1010.0)</f>
        <v>1010</v>
      </c>
      <c r="H36" s="32">
        <f>IFERROR(__xludf.DUMMYFUNCTION("""COMPUTED_VALUE"""),10.0)</f>
        <v>10</v>
      </c>
      <c r="I36" s="32">
        <f>IFERROR(__xludf.DUMMYFUNCTION("""COMPUTED_VALUE"""),0.0)</f>
        <v>0</v>
      </c>
      <c r="J36" s="32">
        <f>IFERROR(__xludf.DUMMYFUNCTION("""COMPUTED_VALUE"""),0.0)</f>
        <v>0</v>
      </c>
      <c r="K36" s="32">
        <f>IFERROR(__xludf.DUMMYFUNCTION("""COMPUTED_VALUE"""),100.0)</f>
        <v>100</v>
      </c>
      <c r="L36" s="32">
        <f>IFERROR(__xludf.DUMMYFUNCTION("""COMPUTED_VALUE"""),100.0)</f>
        <v>100</v>
      </c>
      <c r="M36" s="32" t="str">
        <f>IFERROR(__xludf.DUMMYFUNCTION("""COMPUTED_VALUE"""),"Water:Immune, Spirit:Immune, ")</f>
        <v>Water:Immune, Spirit:Immune, </v>
      </c>
      <c r="N36" s="32" t="str">
        <f>IFERROR(__xludf.DUMMYFUNCTION("""COMPUTED_VALUE"""),"Nature:100, ")</f>
        <v>Nature:100, </v>
      </c>
      <c r="O36" s="32"/>
      <c r="P36" s="32"/>
      <c r="Q36" s="32"/>
      <c r="R36" s="32"/>
      <c r="S36" s="32"/>
      <c r="T36" s="32"/>
      <c r="U36" s="32"/>
      <c r="V36" s="32"/>
      <c r="W36" s="32"/>
      <c r="X36" s="32"/>
      <c r="Y36" s="32"/>
      <c r="Z36" s="32"/>
      <c r="AA36" s="32"/>
      <c r="AB36" s="32"/>
      <c r="AC36" s="32"/>
      <c r="AD36" s="32"/>
      <c r="AE36" s="32"/>
      <c r="AF36" s="32"/>
      <c r="AG36" s="32"/>
      <c r="AH36" s="32"/>
      <c r="AI36" s="32"/>
      <c r="AJ36" s="32" t="str">
        <f>IFERROR(__xludf.DUMMYFUNCTION("""COMPUTED_VALUE"""),"A Deal With The Spirit World")</f>
        <v>A Deal With The Spirit World</v>
      </c>
      <c r="AK36" s="32" t="str">
        <f>IFERROR(__xludf.DUMMYFUNCTION("""COMPUTED_VALUE"""),"Final Blast")</f>
        <v>Final Blast</v>
      </c>
      <c r="AL36" s="32" t="str">
        <f>IFERROR(__xludf.DUMMYFUNCTION("""COMPUTED_VALUE"""),"Soul Shot")</f>
        <v>Soul Shot</v>
      </c>
      <c r="AM36" s="32" t="str">
        <f>IFERROR(__xludf.DUMMYFUNCTION("""COMPUTED_VALUE"""),"Final Rest")</f>
        <v>Final Rest</v>
      </c>
      <c r="AN36" s="32" t="str">
        <f>IFERROR(__xludf.DUMMYFUNCTION("""COMPUTED_VALUE"""),"Soul Trap")</f>
        <v>Soul Trap</v>
      </c>
      <c r="AO36" s="32" t="str">
        <f>IFERROR(__xludf.DUMMYFUNCTION("""COMPUTED_VALUE"""),"Possession")</f>
        <v>Possession</v>
      </c>
      <c r="AP36" s="32" t="str">
        <f>IFERROR(__xludf.DUMMYFUNCTION("""COMPUTED_VALUE"""),"Confuse")</f>
        <v>Confuse</v>
      </c>
      <c r="AQ36" s="32"/>
      <c r="AR36" s="32"/>
      <c r="AS36" s="32"/>
      <c r="AT36" s="32"/>
      <c r="AU36" s="32"/>
      <c r="AV36" s="32"/>
      <c r="AW36" s="32"/>
      <c r="AX36" s="32"/>
      <c r="AY36" s="32"/>
      <c r="AZ36" s="32"/>
      <c r="BA36" s="32"/>
      <c r="BB36" s="32"/>
      <c r="BC36" s="32"/>
      <c r="BD36" s="32">
        <f>IFERROR(__xludf.DUMMYFUNCTION("""COMPUTED_VALUE"""),0.0)</f>
        <v>0</v>
      </c>
      <c r="BE36" s="32">
        <f>IFERROR(__xludf.DUMMYFUNCTION("""COMPUTED_VALUE"""),10.0)</f>
        <v>10</v>
      </c>
      <c r="BF36" s="32"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32" t="str">
        <f>IFERROR(__xludf.DUMMYFUNCTION("""COMPUTED_VALUE"""),"All")</f>
        <v>All</v>
      </c>
      <c r="BH36" s="32" t="str">
        <f>IFERROR(__xludf.DUMMYFUNCTION("""COMPUTED_VALUE"""),"Abstara")</f>
        <v>Abstara</v>
      </c>
      <c r="BI36" s="32"/>
      <c r="BJ36" s="32"/>
      <c r="BK36" s="32"/>
      <c r="BL36" s="32" t="b">
        <f>IFERROR(__xludf.DUMMYFUNCTION("""COMPUTED_VALUE"""),FALSE)</f>
        <v>0</v>
      </c>
      <c r="BM36" s="32"/>
      <c r="BN36" s="32"/>
      <c r="BO36" s="32"/>
      <c r="BP36" s="32"/>
      <c r="BQ36" s="32"/>
    </row>
    <row r="37">
      <c r="A37" s="32" t="str">
        <f>IFERROR(__xludf.DUMMYFUNCTION("""COMPUTED_VALUE"""),"Boar")</f>
        <v>Boar</v>
      </c>
      <c r="B37" s="32">
        <f>IFERROR(__xludf.DUMMYFUNCTION("""COMPUTED_VALUE"""),1.0)</f>
        <v>1</v>
      </c>
      <c r="C37" s="3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32" t="str">
        <f>IFERROR(__xludf.DUMMYFUNCTION("""COMPUTED_VALUE"""),"Beast")</f>
        <v>Beast</v>
      </c>
      <c r="E37" s="32">
        <f>IFERROR(__xludf.DUMMYFUNCTION("""COMPUTED_VALUE"""),1010.0)</f>
        <v>1010</v>
      </c>
      <c r="F37" s="33">
        <f>IFERROR(__xludf.DUMMYFUNCTION("""COMPUTED_VALUE"""),1010.0)</f>
        <v>1010</v>
      </c>
      <c r="G37" s="32">
        <f>IFERROR(__xludf.DUMMYFUNCTION("""COMPUTED_VALUE"""),51010.0)</f>
        <v>51010</v>
      </c>
      <c r="H37" s="32">
        <f>IFERROR(__xludf.DUMMYFUNCTION("""COMPUTED_VALUE"""),10.0)</f>
        <v>10</v>
      </c>
      <c r="I37" s="32">
        <f>IFERROR(__xludf.DUMMYFUNCTION("""COMPUTED_VALUE"""),0.0)</f>
        <v>0</v>
      </c>
      <c r="J37" s="32">
        <f>IFERROR(__xludf.DUMMYFUNCTION("""COMPUTED_VALUE"""),0.0)</f>
        <v>0</v>
      </c>
      <c r="K37" s="32">
        <f>IFERROR(__xludf.DUMMYFUNCTION("""COMPUTED_VALUE"""),100.0)</f>
        <v>100</v>
      </c>
      <c r="L37" s="32">
        <f>IFERROR(__xludf.DUMMYFUNCTION("""COMPUTED_VALUE"""),100.0)</f>
        <v>100</v>
      </c>
      <c r="M37" s="32" t="str">
        <f>IFERROR(__xludf.DUMMYFUNCTION("""COMPUTED_VALUE"""),"")</f>
        <v/>
      </c>
      <c r="N37" s="32" t="str">
        <f>IFERROR(__xludf.DUMMYFUNCTION("""COMPUTED_VALUE"""),"")</f>
        <v/>
      </c>
      <c r="O37" s="32"/>
      <c r="P37" s="32"/>
      <c r="Q37" s="32"/>
      <c r="R37" s="32"/>
      <c r="S37" s="32"/>
      <c r="T37" s="32"/>
      <c r="U37" s="32"/>
      <c r="V37" s="32"/>
      <c r="W37" s="32"/>
      <c r="X37" s="32"/>
      <c r="Y37" s="32"/>
      <c r="Z37" s="32"/>
      <c r="AA37" s="32"/>
      <c r="AB37" s="32"/>
      <c r="AC37" s="32"/>
      <c r="AD37" s="32"/>
      <c r="AE37" s="32"/>
      <c r="AF37" s="32"/>
      <c r="AG37" s="32"/>
      <c r="AH37" s="32"/>
      <c r="AI37" s="32"/>
      <c r="AJ37" s="32" t="str">
        <f>IFERROR(__xludf.DUMMYFUNCTION("""COMPUTED_VALUE"""),"Gore")</f>
        <v>Gore</v>
      </c>
      <c r="AK37" s="32" t="str">
        <f>IFERROR(__xludf.DUMMYFUNCTION("""COMPUTED_VALUE"""),"Distracting Blow")</f>
        <v>Distracting Blow</v>
      </c>
      <c r="AL37" s="32" t="str">
        <f>IFERROR(__xludf.DUMMYFUNCTION("""COMPUTED_VALUE"""),"Taunt")</f>
        <v>Taunt</v>
      </c>
      <c r="AM37" s="32" t="str">
        <f>IFERROR(__xludf.DUMMYFUNCTION("""COMPUTED_VALUE"""),"Guard")</f>
        <v>Guard</v>
      </c>
      <c r="AN37" s="32" t="str">
        <f>IFERROR(__xludf.DUMMYFUNCTION("""COMPUTED_VALUE"""),"Tackle")</f>
        <v>Tackle</v>
      </c>
      <c r="AO37" s="32" t="str">
        <f>IFERROR(__xludf.DUMMYFUNCTION("""COMPUTED_VALUE"""),"Aggresive Tear")</f>
        <v>Aggresive Tear</v>
      </c>
      <c r="AP37" s="32"/>
      <c r="AQ37" s="32"/>
      <c r="AR37" s="32"/>
      <c r="AS37" s="32"/>
      <c r="AT37" s="32"/>
      <c r="AU37" s="32"/>
      <c r="AV37" s="32"/>
      <c r="AW37" s="32"/>
      <c r="AX37" s="32"/>
      <c r="AY37" s="32"/>
      <c r="AZ37" s="32"/>
      <c r="BA37" s="32"/>
      <c r="BB37" s="32"/>
      <c r="BC37" s="32"/>
      <c r="BD37" s="32">
        <f>IFERROR(__xludf.DUMMYFUNCTION("""COMPUTED_VALUE"""),0.0)</f>
        <v>0</v>
      </c>
      <c r="BE37" s="32">
        <f>IFERROR(__xludf.DUMMYFUNCTION("""COMPUTED_VALUE"""),10.0)</f>
        <v>10</v>
      </c>
      <c r="BF37" s="32"/>
      <c r="BG37" s="32" t="str">
        <f>IFERROR(__xludf.DUMMYFUNCTION("""COMPUTED_VALUE"""),"Forest")</f>
        <v>Forest</v>
      </c>
      <c r="BH37" s="32" t="str">
        <f>IFERROR(__xludf.DUMMYFUNCTION("""COMPUTED_VALUE"""),"Land of Spira")</f>
        <v>Land of Spira</v>
      </c>
      <c r="BI37" s="32"/>
      <c r="BJ37" s="32"/>
      <c r="BK37" s="32"/>
      <c r="BL37" s="32" t="b">
        <f>IFERROR(__xludf.DUMMYFUNCTION("""COMPUTED_VALUE"""),FALSE)</f>
        <v>0</v>
      </c>
      <c r="BM37" s="32"/>
      <c r="BN37" s="32"/>
      <c r="BO37" s="32"/>
      <c r="BP37" s="32"/>
      <c r="BQ37" s="32"/>
    </row>
    <row r="38">
      <c r="A38" s="32" t="str">
        <f>IFERROR(__xludf.DUMMYFUNCTION("""COMPUTED_VALUE"""),"Bounty Hunter")</f>
        <v>Bounty Hunter</v>
      </c>
      <c r="B38" s="32">
        <f>IFERROR(__xludf.DUMMYFUNCTION("""COMPUTED_VALUE"""),1.0)</f>
        <v>1</v>
      </c>
      <c r="C38" s="32" t="str">
        <f>IFERROR(__xludf.DUMMYFUNCTION("""COMPUTED_VALUE"""),"Better hope you're sorely lacking in a bounty, otherwise these friendly folk are going have a word with you.")</f>
        <v>Better hope you're sorely lacking in a bounty, otherwise these friendly folk are going have a word with you.</v>
      </c>
      <c r="D38" s="32" t="str">
        <f>IFERROR(__xludf.DUMMYFUNCTION("""COMPUTED_VALUE"""),"Humanoid")</f>
        <v>Humanoid</v>
      </c>
      <c r="E38" s="32">
        <f>IFERROR(__xludf.DUMMYFUNCTION("""COMPUTED_VALUE"""),1010.0)</f>
        <v>1010</v>
      </c>
      <c r="F38" s="33">
        <f>IFERROR(__xludf.DUMMYFUNCTION("""COMPUTED_VALUE"""),1010.0)</f>
        <v>1010</v>
      </c>
      <c r="G38" s="32">
        <f>IFERROR(__xludf.DUMMYFUNCTION("""COMPUTED_VALUE"""),1010.0)</f>
        <v>1010</v>
      </c>
      <c r="H38" s="32">
        <f>IFERROR(__xludf.DUMMYFUNCTION("""COMPUTED_VALUE"""),10.0)</f>
        <v>10</v>
      </c>
      <c r="I38" s="32">
        <f>IFERROR(__xludf.DUMMYFUNCTION("""COMPUTED_VALUE"""),15.0)</f>
        <v>15</v>
      </c>
      <c r="J38" s="32">
        <f>IFERROR(__xludf.DUMMYFUNCTION("""COMPUTED_VALUE"""),0.0)</f>
        <v>0</v>
      </c>
      <c r="K38" s="32">
        <f>IFERROR(__xludf.DUMMYFUNCTION("""COMPUTED_VALUE"""),100.0)</f>
        <v>100</v>
      </c>
      <c r="L38" s="32">
        <f>IFERROR(__xludf.DUMMYFUNCTION("""COMPUTED_VALUE"""),100.0)</f>
        <v>100</v>
      </c>
      <c r="M38" s="32" t="str">
        <f>IFERROR(__xludf.DUMMYFUNCTION("""COMPUTED_VALUE"""),"Dark:Immune, Instant Death:immune, Banishment:Immune, Natural:100, ")</f>
        <v>Dark:Immune, Instant Death:immune, Banishment:Immune, Natural:100, </v>
      </c>
      <c r="N38" s="32" t="str">
        <f>IFERROR(__xludf.DUMMYFUNCTION("""COMPUTED_VALUE"""),"Light:100, ")</f>
        <v>Light:100, </v>
      </c>
      <c r="O38" s="32" t="str">
        <f>IFERROR(__xludf.DUMMYFUNCTION("""COMPUTED_VALUE"""),"Royal Guard Helmet")</f>
        <v>Royal Guard Helmet</v>
      </c>
      <c r="P38" s="32" t="str">
        <f>IFERROR(__xludf.DUMMYFUNCTION("""COMPUTED_VALUE"""),"Black Crystal Necklace of Luck")</f>
        <v>Black Crystal Necklace of Luck</v>
      </c>
      <c r="Q38" s="32"/>
      <c r="R38" s="32"/>
      <c r="S38" s="32" t="str">
        <f>IFERROR(__xludf.DUMMYFUNCTION("""COMPUTED_VALUE"""),"Royal Guard Pauldrons")</f>
        <v>Royal Guard Pauldrons</v>
      </c>
      <c r="T38" s="32" t="str">
        <f>IFERROR(__xludf.DUMMYFUNCTION("""COMPUTED_VALUE"""),"Royal Guard Chestplate")</f>
        <v>Royal Guard Chestplate</v>
      </c>
      <c r="U38" s="32" t="str">
        <f>IFERROR(__xludf.DUMMYFUNCTION("""COMPUTED_VALUE"""),"Guard Vambraces")</f>
        <v>Guard Vambraces</v>
      </c>
      <c r="V38" s="32"/>
      <c r="W38" s="32" t="str">
        <f>IFERROR(__xludf.DUMMYFUNCTION("""COMPUTED_VALUE"""),"Guard Sword")</f>
        <v>Guard Sword</v>
      </c>
      <c r="X38" s="32" t="str">
        <f>IFERROR(__xludf.DUMMYFUNCTION("""COMPUTED_VALUE"""),"Ring o’ Luck and Nature")</f>
        <v>Ring o’ Luck and Nature</v>
      </c>
      <c r="Y38" s="32" t="str">
        <f>IFERROR(__xludf.DUMMYFUNCTION("""COMPUTED_VALUE"""),"Ring of the Bonded Undead")</f>
        <v>Ring of the Bonded Undead</v>
      </c>
      <c r="Z38" s="32"/>
      <c r="AA38" s="32"/>
      <c r="AB38" s="32"/>
      <c r="AC38" s="32"/>
      <c r="AD38" s="32"/>
      <c r="AE38" s="32"/>
      <c r="AF38" s="32"/>
      <c r="AG38" s="32"/>
      <c r="AH38" s="32"/>
      <c r="AI38" s="32"/>
      <c r="AJ38" s="32" t="str">
        <f>IFERROR(__xludf.DUMMYFUNCTION("""COMPUTED_VALUE"""),"Arrest")</f>
        <v>Arrest</v>
      </c>
      <c r="AK38" s="32" t="str">
        <f>IFERROR(__xludf.DUMMYFUNCTION("""COMPUTED_VALUE"""),"Strong ward")</f>
        <v>Strong ward</v>
      </c>
      <c r="AL38" s="32" t="str">
        <f>IFERROR(__xludf.DUMMYFUNCTION("""COMPUTED_VALUE"""),"Confiscate (Enhanced)")</f>
        <v>Confiscate (Enhanced)</v>
      </c>
      <c r="AM38" s="32" t="str">
        <f>IFERROR(__xludf.DUMMYFUNCTION("""COMPUTED_VALUE"""),"Max Focus")</f>
        <v>Max Focus</v>
      </c>
      <c r="AN38" s="32" t="str">
        <f>IFERROR(__xludf.DUMMYFUNCTION("""COMPUTED_VALUE"""),"Chaincast")</f>
        <v>Chaincast</v>
      </c>
      <c r="AO38" s="32" t="str">
        <f>IFERROR(__xludf.DUMMYFUNCTION("""COMPUTED_VALUE"""),"Cancel")</f>
        <v>Cancel</v>
      </c>
      <c r="AP38" s="32" t="str">
        <f>IFERROR(__xludf.DUMMYFUNCTION("""COMPUTED_VALUE"""),"Celestial Wrath")</f>
        <v>Celestial Wrath</v>
      </c>
      <c r="AQ38" s="32"/>
      <c r="AR38" s="32"/>
      <c r="AS38" s="32"/>
      <c r="AT38" s="32"/>
      <c r="AU38" s="32"/>
      <c r="AV38" s="32"/>
      <c r="AW38" s="32"/>
      <c r="AX38" s="32"/>
      <c r="AY38" s="32"/>
      <c r="AZ38" s="32"/>
      <c r="BA38" s="32"/>
      <c r="BB38" s="32"/>
      <c r="BC38" s="32"/>
      <c r="BD38" s="32">
        <f>IFERROR(__xludf.DUMMYFUNCTION("""COMPUTED_VALUE"""),15.0)</f>
        <v>15</v>
      </c>
      <c r="BE38" s="32">
        <f>IFERROR(__xludf.DUMMYFUNCTION("""COMPUTED_VALUE"""),15.0)</f>
        <v>15</v>
      </c>
      <c r="BF38" s="32"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32" t="str">
        <f>IFERROR(__xludf.DUMMYFUNCTION("""COMPUTED_VALUE"""),"All")</f>
        <v>All</v>
      </c>
      <c r="BH38" s="32" t="str">
        <f>IFERROR(__xludf.DUMMYFUNCTION("""COMPUTED_VALUE"""),"Land of Spira")</f>
        <v>Land of Spira</v>
      </c>
      <c r="BI38" s="32"/>
      <c r="BJ38" s="32"/>
      <c r="BK38" s="32"/>
      <c r="BL38" s="32" t="b">
        <f>IFERROR(__xludf.DUMMYFUNCTION("""COMPUTED_VALUE"""),FALSE)</f>
        <v>0</v>
      </c>
      <c r="BM38" s="32"/>
      <c r="BN38" s="32"/>
      <c r="BO38" s="32"/>
      <c r="BP38" s="32"/>
      <c r="BQ38" s="32"/>
    </row>
    <row r="39">
      <c r="A39" s="32" t="str">
        <f>IFERROR(__xludf.DUMMYFUNCTION("""COMPUTED_VALUE"""),"Brown Soul")</f>
        <v>Brown Soul</v>
      </c>
      <c r="B39" s="32">
        <f>IFERROR(__xludf.DUMMYFUNCTION("""COMPUTED_VALUE"""),1.0)</f>
        <v>1</v>
      </c>
      <c r="C39" s="3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33" t="str">
        <f>IFERROR(__xludf.DUMMYFUNCTION("""COMPUTED_VALUE"""),"Spirit")</f>
        <v>Spirit</v>
      </c>
      <c r="E39" s="33">
        <f>IFERROR(__xludf.DUMMYFUNCTION("""COMPUTED_VALUE"""),1010.0)</f>
        <v>1010</v>
      </c>
      <c r="F39" s="33">
        <f>IFERROR(__xludf.DUMMYFUNCTION("""COMPUTED_VALUE"""),1010.0)</f>
        <v>1010</v>
      </c>
      <c r="G39" s="33">
        <f>IFERROR(__xludf.DUMMYFUNCTION("""COMPUTED_VALUE"""),1010.0)</f>
        <v>1010</v>
      </c>
      <c r="H39" s="32">
        <f>IFERROR(__xludf.DUMMYFUNCTION("""COMPUTED_VALUE"""),10.0)</f>
        <v>10</v>
      </c>
      <c r="I39" s="32">
        <f>IFERROR(__xludf.DUMMYFUNCTION("""COMPUTED_VALUE"""),0.0)</f>
        <v>0</v>
      </c>
      <c r="J39" s="32">
        <f>IFERROR(__xludf.DUMMYFUNCTION("""COMPUTED_VALUE"""),0.0)</f>
        <v>0</v>
      </c>
      <c r="K39" s="32">
        <f>IFERROR(__xludf.DUMMYFUNCTION("""COMPUTED_VALUE"""),100.0)</f>
        <v>100</v>
      </c>
      <c r="L39" s="32">
        <f>IFERROR(__xludf.DUMMYFUNCTION("""COMPUTED_VALUE"""),100.0)</f>
        <v>100</v>
      </c>
      <c r="M39" s="32" t="str">
        <f>IFERROR(__xludf.DUMMYFUNCTION("""COMPUTED_VALUE"""),"Earth:Immune, Spirit:Immune, ")</f>
        <v>Earth:Immune, Spirit:Immune, </v>
      </c>
      <c r="N39" s="32" t="str">
        <f>IFERROR(__xludf.DUMMYFUNCTION("""COMPUTED_VALUE"""),"Fire:100, Light:100, ")</f>
        <v>Fire:100, Light:100, </v>
      </c>
      <c r="O39" s="32"/>
      <c r="P39" s="32"/>
      <c r="Q39" s="32"/>
      <c r="R39" s="32"/>
      <c r="S39" s="32"/>
      <c r="T39" s="32"/>
      <c r="U39" s="32"/>
      <c r="V39" s="32"/>
      <c r="W39" s="32"/>
      <c r="X39" s="32"/>
      <c r="Y39" s="32"/>
      <c r="Z39" s="32"/>
      <c r="AA39" s="32"/>
      <c r="AB39" s="32"/>
      <c r="AC39" s="32"/>
      <c r="AD39" s="32"/>
      <c r="AE39" s="32"/>
      <c r="AF39" s="32"/>
      <c r="AG39" s="32"/>
      <c r="AH39" s="32"/>
      <c r="AI39" s="32"/>
      <c r="AJ39" s="32" t="str">
        <f>IFERROR(__xludf.DUMMYFUNCTION("""COMPUTED_VALUE"""),"A Deal With The Spirit World")</f>
        <v>A Deal With The Spirit World</v>
      </c>
      <c r="AK39" s="32" t="str">
        <f>IFERROR(__xludf.DUMMYFUNCTION("""COMPUTED_VALUE"""),"Final Blast")</f>
        <v>Final Blast</v>
      </c>
      <c r="AL39" s="32" t="str">
        <f>IFERROR(__xludf.DUMMYFUNCTION("""COMPUTED_VALUE"""),"Soul Shot")</f>
        <v>Soul Shot</v>
      </c>
      <c r="AM39" s="32" t="str">
        <f>IFERROR(__xludf.DUMMYFUNCTION("""COMPUTED_VALUE"""),"Final Rest")</f>
        <v>Final Rest</v>
      </c>
      <c r="AN39" s="32" t="str">
        <f>IFERROR(__xludf.DUMMYFUNCTION("""COMPUTED_VALUE"""),"Soul Trap")</f>
        <v>Soul Trap</v>
      </c>
      <c r="AO39" s="32" t="str">
        <f>IFERROR(__xludf.DUMMYFUNCTION("""COMPUTED_VALUE"""),"Possession")</f>
        <v>Possession</v>
      </c>
      <c r="AP39" s="32" t="str">
        <f>IFERROR(__xludf.DUMMYFUNCTION("""COMPUTED_VALUE"""),"Confuse")</f>
        <v>Confuse</v>
      </c>
      <c r="AQ39" s="32"/>
      <c r="AR39" s="32"/>
      <c r="AS39" s="32"/>
      <c r="AT39" s="32"/>
      <c r="AU39" s="32"/>
      <c r="AV39" s="32"/>
      <c r="AW39" s="32"/>
      <c r="AX39" s="32"/>
      <c r="AY39" s="32"/>
      <c r="AZ39" s="32"/>
      <c r="BA39" s="32"/>
      <c r="BB39" s="32"/>
      <c r="BC39" s="32"/>
      <c r="BD39" s="32">
        <f>IFERROR(__xludf.DUMMYFUNCTION("""COMPUTED_VALUE"""),0.0)</f>
        <v>0</v>
      </c>
      <c r="BE39" s="32">
        <f>IFERROR(__xludf.DUMMYFUNCTION("""COMPUTED_VALUE"""),10.0)</f>
        <v>10</v>
      </c>
      <c r="BF39" s="32"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32" t="str">
        <f>IFERROR(__xludf.DUMMYFUNCTION("""COMPUTED_VALUE"""),"All")</f>
        <v>All</v>
      </c>
      <c r="BH39" s="32" t="str">
        <f>IFERROR(__xludf.DUMMYFUNCTION("""COMPUTED_VALUE"""),"Abstara")</f>
        <v>Abstara</v>
      </c>
      <c r="BI39" s="32"/>
      <c r="BJ39" s="32"/>
      <c r="BK39" s="32"/>
      <c r="BL39" s="32" t="b">
        <f>IFERROR(__xludf.DUMMYFUNCTION("""COMPUTED_VALUE"""),FALSE)</f>
        <v>0</v>
      </c>
      <c r="BM39" s="32"/>
      <c r="BN39" s="32"/>
      <c r="BO39" s="32"/>
      <c r="BP39" s="32"/>
      <c r="BQ39" s="32"/>
    </row>
    <row r="40">
      <c r="A40" s="32" t="str">
        <f>IFERROR(__xludf.DUMMYFUNCTION("""COMPUTED_VALUE"""),"Bull")</f>
        <v>Bull</v>
      </c>
      <c r="B40" s="32">
        <f>IFERROR(__xludf.DUMMYFUNCTION("""COMPUTED_VALUE"""),1.0)</f>
        <v>1</v>
      </c>
      <c r="C40" s="32" t="str">
        <f>IFERROR(__xludf.DUMMYFUNCTION("""COMPUTED_VALUE"""),"Seems like someone hasn't been keeping up with their sayings, time for the horns then.")</f>
        <v>Seems like someone hasn't been keeping up with their sayings, time for the horns then.</v>
      </c>
      <c r="D40" s="33" t="str">
        <f>IFERROR(__xludf.DUMMYFUNCTION("""COMPUTED_VALUE"""),"Beast")</f>
        <v>Beast</v>
      </c>
      <c r="E40" s="33">
        <f>IFERROR(__xludf.DUMMYFUNCTION("""COMPUTED_VALUE"""),31010.0)</f>
        <v>31010</v>
      </c>
      <c r="F40" s="33">
        <f>IFERROR(__xludf.DUMMYFUNCTION("""COMPUTED_VALUE"""),1010.0)</f>
        <v>1010</v>
      </c>
      <c r="G40" s="33">
        <f>IFERROR(__xludf.DUMMYFUNCTION("""COMPUTED_VALUE"""),1010.0)</f>
        <v>1010</v>
      </c>
      <c r="H40" s="32">
        <f>IFERROR(__xludf.DUMMYFUNCTION("""COMPUTED_VALUE"""),10.0)</f>
        <v>10</v>
      </c>
      <c r="I40" s="32">
        <f>IFERROR(__xludf.DUMMYFUNCTION("""COMPUTED_VALUE"""),0.0)</f>
        <v>0</v>
      </c>
      <c r="J40" s="32">
        <f>IFERROR(__xludf.DUMMYFUNCTION("""COMPUTED_VALUE"""),0.0)</f>
        <v>0</v>
      </c>
      <c r="K40" s="32">
        <f>IFERROR(__xludf.DUMMYFUNCTION("""COMPUTED_VALUE"""),100.0)</f>
        <v>100</v>
      </c>
      <c r="L40" s="32">
        <f>IFERROR(__xludf.DUMMYFUNCTION("""COMPUTED_VALUE"""),100.0)</f>
        <v>100</v>
      </c>
      <c r="M40" s="32" t="str">
        <f>IFERROR(__xludf.DUMMYFUNCTION("""COMPUTED_VALUE"""),"")</f>
        <v/>
      </c>
      <c r="N40" s="32" t="str">
        <f>IFERROR(__xludf.DUMMYFUNCTION("""COMPUTED_VALUE"""),"")</f>
        <v/>
      </c>
      <c r="O40" s="32"/>
      <c r="P40" s="32"/>
      <c r="Q40" s="32"/>
      <c r="R40" s="32"/>
      <c r="S40" s="32"/>
      <c r="T40" s="32"/>
      <c r="U40" s="32"/>
      <c r="V40" s="32"/>
      <c r="W40" s="32"/>
      <c r="X40" s="32"/>
      <c r="Y40" s="32"/>
      <c r="Z40" s="32"/>
      <c r="AA40" s="32"/>
      <c r="AB40" s="32"/>
      <c r="AC40" s="32"/>
      <c r="AD40" s="32"/>
      <c r="AE40" s="32"/>
      <c r="AF40" s="32"/>
      <c r="AG40" s="32"/>
      <c r="AH40" s="32"/>
      <c r="AI40" s="32"/>
      <c r="AJ40" s="32" t="str">
        <f>IFERROR(__xludf.DUMMYFUNCTION("""COMPUTED_VALUE"""),"Horns")</f>
        <v>Horns</v>
      </c>
      <c r="AK40" s="32" t="str">
        <f>IFERROR(__xludf.DUMMYFUNCTION("""COMPUTED_VALUE"""),"Charge")</f>
        <v>Charge</v>
      </c>
      <c r="AL40" s="32" t="str">
        <f>IFERROR(__xludf.DUMMYFUNCTION("""COMPUTED_VALUE"""),"Heighten reflexes")</f>
        <v>Heighten reflexes</v>
      </c>
      <c r="AM40" s="32" t="str">
        <f>IFERROR(__xludf.DUMMYFUNCTION("""COMPUTED_VALUE"""),"Taunt")</f>
        <v>Taunt</v>
      </c>
      <c r="AN40" s="32" t="str">
        <f>IFERROR(__xludf.DUMMYFUNCTION("""COMPUTED_VALUE"""),"Bite")</f>
        <v>Bite</v>
      </c>
      <c r="AO40" s="32"/>
      <c r="AP40" s="32"/>
      <c r="AQ40" s="32"/>
      <c r="AR40" s="32"/>
      <c r="AS40" s="32"/>
      <c r="AT40" s="32"/>
      <c r="AU40" s="32"/>
      <c r="AV40" s="32"/>
      <c r="AW40" s="32"/>
      <c r="AX40" s="32"/>
      <c r="AY40" s="32"/>
      <c r="AZ40" s="32"/>
      <c r="BA40" s="32"/>
      <c r="BB40" s="32"/>
      <c r="BC40" s="32"/>
      <c r="BD40" s="32">
        <f>IFERROR(__xludf.DUMMYFUNCTION("""COMPUTED_VALUE"""),0.0)</f>
        <v>0</v>
      </c>
      <c r="BE40" s="32">
        <f>IFERROR(__xludf.DUMMYFUNCTION("""COMPUTED_VALUE"""),10.0)</f>
        <v>10</v>
      </c>
      <c r="BF40" s="32"/>
      <c r="BG40" s="32" t="str">
        <f>IFERROR(__xludf.DUMMYFUNCTION("""COMPUTED_VALUE"""),"Plains")</f>
        <v>Plains</v>
      </c>
      <c r="BH40" s="32" t="str">
        <f>IFERROR(__xludf.DUMMYFUNCTION("""COMPUTED_VALUE"""),"Land Of Spira")</f>
        <v>Land Of Spira</v>
      </c>
      <c r="BI40" s="32"/>
      <c r="BJ40" s="32"/>
      <c r="BK40" s="32"/>
      <c r="BL40" s="32" t="b">
        <f>IFERROR(__xludf.DUMMYFUNCTION("""COMPUTED_VALUE"""),FALSE)</f>
        <v>0</v>
      </c>
      <c r="BM40" s="32"/>
      <c r="BN40" s="32"/>
      <c r="BO40" s="32"/>
      <c r="BP40" s="32"/>
      <c r="BQ40" s="32"/>
    </row>
    <row r="41">
      <c r="A41" s="32" t="str">
        <f>IFERROR(__xludf.DUMMYFUNCTION("""COMPUTED_VALUE"""),"Celestial Dragon")</f>
        <v>Celestial Dragon</v>
      </c>
      <c r="B41" s="32">
        <f>IFERROR(__xludf.DUMMYFUNCTION("""COMPUTED_VALUE"""),1.0)</f>
        <v>1</v>
      </c>
      <c r="C41" s="32" t="str">
        <f>IFERROR(__xludf.DUMMYFUNCTION("""COMPUTED_VALUE"""),"A dragon made out of pure celestial power, and you went and pissed it off.")</f>
        <v>A dragon made out of pure celestial power, and you went and pissed it off.</v>
      </c>
      <c r="D41" s="32" t="str">
        <f>IFERROR(__xludf.DUMMYFUNCTION("""COMPUTED_VALUE"""),"Draconic")</f>
        <v>Draconic</v>
      </c>
      <c r="E41" s="32">
        <f>IFERROR(__xludf.DUMMYFUNCTION("""COMPUTED_VALUE"""),1010.0)</f>
        <v>1010</v>
      </c>
      <c r="F41" s="33">
        <f>IFERROR(__xludf.DUMMYFUNCTION("""COMPUTED_VALUE"""),31010.0)</f>
        <v>31010</v>
      </c>
      <c r="G41" s="32">
        <f>IFERROR(__xludf.DUMMYFUNCTION("""COMPUTED_VALUE"""),1010.0)</f>
        <v>1010</v>
      </c>
      <c r="H41" s="32">
        <f>IFERROR(__xludf.DUMMYFUNCTION("""COMPUTED_VALUE"""),10.0)</f>
        <v>10</v>
      </c>
      <c r="I41" s="32">
        <f>IFERROR(__xludf.DUMMYFUNCTION("""COMPUTED_VALUE"""),20.0)</f>
        <v>20</v>
      </c>
      <c r="J41" s="32">
        <f>IFERROR(__xludf.DUMMYFUNCTION("""COMPUTED_VALUE"""),0.0)</f>
        <v>0</v>
      </c>
      <c r="K41" s="32">
        <f>IFERROR(__xludf.DUMMYFUNCTION("""COMPUTED_VALUE"""),100.0)</f>
        <v>100</v>
      </c>
      <c r="L41" s="32">
        <f>IFERROR(__xludf.DUMMYFUNCTION("""COMPUTED_VALUE"""),100.0)</f>
        <v>100</v>
      </c>
      <c r="M41" s="32" t="str">
        <f>IFERROR(__xludf.DUMMYFUNCTION("""COMPUTED_VALUE"""),"Celestial:Immune, Instant Death:Immune, Banishment:Immune, ")</f>
        <v>Celestial:Immune, Instant Death:Immune, Banishment:Immune, </v>
      </c>
      <c r="N41" s="32" t="str">
        <f>IFERROR(__xludf.DUMMYFUNCTION("""COMPUTED_VALUE"""),"Astral:100, ")</f>
        <v>Astral:100, </v>
      </c>
      <c r="O41" s="32"/>
      <c r="P41" s="32"/>
      <c r="Q41" s="32"/>
      <c r="R41" s="32"/>
      <c r="S41" s="32"/>
      <c r="T41" s="32"/>
      <c r="U41" s="32"/>
      <c r="V41" s="32"/>
      <c r="W41" s="32"/>
      <c r="X41" s="32"/>
      <c r="Y41" s="32"/>
      <c r="Z41" s="32"/>
      <c r="AA41" s="32"/>
      <c r="AB41" s="32"/>
      <c r="AC41" s="32"/>
      <c r="AD41" s="32"/>
      <c r="AE41" s="32"/>
      <c r="AF41" s="32"/>
      <c r="AG41" s="32"/>
      <c r="AH41" s="32"/>
      <c r="AI41" s="32"/>
      <c r="AJ41" s="32" t="str">
        <f>IFERROR(__xludf.DUMMYFUNCTION("""COMPUTED_VALUE"""),"Dragon's Breath")</f>
        <v>Dragon's Breath</v>
      </c>
      <c r="AK41" s="32" t="str">
        <f>IFERROR(__xludf.DUMMYFUNCTION("""COMPUTED_VALUE"""),"Bite")</f>
        <v>Bite</v>
      </c>
      <c r="AL41" s="32" t="str">
        <f>IFERROR(__xludf.DUMMYFUNCTION("""COMPUTED_VALUE"""),"Tail Smash")</f>
        <v>Tail Smash</v>
      </c>
      <c r="AM41" s="32" t="str">
        <f>IFERROR(__xludf.DUMMYFUNCTION("""COMPUTED_VALUE"""),"Claws")</f>
        <v>Claws</v>
      </c>
      <c r="AN41" s="32" t="str">
        <f>IFERROR(__xludf.DUMMYFUNCTION("""COMPUTED_VALUE"""),"Berserk")</f>
        <v>Berserk</v>
      </c>
      <c r="AO41" s="32" t="str">
        <f>IFERROR(__xludf.DUMMYFUNCTION("""COMPUTED_VALUE"""),"Multishot")</f>
        <v>Multishot</v>
      </c>
      <c r="AP41" s="32" t="str">
        <f>IFERROR(__xludf.DUMMYFUNCTION("""COMPUTED_VALUE"""),"Draconic Scream")</f>
        <v>Draconic Scream</v>
      </c>
      <c r="AQ41" s="32" t="str">
        <f>IFERROR(__xludf.DUMMYFUNCTION("""COMPUTED_VALUE"""),"Mass Destruction")</f>
        <v>Mass Destruction</v>
      </c>
      <c r="AR41" s="32" t="str">
        <f>IFERROR(__xludf.DUMMYFUNCTION("""COMPUTED_VALUE"""),"Vaporize")</f>
        <v>Vaporize</v>
      </c>
      <c r="AS41" s="32" t="str">
        <f>IFERROR(__xludf.DUMMYFUNCTION("""COMPUTED_VALUE"""),"Celestial Wrath")</f>
        <v>Celestial Wrath</v>
      </c>
      <c r="AT41" s="32"/>
      <c r="AU41" s="32"/>
      <c r="AV41" s="32"/>
      <c r="AW41" s="32"/>
      <c r="AX41" s="32"/>
      <c r="AY41" s="32"/>
      <c r="AZ41" s="32"/>
      <c r="BA41" s="32"/>
      <c r="BB41" s="32"/>
      <c r="BC41" s="32"/>
      <c r="BD41" s="32">
        <f>IFERROR(__xludf.DUMMYFUNCTION("""COMPUTED_VALUE"""),0.0)</f>
        <v>0</v>
      </c>
      <c r="BE41" s="32">
        <f>IFERROR(__xludf.DUMMYFUNCTION("""COMPUTED_VALUE"""),10.0)</f>
        <v>10</v>
      </c>
      <c r="BF41"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32" t="str">
        <f>IFERROR(__xludf.DUMMYFUNCTION("""COMPUTED_VALUE"""),"All")</f>
        <v>All</v>
      </c>
      <c r="BH41" s="32" t="str">
        <f>IFERROR(__xludf.DUMMYFUNCTION("""COMPUTED_VALUE"""),"Dragonscale Island")</f>
        <v>Dragonscale Island</v>
      </c>
      <c r="BI41" s="32"/>
      <c r="BJ41" s="32"/>
      <c r="BK41" s="32"/>
      <c r="BL41" s="32" t="b">
        <f>IFERROR(__xludf.DUMMYFUNCTION("""COMPUTED_VALUE"""),FALSE)</f>
        <v>0</v>
      </c>
      <c r="BM41" s="32"/>
      <c r="BN41" s="32"/>
      <c r="BO41" s="32"/>
      <c r="BP41" s="32"/>
      <c r="BQ41" s="32"/>
    </row>
    <row r="42">
      <c r="A42" s="32" t="str">
        <f>IFERROR(__xludf.DUMMYFUNCTION("""COMPUTED_VALUE"""),"Cerberus Gatekeeper of Souls")</f>
        <v>Cerberus Gatekeeper of Souls</v>
      </c>
      <c r="B42" s="32">
        <f>IFERROR(__xludf.DUMMYFUNCTION("""COMPUTED_VALUE"""),1.0)</f>
        <v>1</v>
      </c>
      <c r="C42" s="32" t="str">
        <f>IFERROR(__xludf.DUMMYFUNCTION("""COMPUTED_VALUE"""),"What's better than one dog? Three, that hades guy has good taste.")</f>
        <v>What's better than one dog? Three, that hades guy has good taste.</v>
      </c>
      <c r="D42" s="33" t="str">
        <f>IFERROR(__xludf.DUMMYFUNCTION("""COMPUTED_VALUE"""),"Demonic")</f>
        <v>Demonic</v>
      </c>
      <c r="E42" s="33">
        <f>IFERROR(__xludf.DUMMYFUNCTION("""COMPUTED_VALUE"""),1010.0)</f>
        <v>1010</v>
      </c>
      <c r="F42" s="33">
        <f>IFERROR(__xludf.DUMMYFUNCTION("""COMPUTED_VALUE"""),1010.0)</f>
        <v>1010</v>
      </c>
      <c r="G42" s="33">
        <f>IFERROR(__xludf.DUMMYFUNCTION("""COMPUTED_VALUE"""),1010.0)</f>
        <v>1010</v>
      </c>
      <c r="H42" s="32">
        <f>IFERROR(__xludf.DUMMYFUNCTION("""COMPUTED_VALUE"""),10.0)</f>
        <v>10</v>
      </c>
      <c r="I42" s="32">
        <f>IFERROR(__xludf.DUMMYFUNCTION("""COMPUTED_VALUE"""),0.0)</f>
        <v>0</v>
      </c>
      <c r="J42" s="32">
        <f>IFERROR(__xludf.DUMMYFUNCTION("""COMPUTED_VALUE"""),0.0)</f>
        <v>0</v>
      </c>
      <c r="K42" s="32">
        <f>IFERROR(__xludf.DUMMYFUNCTION("""COMPUTED_VALUE"""),100.0)</f>
        <v>100</v>
      </c>
      <c r="L42" s="32">
        <f>IFERROR(__xludf.DUMMYFUNCTION("""COMPUTED_VALUE"""),100.0)</f>
        <v>100</v>
      </c>
      <c r="M42" s="32" t="str">
        <f>IFERROR(__xludf.DUMMYFUNCTION("""COMPUTED_VALUE"""),"Fire:Immune, Dark:Immune, Chaos:Immune, Voodoo:Immune, Instant Death:Immune, Banishment:Immune, ")</f>
        <v>Fire:Immune, Dark:Immune, Chaos:Immune, Voodoo:Immune, Instant Death:Immune, Banishment:Immune, </v>
      </c>
      <c r="N42" s="32" t="str">
        <f>IFERROR(__xludf.DUMMYFUNCTION("""COMPUTED_VALUE"""),"Light:100, Order:100, ")</f>
        <v>Light:100, Order:100, </v>
      </c>
      <c r="O42" s="32"/>
      <c r="P42" s="32"/>
      <c r="Q42" s="32"/>
      <c r="R42" s="32"/>
      <c r="S42" s="32"/>
      <c r="T42" s="32"/>
      <c r="U42" s="32"/>
      <c r="V42" s="32"/>
      <c r="W42" s="32"/>
      <c r="X42" s="32"/>
      <c r="Y42" s="32"/>
      <c r="Z42" s="32"/>
      <c r="AA42" s="32"/>
      <c r="AB42" s="32"/>
      <c r="AC42" s="32"/>
      <c r="AD42" s="32"/>
      <c r="AE42" s="32"/>
      <c r="AF42" s="32"/>
      <c r="AG42" s="32"/>
      <c r="AH42" s="32"/>
      <c r="AI42" s="32"/>
      <c r="AJ42" s="32" t="str">
        <f>IFERROR(__xludf.DUMMYFUNCTION("""COMPUTED_VALUE"""),"Chaincast")</f>
        <v>Chaincast</v>
      </c>
      <c r="AK42" s="32" t="str">
        <f>IFERROR(__xludf.DUMMYFUNCTION("""COMPUTED_VALUE"""),"Big Chomping Souls")</f>
        <v>Big Chomping Souls</v>
      </c>
      <c r="AL42" s="32" t="str">
        <f>IFERROR(__xludf.DUMMYFUNCTION("""COMPUTED_VALUE"""),"Soul Trap")</f>
        <v>Soul Trap</v>
      </c>
      <c r="AM42" s="32" t="str">
        <f>IFERROR(__xludf.DUMMYFUNCTION("""COMPUTED_VALUE"""),"Volcanic Rain")</f>
        <v>Volcanic Rain</v>
      </c>
      <c r="AN42" s="32" t="str">
        <f>IFERROR(__xludf.DUMMYFUNCTION("""COMPUTED_VALUE"""),"Lucifer's Flames Of Damned Nation")</f>
        <v>Lucifer's Flames Of Damned Nation</v>
      </c>
      <c r="AO42" s="32" t="str">
        <f>IFERROR(__xludf.DUMMYFUNCTION("""COMPUTED_VALUE"""),"Dimensional Quake")</f>
        <v>Dimensional Quake</v>
      </c>
      <c r="AP42" s="32" t="str">
        <f>IFERROR(__xludf.DUMMYFUNCTION("""COMPUTED_VALUE"""),"Chaotic Shadow Slam")</f>
        <v>Chaotic Shadow Slam</v>
      </c>
      <c r="AQ42" s="32" t="str">
        <f>IFERROR(__xludf.DUMMYFUNCTION("""COMPUTED_VALUE"""),"Berserk")</f>
        <v>Berserk</v>
      </c>
      <c r="AR42" s="32" t="str">
        <f>IFERROR(__xludf.DUMMYFUNCTION("""COMPUTED_VALUE"""),"Celestial Strike")</f>
        <v>Celestial Strike</v>
      </c>
      <c r="AS42" s="32" t="str">
        <f>IFERROR(__xludf.DUMMYFUNCTION("""COMPUTED_VALUE"""),"Mass Destruction")</f>
        <v>Mass Destruction</v>
      </c>
      <c r="AT42" s="32" t="str">
        <f>IFERROR(__xludf.DUMMYFUNCTION("""COMPUTED_VALUE"""),"Banish")</f>
        <v>Banish</v>
      </c>
      <c r="AU42" s="32" t="str">
        <f>IFERROR(__xludf.DUMMYFUNCTION("""COMPUTED_VALUE"""),"Bite")</f>
        <v>Bite</v>
      </c>
      <c r="AV42" s="32"/>
      <c r="AW42" s="32"/>
      <c r="AX42" s="32"/>
      <c r="AY42" s="32"/>
      <c r="AZ42" s="32"/>
      <c r="BA42" s="32"/>
      <c r="BB42" s="32"/>
      <c r="BC42" s="32"/>
      <c r="BD42" s="32">
        <f>IFERROR(__xludf.DUMMYFUNCTION("""COMPUTED_VALUE"""),0.0)</f>
        <v>0</v>
      </c>
      <c r="BE42" s="32">
        <f>IFERROR(__xludf.DUMMYFUNCTION("""COMPUTED_VALUE"""),10.0)</f>
        <v>10</v>
      </c>
      <c r="BF42" s="32"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32" t="str">
        <f>IFERROR(__xludf.DUMMYFUNCTION("""COMPUTED_VALUE"""),"Quest")</f>
        <v>Quest</v>
      </c>
      <c r="BH42" s="32" t="str">
        <f>IFERROR(__xludf.DUMMYFUNCTION("""COMPUTED_VALUE"""),"Abstara")</f>
        <v>Abstara</v>
      </c>
      <c r="BI42" s="32"/>
      <c r="BJ42" s="32"/>
      <c r="BK42" s="32"/>
      <c r="BL42" s="32" t="b">
        <f>IFERROR(__xludf.DUMMYFUNCTION("""COMPUTED_VALUE"""),FALSE)</f>
        <v>0</v>
      </c>
      <c r="BM42" s="32"/>
      <c r="BN42" s="32"/>
      <c r="BO42" s="32"/>
      <c r="BP42" s="32"/>
      <c r="BQ42" s="32"/>
    </row>
    <row r="43">
      <c r="A43" s="32" t="str">
        <f>IFERROR(__xludf.DUMMYFUNCTION("""COMPUTED_VALUE"""),"Chaos Dragon")</f>
        <v>Chaos Dragon</v>
      </c>
      <c r="B43" s="32">
        <f>IFERROR(__xludf.DUMMYFUNCTION("""COMPUTED_VALUE"""),1.0)</f>
        <v>1</v>
      </c>
      <c r="C43" s="32" t="str">
        <f>IFERROR(__xludf.DUMMYFUNCTION("""COMPUTED_VALUE"""),"This Dragon has a penchant for stealing, try not to let it steal your life.")</f>
        <v>This Dragon has a penchant for stealing, try not to let it steal your life.</v>
      </c>
      <c r="D43" s="33" t="str">
        <f>IFERROR(__xludf.DUMMYFUNCTION("""COMPUTED_VALUE"""),"Draconic")</f>
        <v>Draconic</v>
      </c>
      <c r="E43" s="33">
        <f>IFERROR(__xludf.DUMMYFUNCTION("""COMPUTED_VALUE"""),1010.0)</f>
        <v>1010</v>
      </c>
      <c r="F43" s="33">
        <f>IFERROR(__xludf.DUMMYFUNCTION("""COMPUTED_VALUE"""),31010.0)</f>
        <v>31010</v>
      </c>
      <c r="G43" s="33">
        <f>IFERROR(__xludf.DUMMYFUNCTION("""COMPUTED_VALUE"""),1010.0)</f>
        <v>1010</v>
      </c>
      <c r="H43" s="32">
        <f>IFERROR(__xludf.DUMMYFUNCTION("""COMPUTED_VALUE"""),10.0)</f>
        <v>10</v>
      </c>
      <c r="I43" s="32">
        <f>IFERROR(__xludf.DUMMYFUNCTION("""COMPUTED_VALUE"""),0.0)</f>
        <v>0</v>
      </c>
      <c r="J43" s="32">
        <f>IFERROR(__xludf.DUMMYFUNCTION("""COMPUTED_VALUE"""),0.0)</f>
        <v>0</v>
      </c>
      <c r="K43" s="32">
        <f>IFERROR(__xludf.DUMMYFUNCTION("""COMPUTED_VALUE"""),100.0)</f>
        <v>100</v>
      </c>
      <c r="L43" s="32">
        <f>IFERROR(__xludf.DUMMYFUNCTION("""COMPUTED_VALUE"""),100.0)</f>
        <v>100</v>
      </c>
      <c r="M43" s="32" t="str">
        <f>IFERROR(__xludf.DUMMYFUNCTION("""COMPUTED_VALUE"""),"Chaos:Immune, Instant Death:Immune, Banishment:Immune, ")</f>
        <v>Chaos:Immune, Instant Death:Immune, Banishment:Immune, </v>
      </c>
      <c r="N43" s="32" t="str">
        <f>IFERROR(__xludf.DUMMYFUNCTION("""COMPUTED_VALUE"""),"Order:100, ")</f>
        <v>Order:100, </v>
      </c>
      <c r="O43" s="32"/>
      <c r="P43" s="32"/>
      <c r="Q43" s="32"/>
      <c r="R43" s="32"/>
      <c r="S43" s="32"/>
      <c r="T43" s="32"/>
      <c r="U43" s="32"/>
      <c r="V43" s="32"/>
      <c r="W43" s="32"/>
      <c r="X43" s="32"/>
      <c r="Y43" s="32"/>
      <c r="Z43" s="32"/>
      <c r="AA43" s="32"/>
      <c r="AB43" s="32"/>
      <c r="AC43" s="32"/>
      <c r="AD43" s="32"/>
      <c r="AE43" s="32"/>
      <c r="AF43" s="32"/>
      <c r="AG43" s="32"/>
      <c r="AH43" s="32"/>
      <c r="AI43" s="32"/>
      <c r="AJ43" s="32" t="str">
        <f>IFERROR(__xludf.DUMMYFUNCTION("""COMPUTED_VALUE"""),"Dragon's Breath")</f>
        <v>Dragon's Breath</v>
      </c>
      <c r="AK43" s="32" t="str">
        <f>IFERROR(__xludf.DUMMYFUNCTION("""COMPUTED_VALUE"""),"Bite")</f>
        <v>Bite</v>
      </c>
      <c r="AL43" s="32" t="str">
        <f>IFERROR(__xludf.DUMMYFUNCTION("""COMPUTED_VALUE"""),"Tail Smash")</f>
        <v>Tail Smash</v>
      </c>
      <c r="AM43" s="32" t="str">
        <f>IFERROR(__xludf.DUMMYFUNCTION("""COMPUTED_VALUE"""),"Claws")</f>
        <v>Claws</v>
      </c>
      <c r="AN43" s="32" t="str">
        <f>IFERROR(__xludf.DUMMYFUNCTION("""COMPUTED_VALUE"""),"Berserk")</f>
        <v>Berserk</v>
      </c>
      <c r="AO43" s="32" t="str">
        <f>IFERROR(__xludf.DUMMYFUNCTION("""COMPUTED_VALUE"""),"Multishot")</f>
        <v>Multishot</v>
      </c>
      <c r="AP43" s="32" t="str">
        <f>IFERROR(__xludf.DUMMYFUNCTION("""COMPUTED_VALUE"""),"Draconic Scream")</f>
        <v>Draconic Scream</v>
      </c>
      <c r="AQ43" s="32" t="str">
        <f>IFERROR(__xludf.DUMMYFUNCTION("""COMPUTED_VALUE"""),"Chaos Ward")</f>
        <v>Chaos Ward</v>
      </c>
      <c r="AR43" s="32" t="str">
        <f>IFERROR(__xludf.DUMMYFUNCTION("""COMPUTED_VALUE"""),"Shatter")</f>
        <v>Shatter</v>
      </c>
      <c r="AS43" s="32" t="str">
        <f>IFERROR(__xludf.DUMMYFUNCTION("""COMPUTED_VALUE"""),"Dimensional Quake")</f>
        <v>Dimensional Quake</v>
      </c>
      <c r="AT43" s="32" t="str">
        <f>IFERROR(__xludf.DUMMYFUNCTION("""COMPUTED_VALUE"""),"Dimension Portal")</f>
        <v>Dimension Portal</v>
      </c>
      <c r="AU43" s="32" t="str">
        <f>IFERROR(__xludf.DUMMYFUNCTION("""COMPUTED_VALUE"""),"Damage With A Cost.")</f>
        <v>Damage With A Cost.</v>
      </c>
      <c r="AV43" s="32" t="str">
        <f>IFERROR(__xludf.DUMMYFUNCTION("""COMPUTED_VALUE"""),"Swallow")</f>
        <v>Swallow</v>
      </c>
      <c r="AW43" s="32" t="str">
        <f>IFERROR(__xludf.DUMMYFUNCTION("""COMPUTED_VALUE"""),"Celestial Wrath")</f>
        <v>Celestial Wrath</v>
      </c>
      <c r="AX43" s="32"/>
      <c r="AY43" s="32"/>
      <c r="AZ43" s="32"/>
      <c r="BA43" s="32"/>
      <c r="BB43" s="32"/>
      <c r="BC43" s="32"/>
      <c r="BD43" s="32">
        <f>IFERROR(__xludf.DUMMYFUNCTION("""COMPUTED_VALUE"""),0.0)</f>
        <v>0</v>
      </c>
      <c r="BE43" s="32">
        <f>IFERROR(__xludf.DUMMYFUNCTION("""COMPUTED_VALUE"""),10.0)</f>
        <v>10</v>
      </c>
      <c r="BF43"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32" t="str">
        <f>IFERROR(__xludf.DUMMYFUNCTION("""COMPUTED_VALUE"""),"All")</f>
        <v>All</v>
      </c>
      <c r="BH43" s="32" t="str">
        <f>IFERROR(__xludf.DUMMYFUNCTION("""COMPUTED_VALUE"""),"Dragonscale Island")</f>
        <v>Dragonscale Island</v>
      </c>
      <c r="BI43" s="32"/>
      <c r="BJ43" s="32"/>
      <c r="BK43" s="32"/>
      <c r="BL43" s="32" t="b">
        <f>IFERROR(__xludf.DUMMYFUNCTION("""COMPUTED_VALUE"""),FALSE)</f>
        <v>0</v>
      </c>
      <c r="BM43" s="32"/>
      <c r="BN43" s="32"/>
      <c r="BO43" s="32"/>
      <c r="BP43" s="32"/>
      <c r="BQ43" s="32"/>
    </row>
    <row r="44">
      <c r="A44" s="32" t="str">
        <f>IFERROR(__xludf.DUMMYFUNCTION("""COMPUTED_VALUE"""),"Chaotic Shadow Gnome")</f>
        <v>Chaotic Shadow Gnome</v>
      </c>
      <c r="B44" s="32">
        <f>IFERROR(__xludf.DUMMYFUNCTION("""COMPUTED_VALUE"""),1.0)</f>
        <v>1</v>
      </c>
      <c r="C44" s="32" t="str">
        <f>IFERROR(__xludf.DUMMYFUNCTION("""COMPUTED_VALUE"""),"Not even able to be considered a threat, and they're too dumb to notice that.")</f>
        <v>Not even able to be considered a threat, and they're too dumb to notice that.</v>
      </c>
      <c r="D44" s="33" t="str">
        <f>IFERROR(__xludf.DUMMYFUNCTION("""COMPUTED_VALUE"""),"Fae")</f>
        <v>Fae</v>
      </c>
      <c r="E44" s="33">
        <f>IFERROR(__xludf.DUMMYFUNCTION("""COMPUTED_VALUE"""),1010.0)</f>
        <v>1010</v>
      </c>
      <c r="F44" s="33">
        <f>IFERROR(__xludf.DUMMYFUNCTION("""COMPUTED_VALUE"""),1010.0)</f>
        <v>1010</v>
      </c>
      <c r="G44" s="33">
        <f>IFERROR(__xludf.DUMMYFUNCTION("""COMPUTED_VALUE"""),1010.0)</f>
        <v>1010</v>
      </c>
      <c r="H44" s="32">
        <f>IFERROR(__xludf.DUMMYFUNCTION("""COMPUTED_VALUE"""),10.0)</f>
        <v>10</v>
      </c>
      <c r="I44" s="32">
        <f>IFERROR(__xludf.DUMMYFUNCTION("""COMPUTED_VALUE"""),0.0)</f>
        <v>0</v>
      </c>
      <c r="J44" s="32">
        <f>IFERROR(__xludf.DUMMYFUNCTION("""COMPUTED_VALUE"""),0.0)</f>
        <v>0</v>
      </c>
      <c r="K44" s="32">
        <f>IFERROR(__xludf.DUMMYFUNCTION("""COMPUTED_VALUE"""),100.0)</f>
        <v>100</v>
      </c>
      <c r="L44" s="32">
        <f>IFERROR(__xludf.DUMMYFUNCTION("""COMPUTED_VALUE"""),100.0)</f>
        <v>100</v>
      </c>
      <c r="M44" s="32" t="str">
        <f>IFERROR(__xludf.DUMMYFUNCTION("""COMPUTED_VALUE"""),"Dark:100, Chaos:100, ")</f>
        <v>Dark:100, Chaos:100, </v>
      </c>
      <c r="N44" s="32" t="str">
        <f>IFERROR(__xludf.DUMMYFUNCTION("""COMPUTED_VALUE"""),"")</f>
        <v/>
      </c>
      <c r="O44" s="32"/>
      <c r="P44" s="32"/>
      <c r="Q44" s="32"/>
      <c r="R44" s="32"/>
      <c r="S44" s="32"/>
      <c r="T44" s="32"/>
      <c r="U44" s="32"/>
      <c r="V44" s="32"/>
      <c r="W44" s="32"/>
      <c r="X44" s="32"/>
      <c r="Y44" s="32"/>
      <c r="Z44" s="32"/>
      <c r="AA44" s="32"/>
      <c r="AB44" s="32"/>
      <c r="AC44" s="32"/>
      <c r="AD44" s="32"/>
      <c r="AE44" s="32"/>
      <c r="AF44" s="32"/>
      <c r="AG44" s="32"/>
      <c r="AH44" s="32"/>
      <c r="AI44" s="32"/>
      <c r="AJ44" s="32" t="str">
        <f>IFERROR(__xludf.DUMMYFUNCTION("""COMPUTED_VALUE"""),"Chaos Beam")</f>
        <v>Chaos Beam</v>
      </c>
      <c r="AK44" s="32" t="str">
        <f>IFERROR(__xludf.DUMMYFUNCTION("""COMPUTED_VALUE"""),"Chaotic Shadow Stomp")</f>
        <v>Chaotic Shadow Stomp</v>
      </c>
      <c r="AL44" s="32" t="str">
        <f>IFERROR(__xludf.DUMMYFUNCTION("""COMPUTED_VALUE"""),"Chaos Ward")</f>
        <v>Chaos Ward</v>
      </c>
      <c r="AM44" s="32" t="str">
        <f>IFERROR(__xludf.DUMMYFUNCTION("""COMPUTED_VALUE"""),"Dark Curse")</f>
        <v>Dark Curse</v>
      </c>
      <c r="AN44" s="32"/>
      <c r="AO44" s="32"/>
      <c r="AP44" s="32"/>
      <c r="AQ44" s="32"/>
      <c r="AR44" s="32"/>
      <c r="AS44" s="32"/>
      <c r="AT44" s="32"/>
      <c r="AU44" s="32"/>
      <c r="AV44" s="32"/>
      <c r="AW44" s="32"/>
      <c r="AX44" s="32"/>
      <c r="AY44" s="32"/>
      <c r="AZ44" s="32"/>
      <c r="BA44" s="32"/>
      <c r="BB44" s="32"/>
      <c r="BC44" s="32"/>
      <c r="BD44" s="32">
        <f>IFERROR(__xludf.DUMMYFUNCTION("""COMPUTED_VALUE"""),0.0)</f>
        <v>0</v>
      </c>
      <c r="BE44" s="32">
        <f>IFERROR(__xludf.DUMMYFUNCTION("""COMPUTED_VALUE"""),10.0)</f>
        <v>10</v>
      </c>
      <c r="BF44" s="32" t="str">
        <f>IFERROR(__xludf.DUMMYFUNCTION("""COMPUTED_VALUE"""),"A Dark Calling: +5 can be added to this mobs rolls.")</f>
        <v>A Dark Calling: +5 can be added to this mobs rolls.</v>
      </c>
      <c r="BG44" s="32" t="str">
        <f>IFERROR(__xludf.DUMMYFUNCTION("""COMPUTED_VALUE"""),"Jungle")</f>
        <v>Jungle</v>
      </c>
      <c r="BH44" s="32" t="str">
        <f>IFERROR(__xludf.DUMMYFUNCTION("""COMPUTED_VALUE"""),"Land Of Spira")</f>
        <v>Land Of Spira</v>
      </c>
      <c r="BI44" s="32"/>
      <c r="BJ44" s="32"/>
      <c r="BK44" s="32"/>
      <c r="BL44" s="32" t="b">
        <f>IFERROR(__xludf.DUMMYFUNCTION("""COMPUTED_VALUE"""),FALSE)</f>
        <v>0</v>
      </c>
      <c r="BM44" s="32"/>
      <c r="BN44" s="32"/>
      <c r="BO44" s="32"/>
      <c r="BP44" s="32"/>
      <c r="BQ44" s="32"/>
    </row>
    <row r="45">
      <c r="A45" s="32" t="str">
        <f>IFERROR(__xludf.DUMMYFUNCTION("""COMPUTED_VALUE"""),"Chaotic Shadow Golem")</f>
        <v>Chaotic Shadow Golem</v>
      </c>
      <c r="B45" s="32">
        <f>IFERROR(__xludf.DUMMYFUNCTION("""COMPUTED_VALUE"""),1.0)</f>
        <v>1</v>
      </c>
      <c r="C45" s="32" t="str">
        <f>IFERROR(__xludf.DUMMYFUNCTION("""COMPUTED_VALUE"""),"The art of face bashing turned edgy.")</f>
        <v>The art of face bashing turned edgy.</v>
      </c>
      <c r="D45" s="33" t="str">
        <f>IFERROR(__xludf.DUMMYFUNCTION("""COMPUTED_VALUE"""),"Construct")</f>
        <v>Construct</v>
      </c>
      <c r="E45" s="33">
        <f>IFERROR(__xludf.DUMMYFUNCTION("""COMPUTED_VALUE"""),1010.0)</f>
        <v>1010</v>
      </c>
      <c r="F45" s="33">
        <f>IFERROR(__xludf.DUMMYFUNCTION("""COMPUTED_VALUE"""),1010.0)</f>
        <v>1010</v>
      </c>
      <c r="G45" s="33">
        <f>IFERROR(__xludf.DUMMYFUNCTION("""COMPUTED_VALUE"""),1010.0)</f>
        <v>1010</v>
      </c>
      <c r="H45" s="32">
        <f>IFERROR(__xludf.DUMMYFUNCTION("""COMPUTED_VALUE"""),10.0)</f>
        <v>10</v>
      </c>
      <c r="I45" s="32">
        <f>IFERROR(__xludf.DUMMYFUNCTION("""COMPUTED_VALUE"""),0.0)</f>
        <v>0</v>
      </c>
      <c r="J45" s="32">
        <f>IFERROR(__xludf.DUMMYFUNCTION("""COMPUTED_VALUE"""),0.0)</f>
        <v>0</v>
      </c>
      <c r="K45" s="32">
        <f>IFERROR(__xludf.DUMMYFUNCTION("""COMPUTED_VALUE"""),100.0)</f>
        <v>100</v>
      </c>
      <c r="L45" s="32">
        <f>IFERROR(__xludf.DUMMYFUNCTION("""COMPUTED_VALUE"""),100.0)</f>
        <v>100</v>
      </c>
      <c r="M45" s="32" t="str">
        <f>IFERROR(__xludf.DUMMYFUNCTION("""COMPUTED_VALUE"""),"Dark:100, Chaos:100, ")</f>
        <v>Dark:100, Chaos:100, </v>
      </c>
      <c r="N45" s="32" t="str">
        <f>IFERROR(__xludf.DUMMYFUNCTION("""COMPUTED_VALUE"""),"Fire:100, Light:100, Order:100, ")</f>
        <v>Fire:100, Light:100, Order:100, </v>
      </c>
      <c r="O45" s="32"/>
      <c r="P45" s="32"/>
      <c r="Q45" s="32"/>
      <c r="R45" s="32"/>
      <c r="S45" s="32"/>
      <c r="T45" s="32"/>
      <c r="U45" s="32"/>
      <c r="V45" s="32"/>
      <c r="W45" s="32" t="str">
        <f>IFERROR(__xludf.DUMMYFUNCTION("""COMPUTED_VALUE"""),"Hammer of Chaotic Shadows")</f>
        <v>Hammer of Chaotic Shadows</v>
      </c>
      <c r="X45" s="32"/>
      <c r="Y45" s="32"/>
      <c r="Z45" s="32"/>
      <c r="AA45" s="32"/>
      <c r="AB45" s="32"/>
      <c r="AC45" s="32"/>
      <c r="AD45" s="32"/>
      <c r="AE45" s="32"/>
      <c r="AF45" s="32"/>
      <c r="AG45" s="32"/>
      <c r="AH45" s="32"/>
      <c r="AI45" s="32"/>
      <c r="AJ45" s="32" t="str">
        <f>IFERROR(__xludf.DUMMYFUNCTION("""COMPUTED_VALUE"""),"Chaos Beam")</f>
        <v>Chaos Beam</v>
      </c>
      <c r="AK45" s="32" t="str">
        <f>IFERROR(__xludf.DUMMYFUNCTION("""COMPUTED_VALUE"""),"Chaotic Golem Scream")</f>
        <v>Chaotic Golem Scream</v>
      </c>
      <c r="AL45" s="32" t="str">
        <f>IFERROR(__xludf.DUMMYFUNCTION("""COMPUTED_VALUE"""),"Chaotic Shadow Slam")</f>
        <v>Chaotic Shadow Slam</v>
      </c>
      <c r="AM45" s="32" t="str">
        <f>IFERROR(__xludf.DUMMYFUNCTION("""COMPUTED_VALUE"""),"Chaos Ward")</f>
        <v>Chaos Ward</v>
      </c>
      <c r="AN45" s="32" t="str">
        <f>IFERROR(__xludf.DUMMYFUNCTION("""COMPUTED_VALUE"""),"Dark Curse")</f>
        <v>Dark Curse</v>
      </c>
      <c r="AO45" s="32" t="str">
        <f>IFERROR(__xludf.DUMMYFUNCTION("""COMPUTED_VALUE"""),"Darkest Abyss")</f>
        <v>Darkest Abyss</v>
      </c>
      <c r="AP45" s="32"/>
      <c r="AQ45" s="32"/>
      <c r="AR45" s="32"/>
      <c r="AS45" s="32"/>
      <c r="AT45" s="32"/>
      <c r="AU45" s="32"/>
      <c r="AV45" s="32"/>
      <c r="AW45" s="32"/>
      <c r="AX45" s="32"/>
      <c r="AY45" s="32"/>
      <c r="AZ45" s="32"/>
      <c r="BA45" s="32"/>
      <c r="BB45" s="32"/>
      <c r="BC45" s="32"/>
      <c r="BD45" s="32">
        <f>IFERROR(__xludf.DUMMYFUNCTION("""COMPUTED_VALUE"""),0.0)</f>
        <v>0</v>
      </c>
      <c r="BE45" s="32">
        <f>IFERROR(__xludf.DUMMYFUNCTION("""COMPUTED_VALUE"""),10.0)</f>
        <v>10</v>
      </c>
      <c r="BF45" s="32" t="str">
        <f>IFERROR(__xludf.DUMMYFUNCTION("""COMPUTED_VALUE"""),"A Dark Calling: +5 can be added to this mobs rolls.")</f>
        <v>A Dark Calling: +5 can be added to this mobs rolls.</v>
      </c>
      <c r="BG45" s="32" t="str">
        <f>IFERROR(__xludf.DUMMYFUNCTION("""COMPUTED_VALUE"""),"Jungle")</f>
        <v>Jungle</v>
      </c>
      <c r="BH45" s="32" t="str">
        <f>IFERROR(__xludf.DUMMYFUNCTION("""COMPUTED_VALUE"""),"Land Of Spira")</f>
        <v>Land Of Spira</v>
      </c>
      <c r="BI45" s="32"/>
      <c r="BJ45" s="32"/>
      <c r="BK45" s="32"/>
      <c r="BL45" s="32" t="b">
        <f>IFERROR(__xludf.DUMMYFUNCTION("""COMPUTED_VALUE"""),FALSE)</f>
        <v>0</v>
      </c>
      <c r="BM45" s="32"/>
      <c r="BN45" s="32"/>
      <c r="BO45" s="32"/>
      <c r="BP45" s="32"/>
      <c r="BQ45" s="32"/>
    </row>
    <row r="46">
      <c r="A46" s="32" t="str">
        <f>IFERROR(__xludf.DUMMYFUNCTION("""COMPUTED_VALUE"""),"Chaotic Shadow Phantom")</f>
        <v>Chaotic Shadow Phantom</v>
      </c>
      <c r="B46" s="32">
        <f>IFERROR(__xludf.DUMMYFUNCTION("""COMPUTED_VALUE"""),1.0)</f>
        <v>1</v>
      </c>
      <c r="C46" s="32"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33" t="str">
        <f>IFERROR(__xludf.DUMMYFUNCTION("""COMPUTED_VALUE"""),"Spirit")</f>
        <v>Spirit</v>
      </c>
      <c r="E46" s="33">
        <f>IFERROR(__xludf.DUMMYFUNCTION("""COMPUTED_VALUE"""),1010.0)</f>
        <v>1010</v>
      </c>
      <c r="F46" s="33">
        <f>IFERROR(__xludf.DUMMYFUNCTION("""COMPUTED_VALUE"""),1010.0)</f>
        <v>1010</v>
      </c>
      <c r="G46" s="33">
        <f>IFERROR(__xludf.DUMMYFUNCTION("""COMPUTED_VALUE"""),1010.0)</f>
        <v>1010</v>
      </c>
      <c r="H46" s="32">
        <f>IFERROR(__xludf.DUMMYFUNCTION("""COMPUTED_VALUE"""),10.0)</f>
        <v>10</v>
      </c>
      <c r="I46" s="32">
        <f>IFERROR(__xludf.DUMMYFUNCTION("""COMPUTED_VALUE"""),0.0)</f>
        <v>0</v>
      </c>
      <c r="J46" s="32">
        <f>IFERROR(__xludf.DUMMYFUNCTION("""COMPUTED_VALUE"""),0.0)</f>
        <v>0</v>
      </c>
      <c r="K46" s="32">
        <f>IFERROR(__xludf.DUMMYFUNCTION("""COMPUTED_VALUE"""),100.0)</f>
        <v>100</v>
      </c>
      <c r="L46" s="32">
        <f>IFERROR(__xludf.DUMMYFUNCTION("""COMPUTED_VALUE"""),100.0)</f>
        <v>100</v>
      </c>
      <c r="M46" s="32" t="str">
        <f>IFERROR(__xludf.DUMMYFUNCTION("""COMPUTED_VALUE"""),"Dark:100, Chaos:100, ")</f>
        <v>Dark:100, Chaos:100, </v>
      </c>
      <c r="N46" s="32" t="str">
        <f>IFERROR(__xludf.DUMMYFUNCTION("""COMPUTED_VALUE"""),"Fire:100, Light:100, Order:100, ")</f>
        <v>Fire:100, Light:100, Order:100, </v>
      </c>
      <c r="O46" s="32"/>
      <c r="P46" s="32"/>
      <c r="Q46" s="32"/>
      <c r="R46" s="32"/>
      <c r="S46" s="32"/>
      <c r="T46" s="32"/>
      <c r="U46" s="32"/>
      <c r="V46" s="32"/>
      <c r="W46" s="32"/>
      <c r="X46" s="32"/>
      <c r="Y46" s="32"/>
      <c r="Z46" s="32"/>
      <c r="AA46" s="32"/>
      <c r="AB46" s="32"/>
      <c r="AC46" s="32"/>
      <c r="AD46" s="32"/>
      <c r="AE46" s="32"/>
      <c r="AF46" s="32"/>
      <c r="AG46" s="32"/>
      <c r="AH46" s="32"/>
      <c r="AI46" s="32"/>
      <c r="AJ46" s="32" t="str">
        <f>IFERROR(__xludf.DUMMYFUNCTION("""COMPUTED_VALUE"""),"Chaotic Phantom Blast")</f>
        <v>Chaotic Phantom Blast</v>
      </c>
      <c r="AK46" s="32" t="str">
        <f>IFERROR(__xludf.DUMMYFUNCTION("""COMPUTED_VALUE"""),"Chaotic Shadow Force")</f>
        <v>Chaotic Shadow Force</v>
      </c>
      <c r="AL46" s="32" t="str">
        <f>IFERROR(__xludf.DUMMYFUNCTION("""COMPUTED_VALUE"""),"Chaotic Shadow Storm")</f>
        <v>Chaotic Shadow Storm</v>
      </c>
      <c r="AM46" s="32" t="str">
        <f>IFERROR(__xludf.DUMMYFUNCTION("""COMPUTED_VALUE"""),"Chaos Ward")</f>
        <v>Chaos Ward</v>
      </c>
      <c r="AN46" s="32" t="str">
        <f>IFERROR(__xludf.DUMMYFUNCTION("""COMPUTED_VALUE"""),"Dark Curse")</f>
        <v>Dark Curse</v>
      </c>
      <c r="AO46" s="32"/>
      <c r="AP46" s="32"/>
      <c r="AQ46" s="32"/>
      <c r="AR46" s="32"/>
      <c r="AS46" s="32"/>
      <c r="AT46" s="32"/>
      <c r="AU46" s="32"/>
      <c r="AV46" s="32"/>
      <c r="AW46" s="32"/>
      <c r="AX46" s="32"/>
      <c r="AY46" s="32"/>
      <c r="AZ46" s="32"/>
      <c r="BA46" s="32"/>
      <c r="BB46" s="32"/>
      <c r="BC46" s="32"/>
      <c r="BD46" s="32">
        <f>IFERROR(__xludf.DUMMYFUNCTION("""COMPUTED_VALUE"""),0.0)</f>
        <v>0</v>
      </c>
      <c r="BE46" s="32">
        <f>IFERROR(__xludf.DUMMYFUNCTION("""COMPUTED_VALUE"""),10.0)</f>
        <v>10</v>
      </c>
      <c r="BF46" s="32" t="str">
        <f>IFERROR(__xludf.DUMMYFUNCTION("""COMPUTED_VALUE"""),"A Dark Calling: +5 can be added to this mobs rolls.")</f>
        <v>A Dark Calling: +5 can be added to this mobs rolls.</v>
      </c>
      <c r="BG46" s="32" t="str">
        <f>IFERROR(__xludf.DUMMYFUNCTION("""COMPUTED_VALUE"""),"Jungle")</f>
        <v>Jungle</v>
      </c>
      <c r="BH46" s="32" t="str">
        <f>IFERROR(__xludf.DUMMYFUNCTION("""COMPUTED_VALUE"""),"Land Of Spira")</f>
        <v>Land Of Spira</v>
      </c>
      <c r="BI46" s="32"/>
      <c r="BJ46" s="32"/>
      <c r="BK46" s="32"/>
      <c r="BL46" s="32" t="b">
        <f>IFERROR(__xludf.DUMMYFUNCTION("""COMPUTED_VALUE"""),FALSE)</f>
        <v>0</v>
      </c>
      <c r="BM46" s="32"/>
      <c r="BN46" s="32"/>
      <c r="BO46" s="32"/>
      <c r="BP46" s="32"/>
      <c r="BQ46" s="32"/>
    </row>
    <row r="47">
      <c r="A47" s="32" t="str">
        <f>IFERROR(__xludf.DUMMYFUNCTION("""COMPUTED_VALUE"""),"Chaotic Shadow Royal Knight")</f>
        <v>Chaotic Shadow Royal Knight</v>
      </c>
      <c r="B47" s="32">
        <f>IFERROR(__xludf.DUMMYFUNCTION("""COMPUTED_VALUE"""),1.0)</f>
        <v>1</v>
      </c>
      <c r="C47" s="32"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33" t="str">
        <f>IFERROR(__xludf.DUMMYFUNCTION("""COMPUTED_VALUE"""),"Humanoid")</f>
        <v>Humanoid</v>
      </c>
      <c r="E47" s="33">
        <f>IFERROR(__xludf.DUMMYFUNCTION("""COMPUTED_VALUE"""),1010.0)</f>
        <v>1010</v>
      </c>
      <c r="F47" s="33">
        <f>IFERROR(__xludf.DUMMYFUNCTION("""COMPUTED_VALUE"""),1010.0)</f>
        <v>1010</v>
      </c>
      <c r="G47" s="33">
        <f>IFERROR(__xludf.DUMMYFUNCTION("""COMPUTED_VALUE"""),1010.0)</f>
        <v>1010</v>
      </c>
      <c r="H47" s="32">
        <f>IFERROR(__xludf.DUMMYFUNCTION("""COMPUTED_VALUE"""),10.0)</f>
        <v>10</v>
      </c>
      <c r="I47" s="32">
        <f>IFERROR(__xludf.DUMMYFUNCTION("""COMPUTED_VALUE"""),0.0)</f>
        <v>0</v>
      </c>
      <c r="J47" s="32">
        <f>IFERROR(__xludf.DUMMYFUNCTION("""COMPUTED_VALUE"""),0.0)</f>
        <v>0</v>
      </c>
      <c r="K47" s="32">
        <f>IFERROR(__xludf.DUMMYFUNCTION("""COMPUTED_VALUE"""),100.0)</f>
        <v>100</v>
      </c>
      <c r="L47" s="32">
        <f>IFERROR(__xludf.DUMMYFUNCTION("""COMPUTED_VALUE"""),100.0)</f>
        <v>100</v>
      </c>
      <c r="M47" s="32" t="str">
        <f>IFERROR(__xludf.DUMMYFUNCTION("""COMPUTED_VALUE"""),"Dark:100, Chaos:100, ")</f>
        <v>Dark:100, Chaos:100, </v>
      </c>
      <c r="N47" s="32" t="str">
        <f>IFERROR(__xludf.DUMMYFUNCTION("""COMPUTED_VALUE"""),"Fire:100, Light:100, Order:100, ")</f>
        <v>Fire:100, Light:100, Order:100, </v>
      </c>
      <c r="O47" s="32"/>
      <c r="P47" s="32"/>
      <c r="Q47" s="32"/>
      <c r="R47" s="32"/>
      <c r="S47" s="32"/>
      <c r="T47" s="32"/>
      <c r="U47" s="32"/>
      <c r="V47" s="32"/>
      <c r="W47" s="32" t="str">
        <f>IFERROR(__xludf.DUMMYFUNCTION("""COMPUTED_VALUE"""),"Royal Sword of Chaotic Shadows")</f>
        <v>Royal Sword of Chaotic Shadows</v>
      </c>
      <c r="X47" s="32"/>
      <c r="Y47" s="32"/>
      <c r="Z47" s="32"/>
      <c r="AA47" s="32"/>
      <c r="AB47" s="32"/>
      <c r="AC47" s="32"/>
      <c r="AD47" s="32"/>
      <c r="AE47" s="32"/>
      <c r="AF47" s="32"/>
      <c r="AG47" s="32"/>
      <c r="AH47" s="32"/>
      <c r="AI47" s="32"/>
      <c r="AJ47" s="32" t="str">
        <f>IFERROR(__xludf.DUMMYFUNCTION("""COMPUTED_VALUE"""),"Chaotic Royal Barrier")</f>
        <v>Chaotic Royal Barrier</v>
      </c>
      <c r="AK47" s="32" t="str">
        <f>IFERROR(__xludf.DUMMYFUNCTION("""COMPUTED_VALUE"""),"Chaotic Shadow Storm")</f>
        <v>Chaotic Shadow Storm</v>
      </c>
      <c r="AL47" s="32" t="str">
        <f>IFERROR(__xludf.DUMMYFUNCTION("""COMPUTED_VALUE"""),"Chaotic Shadow Storm")</f>
        <v>Chaotic Shadow Storm</v>
      </c>
      <c r="AM47" s="32" t="str">
        <f>IFERROR(__xludf.DUMMYFUNCTION("""COMPUTED_VALUE"""),"Chaos Ward")</f>
        <v>Chaos Ward</v>
      </c>
      <c r="AN47" s="32" t="str">
        <f>IFERROR(__xludf.DUMMYFUNCTION("""COMPUTED_VALUE"""),"Dark Curse")</f>
        <v>Dark Curse</v>
      </c>
      <c r="AO47" s="32" t="str">
        <f>IFERROR(__xludf.DUMMYFUNCTION("""COMPUTED_VALUE"""),"Darkest Abyss")</f>
        <v>Darkest Abyss</v>
      </c>
      <c r="AP47" s="32" t="str">
        <f>IFERROR(__xludf.DUMMYFUNCTION("""COMPUTED_VALUE"""),"Berserk")</f>
        <v>Berserk</v>
      </c>
      <c r="AQ47" s="32" t="str">
        <f>IFERROR(__xludf.DUMMYFUNCTION("""COMPUTED_VALUE"""),"Arrest")</f>
        <v>Arrest</v>
      </c>
      <c r="AR47" s="32"/>
      <c r="AS47" s="32"/>
      <c r="AT47" s="32"/>
      <c r="AU47" s="32"/>
      <c r="AV47" s="32"/>
      <c r="AW47" s="32"/>
      <c r="AX47" s="32"/>
      <c r="AY47" s="32"/>
      <c r="AZ47" s="32"/>
      <c r="BA47" s="32"/>
      <c r="BB47" s="32"/>
      <c r="BC47" s="32"/>
      <c r="BD47" s="32">
        <f>IFERROR(__xludf.DUMMYFUNCTION("""COMPUTED_VALUE"""),0.0)</f>
        <v>0</v>
      </c>
      <c r="BE47" s="32">
        <f>IFERROR(__xludf.DUMMYFUNCTION("""COMPUTED_VALUE"""),15.0)</f>
        <v>15</v>
      </c>
      <c r="BF47" s="32" t="str">
        <f>IFERROR(__xludf.DUMMYFUNCTION("""COMPUTED_VALUE"""),"A Dark Calling: +5 can be added to this mobs rolls.")</f>
        <v>A Dark Calling: +5 can be added to this mobs rolls.</v>
      </c>
      <c r="BG47" s="32" t="str">
        <f>IFERROR(__xludf.DUMMYFUNCTION("""COMPUTED_VALUE"""),"Jungle")</f>
        <v>Jungle</v>
      </c>
      <c r="BH47" s="32" t="str">
        <f>IFERROR(__xludf.DUMMYFUNCTION("""COMPUTED_VALUE"""),"Land Of Spira")</f>
        <v>Land Of Spira</v>
      </c>
      <c r="BI47" s="32"/>
      <c r="BJ47" s="32"/>
      <c r="BK47" s="32"/>
      <c r="BL47" s="32" t="b">
        <f>IFERROR(__xludf.DUMMYFUNCTION("""COMPUTED_VALUE"""),FALSE)</f>
        <v>0</v>
      </c>
      <c r="BM47" s="32"/>
      <c r="BN47" s="32"/>
      <c r="BO47" s="32"/>
      <c r="BP47" s="32"/>
      <c r="BQ47" s="32"/>
    </row>
    <row r="48">
      <c r="A48" s="32" t="str">
        <f>IFERROR(__xludf.DUMMYFUNCTION("""COMPUTED_VALUE"""),"Colossus Suit of Armor")</f>
        <v>Colossus Suit of Armor</v>
      </c>
      <c r="B48" s="32">
        <f>IFERROR(__xludf.DUMMYFUNCTION("""COMPUTED_VALUE"""),1.0)</f>
        <v>1</v>
      </c>
      <c r="C48" s="32" t="str">
        <f>IFERROR(__xludf.DUMMYFUNCTION("""COMPUTED_VALUE"""),"Who in the hell decided that releasing a big fuck off robot was a good idea?")</f>
        <v>Who in the hell decided that releasing a big fuck off robot was a good idea?</v>
      </c>
      <c r="D48" s="33" t="str">
        <f>IFERROR(__xludf.DUMMYFUNCTION("""COMPUTED_VALUE"""),"Construct")</f>
        <v>Construct</v>
      </c>
      <c r="E48" s="33">
        <f>IFERROR(__xludf.DUMMYFUNCTION("""COMPUTED_VALUE"""),1010.0)</f>
        <v>1010</v>
      </c>
      <c r="F48" s="33">
        <f>IFERROR(__xludf.DUMMYFUNCTION("""COMPUTED_VALUE"""),1010.0)</f>
        <v>1010</v>
      </c>
      <c r="G48" s="33">
        <f>IFERROR(__xludf.DUMMYFUNCTION("""COMPUTED_VALUE"""),1010.0)</f>
        <v>1010</v>
      </c>
      <c r="H48" s="32">
        <f>IFERROR(__xludf.DUMMYFUNCTION("""COMPUTED_VALUE"""),10.0)</f>
        <v>10</v>
      </c>
      <c r="I48" s="32">
        <f>IFERROR(__xludf.DUMMYFUNCTION("""COMPUTED_VALUE"""),0.0)</f>
        <v>0</v>
      </c>
      <c r="J48" s="32">
        <f>IFERROR(__xludf.DUMMYFUNCTION("""COMPUTED_VALUE"""),0.0)</f>
        <v>0</v>
      </c>
      <c r="K48" s="32">
        <f>IFERROR(__xludf.DUMMYFUNCTION("""COMPUTED_VALUE"""),100.0)</f>
        <v>100</v>
      </c>
      <c r="L48" s="32">
        <f>IFERROR(__xludf.DUMMYFUNCTION("""COMPUTED_VALUE"""),100.0)</f>
        <v>100</v>
      </c>
      <c r="M48" s="32" t="str">
        <f>IFERROR(__xludf.DUMMYFUNCTION("""COMPUTED_VALUE"""),"Order:Immune, ")</f>
        <v>Order:Immune, </v>
      </c>
      <c r="N48" s="32" t="str">
        <f>IFERROR(__xludf.DUMMYFUNCTION("""COMPUTED_VALUE"""),"Chaos:100, ")</f>
        <v>Chaos:100, </v>
      </c>
      <c r="O48" s="32"/>
      <c r="P48" s="32"/>
      <c r="Q48" s="32"/>
      <c r="R48" s="32"/>
      <c r="S48" s="32"/>
      <c r="T48" s="32"/>
      <c r="U48" s="32"/>
      <c r="V48" s="32"/>
      <c r="W48" s="32"/>
      <c r="X48" s="32"/>
      <c r="Y48" s="32"/>
      <c r="Z48" s="32"/>
      <c r="AA48" s="32"/>
      <c r="AB48" s="32"/>
      <c r="AC48" s="32"/>
      <c r="AD48" s="32"/>
      <c r="AE48" s="32"/>
      <c r="AF48" s="32"/>
      <c r="AG48" s="32"/>
      <c r="AH48" s="32"/>
      <c r="AI48" s="32"/>
      <c r="AJ48" s="32" t="str">
        <f>IFERROR(__xludf.DUMMYFUNCTION("""COMPUTED_VALUE"""),"Dark Curse")</f>
        <v>Dark Curse</v>
      </c>
      <c r="AK48" s="32" t="str">
        <f>IFERROR(__xludf.DUMMYFUNCTION("""COMPUTED_VALUE"""),"Dark Bolt")</f>
        <v>Dark Bolt</v>
      </c>
      <c r="AL48" s="32" t="str">
        <f>IFERROR(__xludf.DUMMYFUNCTION("""COMPUTED_VALUE"""),"Dark Bolt")</f>
        <v>Dark Bolt</v>
      </c>
      <c r="AM48" s="32" t="str">
        <f>IFERROR(__xludf.DUMMYFUNCTION("""COMPUTED_VALUE"""),"Enthrall")</f>
        <v>Enthrall</v>
      </c>
      <c r="AN48" s="32" t="str">
        <f>IFERROR(__xludf.DUMMYFUNCTION("""COMPUTED_VALUE"""),"Soul Shot")</f>
        <v>Soul Shot</v>
      </c>
      <c r="AO48" s="32"/>
      <c r="AP48" s="32"/>
      <c r="AQ48" s="32"/>
      <c r="AR48" s="32"/>
      <c r="AS48" s="32"/>
      <c r="AT48" s="32"/>
      <c r="AU48" s="32"/>
      <c r="AV48" s="32"/>
      <c r="AW48" s="32"/>
      <c r="AX48" s="32"/>
      <c r="AY48" s="32"/>
      <c r="AZ48" s="32"/>
      <c r="BA48" s="32"/>
      <c r="BB48" s="32"/>
      <c r="BC48" s="32"/>
      <c r="BD48" s="32">
        <f>IFERROR(__xludf.DUMMYFUNCTION("""COMPUTED_VALUE"""),0.0)</f>
        <v>0</v>
      </c>
      <c r="BE48" s="32">
        <f>IFERROR(__xludf.DUMMYFUNCTION("""COMPUTED_VALUE"""),10.0)</f>
        <v>10</v>
      </c>
      <c r="BF48" s="32"/>
      <c r="BG48" s="32" t="str">
        <f>IFERROR(__xludf.DUMMYFUNCTION("""COMPUTED_VALUE"""),"All")</f>
        <v>All</v>
      </c>
      <c r="BH48" s="32" t="str">
        <f>IFERROR(__xludf.DUMMYFUNCTION("""COMPUTED_VALUE"""),"Land of Spira")</f>
        <v>Land of Spira</v>
      </c>
      <c r="BI48" s="32"/>
      <c r="BJ48" s="32"/>
      <c r="BK48" s="32"/>
      <c r="BL48" s="32" t="b">
        <f>IFERROR(__xludf.DUMMYFUNCTION("""COMPUTED_VALUE"""),FALSE)</f>
        <v>0</v>
      </c>
      <c r="BM48" s="32"/>
      <c r="BN48" s="32"/>
      <c r="BO48" s="32"/>
      <c r="BP48" s="32"/>
      <c r="BQ48" s="32"/>
    </row>
    <row r="49">
      <c r="A49" s="32" t="str">
        <f>IFERROR(__xludf.DUMMYFUNCTION("""COMPUTED_VALUE"""),"Corrupted Twilight Knight")</f>
        <v>Corrupted Twilight Knight</v>
      </c>
      <c r="B49" s="32">
        <f>IFERROR(__xludf.DUMMYFUNCTION("""COMPUTED_VALUE"""),1.0)</f>
        <v>1</v>
      </c>
      <c r="C49" s="32" t="str">
        <f>IFERROR(__xludf.DUMMYFUNCTION("""COMPUTED_VALUE"""),"Spiky.")</f>
        <v>Spiky.</v>
      </c>
      <c r="D49" s="33" t="str">
        <f>IFERROR(__xludf.DUMMYFUNCTION("""COMPUTED_VALUE"""),"Humanoid")</f>
        <v>Humanoid</v>
      </c>
      <c r="E49" s="33">
        <f>IFERROR(__xludf.DUMMYFUNCTION("""COMPUTED_VALUE"""),1010.0)</f>
        <v>1010</v>
      </c>
      <c r="F49" s="33">
        <f>IFERROR(__xludf.DUMMYFUNCTION("""COMPUTED_VALUE"""),1010.0)</f>
        <v>1010</v>
      </c>
      <c r="G49" s="33">
        <f>IFERROR(__xludf.DUMMYFUNCTION("""COMPUTED_VALUE"""),1010.0)</f>
        <v>1010</v>
      </c>
      <c r="H49" s="32">
        <f>IFERROR(__xludf.DUMMYFUNCTION("""COMPUTED_VALUE"""),10.0)</f>
        <v>10</v>
      </c>
      <c r="I49" s="32">
        <f>IFERROR(__xludf.DUMMYFUNCTION("""COMPUTED_VALUE"""),0.0)</f>
        <v>0</v>
      </c>
      <c r="J49" s="32">
        <f>IFERROR(__xludf.DUMMYFUNCTION("""COMPUTED_VALUE"""),0.0)</f>
        <v>0</v>
      </c>
      <c r="K49" s="32">
        <f>IFERROR(__xludf.DUMMYFUNCTION("""COMPUTED_VALUE"""),100.0)</f>
        <v>100</v>
      </c>
      <c r="L49" s="32">
        <f>IFERROR(__xludf.DUMMYFUNCTION("""COMPUTED_VALUE"""),100.0)</f>
        <v>100</v>
      </c>
      <c r="M49" s="32" t="str">
        <f>IFERROR(__xludf.DUMMYFUNCTION("""COMPUTED_VALUE"""),"Twilight:100, ")</f>
        <v>Twilight:100, </v>
      </c>
      <c r="N49" s="32" t="str">
        <f>IFERROR(__xludf.DUMMYFUNCTION("""COMPUTED_VALUE"""),"")</f>
        <v/>
      </c>
      <c r="O49" s="32"/>
      <c r="P49" s="32"/>
      <c r="Q49" s="32"/>
      <c r="R49" s="32"/>
      <c r="S49" s="32"/>
      <c r="T49" s="32"/>
      <c r="U49" s="32"/>
      <c r="V49" s="32"/>
      <c r="W49" s="32" t="str">
        <f>IFERROR(__xludf.DUMMYFUNCTION("""COMPUTED_VALUE"""),"Twilight Sword")</f>
        <v>Twilight Sword</v>
      </c>
      <c r="X49" s="32"/>
      <c r="Y49" s="32"/>
      <c r="Z49" s="32"/>
      <c r="AA49" s="32"/>
      <c r="AB49" s="32"/>
      <c r="AC49" s="32"/>
      <c r="AD49" s="32"/>
      <c r="AE49" s="32"/>
      <c r="AF49" s="32"/>
      <c r="AG49" s="32"/>
      <c r="AH49" s="32"/>
      <c r="AI49" s="32"/>
      <c r="AJ49" s="32" t="str">
        <f>IFERROR(__xludf.DUMMYFUNCTION("""COMPUTED_VALUE"""),"Twilight Transformation")</f>
        <v>Twilight Transformation</v>
      </c>
      <c r="AK49" s="32" t="str">
        <f>IFERROR(__xludf.DUMMYFUNCTION("""COMPUTED_VALUE"""),"The Setting Sun")</f>
        <v>The Setting Sun</v>
      </c>
      <c r="AL49" s="32" t="str">
        <f>IFERROR(__xludf.DUMMYFUNCTION("""COMPUTED_VALUE"""),"Twilight Masquerade")</f>
        <v>Twilight Masquerade</v>
      </c>
      <c r="AM49" s="32" t="str">
        <f>IFERROR(__xludf.DUMMYFUNCTION("""COMPUTED_VALUE"""),"Arrest")</f>
        <v>Arrest</v>
      </c>
      <c r="AN49" s="32"/>
      <c r="AO49" s="32"/>
      <c r="AP49" s="32"/>
      <c r="AQ49" s="32"/>
      <c r="AR49" s="32"/>
      <c r="AS49" s="32"/>
      <c r="AT49" s="32"/>
      <c r="AU49" s="32"/>
      <c r="AV49" s="32"/>
      <c r="AW49" s="32"/>
      <c r="AX49" s="32"/>
      <c r="AY49" s="32"/>
      <c r="AZ49" s="32"/>
      <c r="BA49" s="32"/>
      <c r="BB49" s="32"/>
      <c r="BC49" s="32"/>
      <c r="BD49" s="32">
        <f>IFERROR(__xludf.DUMMYFUNCTION("""COMPUTED_VALUE"""),0.0)</f>
        <v>0</v>
      </c>
      <c r="BE49" s="32">
        <f>IFERROR(__xludf.DUMMYFUNCTION("""COMPUTED_VALUE"""),10.0)</f>
        <v>10</v>
      </c>
      <c r="BF49" s="32" t="str">
        <f>IFERROR(__xludf.DUMMYFUNCTION("""COMPUTED_VALUE"""),"Twilight Blessing: +5 can be added to this mobs rolls.")</f>
        <v>Twilight Blessing: +5 can be added to this mobs rolls.</v>
      </c>
      <c r="BG49" s="32" t="str">
        <f>IFERROR(__xludf.DUMMYFUNCTION("""COMPUTED_VALUE"""),"All")</f>
        <v>All</v>
      </c>
      <c r="BH49" s="32" t="str">
        <f>IFERROR(__xludf.DUMMYFUNCTION("""COMPUTED_VALUE"""),"Land of Spira")</f>
        <v>Land of Spira</v>
      </c>
      <c r="BI49" s="32"/>
      <c r="BJ49" s="32"/>
      <c r="BK49" s="32"/>
      <c r="BL49" s="32" t="b">
        <f>IFERROR(__xludf.DUMMYFUNCTION("""COMPUTED_VALUE"""),FALSE)</f>
        <v>0</v>
      </c>
      <c r="BM49" s="32"/>
      <c r="BN49" s="32"/>
      <c r="BO49" s="32"/>
      <c r="BP49" s="32"/>
      <c r="BQ49" s="32"/>
    </row>
    <row r="50">
      <c r="A50" s="32" t="str">
        <f>IFERROR(__xludf.DUMMYFUNCTION("""COMPUTED_VALUE"""),"Cremagetion")</f>
        <v>Cremagetion</v>
      </c>
      <c r="B50" s="32">
        <f>IFERROR(__xludf.DUMMYFUNCTION("""COMPUTED_VALUE"""),1.0)</f>
        <v>1</v>
      </c>
      <c r="C50" s="32" t="str">
        <f>IFERROR(__xludf.DUMMYFUNCTION("""COMPUTED_VALUE"""),"I couldn't fucking tell you what this is for the life of me.")</f>
        <v>I couldn't fucking tell you what this is for the life of me.</v>
      </c>
      <c r="D50" s="32" t="str">
        <f>IFERROR(__xludf.DUMMYFUNCTION("""COMPUTED_VALUE"""),"Monstrosity")</f>
        <v>Monstrosity</v>
      </c>
      <c r="E50" s="32">
        <f>IFERROR(__xludf.DUMMYFUNCTION("""COMPUTED_VALUE"""),1010.0)</f>
        <v>1010</v>
      </c>
      <c r="F50" s="33">
        <f>IFERROR(__xludf.DUMMYFUNCTION("""COMPUTED_VALUE"""),1010.0)</f>
        <v>1010</v>
      </c>
      <c r="G50" s="32">
        <f>IFERROR(__xludf.DUMMYFUNCTION("""COMPUTED_VALUE"""),1010.0)</f>
        <v>1010</v>
      </c>
      <c r="H50" s="32">
        <f>IFERROR(__xludf.DUMMYFUNCTION("""COMPUTED_VALUE"""),10.0)</f>
        <v>10</v>
      </c>
      <c r="I50" s="32">
        <f>IFERROR(__xludf.DUMMYFUNCTION("""COMPUTED_VALUE"""),0.0)</f>
        <v>0</v>
      </c>
      <c r="J50" s="32">
        <f>IFERROR(__xludf.DUMMYFUNCTION("""COMPUTED_VALUE"""),0.0)</f>
        <v>0</v>
      </c>
      <c r="K50" s="32">
        <f>IFERROR(__xludf.DUMMYFUNCTION("""COMPUTED_VALUE"""),100.0)</f>
        <v>100</v>
      </c>
      <c r="L50" s="32">
        <f>IFERROR(__xludf.DUMMYFUNCTION("""COMPUTED_VALUE"""),100.0)</f>
        <v>100</v>
      </c>
      <c r="M50" s="32" t="str">
        <f>IFERROR(__xludf.DUMMYFUNCTION("""COMPUTED_VALUE"""),"Fire: Immune")</f>
        <v>Fire: Immune</v>
      </c>
      <c r="N50" s="32" t="str">
        <f>IFERROR(__xludf.DUMMYFUNCTION("""COMPUTED_VALUE"""),"Water: 100")</f>
        <v>Water: 100</v>
      </c>
      <c r="O50" s="32"/>
      <c r="P50" s="32"/>
      <c r="Q50" s="32"/>
      <c r="R50" s="32"/>
      <c r="S50" s="32"/>
      <c r="T50" s="32"/>
      <c r="U50" s="32"/>
      <c r="V50" s="32"/>
      <c r="W50" s="32" t="str">
        <f>IFERROR(__xludf.DUMMYFUNCTION("""COMPUTED_VALUE"""),"Dreading Wand Of Fire")</f>
        <v>Dreading Wand Of Fire</v>
      </c>
      <c r="X50" s="32" t="str">
        <f>IFERROR(__xludf.DUMMYFUNCTION("""COMPUTED_VALUE"""),"Fire ring")</f>
        <v>Fire ring</v>
      </c>
      <c r="Y50" s="32"/>
      <c r="Z50" s="32"/>
      <c r="AA50" s="32"/>
      <c r="AB50" s="32"/>
      <c r="AC50" s="32"/>
      <c r="AD50" s="32"/>
      <c r="AE50" s="32"/>
      <c r="AF50" s="32"/>
      <c r="AG50" s="32"/>
      <c r="AH50" s="32"/>
      <c r="AI50" s="32" t="str">
        <f>IFERROR(__xludf.DUMMYFUNCTION("""COMPUTED_VALUE"""),"Fire Resistant Boots")</f>
        <v>Fire Resistant Boots</v>
      </c>
      <c r="AJ50" s="32" t="str">
        <f>IFERROR(__xludf.DUMMYFUNCTION("""COMPUTED_VALUE"""),"Fire Bolt")</f>
        <v>Fire Bolt</v>
      </c>
      <c r="AK50" s="32" t="str">
        <f>IFERROR(__xludf.DUMMYFUNCTION("""COMPUTED_VALUE"""),"Flame Thrower")</f>
        <v>Flame Thrower</v>
      </c>
      <c r="AL50" s="32" t="str">
        <f>IFERROR(__xludf.DUMMYFUNCTION("""COMPUTED_VALUE"""),"Volcanic Rain")</f>
        <v>Volcanic Rain</v>
      </c>
      <c r="AM50" s="32"/>
      <c r="AN50" s="32"/>
      <c r="AO50" s="32"/>
      <c r="AP50" s="32"/>
      <c r="AQ50" s="32"/>
      <c r="AR50" s="32"/>
      <c r="AS50" s="32"/>
      <c r="AT50" s="32"/>
      <c r="AU50" s="32"/>
      <c r="AV50" s="32"/>
      <c r="AW50" s="32"/>
      <c r="AX50" s="32"/>
      <c r="AY50" s="32"/>
      <c r="AZ50" s="32"/>
      <c r="BA50" s="32"/>
      <c r="BB50" s="32"/>
      <c r="BC50" s="32"/>
      <c r="BD50" s="32">
        <f>IFERROR(__xludf.DUMMYFUNCTION("""COMPUTED_VALUE"""),0.0)</f>
        <v>0</v>
      </c>
      <c r="BE50" s="32">
        <f>IFERROR(__xludf.DUMMYFUNCTION("""COMPUTED_VALUE"""),10.0)</f>
        <v>10</v>
      </c>
      <c r="BF50" s="32"/>
      <c r="BG50" s="32"/>
      <c r="BH50" s="32" t="str">
        <f>IFERROR(__xludf.DUMMYFUNCTION("""COMPUTED_VALUE"""),"Land of Spira")</f>
        <v>Land of Spira</v>
      </c>
      <c r="BI50" s="32"/>
      <c r="BJ50" s="32"/>
      <c r="BK50" s="32"/>
      <c r="BL50" s="32" t="b">
        <f>IFERROR(__xludf.DUMMYFUNCTION("""COMPUTED_VALUE"""),FALSE)</f>
        <v>0</v>
      </c>
      <c r="BM50" s="32"/>
      <c r="BN50" s="32"/>
      <c r="BO50" s="32"/>
      <c r="BP50" s="32"/>
      <c r="BQ50" s="32"/>
    </row>
    <row r="51">
      <c r="A51" s="32" t="str">
        <f>IFERROR(__xludf.DUMMYFUNCTION("""COMPUTED_VALUE"""),"Crow")</f>
        <v>Crow</v>
      </c>
      <c r="B51" s="32">
        <f>IFERROR(__xludf.DUMMYFUNCTION("""COMPUTED_VALUE"""),1.0)</f>
        <v>1</v>
      </c>
      <c r="C51" s="32" t="str">
        <f>IFERROR(__xludf.DUMMYFUNCTION("""COMPUTED_VALUE"""),"A bird with a penchant for eyeball poking and shinies nabbing.")</f>
        <v>A bird with a penchant for eyeball poking and shinies nabbing.</v>
      </c>
      <c r="D51" s="32" t="str">
        <f>IFERROR(__xludf.DUMMYFUNCTION("""COMPUTED_VALUE"""),"Beast")</f>
        <v>Beast</v>
      </c>
      <c r="E51" s="32">
        <f>IFERROR(__xludf.DUMMYFUNCTION("""COMPUTED_VALUE"""),1010.0)</f>
        <v>1010</v>
      </c>
      <c r="F51" s="33">
        <f>IFERROR(__xludf.DUMMYFUNCTION("""COMPUTED_VALUE"""),1010.0)</f>
        <v>1010</v>
      </c>
      <c r="G51" s="32">
        <f>IFERROR(__xludf.DUMMYFUNCTION("""COMPUTED_VALUE"""),1010.0)</f>
        <v>1010</v>
      </c>
      <c r="H51" s="32">
        <f>IFERROR(__xludf.DUMMYFUNCTION("""COMPUTED_VALUE"""),15.0)</f>
        <v>15</v>
      </c>
      <c r="I51" s="32">
        <f>IFERROR(__xludf.DUMMYFUNCTION("""COMPUTED_VALUE"""),0.0)</f>
        <v>0</v>
      </c>
      <c r="J51" s="32">
        <f>IFERROR(__xludf.DUMMYFUNCTION("""COMPUTED_VALUE"""),0.0)</f>
        <v>0</v>
      </c>
      <c r="K51" s="32">
        <f>IFERROR(__xludf.DUMMYFUNCTION("""COMPUTED_VALUE"""),100.0)</f>
        <v>100</v>
      </c>
      <c r="L51" s="32">
        <f>IFERROR(__xludf.DUMMYFUNCTION("""COMPUTED_VALUE"""),100.0)</f>
        <v>100</v>
      </c>
      <c r="M51" s="32" t="str">
        <f>IFERROR(__xludf.DUMMYFUNCTION("""COMPUTED_VALUE"""),"")</f>
        <v/>
      </c>
      <c r="N51" s="32" t="str">
        <f>IFERROR(__xludf.DUMMYFUNCTION("""COMPUTED_VALUE"""),"")</f>
        <v/>
      </c>
      <c r="O51" s="32"/>
      <c r="P51" s="32"/>
      <c r="Q51" s="32"/>
      <c r="R51" s="32"/>
      <c r="S51" s="32"/>
      <c r="T51" s="32"/>
      <c r="U51" s="32"/>
      <c r="V51" s="32"/>
      <c r="W51" s="32"/>
      <c r="X51" s="32"/>
      <c r="Y51" s="32"/>
      <c r="Z51" s="32"/>
      <c r="AA51" s="32"/>
      <c r="AB51" s="32"/>
      <c r="AC51" s="32"/>
      <c r="AD51" s="32"/>
      <c r="AE51" s="32"/>
      <c r="AF51" s="32"/>
      <c r="AG51" s="32"/>
      <c r="AH51" s="32"/>
      <c r="AI51" s="32"/>
      <c r="AJ51" s="32" t="str">
        <f>IFERROR(__xludf.DUMMYFUNCTION("""COMPUTED_VALUE"""),"Claws")</f>
        <v>Claws</v>
      </c>
      <c r="AK51" s="32" t="str">
        <f>IFERROR(__xludf.DUMMYFUNCTION("""COMPUTED_VALUE"""),"Rapid Swoop")</f>
        <v>Rapid Swoop</v>
      </c>
      <c r="AL51" s="32" t="str">
        <f>IFERROR(__xludf.DUMMYFUNCTION("""COMPUTED_VALUE"""),"Bite")</f>
        <v>Bite</v>
      </c>
      <c r="AM51" s="32" t="str">
        <f>IFERROR(__xludf.DUMMYFUNCTION("""COMPUTED_VALUE"""),"Taunt")</f>
        <v>Taunt</v>
      </c>
      <c r="AN51" s="32" t="str">
        <f>IFERROR(__xludf.DUMMYFUNCTION("""COMPUTED_VALUE"""),"Dive Bomb")</f>
        <v>Dive Bomb</v>
      </c>
      <c r="AO51" s="32"/>
      <c r="AP51" s="32"/>
      <c r="AQ51" s="32"/>
      <c r="AR51" s="32"/>
      <c r="AS51" s="32"/>
      <c r="AT51" s="32"/>
      <c r="AU51" s="32"/>
      <c r="AV51" s="32"/>
      <c r="AW51" s="32"/>
      <c r="AX51" s="32"/>
      <c r="AY51" s="32"/>
      <c r="AZ51" s="32"/>
      <c r="BA51" s="32"/>
      <c r="BB51" s="32"/>
      <c r="BC51" s="32"/>
      <c r="BD51" s="32">
        <f>IFERROR(__xludf.DUMMYFUNCTION("""COMPUTED_VALUE"""),0.0)</f>
        <v>0</v>
      </c>
      <c r="BE51" s="32">
        <f>IFERROR(__xludf.DUMMYFUNCTION("""COMPUTED_VALUE"""),10.0)</f>
        <v>10</v>
      </c>
      <c r="BF51" s="32"/>
      <c r="BG51" s="32" t="str">
        <f>IFERROR(__xludf.DUMMYFUNCTION("""COMPUTED_VALUE"""),"All")</f>
        <v>All</v>
      </c>
      <c r="BH51" s="32" t="str">
        <f>IFERROR(__xludf.DUMMYFUNCTION("""COMPUTED_VALUE"""),"Land of Spira")</f>
        <v>Land of Spira</v>
      </c>
      <c r="BI51" s="32"/>
      <c r="BJ51" s="32"/>
      <c r="BK51" s="32"/>
      <c r="BL51" s="32" t="b">
        <f>IFERROR(__xludf.DUMMYFUNCTION("""COMPUTED_VALUE"""),FALSE)</f>
        <v>0</v>
      </c>
      <c r="BM51" s="32"/>
      <c r="BN51" s="32"/>
      <c r="BO51" s="32"/>
      <c r="BP51" s="32"/>
      <c r="BQ51" s="32"/>
    </row>
    <row r="52">
      <c r="A52" s="32" t="str">
        <f>IFERROR(__xludf.DUMMYFUNCTION("""COMPUTED_VALUE"""),"Crystal Dragon")</f>
        <v>Crystal Dragon</v>
      </c>
      <c r="B52" s="32">
        <f>IFERROR(__xludf.DUMMYFUNCTION("""COMPUTED_VALUE"""),1.0)</f>
        <v>1</v>
      </c>
      <c r="C52" s="32" t="str">
        <f>IFERROR(__xludf.DUMMYFUNCTION("""COMPUTED_VALUE"""),"Is it a dragon? Is it just a clump of rocks? sometimes it better not to get close enough to find out.")</f>
        <v>Is it a dragon? Is it just a clump of rocks? sometimes it better not to get close enough to find out.</v>
      </c>
      <c r="D52" s="32" t="str">
        <f>IFERROR(__xludf.DUMMYFUNCTION("""COMPUTED_VALUE"""),"Draconic")</f>
        <v>Draconic</v>
      </c>
      <c r="E52" s="32">
        <f>IFERROR(__xludf.DUMMYFUNCTION("""COMPUTED_VALUE"""),1010.0)</f>
        <v>1010</v>
      </c>
      <c r="F52" s="33">
        <f>IFERROR(__xludf.DUMMYFUNCTION("""COMPUTED_VALUE"""),31010.0)</f>
        <v>31010</v>
      </c>
      <c r="G52" s="32">
        <f>IFERROR(__xludf.DUMMYFUNCTION("""COMPUTED_VALUE"""),1010.0)</f>
        <v>1010</v>
      </c>
      <c r="H52" s="32">
        <f>IFERROR(__xludf.DUMMYFUNCTION("""COMPUTED_VALUE"""),10.0)</f>
        <v>10</v>
      </c>
      <c r="I52" s="32">
        <f>IFERROR(__xludf.DUMMYFUNCTION("""COMPUTED_VALUE"""),0.0)</f>
        <v>0</v>
      </c>
      <c r="J52" s="32">
        <f>IFERROR(__xludf.DUMMYFUNCTION("""COMPUTED_VALUE"""),0.0)</f>
        <v>0</v>
      </c>
      <c r="K52" s="32">
        <f>IFERROR(__xludf.DUMMYFUNCTION("""COMPUTED_VALUE"""),100.0)</f>
        <v>100</v>
      </c>
      <c r="L52" s="32">
        <f>IFERROR(__xludf.DUMMYFUNCTION("""COMPUTED_VALUE"""),100.0)</f>
        <v>100</v>
      </c>
      <c r="M52" s="32" t="str">
        <f>IFERROR(__xludf.DUMMYFUNCTION("""COMPUTED_VALUE"""),"Storm:100, Fire:100, Earth:100, ")</f>
        <v>Storm:100, Fire:100, Earth:100, </v>
      </c>
      <c r="N52" s="32" t="str">
        <f>IFERROR(__xludf.DUMMYFUNCTION("""COMPUTED_VALUE"""),"")</f>
        <v/>
      </c>
      <c r="O52" s="32"/>
      <c r="P52" s="32"/>
      <c r="Q52" s="32"/>
      <c r="R52" s="32"/>
      <c r="S52" s="32"/>
      <c r="T52" s="32"/>
      <c r="U52" s="32"/>
      <c r="V52" s="32"/>
      <c r="W52" s="32"/>
      <c r="X52" s="32"/>
      <c r="Y52" s="32"/>
      <c r="Z52" s="32"/>
      <c r="AA52" s="32"/>
      <c r="AB52" s="32"/>
      <c r="AC52" s="32"/>
      <c r="AD52" s="32"/>
      <c r="AE52" s="32"/>
      <c r="AF52" s="32"/>
      <c r="AG52" s="32"/>
      <c r="AH52" s="32"/>
      <c r="AI52" s="32"/>
      <c r="AJ52" s="32" t="str">
        <f>IFERROR(__xludf.DUMMYFUNCTION("""COMPUTED_VALUE"""),"Dragon's Breath")</f>
        <v>Dragon's Breath</v>
      </c>
      <c r="AK52" s="32" t="str">
        <f>IFERROR(__xludf.DUMMYFUNCTION("""COMPUTED_VALUE"""),"Bite")</f>
        <v>Bite</v>
      </c>
      <c r="AL52" s="32" t="str">
        <f>IFERROR(__xludf.DUMMYFUNCTION("""COMPUTED_VALUE"""),"Tail Smash")</f>
        <v>Tail Smash</v>
      </c>
      <c r="AM52" s="32" t="str">
        <f>IFERROR(__xludf.DUMMYFUNCTION("""COMPUTED_VALUE"""),"Claws")</f>
        <v>Claws</v>
      </c>
      <c r="AN52" s="32" t="str">
        <f>IFERROR(__xludf.DUMMYFUNCTION("""COMPUTED_VALUE"""),"Berserk")</f>
        <v>Berserk</v>
      </c>
      <c r="AO52" s="32" t="str">
        <f>IFERROR(__xludf.DUMMYFUNCTION("""COMPUTED_VALUE"""),"Multishot")</f>
        <v>Multishot</v>
      </c>
      <c r="AP52" s="32" t="str">
        <f>IFERROR(__xludf.DUMMYFUNCTION("""COMPUTED_VALUE"""),"Draconic Scream")</f>
        <v>Draconic Scream</v>
      </c>
      <c r="AQ52" s="32" t="str">
        <f>IFERROR(__xludf.DUMMYFUNCTION("""COMPUTED_VALUE"""),"Searing Saphire Strike")</f>
        <v>Searing Saphire Strike</v>
      </c>
      <c r="AR52" s="32" t="str">
        <f>IFERROR(__xludf.DUMMYFUNCTION("""COMPUTED_VALUE"""),"Energizing Emerald Pulse")</f>
        <v>Energizing Emerald Pulse</v>
      </c>
      <c r="AS52" s="32" t="str">
        <f>IFERROR(__xludf.DUMMYFUNCTION("""COMPUTED_VALUE"""),"Molten Ruby Spikes")</f>
        <v>Molten Ruby Spikes</v>
      </c>
      <c r="AT52" s="32" t="str">
        <f>IFERROR(__xludf.DUMMYFUNCTION("""COMPUTED_VALUE"""),"Celestial Wrath")</f>
        <v>Celestial Wrath</v>
      </c>
      <c r="AU52" s="32"/>
      <c r="AV52" s="32"/>
      <c r="AW52" s="32"/>
      <c r="AX52" s="32"/>
      <c r="AY52" s="32"/>
      <c r="AZ52" s="32"/>
      <c r="BA52" s="32"/>
      <c r="BB52" s="32"/>
      <c r="BC52" s="32"/>
      <c r="BD52" s="32">
        <f>IFERROR(__xludf.DUMMYFUNCTION("""COMPUTED_VALUE"""),0.0)</f>
        <v>0</v>
      </c>
      <c r="BE52" s="32">
        <f>IFERROR(__xludf.DUMMYFUNCTION("""COMPUTED_VALUE"""),10.0)</f>
        <v>10</v>
      </c>
      <c r="BF52"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32" t="str">
        <f>IFERROR(__xludf.DUMMYFUNCTION("""COMPUTED_VALUE"""),"City/Town")</f>
        <v>City/Town</v>
      </c>
      <c r="BH52" s="32" t="str">
        <f>IFERROR(__xludf.DUMMYFUNCTION("""COMPUTED_VALUE"""),"Dragonscale Island")</f>
        <v>Dragonscale Island</v>
      </c>
      <c r="BI52" s="32"/>
      <c r="BJ52" s="32"/>
      <c r="BK52" s="32"/>
      <c r="BL52" s="32" t="b">
        <f>IFERROR(__xludf.DUMMYFUNCTION("""COMPUTED_VALUE"""),FALSE)</f>
        <v>0</v>
      </c>
      <c r="BM52" s="32"/>
      <c r="BN52" s="32"/>
      <c r="BO52" s="32"/>
      <c r="BP52" s="32"/>
      <c r="BQ52" s="32"/>
    </row>
    <row r="53">
      <c r="A53" s="32" t="str">
        <f>IFERROR(__xludf.DUMMYFUNCTION("""COMPUTED_VALUE"""),"Crystal Guardian")</f>
        <v>Crystal Guardian</v>
      </c>
      <c r="B53" s="32">
        <f>IFERROR(__xludf.DUMMYFUNCTION("""COMPUTED_VALUE"""),1.0)</f>
        <v>1</v>
      </c>
      <c r="C53" s="32" t="str">
        <f>IFERROR(__xludf.DUMMYFUNCTION("""COMPUTED_VALUE"""),"Made purely out of crystal and yet not smart enough to try to us that to blend in, idiots.")</f>
        <v>Made purely out of crystal and yet not smart enough to try to us that to blend in, idiots.</v>
      </c>
      <c r="D53" s="32" t="str">
        <f>IFERROR(__xludf.DUMMYFUNCTION("""COMPUTED_VALUE"""),"Construct")</f>
        <v>Construct</v>
      </c>
      <c r="E53" s="32">
        <f>IFERROR(__xludf.DUMMYFUNCTION("""COMPUTED_VALUE"""),1010.0)</f>
        <v>1010</v>
      </c>
      <c r="F53" s="33">
        <f>IFERROR(__xludf.DUMMYFUNCTION("""COMPUTED_VALUE"""),1010.0)</f>
        <v>1010</v>
      </c>
      <c r="G53" s="32">
        <f>IFERROR(__xludf.DUMMYFUNCTION("""COMPUTED_VALUE"""),1010.0)</f>
        <v>1010</v>
      </c>
      <c r="H53" s="32">
        <f>IFERROR(__xludf.DUMMYFUNCTION("""COMPUTED_VALUE"""),10.0)</f>
        <v>10</v>
      </c>
      <c r="I53" s="32">
        <f>IFERROR(__xludf.DUMMYFUNCTION("""COMPUTED_VALUE"""),0.0)</f>
        <v>0</v>
      </c>
      <c r="J53" s="32">
        <f>IFERROR(__xludf.DUMMYFUNCTION("""COMPUTED_VALUE"""),0.0)</f>
        <v>0</v>
      </c>
      <c r="K53" s="32">
        <f>IFERROR(__xludf.DUMMYFUNCTION("""COMPUTED_VALUE"""),100.0)</f>
        <v>100</v>
      </c>
      <c r="L53" s="32">
        <f>IFERROR(__xludf.DUMMYFUNCTION("""COMPUTED_VALUE"""),100.0)</f>
        <v>100</v>
      </c>
      <c r="M53" s="32" t="str">
        <f>IFERROR(__xludf.DUMMYFUNCTION("""COMPUTED_VALUE"""),"Fire:Immune, ")</f>
        <v>Fire:Immune, </v>
      </c>
      <c r="N53" s="32" t="str">
        <f>IFERROR(__xludf.DUMMYFUNCTION("""COMPUTED_VALUE"""),"Water:100, Storm:100, ")</f>
        <v>Water:100, Storm:100, </v>
      </c>
      <c r="O53" s="32" t="str">
        <f>IFERROR(__xludf.DUMMYFUNCTION("""COMPUTED_VALUE"""),"Crystal Forged Helmet")</f>
        <v>Crystal Forged Helmet</v>
      </c>
      <c r="P53" s="32" t="str">
        <f>IFERROR(__xludf.DUMMYFUNCTION("""COMPUTED_VALUE"""),"Black Crystal Necklace of Luck")</f>
        <v>Black Crystal Necklace of Luck</v>
      </c>
      <c r="Q53" s="32" t="str">
        <f>IFERROR(__xludf.DUMMYFUNCTION("""COMPUTED_VALUE"""),"Crystal Healing Amulet")</f>
        <v>Crystal Healing Amulet</v>
      </c>
      <c r="R53" s="32"/>
      <c r="S53" s="32" t="str">
        <f>IFERROR(__xludf.DUMMYFUNCTION("""COMPUTED_VALUE"""),"Crystal Forged Pauldrons")</f>
        <v>Crystal Forged Pauldrons</v>
      </c>
      <c r="T53" s="32" t="str">
        <f>IFERROR(__xludf.DUMMYFUNCTION("""COMPUTED_VALUE"""),"Crystal Forged Chestplate")</f>
        <v>Crystal Forged Chestplate</v>
      </c>
      <c r="U53" s="32" t="str">
        <f>IFERROR(__xludf.DUMMYFUNCTION("""COMPUTED_VALUE"""),"Crystal Forged Vambraces")</f>
        <v>Crystal Forged Vambraces</v>
      </c>
      <c r="V53" s="32" t="str">
        <f>IFERROR(__xludf.DUMMYFUNCTION("""COMPUTED_VALUE"""),"Crystal Longsword")</f>
        <v>Crystal Longsword</v>
      </c>
      <c r="W53" s="32"/>
      <c r="X53" s="32" t="str">
        <f>IFERROR(__xludf.DUMMYFUNCTION("""COMPUTED_VALUE"""),"Crystal Ring")</f>
        <v>Crystal Ring</v>
      </c>
      <c r="Y53" s="32"/>
      <c r="Z53" s="32"/>
      <c r="AA53" s="32"/>
      <c r="AB53" s="32"/>
      <c r="AC53" s="32"/>
      <c r="AD53" s="32"/>
      <c r="AE53" s="32"/>
      <c r="AF53" s="32"/>
      <c r="AG53" s="32"/>
      <c r="AH53" s="32"/>
      <c r="AI53" s="32"/>
      <c r="AJ53" s="32" t="str">
        <f>IFERROR(__xludf.DUMMYFUNCTION("""COMPUTED_VALUE"""),"Earthquake")</f>
        <v>Earthquake</v>
      </c>
      <c r="AK53" s="32" t="str">
        <f>IFERROR(__xludf.DUMMYFUNCTION("""COMPUTED_VALUE"""),"Rock Cycle")</f>
        <v>Rock Cycle</v>
      </c>
      <c r="AL53" s="32" t="str">
        <f>IFERROR(__xludf.DUMMYFUNCTION("""COMPUTED_VALUE"""),"Multishot")</f>
        <v>Multishot</v>
      </c>
      <c r="AM53" s="32" t="str">
        <f>IFERROR(__xludf.DUMMYFUNCTION("""COMPUTED_VALUE"""),"Molten Ruby Spikes")</f>
        <v>Molten Ruby Spikes</v>
      </c>
      <c r="AN53" s="32" t="str">
        <f>IFERROR(__xludf.DUMMYFUNCTION("""COMPUTED_VALUE"""),"Searing Saphire Strike")</f>
        <v>Searing Saphire Strike</v>
      </c>
      <c r="AO53" s="32" t="str">
        <f>IFERROR(__xludf.DUMMYFUNCTION("""COMPUTED_VALUE"""),"Energizing Emerald Pulse")</f>
        <v>Energizing Emerald Pulse</v>
      </c>
      <c r="AP53" s="32" t="str">
        <f>IFERROR(__xludf.DUMMYFUNCTION("""COMPUTED_VALUE"""),"Berserk")</f>
        <v>Berserk</v>
      </c>
      <c r="AQ53" s="32"/>
      <c r="AR53" s="32"/>
      <c r="AS53" s="32"/>
      <c r="AT53" s="32"/>
      <c r="AU53" s="32"/>
      <c r="AV53" s="32"/>
      <c r="AW53" s="32"/>
      <c r="AX53" s="32"/>
      <c r="AY53" s="32"/>
      <c r="AZ53" s="32"/>
      <c r="BA53" s="32"/>
      <c r="BB53" s="32"/>
      <c r="BC53" s="32"/>
      <c r="BD53" s="32">
        <f>IFERROR(__xludf.DUMMYFUNCTION("""COMPUTED_VALUE"""),0.0)</f>
        <v>0</v>
      </c>
      <c r="BE53" s="32">
        <f>IFERROR(__xludf.DUMMYFUNCTION("""COMPUTED_VALUE"""),10.0)</f>
        <v>10</v>
      </c>
      <c r="BF53" s="32" t="str">
        <f>IFERROR(__xludf.DUMMYFUNCTION("""COMPUTED_VALUE"""),"Forged in Crystals: +5 can be added to this mobs rolls.")</f>
        <v>Forged in Crystals: +5 can be added to this mobs rolls.</v>
      </c>
      <c r="BG53" s="32" t="str">
        <f>IFERROR(__xludf.DUMMYFUNCTION("""COMPUTED_VALUE"""),"City/Town")</f>
        <v>City/Town</v>
      </c>
      <c r="BH53" s="32" t="str">
        <f>IFERROR(__xludf.DUMMYFUNCTION("""COMPUTED_VALUE"""),"Land of Spira")</f>
        <v>Land of Spira</v>
      </c>
      <c r="BI53" s="32"/>
      <c r="BJ53" s="32"/>
      <c r="BK53" s="32"/>
      <c r="BL53" s="32" t="b">
        <f>IFERROR(__xludf.DUMMYFUNCTION("""COMPUTED_VALUE"""),FALSE)</f>
        <v>0</v>
      </c>
      <c r="BM53" s="32"/>
      <c r="BN53" s="32"/>
      <c r="BO53" s="32"/>
      <c r="BP53" s="32"/>
      <c r="BQ53" s="32"/>
    </row>
    <row r="54">
      <c r="A54" s="32" t="str">
        <f>IFERROR(__xludf.DUMMYFUNCTION("""COMPUTED_VALUE"""),"Cthulhu")</f>
        <v>Cthulhu</v>
      </c>
      <c r="B54" s="32">
        <f>IFERROR(__xludf.DUMMYFUNCTION("""COMPUTED_VALUE"""),1.0)</f>
        <v>1</v>
      </c>
      <c r="C54" s="32" t="str">
        <f>IFERROR(__xludf.DUMMYFUNCTION("""COMPUTED_VALUE"""),"Hates Bards with a burning passion.")</f>
        <v>Hates Bards with a burning passion.</v>
      </c>
      <c r="D54" s="33" t="str">
        <f>IFERROR(__xludf.DUMMYFUNCTION("""COMPUTED_VALUE"""),"Monstrosity")</f>
        <v>Monstrosity</v>
      </c>
      <c r="E54" s="33">
        <f>IFERROR(__xludf.DUMMYFUNCTION("""COMPUTED_VALUE"""),1010.0)</f>
        <v>1010</v>
      </c>
      <c r="F54" s="33">
        <f>IFERROR(__xludf.DUMMYFUNCTION("""COMPUTED_VALUE"""),1010.0)</f>
        <v>1010</v>
      </c>
      <c r="G54" s="33">
        <f>IFERROR(__xludf.DUMMYFUNCTION("""COMPUTED_VALUE"""),1010.0)</f>
        <v>1010</v>
      </c>
      <c r="H54" s="32">
        <f>IFERROR(__xludf.DUMMYFUNCTION("""COMPUTED_VALUE"""),20.0)</f>
        <v>20</v>
      </c>
      <c r="I54" s="32">
        <f>IFERROR(__xludf.DUMMYFUNCTION("""COMPUTED_VALUE"""),20.0)</f>
        <v>20</v>
      </c>
      <c r="J54" s="32">
        <f>IFERROR(__xludf.DUMMYFUNCTION("""COMPUTED_VALUE"""),0.0)</f>
        <v>0</v>
      </c>
      <c r="K54" s="32">
        <f>IFERROR(__xludf.DUMMYFUNCTION("""COMPUTED_VALUE"""),100.0)</f>
        <v>100</v>
      </c>
      <c r="L54" s="32">
        <f>IFERROR(__xludf.DUMMYFUNCTION("""COMPUTED_VALUE"""),100.0)</f>
        <v>100</v>
      </c>
      <c r="M54" s="32" t="str">
        <f>IFERROR(__xludf.DUMMYFUNCTION("""COMPUTED_VALUE"""),"Fire:Immune, Water:Immune, Dark:Immune, Chaos:Immune, Voodoo:Immune, Instant Death:Immune, Banishment:Immune, ")</f>
        <v>Fire:Immune, Water:Immune, Dark:Immune, Chaos:Immune, Voodoo:Immune, Instant Death:Immune, Banishment:Immune, </v>
      </c>
      <c r="N54" s="32" t="str">
        <f>IFERROR(__xludf.DUMMYFUNCTION("""COMPUTED_VALUE"""),"Storm:100, Light:100, Nature:100, Celestial:100, ")</f>
        <v>Storm:100, Light:100, Nature:100, Celestial:100, </v>
      </c>
      <c r="O54" s="32"/>
      <c r="P54" s="32"/>
      <c r="Q54" s="32"/>
      <c r="R54" s="32"/>
      <c r="S54" s="32"/>
      <c r="T54" s="32"/>
      <c r="U54" s="32"/>
      <c r="V54" s="32"/>
      <c r="W54" s="32"/>
      <c r="X54" s="32"/>
      <c r="Y54" s="32"/>
      <c r="Z54" s="32"/>
      <c r="AA54" s="32"/>
      <c r="AB54" s="32"/>
      <c r="AC54" s="32"/>
      <c r="AD54" s="32"/>
      <c r="AE54" s="32"/>
      <c r="AF54" s="32"/>
      <c r="AG54" s="32"/>
      <c r="AH54" s="32"/>
      <c r="AI54" s="32"/>
      <c r="AJ54" s="32" t="str">
        <f>IFERROR(__xludf.DUMMYFUNCTION("""COMPUTED_VALUE"""),"Absorbing Blood")</f>
        <v>Absorbing Blood</v>
      </c>
      <c r="AK54" s="32" t="str">
        <f>IFERROR(__xludf.DUMMYFUNCTION("""COMPUTED_VALUE"""),"Swallow")</f>
        <v>Swallow</v>
      </c>
      <c r="AL54" s="32" t="str">
        <f>IFERROR(__xludf.DUMMYFUNCTION("""COMPUTED_VALUE"""),"Blood Geyser")</f>
        <v>Blood Geyser</v>
      </c>
      <c r="AM54" s="32" t="str">
        <f>IFERROR(__xludf.DUMMYFUNCTION("""COMPUTED_VALUE"""),"Purified Blood")</f>
        <v>Purified Blood</v>
      </c>
      <c r="AN54" s="32" t="str">
        <f>IFERROR(__xludf.DUMMYFUNCTION("""COMPUTED_VALUE"""),"Damage With A Cost.")</f>
        <v>Damage With A Cost.</v>
      </c>
      <c r="AO54" s="32" t="str">
        <f>IFERROR(__xludf.DUMMYFUNCTION("""COMPUTED_VALUE"""),"Elemental Storm")</f>
        <v>Elemental Storm</v>
      </c>
      <c r="AP54" s="32" t="str">
        <f>IFERROR(__xludf.DUMMYFUNCTION("""COMPUTED_VALUE"""),"Vaporize")</f>
        <v>Vaporize</v>
      </c>
      <c r="AQ54" s="32" t="str">
        <f>IFERROR(__xludf.DUMMYFUNCTION("""COMPUTED_VALUE"""),"Mass Destruction")</f>
        <v>Mass Destruction</v>
      </c>
      <c r="AR54" s="32" t="str">
        <f>IFERROR(__xludf.DUMMYFUNCTION("""COMPUTED_VALUE"""),"Berserk")</f>
        <v>Berserk</v>
      </c>
      <c r="AS54" s="32" t="str">
        <f>IFERROR(__xludf.DUMMYFUNCTION("""COMPUTED_VALUE"""),"Multishot")</f>
        <v>Multishot</v>
      </c>
      <c r="AT54" s="32"/>
      <c r="AU54" s="32"/>
      <c r="AV54" s="32"/>
      <c r="AW54" s="32"/>
      <c r="AX54" s="32"/>
      <c r="AY54" s="32"/>
      <c r="AZ54" s="32"/>
      <c r="BA54" s="32"/>
      <c r="BB54" s="32"/>
      <c r="BC54" s="32"/>
      <c r="BD54" s="32">
        <f>IFERROR(__xludf.DUMMYFUNCTION("""COMPUTED_VALUE"""),20.0)</f>
        <v>20</v>
      </c>
      <c r="BE54" s="32">
        <f>IFERROR(__xludf.DUMMYFUNCTION("""COMPUTED_VALUE"""),20.0)</f>
        <v>20</v>
      </c>
      <c r="BF54" s="32"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32" t="str">
        <f>IFERROR(__xludf.DUMMYFUNCTION("""COMPUTED_VALUE"""),"Ocean")</f>
        <v>Ocean</v>
      </c>
      <c r="BH54" s="32" t="str">
        <f>IFERROR(__xludf.DUMMYFUNCTION("""COMPUTED_VALUE"""),"Land Of Spira")</f>
        <v>Land Of Spira</v>
      </c>
      <c r="BI54" s="32"/>
      <c r="BJ54" s="32"/>
      <c r="BK54" s="32"/>
      <c r="BL54" s="32" t="b">
        <f>IFERROR(__xludf.DUMMYFUNCTION("""COMPUTED_VALUE"""),FALSE)</f>
        <v>0</v>
      </c>
      <c r="BM54" s="32"/>
      <c r="BN54" s="32"/>
      <c r="BO54" s="32"/>
      <c r="BP54" s="32"/>
      <c r="BQ54" s="32"/>
    </row>
    <row r="55">
      <c r="A55" s="32" t="str">
        <f>IFERROR(__xludf.DUMMYFUNCTION("""COMPUTED_VALUE"""),"Cultist of Dreadful")</f>
        <v>Cultist of Dreadful</v>
      </c>
      <c r="B55" s="32">
        <f>IFERROR(__xludf.DUMMYFUNCTION("""COMPUTED_VALUE"""),1.0)</f>
        <v>1</v>
      </c>
      <c r="C55" s="32" t="str">
        <f>IFERROR(__xludf.DUMMYFUNCTION("""COMPUTED_VALUE"""),"A stabby little bastard dead set on ruining your day cus' he's a cunt.")</f>
        <v>A stabby little bastard dead set on ruining your day cus' he's a cunt.</v>
      </c>
      <c r="D55" s="32" t="str">
        <f>IFERROR(__xludf.DUMMYFUNCTION("""COMPUTED_VALUE"""),"Humanoid")</f>
        <v>Humanoid</v>
      </c>
      <c r="E55" s="32">
        <f>IFERROR(__xludf.DUMMYFUNCTION("""COMPUTED_VALUE"""),1010.0)</f>
        <v>1010</v>
      </c>
      <c r="F55" s="33">
        <f>IFERROR(__xludf.DUMMYFUNCTION("""COMPUTED_VALUE"""),1010.0)</f>
        <v>1010</v>
      </c>
      <c r="G55" s="32">
        <f>IFERROR(__xludf.DUMMYFUNCTION("""COMPUTED_VALUE"""),1010.0)</f>
        <v>1010</v>
      </c>
      <c r="H55" s="32">
        <f>IFERROR(__xludf.DUMMYFUNCTION("""COMPUTED_VALUE"""),10.0)</f>
        <v>10</v>
      </c>
      <c r="I55" s="32">
        <f>IFERROR(__xludf.DUMMYFUNCTION("""COMPUTED_VALUE"""),0.0)</f>
        <v>0</v>
      </c>
      <c r="J55" s="32">
        <f>IFERROR(__xludf.DUMMYFUNCTION("""COMPUTED_VALUE"""),0.0)</f>
        <v>0</v>
      </c>
      <c r="K55" s="32">
        <f>IFERROR(__xludf.DUMMYFUNCTION("""COMPUTED_VALUE"""),100.0)</f>
        <v>100</v>
      </c>
      <c r="L55" s="32">
        <f>IFERROR(__xludf.DUMMYFUNCTION("""COMPUTED_VALUE"""),100.0)</f>
        <v>100</v>
      </c>
      <c r="M55" s="32" t="str">
        <f>IFERROR(__xludf.DUMMYFUNCTION("""COMPUTED_VALUE"""),"Dark:Immune, Chaos:Immune, Voodoo:Immune, Instant Death:Immune, ")</f>
        <v>Dark:Immune, Chaos:Immune, Voodoo:Immune, Instant Death:Immune, </v>
      </c>
      <c r="N55" s="32" t="str">
        <f>IFERROR(__xludf.DUMMYFUNCTION("""COMPUTED_VALUE"""),"Light:100, Order:100, ")</f>
        <v>Light:100, Order:100, </v>
      </c>
      <c r="O55" s="32"/>
      <c r="P55" s="32"/>
      <c r="Q55" s="32"/>
      <c r="R55" s="32"/>
      <c r="S55" s="32"/>
      <c r="T55" s="32"/>
      <c r="U55" s="32"/>
      <c r="V55" s="32" t="str">
        <f>IFERROR(__xludf.DUMMYFUNCTION("""COMPUTED_VALUE"""),"Stick of Mystery ")</f>
        <v>Stick of Mystery </v>
      </c>
      <c r="W55" s="32" t="str">
        <f>IFERROR(__xludf.DUMMYFUNCTION("""COMPUTED_VALUE"""),"Stick of Mystery ")</f>
        <v>Stick of Mystery </v>
      </c>
      <c r="X55" s="32"/>
      <c r="Y55" s="32"/>
      <c r="Z55" s="32"/>
      <c r="AA55" s="32"/>
      <c r="AB55" s="32"/>
      <c r="AC55" s="32"/>
      <c r="AD55" s="32"/>
      <c r="AE55" s="32"/>
      <c r="AF55" s="32"/>
      <c r="AG55" s="32"/>
      <c r="AH55" s="32"/>
      <c r="AI55" s="32"/>
      <c r="AJ55" s="32" t="str">
        <f>IFERROR(__xludf.DUMMYFUNCTION("""COMPUTED_VALUE"""),"Dark Sacrifice")</f>
        <v>Dark Sacrifice</v>
      </c>
      <c r="AK55" s="32" t="str">
        <f>IFERROR(__xludf.DUMMYFUNCTION("""COMPUTED_VALUE"""),"Darkest Abyss")</f>
        <v>Darkest Abyss</v>
      </c>
      <c r="AL55" s="32" t="str">
        <f>IFERROR(__xludf.DUMMYFUNCTION("""COMPUTED_VALUE"""),"End the voodoo contract")</f>
        <v>End the voodoo contract</v>
      </c>
      <c r="AM55" s="32" t="str">
        <f>IFERROR(__xludf.DUMMYFUNCTION("""COMPUTED_VALUE"""),"Voodoo Meteor Shower")</f>
        <v>Voodoo Meteor Shower</v>
      </c>
      <c r="AN55" s="32" t="str">
        <f>IFERROR(__xludf.DUMMYFUNCTION("""COMPUTED_VALUE"""),"Last Gamble")</f>
        <v>Last Gamble</v>
      </c>
      <c r="AO55" s="32" t="str">
        <f>IFERROR(__xludf.DUMMYFUNCTION("""COMPUTED_VALUE"""),"Chaos Ward")</f>
        <v>Chaos Ward</v>
      </c>
      <c r="AP55" s="32" t="str">
        <f>IFERROR(__xludf.DUMMYFUNCTION("""COMPUTED_VALUE"""),"Dimension Portal")</f>
        <v>Dimension Portal</v>
      </c>
      <c r="AQ55" s="32" t="str">
        <f>IFERROR(__xludf.DUMMYFUNCTION("""COMPUTED_VALUE"""),"Bloody Alliance")</f>
        <v>Bloody Alliance</v>
      </c>
      <c r="AR55" s="32" t="str">
        <f>IFERROR(__xludf.DUMMYFUNCTION("""COMPUTED_VALUE"""),"Blood Geyser")</f>
        <v>Blood Geyser</v>
      </c>
      <c r="AS55" s="32"/>
      <c r="AT55" s="32"/>
      <c r="AU55" s="32"/>
      <c r="AV55" s="32"/>
      <c r="AW55" s="32"/>
      <c r="AX55" s="32"/>
      <c r="AY55" s="32"/>
      <c r="AZ55" s="32"/>
      <c r="BA55" s="32"/>
      <c r="BB55" s="32"/>
      <c r="BC55" s="32"/>
      <c r="BD55" s="32">
        <f>IFERROR(__xludf.DUMMYFUNCTION("""COMPUTED_VALUE"""),0.0)</f>
        <v>0</v>
      </c>
      <c r="BE55" s="32">
        <f>IFERROR(__xludf.DUMMYFUNCTION("""COMPUTED_VALUE"""),10.0)</f>
        <v>10</v>
      </c>
      <c r="BF55" s="32" t="str">
        <f>IFERROR(__xludf.DUMMYFUNCTION("""COMPUTED_VALUE"""),"25% chance to inflict the target that killed this mob with a random non-permanent curse.")</f>
        <v>25% chance to inflict the target that killed this mob with a random non-permanent curse.</v>
      </c>
      <c r="BG55" s="32" t="str">
        <f>IFERROR(__xludf.DUMMYFUNCTION("""COMPUTED_VALUE"""),"All")</f>
        <v>All</v>
      </c>
      <c r="BH55" s="32" t="str">
        <f>IFERROR(__xludf.DUMMYFUNCTION("""COMPUTED_VALUE"""),"Land of Spira")</f>
        <v>Land of Spira</v>
      </c>
      <c r="BI55" s="32"/>
      <c r="BJ55" s="32"/>
      <c r="BK55" s="32"/>
      <c r="BL55" s="32" t="b">
        <f>IFERROR(__xludf.DUMMYFUNCTION("""COMPUTED_VALUE"""),FALSE)</f>
        <v>0</v>
      </c>
      <c r="BM55" s="32"/>
      <c r="BN55" s="32"/>
      <c r="BO55" s="32"/>
      <c r="BP55" s="32"/>
      <c r="BQ55" s="32"/>
    </row>
    <row r="56">
      <c r="A56" s="32" t="str">
        <f>IFERROR(__xludf.DUMMYFUNCTION("""COMPUTED_VALUE"""),"Cultist Leader")</f>
        <v>Cultist Leader</v>
      </c>
      <c r="B56" s="32">
        <f>IFERROR(__xludf.DUMMYFUNCTION("""COMPUTED_VALUE"""),1.0)</f>
        <v>1</v>
      </c>
      <c r="C56" s="32" t="str">
        <f>IFERROR(__xludf.DUMMYFUNCTION("""COMPUTED_VALUE"""),"an even stabbier, slightly less little bastard.")</f>
        <v>an even stabbier, slightly less little bastard.</v>
      </c>
      <c r="D56" s="32" t="str">
        <f>IFERROR(__xludf.DUMMYFUNCTION("""COMPUTED_VALUE"""),"Humanoid")</f>
        <v>Humanoid</v>
      </c>
      <c r="E56" s="32">
        <f>IFERROR(__xludf.DUMMYFUNCTION("""COMPUTED_VALUE"""),1010.0)</f>
        <v>1010</v>
      </c>
      <c r="F56" s="33">
        <f>IFERROR(__xludf.DUMMYFUNCTION("""COMPUTED_VALUE"""),1010.0)</f>
        <v>1010</v>
      </c>
      <c r="G56" s="32">
        <f>IFERROR(__xludf.DUMMYFUNCTION("""COMPUTED_VALUE"""),1010.0)</f>
        <v>1010</v>
      </c>
      <c r="H56" s="32">
        <f>IFERROR(__xludf.DUMMYFUNCTION("""COMPUTED_VALUE"""),10.0)</f>
        <v>10</v>
      </c>
      <c r="I56" s="32">
        <f>IFERROR(__xludf.DUMMYFUNCTION("""COMPUTED_VALUE"""),0.0)</f>
        <v>0</v>
      </c>
      <c r="J56" s="32">
        <f>IFERROR(__xludf.DUMMYFUNCTION("""COMPUTED_VALUE"""),0.0)</f>
        <v>0</v>
      </c>
      <c r="K56" s="32">
        <f>IFERROR(__xludf.DUMMYFUNCTION("""COMPUTED_VALUE"""),100.0)</f>
        <v>100</v>
      </c>
      <c r="L56" s="32">
        <f>IFERROR(__xludf.DUMMYFUNCTION("""COMPUTED_VALUE"""),100.0)</f>
        <v>100</v>
      </c>
      <c r="M56" s="32" t="str">
        <f>IFERROR(__xludf.DUMMYFUNCTION("""COMPUTED_VALUE"""),"Dark:Immune, Chaos:Immune, Voodoo:Immune, Instant Death:Immune, Banishment:Immune, ")</f>
        <v>Dark:Immune, Chaos:Immune, Voodoo:Immune, Instant Death:Immune, Banishment:Immune, </v>
      </c>
      <c r="N56" s="32" t="str">
        <f>IFERROR(__xludf.DUMMYFUNCTION("""COMPUTED_VALUE"""),"Light:100, Order:100, ")</f>
        <v>Light:100, Order:100, </v>
      </c>
      <c r="O56" s="32"/>
      <c r="P56" s="32"/>
      <c r="Q56" s="32"/>
      <c r="R56" s="32"/>
      <c r="S56" s="32"/>
      <c r="T56" s="32"/>
      <c r="U56" s="32"/>
      <c r="V56" s="32" t="str">
        <f>IFERROR(__xludf.DUMMYFUNCTION("""COMPUTED_VALUE"""),"Stick of Mystery ")</f>
        <v>Stick of Mystery </v>
      </c>
      <c r="W56" s="32" t="str">
        <f>IFERROR(__xludf.DUMMYFUNCTION("""COMPUTED_VALUE"""),"Stick of Mystery ")</f>
        <v>Stick of Mystery </v>
      </c>
      <c r="X56" s="32"/>
      <c r="Y56" s="32"/>
      <c r="Z56" s="32"/>
      <c r="AA56" s="32"/>
      <c r="AB56" s="32"/>
      <c r="AC56" s="32"/>
      <c r="AD56" s="32"/>
      <c r="AE56" s="32"/>
      <c r="AF56" s="32"/>
      <c r="AG56" s="32"/>
      <c r="AH56" s="32"/>
      <c r="AI56" s="32"/>
      <c r="AJ56" s="32" t="str">
        <f>IFERROR(__xludf.DUMMYFUNCTION("""COMPUTED_VALUE"""),"Dark Sacrifice")</f>
        <v>Dark Sacrifice</v>
      </c>
      <c r="AK56" s="32" t="str">
        <f>IFERROR(__xludf.DUMMYFUNCTION("""COMPUTED_VALUE"""),"Darkest Abyss")</f>
        <v>Darkest Abyss</v>
      </c>
      <c r="AL56" s="32" t="str">
        <f>IFERROR(__xludf.DUMMYFUNCTION("""COMPUTED_VALUE"""),"End the voodoo contract")</f>
        <v>End the voodoo contract</v>
      </c>
      <c r="AM56" s="32" t="str">
        <f>IFERROR(__xludf.DUMMYFUNCTION("""COMPUTED_VALUE"""),"Voodoo Meteor Shower")</f>
        <v>Voodoo Meteor Shower</v>
      </c>
      <c r="AN56" s="32" t="str">
        <f>IFERROR(__xludf.DUMMYFUNCTION("""COMPUTED_VALUE"""),"Last Gamble")</f>
        <v>Last Gamble</v>
      </c>
      <c r="AO56" s="32" t="str">
        <f>IFERROR(__xludf.DUMMYFUNCTION("""COMPUTED_VALUE"""),"Chaos Ward")</f>
        <v>Chaos Ward</v>
      </c>
      <c r="AP56" s="32" t="str">
        <f>IFERROR(__xludf.DUMMYFUNCTION("""COMPUTED_VALUE"""),"Dimension Portal")</f>
        <v>Dimension Portal</v>
      </c>
      <c r="AQ56" s="32" t="str">
        <f>IFERROR(__xludf.DUMMYFUNCTION("""COMPUTED_VALUE"""),"Bloody Alliance")</f>
        <v>Bloody Alliance</v>
      </c>
      <c r="AR56" s="32" t="str">
        <f>IFERROR(__xludf.DUMMYFUNCTION("""COMPUTED_VALUE"""),"Blood Geyser")</f>
        <v>Blood Geyser</v>
      </c>
      <c r="AS56" s="32" t="str">
        <f>IFERROR(__xludf.DUMMYFUNCTION("""COMPUTED_VALUE"""),"Damage With A Cost.")</f>
        <v>Damage With A Cost.</v>
      </c>
      <c r="AT56" s="32" t="str">
        <f>IFERROR(__xludf.DUMMYFUNCTION("""COMPUTED_VALUE"""),"Mass Destruction")</f>
        <v>Mass Destruction</v>
      </c>
      <c r="AU56" s="32" t="str">
        <f>IFERROR(__xludf.DUMMYFUNCTION("""COMPUTED_VALUE"""),"Chaincast")</f>
        <v>Chaincast</v>
      </c>
      <c r="AV56" s="32" t="str">
        <f>IFERROR(__xludf.DUMMYFUNCTION("""COMPUTED_VALUE"""),"Cancel")</f>
        <v>Cancel</v>
      </c>
      <c r="AW56" s="32"/>
      <c r="AX56" s="32"/>
      <c r="AY56" s="32"/>
      <c r="AZ56" s="32"/>
      <c r="BA56" s="32"/>
      <c r="BB56" s="32"/>
      <c r="BC56" s="32"/>
      <c r="BD56" s="32">
        <f>IFERROR(__xludf.DUMMYFUNCTION("""COMPUTED_VALUE"""),0.0)</f>
        <v>0</v>
      </c>
      <c r="BE56" s="32">
        <f>IFERROR(__xludf.DUMMYFUNCTION("""COMPUTED_VALUE"""),10.0)</f>
        <v>10</v>
      </c>
      <c r="BF56" s="32"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32" t="str">
        <f>IFERROR(__xludf.DUMMYFUNCTION("""COMPUTED_VALUE"""),"All")</f>
        <v>All</v>
      </c>
      <c r="BH56" s="32" t="str">
        <f>IFERROR(__xludf.DUMMYFUNCTION("""COMPUTED_VALUE"""),"Land of Spira")</f>
        <v>Land of Spira</v>
      </c>
      <c r="BI56" s="32"/>
      <c r="BJ56" s="32"/>
      <c r="BK56" s="32"/>
      <c r="BL56" s="32" t="b">
        <f>IFERROR(__xludf.DUMMYFUNCTION("""COMPUTED_VALUE"""),FALSE)</f>
        <v>0</v>
      </c>
      <c r="BM56" s="32"/>
      <c r="BN56" s="32"/>
      <c r="BO56" s="32"/>
      <c r="BP56" s="32"/>
      <c r="BQ56" s="32"/>
    </row>
    <row r="57">
      <c r="A57" s="32" t="str">
        <f>IFERROR(__xludf.DUMMYFUNCTION("""COMPUTED_VALUE"""),"Cursed Ronin")</f>
        <v>Cursed Ronin</v>
      </c>
      <c r="B57" s="32">
        <f>IFERROR(__xludf.DUMMYFUNCTION("""COMPUTED_VALUE"""),1.0)</f>
        <v>1</v>
      </c>
      <c r="C57" s="32"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33" t="str">
        <f>IFERROR(__xludf.DUMMYFUNCTION("""COMPUTED_VALUE"""),"Humanoid")</f>
        <v>Humanoid</v>
      </c>
      <c r="E57" s="33">
        <f>IFERROR(__xludf.DUMMYFUNCTION("""COMPUTED_VALUE"""),1010.0)</f>
        <v>1010</v>
      </c>
      <c r="F57" s="33">
        <f>IFERROR(__xludf.DUMMYFUNCTION("""COMPUTED_VALUE"""),1010.0)</f>
        <v>1010</v>
      </c>
      <c r="G57" s="33">
        <f>IFERROR(__xludf.DUMMYFUNCTION("""COMPUTED_VALUE"""),1010.0)</f>
        <v>1010</v>
      </c>
      <c r="H57" s="32">
        <f>IFERROR(__xludf.DUMMYFUNCTION("""COMPUTED_VALUE"""),20.0)</f>
        <v>20</v>
      </c>
      <c r="I57" s="32">
        <f>IFERROR(__xludf.DUMMYFUNCTION("""COMPUTED_VALUE"""),0.0)</f>
        <v>0</v>
      </c>
      <c r="J57" s="32">
        <f>IFERROR(__xludf.DUMMYFUNCTION("""COMPUTED_VALUE"""),0.0)</f>
        <v>0</v>
      </c>
      <c r="K57" s="32">
        <f>IFERROR(__xludf.DUMMYFUNCTION("""COMPUTED_VALUE"""),100.0)</f>
        <v>100</v>
      </c>
      <c r="L57" s="32">
        <f>IFERROR(__xludf.DUMMYFUNCTION("""COMPUTED_VALUE"""),100.0)</f>
        <v>100</v>
      </c>
      <c r="M57" s="32" t="str">
        <f>IFERROR(__xludf.DUMMYFUNCTION("""COMPUTED_VALUE"""),"Dark:Immune, Voodoo:Immune, Zen:Immune, Instant Death:Immune, Banishment:Immune, ")</f>
        <v>Dark:Immune, Voodoo:Immune, Zen:Immune, Instant Death:Immune, Banishment:Immune, </v>
      </c>
      <c r="N57" s="32" t="str">
        <f>IFERROR(__xludf.DUMMYFUNCTION("""COMPUTED_VALUE"""),"Light:100, Order:100, ")</f>
        <v>Light:100, Order:100, </v>
      </c>
      <c r="O57" s="32" t="str">
        <f>IFERROR(__xludf.DUMMYFUNCTION("""COMPUTED_VALUE"""),"Ancient Oni Mask")</f>
        <v>Ancient Oni Mask</v>
      </c>
      <c r="P57" s="32" t="str">
        <f>IFERROR(__xludf.DUMMYFUNCTION("""COMPUTED_VALUE"""),"Black Crystal Necklace of Luck")</f>
        <v>Black Crystal Necklace of Luck</v>
      </c>
      <c r="Q57" s="32"/>
      <c r="R57" s="32"/>
      <c r="S57" s="32" t="str">
        <f>IFERROR(__xludf.DUMMYFUNCTION("""COMPUTED_VALUE"""),"Ancient Oni Pauldrons")</f>
        <v>Ancient Oni Pauldrons</v>
      </c>
      <c r="T57" s="32" t="str">
        <f>IFERROR(__xludf.DUMMYFUNCTION("""COMPUTED_VALUE"""),"Ancient Oni Chestplate")</f>
        <v>Ancient Oni Chestplate</v>
      </c>
      <c r="U57" s="32" t="str">
        <f>IFERROR(__xludf.DUMMYFUNCTION("""COMPUTED_VALUE"""),"Ancient Oni Vambraces")</f>
        <v>Ancient Oni Vambraces</v>
      </c>
      <c r="V57" s="32" t="str">
        <f>IFERROR(__xludf.DUMMYFUNCTION("""COMPUTED_VALUE"""),"Ancient Oni Katana")</f>
        <v>Ancient Oni Katana</v>
      </c>
      <c r="W57" s="32" t="str">
        <f>IFERROR(__xludf.DUMMYFUNCTION("""COMPUTED_VALUE"""),"Ancient Oni Katana")</f>
        <v>Ancient Oni Katana</v>
      </c>
      <c r="X57" s="32" t="str">
        <f>IFERROR(__xludf.DUMMYFUNCTION("""COMPUTED_VALUE"""),"Ring of Pure Defense")</f>
        <v>Ring of Pure Defense</v>
      </c>
      <c r="Y57" s="32"/>
      <c r="Z57" s="32"/>
      <c r="AA57" s="32"/>
      <c r="AB57" s="32"/>
      <c r="AC57" s="32"/>
      <c r="AD57" s="32"/>
      <c r="AE57" s="32"/>
      <c r="AF57" s="32"/>
      <c r="AG57" s="32"/>
      <c r="AH57" s="32" t="str">
        <f>IFERROR(__xludf.DUMMYFUNCTION("""COMPUTED_VALUE"""),"Ancient Oni Greaves")</f>
        <v>Ancient Oni Greaves</v>
      </c>
      <c r="AI57" s="32" t="str">
        <f>IFERROR(__xludf.DUMMYFUNCTION("""COMPUTED_VALUE"""),"Ancient Oni Boots")</f>
        <v>Ancient Oni Boots</v>
      </c>
      <c r="AJ57" s="32" t="str">
        <f>IFERROR(__xludf.DUMMYFUNCTION("""COMPUTED_VALUE"""),"Curse Of The Samurai")</f>
        <v>Curse Of The Samurai</v>
      </c>
      <c r="AK57" s="32" t="str">
        <f>IFERROR(__xludf.DUMMYFUNCTION("""COMPUTED_VALUE"""),"Last Gamble")</f>
        <v>Last Gamble</v>
      </c>
      <c r="AL57" s="32" t="str">
        <f>IFERROR(__xludf.DUMMYFUNCTION("""COMPUTED_VALUE"""),"Voodoo Meteor Shower")</f>
        <v>Voodoo Meteor Shower</v>
      </c>
      <c r="AM57" s="32" t="str">
        <f>IFERROR(__xludf.DUMMYFUNCTION("""COMPUTED_VALUE"""),"Multi-Magic")</f>
        <v>Multi-Magic</v>
      </c>
      <c r="AN57" s="32" t="str">
        <f>IFERROR(__xludf.DUMMYFUNCTION("""COMPUTED_VALUE"""),"Multi Banishment")</f>
        <v>Multi Banishment</v>
      </c>
      <c r="AO57" s="32" t="str">
        <f>IFERROR(__xludf.DUMMYFUNCTION("""COMPUTED_VALUE"""),"Stand in")</f>
        <v>Stand in</v>
      </c>
      <c r="AP57" s="32" t="str">
        <f>IFERROR(__xludf.DUMMYFUNCTION("""COMPUTED_VALUE"""),"Berserk")</f>
        <v>Berserk</v>
      </c>
      <c r="AQ57" s="32" t="str">
        <f>IFERROR(__xludf.DUMMYFUNCTION("""COMPUTED_VALUE"""),"Chaincast")</f>
        <v>Chaincast</v>
      </c>
      <c r="AR57" s="32" t="str">
        <f>IFERROR(__xludf.DUMMYFUNCTION("""COMPUTED_VALUE"""),"Mass Destruction")</f>
        <v>Mass Destruction</v>
      </c>
      <c r="AS57" s="32" t="str">
        <f>IFERROR(__xludf.DUMMYFUNCTION("""COMPUTED_VALUE"""),"Cancel")</f>
        <v>Cancel</v>
      </c>
      <c r="AT57" s="32"/>
      <c r="AU57" s="32"/>
      <c r="AV57" s="32"/>
      <c r="AW57" s="32"/>
      <c r="AX57" s="32"/>
      <c r="AY57" s="32"/>
      <c r="AZ57" s="32"/>
      <c r="BA57" s="32"/>
      <c r="BB57" s="32"/>
      <c r="BC57" s="32"/>
      <c r="BD57" s="32">
        <f>IFERROR(__xludf.DUMMYFUNCTION("""COMPUTED_VALUE"""),0.0)</f>
        <v>0</v>
      </c>
      <c r="BE57" s="32">
        <f>IFERROR(__xludf.DUMMYFUNCTION("""COMPUTED_VALUE"""),20.0)</f>
        <v>20</v>
      </c>
      <c r="BF57" s="32"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32" t="str">
        <f>IFERROR(__xludf.DUMMYFUNCTION("""COMPUTED_VALUE"""),"City/Town")</f>
        <v>City/Town</v>
      </c>
      <c r="BH57" s="32" t="str">
        <f>IFERROR(__xludf.DUMMYFUNCTION("""COMPUTED_VALUE"""),"Land Of Spira")</f>
        <v>Land Of Spira</v>
      </c>
      <c r="BI57" s="32"/>
      <c r="BJ57" s="32"/>
      <c r="BK57" s="32"/>
      <c r="BL57" s="32" t="b">
        <f>IFERROR(__xludf.DUMMYFUNCTION("""COMPUTED_VALUE"""),FALSE)</f>
        <v>0</v>
      </c>
      <c r="BM57" s="32"/>
      <c r="BN57" s="32"/>
      <c r="BO57" s="32"/>
      <c r="BP57" s="32"/>
      <c r="BQ57" s="32"/>
    </row>
    <row r="58">
      <c r="A58" s="32" t="str">
        <f>IFERROR(__xludf.DUMMYFUNCTION("""COMPUTED_VALUE"""),"Cursed Samurai")</f>
        <v>Cursed Samurai</v>
      </c>
      <c r="B58" s="32">
        <f>IFERROR(__xludf.DUMMYFUNCTION("""COMPUTED_VALUE"""),1.0)</f>
        <v>1</v>
      </c>
      <c r="C58" s="32" t="str">
        <f>IFERROR(__xludf.DUMMYFUNCTION("""COMPUTED_VALUE"""),"Essentially the same as the cursed Ronin but slightly more self concious.")</f>
        <v>Essentially the same as the cursed Ronin but slightly more self concious.</v>
      </c>
      <c r="D58" s="33" t="str">
        <f>IFERROR(__xludf.DUMMYFUNCTION("""COMPUTED_VALUE"""),"Humanoid")</f>
        <v>Humanoid</v>
      </c>
      <c r="E58" s="33">
        <f>IFERROR(__xludf.DUMMYFUNCTION("""COMPUTED_VALUE"""),1010.0)</f>
        <v>1010</v>
      </c>
      <c r="F58" s="33">
        <f>IFERROR(__xludf.DUMMYFUNCTION("""COMPUTED_VALUE"""),1010.0)</f>
        <v>1010</v>
      </c>
      <c r="G58" s="33">
        <f>IFERROR(__xludf.DUMMYFUNCTION("""COMPUTED_VALUE"""),1010.0)</f>
        <v>1010</v>
      </c>
      <c r="H58" s="32">
        <f>IFERROR(__xludf.DUMMYFUNCTION("""COMPUTED_VALUE"""),10.0)</f>
        <v>10</v>
      </c>
      <c r="I58" s="32">
        <f>IFERROR(__xludf.DUMMYFUNCTION("""COMPUTED_VALUE"""),0.0)</f>
        <v>0</v>
      </c>
      <c r="J58" s="32">
        <f>IFERROR(__xludf.DUMMYFUNCTION("""COMPUTED_VALUE"""),0.0)</f>
        <v>0</v>
      </c>
      <c r="K58" s="32">
        <f>IFERROR(__xludf.DUMMYFUNCTION("""COMPUTED_VALUE"""),100.0)</f>
        <v>100</v>
      </c>
      <c r="L58" s="32">
        <f>IFERROR(__xludf.DUMMYFUNCTION("""COMPUTED_VALUE"""),100.0)</f>
        <v>100</v>
      </c>
      <c r="M58" s="32" t="str">
        <f>IFERROR(__xludf.DUMMYFUNCTION("""COMPUTED_VALUE"""),"Dark:Immune, Voodoo:Immune, Zen:Immune, ")</f>
        <v>Dark:Immune, Voodoo:Immune, Zen:Immune, </v>
      </c>
      <c r="N58" s="32" t="str">
        <f>IFERROR(__xludf.DUMMYFUNCTION("""COMPUTED_VALUE"""),"Fire:100, Light:100, ")</f>
        <v>Fire:100, Light:100, </v>
      </c>
      <c r="O58" s="32"/>
      <c r="P58" s="32"/>
      <c r="Q58" s="32"/>
      <c r="R58" s="32"/>
      <c r="S58" s="32"/>
      <c r="T58" s="32"/>
      <c r="U58" s="32"/>
      <c r="V58" s="32" t="str">
        <f>IFERROR(__xludf.DUMMYFUNCTION("""COMPUTED_VALUE"""),"Ancient Samurai Sword")</f>
        <v>Ancient Samurai Sword</v>
      </c>
      <c r="W58" s="32" t="str">
        <f>IFERROR(__xludf.DUMMYFUNCTION("""COMPUTED_VALUE"""),"Void sword")</f>
        <v>Void sword</v>
      </c>
      <c r="X58" s="32"/>
      <c r="Y58" s="32"/>
      <c r="Z58" s="32"/>
      <c r="AA58" s="32"/>
      <c r="AB58" s="32"/>
      <c r="AC58" s="32"/>
      <c r="AD58" s="32"/>
      <c r="AE58" s="32"/>
      <c r="AF58" s="32"/>
      <c r="AG58" s="32"/>
      <c r="AH58" s="32"/>
      <c r="AI58" s="32"/>
      <c r="AJ58" s="32" t="str">
        <f>IFERROR(__xludf.DUMMYFUNCTION("""COMPUTED_VALUE"""),"Curse Of The Samurai")</f>
        <v>Curse Of The Samurai</v>
      </c>
      <c r="AK58" s="32" t="str">
        <f>IFERROR(__xludf.DUMMYFUNCTION("""COMPUTED_VALUE"""),"Hex With Bad Luck")</f>
        <v>Hex With Bad Luck</v>
      </c>
      <c r="AL58" s="32" t="str">
        <f>IFERROR(__xludf.DUMMYFUNCTION("""COMPUTED_VALUE"""),"Stand in")</f>
        <v>Stand in</v>
      </c>
      <c r="AM58" s="32" t="str">
        <f>IFERROR(__xludf.DUMMYFUNCTION("""COMPUTED_VALUE"""),"Darkest Abyss")</f>
        <v>Darkest Abyss</v>
      </c>
      <c r="AN58" s="32" t="str">
        <f>IFERROR(__xludf.DUMMYFUNCTION("""COMPUTED_VALUE"""),"Berserk")</f>
        <v>Berserk</v>
      </c>
      <c r="AO58" s="32" t="str">
        <f>IFERROR(__xludf.DUMMYFUNCTION("""COMPUTED_VALUE"""),"Max Focus")</f>
        <v>Max Focus</v>
      </c>
      <c r="AP58" s="32"/>
      <c r="AQ58" s="32"/>
      <c r="AR58" s="32"/>
      <c r="AS58" s="32"/>
      <c r="AT58" s="32"/>
      <c r="AU58" s="32"/>
      <c r="AV58" s="32"/>
      <c r="AW58" s="32"/>
      <c r="AX58" s="32"/>
      <c r="AY58" s="32"/>
      <c r="AZ58" s="32"/>
      <c r="BA58" s="32"/>
      <c r="BB58" s="32"/>
      <c r="BC58" s="32"/>
      <c r="BD58" s="32">
        <f>IFERROR(__xludf.DUMMYFUNCTION("""COMPUTED_VALUE"""),0.0)</f>
        <v>0</v>
      </c>
      <c r="BE58" s="32">
        <f>IFERROR(__xludf.DUMMYFUNCTION("""COMPUTED_VALUE"""),10.0)</f>
        <v>10</v>
      </c>
      <c r="BF58" s="32" t="str">
        <f>IFERROR(__xludf.DUMMYFUNCTION("""COMPUTED_VALUE"""),"Cursed Fortune: +5 or -5 can be added to this mobs rolls, Make a Fail/Succeed roll per roll to determine.")</f>
        <v>Cursed Fortune: +5 or -5 can be added to this mobs rolls, Make a Fail/Succeed roll per roll to determine.</v>
      </c>
      <c r="BG58" s="32" t="str">
        <f>IFERROR(__xludf.DUMMYFUNCTION("""COMPUTED_VALUE"""),"City/Town")</f>
        <v>City/Town</v>
      </c>
      <c r="BH58" s="32" t="str">
        <f>IFERROR(__xludf.DUMMYFUNCTION("""COMPUTED_VALUE"""),"Land Of Spira")</f>
        <v>Land Of Spira</v>
      </c>
      <c r="BI58" s="32"/>
      <c r="BJ58" s="32"/>
      <c r="BK58" s="32"/>
      <c r="BL58" s="32" t="b">
        <f>IFERROR(__xludf.DUMMYFUNCTION("""COMPUTED_VALUE"""),FALSE)</f>
        <v>0</v>
      </c>
      <c r="BM58" s="32"/>
      <c r="BN58" s="32"/>
      <c r="BO58" s="32"/>
      <c r="BP58" s="32"/>
      <c r="BQ58" s="32"/>
    </row>
    <row r="59">
      <c r="A59" s="32" t="str">
        <f>IFERROR(__xludf.DUMMYFUNCTION("""COMPUTED_VALUE"""),"Cyclops")</f>
        <v>Cyclops</v>
      </c>
      <c r="B59" s="32">
        <f>IFERROR(__xludf.DUMMYFUNCTION("""COMPUTED_VALUE"""),1.0)</f>
        <v>1</v>
      </c>
      <c r="C59" s="3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33" t="str">
        <f>IFERROR(__xludf.DUMMYFUNCTION("""COMPUTED_VALUE"""),"Giant")</f>
        <v>Giant</v>
      </c>
      <c r="E59" s="33">
        <f>IFERROR(__xludf.DUMMYFUNCTION("""COMPUTED_VALUE"""),1010.0)</f>
        <v>1010</v>
      </c>
      <c r="F59" s="33">
        <f>IFERROR(__xludf.DUMMYFUNCTION("""COMPUTED_VALUE"""),1010.0)</f>
        <v>1010</v>
      </c>
      <c r="G59" s="33">
        <f>IFERROR(__xludf.DUMMYFUNCTION("""COMPUTED_VALUE"""),1010.0)</f>
        <v>1010</v>
      </c>
      <c r="H59" s="32">
        <f>IFERROR(__xludf.DUMMYFUNCTION("""COMPUTED_VALUE"""),10.0)</f>
        <v>10</v>
      </c>
      <c r="I59" s="32">
        <f>IFERROR(__xludf.DUMMYFUNCTION("""COMPUTED_VALUE"""),0.0)</f>
        <v>0</v>
      </c>
      <c r="J59" s="32">
        <f>IFERROR(__xludf.DUMMYFUNCTION("""COMPUTED_VALUE"""),0.0)</f>
        <v>0</v>
      </c>
      <c r="K59" s="32">
        <f>IFERROR(__xludf.DUMMYFUNCTION("""COMPUTED_VALUE"""),100.0)</f>
        <v>100</v>
      </c>
      <c r="L59" s="32">
        <f>IFERROR(__xludf.DUMMYFUNCTION("""COMPUTED_VALUE"""),100.0)</f>
        <v>100</v>
      </c>
      <c r="M59" s="32" t="str">
        <f>IFERROR(__xludf.DUMMYFUNCTION("""COMPUTED_VALUE"""),"")</f>
        <v/>
      </c>
      <c r="N59" s="32" t="str">
        <f>IFERROR(__xludf.DUMMYFUNCTION("""COMPUTED_VALUE"""),"")</f>
        <v/>
      </c>
      <c r="O59" s="32"/>
      <c r="P59" s="32"/>
      <c r="Q59" s="32"/>
      <c r="R59" s="32"/>
      <c r="S59" s="32"/>
      <c r="T59" s="32"/>
      <c r="U59" s="32"/>
      <c r="V59" s="32"/>
      <c r="W59" s="32"/>
      <c r="X59" s="32"/>
      <c r="Y59" s="32"/>
      <c r="Z59" s="32"/>
      <c r="AA59" s="32"/>
      <c r="AB59" s="32"/>
      <c r="AC59" s="32"/>
      <c r="AD59" s="32"/>
      <c r="AE59" s="32"/>
      <c r="AF59" s="32"/>
      <c r="AG59" s="32"/>
      <c r="AH59" s="32"/>
      <c r="AI59" s="32"/>
      <c r="AJ59" s="32" t="str">
        <f>IFERROR(__xludf.DUMMYFUNCTION("""COMPUTED_VALUE"""),"Earth Punch")</f>
        <v>Earth Punch</v>
      </c>
      <c r="AK59" s="32" t="str">
        <f>IFERROR(__xludf.DUMMYFUNCTION("""COMPUTED_VALUE"""),"Tremor")</f>
        <v>Tremor</v>
      </c>
      <c r="AL59" s="32" t="str">
        <f>IFERROR(__xludf.DUMMYFUNCTION("""COMPUTED_VALUE"""),"Boulder Toss")</f>
        <v>Boulder Toss</v>
      </c>
      <c r="AM59" s="32"/>
      <c r="AN59" s="32"/>
      <c r="AO59" s="32"/>
      <c r="AP59" s="32"/>
      <c r="AQ59" s="32"/>
      <c r="AR59" s="32"/>
      <c r="AS59" s="32"/>
      <c r="AT59" s="32"/>
      <c r="AU59" s="32"/>
      <c r="AV59" s="32"/>
      <c r="AW59" s="32"/>
      <c r="AX59" s="32"/>
      <c r="AY59" s="32"/>
      <c r="AZ59" s="32"/>
      <c r="BA59" s="32"/>
      <c r="BB59" s="32"/>
      <c r="BC59" s="32"/>
      <c r="BD59" s="32">
        <f>IFERROR(__xludf.DUMMYFUNCTION("""COMPUTED_VALUE"""),0.0)</f>
        <v>0</v>
      </c>
      <c r="BE59" s="32">
        <f>IFERROR(__xludf.DUMMYFUNCTION("""COMPUTED_VALUE"""),10.0)</f>
        <v>10</v>
      </c>
      <c r="BF59" s="32"/>
      <c r="BG59" s="32" t="str">
        <f>IFERROR(__xludf.DUMMYFUNCTION("""COMPUTED_VALUE"""),"All")</f>
        <v>All</v>
      </c>
      <c r="BH59" s="32" t="str">
        <f>IFERROR(__xludf.DUMMYFUNCTION("""COMPUTED_VALUE"""),"Land of Spira")</f>
        <v>Land of Spira</v>
      </c>
      <c r="BI59" s="32"/>
      <c r="BJ59" s="32"/>
      <c r="BK59" s="32"/>
      <c r="BL59" s="32" t="b">
        <f>IFERROR(__xludf.DUMMYFUNCTION("""COMPUTED_VALUE"""),FALSE)</f>
        <v>0</v>
      </c>
      <c r="BM59" s="32"/>
      <c r="BN59" s="32"/>
      <c r="BO59" s="32"/>
      <c r="BP59" s="32"/>
      <c r="BQ59" s="32"/>
    </row>
    <row r="60">
      <c r="A60" s="32" t="str">
        <f>IFERROR(__xludf.DUMMYFUNCTION("""COMPUTED_VALUE"""),"Dark Dragon")</f>
        <v>Dark Dragon</v>
      </c>
      <c r="B60" s="32">
        <f>IFERROR(__xludf.DUMMYFUNCTION("""COMPUTED_VALUE"""),1.0)</f>
        <v>1</v>
      </c>
      <c r="C60" s="32" t="str">
        <f>IFERROR(__xludf.DUMMYFUNCTION("""COMPUTED_VALUE"""),"Who the hell edgelorded my dragon?")</f>
        <v>Who the hell edgelorded my dragon?</v>
      </c>
      <c r="D60" s="32" t="str">
        <f>IFERROR(__xludf.DUMMYFUNCTION("""COMPUTED_VALUE"""),"Draconic")</f>
        <v>Draconic</v>
      </c>
      <c r="E60" s="32">
        <f>IFERROR(__xludf.DUMMYFUNCTION("""COMPUTED_VALUE"""),31010.0)</f>
        <v>31010</v>
      </c>
      <c r="F60" s="33">
        <f>IFERROR(__xludf.DUMMYFUNCTION("""COMPUTED_VALUE"""),31010.0)</f>
        <v>31010</v>
      </c>
      <c r="G60" s="32">
        <f>IFERROR(__xludf.DUMMYFUNCTION("""COMPUTED_VALUE"""),1010.0)</f>
        <v>1010</v>
      </c>
      <c r="H60" s="32">
        <f>IFERROR(__xludf.DUMMYFUNCTION("""COMPUTED_VALUE"""),10.0)</f>
        <v>10</v>
      </c>
      <c r="I60" s="32">
        <f>IFERROR(__xludf.DUMMYFUNCTION("""COMPUTED_VALUE"""),0.0)</f>
        <v>0</v>
      </c>
      <c r="J60" s="32">
        <f>IFERROR(__xludf.DUMMYFUNCTION("""COMPUTED_VALUE"""),0.0)</f>
        <v>0</v>
      </c>
      <c r="K60" s="32">
        <f>IFERROR(__xludf.DUMMYFUNCTION("""COMPUTED_VALUE"""),100.0)</f>
        <v>100</v>
      </c>
      <c r="L60" s="32">
        <f>IFERROR(__xludf.DUMMYFUNCTION("""COMPUTED_VALUE"""),100.0)</f>
        <v>100</v>
      </c>
      <c r="M60" s="32" t="str">
        <f>IFERROR(__xludf.DUMMYFUNCTION("""COMPUTED_VALUE"""),"Dark:Immune, Instant Death:Immune, Banishment:Immune, ")</f>
        <v>Dark:Immune, Instant Death:Immune, Banishment:Immune, </v>
      </c>
      <c r="N60" s="32" t="str">
        <f>IFERROR(__xludf.DUMMYFUNCTION("""COMPUTED_VALUE"""),"Fire:100, Light:100, ")</f>
        <v>Fire:100, Light:100, </v>
      </c>
      <c r="O60" s="32"/>
      <c r="P60" s="32"/>
      <c r="Q60" s="32"/>
      <c r="R60" s="32"/>
      <c r="S60" s="32"/>
      <c r="T60" s="32"/>
      <c r="U60" s="32"/>
      <c r="V60" s="32"/>
      <c r="W60" s="32"/>
      <c r="X60" s="32"/>
      <c r="Y60" s="32"/>
      <c r="Z60" s="32"/>
      <c r="AA60" s="32"/>
      <c r="AB60" s="32"/>
      <c r="AC60" s="32"/>
      <c r="AD60" s="32"/>
      <c r="AE60" s="32"/>
      <c r="AF60" s="32"/>
      <c r="AG60" s="32"/>
      <c r="AH60" s="32"/>
      <c r="AI60" s="32"/>
      <c r="AJ60" s="32" t="str">
        <f>IFERROR(__xludf.DUMMYFUNCTION("""COMPUTED_VALUE"""),"Dragon's Breath")</f>
        <v>Dragon's Breath</v>
      </c>
      <c r="AK60" s="32" t="str">
        <f>IFERROR(__xludf.DUMMYFUNCTION("""COMPUTED_VALUE"""),"Bite")</f>
        <v>Bite</v>
      </c>
      <c r="AL60" s="32" t="str">
        <f>IFERROR(__xludf.DUMMYFUNCTION("""COMPUTED_VALUE"""),"Tail Smash")</f>
        <v>Tail Smash</v>
      </c>
      <c r="AM60" s="32" t="str">
        <f>IFERROR(__xludf.DUMMYFUNCTION("""COMPUTED_VALUE"""),"Claws")</f>
        <v>Claws</v>
      </c>
      <c r="AN60" s="32" t="str">
        <f>IFERROR(__xludf.DUMMYFUNCTION("""COMPUTED_VALUE"""),"Berserk")</f>
        <v>Berserk</v>
      </c>
      <c r="AO60" s="32" t="str">
        <f>IFERROR(__xludf.DUMMYFUNCTION("""COMPUTED_VALUE"""),"Multishot")</f>
        <v>Multishot</v>
      </c>
      <c r="AP60" s="32" t="str">
        <f>IFERROR(__xludf.DUMMYFUNCTION("""COMPUTED_VALUE"""),"Draconic Scream")</f>
        <v>Draconic Scream</v>
      </c>
      <c r="AQ60" s="32" t="str">
        <f>IFERROR(__xludf.DUMMYFUNCTION("""COMPUTED_VALUE"""),"Darkest Abyss")</f>
        <v>Darkest Abyss</v>
      </c>
      <c r="AR60" s="32" t="str">
        <f>IFERROR(__xludf.DUMMYFUNCTION("""COMPUTED_VALUE"""),"Devolve")</f>
        <v>Devolve</v>
      </c>
      <c r="AS60" s="32" t="str">
        <f>IFERROR(__xludf.DUMMYFUNCTION("""COMPUTED_VALUE"""),"Dark Curse")</f>
        <v>Dark Curse</v>
      </c>
      <c r="AT60" s="32" t="str">
        <f>IFERROR(__xludf.DUMMYFUNCTION("""COMPUTED_VALUE"""),"Celestial Wrath")</f>
        <v>Celestial Wrath</v>
      </c>
      <c r="AU60" s="32"/>
      <c r="AV60" s="32"/>
      <c r="AW60" s="32"/>
      <c r="AX60" s="32"/>
      <c r="AY60" s="32"/>
      <c r="AZ60" s="32"/>
      <c r="BA60" s="32"/>
      <c r="BB60" s="32"/>
      <c r="BC60" s="32"/>
      <c r="BD60" s="32">
        <f>IFERROR(__xludf.DUMMYFUNCTION("""COMPUTED_VALUE"""),0.0)</f>
        <v>0</v>
      </c>
      <c r="BE60" s="32">
        <f>IFERROR(__xludf.DUMMYFUNCTION("""COMPUTED_VALUE"""),10.0)</f>
        <v>10</v>
      </c>
      <c r="BF60"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32" t="str">
        <f>IFERROR(__xludf.DUMMYFUNCTION("""COMPUTED_VALUE"""),"All")</f>
        <v>All</v>
      </c>
      <c r="BH60" s="32" t="str">
        <f>IFERROR(__xludf.DUMMYFUNCTION("""COMPUTED_VALUE"""),"Dragonscale Island")</f>
        <v>Dragonscale Island</v>
      </c>
      <c r="BI60" s="32"/>
      <c r="BJ60" s="32"/>
      <c r="BK60" s="32"/>
      <c r="BL60" s="32" t="b">
        <f>IFERROR(__xludf.DUMMYFUNCTION("""COMPUTED_VALUE"""),FALSE)</f>
        <v>0</v>
      </c>
      <c r="BM60" s="32"/>
      <c r="BN60" s="32"/>
      <c r="BO60" s="32"/>
      <c r="BP60" s="32"/>
      <c r="BQ60" s="32"/>
    </row>
    <row r="61">
      <c r="A61" s="32" t="str">
        <f>IFERROR(__xludf.DUMMYFUNCTION("""COMPUTED_VALUE"""),"Dark Snow Warrior")</f>
        <v>Dark Snow Warrior</v>
      </c>
      <c r="B61" s="32">
        <f>IFERROR(__xludf.DUMMYFUNCTION("""COMPUTED_VALUE"""),1.0)</f>
        <v>1</v>
      </c>
      <c r="C61" s="32" t="str">
        <f>IFERROR(__xludf.DUMMYFUNCTION("""COMPUTED_VALUE"""),"Would somebody let him in already he's positively freezing.")</f>
        <v>Would somebody let him in already he's positively freezing.</v>
      </c>
      <c r="D61" s="33" t="str">
        <f>IFERROR(__xludf.DUMMYFUNCTION("""COMPUTED_VALUE"""),"Humanoid")</f>
        <v>Humanoid</v>
      </c>
      <c r="E61" s="33">
        <f>IFERROR(__xludf.DUMMYFUNCTION("""COMPUTED_VALUE"""),1010.0)</f>
        <v>1010</v>
      </c>
      <c r="F61" s="33">
        <f>IFERROR(__xludf.DUMMYFUNCTION("""COMPUTED_VALUE"""),1010.0)</f>
        <v>1010</v>
      </c>
      <c r="G61" s="33">
        <f>IFERROR(__xludf.DUMMYFUNCTION("""COMPUTED_VALUE"""),1010.0)</f>
        <v>1010</v>
      </c>
      <c r="H61" s="32">
        <f>IFERROR(__xludf.DUMMYFUNCTION("""COMPUTED_VALUE"""),10.0)</f>
        <v>10</v>
      </c>
      <c r="I61" s="32">
        <f>IFERROR(__xludf.DUMMYFUNCTION("""COMPUTED_VALUE"""),0.0)</f>
        <v>0</v>
      </c>
      <c r="J61" s="32">
        <f>IFERROR(__xludf.DUMMYFUNCTION("""COMPUTED_VALUE"""),0.0)</f>
        <v>0</v>
      </c>
      <c r="K61" s="32">
        <f>IFERROR(__xludf.DUMMYFUNCTION("""COMPUTED_VALUE"""),100.0)</f>
        <v>100</v>
      </c>
      <c r="L61" s="32">
        <f>IFERROR(__xludf.DUMMYFUNCTION("""COMPUTED_VALUE"""),100.0)</f>
        <v>100</v>
      </c>
      <c r="M61" s="32" t="str">
        <f>IFERROR(__xludf.DUMMYFUNCTION("""COMPUTED_VALUE"""),"Water:Immune, Dark:Immune, ")</f>
        <v>Water:Immune, Dark:Immune, </v>
      </c>
      <c r="N61" s="32" t="str">
        <f>IFERROR(__xludf.DUMMYFUNCTION("""COMPUTED_VALUE"""),"Fire:100, ")</f>
        <v>Fire:100, </v>
      </c>
      <c r="O61" s="32"/>
      <c r="P61" s="32"/>
      <c r="Q61" s="32"/>
      <c r="R61" s="32"/>
      <c r="S61" s="32"/>
      <c r="T61" s="32"/>
      <c r="U61" s="32"/>
      <c r="V61" s="32" t="str">
        <f>IFERROR(__xludf.DUMMYFUNCTION("""COMPUTED_VALUE"""),"Dark Ice Sword")</f>
        <v>Dark Ice Sword</v>
      </c>
      <c r="W61" s="32"/>
      <c r="X61" s="32"/>
      <c r="Y61" s="32"/>
      <c r="Z61" s="32"/>
      <c r="AA61" s="32"/>
      <c r="AB61" s="32"/>
      <c r="AC61" s="32"/>
      <c r="AD61" s="32"/>
      <c r="AE61" s="32"/>
      <c r="AF61" s="32"/>
      <c r="AG61" s="32"/>
      <c r="AH61" s="32"/>
      <c r="AI61" s="32"/>
      <c r="AJ61" s="32" t="str">
        <f>IFERROR(__xludf.DUMMYFUNCTION("""COMPUTED_VALUE"""),"Dark Curse")</f>
        <v>Dark Curse</v>
      </c>
      <c r="AK61" s="32" t="str">
        <f>IFERROR(__xludf.DUMMYFUNCTION("""COMPUTED_VALUE"""),"Storm Of Snowballs")</f>
        <v>Storm Of Snowballs</v>
      </c>
      <c r="AL61" s="32" t="str">
        <f>IFERROR(__xludf.DUMMYFUNCTION("""COMPUTED_VALUE"""),"Water Ward")</f>
        <v>Water Ward</v>
      </c>
      <c r="AM61" s="32" t="str">
        <f>IFERROR(__xludf.DUMMYFUNCTION("""COMPUTED_VALUE"""),"Freezing Fog")</f>
        <v>Freezing Fog</v>
      </c>
      <c r="AN61" s="32"/>
      <c r="AO61" s="32"/>
      <c r="AP61" s="32"/>
      <c r="AQ61" s="32"/>
      <c r="AR61" s="32"/>
      <c r="AS61" s="32"/>
      <c r="AT61" s="32"/>
      <c r="AU61" s="32"/>
      <c r="AV61" s="32"/>
      <c r="AW61" s="32"/>
      <c r="AX61" s="32"/>
      <c r="AY61" s="32"/>
      <c r="AZ61" s="32"/>
      <c r="BA61" s="32"/>
      <c r="BB61" s="32"/>
      <c r="BC61" s="32"/>
      <c r="BD61" s="32">
        <f>IFERROR(__xludf.DUMMYFUNCTION("""COMPUTED_VALUE"""),0.0)</f>
        <v>0</v>
      </c>
      <c r="BE61" s="32">
        <f>IFERROR(__xludf.DUMMYFUNCTION("""COMPUTED_VALUE"""),10.0)</f>
        <v>10</v>
      </c>
      <c r="BF61" s="32"/>
      <c r="BG61" s="32" t="str">
        <f>IFERROR(__xludf.DUMMYFUNCTION("""COMPUTED_VALUE"""),"Tundra")</f>
        <v>Tundra</v>
      </c>
      <c r="BH61" s="32" t="str">
        <f>IFERROR(__xludf.DUMMYFUNCTION("""COMPUTED_VALUE"""),"Land Of Spira")</f>
        <v>Land Of Spira</v>
      </c>
      <c r="BI61" s="32"/>
      <c r="BJ61" s="32"/>
      <c r="BK61" s="32"/>
      <c r="BL61" s="32" t="b">
        <f>IFERROR(__xludf.DUMMYFUNCTION("""COMPUTED_VALUE"""),FALSE)</f>
        <v>0</v>
      </c>
      <c r="BM61" s="32"/>
      <c r="BN61" s="32"/>
      <c r="BO61" s="32"/>
      <c r="BP61" s="32"/>
      <c r="BQ61" s="32"/>
    </row>
    <row r="62">
      <c r="A62" s="32" t="str">
        <f>IFERROR(__xludf.DUMMYFUNCTION("""COMPUTED_VALUE"""),"Dark Wizard")</f>
        <v>Dark Wizard</v>
      </c>
      <c r="B62" s="32">
        <f>IFERROR(__xludf.DUMMYFUNCTION("""COMPUTED_VALUE"""),1.0)</f>
        <v>1</v>
      </c>
      <c r="C62" s="32" t="str">
        <f>IFERROR(__xludf.DUMMYFUNCTION("""COMPUTED_VALUE"""),"A wizard who passed the line of ""Morally dubious"" to ""Straight up bastard""")</f>
        <v>A wizard who passed the line of "Morally dubious" to "Straight up bastard"</v>
      </c>
      <c r="D62" s="33" t="str">
        <f>IFERROR(__xludf.DUMMYFUNCTION("""COMPUTED_VALUE"""),"Humanoid")</f>
        <v>Humanoid</v>
      </c>
      <c r="E62" s="33">
        <f>IFERROR(__xludf.DUMMYFUNCTION("""COMPUTED_VALUE"""),1010.0)</f>
        <v>1010</v>
      </c>
      <c r="F62" s="33">
        <f>IFERROR(__xludf.DUMMYFUNCTION("""COMPUTED_VALUE"""),1010.0)</f>
        <v>1010</v>
      </c>
      <c r="G62" s="33">
        <f>IFERROR(__xludf.DUMMYFUNCTION("""COMPUTED_VALUE"""),1010.0)</f>
        <v>1010</v>
      </c>
      <c r="H62" s="32">
        <f>IFERROR(__xludf.DUMMYFUNCTION("""COMPUTED_VALUE"""),10.0)</f>
        <v>10</v>
      </c>
      <c r="I62" s="32">
        <f>IFERROR(__xludf.DUMMYFUNCTION("""COMPUTED_VALUE"""),0.0)</f>
        <v>0</v>
      </c>
      <c r="J62" s="32">
        <f>IFERROR(__xludf.DUMMYFUNCTION("""COMPUTED_VALUE"""),0.0)</f>
        <v>0</v>
      </c>
      <c r="K62" s="32">
        <f>IFERROR(__xludf.DUMMYFUNCTION("""COMPUTED_VALUE"""),100.0)</f>
        <v>100</v>
      </c>
      <c r="L62" s="32">
        <f>IFERROR(__xludf.DUMMYFUNCTION("""COMPUTED_VALUE"""),100.0)</f>
        <v>100</v>
      </c>
      <c r="M62" s="32" t="str">
        <f>IFERROR(__xludf.DUMMYFUNCTION("""COMPUTED_VALUE"""),"Dark:100, ")</f>
        <v>Dark:100, </v>
      </c>
      <c r="N62" s="32" t="str">
        <f>IFERROR(__xludf.DUMMYFUNCTION("""COMPUTED_VALUE"""),"Light:100, ")</f>
        <v>Light:100, </v>
      </c>
      <c r="O62" s="32" t="str">
        <f>IFERROR(__xludf.DUMMYFUNCTION("""COMPUTED_VALUE"""),"Helmet Of Darkness")</f>
        <v>Helmet Of Darkness</v>
      </c>
      <c r="P62" s="32"/>
      <c r="Q62" s="32"/>
      <c r="R62" s="32"/>
      <c r="S62" s="32"/>
      <c r="T62" s="32"/>
      <c r="U62" s="32"/>
      <c r="V62" s="32" t="str">
        <f>IFERROR(__xludf.DUMMYFUNCTION("""COMPUTED_VALUE"""),"Chaotic Shadow Life Orb")</f>
        <v>Chaotic Shadow Life Orb</v>
      </c>
      <c r="W62" s="32"/>
      <c r="X62" s="32"/>
      <c r="Y62" s="32"/>
      <c r="Z62" s="32"/>
      <c r="AA62" s="32"/>
      <c r="AB62" s="32"/>
      <c r="AC62" s="32"/>
      <c r="AD62" s="32"/>
      <c r="AE62" s="32"/>
      <c r="AF62" s="32"/>
      <c r="AG62" s="32"/>
      <c r="AH62" s="32"/>
      <c r="AI62" s="32"/>
      <c r="AJ62" s="32" t="str">
        <f>IFERROR(__xludf.DUMMYFUNCTION("""COMPUTED_VALUE"""),"Dark Boost")</f>
        <v>Dark Boost</v>
      </c>
      <c r="AK62" s="32" t="str">
        <f>IFERROR(__xludf.DUMMYFUNCTION("""COMPUTED_VALUE"""),"Dark Bolt")</f>
        <v>Dark Bolt</v>
      </c>
      <c r="AL62" s="32" t="str">
        <f>IFERROR(__xludf.DUMMYFUNCTION("""COMPUTED_VALUE"""),"Darkest Abyss")</f>
        <v>Darkest Abyss</v>
      </c>
      <c r="AM62" s="32" t="str">
        <f>IFERROR(__xludf.DUMMYFUNCTION("""COMPUTED_VALUE"""),"Disturbance")</f>
        <v>Disturbance</v>
      </c>
      <c r="AN62" s="32" t="str">
        <f>IFERROR(__xludf.DUMMYFUNCTION("""COMPUTED_VALUE"""),"Shadow Vanish")</f>
        <v>Shadow Vanish</v>
      </c>
      <c r="AO62" s="32" t="str">
        <f>IFERROR(__xludf.DUMMYFUNCTION("""COMPUTED_VALUE"""),"Multishot")</f>
        <v>Multishot</v>
      </c>
      <c r="AP62" s="32"/>
      <c r="AQ62" s="32"/>
      <c r="AR62" s="32"/>
      <c r="AS62" s="32"/>
      <c r="AT62" s="32"/>
      <c r="AU62" s="32"/>
      <c r="AV62" s="32"/>
      <c r="AW62" s="32"/>
      <c r="AX62" s="32"/>
      <c r="AY62" s="32"/>
      <c r="AZ62" s="32"/>
      <c r="BA62" s="32"/>
      <c r="BB62" s="32"/>
      <c r="BC62" s="32"/>
      <c r="BD62" s="32">
        <f>IFERROR(__xludf.DUMMYFUNCTION("""COMPUTED_VALUE"""),0.0)</f>
        <v>0</v>
      </c>
      <c r="BE62" s="32">
        <f>IFERROR(__xludf.DUMMYFUNCTION("""COMPUTED_VALUE"""),10.0)</f>
        <v>10</v>
      </c>
      <c r="BF62" s="32"/>
      <c r="BG62" s="32" t="str">
        <f>IFERROR(__xludf.DUMMYFUNCTION("""COMPUTED_VALUE"""),"All")</f>
        <v>All</v>
      </c>
      <c r="BH62" s="32" t="str">
        <f>IFERROR(__xludf.DUMMYFUNCTION("""COMPUTED_VALUE"""),"Land of Spira")</f>
        <v>Land of Spira</v>
      </c>
      <c r="BI62" s="32"/>
      <c r="BJ62" s="32"/>
      <c r="BK62" s="32"/>
      <c r="BL62" s="32" t="b">
        <f>IFERROR(__xludf.DUMMYFUNCTION("""COMPUTED_VALUE"""),FALSE)</f>
        <v>0</v>
      </c>
      <c r="BM62" s="32"/>
      <c r="BN62" s="32"/>
      <c r="BO62" s="32"/>
      <c r="BP62" s="32"/>
      <c r="BQ62" s="32"/>
    </row>
    <row r="63">
      <c r="A63" s="32" t="str">
        <f>IFERROR(__xludf.DUMMYFUNCTION("""COMPUTED_VALUE"""),"Death's Royal Guard")</f>
        <v>Death's Royal Guard</v>
      </c>
      <c r="B63" s="32">
        <f>IFERROR(__xludf.DUMMYFUNCTION("""COMPUTED_VALUE"""),1.0)</f>
        <v>1</v>
      </c>
      <c r="C63" s="32" t="str">
        <f>IFERROR(__xludf.DUMMYFUNCTION("""COMPUTED_VALUE"""),"Death isn't even royalty so I couldn't for the life of me tell you how these guys are ""Royal Guards""")</f>
        <v>Death isn't even royalty so I couldn't for the life of me tell you how these guys are "Royal Guards"</v>
      </c>
      <c r="D63" s="33" t="str">
        <f>IFERROR(__xludf.DUMMYFUNCTION("""COMPUTED_VALUE"""),"Humanoid")</f>
        <v>Humanoid</v>
      </c>
      <c r="E63" s="33">
        <f>IFERROR(__xludf.DUMMYFUNCTION("""COMPUTED_VALUE"""),1010.0)</f>
        <v>1010</v>
      </c>
      <c r="F63" s="33">
        <f>IFERROR(__xludf.DUMMYFUNCTION("""COMPUTED_VALUE"""),1010.0)</f>
        <v>1010</v>
      </c>
      <c r="G63" s="33">
        <f>IFERROR(__xludf.DUMMYFUNCTION("""COMPUTED_VALUE"""),1010.0)</f>
        <v>1010</v>
      </c>
      <c r="H63" s="32">
        <f>IFERROR(__xludf.DUMMYFUNCTION("""COMPUTED_VALUE"""),10.0)</f>
        <v>10</v>
      </c>
      <c r="I63" s="32">
        <f>IFERROR(__xludf.DUMMYFUNCTION("""COMPUTED_VALUE"""),0.0)</f>
        <v>0</v>
      </c>
      <c r="J63" s="32">
        <f>IFERROR(__xludf.DUMMYFUNCTION("""COMPUTED_VALUE"""),0.0)</f>
        <v>0</v>
      </c>
      <c r="K63" s="32">
        <f>IFERROR(__xludf.DUMMYFUNCTION("""COMPUTED_VALUE"""),100.0)</f>
        <v>100</v>
      </c>
      <c r="L63" s="32">
        <f>IFERROR(__xludf.DUMMYFUNCTION("""COMPUTED_VALUE"""),100.0)</f>
        <v>100</v>
      </c>
      <c r="M63" s="32" t="str">
        <f>IFERROR(__xludf.DUMMYFUNCTION("""COMPUTED_VALUE"""),"Dark:100, Chaos:100, Instant Death:Immune, ")</f>
        <v>Dark:100, Chaos:100, Instant Death:Immune, </v>
      </c>
      <c r="N63" s="32" t="str">
        <f>IFERROR(__xludf.DUMMYFUNCTION("""COMPUTED_VALUE"""),"Fire:100, Light:100, Order:100, ")</f>
        <v>Fire:100, Light:100, Order:100, </v>
      </c>
      <c r="O63" s="32"/>
      <c r="P63" s="32"/>
      <c r="Q63" s="32"/>
      <c r="R63" s="32"/>
      <c r="S63" s="32"/>
      <c r="T63" s="32"/>
      <c r="U63" s="32"/>
      <c r="V63" s="32"/>
      <c r="W63" s="32"/>
      <c r="X63" s="32"/>
      <c r="Y63" s="32"/>
      <c r="Z63" s="32"/>
      <c r="AA63" s="32"/>
      <c r="AB63" s="32"/>
      <c r="AC63" s="32"/>
      <c r="AD63" s="32"/>
      <c r="AE63" s="32"/>
      <c r="AF63" s="32"/>
      <c r="AG63" s="32"/>
      <c r="AH63" s="32"/>
      <c r="AI63" s="32"/>
      <c r="AJ63" s="32" t="str">
        <f>IFERROR(__xludf.DUMMYFUNCTION("""COMPUTED_VALUE"""),"Dark Bolt")</f>
        <v>Dark Bolt</v>
      </c>
      <c r="AK63" s="32" t="str">
        <f>IFERROR(__xludf.DUMMYFUNCTION("""COMPUTED_VALUE"""),"Shadow Vanish")</f>
        <v>Shadow Vanish</v>
      </c>
      <c r="AL63" s="32" t="str">
        <f>IFERROR(__xludf.DUMMYFUNCTION("""COMPUTED_VALUE"""),"Raise Dead")</f>
        <v>Raise Dead</v>
      </c>
      <c r="AM63" s="32" t="str">
        <f>IFERROR(__xludf.DUMMYFUNCTION("""COMPUTED_VALUE"""),"Dimension Portal")</f>
        <v>Dimension Portal</v>
      </c>
      <c r="AN63" s="32"/>
      <c r="AO63" s="32"/>
      <c r="AP63" s="32"/>
      <c r="AQ63" s="32"/>
      <c r="AR63" s="32"/>
      <c r="AS63" s="32"/>
      <c r="AT63" s="32"/>
      <c r="AU63" s="32"/>
      <c r="AV63" s="32"/>
      <c r="AW63" s="32"/>
      <c r="AX63" s="32"/>
      <c r="AY63" s="32"/>
      <c r="AZ63" s="32"/>
      <c r="BA63" s="32"/>
      <c r="BB63" s="32"/>
      <c r="BC63" s="32"/>
      <c r="BD63" s="32">
        <f>IFERROR(__xludf.DUMMYFUNCTION("""COMPUTED_VALUE"""),0.0)</f>
        <v>0</v>
      </c>
      <c r="BE63" s="32">
        <f>IFERROR(__xludf.DUMMYFUNCTION("""COMPUTED_VALUE"""),10.0)</f>
        <v>10</v>
      </c>
      <c r="BF63" s="32"/>
      <c r="BG63" s="32" t="str">
        <f>IFERROR(__xludf.DUMMYFUNCTION("""COMPUTED_VALUE"""),"All")</f>
        <v>All</v>
      </c>
      <c r="BH63" s="32" t="str">
        <f>IFERROR(__xludf.DUMMYFUNCTION("""COMPUTED_VALUE"""),"Land of Spira")</f>
        <v>Land of Spira</v>
      </c>
      <c r="BI63" s="32"/>
      <c r="BJ63" s="32"/>
      <c r="BK63" s="32"/>
      <c r="BL63" s="32" t="b">
        <f>IFERROR(__xludf.DUMMYFUNCTION("""COMPUTED_VALUE"""),FALSE)</f>
        <v>0</v>
      </c>
      <c r="BM63" s="32"/>
      <c r="BN63" s="32"/>
      <c r="BO63" s="32"/>
      <c r="BP63" s="32"/>
      <c r="BQ63" s="32"/>
    </row>
    <row r="64">
      <c r="A64" s="32" t="str">
        <f>IFERROR(__xludf.DUMMYFUNCTION("""COMPUTED_VALUE"""),"Deathblade The Dragon Hunter")</f>
        <v>Deathblade The Dragon Hunter</v>
      </c>
      <c r="B64" s="32">
        <f>IFERROR(__xludf.DUMMYFUNCTION("""COMPUTED_VALUE"""),1.0)</f>
        <v>1</v>
      </c>
      <c r="C64" s="32" t="str">
        <f>IFERROR(__xludf.DUMMYFUNCTION("""COMPUTED_VALUE"""),"Anyone who kills dragons is a bad guy in my books.")</f>
        <v>Anyone who kills dragons is a bad guy in my books.</v>
      </c>
      <c r="D64" s="33" t="str">
        <f>IFERROR(__xludf.DUMMYFUNCTION("""COMPUTED_VALUE"""),"Humanoid")</f>
        <v>Humanoid</v>
      </c>
      <c r="E64" s="33">
        <f>IFERROR(__xludf.DUMMYFUNCTION("""COMPUTED_VALUE"""),1010.0)</f>
        <v>1010</v>
      </c>
      <c r="F64" s="33">
        <f>IFERROR(__xludf.DUMMYFUNCTION("""COMPUTED_VALUE"""),1010.0)</f>
        <v>1010</v>
      </c>
      <c r="G64" s="33">
        <f>IFERROR(__xludf.DUMMYFUNCTION("""COMPUTED_VALUE"""),1010.0)</f>
        <v>1010</v>
      </c>
      <c r="H64" s="32">
        <f>IFERROR(__xludf.DUMMYFUNCTION("""COMPUTED_VALUE"""),10.0)</f>
        <v>10</v>
      </c>
      <c r="I64" s="32">
        <f>IFERROR(__xludf.DUMMYFUNCTION("""COMPUTED_VALUE"""),0.0)</f>
        <v>0</v>
      </c>
      <c r="J64" s="32">
        <f>IFERROR(__xludf.DUMMYFUNCTION("""COMPUTED_VALUE"""),0.0)</f>
        <v>0</v>
      </c>
      <c r="K64" s="32">
        <f>IFERROR(__xludf.DUMMYFUNCTION("""COMPUTED_VALUE"""),100.0)</f>
        <v>100</v>
      </c>
      <c r="L64" s="32">
        <f>IFERROR(__xludf.DUMMYFUNCTION("""COMPUTED_VALUE"""),100.0)</f>
        <v>100</v>
      </c>
      <c r="M64" s="32" t="str">
        <f>IFERROR(__xludf.DUMMYFUNCTION("""COMPUTED_VALUE"""),"Dark:Immune, Chaos:Immune, Instant Death:Immune, Banishment:Immune, ")</f>
        <v>Dark:Immune, Chaos:Immune, Instant Death:Immune, Banishment:Immune, </v>
      </c>
      <c r="N64" s="32" t="str">
        <f>IFERROR(__xludf.DUMMYFUNCTION("""COMPUTED_VALUE"""),"Fire:100, Light:100, Order:100, ")</f>
        <v>Fire:100, Light:100, Order:100, </v>
      </c>
      <c r="O64" s="32"/>
      <c r="P64" s="32"/>
      <c r="Q64" s="32"/>
      <c r="R64" s="32"/>
      <c r="S64" s="32"/>
      <c r="T64" s="32"/>
      <c r="U64" s="32"/>
      <c r="V64" s="32" t="str">
        <f>IFERROR(__xludf.DUMMYFUNCTION("""COMPUTED_VALUE"""),"Sword Of The Dragons Blood")</f>
        <v>Sword Of The Dragons Blood</v>
      </c>
      <c r="W64" s="32"/>
      <c r="X64" s="32"/>
      <c r="Y64" s="32"/>
      <c r="Z64" s="32"/>
      <c r="AA64" s="32"/>
      <c r="AB64" s="32"/>
      <c r="AC64" s="32"/>
      <c r="AD64" s="32"/>
      <c r="AE64" s="32"/>
      <c r="AF64" s="32"/>
      <c r="AG64" s="32"/>
      <c r="AH64" s="32"/>
      <c r="AI64" s="32"/>
      <c r="AJ64" s="32" t="str">
        <f>IFERROR(__xludf.DUMMYFUNCTION("""COMPUTED_VALUE"""),"Magic Barrier")</f>
        <v>Magic Barrier</v>
      </c>
      <c r="AK64" s="32" t="str">
        <f>IFERROR(__xludf.DUMMYFUNCTION("""COMPUTED_VALUE"""),"Celestial Wrath")</f>
        <v>Celestial Wrath</v>
      </c>
      <c r="AL64" s="32" t="str">
        <f>IFERROR(__xludf.DUMMYFUNCTION("""COMPUTED_VALUE"""),"Bullseye")</f>
        <v>Bullseye</v>
      </c>
      <c r="AM64" s="32" t="str">
        <f>IFERROR(__xludf.DUMMYFUNCTION("""COMPUTED_VALUE"""),"Mass Destruction")</f>
        <v>Mass Destruction</v>
      </c>
      <c r="AN64" s="32" t="str">
        <f>IFERROR(__xludf.DUMMYFUNCTION("""COMPUTED_VALUE"""),"Vaporize")</f>
        <v>Vaporize</v>
      </c>
      <c r="AO64" s="32" t="str">
        <f>IFERROR(__xludf.DUMMYFUNCTION("""COMPUTED_VALUE"""),"Delta Blast")</f>
        <v>Delta Blast</v>
      </c>
      <c r="AP64" s="32" t="str">
        <f>IFERROR(__xludf.DUMMYFUNCTION("""COMPUTED_VALUE"""),"Delta Rock &amp; Roll")</f>
        <v>Delta Rock &amp; Roll</v>
      </c>
      <c r="AQ64" s="32"/>
      <c r="AR64" s="32"/>
      <c r="AS64" s="32"/>
      <c r="AT64" s="32"/>
      <c r="AU64" s="32"/>
      <c r="AV64" s="32"/>
      <c r="AW64" s="32"/>
      <c r="AX64" s="32"/>
      <c r="AY64" s="32"/>
      <c r="AZ64" s="32"/>
      <c r="BA64" s="32"/>
      <c r="BB64" s="32"/>
      <c r="BC64" s="32"/>
      <c r="BD64" s="32">
        <f>IFERROR(__xludf.DUMMYFUNCTION("""COMPUTED_VALUE"""),0.0)</f>
        <v>0</v>
      </c>
      <c r="BE64" s="32">
        <f>IFERROR(__xludf.DUMMYFUNCTION("""COMPUTED_VALUE"""),10.0)</f>
        <v>10</v>
      </c>
      <c r="BF64" s="32"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32" t="str">
        <f>IFERROR(__xludf.DUMMYFUNCTION("""COMPUTED_VALUE"""),"All")</f>
        <v>All</v>
      </c>
      <c r="BH64" s="32" t="str">
        <f>IFERROR(__xludf.DUMMYFUNCTION("""COMPUTED_VALUE"""),"Land of Spira")</f>
        <v>Land of Spira</v>
      </c>
      <c r="BI64" s="32"/>
      <c r="BJ64" s="32"/>
      <c r="BK64" s="32"/>
      <c r="BL64" s="32" t="b">
        <f>IFERROR(__xludf.DUMMYFUNCTION("""COMPUTED_VALUE"""),FALSE)</f>
        <v>0</v>
      </c>
      <c r="BM64" s="32"/>
      <c r="BN64" s="32"/>
      <c r="BO64" s="32"/>
      <c r="BP64" s="32"/>
      <c r="BQ64" s="32"/>
    </row>
    <row r="65">
      <c r="A65" s="32" t="str">
        <f>IFERROR(__xludf.DUMMYFUNCTION("""COMPUTED_VALUE"""),"Defensive Rock Giant")</f>
        <v>Defensive Rock Giant</v>
      </c>
      <c r="B65" s="32">
        <f>IFERROR(__xludf.DUMMYFUNCTION("""COMPUTED_VALUE"""),1.0)</f>
        <v>1</v>
      </c>
      <c r="C65" s="32" t="str">
        <f>IFERROR(__xludf.DUMMYFUNCTION("""COMPUTED_VALUE"""),"Big man make big punch")</f>
        <v>Big man make big punch</v>
      </c>
      <c r="D65" s="33" t="str">
        <f>IFERROR(__xludf.DUMMYFUNCTION("""COMPUTED_VALUE"""),"Construct")</f>
        <v>Construct</v>
      </c>
      <c r="E65" s="33">
        <f>IFERROR(__xludf.DUMMYFUNCTION("""COMPUTED_VALUE"""),1010.0)</f>
        <v>1010</v>
      </c>
      <c r="F65" s="33">
        <f>IFERROR(__xludf.DUMMYFUNCTION("""COMPUTED_VALUE"""),1010.0)</f>
        <v>1010</v>
      </c>
      <c r="G65" s="33">
        <f>IFERROR(__xludf.DUMMYFUNCTION("""COMPUTED_VALUE"""),1010.0)</f>
        <v>1010</v>
      </c>
      <c r="H65" s="32">
        <f>IFERROR(__xludf.DUMMYFUNCTION("""COMPUTED_VALUE"""),10.0)</f>
        <v>10</v>
      </c>
      <c r="I65" s="32">
        <f>IFERROR(__xludf.DUMMYFUNCTION("""COMPUTED_VALUE"""),0.0)</f>
        <v>0</v>
      </c>
      <c r="J65" s="32">
        <f>IFERROR(__xludf.DUMMYFUNCTION("""COMPUTED_VALUE"""),0.0)</f>
        <v>0</v>
      </c>
      <c r="K65" s="32">
        <f>IFERROR(__xludf.DUMMYFUNCTION("""COMPUTED_VALUE"""),100.0)</f>
        <v>100</v>
      </c>
      <c r="L65" s="32">
        <f>IFERROR(__xludf.DUMMYFUNCTION("""COMPUTED_VALUE"""),100.0)</f>
        <v>100</v>
      </c>
      <c r="M65" s="32" t="str">
        <f>IFERROR(__xludf.DUMMYFUNCTION("""COMPUTED_VALUE"""),"Fire:100, ")</f>
        <v>Fire:100, </v>
      </c>
      <c r="N65" s="32" t="str">
        <f>IFERROR(__xludf.DUMMYFUNCTION("""COMPUTED_VALUE"""),"Water:100, Nature:100, ")</f>
        <v>Water:100, Nature:100, </v>
      </c>
      <c r="O65" s="32"/>
      <c r="P65" s="32"/>
      <c r="Q65" s="32"/>
      <c r="R65" s="32"/>
      <c r="S65" s="32"/>
      <c r="T65" s="32"/>
      <c r="U65" s="32"/>
      <c r="V65" s="32"/>
      <c r="W65" s="32"/>
      <c r="X65" s="32"/>
      <c r="Y65" s="32"/>
      <c r="Z65" s="32"/>
      <c r="AA65" s="32"/>
      <c r="AB65" s="32"/>
      <c r="AC65" s="32"/>
      <c r="AD65" s="32"/>
      <c r="AE65" s="32"/>
      <c r="AF65" s="32"/>
      <c r="AG65" s="32"/>
      <c r="AH65" s="32"/>
      <c r="AI65" s="32"/>
      <c r="AJ65" s="32" t="str">
        <f>IFERROR(__xludf.DUMMYFUNCTION("""COMPUTED_VALUE"""),"Rock Cycle")</f>
        <v>Rock Cycle</v>
      </c>
      <c r="AK65" s="32" t="str">
        <f>IFERROR(__xludf.DUMMYFUNCTION("""COMPUTED_VALUE"""),"Earth Punch")</f>
        <v>Earth Punch</v>
      </c>
      <c r="AL65" s="32" t="str">
        <f>IFERROR(__xludf.DUMMYFUNCTION("""COMPUTED_VALUE"""),"Boulder Toss")</f>
        <v>Boulder Toss</v>
      </c>
      <c r="AM65" s="32" t="str">
        <f>IFERROR(__xludf.DUMMYFUNCTION("""COMPUTED_VALUE"""),"Earthquake")</f>
        <v>Earthquake</v>
      </c>
      <c r="AN65" s="32" t="str">
        <f>IFERROR(__xludf.DUMMYFUNCTION("""COMPUTED_VALUE"""),"Sandstorm")</f>
        <v>Sandstorm</v>
      </c>
      <c r="AO65" s="32" t="str">
        <f>IFERROR(__xludf.DUMMYFUNCTION("""COMPUTED_VALUE"""),"Mass Destruction")</f>
        <v>Mass Destruction</v>
      </c>
      <c r="AP65" s="32" t="str">
        <f>IFERROR(__xludf.DUMMYFUNCTION("""COMPUTED_VALUE"""),"Berserk")</f>
        <v>Berserk</v>
      </c>
      <c r="AQ65" s="32"/>
      <c r="AR65" s="32"/>
      <c r="AS65" s="32"/>
      <c r="AT65" s="32"/>
      <c r="AU65" s="32"/>
      <c r="AV65" s="32"/>
      <c r="AW65" s="32"/>
      <c r="AX65" s="32"/>
      <c r="AY65" s="32"/>
      <c r="AZ65" s="32"/>
      <c r="BA65" s="32"/>
      <c r="BB65" s="32"/>
      <c r="BC65" s="32"/>
      <c r="BD65" s="32">
        <f>IFERROR(__xludf.DUMMYFUNCTION("""COMPUTED_VALUE"""),0.0)</f>
        <v>0</v>
      </c>
      <c r="BE65" s="32">
        <f>IFERROR(__xludf.DUMMYFUNCTION("""COMPUTED_VALUE"""),10.0)</f>
        <v>10</v>
      </c>
      <c r="BF65" s="32" t="str">
        <f>IFERROR(__xludf.DUMMYFUNCTION("""COMPUTED_VALUE"""),"25% chance to be unaffected by any spells affecting this mob.
X4 defense at all times for this mob.")</f>
        <v>25% chance to be unaffected by any spells affecting this mob.
X4 defense at all times for this mob.</v>
      </c>
      <c r="BG65" s="32" t="str">
        <f>IFERROR(__xludf.DUMMYFUNCTION("""COMPUTED_VALUE"""),"All")</f>
        <v>All</v>
      </c>
      <c r="BH65" s="32" t="str">
        <f>IFERROR(__xludf.DUMMYFUNCTION("""COMPUTED_VALUE"""),"Land of Spira")</f>
        <v>Land of Spira</v>
      </c>
      <c r="BI65" s="32"/>
      <c r="BJ65" s="32"/>
      <c r="BK65" s="32"/>
      <c r="BL65" s="32" t="b">
        <f>IFERROR(__xludf.DUMMYFUNCTION("""COMPUTED_VALUE"""),FALSE)</f>
        <v>0</v>
      </c>
      <c r="BM65" s="32"/>
      <c r="BN65" s="32"/>
      <c r="BO65" s="32"/>
      <c r="BP65" s="32"/>
      <c r="BQ65" s="32"/>
    </row>
    <row r="66">
      <c r="A66" s="32" t="str">
        <f>IFERROR(__xludf.DUMMYFUNCTION("""COMPUTED_VALUE"""),"Deimos")</f>
        <v>Deimos</v>
      </c>
      <c r="B66" s="32">
        <f>IFERROR(__xludf.DUMMYFUNCTION("""COMPUTED_VALUE"""),1.0)</f>
        <v>1</v>
      </c>
      <c r="C66" s="32" t="str">
        <f>IFERROR(__xludf.DUMMYFUNCTION("""COMPUTED_VALUE"""),"I'mma be honest,he looks just like every other demon out there.")</f>
        <v>I'mma be honest,he looks just like every other demon out there.</v>
      </c>
      <c r="D66" s="33" t="str">
        <f>IFERROR(__xludf.DUMMYFUNCTION("""COMPUTED_VALUE"""),"Demonic")</f>
        <v>Demonic</v>
      </c>
      <c r="E66" s="33">
        <f>IFERROR(__xludf.DUMMYFUNCTION("""COMPUTED_VALUE"""),1010.0)</f>
        <v>1010</v>
      </c>
      <c r="F66" s="33">
        <f>IFERROR(__xludf.DUMMYFUNCTION("""COMPUTED_VALUE"""),1010.0)</f>
        <v>1010</v>
      </c>
      <c r="G66" s="33">
        <f>IFERROR(__xludf.DUMMYFUNCTION("""COMPUTED_VALUE"""),1010.0)</f>
        <v>1010</v>
      </c>
      <c r="H66" s="32">
        <f>IFERROR(__xludf.DUMMYFUNCTION("""COMPUTED_VALUE"""),20.0)</f>
        <v>20</v>
      </c>
      <c r="I66" s="32">
        <f>IFERROR(__xludf.DUMMYFUNCTION("""COMPUTED_VALUE"""),0.0)</f>
        <v>0</v>
      </c>
      <c r="J66" s="32">
        <f>IFERROR(__xludf.DUMMYFUNCTION("""COMPUTED_VALUE"""),0.0)</f>
        <v>0</v>
      </c>
      <c r="K66" s="32">
        <f>IFERROR(__xludf.DUMMYFUNCTION("""COMPUTED_VALUE"""),100.0)</f>
        <v>100</v>
      </c>
      <c r="L66" s="32">
        <f>IFERROR(__xludf.DUMMYFUNCTION("""COMPUTED_VALUE"""),100.0)</f>
        <v>100</v>
      </c>
      <c r="M66" s="32" t="str">
        <f>IFERROR(__xludf.DUMMYFUNCTION("""COMPUTED_VALUE"""),"Dark:Immune, Spirit:Immune, Chaos:Immune, Voodoo:Immune, Blood:Immune, Instant Death:Immune, Banishment:Immune, ")</f>
        <v>Dark:Immune, Spirit:Immune, Chaos:Immune, Voodoo:Immune, Blood:Immune, Instant Death:Immune, Banishment:Immune, </v>
      </c>
      <c r="N66" s="32" t="str">
        <f>IFERROR(__xludf.DUMMYFUNCTION("""COMPUTED_VALUE"""),"Water:100, Light:100, Order:100, Celestial:100, ")</f>
        <v>Water:100, Light:100, Order:100, Celestial:100, </v>
      </c>
      <c r="O66" s="32"/>
      <c r="P66" s="32"/>
      <c r="Q66" s="32"/>
      <c r="R66" s="32"/>
      <c r="S66" s="32"/>
      <c r="T66" s="32"/>
      <c r="U66" s="32"/>
      <c r="V66" s="32"/>
      <c r="W66" s="32" t="str">
        <f>IFERROR(__xludf.DUMMYFUNCTION("""COMPUTED_VALUE"""),"Grand Hellfire Sword")</f>
        <v>Grand Hellfire Sword</v>
      </c>
      <c r="X66" s="32"/>
      <c r="Y66" s="32"/>
      <c r="Z66" s="32"/>
      <c r="AA66" s="32"/>
      <c r="AB66" s="32"/>
      <c r="AC66" s="32"/>
      <c r="AD66" s="32"/>
      <c r="AE66" s="32"/>
      <c r="AF66" s="32"/>
      <c r="AG66" s="32"/>
      <c r="AH66" s="32"/>
      <c r="AI66" s="32"/>
      <c r="AJ66" s="32" t="str">
        <f>IFERROR(__xludf.DUMMYFUNCTION("""COMPUTED_VALUE"""),"Chaincast")</f>
        <v>Chaincast</v>
      </c>
      <c r="AK66" s="32" t="str">
        <f>IFERROR(__xludf.DUMMYFUNCTION("""COMPUTED_VALUE"""),"Mass Ignition")</f>
        <v>Mass Ignition</v>
      </c>
      <c r="AL66" s="32" t="str">
        <f>IFERROR(__xludf.DUMMYFUNCTION("""COMPUTED_VALUE"""),"Flame Sanctuary")</f>
        <v>Flame Sanctuary</v>
      </c>
      <c r="AM66" s="32" t="str">
        <f>IFERROR(__xludf.DUMMYFUNCTION("""COMPUTED_VALUE"""),"Lucifer's Ward Of The Damned")</f>
        <v>Lucifer's Ward Of The Damned</v>
      </c>
      <c r="AN66" s="32" t="str">
        <f>IFERROR(__xludf.DUMMYFUNCTION("""COMPUTED_VALUE"""),"Dimensional Quake")</f>
        <v>Dimensional Quake</v>
      </c>
      <c r="AO66" s="32" t="str">
        <f>IFERROR(__xludf.DUMMYFUNCTION("""COMPUTED_VALUE"""),"Disruption")</f>
        <v>Disruption</v>
      </c>
      <c r="AP66" s="32" t="str">
        <f>IFERROR(__xludf.DUMMYFUNCTION("""COMPUTED_VALUE"""),"Darkness Ablaze")</f>
        <v>Darkness Ablaze</v>
      </c>
      <c r="AQ66" s="32" t="str">
        <f>IFERROR(__xludf.DUMMYFUNCTION("""COMPUTED_VALUE"""),"Darkest Abyss")</f>
        <v>Darkest Abyss</v>
      </c>
      <c r="AR66" s="32" t="str">
        <f>IFERROR(__xludf.DUMMYFUNCTION("""COMPUTED_VALUE"""),"Berserk")</f>
        <v>Berserk</v>
      </c>
      <c r="AS66" s="32" t="str">
        <f>IFERROR(__xludf.DUMMYFUNCTION("""COMPUTED_VALUE"""),"Blood Geyser")</f>
        <v>Blood Geyser</v>
      </c>
      <c r="AT66" s="32" t="str">
        <f>IFERROR(__xludf.DUMMYFUNCTION("""COMPUTED_VALUE"""),"Callous Sacrifice")</f>
        <v>Callous Sacrifice</v>
      </c>
      <c r="AU66" s="32" t="str">
        <f>IFERROR(__xludf.DUMMYFUNCTION("""COMPUTED_VALUE"""),"Celestial Wrath")</f>
        <v>Celestial Wrath</v>
      </c>
      <c r="AV66" s="32"/>
      <c r="AW66" s="32"/>
      <c r="AX66" s="32"/>
      <c r="AY66" s="32"/>
      <c r="AZ66" s="32"/>
      <c r="BA66" s="32"/>
      <c r="BB66" s="32"/>
      <c r="BC66" s="32"/>
      <c r="BD66" s="32">
        <f>IFERROR(__xludf.DUMMYFUNCTION("""COMPUTED_VALUE"""),0.0)</f>
        <v>0</v>
      </c>
      <c r="BE66" s="32">
        <f>IFERROR(__xludf.DUMMYFUNCTION("""COMPUTED_VALUE"""),10.0)</f>
        <v>10</v>
      </c>
      <c r="BF66" s="32"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32"/>
      <c r="BH66" s="32" t="str">
        <f>IFERROR(__xludf.DUMMYFUNCTION("""COMPUTED_VALUE"""),"Abstara")</f>
        <v>Abstara</v>
      </c>
      <c r="BI66" s="32"/>
      <c r="BJ66" s="32"/>
      <c r="BK66" s="32"/>
      <c r="BL66" s="32" t="b">
        <f>IFERROR(__xludf.DUMMYFUNCTION("""COMPUTED_VALUE"""),FALSE)</f>
        <v>0</v>
      </c>
      <c r="BM66" s="32"/>
      <c r="BN66" s="32"/>
      <c r="BO66" s="32"/>
      <c r="BP66" s="32"/>
      <c r="BQ66" s="32"/>
    </row>
    <row r="67">
      <c r="A67" s="32" t="str">
        <f>IFERROR(__xludf.DUMMYFUNCTION("""COMPUTED_VALUE"""),"Delta Dragon")</f>
        <v>Delta Dragon</v>
      </c>
      <c r="B67" s="32">
        <f>IFERROR(__xludf.DUMMYFUNCTION("""COMPUTED_VALUE"""),1.0)</f>
        <v>1</v>
      </c>
      <c r="C67" s="32" t="str">
        <f>IFERROR(__xludf.DUMMYFUNCTION("""COMPUTED_VALUE"""),"How the hell did this dragon come to be made out of pure magic? Probably Bahamut I'd reckon.")</f>
        <v>How the hell did this dragon come to be made out of pure magic? Probably Bahamut I'd reckon.</v>
      </c>
      <c r="D67" s="33" t="str">
        <f>IFERROR(__xludf.DUMMYFUNCTION("""COMPUTED_VALUE"""),"Draconic")</f>
        <v>Draconic</v>
      </c>
      <c r="E67" s="33">
        <f>IFERROR(__xludf.DUMMYFUNCTION("""COMPUTED_VALUE"""),31010.0)</f>
        <v>31010</v>
      </c>
      <c r="F67" s="33">
        <f>IFERROR(__xludf.DUMMYFUNCTION("""COMPUTED_VALUE"""),31010.0)</f>
        <v>31010</v>
      </c>
      <c r="G67" s="33">
        <f>IFERROR(__xludf.DUMMYFUNCTION("""COMPUTED_VALUE"""),1010.0)</f>
        <v>1010</v>
      </c>
      <c r="H67" s="32">
        <f>IFERROR(__xludf.DUMMYFUNCTION("""COMPUTED_VALUE"""),10.0)</f>
        <v>10</v>
      </c>
      <c r="I67" s="32">
        <f>IFERROR(__xludf.DUMMYFUNCTION("""COMPUTED_VALUE"""),0.0)</f>
        <v>0</v>
      </c>
      <c r="J67" s="32">
        <f>IFERROR(__xludf.DUMMYFUNCTION("""COMPUTED_VALUE"""),0.0)</f>
        <v>0</v>
      </c>
      <c r="K67" s="32">
        <f>IFERROR(__xludf.DUMMYFUNCTION("""COMPUTED_VALUE"""),100.0)</f>
        <v>100</v>
      </c>
      <c r="L67" s="32">
        <f>IFERROR(__xludf.DUMMYFUNCTION("""COMPUTED_VALUE"""),100.0)</f>
        <v>100</v>
      </c>
      <c r="M67" s="32" t="str">
        <f>IFERROR(__xludf.DUMMYFUNCTION("""COMPUTED_VALUE"""),"Instant Death:Immune, Banishment:Immune, ")</f>
        <v>Instant Death:Immune, Banishment:Immune, </v>
      </c>
      <c r="N67" s="32" t="str">
        <f>IFERROR(__xludf.DUMMYFUNCTION("""COMPUTED_VALUE"""),"")</f>
        <v/>
      </c>
      <c r="O67" s="32"/>
      <c r="P67" s="32"/>
      <c r="Q67" s="32"/>
      <c r="R67" s="32"/>
      <c r="S67" s="32"/>
      <c r="T67" s="32"/>
      <c r="U67" s="32"/>
      <c r="V67" s="32"/>
      <c r="W67" s="32"/>
      <c r="X67" s="32"/>
      <c r="Y67" s="32"/>
      <c r="Z67" s="32"/>
      <c r="AA67" s="32"/>
      <c r="AB67" s="32"/>
      <c r="AC67" s="32"/>
      <c r="AD67" s="32"/>
      <c r="AE67" s="32"/>
      <c r="AF67" s="32"/>
      <c r="AG67" s="32"/>
      <c r="AH67" s="32"/>
      <c r="AI67" s="32"/>
      <c r="AJ67" s="32" t="str">
        <f>IFERROR(__xludf.DUMMYFUNCTION("""COMPUTED_VALUE"""),"Dragon's Breath")</f>
        <v>Dragon's Breath</v>
      </c>
      <c r="AK67" s="32" t="str">
        <f>IFERROR(__xludf.DUMMYFUNCTION("""COMPUTED_VALUE"""),"Bite")</f>
        <v>Bite</v>
      </c>
      <c r="AL67" s="32" t="str">
        <f>IFERROR(__xludf.DUMMYFUNCTION("""COMPUTED_VALUE"""),"Tail Smash")</f>
        <v>Tail Smash</v>
      </c>
      <c r="AM67" s="32" t="str">
        <f>IFERROR(__xludf.DUMMYFUNCTION("""COMPUTED_VALUE"""),"Claws")</f>
        <v>Claws</v>
      </c>
      <c r="AN67" s="32" t="str">
        <f>IFERROR(__xludf.DUMMYFUNCTION("""COMPUTED_VALUE"""),"Berserk")</f>
        <v>Berserk</v>
      </c>
      <c r="AO67" s="32" t="str">
        <f>IFERROR(__xludf.DUMMYFUNCTION("""COMPUTED_VALUE"""),"Multishot")</f>
        <v>Multishot</v>
      </c>
      <c r="AP67" s="32" t="str">
        <f>IFERROR(__xludf.DUMMYFUNCTION("""COMPUTED_VALUE"""),"Draconic Scream")</f>
        <v>Draconic Scream</v>
      </c>
      <c r="AQ67" s="32" t="str">
        <f>IFERROR(__xludf.DUMMYFUNCTION("""COMPUTED_VALUE"""),"Delta World")</f>
        <v>Delta World</v>
      </c>
      <c r="AR67" s="32" t="str">
        <f>IFERROR(__xludf.DUMMYFUNCTION("""COMPUTED_VALUE"""),"Chaincast")</f>
        <v>Chaincast</v>
      </c>
      <c r="AS67" s="32" t="str">
        <f>IFERROR(__xludf.DUMMYFUNCTION("""COMPUTED_VALUE"""),"Delta Rock &amp; Roll")</f>
        <v>Delta Rock &amp; Roll</v>
      </c>
      <c r="AT67" s="32" t="str">
        <f>IFERROR(__xludf.DUMMYFUNCTION("""COMPUTED_VALUE"""),"Elemental Storm")</f>
        <v>Elemental Storm</v>
      </c>
      <c r="AU67" s="32" t="str">
        <f>IFERROR(__xludf.DUMMYFUNCTION("""COMPUTED_VALUE"""),"Dreading Storm")</f>
        <v>Dreading Storm</v>
      </c>
      <c r="AV67" s="32" t="str">
        <f>IFERROR(__xludf.DUMMYFUNCTION("""COMPUTED_VALUE"""),"Stun Negation")</f>
        <v>Stun Negation</v>
      </c>
      <c r="AW67" s="32" t="str">
        <f>IFERROR(__xludf.DUMMYFUNCTION("""COMPUTED_VALUE"""),"Celestial Wrath")</f>
        <v>Celestial Wrath</v>
      </c>
      <c r="AX67" s="32"/>
      <c r="AY67" s="32"/>
      <c r="AZ67" s="32"/>
      <c r="BA67" s="32"/>
      <c r="BB67" s="32"/>
      <c r="BC67" s="32"/>
      <c r="BD67" s="32">
        <f>IFERROR(__xludf.DUMMYFUNCTION("""COMPUTED_VALUE"""),0.0)</f>
        <v>0</v>
      </c>
      <c r="BE67" s="32">
        <f>IFERROR(__xludf.DUMMYFUNCTION("""COMPUTED_VALUE"""),10.0)</f>
        <v>10</v>
      </c>
      <c r="BF67" s="32"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32" t="str">
        <f>IFERROR(__xludf.DUMMYFUNCTION("""COMPUTED_VALUE"""),"All")</f>
        <v>All</v>
      </c>
      <c r="BH67" s="32" t="str">
        <f>IFERROR(__xludf.DUMMYFUNCTION("""COMPUTED_VALUE"""),"Dragonscale Island")</f>
        <v>Dragonscale Island</v>
      </c>
      <c r="BI67" s="32"/>
      <c r="BJ67" s="32"/>
      <c r="BK67" s="32"/>
      <c r="BL67" s="32" t="b">
        <f>IFERROR(__xludf.DUMMYFUNCTION("""COMPUTED_VALUE"""),FALSE)</f>
        <v>0</v>
      </c>
      <c r="BM67" s="32"/>
      <c r="BN67" s="32"/>
      <c r="BO67" s="32"/>
      <c r="BP67" s="32"/>
      <c r="BQ67" s="32"/>
    </row>
    <row r="68">
      <c r="A68" s="32" t="str">
        <f>IFERROR(__xludf.DUMMYFUNCTION("""COMPUTED_VALUE"""),"Demon ")</f>
        <v>Demon </v>
      </c>
      <c r="B68" s="32">
        <f>IFERROR(__xludf.DUMMYFUNCTION("""COMPUTED_VALUE"""),1.0)</f>
        <v>1</v>
      </c>
      <c r="C68" s="32" t="str">
        <f>IFERROR(__xludf.DUMMYFUNCTION("""COMPUTED_VALUE"""),"An unintelligent bestial resident of hell.")</f>
        <v>An unintelligent bestial resident of hell.</v>
      </c>
      <c r="D68" s="33" t="str">
        <f>IFERROR(__xludf.DUMMYFUNCTION("""COMPUTED_VALUE"""),"Demonic")</f>
        <v>Demonic</v>
      </c>
      <c r="E68" s="33">
        <f>IFERROR(__xludf.DUMMYFUNCTION("""COMPUTED_VALUE"""),1010.0)</f>
        <v>1010</v>
      </c>
      <c r="F68" s="33">
        <f>IFERROR(__xludf.DUMMYFUNCTION("""COMPUTED_VALUE"""),1010.0)</f>
        <v>1010</v>
      </c>
      <c r="G68" s="33">
        <f>IFERROR(__xludf.DUMMYFUNCTION("""COMPUTED_VALUE"""),1010.0)</f>
        <v>1010</v>
      </c>
      <c r="H68" s="32">
        <f>IFERROR(__xludf.DUMMYFUNCTION("""COMPUTED_VALUE"""),10.0)</f>
        <v>10</v>
      </c>
      <c r="I68" s="32">
        <f>IFERROR(__xludf.DUMMYFUNCTION("""COMPUTED_VALUE"""),0.0)</f>
        <v>0</v>
      </c>
      <c r="J68" s="32">
        <f>IFERROR(__xludf.DUMMYFUNCTION("""COMPUTED_VALUE"""),0.0)</f>
        <v>0</v>
      </c>
      <c r="K68" s="32">
        <f>IFERROR(__xludf.DUMMYFUNCTION("""COMPUTED_VALUE"""),100.0)</f>
        <v>100</v>
      </c>
      <c r="L68" s="32">
        <f>IFERROR(__xludf.DUMMYFUNCTION("""COMPUTED_VALUE"""),100.0)</f>
        <v>100</v>
      </c>
      <c r="M68" s="32" t="str">
        <f>IFERROR(__xludf.DUMMYFUNCTION("""COMPUTED_VALUE"""),"Dark:Immune, Spirit:Immune, Chaos:Immune, ")</f>
        <v>Dark:Immune, Spirit:Immune, Chaos:Immune, </v>
      </c>
      <c r="N68" s="32" t="str">
        <f>IFERROR(__xludf.DUMMYFUNCTION("""COMPUTED_VALUE"""),"Water:100, Light:100, ")</f>
        <v>Water:100, Light:100, </v>
      </c>
      <c r="O68" s="32"/>
      <c r="P68" s="32"/>
      <c r="Q68" s="32"/>
      <c r="R68" s="32"/>
      <c r="S68" s="32"/>
      <c r="T68" s="32"/>
      <c r="U68" s="32"/>
      <c r="V68" s="32"/>
      <c r="W68" s="32"/>
      <c r="X68" s="32"/>
      <c r="Y68" s="32"/>
      <c r="Z68" s="32"/>
      <c r="AA68" s="32"/>
      <c r="AB68" s="32"/>
      <c r="AC68" s="32"/>
      <c r="AD68" s="32"/>
      <c r="AE68" s="32"/>
      <c r="AF68" s="32"/>
      <c r="AG68" s="32"/>
      <c r="AH68" s="32"/>
      <c r="AI68" s="32"/>
      <c r="AJ68" s="32" t="str">
        <f>IFERROR(__xludf.DUMMYFUNCTION("""COMPUTED_VALUE"""),"Flame Thrower")</f>
        <v>Flame Thrower</v>
      </c>
      <c r="AK68" s="32" t="str">
        <f>IFERROR(__xludf.DUMMYFUNCTION("""COMPUTED_VALUE"""),"Flame Sanctuary")</f>
        <v>Flame Sanctuary</v>
      </c>
      <c r="AL68" s="32" t="str">
        <f>IFERROR(__xludf.DUMMYFUNCTION("""COMPUTED_VALUE"""),"Dark Force")</f>
        <v>Dark Force</v>
      </c>
      <c r="AM68" s="32" t="str">
        <f>IFERROR(__xludf.DUMMYFUNCTION("""COMPUTED_VALUE"""),"Darkest Abyss")</f>
        <v>Darkest Abyss</v>
      </c>
      <c r="AN68" s="32" t="str">
        <f>IFERROR(__xludf.DUMMYFUNCTION("""COMPUTED_VALUE"""),"Possession")</f>
        <v>Possession</v>
      </c>
      <c r="AO68" s="32" t="str">
        <f>IFERROR(__xludf.DUMMYFUNCTION("""COMPUTED_VALUE"""),"Celestial Wrath")</f>
        <v>Celestial Wrath</v>
      </c>
      <c r="AP68" s="32"/>
      <c r="AQ68" s="32"/>
      <c r="AR68" s="32"/>
      <c r="AS68" s="32"/>
      <c r="AT68" s="32"/>
      <c r="AU68" s="32"/>
      <c r="AV68" s="32"/>
      <c r="AW68" s="32"/>
      <c r="AX68" s="32"/>
      <c r="AY68" s="32"/>
      <c r="AZ68" s="32"/>
      <c r="BA68" s="32"/>
      <c r="BB68" s="32"/>
      <c r="BC68" s="32"/>
      <c r="BD68" s="32">
        <f>IFERROR(__xludf.DUMMYFUNCTION("""COMPUTED_VALUE"""),0.0)</f>
        <v>0</v>
      </c>
      <c r="BE68" s="32">
        <f>IFERROR(__xludf.DUMMYFUNCTION("""COMPUTED_VALUE"""),10.0)</f>
        <v>10</v>
      </c>
      <c r="BF68" s="32" t="str">
        <f>IFERROR(__xludf.DUMMYFUNCTION("""COMPUTED_VALUE"""),"A Dark Calling: +5 can be added to this mobs rolls.")</f>
        <v>A Dark Calling: +5 can be added to this mobs rolls.</v>
      </c>
      <c r="BG68" s="32" t="str">
        <f>IFERROR(__xludf.DUMMYFUNCTION("""COMPUTED_VALUE"""),"All")</f>
        <v>All</v>
      </c>
      <c r="BH68" s="32" t="str">
        <f>IFERROR(__xludf.DUMMYFUNCTION("""COMPUTED_VALUE"""),"Abstara")</f>
        <v>Abstara</v>
      </c>
      <c r="BI68" s="32"/>
      <c r="BJ68" s="32"/>
      <c r="BK68" s="32"/>
      <c r="BL68" s="32" t="b">
        <f>IFERROR(__xludf.DUMMYFUNCTION("""COMPUTED_VALUE"""),FALSE)</f>
        <v>0</v>
      </c>
      <c r="BM68" s="32"/>
      <c r="BN68" s="32"/>
      <c r="BO68" s="32"/>
      <c r="BP68" s="32"/>
      <c r="BQ68" s="32"/>
    </row>
    <row r="69">
      <c r="A69" s="32" t="str">
        <f>IFERROR(__xludf.DUMMYFUNCTION("""COMPUTED_VALUE"""),"Demon Of Heatmore")</f>
        <v>Demon Of Heatmore</v>
      </c>
      <c r="B69" s="32">
        <f>IFERROR(__xludf.DUMMYFUNCTION("""COMPUTED_VALUE"""),1.0)</f>
        <v>1</v>
      </c>
      <c r="C69" s="32"/>
      <c r="D69" s="33" t="str">
        <f>IFERROR(__xludf.DUMMYFUNCTION("""COMPUTED_VALUE"""),"Demonic")</f>
        <v>Demonic</v>
      </c>
      <c r="E69" s="33">
        <f>IFERROR(__xludf.DUMMYFUNCTION("""COMPUTED_VALUE"""),1010.0)</f>
        <v>1010</v>
      </c>
      <c r="F69" s="33">
        <f>IFERROR(__xludf.DUMMYFUNCTION("""COMPUTED_VALUE"""),1010.0)</f>
        <v>1010</v>
      </c>
      <c r="G69" s="33">
        <f>IFERROR(__xludf.DUMMYFUNCTION("""COMPUTED_VALUE"""),1010.0)</f>
        <v>1010</v>
      </c>
      <c r="H69" s="32">
        <f>IFERROR(__xludf.DUMMYFUNCTION("""COMPUTED_VALUE"""),10.0)</f>
        <v>10</v>
      </c>
      <c r="I69" s="32">
        <f>IFERROR(__xludf.DUMMYFUNCTION("""COMPUTED_VALUE"""),0.0)</f>
        <v>0</v>
      </c>
      <c r="J69" s="32">
        <f>IFERROR(__xludf.DUMMYFUNCTION("""COMPUTED_VALUE"""),0.0)</f>
        <v>0</v>
      </c>
      <c r="K69" s="32">
        <f>IFERROR(__xludf.DUMMYFUNCTION("""COMPUTED_VALUE"""),100.0)</f>
        <v>100</v>
      </c>
      <c r="L69" s="32">
        <f>IFERROR(__xludf.DUMMYFUNCTION("""COMPUTED_VALUE"""),100.0)</f>
        <v>100</v>
      </c>
      <c r="M69" s="32" t="str">
        <f>IFERROR(__xludf.DUMMYFUNCTION("""COMPUTED_VALUE"""),"Fire:100, Dark:Immune, Spirit:Immune, Nature:Immune, Voodoo:Immune, ")</f>
        <v>Fire:100, Dark:Immune, Spirit:Immune, Nature:Immune, Voodoo:Immune, </v>
      </c>
      <c r="N69" s="32" t="str">
        <f>IFERROR(__xludf.DUMMYFUNCTION("""COMPUTED_VALUE"""),"Water:100, ")</f>
        <v>Water:100, </v>
      </c>
      <c r="O69" s="32"/>
      <c r="P69" s="32"/>
      <c r="Q69" s="32"/>
      <c r="R69" s="32"/>
      <c r="S69" s="32"/>
      <c r="T69" s="32"/>
      <c r="U69" s="32"/>
      <c r="V69" s="32"/>
      <c r="W69" s="32"/>
      <c r="X69" s="32"/>
      <c r="Y69" s="32"/>
      <c r="Z69" s="32"/>
      <c r="AA69" s="32"/>
      <c r="AB69" s="32"/>
      <c r="AC69" s="32"/>
      <c r="AD69" s="32"/>
      <c r="AE69" s="32"/>
      <c r="AF69" s="32"/>
      <c r="AG69" s="32"/>
      <c r="AH69" s="32"/>
      <c r="AI69" s="32"/>
      <c r="AJ69" s="32" t="str">
        <f>IFERROR(__xludf.DUMMYFUNCTION("""COMPUTED_VALUE"""),"Curse Of Heatmore")</f>
        <v>Curse Of Heatmore</v>
      </c>
      <c r="AK69" s="32" t="str">
        <f>IFERROR(__xludf.DUMMYFUNCTION("""COMPUTED_VALUE"""),"Flame Thrower")</f>
        <v>Flame Thrower</v>
      </c>
      <c r="AL69" s="32" t="str">
        <f>IFERROR(__xludf.DUMMYFUNCTION("""COMPUTED_VALUE"""),"Forgotten Fire")</f>
        <v>Forgotten Fire</v>
      </c>
      <c r="AM69" s="32" t="str">
        <f>IFERROR(__xludf.DUMMYFUNCTION("""COMPUTED_VALUE"""),"Conceal")</f>
        <v>Conceal</v>
      </c>
      <c r="AN69" s="32" t="str">
        <f>IFERROR(__xludf.DUMMYFUNCTION("""COMPUTED_VALUE"""),"Shadow Strike")</f>
        <v>Shadow Strike</v>
      </c>
      <c r="AO69" s="32" t="str">
        <f>IFERROR(__xludf.DUMMYFUNCTION("""COMPUTED_VALUE"""),"Enthrall")</f>
        <v>Enthrall</v>
      </c>
      <c r="AP69" s="32" t="str">
        <f>IFERROR(__xludf.DUMMYFUNCTION("""COMPUTED_VALUE"""),"Soul Trap")</f>
        <v>Soul Trap</v>
      </c>
      <c r="AQ69" s="32" t="str">
        <f>IFERROR(__xludf.DUMMYFUNCTION("""COMPUTED_VALUE"""),"Last Gamble")</f>
        <v>Last Gamble</v>
      </c>
      <c r="AR69" s="32" t="str">
        <f>IFERROR(__xludf.DUMMYFUNCTION("""COMPUTED_VALUE"""),"Second Chance")</f>
        <v>Second Chance</v>
      </c>
      <c r="AS69" s="32" t="str">
        <f>IFERROR(__xludf.DUMMYFUNCTION("""COMPUTED_VALUE"""),"Damage With A Cost.")</f>
        <v>Damage With A Cost.</v>
      </c>
      <c r="AT69" s="32" t="str">
        <f>IFERROR(__xludf.DUMMYFUNCTION("""COMPUTED_VALUE"""),"Swallow")</f>
        <v>Swallow</v>
      </c>
      <c r="AU69" s="32" t="str">
        <f>IFERROR(__xludf.DUMMYFUNCTION("""COMPUTED_VALUE"""),"Celestial strike")</f>
        <v>Celestial strike</v>
      </c>
      <c r="AV69" s="32"/>
      <c r="AW69" s="32"/>
      <c r="AX69" s="32"/>
      <c r="AY69" s="32"/>
      <c r="AZ69" s="32"/>
      <c r="BA69" s="32"/>
      <c r="BB69" s="32"/>
      <c r="BC69" s="32"/>
      <c r="BD69" s="32">
        <f>IFERROR(__xludf.DUMMYFUNCTION("""COMPUTED_VALUE"""),0.0)</f>
        <v>0</v>
      </c>
      <c r="BE69" s="32">
        <f>IFERROR(__xludf.DUMMYFUNCTION("""COMPUTED_VALUE"""),10.0)</f>
        <v>10</v>
      </c>
      <c r="BF69" s="32"/>
      <c r="BG69" s="32" t="str">
        <f>IFERROR(__xludf.DUMMYFUNCTION("""COMPUTED_VALUE"""),"Jungle")</f>
        <v>Jungle</v>
      </c>
      <c r="BH69" s="32" t="str">
        <f>IFERROR(__xludf.DUMMYFUNCTION("""COMPUTED_VALUE"""),"Land Of Spira")</f>
        <v>Land Of Spira</v>
      </c>
      <c r="BI69" s="32"/>
      <c r="BJ69" s="32"/>
      <c r="BK69" s="32"/>
      <c r="BL69" s="32" t="b">
        <f>IFERROR(__xludf.DUMMYFUNCTION("""COMPUTED_VALUE"""),FALSE)</f>
        <v>0</v>
      </c>
      <c r="BM69" s="32"/>
      <c r="BN69" s="32"/>
      <c r="BO69" s="32"/>
      <c r="BP69" s="32"/>
      <c r="BQ69" s="32"/>
    </row>
    <row r="70">
      <c r="A70" s="32" t="str">
        <f>IFERROR(__xludf.DUMMYFUNCTION("""COMPUTED_VALUE"""),"Desert Demon")</f>
        <v>Desert Demon</v>
      </c>
      <c r="B70" s="32">
        <f>IFERROR(__xludf.DUMMYFUNCTION("""COMPUTED_VALUE"""),1.0)</f>
        <v>1</v>
      </c>
      <c r="C70" s="32"/>
      <c r="D70" s="33" t="str">
        <f>IFERROR(__xludf.DUMMYFUNCTION("""COMPUTED_VALUE"""),"Demonic")</f>
        <v>Demonic</v>
      </c>
      <c r="E70" s="33">
        <f>IFERROR(__xludf.DUMMYFUNCTION("""COMPUTED_VALUE"""),1010.0)</f>
        <v>1010</v>
      </c>
      <c r="F70" s="33">
        <f>IFERROR(__xludf.DUMMYFUNCTION("""COMPUTED_VALUE"""),1010.0)</f>
        <v>1010</v>
      </c>
      <c r="G70" s="33">
        <f>IFERROR(__xludf.DUMMYFUNCTION("""COMPUTED_VALUE"""),1010.0)</f>
        <v>1010</v>
      </c>
      <c r="H70" s="32">
        <f>IFERROR(__xludf.DUMMYFUNCTION("""COMPUTED_VALUE"""),10.0)</f>
        <v>10</v>
      </c>
      <c r="I70" s="32">
        <f>IFERROR(__xludf.DUMMYFUNCTION("""COMPUTED_VALUE"""),0.0)</f>
        <v>0</v>
      </c>
      <c r="J70" s="32">
        <f>IFERROR(__xludf.DUMMYFUNCTION("""COMPUTED_VALUE"""),0.0)</f>
        <v>0</v>
      </c>
      <c r="K70" s="32">
        <f>IFERROR(__xludf.DUMMYFUNCTION("""COMPUTED_VALUE"""),100.0)</f>
        <v>100</v>
      </c>
      <c r="L70" s="32">
        <f>IFERROR(__xludf.DUMMYFUNCTION("""COMPUTED_VALUE"""),100.0)</f>
        <v>100</v>
      </c>
      <c r="M70" s="32" t="str">
        <f>IFERROR(__xludf.DUMMYFUNCTION("""COMPUTED_VALUE"""),"Fire:Immune, Dark:Immune, Voodoo:100, ")</f>
        <v>Fire:Immune, Dark:Immune, Voodoo:100, </v>
      </c>
      <c r="N70" s="32" t="str">
        <f>IFERROR(__xludf.DUMMYFUNCTION("""COMPUTED_VALUE"""),"Water:100, Storm:100, Light:100, ")</f>
        <v>Water:100, Storm:100, Light:100, </v>
      </c>
      <c r="O70" s="32"/>
      <c r="P70" s="32"/>
      <c r="Q70" s="32"/>
      <c r="R70" s="32"/>
      <c r="S70" s="32"/>
      <c r="T70" s="32"/>
      <c r="U70" s="32"/>
      <c r="V70" s="32"/>
      <c r="W70" s="32"/>
      <c r="X70" s="32"/>
      <c r="Y70" s="32"/>
      <c r="Z70" s="32"/>
      <c r="AA70" s="32"/>
      <c r="AB70" s="32"/>
      <c r="AC70" s="32"/>
      <c r="AD70" s="32"/>
      <c r="AE70" s="32"/>
      <c r="AF70" s="32"/>
      <c r="AG70" s="32"/>
      <c r="AH70" s="32"/>
      <c r="AI70" s="32"/>
      <c r="AJ70" s="32" t="str">
        <f>IFERROR(__xludf.DUMMYFUNCTION("""COMPUTED_VALUE"""),"Possession")</f>
        <v>Possession</v>
      </c>
      <c r="AK70" s="32" t="str">
        <f>IFERROR(__xludf.DUMMYFUNCTION("""COMPUTED_VALUE"""),"Soul Shot")</f>
        <v>Soul Shot</v>
      </c>
      <c r="AL70" s="32" t="str">
        <f>IFERROR(__xludf.DUMMYFUNCTION("""COMPUTED_VALUE"""),"Tremor")</f>
        <v>Tremor</v>
      </c>
      <c r="AM70" s="32"/>
      <c r="AN70" s="32"/>
      <c r="AO70" s="32"/>
      <c r="AP70" s="32"/>
      <c r="AQ70" s="32"/>
      <c r="AR70" s="32"/>
      <c r="AS70" s="32"/>
      <c r="AT70" s="32"/>
      <c r="AU70" s="32"/>
      <c r="AV70" s="32"/>
      <c r="AW70" s="32"/>
      <c r="AX70" s="32"/>
      <c r="AY70" s="32"/>
      <c r="AZ70" s="32"/>
      <c r="BA70" s="32"/>
      <c r="BB70" s="32"/>
      <c r="BC70" s="32"/>
      <c r="BD70" s="32">
        <f>IFERROR(__xludf.DUMMYFUNCTION("""COMPUTED_VALUE"""),0.0)</f>
        <v>0</v>
      </c>
      <c r="BE70" s="32">
        <f>IFERROR(__xludf.DUMMYFUNCTION("""COMPUTED_VALUE"""),10.0)</f>
        <v>10</v>
      </c>
      <c r="BF70" s="32"/>
      <c r="BG70" s="32" t="str">
        <f>IFERROR(__xludf.DUMMYFUNCTION("""COMPUTED_VALUE"""),"Desert")</f>
        <v>Desert</v>
      </c>
      <c r="BH70" s="32" t="str">
        <f>IFERROR(__xludf.DUMMYFUNCTION("""COMPUTED_VALUE"""),"Land Of Spira")</f>
        <v>Land Of Spira</v>
      </c>
      <c r="BI70" s="32"/>
      <c r="BJ70" s="32"/>
      <c r="BK70" s="32"/>
      <c r="BL70" s="32" t="b">
        <f>IFERROR(__xludf.DUMMYFUNCTION("""COMPUTED_VALUE"""),FALSE)</f>
        <v>0</v>
      </c>
      <c r="BM70" s="32"/>
      <c r="BN70" s="32"/>
      <c r="BO70" s="32"/>
      <c r="BP70" s="32"/>
      <c r="BQ70" s="32"/>
    </row>
    <row r="71">
      <c r="A71" s="32" t="str">
        <f>IFERROR(__xludf.DUMMYFUNCTION("""COMPUTED_VALUE"""),"Desert Hunter")</f>
        <v>Desert Hunter</v>
      </c>
      <c r="B71" s="32">
        <f>IFERROR(__xludf.DUMMYFUNCTION("""COMPUTED_VALUE"""),1.0)</f>
        <v>1</v>
      </c>
      <c r="C71" s="32"/>
      <c r="D71" s="33" t="str">
        <f>IFERROR(__xludf.DUMMYFUNCTION("""COMPUTED_VALUE"""),"Humanoid")</f>
        <v>Humanoid</v>
      </c>
      <c r="E71" s="33">
        <f>IFERROR(__xludf.DUMMYFUNCTION("""COMPUTED_VALUE"""),1010.0)</f>
        <v>1010</v>
      </c>
      <c r="F71" s="33">
        <f>IFERROR(__xludf.DUMMYFUNCTION("""COMPUTED_VALUE"""),1010.0)</f>
        <v>1010</v>
      </c>
      <c r="G71" s="33">
        <f>IFERROR(__xludf.DUMMYFUNCTION("""COMPUTED_VALUE"""),1010.0)</f>
        <v>1010</v>
      </c>
      <c r="H71" s="32">
        <f>IFERROR(__xludf.DUMMYFUNCTION("""COMPUTED_VALUE"""),10.0)</f>
        <v>10</v>
      </c>
      <c r="I71" s="32">
        <f>IFERROR(__xludf.DUMMYFUNCTION("""COMPUTED_VALUE"""),0.0)</f>
        <v>0</v>
      </c>
      <c r="J71" s="32">
        <f>IFERROR(__xludf.DUMMYFUNCTION("""COMPUTED_VALUE"""),0.0)</f>
        <v>0</v>
      </c>
      <c r="K71" s="32">
        <f>IFERROR(__xludf.DUMMYFUNCTION("""COMPUTED_VALUE"""),100.0)</f>
        <v>100</v>
      </c>
      <c r="L71" s="32">
        <f>IFERROR(__xludf.DUMMYFUNCTION("""COMPUTED_VALUE"""),100.0)</f>
        <v>100</v>
      </c>
      <c r="M71" s="32" t="str">
        <f>IFERROR(__xludf.DUMMYFUNCTION("""COMPUTED_VALUE"""),"Fire:Immune, Earth:Immune, ")</f>
        <v>Fire:Immune, Earth:Immune, </v>
      </c>
      <c r="N71" s="32" t="str">
        <f>IFERROR(__xludf.DUMMYFUNCTION("""COMPUTED_VALUE"""),"Water:100, Storm:100, ")</f>
        <v>Water:100, Storm:100, </v>
      </c>
      <c r="O71" s="32"/>
      <c r="P71" s="32"/>
      <c r="Q71" s="32"/>
      <c r="R71" s="32"/>
      <c r="S71" s="32"/>
      <c r="T71" s="32"/>
      <c r="U71" s="32"/>
      <c r="V71" s="32"/>
      <c r="W71" s="32" t="str">
        <f>IFERROR(__xludf.DUMMYFUNCTION("""COMPUTED_VALUE"""),"Scimitar")</f>
        <v>Scimitar</v>
      </c>
      <c r="X71" s="32"/>
      <c r="Y71" s="32"/>
      <c r="Z71" s="32"/>
      <c r="AA71" s="32"/>
      <c r="AB71" s="32"/>
      <c r="AC71" s="32"/>
      <c r="AD71" s="32"/>
      <c r="AE71" s="32"/>
      <c r="AF71" s="32"/>
      <c r="AG71" s="32"/>
      <c r="AH71" s="32"/>
      <c r="AI71" s="32"/>
      <c r="AJ71" s="32" t="str">
        <f>IFERROR(__xludf.DUMMYFUNCTION("""COMPUTED_VALUE"""),"Earth Punch")</f>
        <v>Earth Punch</v>
      </c>
      <c r="AK71" s="32" t="str">
        <f>IFERROR(__xludf.DUMMYFUNCTION("""COMPUTED_VALUE"""),"[Element] Swing")</f>
        <v>[Element] Swing</v>
      </c>
      <c r="AL71" s="32" t="str">
        <f>IFERROR(__xludf.DUMMYFUNCTION("""COMPUTED_VALUE"""),"Energy Charge")</f>
        <v>Energy Charge</v>
      </c>
      <c r="AM71" s="32" t="str">
        <f>IFERROR(__xludf.DUMMYFUNCTION("""COMPUTED_VALUE"""),"Conceal")</f>
        <v>Conceal</v>
      </c>
      <c r="AN71" s="32"/>
      <c r="AO71" s="32"/>
      <c r="AP71" s="32"/>
      <c r="AQ71" s="32"/>
      <c r="AR71" s="32"/>
      <c r="AS71" s="32"/>
      <c r="AT71" s="32"/>
      <c r="AU71" s="32"/>
      <c r="AV71" s="32"/>
      <c r="AW71" s="32"/>
      <c r="AX71" s="32"/>
      <c r="AY71" s="32"/>
      <c r="AZ71" s="32"/>
      <c r="BA71" s="32"/>
      <c r="BB71" s="32"/>
      <c r="BC71" s="32"/>
      <c r="BD71" s="32">
        <f>IFERROR(__xludf.DUMMYFUNCTION("""COMPUTED_VALUE"""),0.0)</f>
        <v>0</v>
      </c>
      <c r="BE71" s="32">
        <f>IFERROR(__xludf.DUMMYFUNCTION("""COMPUTED_VALUE"""),10.0)</f>
        <v>10</v>
      </c>
      <c r="BF71" s="32"/>
      <c r="BG71" s="32" t="str">
        <f>IFERROR(__xludf.DUMMYFUNCTION("""COMPUTED_VALUE"""),"Desert")</f>
        <v>Desert</v>
      </c>
      <c r="BH71" s="32" t="str">
        <f>IFERROR(__xludf.DUMMYFUNCTION("""COMPUTED_VALUE"""),"Land Of Spira")</f>
        <v>Land Of Spira</v>
      </c>
      <c r="BI71" s="32"/>
      <c r="BJ71" s="32"/>
      <c r="BK71" s="32"/>
      <c r="BL71" s="32" t="b">
        <f>IFERROR(__xludf.DUMMYFUNCTION("""COMPUTED_VALUE"""),FALSE)</f>
        <v>0</v>
      </c>
      <c r="BM71" s="32"/>
      <c r="BN71" s="32"/>
      <c r="BO71" s="32"/>
      <c r="BP71" s="32"/>
      <c r="BQ71" s="32"/>
    </row>
    <row r="72">
      <c r="A72" s="32" t="str">
        <f>IFERROR(__xludf.DUMMYFUNCTION("""COMPUTED_VALUE"""),"Desert Titan")</f>
        <v>Desert Titan</v>
      </c>
      <c r="B72" s="32">
        <f>IFERROR(__xludf.DUMMYFUNCTION("""COMPUTED_VALUE"""),1.0)</f>
        <v>1</v>
      </c>
      <c r="C72" s="32"/>
      <c r="D72" s="33" t="str">
        <f>IFERROR(__xludf.DUMMYFUNCTION("""COMPUTED_VALUE"""),"Construct")</f>
        <v>Construct</v>
      </c>
      <c r="E72" s="33">
        <f>IFERROR(__xludf.DUMMYFUNCTION("""COMPUTED_VALUE"""),1010.0)</f>
        <v>1010</v>
      </c>
      <c r="F72" s="33">
        <f>IFERROR(__xludf.DUMMYFUNCTION("""COMPUTED_VALUE"""),1010.0)</f>
        <v>1010</v>
      </c>
      <c r="G72" s="33">
        <f>IFERROR(__xludf.DUMMYFUNCTION("""COMPUTED_VALUE"""),1010.0)</f>
        <v>1010</v>
      </c>
      <c r="H72" s="32">
        <f>IFERROR(__xludf.DUMMYFUNCTION("""COMPUTED_VALUE"""),10.0)</f>
        <v>10</v>
      </c>
      <c r="I72" s="32">
        <f>IFERROR(__xludf.DUMMYFUNCTION("""COMPUTED_VALUE"""),0.0)</f>
        <v>0</v>
      </c>
      <c r="J72" s="32">
        <f>IFERROR(__xludf.DUMMYFUNCTION("""COMPUTED_VALUE"""),0.0)</f>
        <v>0</v>
      </c>
      <c r="K72" s="32">
        <f>IFERROR(__xludf.DUMMYFUNCTION("""COMPUTED_VALUE"""),100.0)</f>
        <v>100</v>
      </c>
      <c r="L72" s="32">
        <f>IFERROR(__xludf.DUMMYFUNCTION("""COMPUTED_VALUE"""),100.0)</f>
        <v>100</v>
      </c>
      <c r="M72" s="32" t="str">
        <f>IFERROR(__xludf.DUMMYFUNCTION("""COMPUTED_VALUE"""),"Fire:Immune, Earth:Immune, ")</f>
        <v>Fire:Immune, Earth:Immune, </v>
      </c>
      <c r="N72" s="32" t="str">
        <f>IFERROR(__xludf.DUMMYFUNCTION("""COMPUTED_VALUE"""),"Water:100, Storm:100, ")</f>
        <v>Water:100, Storm:100, </v>
      </c>
      <c r="O72" s="32"/>
      <c r="P72" s="32"/>
      <c r="Q72" s="32"/>
      <c r="R72" s="32"/>
      <c r="S72" s="32"/>
      <c r="T72" s="32"/>
      <c r="U72" s="32"/>
      <c r="V72" s="32"/>
      <c r="W72" s="32"/>
      <c r="X72" s="32"/>
      <c r="Y72" s="32"/>
      <c r="Z72" s="32"/>
      <c r="AA72" s="32"/>
      <c r="AB72" s="32"/>
      <c r="AC72" s="32"/>
      <c r="AD72" s="32"/>
      <c r="AE72" s="32"/>
      <c r="AF72" s="32"/>
      <c r="AG72" s="32"/>
      <c r="AH72" s="32"/>
      <c r="AI72" s="32"/>
      <c r="AJ72" s="32" t="str">
        <f>IFERROR(__xludf.DUMMYFUNCTION("""COMPUTED_VALUE"""),"Rock Missiles")</f>
        <v>Rock Missiles</v>
      </c>
      <c r="AK72" s="32" t="str">
        <f>IFERROR(__xludf.DUMMYFUNCTION("""COMPUTED_VALUE"""),"Earth Punch")</f>
        <v>Earth Punch</v>
      </c>
      <c r="AL72" s="32" t="str">
        <f>IFERROR(__xludf.DUMMYFUNCTION("""COMPUTED_VALUE"""),"Earthquake")</f>
        <v>Earthquake</v>
      </c>
      <c r="AM72" s="32" t="str">
        <f>IFERROR(__xludf.DUMMYFUNCTION("""COMPUTED_VALUE"""),"Rock Cycle")</f>
        <v>Rock Cycle</v>
      </c>
      <c r="AN72" s="32"/>
      <c r="AO72" s="32"/>
      <c r="AP72" s="32"/>
      <c r="AQ72" s="32"/>
      <c r="AR72" s="32"/>
      <c r="AS72" s="32"/>
      <c r="AT72" s="32"/>
      <c r="AU72" s="32"/>
      <c r="AV72" s="32"/>
      <c r="AW72" s="32"/>
      <c r="AX72" s="32"/>
      <c r="AY72" s="32"/>
      <c r="AZ72" s="32"/>
      <c r="BA72" s="32"/>
      <c r="BB72" s="32"/>
      <c r="BC72" s="32"/>
      <c r="BD72" s="32">
        <f>IFERROR(__xludf.DUMMYFUNCTION("""COMPUTED_VALUE"""),0.0)</f>
        <v>0</v>
      </c>
      <c r="BE72" s="32">
        <f>IFERROR(__xludf.DUMMYFUNCTION("""COMPUTED_VALUE"""),10.0)</f>
        <v>10</v>
      </c>
      <c r="BF72" s="32"/>
      <c r="BG72" s="32" t="str">
        <f>IFERROR(__xludf.DUMMYFUNCTION("""COMPUTED_VALUE"""),"Desert")</f>
        <v>Desert</v>
      </c>
      <c r="BH72" s="32" t="str">
        <f>IFERROR(__xludf.DUMMYFUNCTION("""COMPUTED_VALUE"""),"Land Of Spira")</f>
        <v>Land Of Spira</v>
      </c>
      <c r="BI72" s="32"/>
      <c r="BJ72" s="32"/>
      <c r="BK72" s="32"/>
      <c r="BL72" s="32" t="b">
        <f>IFERROR(__xludf.DUMMYFUNCTION("""COMPUTED_VALUE"""),FALSE)</f>
        <v>0</v>
      </c>
      <c r="BM72" s="32"/>
      <c r="BN72" s="32"/>
      <c r="BO72" s="32"/>
      <c r="BP72" s="32"/>
      <c r="BQ72" s="32"/>
    </row>
    <row r="73">
      <c r="A73" s="32" t="str">
        <f>IFERROR(__xludf.DUMMYFUNCTION("""COMPUTED_VALUE"""),"Diamond Dragon")</f>
        <v>Diamond Dragon</v>
      </c>
      <c r="B73" s="32">
        <f>IFERROR(__xludf.DUMMYFUNCTION("""COMPUTED_VALUE"""),1.0)</f>
        <v>1</v>
      </c>
      <c r="C73" s="32"/>
      <c r="D73" s="32" t="str">
        <f>IFERROR(__xludf.DUMMYFUNCTION("""COMPUTED_VALUE"""),"Draconic")</f>
        <v>Draconic</v>
      </c>
      <c r="E73" s="32">
        <f>IFERROR(__xludf.DUMMYFUNCTION("""COMPUTED_VALUE"""),31010.0)</f>
        <v>31010</v>
      </c>
      <c r="F73" s="33">
        <f>IFERROR(__xludf.DUMMYFUNCTION("""COMPUTED_VALUE"""),31010.0)</f>
        <v>31010</v>
      </c>
      <c r="G73" s="32">
        <f>IFERROR(__xludf.DUMMYFUNCTION("""COMPUTED_VALUE"""),1010.0)</f>
        <v>1010</v>
      </c>
      <c r="H73" s="32">
        <f>IFERROR(__xludf.DUMMYFUNCTION("""COMPUTED_VALUE"""),10.0)</f>
        <v>10</v>
      </c>
      <c r="I73" s="32">
        <f>IFERROR(__xludf.DUMMYFUNCTION("""COMPUTED_VALUE"""),0.0)</f>
        <v>0</v>
      </c>
      <c r="J73" s="32">
        <f>IFERROR(__xludf.DUMMYFUNCTION("""COMPUTED_VALUE"""),0.0)</f>
        <v>0</v>
      </c>
      <c r="K73" s="32">
        <f>IFERROR(__xludf.DUMMYFUNCTION("""COMPUTED_VALUE"""),100.0)</f>
        <v>100</v>
      </c>
      <c r="L73" s="32">
        <f>IFERROR(__xludf.DUMMYFUNCTION("""COMPUTED_VALUE"""),100.0)</f>
        <v>100</v>
      </c>
      <c r="M73" s="32" t="str">
        <f>IFERROR(__xludf.DUMMYFUNCTION("""COMPUTED_VALUE"""),"Fire:100, Earth:100, Twilight:100, Instant Death:Immune, Banishment:Immune, ")</f>
        <v>Fire:100, Earth:100, Twilight:100, Instant Death:Immune, Banishment:Immune, </v>
      </c>
      <c r="N73" s="32" t="str">
        <f>IFERROR(__xludf.DUMMYFUNCTION("""COMPUTED_VALUE"""),"Water:100, Storm:100, ")</f>
        <v>Water:100, Storm:100, </v>
      </c>
      <c r="O73" s="32"/>
      <c r="P73" s="32"/>
      <c r="Q73" s="32"/>
      <c r="R73" s="32"/>
      <c r="S73" s="32"/>
      <c r="T73" s="32"/>
      <c r="U73" s="32"/>
      <c r="V73" s="32"/>
      <c r="W73" s="32"/>
      <c r="X73" s="32"/>
      <c r="Y73" s="32"/>
      <c r="Z73" s="32"/>
      <c r="AA73" s="32"/>
      <c r="AB73" s="32"/>
      <c r="AC73" s="32"/>
      <c r="AD73" s="32"/>
      <c r="AE73" s="32"/>
      <c r="AF73" s="32"/>
      <c r="AG73" s="32"/>
      <c r="AH73" s="32"/>
      <c r="AI73" s="32"/>
      <c r="AJ73" s="32" t="str">
        <f>IFERROR(__xludf.DUMMYFUNCTION("""COMPUTED_VALUE"""),"Dragon's Breath")</f>
        <v>Dragon's Breath</v>
      </c>
      <c r="AK73" s="32" t="str">
        <f>IFERROR(__xludf.DUMMYFUNCTION("""COMPUTED_VALUE"""),"Bite")</f>
        <v>Bite</v>
      </c>
      <c r="AL73" s="32" t="str">
        <f>IFERROR(__xludf.DUMMYFUNCTION("""COMPUTED_VALUE"""),"Tail Smash")</f>
        <v>Tail Smash</v>
      </c>
      <c r="AM73" s="32" t="str">
        <f>IFERROR(__xludf.DUMMYFUNCTION("""COMPUTED_VALUE"""),"Claws")</f>
        <v>Claws</v>
      </c>
      <c r="AN73" s="32" t="str">
        <f>IFERROR(__xludf.DUMMYFUNCTION("""COMPUTED_VALUE"""),"Berserk")</f>
        <v>Berserk</v>
      </c>
      <c r="AO73" s="32" t="str">
        <f>IFERROR(__xludf.DUMMYFUNCTION("""COMPUTED_VALUE"""),"Multishot")</f>
        <v>Multishot</v>
      </c>
      <c r="AP73" s="32" t="str">
        <f>IFERROR(__xludf.DUMMYFUNCTION("""COMPUTED_VALUE"""),"Draconic Scream")</f>
        <v>Draconic Scream</v>
      </c>
      <c r="AQ73" s="32" t="str">
        <f>IFERROR(__xludf.DUMMYFUNCTION("""COMPUTED_VALUE"""),"Dusk of Diamonds")</f>
        <v>Dusk of Diamonds</v>
      </c>
      <c r="AR73" s="32" t="str">
        <f>IFERROR(__xludf.DUMMYFUNCTION("""COMPUTED_VALUE"""),"Dawn of Diamonds")</f>
        <v>Dawn of Diamonds</v>
      </c>
      <c r="AS73" s="32" t="str">
        <f>IFERROR(__xludf.DUMMYFUNCTION("""COMPUTED_VALUE"""),"Rock Cycle")</f>
        <v>Rock Cycle</v>
      </c>
      <c r="AT73" s="32" t="str">
        <f>IFERROR(__xludf.DUMMYFUNCTION("""COMPUTED_VALUE"""),"Celestial Wrath")</f>
        <v>Celestial Wrath</v>
      </c>
      <c r="AU73" s="32"/>
      <c r="AV73" s="32"/>
      <c r="AW73" s="32"/>
      <c r="AX73" s="32"/>
      <c r="AY73" s="32"/>
      <c r="AZ73" s="32"/>
      <c r="BA73" s="32"/>
      <c r="BB73" s="32"/>
      <c r="BC73" s="32"/>
      <c r="BD73" s="32">
        <f>IFERROR(__xludf.DUMMYFUNCTION("""COMPUTED_VALUE"""),0.0)</f>
        <v>0</v>
      </c>
      <c r="BE73" s="32">
        <f>IFERROR(__xludf.DUMMYFUNCTION("""COMPUTED_VALUE"""),10.0)</f>
        <v>10</v>
      </c>
      <c r="BF73" s="32"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32" t="str">
        <f>IFERROR(__xludf.DUMMYFUNCTION("""COMPUTED_VALUE"""),"All")</f>
        <v>All</v>
      </c>
      <c r="BH73" s="32" t="str">
        <f>IFERROR(__xludf.DUMMYFUNCTION("""COMPUTED_VALUE"""),"Dragonscale Island")</f>
        <v>Dragonscale Island</v>
      </c>
      <c r="BI73" s="32"/>
      <c r="BJ73" s="32"/>
      <c r="BK73" s="32"/>
      <c r="BL73" s="32" t="b">
        <f>IFERROR(__xludf.DUMMYFUNCTION("""COMPUTED_VALUE"""),FALSE)</f>
        <v>0</v>
      </c>
      <c r="BM73" s="32"/>
      <c r="BN73" s="32"/>
      <c r="BO73" s="32"/>
      <c r="BP73" s="32"/>
      <c r="BQ73" s="32"/>
    </row>
    <row r="74">
      <c r="A74" s="32" t="str">
        <f>IFERROR(__xludf.DUMMYFUNCTION("""COMPUTED_VALUE"""),"Dio The Time Dragon")</f>
        <v>Dio The Time Dragon</v>
      </c>
      <c r="B74" s="32">
        <f>IFERROR(__xludf.DUMMYFUNCTION("""COMPUTED_VALUE"""),1.0)</f>
        <v>1</v>
      </c>
      <c r="C74" s="32"/>
      <c r="D74" s="33" t="str">
        <f>IFERROR(__xludf.DUMMYFUNCTION("""COMPUTED_VALUE"""),"Draconic")</f>
        <v>Draconic</v>
      </c>
      <c r="E74" s="33">
        <f>IFERROR(__xludf.DUMMYFUNCTION("""COMPUTED_VALUE"""),31010.0)</f>
        <v>31010</v>
      </c>
      <c r="F74" s="33">
        <f>IFERROR(__xludf.DUMMYFUNCTION("""COMPUTED_VALUE"""),31010.0)</f>
        <v>31010</v>
      </c>
      <c r="G74" s="33">
        <f>IFERROR(__xludf.DUMMYFUNCTION("""COMPUTED_VALUE"""),1010.0)</f>
        <v>1010</v>
      </c>
      <c r="H74" s="32">
        <f>IFERROR(__xludf.DUMMYFUNCTION("""COMPUTED_VALUE"""),10.0)</f>
        <v>10</v>
      </c>
      <c r="I74" s="32">
        <f>IFERROR(__xludf.DUMMYFUNCTION("""COMPUTED_VALUE"""),0.0)</f>
        <v>0</v>
      </c>
      <c r="J74" s="32">
        <f>IFERROR(__xludf.DUMMYFUNCTION("""COMPUTED_VALUE"""),0.0)</f>
        <v>0</v>
      </c>
      <c r="K74" s="32">
        <f>IFERROR(__xludf.DUMMYFUNCTION("""COMPUTED_VALUE"""),100.0)</f>
        <v>100</v>
      </c>
      <c r="L74" s="32">
        <f>IFERROR(__xludf.DUMMYFUNCTION("""COMPUTED_VALUE"""),100.0)</f>
        <v>100</v>
      </c>
      <c r="M74" s="32" t="str">
        <f>IFERROR(__xludf.DUMMYFUNCTION("""COMPUTED_VALUE"""),"")</f>
        <v/>
      </c>
      <c r="N74" s="32" t="str">
        <f>IFERROR(__xludf.DUMMYFUNCTION("""COMPUTED_VALUE"""),"")</f>
        <v/>
      </c>
      <c r="O74" s="32"/>
      <c r="P74" s="32"/>
      <c r="Q74" s="32"/>
      <c r="R74" s="32"/>
      <c r="S74" s="32"/>
      <c r="T74" s="32"/>
      <c r="U74" s="32"/>
      <c r="V74" s="32"/>
      <c r="W74" s="32"/>
      <c r="X74" s="32"/>
      <c r="Y74" s="32"/>
      <c r="Z74" s="32"/>
      <c r="AA74" s="32"/>
      <c r="AB74" s="32"/>
      <c r="AC74" s="32"/>
      <c r="AD74" s="32"/>
      <c r="AE74" s="32"/>
      <c r="AF74" s="32"/>
      <c r="AG74" s="32"/>
      <c r="AH74" s="32"/>
      <c r="AI74" s="32"/>
      <c r="AJ74" s="32" t="str">
        <f>IFERROR(__xludf.DUMMYFUNCTION("""COMPUTED_VALUE"""),"Dragon's Breath")</f>
        <v>Dragon's Breath</v>
      </c>
      <c r="AK74" s="32"/>
      <c r="AL74" s="32"/>
      <c r="AM74" s="32"/>
      <c r="AN74" s="32"/>
      <c r="AO74" s="32"/>
      <c r="AP74" s="32"/>
      <c r="AQ74" s="32"/>
      <c r="AR74" s="32"/>
      <c r="AS74" s="32"/>
      <c r="AT74" s="32"/>
      <c r="AU74" s="32"/>
      <c r="AV74" s="32"/>
      <c r="AW74" s="32"/>
      <c r="AX74" s="32"/>
      <c r="AY74" s="32"/>
      <c r="AZ74" s="32"/>
      <c r="BA74" s="32"/>
      <c r="BB74" s="32"/>
      <c r="BC74" s="32"/>
      <c r="BD74" s="32">
        <f>IFERROR(__xludf.DUMMYFUNCTION("""COMPUTED_VALUE"""),0.0)</f>
        <v>0</v>
      </c>
      <c r="BE74" s="32">
        <f>IFERROR(__xludf.DUMMYFUNCTION("""COMPUTED_VALUE"""),10.0)</f>
        <v>10</v>
      </c>
      <c r="BF74" s="32"/>
      <c r="BG74" s="32"/>
      <c r="BH74" s="32" t="str">
        <f>IFERROR(__xludf.DUMMYFUNCTION("""COMPUTED_VALUE"""),"Solreach")</f>
        <v>Solreach</v>
      </c>
      <c r="BI74" s="32"/>
      <c r="BJ74" s="32"/>
      <c r="BK74" s="32"/>
      <c r="BL74" s="32" t="b">
        <f>IFERROR(__xludf.DUMMYFUNCTION("""COMPUTED_VALUE"""),FALSE)</f>
        <v>0</v>
      </c>
      <c r="BM74" s="32"/>
      <c r="BN74" s="32"/>
      <c r="BO74" s="32"/>
      <c r="BP74" s="32"/>
      <c r="BQ74" s="32"/>
    </row>
    <row r="75">
      <c r="A75" s="32" t="str">
        <f>IFERROR(__xludf.DUMMYFUNCTION("""COMPUTED_VALUE"""),"Divine Dragon Of The Flames")</f>
        <v>Divine Dragon Of The Flames</v>
      </c>
      <c r="B75" s="32">
        <f>IFERROR(__xludf.DUMMYFUNCTION("""COMPUTED_VALUE"""),1.0)</f>
        <v>1</v>
      </c>
      <c r="C75" s="32"/>
      <c r="D75" s="33" t="str">
        <f>IFERROR(__xludf.DUMMYFUNCTION("""COMPUTED_VALUE"""),"Draconic")</f>
        <v>Draconic</v>
      </c>
      <c r="E75" s="33">
        <f>IFERROR(__xludf.DUMMYFUNCTION("""COMPUTED_VALUE"""),31010.0)</f>
        <v>31010</v>
      </c>
      <c r="F75" s="33">
        <f>IFERROR(__xludf.DUMMYFUNCTION("""COMPUTED_VALUE"""),31010.0)</f>
        <v>31010</v>
      </c>
      <c r="G75" s="33">
        <f>IFERROR(__xludf.DUMMYFUNCTION("""COMPUTED_VALUE"""),1010.0)</f>
        <v>1010</v>
      </c>
      <c r="H75" s="32">
        <f>IFERROR(__xludf.DUMMYFUNCTION("""COMPUTED_VALUE"""),10.0)</f>
        <v>10</v>
      </c>
      <c r="I75" s="32">
        <f>IFERROR(__xludf.DUMMYFUNCTION("""COMPUTED_VALUE"""),0.0)</f>
        <v>0</v>
      </c>
      <c r="J75" s="32">
        <f>IFERROR(__xludf.DUMMYFUNCTION("""COMPUTED_VALUE"""),0.0)</f>
        <v>0</v>
      </c>
      <c r="K75" s="32">
        <f>IFERROR(__xludf.DUMMYFUNCTION("""COMPUTED_VALUE"""),100.0)</f>
        <v>100</v>
      </c>
      <c r="L75" s="32">
        <f>IFERROR(__xludf.DUMMYFUNCTION("""COMPUTED_VALUE"""),100.0)</f>
        <v>100</v>
      </c>
      <c r="M75" s="32" t="str">
        <f>IFERROR(__xludf.DUMMYFUNCTION("""COMPUTED_VALUE"""),"Fire:100, Nature:Immune, Instant Death:Immune, Banishment:Immune, ")</f>
        <v>Fire:100, Nature:Immune, Instant Death:Immune, Banishment:Immune, </v>
      </c>
      <c r="N75" s="32" t="str">
        <f>IFERROR(__xludf.DUMMYFUNCTION("""COMPUTED_VALUE"""),"Water:100, ")</f>
        <v>Water:100, </v>
      </c>
      <c r="O75" s="32"/>
      <c r="P75" s="32"/>
      <c r="Q75" s="32"/>
      <c r="R75" s="32"/>
      <c r="S75" s="32"/>
      <c r="T75" s="32"/>
      <c r="U75" s="32"/>
      <c r="V75" s="32"/>
      <c r="W75" s="32"/>
      <c r="X75" s="32"/>
      <c r="Y75" s="32"/>
      <c r="Z75" s="32"/>
      <c r="AA75" s="32"/>
      <c r="AB75" s="32"/>
      <c r="AC75" s="32"/>
      <c r="AD75" s="32"/>
      <c r="AE75" s="32"/>
      <c r="AF75" s="32"/>
      <c r="AG75" s="32"/>
      <c r="AH75" s="32"/>
      <c r="AI75" s="32"/>
      <c r="AJ75" s="32" t="str">
        <f>IFERROR(__xludf.DUMMYFUNCTION("""COMPUTED_VALUE"""),"Dragon's Breath")</f>
        <v>Dragon's Breath</v>
      </c>
      <c r="AK75" s="32" t="str">
        <f>IFERROR(__xludf.DUMMYFUNCTION("""COMPUTED_VALUE"""),"Bite")</f>
        <v>Bite</v>
      </c>
      <c r="AL75" s="32" t="str">
        <f>IFERROR(__xludf.DUMMYFUNCTION("""COMPUTED_VALUE"""),"Tail Smash")</f>
        <v>Tail Smash</v>
      </c>
      <c r="AM75" s="32" t="str">
        <f>IFERROR(__xludf.DUMMYFUNCTION("""COMPUTED_VALUE"""),"Claws")</f>
        <v>Claws</v>
      </c>
      <c r="AN75" s="32" t="str">
        <f>IFERROR(__xludf.DUMMYFUNCTION("""COMPUTED_VALUE"""),"Berserk")</f>
        <v>Berserk</v>
      </c>
      <c r="AO75" s="32" t="str">
        <f>IFERROR(__xludf.DUMMYFUNCTION("""COMPUTED_VALUE"""),"Multishot")</f>
        <v>Multishot</v>
      </c>
      <c r="AP75" s="32" t="str">
        <f>IFERROR(__xludf.DUMMYFUNCTION("""COMPUTED_VALUE"""),"Draconic Scream")</f>
        <v>Draconic Scream</v>
      </c>
      <c r="AQ75" s="32" t="str">
        <f>IFERROR(__xludf.DUMMYFUNCTION("""COMPUTED_VALUE"""),"Wrath Of The Fire Dragon")</f>
        <v>Wrath Of The Fire Dragon</v>
      </c>
      <c r="AR75" s="32" t="str">
        <f>IFERROR(__xludf.DUMMYFUNCTION("""COMPUTED_VALUE"""),"Wrath Of Heatmore")</f>
        <v>Wrath Of Heatmore</v>
      </c>
      <c r="AS75" s="32" t="str">
        <f>IFERROR(__xludf.DUMMYFUNCTION("""COMPUTED_VALUE"""),"Volcanic Rain")</f>
        <v>Volcanic Rain</v>
      </c>
      <c r="AT75" s="32" t="str">
        <f>IFERROR(__xludf.DUMMYFUNCTION("""COMPUTED_VALUE"""),"Celestial Wrath")</f>
        <v>Celestial Wrath</v>
      </c>
      <c r="AU75" s="32"/>
      <c r="AV75" s="32"/>
      <c r="AW75" s="32"/>
      <c r="AX75" s="32"/>
      <c r="AY75" s="32"/>
      <c r="AZ75" s="32"/>
      <c r="BA75" s="32"/>
      <c r="BB75" s="32"/>
      <c r="BC75" s="32"/>
      <c r="BD75" s="32">
        <f>IFERROR(__xludf.DUMMYFUNCTION("""COMPUTED_VALUE"""),0.0)</f>
        <v>0</v>
      </c>
      <c r="BE75" s="32">
        <f>IFERROR(__xludf.DUMMYFUNCTION("""COMPUTED_VALUE"""),10.0)</f>
        <v>10</v>
      </c>
      <c r="BF75" s="32"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32" t="str">
        <f>IFERROR(__xludf.DUMMYFUNCTION("""COMPUTED_VALUE"""),"All")</f>
        <v>All</v>
      </c>
      <c r="BH75" s="32" t="str">
        <f>IFERROR(__xludf.DUMMYFUNCTION("""COMPUTED_VALUE"""),"Land Of Spira")</f>
        <v>Land Of Spira</v>
      </c>
      <c r="BI75" s="32"/>
      <c r="BJ75" s="32"/>
      <c r="BK75" s="32"/>
      <c r="BL75" s="32" t="b">
        <f>IFERROR(__xludf.DUMMYFUNCTION("""COMPUTED_VALUE"""),FALSE)</f>
        <v>0</v>
      </c>
      <c r="BM75" s="32"/>
      <c r="BN75" s="32"/>
      <c r="BO75" s="32"/>
      <c r="BP75" s="32"/>
      <c r="BQ75" s="32"/>
    </row>
    <row r="76">
      <c r="A76" s="32" t="str">
        <f>IFERROR(__xludf.DUMMYFUNCTION("""COMPUTED_VALUE"""),"Donkey")</f>
        <v>Donkey</v>
      </c>
      <c r="B76" s="32">
        <f>IFERROR(__xludf.DUMMYFUNCTION("""COMPUTED_VALUE"""),1.0)</f>
        <v>1</v>
      </c>
      <c r="C76" s="32" t="str">
        <f>IFERROR(__xludf.DUMMYFUNCTION("""COMPUTED_VALUE"""),"A jackass")</f>
        <v>A jackass</v>
      </c>
      <c r="D76" s="32" t="str">
        <f>IFERROR(__xludf.DUMMYFUNCTION("""COMPUTED_VALUE"""),"Beast")</f>
        <v>Beast</v>
      </c>
      <c r="E76" s="32">
        <f>IFERROR(__xludf.DUMMYFUNCTION("""COMPUTED_VALUE"""),1010.0)</f>
        <v>1010</v>
      </c>
      <c r="F76" s="33">
        <f>IFERROR(__xludf.DUMMYFUNCTION("""COMPUTED_VALUE"""),1010.0)</f>
        <v>1010</v>
      </c>
      <c r="G76" s="32">
        <f>IFERROR(__xludf.DUMMYFUNCTION("""COMPUTED_VALUE"""),1010.0)</f>
        <v>1010</v>
      </c>
      <c r="H76" s="32">
        <f>IFERROR(__xludf.DUMMYFUNCTION("""COMPUTED_VALUE"""),10.0)</f>
        <v>10</v>
      </c>
      <c r="I76" s="32">
        <f>IFERROR(__xludf.DUMMYFUNCTION("""COMPUTED_VALUE"""),0.0)</f>
        <v>0</v>
      </c>
      <c r="J76" s="32">
        <f>IFERROR(__xludf.DUMMYFUNCTION("""COMPUTED_VALUE"""),0.0)</f>
        <v>0</v>
      </c>
      <c r="K76" s="32">
        <f>IFERROR(__xludf.DUMMYFUNCTION("""COMPUTED_VALUE"""),100.0)</f>
        <v>100</v>
      </c>
      <c r="L76" s="32">
        <f>IFERROR(__xludf.DUMMYFUNCTION("""COMPUTED_VALUE"""),100.0)</f>
        <v>100</v>
      </c>
      <c r="M76" s="32" t="str">
        <f>IFERROR(__xludf.DUMMYFUNCTION("""COMPUTED_VALUE"""),"")</f>
        <v/>
      </c>
      <c r="N76" s="32" t="str">
        <f>IFERROR(__xludf.DUMMYFUNCTION("""COMPUTED_VALUE"""),"")</f>
        <v/>
      </c>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f>IFERROR(__xludf.DUMMYFUNCTION("""COMPUTED_VALUE"""),0.0)</f>
        <v>0</v>
      </c>
      <c r="BE76" s="32">
        <f>IFERROR(__xludf.DUMMYFUNCTION("""COMPUTED_VALUE"""),10.0)</f>
        <v>10</v>
      </c>
      <c r="BF76" s="32" t="str">
        <f>IFERROR(__xludf.DUMMYFUNCTION("""COMPUTED_VALUE"""),"Restful Steed: Halves Hunger, thirst, and energy loss during travel")</f>
        <v>Restful Steed: Halves Hunger, thirst, and energy loss during travel</v>
      </c>
      <c r="BG76" s="32" t="str">
        <f>IFERROR(__xludf.DUMMYFUNCTION("""COMPUTED_VALUE"""),"All")</f>
        <v>All</v>
      </c>
      <c r="BH76" s="32" t="str">
        <f>IFERROR(__xludf.DUMMYFUNCTION("""COMPUTED_VALUE"""),"Land of Spira")</f>
        <v>Land of Spira</v>
      </c>
      <c r="BI76" s="32"/>
      <c r="BJ76" s="32"/>
      <c r="BK76" s="32"/>
      <c r="BL76" s="32" t="b">
        <f>IFERROR(__xludf.DUMMYFUNCTION("""COMPUTED_VALUE"""),FALSE)</f>
        <v>0</v>
      </c>
      <c r="BM76" s="32"/>
      <c r="BN76" s="32"/>
      <c r="BO76" s="32"/>
      <c r="BP76" s="32"/>
      <c r="BQ76" s="32"/>
    </row>
    <row r="77">
      <c r="A77" s="32" t="str">
        <f>IFERROR(__xludf.DUMMYFUNCTION("""COMPUTED_VALUE"""),"The First Dragon Keeper")</f>
        <v>The First Dragon Keeper</v>
      </c>
      <c r="B77" s="32">
        <f>IFERROR(__xludf.DUMMYFUNCTION("""COMPUTED_VALUE"""),1.0)</f>
        <v>1</v>
      </c>
      <c r="C77" s="32"/>
      <c r="D77" s="33" t="str">
        <f>IFERROR(__xludf.DUMMYFUNCTION("""COMPUTED_VALUE"""),"Draconic")</f>
        <v>Draconic</v>
      </c>
      <c r="E77" s="33">
        <f>IFERROR(__xludf.DUMMYFUNCTION("""COMPUTED_VALUE"""),1010.0)</f>
        <v>1010</v>
      </c>
      <c r="F77" s="33">
        <f>IFERROR(__xludf.DUMMYFUNCTION("""COMPUTED_VALUE"""),1010.0)</f>
        <v>1010</v>
      </c>
      <c r="G77" s="33">
        <f>IFERROR(__xludf.DUMMYFUNCTION("""COMPUTED_VALUE"""),1010.0)</f>
        <v>1010</v>
      </c>
      <c r="H77" s="32">
        <f>IFERROR(__xludf.DUMMYFUNCTION("""COMPUTED_VALUE"""),10.0)</f>
        <v>10</v>
      </c>
      <c r="I77" s="32">
        <f>IFERROR(__xludf.DUMMYFUNCTION("""COMPUTED_VALUE"""),0.0)</f>
        <v>0</v>
      </c>
      <c r="J77" s="32">
        <f>IFERROR(__xludf.DUMMYFUNCTION("""COMPUTED_VALUE"""),0.0)</f>
        <v>0</v>
      </c>
      <c r="K77" s="32">
        <f>IFERROR(__xludf.DUMMYFUNCTION("""COMPUTED_VALUE"""),100.0)</f>
        <v>100</v>
      </c>
      <c r="L77" s="32">
        <f>IFERROR(__xludf.DUMMYFUNCTION("""COMPUTED_VALUE"""),100.0)</f>
        <v>100</v>
      </c>
      <c r="M77" s="32" t="str">
        <f>IFERROR(__xludf.DUMMYFUNCTION("""COMPUTED_VALUE"""),"Instant Death:Immune, Banishment:Immune, ")</f>
        <v>Instant Death:Immune, Banishment:Immune, </v>
      </c>
      <c r="N77" s="32" t="str">
        <f>IFERROR(__xludf.DUMMYFUNCTION("""COMPUTED_VALUE"""),"")</f>
        <v/>
      </c>
      <c r="O77" s="32"/>
      <c r="P77" s="32"/>
      <c r="Q77" s="32"/>
      <c r="R77" s="32"/>
      <c r="S77" s="32"/>
      <c r="T77" s="32"/>
      <c r="U77" s="32"/>
      <c r="V77" s="32"/>
      <c r="W77" s="32" t="str">
        <f>IFERROR(__xludf.DUMMYFUNCTION("""COMPUTED_VALUE"""),"Dragon Flute")</f>
        <v>Dragon Flute</v>
      </c>
      <c r="X77" s="32"/>
      <c r="Y77" s="32"/>
      <c r="Z77" s="32"/>
      <c r="AA77" s="32"/>
      <c r="AB77" s="32"/>
      <c r="AC77" s="32"/>
      <c r="AD77" s="32"/>
      <c r="AE77" s="32"/>
      <c r="AF77" s="32"/>
      <c r="AG77" s="32"/>
      <c r="AH77" s="32"/>
      <c r="AI77" s="32"/>
      <c r="AJ77" s="32" t="str">
        <f>IFERROR(__xludf.DUMMYFUNCTION("""COMPUTED_VALUE"""),"Chaincast")</f>
        <v>Chaincast</v>
      </c>
      <c r="AK77" s="32" t="str">
        <f>IFERROR(__xludf.DUMMYFUNCTION("""COMPUTED_VALUE"""),"Chaos Ward")</f>
        <v>Chaos Ward</v>
      </c>
      <c r="AL77" s="32" t="str">
        <f>IFERROR(__xludf.DUMMYFUNCTION("""COMPUTED_VALUE"""),"Conceal")</f>
        <v>Conceal</v>
      </c>
      <c r="AM77" s="32" t="str">
        <f>IFERROR(__xludf.DUMMYFUNCTION("""COMPUTED_VALUE"""),"Last Gamble")</f>
        <v>Last Gamble</v>
      </c>
      <c r="AN77" s="32" t="str">
        <f>IFERROR(__xludf.DUMMYFUNCTION("""COMPUTED_VALUE"""),"Cancel")</f>
        <v>Cancel</v>
      </c>
      <c r="AO77" s="32" t="str">
        <f>IFERROR(__xludf.DUMMYFUNCTION("""COMPUTED_VALUE"""),"Dimension Portal")</f>
        <v>Dimension Portal</v>
      </c>
      <c r="AP77" s="32" t="str">
        <f>IFERROR(__xludf.DUMMYFUNCTION("""COMPUTED_VALUE"""),"Multi Banishment")</f>
        <v>Multi Banishment</v>
      </c>
      <c r="AQ77" s="32" t="str">
        <f>IFERROR(__xludf.DUMMYFUNCTION("""COMPUTED_VALUE"""),"Celestial Summon")</f>
        <v>Celestial Summon</v>
      </c>
      <c r="AR77" s="32" t="str">
        <f>IFERROR(__xludf.DUMMYFUNCTION("""COMPUTED_VALUE"""),"Devolve")</f>
        <v>Devolve</v>
      </c>
      <c r="AS77" s="32"/>
      <c r="AT77" s="32"/>
      <c r="AU77" s="32"/>
      <c r="AV77" s="32"/>
      <c r="AW77" s="32"/>
      <c r="AX77" s="32"/>
      <c r="AY77" s="32"/>
      <c r="AZ77" s="32"/>
      <c r="BA77" s="32"/>
      <c r="BB77" s="32"/>
      <c r="BC77" s="32"/>
      <c r="BD77" s="32">
        <f>IFERROR(__xludf.DUMMYFUNCTION("""COMPUTED_VALUE"""),0.0)</f>
        <v>0</v>
      </c>
      <c r="BE77" s="32">
        <f>IFERROR(__xludf.DUMMYFUNCTION("""COMPUTED_VALUE"""),10.0)</f>
        <v>10</v>
      </c>
      <c r="BF77" s="32"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32" t="str">
        <f>IFERROR(__xludf.DUMMYFUNCTION("""COMPUTED_VALUE"""),"Dungeon")</f>
        <v>Dungeon</v>
      </c>
      <c r="BH77" s="32" t="str">
        <f>IFERROR(__xludf.DUMMYFUNCTION("""COMPUTED_VALUE"""),"Dragonscale Island")</f>
        <v>Dragonscale Island</v>
      </c>
      <c r="BI77" s="32"/>
      <c r="BJ77" s="32"/>
      <c r="BK77" s="32"/>
      <c r="BL77" s="32" t="b">
        <f>IFERROR(__xludf.DUMMYFUNCTION("""COMPUTED_VALUE"""),FALSE)</f>
        <v>0</v>
      </c>
      <c r="BM77" s="32"/>
      <c r="BN77" s="32"/>
      <c r="BO77" s="32"/>
      <c r="BP77" s="32"/>
      <c r="BQ77" s="32"/>
    </row>
    <row r="78">
      <c r="A78" s="32" t="str">
        <f>IFERROR(__xludf.DUMMYFUNCTION("""COMPUTED_VALUE"""),"Dreading Fire Lich")</f>
        <v>Dreading Fire Lich</v>
      </c>
      <c r="B78" s="32">
        <f>IFERROR(__xludf.DUMMYFUNCTION("""COMPUTED_VALUE"""),1.0)</f>
        <v>1</v>
      </c>
      <c r="C78" s="32"/>
      <c r="D78" s="33" t="str">
        <f>IFERROR(__xludf.DUMMYFUNCTION("""COMPUTED_VALUE"""),"Undead")</f>
        <v>Undead</v>
      </c>
      <c r="E78" s="33">
        <f>IFERROR(__xludf.DUMMYFUNCTION("""COMPUTED_VALUE"""),1010.0)</f>
        <v>1010</v>
      </c>
      <c r="F78" s="33">
        <f>IFERROR(__xludf.DUMMYFUNCTION("""COMPUTED_VALUE"""),1010.0)</f>
        <v>1010</v>
      </c>
      <c r="G78" s="33">
        <f>IFERROR(__xludf.DUMMYFUNCTION("""COMPUTED_VALUE"""),1010.0)</f>
        <v>1010</v>
      </c>
      <c r="H78" s="32">
        <f>IFERROR(__xludf.DUMMYFUNCTION("""COMPUTED_VALUE"""),10.0)</f>
        <v>10</v>
      </c>
      <c r="I78" s="32">
        <f>IFERROR(__xludf.DUMMYFUNCTION("""COMPUTED_VALUE"""),0.0)</f>
        <v>0</v>
      </c>
      <c r="J78" s="32">
        <f>IFERROR(__xludf.DUMMYFUNCTION("""COMPUTED_VALUE"""),0.0)</f>
        <v>0</v>
      </c>
      <c r="K78" s="32">
        <f>IFERROR(__xludf.DUMMYFUNCTION("""COMPUTED_VALUE"""),100.0)</f>
        <v>100</v>
      </c>
      <c r="L78" s="32">
        <f>IFERROR(__xludf.DUMMYFUNCTION("""COMPUTED_VALUE"""),100.0)</f>
        <v>100</v>
      </c>
      <c r="M78" s="32" t="str">
        <f>IFERROR(__xludf.DUMMYFUNCTION("""COMPUTED_VALUE"""),"Fire:100, Dark:Immune, Chaos:Immune, Nature:Immune, ")</f>
        <v>Fire:100, Dark:Immune, Chaos:Immune, Nature:Immune, </v>
      </c>
      <c r="N78" s="32" t="str">
        <f>IFERROR(__xludf.DUMMYFUNCTION("""COMPUTED_VALUE"""),"Water:100, ")</f>
        <v>Water:100, </v>
      </c>
      <c r="O78" s="32"/>
      <c r="P78" s="32"/>
      <c r="Q78" s="32"/>
      <c r="R78" s="32"/>
      <c r="S78" s="32"/>
      <c r="T78" s="32"/>
      <c r="U78" s="32"/>
      <c r="V78" s="32"/>
      <c r="W78" s="32" t="str">
        <f>IFERROR(__xludf.DUMMYFUNCTION("""COMPUTED_VALUE"""),"Dreading Wand Of Fire")</f>
        <v>Dreading Wand Of Fire</v>
      </c>
      <c r="X78" s="32"/>
      <c r="Y78" s="32"/>
      <c r="Z78" s="32"/>
      <c r="AA78" s="32"/>
      <c r="AB78" s="32"/>
      <c r="AC78" s="32"/>
      <c r="AD78" s="32"/>
      <c r="AE78" s="32"/>
      <c r="AF78" s="32"/>
      <c r="AG78" s="32"/>
      <c r="AH78" s="32"/>
      <c r="AI78" s="32"/>
      <c r="AJ78" s="32" t="str">
        <f>IFERROR(__xludf.DUMMYFUNCTION("""COMPUTED_VALUE"""),"Meteor Shower")</f>
        <v>Meteor Shower</v>
      </c>
      <c r="AK78" s="32" t="str">
        <f>IFERROR(__xludf.DUMMYFUNCTION("""COMPUTED_VALUE"""),"Forgotten Fire")</f>
        <v>Forgotten Fire</v>
      </c>
      <c r="AL78" s="32" t="str">
        <f>IFERROR(__xludf.DUMMYFUNCTION("""COMPUTED_VALUE"""),"Disruption")</f>
        <v>Disruption</v>
      </c>
      <c r="AM78" s="32" t="str">
        <f>IFERROR(__xludf.DUMMYFUNCTION("""COMPUTED_VALUE"""),"Chaos Ward")</f>
        <v>Chaos Ward</v>
      </c>
      <c r="AN78" s="32" t="str">
        <f>IFERROR(__xludf.DUMMYFUNCTION("""COMPUTED_VALUE"""),"Multishot")</f>
        <v>Multishot</v>
      </c>
      <c r="AO78" s="32" t="str">
        <f>IFERROR(__xludf.DUMMYFUNCTION("""COMPUTED_VALUE"""),"Lock On")</f>
        <v>Lock On</v>
      </c>
      <c r="AP78" s="32" t="str">
        <f>IFERROR(__xludf.DUMMYFUNCTION("""COMPUTED_VALUE"""),"Enthrall")</f>
        <v>Enthrall</v>
      </c>
      <c r="AQ78" s="32" t="str">
        <f>IFERROR(__xludf.DUMMYFUNCTION("""COMPUTED_VALUE"""),"A Deal With The Spirit World")</f>
        <v>A Deal With The Spirit World</v>
      </c>
      <c r="AR78" s="32" t="str">
        <f>IFERROR(__xludf.DUMMYFUNCTION("""COMPUTED_VALUE"""),"Celestial Wrath")</f>
        <v>Celestial Wrath</v>
      </c>
      <c r="AS78" s="32" t="str">
        <f>IFERROR(__xludf.DUMMYFUNCTION("""COMPUTED_VALUE"""),"Celestial shield")</f>
        <v>Celestial shield</v>
      </c>
      <c r="AT78" s="32"/>
      <c r="AU78" s="32"/>
      <c r="AV78" s="32"/>
      <c r="AW78" s="32"/>
      <c r="AX78" s="32"/>
      <c r="AY78" s="32"/>
      <c r="AZ78" s="32"/>
      <c r="BA78" s="32"/>
      <c r="BB78" s="32"/>
      <c r="BC78" s="32"/>
      <c r="BD78" s="32">
        <f>IFERROR(__xludf.DUMMYFUNCTION("""COMPUTED_VALUE"""),0.0)</f>
        <v>0</v>
      </c>
      <c r="BE78" s="32">
        <f>IFERROR(__xludf.DUMMYFUNCTION("""COMPUTED_VALUE"""),10.0)</f>
        <v>10</v>
      </c>
      <c r="BF78" s="32"/>
      <c r="BG78" s="32" t="str">
        <f>IFERROR(__xludf.DUMMYFUNCTION("""COMPUTED_VALUE"""),"All")</f>
        <v>All</v>
      </c>
      <c r="BH78" s="32" t="str">
        <f>IFERROR(__xludf.DUMMYFUNCTION("""COMPUTED_VALUE"""),"Land Of Spira")</f>
        <v>Land Of Spira</v>
      </c>
      <c r="BI78" s="32"/>
      <c r="BJ78" s="32"/>
      <c r="BK78" s="32"/>
      <c r="BL78" s="32" t="b">
        <f>IFERROR(__xludf.DUMMYFUNCTION("""COMPUTED_VALUE"""),FALSE)</f>
        <v>0</v>
      </c>
      <c r="BM78" s="32"/>
      <c r="BN78" s="32"/>
      <c r="BO78" s="32"/>
      <c r="BP78" s="32"/>
      <c r="BQ78" s="32"/>
    </row>
    <row r="79">
      <c r="A79" s="32" t="str">
        <f>IFERROR(__xludf.DUMMYFUNCTION("""COMPUTED_VALUE"""),"Dweller Of The Abyss ")</f>
        <v>Dweller Of The Abyss </v>
      </c>
      <c r="B79" s="32">
        <f>IFERROR(__xludf.DUMMYFUNCTION("""COMPUTED_VALUE"""),1.0)</f>
        <v>1</v>
      </c>
      <c r="C79" s="32"/>
      <c r="D79" s="33" t="str">
        <f>IFERROR(__xludf.DUMMYFUNCTION("""COMPUTED_VALUE"""),"Monstrosity")</f>
        <v>Monstrosity</v>
      </c>
      <c r="E79" s="33">
        <f>IFERROR(__xludf.DUMMYFUNCTION("""COMPUTED_VALUE"""),1010.0)</f>
        <v>1010</v>
      </c>
      <c r="F79" s="33">
        <f>IFERROR(__xludf.DUMMYFUNCTION("""COMPUTED_VALUE"""),1010.0)</f>
        <v>1010</v>
      </c>
      <c r="G79" s="33">
        <f>IFERROR(__xludf.DUMMYFUNCTION("""COMPUTED_VALUE"""),1010.0)</f>
        <v>1010</v>
      </c>
      <c r="H79" s="32">
        <f>IFERROR(__xludf.DUMMYFUNCTION("""COMPUTED_VALUE"""),20.0)</f>
        <v>20</v>
      </c>
      <c r="I79" s="32">
        <f>IFERROR(__xludf.DUMMYFUNCTION("""COMPUTED_VALUE"""),0.0)</f>
        <v>0</v>
      </c>
      <c r="J79" s="32">
        <f>IFERROR(__xludf.DUMMYFUNCTION("""COMPUTED_VALUE"""),0.0)</f>
        <v>0</v>
      </c>
      <c r="K79" s="32">
        <f>IFERROR(__xludf.DUMMYFUNCTION("""COMPUTED_VALUE"""),100.0)</f>
        <v>100</v>
      </c>
      <c r="L79" s="32">
        <f>IFERROR(__xludf.DUMMYFUNCTION("""COMPUTED_VALUE"""),100.0)</f>
        <v>100</v>
      </c>
      <c r="M79" s="32" t="str">
        <f>IFERROR(__xludf.DUMMYFUNCTION("""COMPUTED_VALUE"""),"Fire:Immune, Water:Immune, Dark:Immune, Chaos:Immune, Voodoo:Immune, Instant Death:Immune, Banishment:Immune, ")</f>
        <v>Fire:Immune, Water:Immune, Dark:Immune, Chaos:Immune, Voodoo:Immune, Instant Death:Immune, Banishment:Immune, </v>
      </c>
      <c r="N79" s="32" t="str">
        <f>IFERROR(__xludf.DUMMYFUNCTION("""COMPUTED_VALUE"""),"Light:100, Nature:100, Celestial:100, ")</f>
        <v>Light:100, Nature:100, Celestial:100, </v>
      </c>
      <c r="O79" s="32"/>
      <c r="P79" s="32"/>
      <c r="Q79" s="32"/>
      <c r="R79" s="32"/>
      <c r="S79" s="32"/>
      <c r="T79" s="32"/>
      <c r="U79" s="32"/>
      <c r="V79" s="32"/>
      <c r="W79" s="32"/>
      <c r="X79" s="32"/>
      <c r="Y79" s="32"/>
      <c r="Z79" s="32"/>
      <c r="AA79" s="32"/>
      <c r="AB79" s="32"/>
      <c r="AC79" s="32"/>
      <c r="AD79" s="32"/>
      <c r="AE79" s="32"/>
      <c r="AF79" s="32"/>
      <c r="AG79" s="32"/>
      <c r="AH79" s="32"/>
      <c r="AI79" s="32"/>
      <c r="AJ79" s="32" t="str">
        <f>IFERROR(__xludf.DUMMYFUNCTION("""COMPUTED_VALUE"""),"Elemental Storm")</f>
        <v>Elemental Storm</v>
      </c>
      <c r="AK79" s="32" t="str">
        <f>IFERROR(__xludf.DUMMYFUNCTION("""COMPUTED_VALUE"""),"Tsunami")</f>
        <v>Tsunami</v>
      </c>
      <c r="AL79" s="32" t="str">
        <f>IFERROR(__xludf.DUMMYFUNCTION("""COMPUTED_VALUE"""),"Freezing Fog")</f>
        <v>Freezing Fog</v>
      </c>
      <c r="AM79" s="32" t="str">
        <f>IFERROR(__xludf.DUMMYFUNCTION("""COMPUTED_VALUE"""),"Multishot")</f>
        <v>Multishot</v>
      </c>
      <c r="AN79" s="32" t="str">
        <f>IFERROR(__xludf.DUMMYFUNCTION("""COMPUTED_VALUE"""),"Darkest Abyss")</f>
        <v>Darkest Abyss</v>
      </c>
      <c r="AO79" s="32" t="str">
        <f>IFERROR(__xludf.DUMMYFUNCTION("""COMPUTED_VALUE"""),"Vaporize")</f>
        <v>Vaporize</v>
      </c>
      <c r="AP79" s="32" t="str">
        <f>IFERROR(__xludf.DUMMYFUNCTION("""COMPUTED_VALUE"""),"Mass Destruction")</f>
        <v>Mass Destruction</v>
      </c>
      <c r="AQ79" s="32" t="str">
        <f>IFERROR(__xludf.DUMMYFUNCTION("""COMPUTED_VALUE"""),"Last Gamble")</f>
        <v>Last Gamble</v>
      </c>
      <c r="AR79" s="32" t="str">
        <f>IFERROR(__xludf.DUMMYFUNCTION("""COMPUTED_VALUE"""),"Damage With A Cost.")</f>
        <v>Damage With A Cost.</v>
      </c>
      <c r="AS79" s="32" t="str">
        <f>IFERROR(__xludf.DUMMYFUNCTION("""COMPUTED_VALUE"""),"The All Knowing Eye")</f>
        <v>The All Knowing Eye</v>
      </c>
      <c r="AT79" s="32" t="str">
        <f>IFERROR(__xludf.DUMMYFUNCTION("""COMPUTED_VALUE"""),"Voodoo Meteor Shower")</f>
        <v>Voodoo Meteor Shower</v>
      </c>
      <c r="AU79" s="32" t="str">
        <f>IFERROR(__xludf.DUMMYFUNCTION("""COMPUTED_VALUE"""),"Berserk")</f>
        <v>Berserk</v>
      </c>
      <c r="AV79" s="32" t="str">
        <f>IFERROR(__xludf.DUMMYFUNCTION("""COMPUTED_VALUE"""),"Call Of The Abyss")</f>
        <v>Call Of The Abyss</v>
      </c>
      <c r="AW79" s="32"/>
      <c r="AX79" s="32"/>
      <c r="AY79" s="32"/>
      <c r="AZ79" s="32"/>
      <c r="BA79" s="32"/>
      <c r="BB79" s="32"/>
      <c r="BC79" s="32"/>
      <c r="BD79" s="32">
        <f>IFERROR(__xludf.DUMMYFUNCTION("""COMPUTED_VALUE"""),0.0)</f>
        <v>0</v>
      </c>
      <c r="BE79" s="32">
        <f>IFERROR(__xludf.DUMMYFUNCTION("""COMPUTED_VALUE"""),20.0)</f>
        <v>20</v>
      </c>
      <c r="BF79" s="32"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32" t="str">
        <f>IFERROR(__xludf.DUMMYFUNCTION("""COMPUTED_VALUE"""),"Ocean")</f>
        <v>Ocean</v>
      </c>
      <c r="BH79" s="32" t="str">
        <f>IFERROR(__xludf.DUMMYFUNCTION("""COMPUTED_VALUE"""),"Land Of Spira")</f>
        <v>Land Of Spira</v>
      </c>
      <c r="BI79" s="32"/>
      <c r="BJ79" s="32"/>
      <c r="BK79" s="32"/>
      <c r="BL79" s="32" t="b">
        <f>IFERROR(__xludf.DUMMYFUNCTION("""COMPUTED_VALUE"""),FALSE)</f>
        <v>0</v>
      </c>
      <c r="BM79" s="32"/>
      <c r="BN79" s="32"/>
      <c r="BO79" s="32"/>
      <c r="BP79" s="32"/>
      <c r="BQ79" s="32"/>
    </row>
    <row r="80">
      <c r="A80" s="32" t="str">
        <f>IFERROR(__xludf.DUMMYFUNCTION("""COMPUTED_VALUE"""),"Eagle")</f>
        <v>Eagle</v>
      </c>
      <c r="B80" s="32">
        <f>IFERROR(__xludf.DUMMYFUNCTION("""COMPUTED_VALUE"""),1.0)</f>
        <v>1</v>
      </c>
      <c r="C80" s="32"/>
      <c r="D80" s="33" t="str">
        <f>IFERROR(__xludf.DUMMYFUNCTION("""COMPUTED_VALUE"""),"Beast")</f>
        <v>Beast</v>
      </c>
      <c r="E80" s="33">
        <f>IFERROR(__xludf.DUMMYFUNCTION("""COMPUTED_VALUE"""),6010.0)</f>
        <v>6010</v>
      </c>
      <c r="F80" s="33">
        <f>IFERROR(__xludf.DUMMYFUNCTION("""COMPUTED_VALUE"""),1010.0)</f>
        <v>1010</v>
      </c>
      <c r="G80" s="33">
        <f>IFERROR(__xludf.DUMMYFUNCTION("""COMPUTED_VALUE"""),1010.0)</f>
        <v>1010</v>
      </c>
      <c r="H80" s="32">
        <f>IFERROR(__xludf.DUMMYFUNCTION("""COMPUTED_VALUE"""),10.0)</f>
        <v>10</v>
      </c>
      <c r="I80" s="32">
        <f>IFERROR(__xludf.DUMMYFUNCTION("""COMPUTED_VALUE"""),0.0)</f>
        <v>0</v>
      </c>
      <c r="J80" s="32">
        <f>IFERROR(__xludf.DUMMYFUNCTION("""COMPUTED_VALUE"""),0.0)</f>
        <v>0</v>
      </c>
      <c r="K80" s="32">
        <f>IFERROR(__xludf.DUMMYFUNCTION("""COMPUTED_VALUE"""),100.0)</f>
        <v>100</v>
      </c>
      <c r="L80" s="32">
        <f>IFERROR(__xludf.DUMMYFUNCTION("""COMPUTED_VALUE"""),100.0)</f>
        <v>100</v>
      </c>
      <c r="M80" s="32" t="str">
        <f>IFERROR(__xludf.DUMMYFUNCTION("""COMPUTED_VALUE"""),"")</f>
        <v/>
      </c>
      <c r="N80" s="32" t="str">
        <f>IFERROR(__xludf.DUMMYFUNCTION("""COMPUTED_VALUE"""),"")</f>
        <v/>
      </c>
      <c r="O80" s="32"/>
      <c r="P80" s="32"/>
      <c r="Q80" s="32"/>
      <c r="R80" s="32"/>
      <c r="S80" s="32"/>
      <c r="T80" s="32"/>
      <c r="U80" s="32"/>
      <c r="V80" s="32"/>
      <c r="W80" s="32"/>
      <c r="X80" s="32"/>
      <c r="Y80" s="32"/>
      <c r="Z80" s="32"/>
      <c r="AA80" s="32"/>
      <c r="AB80" s="32"/>
      <c r="AC80" s="32"/>
      <c r="AD80" s="32"/>
      <c r="AE80" s="32"/>
      <c r="AF80" s="32"/>
      <c r="AG80" s="32"/>
      <c r="AH80" s="32"/>
      <c r="AI80" s="32"/>
      <c r="AJ80" s="32" t="str">
        <f>IFERROR(__xludf.DUMMYFUNCTION("""COMPUTED_VALUE"""),"Skydive")</f>
        <v>Skydive</v>
      </c>
      <c r="AK80" s="32" t="str">
        <f>IFERROR(__xludf.DUMMYFUNCTION("""COMPUTED_VALUE"""),"Claws")</f>
        <v>Claws</v>
      </c>
      <c r="AL80" s="32" t="str">
        <f>IFERROR(__xludf.DUMMYFUNCTION("""COMPUTED_VALUE"""),"Gust of Wind")</f>
        <v>Gust of Wind</v>
      </c>
      <c r="AM80" s="32" t="str">
        <f>IFERROR(__xludf.DUMMYFUNCTION("""COMPUTED_VALUE"""),"Dive Bomb")</f>
        <v>Dive Bomb</v>
      </c>
      <c r="AN80" s="32" t="str">
        <f>IFERROR(__xludf.DUMMYFUNCTION("""COMPUTED_VALUE"""),"Reckless Chomp ")</f>
        <v>Reckless Chomp </v>
      </c>
      <c r="AO80" s="32"/>
      <c r="AP80" s="32"/>
      <c r="AQ80" s="32"/>
      <c r="AR80" s="32"/>
      <c r="AS80" s="32"/>
      <c r="AT80" s="32"/>
      <c r="AU80" s="32"/>
      <c r="AV80" s="32"/>
      <c r="AW80" s="32"/>
      <c r="AX80" s="32"/>
      <c r="AY80" s="32"/>
      <c r="AZ80" s="32"/>
      <c r="BA80" s="32"/>
      <c r="BB80" s="32"/>
      <c r="BC80" s="32"/>
      <c r="BD80" s="32">
        <f>IFERROR(__xludf.DUMMYFUNCTION("""COMPUTED_VALUE"""),0.0)</f>
        <v>0</v>
      </c>
      <c r="BE80" s="32">
        <f>IFERROR(__xludf.DUMMYFUNCTION("""COMPUTED_VALUE"""),10.0)</f>
        <v>10</v>
      </c>
      <c r="BF80" s="32"/>
      <c r="BG80" s="32" t="str">
        <f>IFERROR(__xludf.DUMMYFUNCTION("""COMPUTED_VALUE"""),"All")</f>
        <v>All</v>
      </c>
      <c r="BH80" s="32" t="str">
        <f>IFERROR(__xludf.DUMMYFUNCTION("""COMPUTED_VALUE"""),"Land of Spira")</f>
        <v>Land of Spira</v>
      </c>
      <c r="BI80" s="32"/>
      <c r="BJ80" s="32"/>
      <c r="BK80" s="32"/>
      <c r="BL80" s="32" t="b">
        <f>IFERROR(__xludf.DUMMYFUNCTION("""COMPUTED_VALUE"""),FALSE)</f>
        <v>0</v>
      </c>
      <c r="BM80" s="32"/>
      <c r="BN80" s="32"/>
      <c r="BO80" s="32"/>
      <c r="BP80" s="32"/>
      <c r="BQ80" s="32"/>
    </row>
    <row r="81">
      <c r="A81" s="32" t="str">
        <f>IFERROR(__xludf.DUMMYFUNCTION("""COMPUTED_VALUE"""),"Eagle (Enhanced)")</f>
        <v>Eagle (Enhanced)</v>
      </c>
      <c r="B81" s="32">
        <f>IFERROR(__xludf.DUMMYFUNCTION("""COMPUTED_VALUE"""),1.0)</f>
        <v>1</v>
      </c>
      <c r="C81" s="32"/>
      <c r="D81" s="33" t="str">
        <f>IFERROR(__xludf.DUMMYFUNCTION("""COMPUTED_VALUE"""),"Beast")</f>
        <v>Beast</v>
      </c>
      <c r="E81" s="33">
        <f>IFERROR(__xludf.DUMMYFUNCTION("""COMPUTED_VALUE"""),11010.0)</f>
        <v>11010</v>
      </c>
      <c r="F81" s="33">
        <f>IFERROR(__xludf.DUMMYFUNCTION("""COMPUTED_VALUE"""),1010.0)</f>
        <v>1010</v>
      </c>
      <c r="G81" s="33">
        <f>IFERROR(__xludf.DUMMYFUNCTION("""COMPUTED_VALUE"""),1010.0)</f>
        <v>1010</v>
      </c>
      <c r="H81" s="32">
        <f>IFERROR(__xludf.DUMMYFUNCTION("""COMPUTED_VALUE"""),10.0)</f>
        <v>10</v>
      </c>
      <c r="I81" s="32">
        <f>IFERROR(__xludf.DUMMYFUNCTION("""COMPUTED_VALUE"""),0.0)</f>
        <v>0</v>
      </c>
      <c r="J81" s="32">
        <f>IFERROR(__xludf.DUMMYFUNCTION("""COMPUTED_VALUE"""),0.0)</f>
        <v>0</v>
      </c>
      <c r="K81" s="32">
        <f>IFERROR(__xludf.DUMMYFUNCTION("""COMPUTED_VALUE"""),100.0)</f>
        <v>100</v>
      </c>
      <c r="L81" s="32">
        <f>IFERROR(__xludf.DUMMYFUNCTION("""COMPUTED_VALUE"""),100.0)</f>
        <v>100</v>
      </c>
      <c r="M81" s="32" t="str">
        <f>IFERROR(__xludf.DUMMYFUNCTION("""COMPUTED_VALUE"""),"")</f>
        <v/>
      </c>
      <c r="N81" s="32" t="str">
        <f>IFERROR(__xludf.DUMMYFUNCTION("""COMPUTED_VALUE"""),"")</f>
        <v/>
      </c>
      <c r="O81" s="32"/>
      <c r="P81" s="32"/>
      <c r="Q81" s="32"/>
      <c r="R81" s="32"/>
      <c r="S81" s="32"/>
      <c r="T81" s="32"/>
      <c r="U81" s="32"/>
      <c r="V81" s="32"/>
      <c r="W81" s="32"/>
      <c r="X81" s="32"/>
      <c r="Y81" s="32"/>
      <c r="Z81" s="32"/>
      <c r="AA81" s="32"/>
      <c r="AB81" s="32"/>
      <c r="AC81" s="32"/>
      <c r="AD81" s="32"/>
      <c r="AE81" s="32"/>
      <c r="AF81" s="32"/>
      <c r="AG81" s="32"/>
      <c r="AH81" s="32"/>
      <c r="AI81" s="32"/>
      <c r="AJ81" s="32" t="str">
        <f>IFERROR(__xludf.DUMMYFUNCTION("""COMPUTED_VALUE"""),"Claws")</f>
        <v>Claws</v>
      </c>
      <c r="AK81" s="32" t="str">
        <f>IFERROR(__xludf.DUMMYFUNCTION("""COMPUTED_VALUE"""),"Rapid Swoop")</f>
        <v>Rapid Swoop</v>
      </c>
      <c r="AL81" s="32" t="str">
        <f>IFERROR(__xludf.DUMMYFUNCTION("""COMPUTED_VALUE"""),"Multishot")</f>
        <v>Multishot</v>
      </c>
      <c r="AM81" s="32" t="str">
        <f>IFERROR(__xludf.DUMMYFUNCTION("""COMPUTED_VALUE"""),"Lock On")</f>
        <v>Lock On</v>
      </c>
      <c r="AN81" s="32" t="str">
        <f>IFERROR(__xludf.DUMMYFUNCTION("""COMPUTED_VALUE"""),"Dive Bomb")</f>
        <v>Dive Bomb</v>
      </c>
      <c r="AO81" s="32" t="str">
        <f>IFERROR(__xludf.DUMMYFUNCTION("""COMPUTED_VALUE"""),"Bite")</f>
        <v>Bite</v>
      </c>
      <c r="AP81" s="32"/>
      <c r="AQ81" s="32"/>
      <c r="AR81" s="32"/>
      <c r="AS81" s="32"/>
      <c r="AT81" s="32"/>
      <c r="AU81" s="32"/>
      <c r="AV81" s="32"/>
      <c r="AW81" s="32"/>
      <c r="AX81" s="32"/>
      <c r="AY81" s="32"/>
      <c r="AZ81" s="32"/>
      <c r="BA81" s="32"/>
      <c r="BB81" s="32"/>
      <c r="BC81" s="32"/>
      <c r="BD81" s="32">
        <f>IFERROR(__xludf.DUMMYFUNCTION("""COMPUTED_VALUE"""),0.0)</f>
        <v>0</v>
      </c>
      <c r="BE81" s="32">
        <f>IFERROR(__xludf.DUMMYFUNCTION("""COMPUTED_VALUE"""),10.0)</f>
        <v>10</v>
      </c>
      <c r="BF81" s="32"/>
      <c r="BG81" s="32" t="str">
        <f>IFERROR(__xludf.DUMMYFUNCTION("""COMPUTED_VALUE"""),"All")</f>
        <v>All</v>
      </c>
      <c r="BH81" s="32" t="str">
        <f>IFERROR(__xludf.DUMMYFUNCTION("""COMPUTED_VALUE"""),"Land Of Spira")</f>
        <v>Land Of Spira</v>
      </c>
      <c r="BI81" s="32"/>
      <c r="BJ81" s="32"/>
      <c r="BK81" s="32"/>
      <c r="BL81" s="32" t="b">
        <f>IFERROR(__xludf.DUMMYFUNCTION("""COMPUTED_VALUE"""),FALSE)</f>
        <v>0</v>
      </c>
      <c r="BM81" s="32"/>
      <c r="BN81" s="32"/>
      <c r="BO81" s="32"/>
      <c r="BP81" s="32"/>
      <c r="BQ81" s="32"/>
    </row>
    <row r="82">
      <c r="A82" s="32" t="str">
        <f>IFERROR(__xludf.DUMMYFUNCTION("""COMPUTED_VALUE"""),"Elder Monk Kenyu")</f>
        <v>Elder Monk Kenyu</v>
      </c>
      <c r="B82" s="32">
        <f>IFERROR(__xludf.DUMMYFUNCTION("""COMPUTED_VALUE"""),1.0)</f>
        <v>1</v>
      </c>
      <c r="C82" s="32"/>
      <c r="D82" s="33" t="str">
        <f>IFERROR(__xludf.DUMMYFUNCTION("""COMPUTED_VALUE"""),"God")</f>
        <v>God</v>
      </c>
      <c r="E82" s="33">
        <f>IFERROR(__xludf.DUMMYFUNCTION("""COMPUTED_VALUE"""),1010.0)</f>
        <v>1010</v>
      </c>
      <c r="F82" s="33">
        <f>IFERROR(__xludf.DUMMYFUNCTION("""COMPUTED_VALUE"""),1010.0)</f>
        <v>1010</v>
      </c>
      <c r="G82" s="33">
        <f>IFERROR(__xludf.DUMMYFUNCTION("""COMPUTED_VALUE"""),1010.0)</f>
        <v>1010</v>
      </c>
      <c r="H82" s="32">
        <f>IFERROR(__xludf.DUMMYFUNCTION("""COMPUTED_VALUE"""),10.0)</f>
        <v>10</v>
      </c>
      <c r="I82" s="32">
        <f>IFERROR(__xludf.DUMMYFUNCTION("""COMPUTED_VALUE"""),0.0)</f>
        <v>0</v>
      </c>
      <c r="J82" s="32">
        <f>IFERROR(__xludf.DUMMYFUNCTION("""COMPUTED_VALUE"""),0.0)</f>
        <v>0</v>
      </c>
      <c r="K82" s="32">
        <f>IFERROR(__xludf.DUMMYFUNCTION("""COMPUTED_VALUE"""),100.0)</f>
        <v>100</v>
      </c>
      <c r="L82" s="32">
        <f>IFERROR(__xludf.DUMMYFUNCTION("""COMPUTED_VALUE"""),100.0)</f>
        <v>100</v>
      </c>
      <c r="M82" s="32" t="str">
        <f>IFERROR(__xludf.DUMMYFUNCTION("""COMPUTED_VALUE"""),"Light:Immune, Order:Immune, Zen:Immune, Celestial:Immune, Instant Death:Immune, Banishment:Immune, ")</f>
        <v>Light:Immune, Order:Immune, Zen:Immune, Celestial:Immune, Instant Death:Immune, Banishment:Immune, </v>
      </c>
      <c r="N82" s="32" t="str">
        <f>IFERROR(__xludf.DUMMYFUNCTION("""COMPUTED_VALUE"""),"Dark:100, Chaos:100, Voodoo:100, Astral:100, ")</f>
        <v>Dark:100, Chaos:100, Voodoo:100, Astral:100, </v>
      </c>
      <c r="O82" s="32"/>
      <c r="P82" s="32"/>
      <c r="Q82" s="32"/>
      <c r="R82" s="32"/>
      <c r="S82" s="32"/>
      <c r="T82" s="32"/>
      <c r="U82" s="32"/>
      <c r="V82" s="32"/>
      <c r="W82" s="32" t="str">
        <f>IFERROR(__xludf.DUMMYFUNCTION("""COMPUTED_VALUE"""),"Bow Staff Of Zhenmay")</f>
        <v>Bow Staff Of Zhenmay</v>
      </c>
      <c r="X82" s="32"/>
      <c r="Y82" s="32"/>
      <c r="Z82" s="32"/>
      <c r="AA82" s="32"/>
      <c r="AB82" s="32"/>
      <c r="AC82" s="32"/>
      <c r="AD82" s="32"/>
      <c r="AE82" s="32"/>
      <c r="AF82" s="32"/>
      <c r="AG82" s="32"/>
      <c r="AH82" s="32"/>
      <c r="AI82" s="32"/>
      <c r="AJ82" s="32" t="str">
        <f>IFERROR(__xludf.DUMMYFUNCTION("""COMPUTED_VALUE"""),"Mass Destruction")</f>
        <v>Mass Destruction</v>
      </c>
      <c r="AK82" s="32" t="str">
        <f>IFERROR(__xludf.DUMMYFUNCTION("""COMPUTED_VALUE"""),"Volcanic Rain")</f>
        <v>Volcanic Rain</v>
      </c>
      <c r="AL82" s="32" t="str">
        <f>IFERROR(__xludf.DUMMYFUNCTION("""COMPUTED_VALUE"""),"Crashing Waves")</f>
        <v>Crashing Waves</v>
      </c>
      <c r="AM82" s="32" t="str">
        <f>IFERROR(__xludf.DUMMYFUNCTION("""COMPUTED_VALUE"""),"Elemental Storm")</f>
        <v>Elemental Storm</v>
      </c>
      <c r="AN82" s="32" t="str">
        <f>IFERROR(__xludf.DUMMYFUNCTION("""COMPUTED_VALUE"""),"Rock Cycle")</f>
        <v>Rock Cycle</v>
      </c>
      <c r="AO82" s="32" t="str">
        <f>IFERROR(__xludf.DUMMYFUNCTION("""COMPUTED_VALUE"""),"The World Tree")</f>
        <v>The World Tree</v>
      </c>
      <c r="AP82" s="32" t="str">
        <f>IFERROR(__xludf.DUMMYFUNCTION("""COMPUTED_VALUE"""),"The All Knowing Eye")</f>
        <v>The All Knowing Eye</v>
      </c>
      <c r="AQ82" s="32" t="str">
        <f>IFERROR(__xludf.DUMMYFUNCTION("""COMPUTED_VALUE"""),"Mind Press")</f>
        <v>Mind Press</v>
      </c>
      <c r="AR82" s="32" t="str">
        <f>IFERROR(__xludf.DUMMYFUNCTION("""COMPUTED_VALUE"""),"Elemental Fists")</f>
        <v>Elemental Fists</v>
      </c>
      <c r="AS82" s="32" t="str">
        <f>IFERROR(__xludf.DUMMYFUNCTION("""COMPUTED_VALUE"""),"Berserk")</f>
        <v>Berserk</v>
      </c>
      <c r="AT82" s="32" t="str">
        <f>IFERROR(__xludf.DUMMYFUNCTION("""COMPUTED_VALUE"""),"Black Hole")</f>
        <v>Black Hole</v>
      </c>
      <c r="AU82" s="32" t="str">
        <f>IFERROR(__xludf.DUMMYFUNCTION("""COMPUTED_VALUE"""),"Chaincast")</f>
        <v>Chaincast</v>
      </c>
      <c r="AV82" s="32" t="str">
        <f>IFERROR(__xludf.DUMMYFUNCTION("""COMPUTED_VALUE"""),"Cease-Fire")</f>
        <v>Cease-Fire</v>
      </c>
      <c r="AW82" s="32" t="str">
        <f>IFERROR(__xludf.DUMMYFUNCTION("""COMPUTED_VALUE"""),"Monks Blessing")</f>
        <v>Monks Blessing</v>
      </c>
      <c r="AX82" s="32" t="str">
        <f>IFERROR(__xludf.DUMMYFUNCTION("""COMPUTED_VALUE"""),"FlashStep")</f>
        <v>FlashStep</v>
      </c>
      <c r="AY82" s="32" t="str">
        <f>IFERROR(__xludf.DUMMYFUNCTION("""COMPUTED_VALUE"""),"Last Gamble")</f>
        <v>Last Gamble</v>
      </c>
      <c r="AZ82" s="32"/>
      <c r="BA82" s="32"/>
      <c r="BB82" s="32"/>
      <c r="BC82" s="32"/>
      <c r="BD82" s="32">
        <f>IFERROR(__xludf.DUMMYFUNCTION("""COMPUTED_VALUE"""),0.0)</f>
        <v>0</v>
      </c>
      <c r="BE82" s="32">
        <f>IFERROR(__xludf.DUMMYFUNCTION("""COMPUTED_VALUE"""),10.0)</f>
        <v>10</v>
      </c>
      <c r="BF82" s="32"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32" t="str">
        <f>IFERROR(__xludf.DUMMYFUNCTION("""COMPUTED_VALUE"""),"All")</f>
        <v>All</v>
      </c>
      <c r="BH82" s="32" t="str">
        <f>IFERROR(__xludf.DUMMYFUNCTION("""COMPUTED_VALUE"""),"Land Of Spira")</f>
        <v>Land Of Spira</v>
      </c>
      <c r="BI82" s="32"/>
      <c r="BJ82" s="32"/>
      <c r="BK82" s="32"/>
      <c r="BL82" s="32" t="b">
        <f>IFERROR(__xludf.DUMMYFUNCTION("""COMPUTED_VALUE"""),FALSE)</f>
        <v>0</v>
      </c>
      <c r="BM82" s="32"/>
      <c r="BN82" s="32"/>
      <c r="BO82" s="32"/>
      <c r="BP82" s="32"/>
      <c r="BQ82" s="32"/>
    </row>
    <row r="83">
      <c r="A83" s="32"/>
      <c r="B83" s="32">
        <f>IFERROR(__xludf.DUMMYFUNCTION("""COMPUTED_VALUE"""),1.0)</f>
        <v>1</v>
      </c>
      <c r="C83" s="32"/>
      <c r="D83" s="32"/>
      <c r="E83" s="33">
        <f>IFERROR(__xludf.DUMMYFUNCTION("""COMPUTED_VALUE"""),1010.0)</f>
        <v>1010</v>
      </c>
      <c r="F83" s="33">
        <f>IFERROR(__xludf.DUMMYFUNCTION("""COMPUTED_VALUE"""),1010.0)</f>
        <v>1010</v>
      </c>
      <c r="G83" s="33">
        <f>IFERROR(__xludf.DUMMYFUNCTION("""COMPUTED_VALUE"""),1010.0)</f>
        <v>1010</v>
      </c>
      <c r="H83" s="32">
        <f>IFERROR(__xludf.DUMMYFUNCTION("""COMPUTED_VALUE"""),10.0)</f>
        <v>10</v>
      </c>
      <c r="I83" s="32">
        <f>IFERROR(__xludf.DUMMYFUNCTION("""COMPUTED_VALUE"""),0.0)</f>
        <v>0</v>
      </c>
      <c r="J83" s="32">
        <f>IFERROR(__xludf.DUMMYFUNCTION("""COMPUTED_VALUE"""),0.0)</f>
        <v>0</v>
      </c>
      <c r="K83" s="32">
        <f>IFERROR(__xludf.DUMMYFUNCTION("""COMPUTED_VALUE"""),100.0)</f>
        <v>100</v>
      </c>
      <c r="L83" s="32">
        <f>IFERROR(__xludf.DUMMYFUNCTION("""COMPUTED_VALUE"""),100.0)</f>
        <v>100</v>
      </c>
      <c r="M83" s="32" t="str">
        <f>IFERROR(__xludf.DUMMYFUNCTION("""COMPUTED_VALUE"""),"#N/A")</f>
        <v>#N/A</v>
      </c>
      <c r="N83" s="32" t="str">
        <f>IFERROR(__xludf.DUMMYFUNCTION("""COMPUTED_VALUE"""),"#N/A")</f>
        <v>#N/A</v>
      </c>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f>IFERROR(__xludf.DUMMYFUNCTION("""COMPUTED_VALUE"""),0.0)</f>
        <v>0</v>
      </c>
      <c r="BE83" s="32">
        <f>IFERROR(__xludf.DUMMYFUNCTION("""COMPUTED_VALUE"""),10.0)</f>
        <v>10</v>
      </c>
      <c r="BF83" s="32"/>
      <c r="BG83" s="32"/>
      <c r="BH83" s="32"/>
      <c r="BI83" s="32"/>
      <c r="BJ83" s="32"/>
      <c r="BK83" s="32"/>
      <c r="BL83" s="32" t="b">
        <f>IFERROR(__xludf.DUMMYFUNCTION("""COMPUTED_VALUE"""),FALSE)</f>
        <v>0</v>
      </c>
      <c r="BM83" s="32"/>
      <c r="BN83" s="32"/>
      <c r="BO83" s="32"/>
      <c r="BP83" s="32"/>
      <c r="BQ83" s="32"/>
    </row>
    <row r="84">
      <c r="A84" s="32" t="str">
        <f>IFERROR(__xludf.DUMMYFUNCTION("""COMPUTED_VALUE"""),"Endless Dark Dragon")</f>
        <v>Endless Dark Dragon</v>
      </c>
      <c r="B84" s="32">
        <f>IFERROR(__xludf.DUMMYFUNCTION("""COMPUTED_VALUE"""),1.0)</f>
        <v>1</v>
      </c>
      <c r="C84" s="32"/>
      <c r="D84" s="33" t="str">
        <f>IFERROR(__xludf.DUMMYFUNCTION("""COMPUTED_VALUE"""),"Draconic")</f>
        <v>Draconic</v>
      </c>
      <c r="E84" s="33">
        <f>IFERROR(__xludf.DUMMYFUNCTION("""COMPUTED_VALUE"""),1010.0)</f>
        <v>1010</v>
      </c>
      <c r="F84" s="33">
        <f>IFERROR(__xludf.DUMMYFUNCTION("""COMPUTED_VALUE"""),1010.0)</f>
        <v>1010</v>
      </c>
      <c r="G84" s="33">
        <f>IFERROR(__xludf.DUMMYFUNCTION("""COMPUTED_VALUE"""),1010.0)</f>
        <v>1010</v>
      </c>
      <c r="H84" s="32">
        <f>IFERROR(__xludf.DUMMYFUNCTION("""COMPUTED_VALUE"""),40.0)</f>
        <v>40</v>
      </c>
      <c r="I84" s="32">
        <f>IFERROR(__xludf.DUMMYFUNCTION("""COMPUTED_VALUE"""),0.0)</f>
        <v>0</v>
      </c>
      <c r="J84" s="32">
        <f>IFERROR(__xludf.DUMMYFUNCTION("""COMPUTED_VALUE"""),0.0)</f>
        <v>0</v>
      </c>
      <c r="K84" s="32">
        <f>IFERROR(__xludf.DUMMYFUNCTION("""COMPUTED_VALUE"""),100.0)</f>
        <v>100</v>
      </c>
      <c r="L84" s="32">
        <f>IFERROR(__xludf.DUMMYFUNCTION("""COMPUTED_VALUE"""),100.0)</f>
        <v>100</v>
      </c>
      <c r="M84" s="32" t="str">
        <f>IFERROR(__xludf.DUMMYFUNCTION("""COMPUTED_VALUE"""),"Dark:Immune, Spirit:Immune, Chaos:Immune, Instant Death:Immune, Banishment:Immune, ")</f>
        <v>Dark:Immune, Spirit:Immune, Chaos:Immune, Instant Death:Immune, Banishment:Immune, </v>
      </c>
      <c r="N84" s="32" t="str">
        <f>IFERROR(__xludf.DUMMYFUNCTION("""COMPUTED_VALUE"""),"Light:100, Order:100, ")</f>
        <v>Light:100, Order:100, </v>
      </c>
      <c r="O84" s="32"/>
      <c r="P84" s="32"/>
      <c r="Q84" s="32"/>
      <c r="R84" s="32"/>
      <c r="S84" s="32"/>
      <c r="T84" s="32"/>
      <c r="U84" s="32"/>
      <c r="V84" s="32"/>
      <c r="W84" s="32"/>
      <c r="X84" s="32"/>
      <c r="Y84" s="32"/>
      <c r="Z84" s="32"/>
      <c r="AA84" s="32"/>
      <c r="AB84" s="32"/>
      <c r="AC84" s="32"/>
      <c r="AD84" s="32"/>
      <c r="AE84" s="32"/>
      <c r="AF84" s="32"/>
      <c r="AG84" s="32"/>
      <c r="AH84" s="32"/>
      <c r="AI84" s="32"/>
      <c r="AJ84" s="32" t="str">
        <f>IFERROR(__xludf.DUMMYFUNCTION("""COMPUTED_VALUE"""),"Big Chomping Souls")</f>
        <v>Big Chomping Souls</v>
      </c>
      <c r="AK84" s="32" t="str">
        <f>IFERROR(__xludf.DUMMYFUNCTION("""COMPUTED_VALUE"""),"Darkness Ablaze")</f>
        <v>Darkness Ablaze</v>
      </c>
      <c r="AL84" s="32" t="str">
        <f>IFERROR(__xludf.DUMMYFUNCTION("""COMPUTED_VALUE"""),"Darkest Abyss")</f>
        <v>Darkest Abyss</v>
      </c>
      <c r="AM84" s="32" t="str">
        <f>IFERROR(__xludf.DUMMYFUNCTION("""COMPUTED_VALUE"""),"Dimensional Quake")</f>
        <v>Dimensional Quake</v>
      </c>
      <c r="AN84" s="32" t="str">
        <f>IFERROR(__xludf.DUMMYFUNCTION("""COMPUTED_VALUE"""),"Chaos Ward")</f>
        <v>Chaos Ward</v>
      </c>
      <c r="AO84" s="32" t="str">
        <f>IFERROR(__xludf.DUMMYFUNCTION("""COMPUTED_VALUE"""),"Last Gamble")</f>
        <v>Last Gamble</v>
      </c>
      <c r="AP84" s="32" t="str">
        <f>IFERROR(__xludf.DUMMYFUNCTION("""COMPUTED_VALUE"""),"Multi Banishment")</f>
        <v>Multi Banishment</v>
      </c>
      <c r="AQ84" s="32" t="str">
        <f>IFERROR(__xludf.DUMMYFUNCTION("""COMPUTED_VALUE"""),"Mass Destruction")</f>
        <v>Mass Destruction</v>
      </c>
      <c r="AR84" s="32" t="str">
        <f>IFERROR(__xludf.DUMMYFUNCTION("""COMPUTED_VALUE"""),"Celestial Summon")</f>
        <v>Celestial Summon</v>
      </c>
      <c r="AS84" s="32" t="str">
        <f>IFERROR(__xludf.DUMMYFUNCTION("""COMPUTED_VALUE"""),"Chaincast")</f>
        <v>Chaincast</v>
      </c>
      <c r="AT84" s="32" t="str">
        <f>IFERROR(__xludf.DUMMYFUNCTION("""COMPUTED_VALUE"""),"Dark Curse")</f>
        <v>Dark Curse</v>
      </c>
      <c r="AU84" s="32" t="str">
        <f>IFERROR(__xludf.DUMMYFUNCTION("""COMPUTED_VALUE"""),"Max Focus")</f>
        <v>Max Focus</v>
      </c>
      <c r="AV84" s="32" t="str">
        <f>IFERROR(__xludf.DUMMYFUNCTION("""COMPUTED_VALUE"""),"Dive Bomb")</f>
        <v>Dive Bomb</v>
      </c>
      <c r="AW84" s="32"/>
      <c r="AX84" s="32"/>
      <c r="AY84" s="32"/>
      <c r="AZ84" s="32"/>
      <c r="BA84" s="32"/>
      <c r="BB84" s="32"/>
      <c r="BC84" s="32"/>
      <c r="BD84" s="32">
        <f>IFERROR(__xludf.DUMMYFUNCTION("""COMPUTED_VALUE"""),0.0)</f>
        <v>0</v>
      </c>
      <c r="BE84" s="32">
        <f>IFERROR(__xludf.DUMMYFUNCTION("""COMPUTED_VALUE"""),40.0)</f>
        <v>40</v>
      </c>
      <c r="BF84" s="32"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32" t="str">
        <f>IFERROR(__xludf.DUMMYFUNCTION("""COMPUTED_VALUE"""),"All")</f>
        <v>All</v>
      </c>
      <c r="BH84" s="32" t="str">
        <f>IFERROR(__xludf.DUMMYFUNCTION("""COMPUTED_VALUE"""),"Abstara")</f>
        <v>Abstara</v>
      </c>
      <c r="BI84" s="32"/>
      <c r="BJ84" s="32"/>
      <c r="BK84" s="32"/>
      <c r="BL84" s="32" t="b">
        <f>IFERROR(__xludf.DUMMYFUNCTION("""COMPUTED_VALUE"""),FALSE)</f>
        <v>0</v>
      </c>
      <c r="BM84" s="32"/>
      <c r="BN84" s="32"/>
      <c r="BO84" s="32"/>
      <c r="BP84" s="32"/>
      <c r="BQ84" s="32"/>
    </row>
    <row r="85">
      <c r="A85" s="32" t="str">
        <f>IFERROR(__xludf.DUMMYFUNCTION("""COMPUTED_VALUE"""),"Evil Clown")</f>
        <v>Evil Clown</v>
      </c>
      <c r="B85" s="32">
        <f>IFERROR(__xludf.DUMMYFUNCTION("""COMPUTED_VALUE"""),1.0)</f>
        <v>1</v>
      </c>
      <c r="C85" s="32"/>
      <c r="D85" s="32" t="str">
        <f>IFERROR(__xludf.DUMMYFUNCTION("""COMPUTED_VALUE"""),"Humanoid")</f>
        <v>Humanoid</v>
      </c>
      <c r="E85" s="32">
        <f>IFERROR(__xludf.DUMMYFUNCTION("""COMPUTED_VALUE"""),1010.0)</f>
        <v>1010</v>
      </c>
      <c r="F85" s="33">
        <f>IFERROR(__xludf.DUMMYFUNCTION("""COMPUTED_VALUE"""),1010.0)</f>
        <v>1010</v>
      </c>
      <c r="G85" s="32">
        <f>IFERROR(__xludf.DUMMYFUNCTION("""COMPUTED_VALUE"""),1010.0)</f>
        <v>1010</v>
      </c>
      <c r="H85" s="32">
        <f>IFERROR(__xludf.DUMMYFUNCTION("""COMPUTED_VALUE"""),10.0)</f>
        <v>10</v>
      </c>
      <c r="I85" s="32">
        <f>IFERROR(__xludf.DUMMYFUNCTION("""COMPUTED_VALUE"""),0.0)</f>
        <v>0</v>
      </c>
      <c r="J85" s="32">
        <f>IFERROR(__xludf.DUMMYFUNCTION("""COMPUTED_VALUE"""),0.0)</f>
        <v>0</v>
      </c>
      <c r="K85" s="32">
        <f>IFERROR(__xludf.DUMMYFUNCTION("""COMPUTED_VALUE"""),100.0)</f>
        <v>100</v>
      </c>
      <c r="L85" s="32">
        <f>IFERROR(__xludf.DUMMYFUNCTION("""COMPUTED_VALUE"""),100.0)</f>
        <v>100</v>
      </c>
      <c r="M85" s="32" t="str">
        <f>IFERROR(__xludf.DUMMYFUNCTION("""COMPUTED_VALUE"""),"Dark:Immune, Spirit:Immune, ")</f>
        <v>Dark:Immune, Spirit:Immune, </v>
      </c>
      <c r="N85" s="32" t="str">
        <f>IFERROR(__xludf.DUMMYFUNCTION("""COMPUTED_VALUE"""),"Light:100, ")</f>
        <v>Light:100, </v>
      </c>
      <c r="O85" s="32"/>
      <c r="P85" s="32"/>
      <c r="Q85" s="32"/>
      <c r="R85" s="32"/>
      <c r="S85" s="32"/>
      <c r="T85" s="32"/>
      <c r="U85" s="32"/>
      <c r="V85" s="32"/>
      <c r="W85" s="32" t="str">
        <f>IFERROR(__xludf.DUMMYFUNCTION("""COMPUTED_VALUE"""),"Dark Wand")</f>
        <v>Dark Wand</v>
      </c>
      <c r="X85" s="32"/>
      <c r="Y85" s="32"/>
      <c r="Z85" s="32"/>
      <c r="AA85" s="32"/>
      <c r="AB85" s="32"/>
      <c r="AC85" s="32"/>
      <c r="AD85" s="32"/>
      <c r="AE85" s="32"/>
      <c r="AF85" s="32"/>
      <c r="AG85" s="32"/>
      <c r="AH85" s="32"/>
      <c r="AI85" s="32"/>
      <c r="AJ85" s="32" t="str">
        <f>IFERROR(__xludf.DUMMYFUNCTION("""COMPUTED_VALUE"""),"Chaos Ward")</f>
        <v>Chaos Ward</v>
      </c>
      <c r="AK85" s="32" t="str">
        <f>IFERROR(__xludf.DUMMYFUNCTION("""COMPUTED_VALUE"""),"Dimension Portal")</f>
        <v>Dimension Portal</v>
      </c>
      <c r="AL85" s="32" t="str">
        <f>IFERROR(__xludf.DUMMYFUNCTION("""COMPUTED_VALUE"""),"Conceal")</f>
        <v>Conceal</v>
      </c>
      <c r="AM85" s="32" t="str">
        <f>IFERROR(__xludf.DUMMYFUNCTION("""COMPUTED_VALUE"""),"Darkest Abyss")</f>
        <v>Darkest Abyss</v>
      </c>
      <c r="AN85" s="32" t="str">
        <f>IFERROR(__xludf.DUMMYFUNCTION("""COMPUTED_VALUE"""),"Dark Bolt")</f>
        <v>Dark Bolt</v>
      </c>
      <c r="AO85" s="32"/>
      <c r="AP85" s="32"/>
      <c r="AQ85" s="32"/>
      <c r="AR85" s="32"/>
      <c r="AS85" s="32"/>
      <c r="AT85" s="32"/>
      <c r="AU85" s="32"/>
      <c r="AV85" s="32"/>
      <c r="AW85" s="32"/>
      <c r="AX85" s="32"/>
      <c r="AY85" s="32"/>
      <c r="AZ85" s="32"/>
      <c r="BA85" s="32"/>
      <c r="BB85" s="32"/>
      <c r="BC85" s="32"/>
      <c r="BD85" s="32">
        <f>IFERROR(__xludf.DUMMYFUNCTION("""COMPUTED_VALUE"""),0.0)</f>
        <v>0</v>
      </c>
      <c r="BE85" s="32">
        <f>IFERROR(__xludf.DUMMYFUNCTION("""COMPUTED_VALUE"""),10.0)</f>
        <v>10</v>
      </c>
      <c r="BF85" s="32" t="str">
        <f>IFERROR(__xludf.DUMMYFUNCTION("""COMPUTED_VALUE"""),"A Dark Calling: +5 can be added to this mobs rolls.")</f>
        <v>A Dark Calling: +5 can be added to this mobs rolls.</v>
      </c>
      <c r="BG85" s="32" t="str">
        <f>IFERROR(__xludf.DUMMYFUNCTION("""COMPUTED_VALUE"""),"All")</f>
        <v>All</v>
      </c>
      <c r="BH85" s="32" t="str">
        <f>IFERROR(__xludf.DUMMYFUNCTION("""COMPUTED_VALUE"""),"Halloween Kingdom")</f>
        <v>Halloween Kingdom</v>
      </c>
      <c r="BI85" s="32"/>
      <c r="BJ85" s="32"/>
      <c r="BK85" s="32"/>
      <c r="BL85" s="32" t="b">
        <f>IFERROR(__xludf.DUMMYFUNCTION("""COMPUTED_VALUE"""),FALSE)</f>
        <v>0</v>
      </c>
      <c r="BM85" s="32"/>
      <c r="BN85" s="32"/>
      <c r="BO85" s="32"/>
      <c r="BP85" s="32"/>
      <c r="BQ85" s="32"/>
    </row>
    <row r="86">
      <c r="A86" s="32" t="str">
        <f>IFERROR(__xludf.DUMMYFUNCTION("""COMPUTED_VALUE"""),"Evil Moth")</f>
        <v>Evil Moth</v>
      </c>
      <c r="B86" s="32">
        <f>IFERROR(__xludf.DUMMYFUNCTION("""COMPUTED_VALUE"""),1.0)</f>
        <v>1</v>
      </c>
      <c r="C86" s="32"/>
      <c r="D86" s="33" t="str">
        <f>IFERROR(__xludf.DUMMYFUNCTION("""COMPUTED_VALUE"""),"Beast")</f>
        <v>Beast</v>
      </c>
      <c r="E86" s="33">
        <f>IFERROR(__xludf.DUMMYFUNCTION("""COMPUTED_VALUE"""),1010.0)</f>
        <v>1010</v>
      </c>
      <c r="F86" s="33">
        <f>IFERROR(__xludf.DUMMYFUNCTION("""COMPUTED_VALUE"""),1010.0)</f>
        <v>1010</v>
      </c>
      <c r="G86" s="33">
        <f>IFERROR(__xludf.DUMMYFUNCTION("""COMPUTED_VALUE"""),1010.0)</f>
        <v>1010</v>
      </c>
      <c r="H86" s="32">
        <f>IFERROR(__xludf.DUMMYFUNCTION("""COMPUTED_VALUE"""),10.0)</f>
        <v>10</v>
      </c>
      <c r="I86" s="32">
        <f>IFERROR(__xludf.DUMMYFUNCTION("""COMPUTED_VALUE"""),0.0)</f>
        <v>0</v>
      </c>
      <c r="J86" s="32">
        <f>IFERROR(__xludf.DUMMYFUNCTION("""COMPUTED_VALUE"""),0.0)</f>
        <v>0</v>
      </c>
      <c r="K86" s="32">
        <f>IFERROR(__xludf.DUMMYFUNCTION("""COMPUTED_VALUE"""),100.0)</f>
        <v>100</v>
      </c>
      <c r="L86" s="32">
        <f>IFERROR(__xludf.DUMMYFUNCTION("""COMPUTED_VALUE"""),100.0)</f>
        <v>100</v>
      </c>
      <c r="M86" s="32" t="str">
        <f>IFERROR(__xludf.DUMMYFUNCTION("""COMPUTED_VALUE"""),"Dark:100, ")</f>
        <v>Dark:100, </v>
      </c>
      <c r="N86" s="32" t="str">
        <f>IFERROR(__xludf.DUMMYFUNCTION("""COMPUTED_VALUE"""),"")</f>
        <v/>
      </c>
      <c r="O86" s="32"/>
      <c r="P86" s="32"/>
      <c r="Q86" s="32"/>
      <c r="R86" s="32"/>
      <c r="S86" s="32"/>
      <c r="T86" s="32"/>
      <c r="U86" s="32"/>
      <c r="V86" s="32"/>
      <c r="W86" s="32"/>
      <c r="X86" s="32"/>
      <c r="Y86" s="32"/>
      <c r="Z86" s="32"/>
      <c r="AA86" s="32"/>
      <c r="AB86" s="32"/>
      <c r="AC86" s="32"/>
      <c r="AD86" s="32"/>
      <c r="AE86" s="32"/>
      <c r="AF86" s="32"/>
      <c r="AG86" s="32"/>
      <c r="AH86" s="32"/>
      <c r="AI86" s="32"/>
      <c r="AJ86" s="32" t="str">
        <f>IFERROR(__xludf.DUMMYFUNCTION("""COMPUTED_VALUE"""),"Bite")</f>
        <v>Bite</v>
      </c>
      <c r="AK86" s="32" t="str">
        <f>IFERROR(__xludf.DUMMYFUNCTION("""COMPUTED_VALUE"""),"Poison Needle")</f>
        <v>Poison Needle</v>
      </c>
      <c r="AL86" s="32" t="str">
        <f>IFERROR(__xludf.DUMMYFUNCTION("""COMPUTED_VALUE"""),"Chain Lighting")</f>
        <v>Chain Lighting</v>
      </c>
      <c r="AM86" s="32" t="str">
        <f>IFERROR(__xludf.DUMMYFUNCTION("""COMPUTED_VALUE"""),"Claws")</f>
        <v>Claws</v>
      </c>
      <c r="AN86" s="32"/>
      <c r="AO86" s="32"/>
      <c r="AP86" s="32"/>
      <c r="AQ86" s="32"/>
      <c r="AR86" s="32"/>
      <c r="AS86" s="32"/>
      <c r="AT86" s="32"/>
      <c r="AU86" s="32"/>
      <c r="AV86" s="32"/>
      <c r="AW86" s="32"/>
      <c r="AX86" s="32"/>
      <c r="AY86" s="32"/>
      <c r="AZ86" s="32"/>
      <c r="BA86" s="32"/>
      <c r="BB86" s="32"/>
      <c r="BC86" s="32"/>
      <c r="BD86" s="32">
        <f>IFERROR(__xludf.DUMMYFUNCTION("""COMPUTED_VALUE"""),0.0)</f>
        <v>0</v>
      </c>
      <c r="BE86" s="32">
        <f>IFERROR(__xludf.DUMMYFUNCTION("""COMPUTED_VALUE"""),10.0)</f>
        <v>10</v>
      </c>
      <c r="BF86" s="32"/>
      <c r="BG86" s="32" t="str">
        <f>IFERROR(__xludf.DUMMYFUNCTION("""COMPUTED_VALUE"""),"All")</f>
        <v>All</v>
      </c>
      <c r="BH86" s="32" t="str">
        <f>IFERROR(__xludf.DUMMYFUNCTION("""COMPUTED_VALUE"""),"Land of Spira")</f>
        <v>Land of Spira</v>
      </c>
      <c r="BI86" s="32"/>
      <c r="BJ86" s="32"/>
      <c r="BK86" s="32"/>
      <c r="BL86" s="32" t="b">
        <f>IFERROR(__xludf.DUMMYFUNCTION("""COMPUTED_VALUE"""),FALSE)</f>
        <v>0</v>
      </c>
      <c r="BM86" s="32"/>
      <c r="BN86" s="32"/>
      <c r="BO86" s="32"/>
      <c r="BP86" s="32"/>
      <c r="BQ86" s="32"/>
    </row>
    <row r="87">
      <c r="A87" s="32" t="str">
        <f>IFERROR(__xludf.DUMMYFUNCTION("""COMPUTED_VALUE"""),"Failinis")</f>
        <v>Failinis</v>
      </c>
      <c r="B87" s="32">
        <f>IFERROR(__xludf.DUMMYFUNCTION("""COMPUTED_VALUE"""),1.0)</f>
        <v>1</v>
      </c>
      <c r="C87" s="32" t="str">
        <f>IFERROR(__xludf.DUMMYFUNCTION("""COMPUTED_VALUE"""),"Lugh's hound")</f>
        <v>Lugh's hound</v>
      </c>
      <c r="D87" s="32" t="str">
        <f>IFERROR(__xludf.DUMMYFUNCTION("""COMPUTED_VALUE"""),"Beast")</f>
        <v>Beast</v>
      </c>
      <c r="E87" s="32">
        <f>IFERROR(__xludf.DUMMYFUNCTION("""COMPUTED_VALUE"""),1010.0)</f>
        <v>1010</v>
      </c>
      <c r="F87" s="33">
        <f>IFERROR(__xludf.DUMMYFUNCTION("""COMPUTED_VALUE"""),1010.0)</f>
        <v>1010</v>
      </c>
      <c r="G87" s="32">
        <f>IFERROR(__xludf.DUMMYFUNCTION("""COMPUTED_VALUE"""),1010.0)</f>
        <v>1010</v>
      </c>
      <c r="H87" s="32">
        <f>IFERROR(__xludf.DUMMYFUNCTION("""COMPUTED_VALUE"""),10.0)</f>
        <v>10</v>
      </c>
      <c r="I87" s="32">
        <f>IFERROR(__xludf.DUMMYFUNCTION("""COMPUTED_VALUE"""),0.0)</f>
        <v>0</v>
      </c>
      <c r="J87" s="32">
        <f>IFERROR(__xludf.DUMMYFUNCTION("""COMPUTED_VALUE"""),0.0)</f>
        <v>0</v>
      </c>
      <c r="K87" s="32">
        <f>IFERROR(__xludf.DUMMYFUNCTION("""COMPUTED_VALUE"""),100.0)</f>
        <v>100</v>
      </c>
      <c r="L87" s="32">
        <f>IFERROR(__xludf.DUMMYFUNCTION("""COMPUTED_VALUE"""),100.0)</f>
        <v>100</v>
      </c>
      <c r="M87" s="32" t="str">
        <f>IFERROR(__xludf.DUMMYFUNCTION("""COMPUTED_VALUE"""),"")</f>
        <v/>
      </c>
      <c r="N87" s="32" t="str">
        <f>IFERROR(__xludf.DUMMYFUNCTION("""COMPUTED_VALUE"""),"")</f>
        <v/>
      </c>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f>IFERROR(__xludf.DUMMYFUNCTION("""COMPUTED_VALUE"""),0.0)</f>
        <v>0</v>
      </c>
      <c r="BE87" s="32">
        <f>IFERROR(__xludf.DUMMYFUNCTION("""COMPUTED_VALUE"""),10.0)</f>
        <v>10</v>
      </c>
      <c r="BF87" s="32" t="str">
        <f>IFERROR(__xludf.DUMMYFUNCTION("""COMPUTED_VALUE"""),"Pukes heavenly Mead and Wine")</f>
        <v>Pukes heavenly Mead and Wine</v>
      </c>
      <c r="BG87" s="32"/>
      <c r="BH87" s="32" t="str">
        <f>IFERROR(__xludf.DUMMYFUNCTION("""COMPUTED_VALUE"""),"Land of Spira")</f>
        <v>Land of Spira</v>
      </c>
      <c r="BI87" s="32"/>
      <c r="BJ87" s="32" t="str">
        <f>IFERROR(__xludf.DUMMYFUNCTION("""COMPUTED_VALUE"""),"Lughnasadh")</f>
        <v>Lughnasadh</v>
      </c>
      <c r="BK87" s="32"/>
      <c r="BL87" s="32" t="b">
        <f>IFERROR(__xludf.DUMMYFUNCTION("""COMPUTED_VALUE"""),FALSE)</f>
        <v>0</v>
      </c>
      <c r="BM87" s="32"/>
      <c r="BN87" s="32"/>
      <c r="BO87" s="32"/>
      <c r="BP87" s="32"/>
      <c r="BQ87" s="32"/>
    </row>
    <row r="88">
      <c r="A88" s="32" t="str">
        <f>IFERROR(__xludf.DUMMYFUNCTION("""COMPUTED_VALUE"""),"Fire Dragon")</f>
        <v>Fire Dragon</v>
      </c>
      <c r="B88" s="32">
        <f>IFERROR(__xludf.DUMMYFUNCTION("""COMPUTED_VALUE"""),1.0)</f>
        <v>1</v>
      </c>
      <c r="C88" s="32"/>
      <c r="D88" s="32" t="str">
        <f>IFERROR(__xludf.DUMMYFUNCTION("""COMPUTED_VALUE"""),"Draconic")</f>
        <v>Draconic</v>
      </c>
      <c r="E88" s="32">
        <f>IFERROR(__xludf.DUMMYFUNCTION("""COMPUTED_VALUE"""),31010.0)</f>
        <v>31010</v>
      </c>
      <c r="F88" s="33">
        <f>IFERROR(__xludf.DUMMYFUNCTION("""COMPUTED_VALUE"""),1010.0)</f>
        <v>1010</v>
      </c>
      <c r="G88" s="32">
        <f>IFERROR(__xludf.DUMMYFUNCTION("""COMPUTED_VALUE"""),1010.0)</f>
        <v>1010</v>
      </c>
      <c r="H88" s="32">
        <f>IFERROR(__xludf.DUMMYFUNCTION("""COMPUTED_VALUE"""),10.0)</f>
        <v>10</v>
      </c>
      <c r="I88" s="32">
        <f>IFERROR(__xludf.DUMMYFUNCTION("""COMPUTED_VALUE"""),0.0)</f>
        <v>0</v>
      </c>
      <c r="J88" s="32">
        <f>IFERROR(__xludf.DUMMYFUNCTION("""COMPUTED_VALUE"""),0.0)</f>
        <v>0</v>
      </c>
      <c r="K88" s="32">
        <f>IFERROR(__xludf.DUMMYFUNCTION("""COMPUTED_VALUE"""),100.0)</f>
        <v>100</v>
      </c>
      <c r="L88" s="32">
        <f>IFERROR(__xludf.DUMMYFUNCTION("""COMPUTED_VALUE"""),100.0)</f>
        <v>100</v>
      </c>
      <c r="M88" s="32" t="str">
        <f>IFERROR(__xludf.DUMMYFUNCTION("""COMPUTED_VALUE"""),"Fire:Immune, Nature:Immune, Instant Death:Immune, Banishment:Immune, ")</f>
        <v>Fire:Immune, Nature:Immune, Instant Death:Immune, Banishment:Immune, </v>
      </c>
      <c r="N88" s="32" t="str">
        <f>IFERROR(__xludf.DUMMYFUNCTION("""COMPUTED_VALUE"""),"Water:100, ")</f>
        <v>Water:100, </v>
      </c>
      <c r="O88" s="32"/>
      <c r="P88" s="32"/>
      <c r="Q88" s="32"/>
      <c r="R88" s="32"/>
      <c r="S88" s="32"/>
      <c r="T88" s="32"/>
      <c r="U88" s="32"/>
      <c r="V88" s="32"/>
      <c r="W88" s="32"/>
      <c r="X88" s="32"/>
      <c r="Y88" s="32"/>
      <c r="Z88" s="32"/>
      <c r="AA88" s="32"/>
      <c r="AB88" s="32"/>
      <c r="AC88" s="32"/>
      <c r="AD88" s="32"/>
      <c r="AE88" s="32"/>
      <c r="AF88" s="32"/>
      <c r="AG88" s="32"/>
      <c r="AH88" s="32"/>
      <c r="AI88" s="32"/>
      <c r="AJ88" s="32" t="str">
        <f>IFERROR(__xludf.DUMMYFUNCTION("""COMPUTED_VALUE"""),"Dragon's Breath")</f>
        <v>Dragon's Breath</v>
      </c>
      <c r="AK88" s="32" t="str">
        <f>IFERROR(__xludf.DUMMYFUNCTION("""COMPUTED_VALUE"""),"Bite")</f>
        <v>Bite</v>
      </c>
      <c r="AL88" s="32" t="str">
        <f>IFERROR(__xludf.DUMMYFUNCTION("""COMPUTED_VALUE"""),"Tail Smash")</f>
        <v>Tail Smash</v>
      </c>
      <c r="AM88" s="32" t="str">
        <f>IFERROR(__xludf.DUMMYFUNCTION("""COMPUTED_VALUE"""),"Claws")</f>
        <v>Claws</v>
      </c>
      <c r="AN88" s="32" t="str">
        <f>IFERROR(__xludf.DUMMYFUNCTION("""COMPUTED_VALUE"""),"Berserk")</f>
        <v>Berserk</v>
      </c>
      <c r="AO88" s="32" t="str">
        <f>IFERROR(__xludf.DUMMYFUNCTION("""COMPUTED_VALUE"""),"Multishot")</f>
        <v>Multishot</v>
      </c>
      <c r="AP88" s="32" t="str">
        <f>IFERROR(__xludf.DUMMYFUNCTION("""COMPUTED_VALUE"""),"Draconic Scream")</f>
        <v>Draconic Scream</v>
      </c>
      <c r="AQ88" s="32" t="str">
        <f>IFERROR(__xludf.DUMMYFUNCTION("""COMPUTED_VALUE"""),"Flame Sanctuary")</f>
        <v>Flame Sanctuary</v>
      </c>
      <c r="AR88" s="32" t="str">
        <f>IFERROR(__xludf.DUMMYFUNCTION("""COMPUTED_VALUE"""),"Meteor Shower")</f>
        <v>Meteor Shower</v>
      </c>
      <c r="AS88" s="32" t="str">
        <f>IFERROR(__xludf.DUMMYFUNCTION("""COMPUTED_VALUE"""),"Burn")</f>
        <v>Burn</v>
      </c>
      <c r="AT88" s="32" t="str">
        <f>IFERROR(__xludf.DUMMYFUNCTION("""COMPUTED_VALUE"""),"Celestial Wrath")</f>
        <v>Celestial Wrath</v>
      </c>
      <c r="AU88" s="32"/>
      <c r="AV88" s="32"/>
      <c r="AW88" s="32"/>
      <c r="AX88" s="32"/>
      <c r="AY88" s="32"/>
      <c r="AZ88" s="32"/>
      <c r="BA88" s="32"/>
      <c r="BB88" s="32"/>
      <c r="BC88" s="32"/>
      <c r="BD88" s="32">
        <f>IFERROR(__xludf.DUMMYFUNCTION("""COMPUTED_VALUE"""),0.0)</f>
        <v>0</v>
      </c>
      <c r="BE88" s="32">
        <f>IFERROR(__xludf.DUMMYFUNCTION("""COMPUTED_VALUE"""),10.0)</f>
        <v>10</v>
      </c>
      <c r="BF88"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32" t="str">
        <f>IFERROR(__xludf.DUMMYFUNCTION("""COMPUTED_VALUE"""),"All")</f>
        <v>All</v>
      </c>
      <c r="BH88" s="32" t="str">
        <f>IFERROR(__xludf.DUMMYFUNCTION("""COMPUTED_VALUE"""),"Dragonscale Island")</f>
        <v>Dragonscale Island</v>
      </c>
      <c r="BI88" s="32"/>
      <c r="BJ88" s="32"/>
      <c r="BK88" s="32"/>
      <c r="BL88" s="32" t="b">
        <f>IFERROR(__xludf.DUMMYFUNCTION("""COMPUTED_VALUE"""),FALSE)</f>
        <v>0</v>
      </c>
      <c r="BM88" s="32"/>
      <c r="BN88" s="32"/>
      <c r="BO88" s="32"/>
      <c r="BP88" s="32"/>
      <c r="BQ88" s="32"/>
    </row>
    <row r="89">
      <c r="A89" s="32" t="str">
        <f>IFERROR(__xludf.DUMMYFUNCTION("""COMPUTED_VALUE"""),"Fire Mage")</f>
        <v>Fire Mage</v>
      </c>
      <c r="B89" s="32">
        <f>IFERROR(__xludf.DUMMYFUNCTION("""COMPUTED_VALUE"""),1.0)</f>
        <v>1</v>
      </c>
      <c r="C89" s="32"/>
      <c r="D89" s="32" t="str">
        <f>IFERROR(__xludf.DUMMYFUNCTION("""COMPUTED_VALUE"""),"Humanoid")</f>
        <v>Humanoid</v>
      </c>
      <c r="E89" s="32">
        <f>IFERROR(__xludf.DUMMYFUNCTION("""COMPUTED_VALUE"""),1010.0)</f>
        <v>1010</v>
      </c>
      <c r="F89" s="33">
        <f>IFERROR(__xludf.DUMMYFUNCTION("""COMPUTED_VALUE"""),1010.0)</f>
        <v>1010</v>
      </c>
      <c r="G89" s="32">
        <f>IFERROR(__xludf.DUMMYFUNCTION("""COMPUTED_VALUE"""),1010.0)</f>
        <v>1010</v>
      </c>
      <c r="H89" s="32">
        <f>IFERROR(__xludf.DUMMYFUNCTION("""COMPUTED_VALUE"""),10.0)</f>
        <v>10</v>
      </c>
      <c r="I89" s="32">
        <f>IFERROR(__xludf.DUMMYFUNCTION("""COMPUTED_VALUE"""),0.0)</f>
        <v>0</v>
      </c>
      <c r="J89" s="32">
        <f>IFERROR(__xludf.DUMMYFUNCTION("""COMPUTED_VALUE"""),0.0)</f>
        <v>0</v>
      </c>
      <c r="K89" s="32">
        <f>IFERROR(__xludf.DUMMYFUNCTION("""COMPUTED_VALUE"""),100.0)</f>
        <v>100</v>
      </c>
      <c r="L89" s="32">
        <f>IFERROR(__xludf.DUMMYFUNCTION("""COMPUTED_VALUE"""),100.0)</f>
        <v>100</v>
      </c>
      <c r="M89" s="32" t="str">
        <f>IFERROR(__xludf.DUMMYFUNCTION("""COMPUTED_VALUE"""),"Fire:Immune, ")</f>
        <v>Fire:Immune, </v>
      </c>
      <c r="N89" s="32" t="str">
        <f>IFERROR(__xludf.DUMMYFUNCTION("""COMPUTED_VALUE"""),"Water:100, ")</f>
        <v>Water:100, </v>
      </c>
      <c r="O89" s="32"/>
      <c r="P89" s="32"/>
      <c r="Q89" s="32"/>
      <c r="R89" s="32"/>
      <c r="S89" s="32"/>
      <c r="T89" s="32"/>
      <c r="U89" s="32"/>
      <c r="V89" s="32"/>
      <c r="W89" s="32"/>
      <c r="X89" s="32"/>
      <c r="Y89" s="32"/>
      <c r="Z89" s="32"/>
      <c r="AA89" s="32"/>
      <c r="AB89" s="32"/>
      <c r="AC89" s="32"/>
      <c r="AD89" s="32"/>
      <c r="AE89" s="32"/>
      <c r="AF89" s="32"/>
      <c r="AG89" s="32"/>
      <c r="AH89" s="32"/>
      <c r="AI89" s="32"/>
      <c r="AJ89" s="32" t="str">
        <f>IFERROR(__xludf.DUMMYFUNCTION("""COMPUTED_VALUE"""),"Divine Flame Cloak")</f>
        <v>Divine Flame Cloak</v>
      </c>
      <c r="AK89" s="32" t="str">
        <f>IFERROR(__xludf.DUMMYFUNCTION("""COMPUTED_VALUE"""),"Flame Sanctuary")</f>
        <v>Flame Sanctuary</v>
      </c>
      <c r="AL89" s="32" t="str">
        <f>IFERROR(__xludf.DUMMYFUNCTION("""COMPUTED_VALUE"""),"Volcanic wall")</f>
        <v>Volcanic wall</v>
      </c>
      <c r="AM89" s="32" t="str">
        <f>IFERROR(__xludf.DUMMYFUNCTION("""COMPUTED_VALUE"""),"Volcanic Rain")</f>
        <v>Volcanic Rain</v>
      </c>
      <c r="AN89" s="32" t="str">
        <f>IFERROR(__xludf.DUMMYFUNCTION("""COMPUTED_VALUE"""),"Solar Storm")</f>
        <v>Solar Storm</v>
      </c>
      <c r="AO89" s="32" t="str">
        <f>IFERROR(__xludf.DUMMYFUNCTION("""COMPUTED_VALUE"""),"Flame Thrower")</f>
        <v>Flame Thrower</v>
      </c>
      <c r="AP89" s="32" t="str">
        <f>IFERROR(__xludf.DUMMYFUNCTION("""COMPUTED_VALUE"""),"Celestial strike")</f>
        <v>Celestial strike</v>
      </c>
      <c r="AQ89" s="32"/>
      <c r="AR89" s="32"/>
      <c r="AS89" s="32"/>
      <c r="AT89" s="32"/>
      <c r="AU89" s="32"/>
      <c r="AV89" s="32"/>
      <c r="AW89" s="32"/>
      <c r="AX89" s="32"/>
      <c r="AY89" s="32"/>
      <c r="AZ89" s="32"/>
      <c r="BA89" s="32"/>
      <c r="BB89" s="32"/>
      <c r="BC89" s="32"/>
      <c r="BD89" s="32">
        <f>IFERROR(__xludf.DUMMYFUNCTION("""COMPUTED_VALUE"""),0.0)</f>
        <v>0</v>
      </c>
      <c r="BE89" s="32">
        <f>IFERROR(__xludf.DUMMYFUNCTION("""COMPUTED_VALUE"""),10.0)</f>
        <v>10</v>
      </c>
      <c r="BF89" s="32"/>
      <c r="BG89" s="32" t="str">
        <f>IFERROR(__xludf.DUMMYFUNCTION("""COMPUTED_VALUE"""),"All")</f>
        <v>All</v>
      </c>
      <c r="BH89" s="32"/>
      <c r="BI89" s="32"/>
      <c r="BJ89" s="32"/>
      <c r="BK89" s="32"/>
      <c r="BL89" s="32" t="b">
        <f>IFERROR(__xludf.DUMMYFUNCTION("""COMPUTED_VALUE"""),FALSE)</f>
        <v>0</v>
      </c>
      <c r="BM89" s="32"/>
      <c r="BN89" s="32"/>
      <c r="BO89" s="32"/>
      <c r="BP89" s="32"/>
      <c r="BQ89" s="32"/>
    </row>
    <row r="90">
      <c r="A90" s="32" t="str">
        <f>IFERROR(__xludf.DUMMYFUNCTION("""COMPUTED_VALUE"""),"Fire Soldier")</f>
        <v>Fire Soldier</v>
      </c>
      <c r="B90" s="32">
        <f>IFERROR(__xludf.DUMMYFUNCTION("""COMPUTED_VALUE"""),1.0)</f>
        <v>1</v>
      </c>
      <c r="C90" s="32"/>
      <c r="D90" s="33" t="str">
        <f>IFERROR(__xludf.DUMMYFUNCTION("""COMPUTED_VALUE"""),"Humanoid")</f>
        <v>Humanoid</v>
      </c>
      <c r="E90" s="33">
        <f>IFERROR(__xludf.DUMMYFUNCTION("""COMPUTED_VALUE"""),1010.0)</f>
        <v>1010</v>
      </c>
      <c r="F90" s="33">
        <f>IFERROR(__xludf.DUMMYFUNCTION("""COMPUTED_VALUE"""),1010.0)</f>
        <v>1010</v>
      </c>
      <c r="G90" s="33">
        <f>IFERROR(__xludf.DUMMYFUNCTION("""COMPUTED_VALUE"""),1010.0)</f>
        <v>1010</v>
      </c>
      <c r="H90" s="32">
        <f>IFERROR(__xludf.DUMMYFUNCTION("""COMPUTED_VALUE"""),10.0)</f>
        <v>10</v>
      </c>
      <c r="I90" s="32">
        <f>IFERROR(__xludf.DUMMYFUNCTION("""COMPUTED_VALUE"""),0.0)</f>
        <v>0</v>
      </c>
      <c r="J90" s="32">
        <f>IFERROR(__xludf.DUMMYFUNCTION("""COMPUTED_VALUE"""),0.0)</f>
        <v>0</v>
      </c>
      <c r="K90" s="32">
        <f>IFERROR(__xludf.DUMMYFUNCTION("""COMPUTED_VALUE"""),100.0)</f>
        <v>100</v>
      </c>
      <c r="L90" s="32">
        <f>IFERROR(__xludf.DUMMYFUNCTION("""COMPUTED_VALUE"""),100.0)</f>
        <v>100</v>
      </c>
      <c r="M90" s="32" t="str">
        <f>IFERROR(__xludf.DUMMYFUNCTION("""COMPUTED_VALUE"""),"Fire:Immune, Nature:Immune, ")</f>
        <v>Fire:Immune, Nature:Immune, </v>
      </c>
      <c r="N90" s="32" t="str">
        <f>IFERROR(__xludf.DUMMYFUNCTION("""COMPUTED_VALUE"""),"Water:100, ")</f>
        <v>Water:100, </v>
      </c>
      <c r="O90" s="32"/>
      <c r="P90" s="32"/>
      <c r="Q90" s="32"/>
      <c r="R90" s="32"/>
      <c r="S90" s="32"/>
      <c r="T90" s="32"/>
      <c r="U90" s="32"/>
      <c r="V90" s="32" t="str">
        <f>IFERROR(__xludf.DUMMYFUNCTION("""COMPUTED_VALUE"""),"Fire Sword")</f>
        <v>Fire Sword</v>
      </c>
      <c r="W90" s="32" t="str">
        <f>IFERROR(__xludf.DUMMYFUNCTION("""COMPUTED_VALUE"""),"Fire Shield")</f>
        <v>Fire Shield</v>
      </c>
      <c r="X90" s="32"/>
      <c r="Y90" s="32"/>
      <c r="Z90" s="32"/>
      <c r="AA90" s="32"/>
      <c r="AB90" s="32"/>
      <c r="AC90" s="32"/>
      <c r="AD90" s="32"/>
      <c r="AE90" s="32"/>
      <c r="AF90" s="32"/>
      <c r="AG90" s="32"/>
      <c r="AH90" s="32"/>
      <c r="AI90" s="32"/>
      <c r="AJ90" s="32" t="str">
        <f>IFERROR(__xludf.DUMMYFUNCTION("""COMPUTED_VALUE"""),"Forgotten Fire")</f>
        <v>Forgotten Fire</v>
      </c>
      <c r="AK90" s="32" t="str">
        <f>IFERROR(__xludf.DUMMYFUNCTION("""COMPUTED_VALUE"""),"Meteor Shower")</f>
        <v>Meteor Shower</v>
      </c>
      <c r="AL90" s="32"/>
      <c r="AM90" s="32"/>
      <c r="AN90" s="32"/>
      <c r="AO90" s="32"/>
      <c r="AP90" s="32"/>
      <c r="AQ90" s="32"/>
      <c r="AR90" s="32"/>
      <c r="AS90" s="32"/>
      <c r="AT90" s="32"/>
      <c r="AU90" s="32"/>
      <c r="AV90" s="32"/>
      <c r="AW90" s="32"/>
      <c r="AX90" s="32"/>
      <c r="AY90" s="32"/>
      <c r="AZ90" s="32"/>
      <c r="BA90" s="32"/>
      <c r="BB90" s="32"/>
      <c r="BC90" s="32"/>
      <c r="BD90" s="32">
        <f>IFERROR(__xludf.DUMMYFUNCTION("""COMPUTED_VALUE"""),0.0)</f>
        <v>0</v>
      </c>
      <c r="BE90" s="32">
        <f>IFERROR(__xludf.DUMMYFUNCTION("""COMPUTED_VALUE"""),10.0)</f>
        <v>10</v>
      </c>
      <c r="BF90" s="32"/>
      <c r="BG90" s="32" t="str">
        <f>IFERROR(__xludf.DUMMYFUNCTION("""COMPUTED_VALUE"""),"All")</f>
        <v>All</v>
      </c>
      <c r="BH90" s="32" t="str">
        <f>IFERROR(__xludf.DUMMYFUNCTION("""COMPUTED_VALUE"""),"Land Of Spira")</f>
        <v>Land Of Spira</v>
      </c>
      <c r="BI90" s="32"/>
      <c r="BJ90" s="32"/>
      <c r="BK90" s="32"/>
      <c r="BL90" s="32" t="b">
        <f>IFERROR(__xludf.DUMMYFUNCTION("""COMPUTED_VALUE"""),FALSE)</f>
        <v>0</v>
      </c>
      <c r="BM90" s="32"/>
      <c r="BN90" s="32"/>
      <c r="BO90" s="32"/>
      <c r="BP90" s="32"/>
      <c r="BQ90" s="32"/>
    </row>
    <row r="91">
      <c r="A91" s="32" t="str">
        <f>IFERROR(__xludf.DUMMYFUNCTION("""COMPUTED_VALUE"""),"Fire Warrior")</f>
        <v>Fire Warrior</v>
      </c>
      <c r="B91" s="32">
        <f>IFERROR(__xludf.DUMMYFUNCTION("""COMPUTED_VALUE"""),1.0)</f>
        <v>1</v>
      </c>
      <c r="C91" s="32"/>
      <c r="D91" s="33" t="str">
        <f>IFERROR(__xludf.DUMMYFUNCTION("""COMPUTED_VALUE"""),"Humanoid")</f>
        <v>Humanoid</v>
      </c>
      <c r="E91" s="33">
        <f>IFERROR(__xludf.DUMMYFUNCTION("""COMPUTED_VALUE"""),1010.0)</f>
        <v>1010</v>
      </c>
      <c r="F91" s="33">
        <f>IFERROR(__xludf.DUMMYFUNCTION("""COMPUTED_VALUE"""),1010.0)</f>
        <v>1010</v>
      </c>
      <c r="G91" s="33">
        <f>IFERROR(__xludf.DUMMYFUNCTION("""COMPUTED_VALUE"""),1010.0)</f>
        <v>1010</v>
      </c>
      <c r="H91" s="32">
        <f>IFERROR(__xludf.DUMMYFUNCTION("""COMPUTED_VALUE"""),10.0)</f>
        <v>10</v>
      </c>
      <c r="I91" s="32">
        <f>IFERROR(__xludf.DUMMYFUNCTION("""COMPUTED_VALUE"""),0.0)</f>
        <v>0</v>
      </c>
      <c r="J91" s="32">
        <f>IFERROR(__xludf.DUMMYFUNCTION("""COMPUTED_VALUE"""),0.0)</f>
        <v>0</v>
      </c>
      <c r="K91" s="32">
        <f>IFERROR(__xludf.DUMMYFUNCTION("""COMPUTED_VALUE"""),100.0)</f>
        <v>100</v>
      </c>
      <c r="L91" s="32">
        <f>IFERROR(__xludf.DUMMYFUNCTION("""COMPUTED_VALUE"""),100.0)</f>
        <v>100</v>
      </c>
      <c r="M91" s="32" t="str">
        <f>IFERROR(__xludf.DUMMYFUNCTION("""COMPUTED_VALUE"""),"Fire:Immune, Nature:Immune, ")</f>
        <v>Fire:Immune, Nature:Immune, </v>
      </c>
      <c r="N91" s="32" t="str">
        <f>IFERROR(__xludf.DUMMYFUNCTION("""COMPUTED_VALUE"""),"Water:100, ")</f>
        <v>Water:100, </v>
      </c>
      <c r="O91" s="32"/>
      <c r="P91" s="32"/>
      <c r="Q91" s="32"/>
      <c r="R91" s="32"/>
      <c r="S91" s="32"/>
      <c r="T91" s="32"/>
      <c r="U91" s="32"/>
      <c r="V91" s="32" t="str">
        <f>IFERROR(__xludf.DUMMYFUNCTION("""COMPUTED_VALUE"""),"Fire Sword")</f>
        <v>Fire Sword</v>
      </c>
      <c r="W91" s="32"/>
      <c r="X91" s="32"/>
      <c r="Y91" s="32"/>
      <c r="Z91" s="32"/>
      <c r="AA91" s="32"/>
      <c r="AB91" s="32"/>
      <c r="AC91" s="32"/>
      <c r="AD91" s="32"/>
      <c r="AE91" s="32"/>
      <c r="AF91" s="32"/>
      <c r="AG91" s="32"/>
      <c r="AH91" s="32"/>
      <c r="AI91" s="32"/>
      <c r="AJ91" s="32" t="str">
        <f>IFERROR(__xludf.DUMMYFUNCTION("""COMPUTED_VALUE"""),"Fire Bolt")</f>
        <v>Fire Bolt</v>
      </c>
      <c r="AK91" s="32" t="str">
        <f>IFERROR(__xludf.DUMMYFUNCTION("""COMPUTED_VALUE"""),"Meteor Shower")</f>
        <v>Meteor Shower</v>
      </c>
      <c r="AL91" s="32" t="str">
        <f>IFERROR(__xludf.DUMMYFUNCTION("""COMPUTED_VALUE"""),"Meteor Shower")</f>
        <v>Meteor Shower</v>
      </c>
      <c r="AM91" s="32"/>
      <c r="AN91" s="32"/>
      <c r="AO91" s="32"/>
      <c r="AP91" s="32"/>
      <c r="AQ91" s="32"/>
      <c r="AR91" s="32"/>
      <c r="AS91" s="32"/>
      <c r="AT91" s="32"/>
      <c r="AU91" s="32"/>
      <c r="AV91" s="32"/>
      <c r="AW91" s="32"/>
      <c r="AX91" s="32"/>
      <c r="AY91" s="32"/>
      <c r="AZ91" s="32"/>
      <c r="BA91" s="32"/>
      <c r="BB91" s="32"/>
      <c r="BC91" s="32"/>
      <c r="BD91" s="32">
        <f>IFERROR(__xludf.DUMMYFUNCTION("""COMPUTED_VALUE"""),0.0)</f>
        <v>0</v>
      </c>
      <c r="BE91" s="32">
        <f>IFERROR(__xludf.DUMMYFUNCTION("""COMPUTED_VALUE"""),10.0)</f>
        <v>10</v>
      </c>
      <c r="BF91" s="32"/>
      <c r="BG91" s="32" t="str">
        <f>IFERROR(__xludf.DUMMYFUNCTION("""COMPUTED_VALUE"""),"All")</f>
        <v>All</v>
      </c>
      <c r="BH91" s="32" t="str">
        <f>IFERROR(__xludf.DUMMYFUNCTION("""COMPUTED_VALUE"""),"Land Of Spira")</f>
        <v>Land Of Spira</v>
      </c>
      <c r="BI91" s="32"/>
      <c r="BJ91" s="32"/>
      <c r="BK91" s="32"/>
      <c r="BL91" s="32" t="b">
        <f>IFERROR(__xludf.DUMMYFUNCTION("""COMPUTED_VALUE"""),FALSE)</f>
        <v>0</v>
      </c>
      <c r="BM91" s="32"/>
      <c r="BN91" s="32"/>
      <c r="BO91" s="32"/>
      <c r="BP91" s="32"/>
      <c r="BQ91" s="32"/>
    </row>
    <row r="92">
      <c r="A92" s="32" t="str">
        <f>IFERROR(__xludf.DUMMYFUNCTION("""COMPUTED_VALUE"""),"Fireflies")</f>
        <v>Fireflies</v>
      </c>
      <c r="B92" s="32">
        <f>IFERROR(__xludf.DUMMYFUNCTION("""COMPUTED_VALUE"""),1.0)</f>
        <v>1</v>
      </c>
      <c r="C92" s="32" t="str">
        <f>IFERROR(__xludf.DUMMYFUNCTION("""COMPUTED_VALUE"""),"A carnivorous species of fly that harnesses the element of fire ")</f>
        <v>A carnivorous species of fly that harnesses the element of fire </v>
      </c>
      <c r="D92" s="32" t="str">
        <f>IFERROR(__xludf.DUMMYFUNCTION("""COMPUTED_VALUE"""),"Beast")</f>
        <v>Beast</v>
      </c>
      <c r="E92" s="32">
        <f>IFERROR(__xludf.DUMMYFUNCTION("""COMPUTED_VALUE"""),1010.0)</f>
        <v>1010</v>
      </c>
      <c r="F92" s="33">
        <f>IFERROR(__xludf.DUMMYFUNCTION("""COMPUTED_VALUE"""),1010.0)</f>
        <v>1010</v>
      </c>
      <c r="G92" s="32">
        <f>IFERROR(__xludf.DUMMYFUNCTION("""COMPUTED_VALUE"""),1010.0)</f>
        <v>1010</v>
      </c>
      <c r="H92" s="32">
        <f>IFERROR(__xludf.DUMMYFUNCTION("""COMPUTED_VALUE"""),10.0)</f>
        <v>10</v>
      </c>
      <c r="I92" s="32">
        <f>IFERROR(__xludf.DUMMYFUNCTION("""COMPUTED_VALUE"""),0.0)</f>
        <v>0</v>
      </c>
      <c r="J92" s="32">
        <f>IFERROR(__xludf.DUMMYFUNCTION("""COMPUTED_VALUE"""),0.0)</f>
        <v>0</v>
      </c>
      <c r="K92" s="32">
        <f>IFERROR(__xludf.DUMMYFUNCTION("""COMPUTED_VALUE"""),100.0)</f>
        <v>100</v>
      </c>
      <c r="L92" s="32">
        <f>IFERROR(__xludf.DUMMYFUNCTION("""COMPUTED_VALUE"""),100.0)</f>
        <v>100</v>
      </c>
      <c r="M92" s="32" t="str">
        <f>IFERROR(__xludf.DUMMYFUNCTION("""COMPUTED_VALUE"""),"")</f>
        <v/>
      </c>
      <c r="N92" s="32" t="str">
        <f>IFERROR(__xludf.DUMMYFUNCTION("""COMPUTED_VALUE"""),"")</f>
        <v/>
      </c>
      <c r="O92" s="32"/>
      <c r="P92" s="32"/>
      <c r="Q92" s="32"/>
      <c r="R92" s="32"/>
      <c r="S92" s="32"/>
      <c r="T92" s="32"/>
      <c r="U92" s="32"/>
      <c r="V92" s="32"/>
      <c r="W92" s="32"/>
      <c r="X92" s="32"/>
      <c r="Y92" s="32"/>
      <c r="Z92" s="32"/>
      <c r="AA92" s="32"/>
      <c r="AB92" s="32"/>
      <c r="AC92" s="32"/>
      <c r="AD92" s="32"/>
      <c r="AE92" s="32"/>
      <c r="AF92" s="32"/>
      <c r="AG92" s="32"/>
      <c r="AH92" s="32"/>
      <c r="AI92" s="32"/>
      <c r="AJ92" s="32" t="str">
        <f>IFERROR(__xludf.DUMMYFUNCTION("""COMPUTED_VALUE"""),"Flame Thrower")</f>
        <v>Flame Thrower</v>
      </c>
      <c r="AK92" s="32" t="str">
        <f>IFERROR(__xludf.DUMMYFUNCTION("""COMPUTED_VALUE"""),"Dive Bomb")</f>
        <v>Dive Bomb</v>
      </c>
      <c r="AL92" s="32"/>
      <c r="AM92" s="32"/>
      <c r="AN92" s="32"/>
      <c r="AO92" s="32"/>
      <c r="AP92" s="32"/>
      <c r="AQ92" s="32"/>
      <c r="AR92" s="32"/>
      <c r="AS92" s="32"/>
      <c r="AT92" s="32"/>
      <c r="AU92" s="32"/>
      <c r="AV92" s="32"/>
      <c r="AW92" s="32"/>
      <c r="AX92" s="32"/>
      <c r="AY92" s="32"/>
      <c r="AZ92" s="32"/>
      <c r="BA92" s="32"/>
      <c r="BB92" s="32"/>
      <c r="BC92" s="32"/>
      <c r="BD92" s="32">
        <f>IFERROR(__xludf.DUMMYFUNCTION("""COMPUTED_VALUE"""),0.0)</f>
        <v>0</v>
      </c>
      <c r="BE92" s="32">
        <f>IFERROR(__xludf.DUMMYFUNCTION("""COMPUTED_VALUE"""),10.0)</f>
        <v>10</v>
      </c>
      <c r="BF92" s="32" t="str">
        <f>IFERROR(__xludf.DUMMYFUNCTION("""COMPUTED_VALUE"""),"When used as a companion negates the need for darkvision in the dark.")</f>
        <v>When used as a companion negates the need for darkvision in the dark.</v>
      </c>
      <c r="BG92" s="32" t="str">
        <f>IFERROR(__xludf.DUMMYFUNCTION("""COMPUTED_VALUE"""),"All")</f>
        <v>All</v>
      </c>
      <c r="BH92" s="32" t="str">
        <f>IFERROR(__xludf.DUMMYFUNCTION("""COMPUTED_VALUE"""),"Land of Spira")</f>
        <v>Land of Spira</v>
      </c>
      <c r="BI92" s="32"/>
      <c r="BJ92" s="32"/>
      <c r="BK92" s="32"/>
      <c r="BL92" s="32" t="b">
        <f>IFERROR(__xludf.DUMMYFUNCTION("""COMPUTED_VALUE"""),FALSE)</f>
        <v>0</v>
      </c>
      <c r="BM92" s="32"/>
      <c r="BN92" s="32"/>
      <c r="BO92" s="32"/>
      <c r="BP92" s="32"/>
      <c r="BQ92" s="32"/>
    </row>
    <row r="93">
      <c r="A93" s="32" t="str">
        <f>IFERROR(__xludf.DUMMYFUNCTION("""COMPUTED_VALUE"""),"Flamethrower Corpse")</f>
        <v>Flamethrower Corpse</v>
      </c>
      <c r="B93" s="32">
        <f>IFERROR(__xludf.DUMMYFUNCTION("""COMPUTED_VALUE"""),1.0)</f>
        <v>1</v>
      </c>
      <c r="C93" s="32"/>
      <c r="D93" s="32" t="str">
        <f>IFERROR(__xludf.DUMMYFUNCTION("""COMPUTED_VALUE"""),"Undead")</f>
        <v>Undead</v>
      </c>
      <c r="E93" s="32">
        <f>IFERROR(__xludf.DUMMYFUNCTION("""COMPUTED_VALUE"""),1010.0)</f>
        <v>1010</v>
      </c>
      <c r="F93" s="33">
        <f>IFERROR(__xludf.DUMMYFUNCTION("""COMPUTED_VALUE"""),1010.0)</f>
        <v>1010</v>
      </c>
      <c r="G93" s="32">
        <f>IFERROR(__xludf.DUMMYFUNCTION("""COMPUTED_VALUE"""),1010.0)</f>
        <v>1010</v>
      </c>
      <c r="H93" s="32">
        <f>IFERROR(__xludf.DUMMYFUNCTION("""COMPUTED_VALUE"""),10.0)</f>
        <v>10</v>
      </c>
      <c r="I93" s="32">
        <f>IFERROR(__xludf.DUMMYFUNCTION("""COMPUTED_VALUE"""),0.0)</f>
        <v>0</v>
      </c>
      <c r="J93" s="32">
        <f>IFERROR(__xludf.DUMMYFUNCTION("""COMPUTED_VALUE"""),0.0)</f>
        <v>0</v>
      </c>
      <c r="K93" s="32">
        <f>IFERROR(__xludf.DUMMYFUNCTION("""COMPUTED_VALUE"""),100.0)</f>
        <v>100</v>
      </c>
      <c r="L93" s="32">
        <f>IFERROR(__xludf.DUMMYFUNCTION("""COMPUTED_VALUE"""),100.0)</f>
        <v>100</v>
      </c>
      <c r="M93" s="32" t="str">
        <f>IFERROR(__xludf.DUMMYFUNCTION("""COMPUTED_VALUE"""),"Nature:Immune, ")</f>
        <v>Nature:Immune, </v>
      </c>
      <c r="N93" s="32" t="str">
        <f>IFERROR(__xludf.DUMMYFUNCTION("""COMPUTED_VALUE"""),"Water:100, ")</f>
        <v>Water:100, </v>
      </c>
      <c r="O93" s="32" t="str">
        <f>IFERROR(__xludf.DUMMYFUNCTION("""COMPUTED_VALUE"""),"Flame Mask")</f>
        <v>Flame Mask</v>
      </c>
      <c r="P93" s="32"/>
      <c r="Q93" s="32"/>
      <c r="R93" s="32"/>
      <c r="S93" s="32"/>
      <c r="T93" s="32" t="str">
        <f>IFERROR(__xludf.DUMMYFUNCTION("""COMPUTED_VALUE"""),"Fireproof Suit")</f>
        <v>Fireproof Suit</v>
      </c>
      <c r="U93" s="32"/>
      <c r="V93" s="32"/>
      <c r="W93" s="32" t="str">
        <f>IFERROR(__xludf.DUMMYFUNCTION("""COMPUTED_VALUE"""),"Flamethrower")</f>
        <v>Flamethrower</v>
      </c>
      <c r="X93" s="32"/>
      <c r="Y93" s="32"/>
      <c r="Z93" s="32"/>
      <c r="AA93" s="32"/>
      <c r="AB93" s="32"/>
      <c r="AC93" s="32"/>
      <c r="AD93" s="32"/>
      <c r="AE93" s="32"/>
      <c r="AF93" s="32"/>
      <c r="AG93" s="32"/>
      <c r="AH93" s="32"/>
      <c r="AI93" s="32" t="str">
        <f>IFERROR(__xludf.DUMMYFUNCTION("""COMPUTED_VALUE"""),"Fire Resistant Boots")</f>
        <v>Fire Resistant Boots</v>
      </c>
      <c r="AJ93" s="32"/>
      <c r="AK93" s="32" t="str">
        <f>IFERROR(__xludf.DUMMYFUNCTION("""COMPUTED_VALUE"""),"Flame Thrower")</f>
        <v>Flame Thrower</v>
      </c>
      <c r="AL93" s="32" t="str">
        <f>IFERROR(__xludf.DUMMYFUNCTION("""COMPUTED_VALUE"""),"Undead Bite")</f>
        <v>Undead Bite</v>
      </c>
      <c r="AM93" s="32"/>
      <c r="AN93" s="32"/>
      <c r="AO93" s="32"/>
      <c r="AP93" s="32"/>
      <c r="AQ93" s="32"/>
      <c r="AR93" s="32"/>
      <c r="AS93" s="32"/>
      <c r="AT93" s="32"/>
      <c r="AU93" s="32"/>
      <c r="AV93" s="32"/>
      <c r="AW93" s="32"/>
      <c r="AX93" s="32"/>
      <c r="AY93" s="32"/>
      <c r="AZ93" s="32"/>
      <c r="BA93" s="32"/>
      <c r="BB93" s="32"/>
      <c r="BC93" s="32"/>
      <c r="BD93" s="32">
        <f>IFERROR(__xludf.DUMMYFUNCTION("""COMPUTED_VALUE"""),0.0)</f>
        <v>0</v>
      </c>
      <c r="BE93" s="32">
        <f>IFERROR(__xludf.DUMMYFUNCTION("""COMPUTED_VALUE"""),10.0)</f>
        <v>10</v>
      </c>
      <c r="BF93" s="32"/>
      <c r="BG93" s="32" t="str">
        <f>IFERROR(__xludf.DUMMYFUNCTION("""COMPUTED_VALUE"""),"All")</f>
        <v>All</v>
      </c>
      <c r="BH93" s="32" t="str">
        <f>IFERROR(__xludf.DUMMYFUNCTION("""COMPUTED_VALUE"""),"Land of Spira")</f>
        <v>Land of Spira</v>
      </c>
      <c r="BI93" s="32"/>
      <c r="BJ93" s="32"/>
      <c r="BK93" s="32"/>
      <c r="BL93" s="32" t="b">
        <f>IFERROR(__xludf.DUMMYFUNCTION("""COMPUTED_VALUE"""),FALSE)</f>
        <v>0</v>
      </c>
      <c r="BM93" s="32"/>
      <c r="BN93" s="32"/>
      <c r="BO93" s="32"/>
      <c r="BP93" s="32"/>
      <c r="BQ93" s="32"/>
    </row>
    <row r="94">
      <c r="A94" s="32" t="str">
        <f>IFERROR(__xludf.DUMMYFUNCTION("""COMPUTED_VALUE"""),"Flaming Behemoth")</f>
        <v>Flaming Behemoth</v>
      </c>
      <c r="B94" s="32">
        <f>IFERROR(__xludf.DUMMYFUNCTION("""COMPUTED_VALUE"""),1.0)</f>
        <v>1</v>
      </c>
      <c r="C94" s="32"/>
      <c r="D94" s="33" t="str">
        <f>IFERROR(__xludf.DUMMYFUNCTION("""COMPUTED_VALUE"""),"Beast")</f>
        <v>Beast</v>
      </c>
      <c r="E94" s="33">
        <f>IFERROR(__xludf.DUMMYFUNCTION("""COMPUTED_VALUE"""),1010.0)</f>
        <v>1010</v>
      </c>
      <c r="F94" s="33">
        <f>IFERROR(__xludf.DUMMYFUNCTION("""COMPUTED_VALUE"""),1010.0)</f>
        <v>1010</v>
      </c>
      <c r="G94" s="33">
        <f>IFERROR(__xludf.DUMMYFUNCTION("""COMPUTED_VALUE"""),1010.0)</f>
        <v>1010</v>
      </c>
      <c r="H94" s="32">
        <f>IFERROR(__xludf.DUMMYFUNCTION("""COMPUTED_VALUE"""),10.0)</f>
        <v>10</v>
      </c>
      <c r="I94" s="32">
        <f>IFERROR(__xludf.DUMMYFUNCTION("""COMPUTED_VALUE"""),0.0)</f>
        <v>0</v>
      </c>
      <c r="J94" s="32">
        <f>IFERROR(__xludf.DUMMYFUNCTION("""COMPUTED_VALUE"""),0.0)</f>
        <v>0</v>
      </c>
      <c r="K94" s="32">
        <f>IFERROR(__xludf.DUMMYFUNCTION("""COMPUTED_VALUE"""),100.0)</f>
        <v>100</v>
      </c>
      <c r="L94" s="32">
        <f>IFERROR(__xludf.DUMMYFUNCTION("""COMPUTED_VALUE"""),100.0)</f>
        <v>100</v>
      </c>
      <c r="M94" s="32" t="str">
        <f>IFERROR(__xludf.DUMMYFUNCTION("""COMPUTED_VALUE"""),"Fire:Immune, Nature:Immune, ")</f>
        <v>Fire:Immune, Nature:Immune, </v>
      </c>
      <c r="N94" s="32" t="str">
        <f>IFERROR(__xludf.DUMMYFUNCTION("""COMPUTED_VALUE"""),"Water:100, ")</f>
        <v>Water:100, </v>
      </c>
      <c r="O94" s="32"/>
      <c r="P94" s="32"/>
      <c r="Q94" s="32"/>
      <c r="R94" s="32"/>
      <c r="S94" s="32"/>
      <c r="T94" s="32"/>
      <c r="U94" s="32"/>
      <c r="V94" s="32"/>
      <c r="W94" s="32"/>
      <c r="X94" s="32"/>
      <c r="Y94" s="32"/>
      <c r="Z94" s="32"/>
      <c r="AA94" s="32"/>
      <c r="AB94" s="32"/>
      <c r="AC94" s="32"/>
      <c r="AD94" s="32"/>
      <c r="AE94" s="32"/>
      <c r="AF94" s="32"/>
      <c r="AG94" s="32"/>
      <c r="AH94" s="32"/>
      <c r="AI94" s="32"/>
      <c r="AJ94" s="32" t="str">
        <f>IFERROR(__xludf.DUMMYFUNCTION("""COMPUTED_VALUE"""),"Volcanic Claws")</f>
        <v>Volcanic Claws</v>
      </c>
      <c r="AK94" s="32" t="str">
        <f>IFERROR(__xludf.DUMMYFUNCTION("""COMPUTED_VALUE"""),"Volcanic Rain")</f>
        <v>Volcanic Rain</v>
      </c>
      <c r="AL94" s="32" t="str">
        <f>IFERROR(__xludf.DUMMYFUNCTION("""COMPUTED_VALUE"""),"Mass Ignition")</f>
        <v>Mass Ignition</v>
      </c>
      <c r="AM94" s="32" t="str">
        <f>IFERROR(__xludf.DUMMYFUNCTION("""COMPUTED_VALUE"""),"Darkest Abyss")</f>
        <v>Darkest Abyss</v>
      </c>
      <c r="AN94" s="32" t="str">
        <f>IFERROR(__xludf.DUMMYFUNCTION("""COMPUTED_VALUE"""),"Dark Curse")</f>
        <v>Dark Curse</v>
      </c>
      <c r="AO94" s="32" t="str">
        <f>IFERROR(__xludf.DUMMYFUNCTION("""COMPUTED_VALUE"""),"Berserk")</f>
        <v>Berserk</v>
      </c>
      <c r="AP94" s="32" t="str">
        <f>IFERROR(__xludf.DUMMYFUNCTION("""COMPUTED_VALUE"""),"Celestial Wrath")</f>
        <v>Celestial Wrath</v>
      </c>
      <c r="AQ94" s="32"/>
      <c r="AR94" s="32"/>
      <c r="AS94" s="32"/>
      <c r="AT94" s="32"/>
      <c r="AU94" s="32"/>
      <c r="AV94" s="32"/>
      <c r="AW94" s="32"/>
      <c r="AX94" s="32"/>
      <c r="AY94" s="32"/>
      <c r="AZ94" s="32"/>
      <c r="BA94" s="32"/>
      <c r="BB94" s="32"/>
      <c r="BC94" s="32"/>
      <c r="BD94" s="32">
        <f>IFERROR(__xludf.DUMMYFUNCTION("""COMPUTED_VALUE"""),0.0)</f>
        <v>0</v>
      </c>
      <c r="BE94" s="32">
        <f>IFERROR(__xludf.DUMMYFUNCTION("""COMPUTED_VALUE"""),10.0)</f>
        <v>10</v>
      </c>
      <c r="BF94" s="32" t="str">
        <f>IFERROR(__xludf.DUMMYFUNCTION("""COMPUTED_VALUE"""),"A Dark Calling: +5 can be added to this mobs rolls.")</f>
        <v>A Dark Calling: +5 can be added to this mobs rolls.</v>
      </c>
      <c r="BG94" s="32" t="str">
        <f>IFERROR(__xludf.DUMMYFUNCTION("""COMPUTED_VALUE"""),"All")</f>
        <v>All</v>
      </c>
      <c r="BH94" s="32" t="str">
        <f>IFERROR(__xludf.DUMMYFUNCTION("""COMPUTED_VALUE"""),"Abstara")</f>
        <v>Abstara</v>
      </c>
      <c r="BI94" s="32"/>
      <c r="BJ94" s="32"/>
      <c r="BK94" s="32"/>
      <c r="BL94" s="32" t="b">
        <f>IFERROR(__xludf.DUMMYFUNCTION("""COMPUTED_VALUE"""),FALSE)</f>
        <v>0</v>
      </c>
      <c r="BM94" s="32"/>
      <c r="BN94" s="32"/>
      <c r="BO94" s="32"/>
      <c r="BP94" s="32"/>
      <c r="BQ94" s="32"/>
    </row>
    <row r="95">
      <c r="A95" s="32" t="str">
        <f>IFERROR(__xludf.DUMMYFUNCTION("""COMPUTED_VALUE"""),"Flaming Buffalo")</f>
        <v>Flaming Buffalo</v>
      </c>
      <c r="B95" s="32">
        <f>IFERROR(__xludf.DUMMYFUNCTION("""COMPUTED_VALUE"""),1.0)</f>
        <v>1</v>
      </c>
      <c r="C95" s="32"/>
      <c r="D95" s="33" t="str">
        <f>IFERROR(__xludf.DUMMYFUNCTION("""COMPUTED_VALUE"""),"Beast")</f>
        <v>Beast</v>
      </c>
      <c r="E95" s="33">
        <f>IFERROR(__xludf.DUMMYFUNCTION("""COMPUTED_VALUE"""),1010.0)</f>
        <v>1010</v>
      </c>
      <c r="F95" s="33">
        <f>IFERROR(__xludf.DUMMYFUNCTION("""COMPUTED_VALUE"""),1010.0)</f>
        <v>1010</v>
      </c>
      <c r="G95" s="33">
        <f>IFERROR(__xludf.DUMMYFUNCTION("""COMPUTED_VALUE"""),1010.0)</f>
        <v>1010</v>
      </c>
      <c r="H95" s="32">
        <f>IFERROR(__xludf.DUMMYFUNCTION("""COMPUTED_VALUE"""),10.0)</f>
        <v>10</v>
      </c>
      <c r="I95" s="32">
        <f>IFERROR(__xludf.DUMMYFUNCTION("""COMPUTED_VALUE"""),0.0)</f>
        <v>0</v>
      </c>
      <c r="J95" s="32">
        <f>IFERROR(__xludf.DUMMYFUNCTION("""COMPUTED_VALUE"""),0.0)</f>
        <v>0</v>
      </c>
      <c r="K95" s="32">
        <f>IFERROR(__xludf.DUMMYFUNCTION("""COMPUTED_VALUE"""),100.0)</f>
        <v>100</v>
      </c>
      <c r="L95" s="32">
        <f>IFERROR(__xludf.DUMMYFUNCTION("""COMPUTED_VALUE"""),100.0)</f>
        <v>100</v>
      </c>
      <c r="M95" s="32" t="str">
        <f>IFERROR(__xludf.DUMMYFUNCTION("""COMPUTED_VALUE"""),"Fire:Immune, Nature:Immune, ")</f>
        <v>Fire:Immune, Nature:Immune, </v>
      </c>
      <c r="N95" s="32" t="str">
        <f>IFERROR(__xludf.DUMMYFUNCTION("""COMPUTED_VALUE"""),"Water:100, ")</f>
        <v>Water:100, </v>
      </c>
      <c r="O95" s="32"/>
      <c r="P95" s="32"/>
      <c r="Q95" s="32"/>
      <c r="R95" s="32"/>
      <c r="S95" s="32"/>
      <c r="T95" s="32"/>
      <c r="U95" s="32"/>
      <c r="V95" s="32"/>
      <c r="W95" s="32"/>
      <c r="X95" s="32"/>
      <c r="Y95" s="32"/>
      <c r="Z95" s="32"/>
      <c r="AA95" s="32"/>
      <c r="AB95" s="32"/>
      <c r="AC95" s="32"/>
      <c r="AD95" s="32"/>
      <c r="AE95" s="32"/>
      <c r="AF95" s="32"/>
      <c r="AG95" s="32"/>
      <c r="AH95" s="32"/>
      <c r="AI95" s="32"/>
      <c r="AJ95" s="32" t="str">
        <f>IFERROR(__xludf.DUMMYFUNCTION("""COMPUTED_VALUE"""),"Flaming Horns")</f>
        <v>Flaming Horns</v>
      </c>
      <c r="AK95" s="32" t="str">
        <f>IFERROR(__xludf.DUMMYFUNCTION("""COMPUTED_VALUE"""),"Horns")</f>
        <v>Horns</v>
      </c>
      <c r="AL95" s="32" t="str">
        <f>IFERROR(__xludf.DUMMYFUNCTION("""COMPUTED_VALUE"""),"Flame Thrower")</f>
        <v>Flame Thrower</v>
      </c>
      <c r="AM95" s="32" t="str">
        <f>IFERROR(__xludf.DUMMYFUNCTION("""COMPUTED_VALUE"""),"Berserk")</f>
        <v>Berserk</v>
      </c>
      <c r="AN95" s="32" t="str">
        <f>IFERROR(__xludf.DUMMYFUNCTION("""COMPUTED_VALUE"""),"Guard")</f>
        <v>Guard</v>
      </c>
      <c r="AO95" s="32" t="str">
        <f>IFERROR(__xludf.DUMMYFUNCTION("""COMPUTED_VALUE"""),"Tackle")</f>
        <v>Tackle</v>
      </c>
      <c r="AP95" s="32" t="str">
        <f>IFERROR(__xludf.DUMMYFUNCTION("""COMPUTED_VALUE"""),"Bite")</f>
        <v>Bite</v>
      </c>
      <c r="AQ95" s="32"/>
      <c r="AR95" s="32"/>
      <c r="AS95" s="32"/>
      <c r="AT95" s="32"/>
      <c r="AU95" s="32"/>
      <c r="AV95" s="32"/>
      <c r="AW95" s="32"/>
      <c r="AX95" s="32"/>
      <c r="AY95" s="32"/>
      <c r="AZ95" s="32"/>
      <c r="BA95" s="32"/>
      <c r="BB95" s="32"/>
      <c r="BC95" s="32"/>
      <c r="BD95" s="32">
        <f>IFERROR(__xludf.DUMMYFUNCTION("""COMPUTED_VALUE"""),0.0)</f>
        <v>0</v>
      </c>
      <c r="BE95" s="32">
        <f>IFERROR(__xludf.DUMMYFUNCTION("""COMPUTED_VALUE"""),10.0)</f>
        <v>10</v>
      </c>
      <c r="BF95" s="32"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32" t="str">
        <f>IFERROR(__xludf.DUMMYFUNCTION("""COMPUTED_VALUE"""),"All")</f>
        <v>All</v>
      </c>
      <c r="BH95" s="32" t="str">
        <f>IFERROR(__xludf.DUMMYFUNCTION("""COMPUTED_VALUE"""),"Abstara")</f>
        <v>Abstara</v>
      </c>
      <c r="BI95" s="32"/>
      <c r="BJ95" s="32"/>
      <c r="BK95" s="32"/>
      <c r="BL95" s="32" t="b">
        <f>IFERROR(__xludf.DUMMYFUNCTION("""COMPUTED_VALUE"""),FALSE)</f>
        <v>0</v>
      </c>
      <c r="BM95" s="32"/>
      <c r="BN95" s="32"/>
      <c r="BO95" s="32"/>
      <c r="BP95" s="32"/>
      <c r="BQ95" s="32"/>
    </row>
    <row r="96">
      <c r="A96" s="32" t="str">
        <f>IFERROR(__xludf.DUMMYFUNCTION("""COMPUTED_VALUE"""),"Flaming Cactus")</f>
        <v>Flaming Cactus</v>
      </c>
      <c r="B96" s="32">
        <f>IFERROR(__xludf.DUMMYFUNCTION("""COMPUTED_VALUE"""),1.0)</f>
        <v>1</v>
      </c>
      <c r="C96" s="32"/>
      <c r="D96" s="33" t="str">
        <f>IFERROR(__xludf.DUMMYFUNCTION("""COMPUTED_VALUE"""),"Monstrosity")</f>
        <v>Monstrosity</v>
      </c>
      <c r="E96" s="33">
        <f>IFERROR(__xludf.DUMMYFUNCTION("""COMPUTED_VALUE"""),1010.0)</f>
        <v>1010</v>
      </c>
      <c r="F96" s="33">
        <f>IFERROR(__xludf.DUMMYFUNCTION("""COMPUTED_VALUE"""),1010.0)</f>
        <v>1010</v>
      </c>
      <c r="G96" s="33">
        <f>IFERROR(__xludf.DUMMYFUNCTION("""COMPUTED_VALUE"""),1010.0)</f>
        <v>1010</v>
      </c>
      <c r="H96" s="32">
        <f>IFERROR(__xludf.DUMMYFUNCTION("""COMPUTED_VALUE"""),10.0)</f>
        <v>10</v>
      </c>
      <c r="I96" s="32">
        <f>IFERROR(__xludf.DUMMYFUNCTION("""COMPUTED_VALUE"""),0.0)</f>
        <v>0</v>
      </c>
      <c r="J96" s="32">
        <f>IFERROR(__xludf.DUMMYFUNCTION("""COMPUTED_VALUE"""),0.0)</f>
        <v>0</v>
      </c>
      <c r="K96" s="32">
        <f>IFERROR(__xludf.DUMMYFUNCTION("""COMPUTED_VALUE"""),100.0)</f>
        <v>100</v>
      </c>
      <c r="L96" s="32">
        <f>IFERROR(__xludf.DUMMYFUNCTION("""COMPUTED_VALUE"""),100.0)</f>
        <v>100</v>
      </c>
      <c r="M96" s="32" t="str">
        <f>IFERROR(__xludf.DUMMYFUNCTION("""COMPUTED_VALUE"""),"Fire:Immune, Nature:Immune, ")</f>
        <v>Fire:Immune, Nature:Immune, </v>
      </c>
      <c r="N96" s="32" t="str">
        <f>IFERROR(__xludf.DUMMYFUNCTION("""COMPUTED_VALUE"""),"Water:100, ")</f>
        <v>Water:100, </v>
      </c>
      <c r="O96" s="32"/>
      <c r="P96" s="32"/>
      <c r="Q96" s="32"/>
      <c r="R96" s="32"/>
      <c r="S96" s="32"/>
      <c r="T96" s="32"/>
      <c r="U96" s="32"/>
      <c r="V96" s="32"/>
      <c r="W96" s="32"/>
      <c r="X96" s="32"/>
      <c r="Y96" s="32"/>
      <c r="Z96" s="32"/>
      <c r="AA96" s="32"/>
      <c r="AB96" s="32"/>
      <c r="AC96" s="32"/>
      <c r="AD96" s="32"/>
      <c r="AE96" s="32"/>
      <c r="AF96" s="32"/>
      <c r="AG96" s="32"/>
      <c r="AH96" s="32"/>
      <c r="AI96" s="32"/>
      <c r="AJ96" s="32" t="str">
        <f>IFERROR(__xludf.DUMMYFUNCTION("""COMPUTED_VALUE"""),"Sunny Day")</f>
        <v>Sunny Day</v>
      </c>
      <c r="AK96" s="32" t="str">
        <f>IFERROR(__xludf.DUMMYFUNCTION("""COMPUTED_VALUE"""),"Inferno Sun")</f>
        <v>Inferno Sun</v>
      </c>
      <c r="AL96" s="32"/>
      <c r="AM96" s="32"/>
      <c r="AN96" s="32"/>
      <c r="AO96" s="32"/>
      <c r="AP96" s="32"/>
      <c r="AQ96" s="32"/>
      <c r="AR96" s="32"/>
      <c r="AS96" s="32"/>
      <c r="AT96" s="32"/>
      <c r="AU96" s="32"/>
      <c r="AV96" s="32"/>
      <c r="AW96" s="32"/>
      <c r="AX96" s="32"/>
      <c r="AY96" s="32"/>
      <c r="AZ96" s="32"/>
      <c r="BA96" s="32"/>
      <c r="BB96" s="32"/>
      <c r="BC96" s="32"/>
      <c r="BD96" s="32">
        <f>IFERROR(__xludf.DUMMYFUNCTION("""COMPUTED_VALUE"""),0.0)</f>
        <v>0</v>
      </c>
      <c r="BE96" s="32">
        <f>IFERROR(__xludf.DUMMYFUNCTION("""COMPUTED_VALUE"""),10.0)</f>
        <v>10</v>
      </c>
      <c r="BF96" s="32"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32" t="str">
        <f>IFERROR(__xludf.DUMMYFUNCTION("""COMPUTED_VALUE"""),"All")</f>
        <v>All</v>
      </c>
      <c r="BH96" s="32" t="str">
        <f>IFERROR(__xludf.DUMMYFUNCTION("""COMPUTED_VALUE"""),"Abstara")</f>
        <v>Abstara</v>
      </c>
      <c r="BI96" s="32"/>
      <c r="BJ96" s="32"/>
      <c r="BK96" s="32"/>
      <c r="BL96" s="32" t="b">
        <f>IFERROR(__xludf.DUMMYFUNCTION("""COMPUTED_VALUE"""),FALSE)</f>
        <v>0</v>
      </c>
      <c r="BM96" s="32"/>
      <c r="BN96" s="32"/>
      <c r="BO96" s="32"/>
      <c r="BP96" s="32"/>
      <c r="BQ96" s="32"/>
    </row>
    <row r="97">
      <c r="A97" s="32" t="str">
        <f>IFERROR(__xludf.DUMMYFUNCTION("""COMPUTED_VALUE"""),"Flaming Dragon Knight")</f>
        <v>Flaming Dragon Knight</v>
      </c>
      <c r="B97" s="32">
        <f>IFERROR(__xludf.DUMMYFUNCTION("""COMPUTED_VALUE"""),1.0)</f>
        <v>1</v>
      </c>
      <c r="C97" s="32"/>
      <c r="D97" s="33" t="str">
        <f>IFERROR(__xludf.DUMMYFUNCTION("""COMPUTED_VALUE"""),"Humanoid")</f>
        <v>Humanoid</v>
      </c>
      <c r="E97" s="33">
        <f>IFERROR(__xludf.DUMMYFUNCTION("""COMPUTED_VALUE"""),1010.0)</f>
        <v>1010</v>
      </c>
      <c r="F97" s="33">
        <f>IFERROR(__xludf.DUMMYFUNCTION("""COMPUTED_VALUE"""),1010.0)</f>
        <v>1010</v>
      </c>
      <c r="G97" s="33">
        <f>IFERROR(__xludf.DUMMYFUNCTION("""COMPUTED_VALUE"""),1010.0)</f>
        <v>1010</v>
      </c>
      <c r="H97" s="32">
        <f>IFERROR(__xludf.DUMMYFUNCTION("""COMPUTED_VALUE"""),10.0)</f>
        <v>10</v>
      </c>
      <c r="I97" s="32">
        <f>IFERROR(__xludf.DUMMYFUNCTION("""COMPUTED_VALUE"""),0.0)</f>
        <v>0</v>
      </c>
      <c r="J97" s="32">
        <f>IFERROR(__xludf.DUMMYFUNCTION("""COMPUTED_VALUE"""),0.0)</f>
        <v>0</v>
      </c>
      <c r="K97" s="32">
        <f>IFERROR(__xludf.DUMMYFUNCTION("""COMPUTED_VALUE"""),100.0)</f>
        <v>100</v>
      </c>
      <c r="L97" s="32">
        <f>IFERROR(__xludf.DUMMYFUNCTION("""COMPUTED_VALUE"""),100.0)</f>
        <v>100</v>
      </c>
      <c r="M97" s="32" t="str">
        <f>IFERROR(__xludf.DUMMYFUNCTION("""COMPUTED_VALUE"""),"Fire:Immune, ")</f>
        <v>Fire:Immune, </v>
      </c>
      <c r="N97" s="32" t="str">
        <f>IFERROR(__xludf.DUMMYFUNCTION("""COMPUTED_VALUE"""),"Water:100, ")</f>
        <v>Water:100, </v>
      </c>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f>IFERROR(__xludf.DUMMYFUNCTION("""COMPUTED_VALUE"""),0.0)</f>
        <v>0</v>
      </c>
      <c r="BE97" s="32">
        <f>IFERROR(__xludf.DUMMYFUNCTION("""COMPUTED_VALUE"""),10.0)</f>
        <v>10</v>
      </c>
      <c r="BF97" s="32"/>
      <c r="BG97" s="32" t="str">
        <f>IFERROR(__xludf.DUMMYFUNCTION("""COMPUTED_VALUE"""),"All")</f>
        <v>All</v>
      </c>
      <c r="BH97" s="32" t="str">
        <f>IFERROR(__xludf.DUMMYFUNCTION("""COMPUTED_VALUE"""),"Land of Spira")</f>
        <v>Land of Spira</v>
      </c>
      <c r="BI97" s="32"/>
      <c r="BJ97" s="32"/>
      <c r="BK97" s="32"/>
      <c r="BL97" s="32" t="b">
        <f>IFERROR(__xludf.DUMMYFUNCTION("""COMPUTED_VALUE"""),FALSE)</f>
        <v>0</v>
      </c>
      <c r="BM97" s="32"/>
      <c r="BN97" s="32"/>
      <c r="BO97" s="32"/>
      <c r="BP97" s="32"/>
      <c r="BQ97" s="32"/>
    </row>
    <row r="98">
      <c r="A98" s="32" t="str">
        <f>IFERROR(__xludf.DUMMYFUNCTION("""COMPUTED_VALUE"""),"Flaming Duck")</f>
        <v>Flaming Duck</v>
      </c>
      <c r="B98" s="32">
        <f>IFERROR(__xludf.DUMMYFUNCTION("""COMPUTED_VALUE"""),1.0)</f>
        <v>1</v>
      </c>
      <c r="C98" s="32"/>
      <c r="D98" s="33" t="str">
        <f>IFERROR(__xludf.DUMMYFUNCTION("""COMPUTED_VALUE"""),"Beast")</f>
        <v>Beast</v>
      </c>
      <c r="E98" s="33">
        <f>IFERROR(__xludf.DUMMYFUNCTION("""COMPUTED_VALUE"""),1010.0)</f>
        <v>1010</v>
      </c>
      <c r="F98" s="33">
        <f>IFERROR(__xludf.DUMMYFUNCTION("""COMPUTED_VALUE"""),1010.0)</f>
        <v>1010</v>
      </c>
      <c r="G98" s="33">
        <f>IFERROR(__xludf.DUMMYFUNCTION("""COMPUTED_VALUE"""),1010.0)</f>
        <v>1010</v>
      </c>
      <c r="H98" s="32">
        <f>IFERROR(__xludf.DUMMYFUNCTION("""COMPUTED_VALUE"""),15.0)</f>
        <v>15</v>
      </c>
      <c r="I98" s="32">
        <f>IFERROR(__xludf.DUMMYFUNCTION("""COMPUTED_VALUE"""),0.0)</f>
        <v>0</v>
      </c>
      <c r="J98" s="32">
        <f>IFERROR(__xludf.DUMMYFUNCTION("""COMPUTED_VALUE"""),0.0)</f>
        <v>0</v>
      </c>
      <c r="K98" s="32">
        <f>IFERROR(__xludf.DUMMYFUNCTION("""COMPUTED_VALUE"""),100.0)</f>
        <v>100</v>
      </c>
      <c r="L98" s="32">
        <f>IFERROR(__xludf.DUMMYFUNCTION("""COMPUTED_VALUE"""),100.0)</f>
        <v>100</v>
      </c>
      <c r="M98" s="32" t="str">
        <f>IFERROR(__xludf.DUMMYFUNCTION("""COMPUTED_VALUE"""),"Fire:Immune, Nature:Immune, ")</f>
        <v>Fire:Immune, Nature:Immune, </v>
      </c>
      <c r="N98" s="32" t="str">
        <f>IFERROR(__xludf.DUMMYFUNCTION("""COMPUTED_VALUE"""),"Water:100, ")</f>
        <v>Water:100, </v>
      </c>
      <c r="O98" s="32"/>
      <c r="P98" s="32"/>
      <c r="Q98" s="32"/>
      <c r="R98" s="32"/>
      <c r="S98" s="32"/>
      <c r="T98" s="32"/>
      <c r="U98" s="32"/>
      <c r="V98" s="32"/>
      <c r="W98" s="32"/>
      <c r="X98" s="32"/>
      <c r="Y98" s="32"/>
      <c r="Z98" s="32"/>
      <c r="AA98" s="32"/>
      <c r="AB98" s="32"/>
      <c r="AC98" s="32"/>
      <c r="AD98" s="32"/>
      <c r="AE98" s="32"/>
      <c r="AF98" s="32"/>
      <c r="AG98" s="32"/>
      <c r="AH98" s="32"/>
      <c r="AI98" s="32"/>
      <c r="AJ98" s="32" t="str">
        <f>IFERROR(__xludf.DUMMYFUNCTION("""COMPUTED_VALUE"""),"Honk")</f>
        <v>Honk</v>
      </c>
      <c r="AK98" s="32" t="str">
        <f>IFERROR(__xludf.DUMMYFUNCTION("""COMPUTED_VALUE"""),"Meteor Shower")</f>
        <v>Meteor Shower</v>
      </c>
      <c r="AL98" s="32" t="str">
        <f>IFERROR(__xludf.DUMMYFUNCTION("""COMPUTED_VALUE"""),"Take")</f>
        <v>Take</v>
      </c>
      <c r="AM98" s="32" t="str">
        <f>IFERROR(__xludf.DUMMYFUNCTION("""COMPUTED_VALUE"""),"Sacred Flame Peck")</f>
        <v>Sacred Flame Peck</v>
      </c>
      <c r="AN98" s="32" t="str">
        <f>IFERROR(__xludf.DUMMYFUNCTION("""COMPUTED_VALUE"""),"Mass Destruction")</f>
        <v>Mass Destruction</v>
      </c>
      <c r="AO98" s="32" t="str">
        <f>IFERROR(__xludf.DUMMYFUNCTION("""COMPUTED_VALUE"""),"Dive Bomb")</f>
        <v>Dive Bomb</v>
      </c>
      <c r="AP98" s="32" t="str">
        <f>IFERROR(__xludf.DUMMYFUNCTION("""COMPUTED_VALUE"""),"Claws")</f>
        <v>Claws</v>
      </c>
      <c r="AQ98" s="32" t="str">
        <f>IFERROR(__xludf.DUMMYFUNCTION("""COMPUTED_VALUE"""),"Aggressive Chomp")</f>
        <v>Aggressive Chomp</v>
      </c>
      <c r="AR98" s="32" t="str">
        <f>IFERROR(__xludf.DUMMYFUNCTION("""COMPUTED_VALUE"""),"Distracting Blow")</f>
        <v>Distracting Blow</v>
      </c>
      <c r="AS98" s="32"/>
      <c r="AT98" s="32"/>
      <c r="AU98" s="32"/>
      <c r="AV98" s="32"/>
      <c r="AW98" s="32"/>
      <c r="AX98" s="32"/>
      <c r="AY98" s="32"/>
      <c r="AZ98" s="32"/>
      <c r="BA98" s="32"/>
      <c r="BB98" s="32"/>
      <c r="BC98" s="32"/>
      <c r="BD98" s="32">
        <f>IFERROR(__xludf.DUMMYFUNCTION("""COMPUTED_VALUE"""),0.0)</f>
        <v>0</v>
      </c>
      <c r="BE98" s="32">
        <f>IFERROR(__xludf.DUMMYFUNCTION("""COMPUTED_VALUE"""),10.0)</f>
        <v>10</v>
      </c>
      <c r="BF98" s="32" t="str">
        <f>IFERROR(__xludf.DUMMYFUNCTION("""COMPUTED_VALUE"""),"Lucky Duck: +5 can be added to this mobs turn order roll.")</f>
        <v>Lucky Duck: +5 can be added to this mobs turn order roll.</v>
      </c>
      <c r="BG98" s="32" t="str">
        <f>IFERROR(__xludf.DUMMYFUNCTION("""COMPUTED_VALUE"""),"All")</f>
        <v>All</v>
      </c>
      <c r="BH98" s="32" t="str">
        <f>IFERROR(__xludf.DUMMYFUNCTION("""COMPUTED_VALUE"""),"Abstara")</f>
        <v>Abstara</v>
      </c>
      <c r="BI98" s="32"/>
      <c r="BJ98" s="32"/>
      <c r="BK98" s="32"/>
      <c r="BL98" s="32" t="b">
        <f>IFERROR(__xludf.DUMMYFUNCTION("""COMPUTED_VALUE"""),FALSE)</f>
        <v>0</v>
      </c>
      <c r="BM98" s="32"/>
      <c r="BN98" s="32"/>
      <c r="BO98" s="32"/>
      <c r="BP98" s="32"/>
      <c r="BQ98" s="32"/>
    </row>
    <row r="99">
      <c r="A99" s="32" t="str">
        <f>IFERROR(__xludf.DUMMYFUNCTION("""COMPUTED_VALUE"""),"Flaming King Duck")</f>
        <v>Flaming King Duck</v>
      </c>
      <c r="B99" s="32">
        <f>IFERROR(__xludf.DUMMYFUNCTION("""COMPUTED_VALUE"""),1.0)</f>
        <v>1</v>
      </c>
      <c r="C99" s="32"/>
      <c r="D99" s="33" t="str">
        <f>IFERROR(__xludf.DUMMYFUNCTION("""COMPUTED_VALUE"""),"Beast")</f>
        <v>Beast</v>
      </c>
      <c r="E99" s="33">
        <f>IFERROR(__xludf.DUMMYFUNCTION("""COMPUTED_VALUE"""),1010.0)</f>
        <v>1010</v>
      </c>
      <c r="F99" s="33">
        <f>IFERROR(__xludf.DUMMYFUNCTION("""COMPUTED_VALUE"""),1010.0)</f>
        <v>1010</v>
      </c>
      <c r="G99" s="33">
        <f>IFERROR(__xludf.DUMMYFUNCTION("""COMPUTED_VALUE"""),1010.0)</f>
        <v>1010</v>
      </c>
      <c r="H99" s="32">
        <f>IFERROR(__xludf.DUMMYFUNCTION("""COMPUTED_VALUE"""),15.0)</f>
        <v>15</v>
      </c>
      <c r="I99" s="32">
        <f>IFERROR(__xludf.DUMMYFUNCTION("""COMPUTED_VALUE"""),0.0)</f>
        <v>0</v>
      </c>
      <c r="J99" s="32">
        <f>IFERROR(__xludf.DUMMYFUNCTION("""COMPUTED_VALUE"""),0.0)</f>
        <v>0</v>
      </c>
      <c r="K99" s="32">
        <f>IFERROR(__xludf.DUMMYFUNCTION("""COMPUTED_VALUE"""),100.0)</f>
        <v>100</v>
      </c>
      <c r="L99" s="32">
        <f>IFERROR(__xludf.DUMMYFUNCTION("""COMPUTED_VALUE"""),100.0)</f>
        <v>100</v>
      </c>
      <c r="M99" s="32" t="str">
        <f>IFERROR(__xludf.DUMMYFUNCTION("""COMPUTED_VALUE"""),"Fire:Immune, Nature:Immune, ")</f>
        <v>Fire:Immune, Nature:Immune, </v>
      </c>
      <c r="N99" s="32" t="str">
        <f>IFERROR(__xludf.DUMMYFUNCTION("""COMPUTED_VALUE"""),"Water:100, ")</f>
        <v>Water:100, </v>
      </c>
      <c r="O99" s="32"/>
      <c r="P99" s="32"/>
      <c r="Q99" s="32"/>
      <c r="R99" s="32"/>
      <c r="S99" s="32"/>
      <c r="T99" s="32"/>
      <c r="U99" s="32"/>
      <c r="V99" s="32"/>
      <c r="W99" s="32"/>
      <c r="X99" s="32"/>
      <c r="Y99" s="32"/>
      <c r="Z99" s="32"/>
      <c r="AA99" s="32"/>
      <c r="AB99" s="32"/>
      <c r="AC99" s="32"/>
      <c r="AD99" s="32"/>
      <c r="AE99" s="32"/>
      <c r="AF99" s="32"/>
      <c r="AG99" s="32"/>
      <c r="AH99" s="32"/>
      <c r="AI99" s="32"/>
      <c r="AJ99" s="32" t="str">
        <f>IFERROR(__xludf.DUMMYFUNCTION("""COMPUTED_VALUE"""),"Honk")</f>
        <v>Honk</v>
      </c>
      <c r="AK99" s="32" t="str">
        <f>IFERROR(__xludf.DUMMYFUNCTION("""COMPUTED_VALUE"""),"Chaincast")</f>
        <v>Chaincast</v>
      </c>
      <c r="AL99" s="32" t="str">
        <f>IFERROR(__xludf.DUMMYFUNCTION("""COMPUTED_VALUE"""),"Meteor Shower")</f>
        <v>Meteor Shower</v>
      </c>
      <c r="AM99" s="32" t="str">
        <f>IFERROR(__xludf.DUMMYFUNCTION("""COMPUTED_VALUE"""),"Take")</f>
        <v>Take</v>
      </c>
      <c r="AN99" s="32" t="str">
        <f>IFERROR(__xludf.DUMMYFUNCTION("""COMPUTED_VALUE"""),"Sacred Flame Peck")</f>
        <v>Sacred Flame Peck</v>
      </c>
      <c r="AO99" s="32" t="str">
        <f>IFERROR(__xludf.DUMMYFUNCTION("""COMPUTED_VALUE"""),"Mass Destruction")</f>
        <v>Mass Destruction</v>
      </c>
      <c r="AP99" s="32" t="str">
        <f>IFERROR(__xludf.DUMMYFUNCTION("""COMPUTED_VALUE"""),"Dive Bomb")</f>
        <v>Dive Bomb</v>
      </c>
      <c r="AQ99" s="32"/>
      <c r="AR99" s="32"/>
      <c r="AS99" s="32"/>
      <c r="AT99" s="32"/>
      <c r="AU99" s="32"/>
      <c r="AV99" s="32"/>
      <c r="AW99" s="32"/>
      <c r="AX99" s="32"/>
      <c r="AY99" s="32"/>
      <c r="AZ99" s="32"/>
      <c r="BA99" s="32"/>
      <c r="BB99" s="32"/>
      <c r="BC99" s="32"/>
      <c r="BD99" s="32">
        <f>IFERROR(__xludf.DUMMYFUNCTION("""COMPUTED_VALUE"""),0.0)</f>
        <v>0</v>
      </c>
      <c r="BE99" s="32">
        <f>IFERROR(__xludf.DUMMYFUNCTION("""COMPUTED_VALUE"""),10.0)</f>
        <v>10</v>
      </c>
      <c r="BF99" s="32" t="str">
        <f>IFERROR(__xludf.DUMMYFUNCTION("""COMPUTED_VALUE"""),"Lucky Duck II: +10 can be added to this mobs turn order roll.")</f>
        <v>Lucky Duck II: +10 can be added to this mobs turn order roll.</v>
      </c>
      <c r="BG99" s="32" t="str">
        <f>IFERROR(__xludf.DUMMYFUNCTION("""COMPUTED_VALUE"""),"All")</f>
        <v>All</v>
      </c>
      <c r="BH99" s="32" t="str">
        <f>IFERROR(__xludf.DUMMYFUNCTION("""COMPUTED_VALUE"""),"Abstara")</f>
        <v>Abstara</v>
      </c>
      <c r="BI99" s="32"/>
      <c r="BJ99" s="32"/>
      <c r="BK99" s="32"/>
      <c r="BL99" s="32" t="b">
        <f>IFERROR(__xludf.DUMMYFUNCTION("""COMPUTED_VALUE"""),FALSE)</f>
        <v>0</v>
      </c>
      <c r="BM99" s="32"/>
      <c r="BN99" s="32"/>
      <c r="BO99" s="32"/>
      <c r="BP99" s="32"/>
      <c r="BQ99" s="32"/>
    </row>
    <row r="100">
      <c r="A100" s="32" t="str">
        <f>IFERROR(__xludf.DUMMYFUNCTION("""COMPUTED_VALUE"""),"Flaming Monkey")</f>
        <v>Flaming Monkey</v>
      </c>
      <c r="B100" s="32">
        <f>IFERROR(__xludf.DUMMYFUNCTION("""COMPUTED_VALUE"""),1.0)</f>
        <v>1</v>
      </c>
      <c r="C100" s="32"/>
      <c r="D100" s="33" t="str">
        <f>IFERROR(__xludf.DUMMYFUNCTION("""COMPUTED_VALUE"""),"Beast")</f>
        <v>Beast</v>
      </c>
      <c r="E100" s="33">
        <f>IFERROR(__xludf.DUMMYFUNCTION("""COMPUTED_VALUE"""),16010.0)</f>
        <v>16010</v>
      </c>
      <c r="F100" s="33">
        <f>IFERROR(__xludf.DUMMYFUNCTION("""COMPUTED_VALUE"""),1010.0)</f>
        <v>1010</v>
      </c>
      <c r="G100" s="33">
        <f>IFERROR(__xludf.DUMMYFUNCTION("""COMPUTED_VALUE"""),1010.0)</f>
        <v>1010</v>
      </c>
      <c r="H100" s="32">
        <f>IFERROR(__xludf.DUMMYFUNCTION("""COMPUTED_VALUE"""),10.0)</f>
        <v>10</v>
      </c>
      <c r="I100" s="32">
        <f>IFERROR(__xludf.DUMMYFUNCTION("""COMPUTED_VALUE"""),0.0)</f>
        <v>0</v>
      </c>
      <c r="J100" s="32">
        <f>IFERROR(__xludf.DUMMYFUNCTION("""COMPUTED_VALUE"""),0.0)</f>
        <v>0</v>
      </c>
      <c r="K100" s="32">
        <f>IFERROR(__xludf.DUMMYFUNCTION("""COMPUTED_VALUE"""),100.0)</f>
        <v>100</v>
      </c>
      <c r="L100" s="32">
        <f>IFERROR(__xludf.DUMMYFUNCTION("""COMPUTED_VALUE"""),100.0)</f>
        <v>100</v>
      </c>
      <c r="M100" s="32" t="str">
        <f>IFERROR(__xludf.DUMMYFUNCTION("""COMPUTED_VALUE"""),"Nature:Immune, ")</f>
        <v>Nature:Immune, </v>
      </c>
      <c r="N100" s="32" t="str">
        <f>IFERROR(__xludf.DUMMYFUNCTION("""COMPUTED_VALUE"""),"Water:100, ")</f>
        <v>Water:100, </v>
      </c>
      <c r="O100" s="32"/>
      <c r="P100" s="32"/>
      <c r="Q100" s="32"/>
      <c r="R100" s="32"/>
      <c r="S100" s="32"/>
      <c r="T100" s="32"/>
      <c r="U100" s="32"/>
      <c r="V100" s="32"/>
      <c r="W100" s="32"/>
      <c r="X100" s="32"/>
      <c r="Y100" s="32"/>
      <c r="Z100" s="32"/>
      <c r="AA100" s="32"/>
      <c r="AB100" s="32"/>
      <c r="AC100" s="32"/>
      <c r="AD100" s="32"/>
      <c r="AE100" s="32"/>
      <c r="AF100" s="32"/>
      <c r="AG100" s="32"/>
      <c r="AH100" s="32"/>
      <c r="AI100" s="32"/>
      <c r="AJ100" s="32" t="str">
        <f>IFERROR(__xludf.DUMMYFUNCTION("""COMPUTED_VALUE"""),"Confiscate")</f>
        <v>Confiscate</v>
      </c>
      <c r="AK100" s="32" t="str">
        <f>IFERROR(__xludf.DUMMYFUNCTION("""COMPUTED_VALUE"""),"Take")</f>
        <v>Take</v>
      </c>
      <c r="AL100" s="32" t="str">
        <f>IFERROR(__xludf.DUMMYFUNCTION("""COMPUTED_VALUE"""),"Pick Pocket")</f>
        <v>Pick Pocket</v>
      </c>
      <c r="AM100" s="32" t="str">
        <f>IFERROR(__xludf.DUMMYFUNCTION("""COMPUTED_VALUE"""),"Flame Thrower")</f>
        <v>Flame Thrower</v>
      </c>
      <c r="AN100" s="32" t="str">
        <f>IFERROR(__xludf.DUMMYFUNCTION("""COMPUTED_VALUE"""),"Tackle")</f>
        <v>Tackle</v>
      </c>
      <c r="AO100" s="32" t="str">
        <f>IFERROR(__xludf.DUMMYFUNCTION("""COMPUTED_VALUE"""),"Taunt")</f>
        <v>Taunt</v>
      </c>
      <c r="AP100" s="32"/>
      <c r="AQ100" s="32"/>
      <c r="AR100" s="32"/>
      <c r="AS100" s="32"/>
      <c r="AT100" s="32"/>
      <c r="AU100" s="32"/>
      <c r="AV100" s="32"/>
      <c r="AW100" s="32"/>
      <c r="AX100" s="32"/>
      <c r="AY100" s="32"/>
      <c r="AZ100" s="32"/>
      <c r="BA100" s="32"/>
      <c r="BB100" s="32"/>
      <c r="BC100" s="32"/>
      <c r="BD100" s="32">
        <f>IFERROR(__xludf.DUMMYFUNCTION("""COMPUTED_VALUE"""),0.0)</f>
        <v>0</v>
      </c>
      <c r="BE100" s="32">
        <f>IFERROR(__xludf.DUMMYFUNCTION("""COMPUTED_VALUE"""),10.0)</f>
        <v>10</v>
      </c>
      <c r="BF100" s="32"/>
      <c r="BG100" s="32" t="str">
        <f>IFERROR(__xludf.DUMMYFUNCTION("""COMPUTED_VALUE"""),"All")</f>
        <v>All</v>
      </c>
      <c r="BH100" s="32" t="str">
        <f>IFERROR(__xludf.DUMMYFUNCTION("""COMPUTED_VALUE"""),"Abstara")</f>
        <v>Abstara</v>
      </c>
      <c r="BI100" s="32"/>
      <c r="BJ100" s="32"/>
      <c r="BK100" s="32"/>
      <c r="BL100" s="32" t="b">
        <f>IFERROR(__xludf.DUMMYFUNCTION("""COMPUTED_VALUE"""),FALSE)</f>
        <v>0</v>
      </c>
      <c r="BM100" s="32"/>
      <c r="BN100" s="32"/>
      <c r="BO100" s="32"/>
      <c r="BP100" s="32"/>
      <c r="BQ100" s="32"/>
    </row>
    <row r="101">
      <c r="A101" s="32" t="str">
        <f>IFERROR(__xludf.DUMMYFUNCTION("""COMPUTED_VALUE"""),"Flaming Yak")</f>
        <v>Flaming Yak</v>
      </c>
      <c r="B101" s="32">
        <f>IFERROR(__xludf.DUMMYFUNCTION("""COMPUTED_VALUE"""),1.0)</f>
        <v>1</v>
      </c>
      <c r="C101" s="32"/>
      <c r="D101" s="33" t="str">
        <f>IFERROR(__xludf.DUMMYFUNCTION("""COMPUTED_VALUE"""),"Beast")</f>
        <v>Beast</v>
      </c>
      <c r="E101" s="33">
        <f>IFERROR(__xludf.DUMMYFUNCTION("""COMPUTED_VALUE"""),1010.0)</f>
        <v>1010</v>
      </c>
      <c r="F101" s="33">
        <f>IFERROR(__xludf.DUMMYFUNCTION("""COMPUTED_VALUE"""),1010.0)</f>
        <v>1010</v>
      </c>
      <c r="G101" s="33">
        <f>IFERROR(__xludf.DUMMYFUNCTION("""COMPUTED_VALUE"""),16010.0)</f>
        <v>16010</v>
      </c>
      <c r="H101" s="32">
        <f>IFERROR(__xludf.DUMMYFUNCTION("""COMPUTED_VALUE"""),10.0)</f>
        <v>10</v>
      </c>
      <c r="I101" s="32">
        <f>IFERROR(__xludf.DUMMYFUNCTION("""COMPUTED_VALUE"""),0.0)</f>
        <v>0</v>
      </c>
      <c r="J101" s="32">
        <f>IFERROR(__xludf.DUMMYFUNCTION("""COMPUTED_VALUE"""),0.0)</f>
        <v>0</v>
      </c>
      <c r="K101" s="32">
        <f>IFERROR(__xludf.DUMMYFUNCTION("""COMPUTED_VALUE"""),100.0)</f>
        <v>100</v>
      </c>
      <c r="L101" s="32">
        <f>IFERROR(__xludf.DUMMYFUNCTION("""COMPUTED_VALUE"""),100.0)</f>
        <v>100</v>
      </c>
      <c r="M101" s="32" t="str">
        <f>IFERROR(__xludf.DUMMYFUNCTION("""COMPUTED_VALUE"""),"Fire:100, Nature:Immune, ")</f>
        <v>Fire:100, Nature:Immune, </v>
      </c>
      <c r="N101" s="32" t="str">
        <f>IFERROR(__xludf.DUMMYFUNCTION("""COMPUTED_VALUE"""),"Water:100, ")</f>
        <v>Water:100, </v>
      </c>
      <c r="O101" s="32"/>
      <c r="P101" s="32"/>
      <c r="Q101" s="32"/>
      <c r="R101" s="32"/>
      <c r="S101" s="32"/>
      <c r="T101" s="32"/>
      <c r="U101" s="32"/>
      <c r="V101" s="32"/>
      <c r="W101" s="32"/>
      <c r="X101" s="32"/>
      <c r="Y101" s="32"/>
      <c r="Z101" s="32"/>
      <c r="AA101" s="32"/>
      <c r="AB101" s="32"/>
      <c r="AC101" s="32"/>
      <c r="AD101" s="32"/>
      <c r="AE101" s="32"/>
      <c r="AF101" s="32"/>
      <c r="AG101" s="32"/>
      <c r="AH101" s="32"/>
      <c r="AI101" s="32"/>
      <c r="AJ101" s="32" t="str">
        <f>IFERROR(__xludf.DUMMYFUNCTION("""COMPUTED_VALUE"""),"Flaming Horns")</f>
        <v>Flaming Horns</v>
      </c>
      <c r="AK101" s="32" t="str">
        <f>IFERROR(__xludf.DUMMYFUNCTION("""COMPUTED_VALUE"""),"Horns")</f>
        <v>Horns</v>
      </c>
      <c r="AL101" s="32" t="str">
        <f>IFERROR(__xludf.DUMMYFUNCTION("""COMPUTED_VALUE"""),"Flame Thrower")</f>
        <v>Flame Thrower</v>
      </c>
      <c r="AM101" s="32" t="str">
        <f>IFERROR(__xludf.DUMMYFUNCTION("""COMPUTED_VALUE"""),"Meteor Shower")</f>
        <v>Meteor Shower</v>
      </c>
      <c r="AN101" s="32" t="str">
        <f>IFERROR(__xludf.DUMMYFUNCTION("""COMPUTED_VALUE"""),"Gore")</f>
        <v>Gore</v>
      </c>
      <c r="AO101" s="32" t="str">
        <f>IFERROR(__xludf.DUMMYFUNCTION("""COMPUTED_VALUE"""),"Tackle")</f>
        <v>Tackle</v>
      </c>
      <c r="AP101" s="32"/>
      <c r="AQ101" s="32"/>
      <c r="AR101" s="32"/>
      <c r="AS101" s="32"/>
      <c r="AT101" s="32"/>
      <c r="AU101" s="32"/>
      <c r="AV101" s="32"/>
      <c r="AW101" s="32"/>
      <c r="AX101" s="32"/>
      <c r="AY101" s="32"/>
      <c r="AZ101" s="32"/>
      <c r="BA101" s="32"/>
      <c r="BB101" s="32"/>
      <c r="BC101" s="32"/>
      <c r="BD101" s="32">
        <f>IFERROR(__xludf.DUMMYFUNCTION("""COMPUTED_VALUE"""),0.0)</f>
        <v>0</v>
      </c>
      <c r="BE101" s="32">
        <f>IFERROR(__xludf.DUMMYFUNCTION("""COMPUTED_VALUE"""),10.0)</f>
        <v>10</v>
      </c>
      <c r="BF101" s="32" t="str">
        <f>IFERROR(__xludf.DUMMYFUNCTION("""COMPUTED_VALUE"""),"Quick Charge: Allows this mob to use 2 natural attacks in one turn.")</f>
        <v>Quick Charge: Allows this mob to use 2 natural attacks in one turn.</v>
      </c>
      <c r="BG101" s="32" t="str">
        <f>IFERROR(__xludf.DUMMYFUNCTION("""COMPUTED_VALUE"""),"Heatmore Jungle")</f>
        <v>Heatmore Jungle</v>
      </c>
      <c r="BH101" s="32" t="str">
        <f>IFERROR(__xludf.DUMMYFUNCTION("""COMPUTED_VALUE"""),"Land Of Spira")</f>
        <v>Land Of Spira</v>
      </c>
      <c r="BI101" s="32"/>
      <c r="BJ101" s="32"/>
      <c r="BK101" s="32"/>
      <c r="BL101" s="32" t="b">
        <f>IFERROR(__xludf.DUMMYFUNCTION("""COMPUTED_VALUE"""),FALSE)</f>
        <v>0</v>
      </c>
      <c r="BM101" s="32"/>
      <c r="BN101" s="32"/>
      <c r="BO101" s="32"/>
      <c r="BP101" s="32"/>
      <c r="BQ101" s="32"/>
    </row>
    <row r="102">
      <c r="A102" s="32" t="str">
        <f>IFERROR(__xludf.DUMMYFUNCTION("""COMPUTED_VALUE"""),"Floating Skull")</f>
        <v>Floating Skull</v>
      </c>
      <c r="B102" s="32">
        <f>IFERROR(__xludf.DUMMYFUNCTION("""COMPUTED_VALUE"""),1.0)</f>
        <v>1</v>
      </c>
      <c r="C102" s="32"/>
      <c r="D102" s="33" t="str">
        <f>IFERROR(__xludf.DUMMYFUNCTION("""COMPUTED_VALUE"""),"Undead")</f>
        <v>Undead</v>
      </c>
      <c r="E102" s="33">
        <f>IFERROR(__xludf.DUMMYFUNCTION("""COMPUTED_VALUE"""),1010.0)</f>
        <v>1010</v>
      </c>
      <c r="F102" s="33">
        <f>IFERROR(__xludf.DUMMYFUNCTION("""COMPUTED_VALUE"""),1010.0)</f>
        <v>1010</v>
      </c>
      <c r="G102" s="33">
        <f>IFERROR(__xludf.DUMMYFUNCTION("""COMPUTED_VALUE"""),1010.0)</f>
        <v>1010</v>
      </c>
      <c r="H102" s="32">
        <f>IFERROR(__xludf.DUMMYFUNCTION("""COMPUTED_VALUE"""),10.0)</f>
        <v>10</v>
      </c>
      <c r="I102" s="32">
        <f>IFERROR(__xludf.DUMMYFUNCTION("""COMPUTED_VALUE"""),0.0)</f>
        <v>0</v>
      </c>
      <c r="J102" s="32">
        <f>IFERROR(__xludf.DUMMYFUNCTION("""COMPUTED_VALUE"""),0.0)</f>
        <v>0</v>
      </c>
      <c r="K102" s="32">
        <f>IFERROR(__xludf.DUMMYFUNCTION("""COMPUTED_VALUE"""),100.0)</f>
        <v>100</v>
      </c>
      <c r="L102" s="32">
        <f>IFERROR(__xludf.DUMMYFUNCTION("""COMPUTED_VALUE"""),100.0)</f>
        <v>100</v>
      </c>
      <c r="M102" s="32" t="str">
        <f>IFERROR(__xludf.DUMMYFUNCTION("""COMPUTED_VALUE"""),"Dark:100, ")</f>
        <v>Dark:100, </v>
      </c>
      <c r="N102" s="32" t="str">
        <f>IFERROR(__xludf.DUMMYFUNCTION("""COMPUTED_VALUE"""),"")</f>
        <v/>
      </c>
      <c r="O102" s="32"/>
      <c r="P102" s="32"/>
      <c r="Q102" s="32"/>
      <c r="R102" s="32"/>
      <c r="S102" s="32"/>
      <c r="T102" s="32"/>
      <c r="U102" s="32"/>
      <c r="V102" s="32"/>
      <c r="W102" s="32"/>
      <c r="X102" s="32"/>
      <c r="Y102" s="32"/>
      <c r="Z102" s="32"/>
      <c r="AA102" s="32"/>
      <c r="AB102" s="32"/>
      <c r="AC102" s="32"/>
      <c r="AD102" s="32"/>
      <c r="AE102" s="32"/>
      <c r="AF102" s="32"/>
      <c r="AG102" s="32"/>
      <c r="AH102" s="32"/>
      <c r="AI102" s="32"/>
      <c r="AJ102" s="32" t="str">
        <f>IFERROR(__xludf.DUMMYFUNCTION("""COMPUTED_VALUE"""),"Dark Force")</f>
        <v>Dark Force</v>
      </c>
      <c r="AK102" s="32" t="str">
        <f>IFERROR(__xludf.DUMMYFUNCTION("""COMPUTED_VALUE"""),"Dark Bolt")</f>
        <v>Dark Bolt</v>
      </c>
      <c r="AL102" s="32"/>
      <c r="AM102" s="32"/>
      <c r="AN102" s="32"/>
      <c r="AO102" s="32"/>
      <c r="AP102" s="32"/>
      <c r="AQ102" s="32"/>
      <c r="AR102" s="32"/>
      <c r="AS102" s="32"/>
      <c r="AT102" s="32"/>
      <c r="AU102" s="32"/>
      <c r="AV102" s="32"/>
      <c r="AW102" s="32"/>
      <c r="AX102" s="32"/>
      <c r="AY102" s="32"/>
      <c r="AZ102" s="32"/>
      <c r="BA102" s="32"/>
      <c r="BB102" s="32"/>
      <c r="BC102" s="32"/>
      <c r="BD102" s="32">
        <f>IFERROR(__xludf.DUMMYFUNCTION("""COMPUTED_VALUE"""),0.0)</f>
        <v>0</v>
      </c>
      <c r="BE102" s="32">
        <f>IFERROR(__xludf.DUMMYFUNCTION("""COMPUTED_VALUE"""),10.0)</f>
        <v>10</v>
      </c>
      <c r="BF102" s="32"/>
      <c r="BG102" s="32" t="str">
        <f>IFERROR(__xludf.DUMMYFUNCTION("""COMPUTED_VALUE"""),"All")</f>
        <v>All</v>
      </c>
      <c r="BH102" s="32" t="str">
        <f>IFERROR(__xludf.DUMMYFUNCTION("""COMPUTED_VALUE"""),"Land of Spira")</f>
        <v>Land of Spira</v>
      </c>
      <c r="BI102" s="32"/>
      <c r="BJ102" s="32"/>
      <c r="BK102" s="32"/>
      <c r="BL102" s="32" t="b">
        <f>IFERROR(__xludf.DUMMYFUNCTION("""COMPUTED_VALUE"""),FALSE)</f>
        <v>0</v>
      </c>
      <c r="BM102" s="32"/>
      <c r="BN102" s="32"/>
      <c r="BO102" s="32"/>
      <c r="BP102" s="32"/>
      <c r="BQ102" s="32"/>
    </row>
    <row r="103">
      <c r="A103" s="32" t="str">
        <f>IFERROR(__xludf.DUMMYFUNCTION("""COMPUTED_VALUE"""),"Forest Dragon")</f>
        <v>Forest Dragon</v>
      </c>
      <c r="B103" s="32">
        <f>IFERROR(__xludf.DUMMYFUNCTION("""COMPUTED_VALUE"""),1.0)</f>
        <v>1</v>
      </c>
      <c r="C103" s="32"/>
      <c r="D103" s="32" t="str">
        <f>IFERROR(__xludf.DUMMYFUNCTION("""COMPUTED_VALUE"""),"Draconic")</f>
        <v>Draconic</v>
      </c>
      <c r="E103" s="32">
        <f>IFERROR(__xludf.DUMMYFUNCTION("""COMPUTED_VALUE"""),31010.0)</f>
        <v>31010</v>
      </c>
      <c r="F103" s="33">
        <f>IFERROR(__xludf.DUMMYFUNCTION("""COMPUTED_VALUE"""),31010.0)</f>
        <v>31010</v>
      </c>
      <c r="G103" s="32">
        <f>IFERROR(__xludf.DUMMYFUNCTION("""COMPUTED_VALUE"""),1010.0)</f>
        <v>1010</v>
      </c>
      <c r="H103" s="32">
        <f>IFERROR(__xludf.DUMMYFUNCTION("""COMPUTED_VALUE"""),10.0)</f>
        <v>10</v>
      </c>
      <c r="I103" s="32">
        <f>IFERROR(__xludf.DUMMYFUNCTION("""COMPUTED_VALUE"""),0.0)</f>
        <v>0</v>
      </c>
      <c r="J103" s="32">
        <f>IFERROR(__xludf.DUMMYFUNCTION("""COMPUTED_VALUE"""),0.0)</f>
        <v>0</v>
      </c>
      <c r="K103" s="32">
        <f>IFERROR(__xludf.DUMMYFUNCTION("""COMPUTED_VALUE"""),100.0)</f>
        <v>100</v>
      </c>
      <c r="L103" s="32">
        <f>IFERROR(__xludf.DUMMYFUNCTION("""COMPUTED_VALUE"""),100.0)</f>
        <v>100</v>
      </c>
      <c r="M103" s="32" t="str">
        <f>IFERROR(__xludf.DUMMYFUNCTION("""COMPUTED_VALUE"""),"Nature:Immune, ")</f>
        <v>Nature:Immune, </v>
      </c>
      <c r="N103" s="32" t="str">
        <f>IFERROR(__xludf.DUMMYFUNCTION("""COMPUTED_VALUE"""),"Fire:100, ")</f>
        <v>Fire:100, </v>
      </c>
      <c r="O103" s="32"/>
      <c r="P103" s="32"/>
      <c r="Q103" s="32"/>
      <c r="R103" s="32"/>
      <c r="S103" s="32"/>
      <c r="T103" s="32"/>
      <c r="U103" s="32"/>
      <c r="V103" s="32"/>
      <c r="W103" s="32"/>
      <c r="X103" s="32"/>
      <c r="Y103" s="32"/>
      <c r="Z103" s="32"/>
      <c r="AA103" s="32"/>
      <c r="AB103" s="32"/>
      <c r="AC103" s="32"/>
      <c r="AD103" s="32"/>
      <c r="AE103" s="32"/>
      <c r="AF103" s="32"/>
      <c r="AG103" s="32"/>
      <c r="AH103" s="32"/>
      <c r="AI103" s="32"/>
      <c r="AJ103" s="32" t="str">
        <f>IFERROR(__xludf.DUMMYFUNCTION("""COMPUTED_VALUE"""),"Dragon's Breath")</f>
        <v>Dragon's Breath</v>
      </c>
      <c r="AK103" s="32" t="str">
        <f>IFERROR(__xludf.DUMMYFUNCTION("""COMPUTED_VALUE"""),"Bite")</f>
        <v>Bite</v>
      </c>
      <c r="AL103" s="32" t="str">
        <f>IFERROR(__xludf.DUMMYFUNCTION("""COMPUTED_VALUE"""),"Tail Smash")</f>
        <v>Tail Smash</v>
      </c>
      <c r="AM103" s="32" t="str">
        <f>IFERROR(__xludf.DUMMYFUNCTION("""COMPUTED_VALUE"""),"Claws")</f>
        <v>Claws</v>
      </c>
      <c r="AN103" s="32" t="str">
        <f>IFERROR(__xludf.DUMMYFUNCTION("""COMPUTED_VALUE"""),"Berserk")</f>
        <v>Berserk</v>
      </c>
      <c r="AO103" s="32" t="str">
        <f>IFERROR(__xludf.DUMMYFUNCTION("""COMPUTED_VALUE"""),"Multishot")</f>
        <v>Multishot</v>
      </c>
      <c r="AP103" s="32" t="str">
        <f>IFERROR(__xludf.DUMMYFUNCTION("""COMPUTED_VALUE"""),"Draconic Scream")</f>
        <v>Draconic Scream</v>
      </c>
      <c r="AQ103" s="32" t="str">
        <f>IFERROR(__xludf.DUMMYFUNCTION("""COMPUTED_VALUE"""),"The Orb of Life")</f>
        <v>The Orb of Life</v>
      </c>
      <c r="AR103" s="32" t="str">
        <f>IFERROR(__xludf.DUMMYFUNCTION("""COMPUTED_VALUE"""),"Regrowth")</f>
        <v>Regrowth</v>
      </c>
      <c r="AS103" s="32" t="str">
        <f>IFERROR(__xludf.DUMMYFUNCTION("""COMPUTED_VALUE"""),"Entangle")</f>
        <v>Entangle</v>
      </c>
      <c r="AT103" s="32" t="str">
        <f>IFERROR(__xludf.DUMMYFUNCTION("""COMPUTED_VALUE"""),"Nature's Embrace")</f>
        <v>Nature's Embrace</v>
      </c>
      <c r="AU103" s="32" t="str">
        <f>IFERROR(__xludf.DUMMYFUNCTION("""COMPUTED_VALUE"""),"Celestial Wrath")</f>
        <v>Celestial Wrath</v>
      </c>
      <c r="AV103" s="32"/>
      <c r="AW103" s="32"/>
      <c r="AX103" s="32"/>
      <c r="AY103" s="32"/>
      <c r="AZ103" s="32"/>
      <c r="BA103" s="32"/>
      <c r="BB103" s="32"/>
      <c r="BC103" s="32"/>
      <c r="BD103" s="32">
        <f>IFERROR(__xludf.DUMMYFUNCTION("""COMPUTED_VALUE"""),0.0)</f>
        <v>0</v>
      </c>
      <c r="BE103" s="32">
        <f>IFERROR(__xludf.DUMMYFUNCTION("""COMPUTED_VALUE"""),10.0)</f>
        <v>10</v>
      </c>
      <c r="BF103"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32" t="str">
        <f>IFERROR(__xludf.DUMMYFUNCTION("""COMPUTED_VALUE"""),"Forest")</f>
        <v>Forest</v>
      </c>
      <c r="BH103" s="32" t="str">
        <f>IFERROR(__xludf.DUMMYFUNCTION("""COMPUTED_VALUE"""),"Dragonscale Island")</f>
        <v>Dragonscale Island</v>
      </c>
      <c r="BI103" s="32"/>
      <c r="BJ103" s="32"/>
      <c r="BK103" s="32"/>
      <c r="BL103" s="32" t="b">
        <f>IFERROR(__xludf.DUMMYFUNCTION("""COMPUTED_VALUE"""),FALSE)</f>
        <v>0</v>
      </c>
      <c r="BM103" s="32"/>
      <c r="BN103" s="32"/>
      <c r="BO103" s="32"/>
      <c r="BP103" s="32"/>
      <c r="BQ103" s="32"/>
    </row>
    <row r="104">
      <c r="A104" s="32" t="str">
        <f>IFERROR(__xludf.DUMMYFUNCTION("""COMPUTED_VALUE"""),"Forest Elf")</f>
        <v>Forest Elf</v>
      </c>
      <c r="B104" s="32">
        <f>IFERROR(__xludf.DUMMYFUNCTION("""COMPUTED_VALUE"""),1.0)</f>
        <v>1</v>
      </c>
      <c r="C104" s="32"/>
      <c r="D104" s="33" t="str">
        <f>IFERROR(__xludf.DUMMYFUNCTION("""COMPUTED_VALUE"""),"Fae")</f>
        <v>Fae</v>
      </c>
      <c r="E104" s="33">
        <f>IFERROR(__xludf.DUMMYFUNCTION("""COMPUTED_VALUE"""),1010.0)</f>
        <v>1010</v>
      </c>
      <c r="F104" s="33">
        <f>IFERROR(__xludf.DUMMYFUNCTION("""COMPUTED_VALUE"""),1010.0)</f>
        <v>1010</v>
      </c>
      <c r="G104" s="33">
        <f>IFERROR(__xludf.DUMMYFUNCTION("""COMPUTED_VALUE"""),1010.0)</f>
        <v>1010</v>
      </c>
      <c r="H104" s="32">
        <f>IFERROR(__xludf.DUMMYFUNCTION("""COMPUTED_VALUE"""),10.0)</f>
        <v>10</v>
      </c>
      <c r="I104" s="32">
        <f>IFERROR(__xludf.DUMMYFUNCTION("""COMPUTED_VALUE"""),0.0)</f>
        <v>0</v>
      </c>
      <c r="J104" s="32">
        <f>IFERROR(__xludf.DUMMYFUNCTION("""COMPUTED_VALUE"""),0.0)</f>
        <v>0</v>
      </c>
      <c r="K104" s="32">
        <f>IFERROR(__xludf.DUMMYFUNCTION("""COMPUTED_VALUE"""),100.0)</f>
        <v>100</v>
      </c>
      <c r="L104" s="32">
        <f>IFERROR(__xludf.DUMMYFUNCTION("""COMPUTED_VALUE"""),100.0)</f>
        <v>100</v>
      </c>
      <c r="M104" s="32" t="str">
        <f>IFERROR(__xludf.DUMMYFUNCTION("""COMPUTED_VALUE"""),"Water:100, Nature:100, ")</f>
        <v>Water:100, Nature:100, </v>
      </c>
      <c r="N104" s="32" t="str">
        <f>IFERROR(__xludf.DUMMYFUNCTION("""COMPUTED_VALUE"""),"Fire:100, ")</f>
        <v>Fire:100, </v>
      </c>
      <c r="O104" s="32"/>
      <c r="P104" s="32"/>
      <c r="Q104" s="32"/>
      <c r="R104" s="32"/>
      <c r="S104" s="32"/>
      <c r="T104" s="32"/>
      <c r="U104" s="32"/>
      <c r="V104" s="32" t="str">
        <f>IFERROR(__xludf.DUMMYFUNCTION("""COMPUTED_VALUE"""),"Bow of The Sacred Druids")</f>
        <v>Bow of The Sacred Druids</v>
      </c>
      <c r="W104" s="32"/>
      <c r="X104" s="32"/>
      <c r="Y104" s="32"/>
      <c r="Z104" s="32"/>
      <c r="AA104" s="32"/>
      <c r="AB104" s="32"/>
      <c r="AC104" s="32"/>
      <c r="AD104" s="32"/>
      <c r="AE104" s="32"/>
      <c r="AF104" s="32"/>
      <c r="AG104" s="32"/>
      <c r="AH104" s="32"/>
      <c r="AI104" s="32"/>
      <c r="AJ104" s="32" t="str">
        <f>IFERROR(__xludf.DUMMYFUNCTION("""COMPUTED_VALUE"""),"Poison Ivy")</f>
        <v>Poison Ivy</v>
      </c>
      <c r="AK104" s="32" t="str">
        <f>IFERROR(__xludf.DUMMYFUNCTION("""COMPUTED_VALUE"""),"Vine Hold")</f>
        <v>Vine Hold</v>
      </c>
      <c r="AL104" s="32" t="str">
        <f>IFERROR(__xludf.DUMMYFUNCTION("""COMPUTED_VALUE"""),"Nature ward")</f>
        <v>Nature ward</v>
      </c>
      <c r="AM104" s="32"/>
      <c r="AN104" s="32"/>
      <c r="AO104" s="32"/>
      <c r="AP104" s="32"/>
      <c r="AQ104" s="32"/>
      <c r="AR104" s="32"/>
      <c r="AS104" s="32"/>
      <c r="AT104" s="32"/>
      <c r="AU104" s="32"/>
      <c r="AV104" s="32"/>
      <c r="AW104" s="32"/>
      <c r="AX104" s="32"/>
      <c r="AY104" s="32"/>
      <c r="AZ104" s="32"/>
      <c r="BA104" s="32"/>
      <c r="BB104" s="32"/>
      <c r="BC104" s="32"/>
      <c r="BD104" s="32">
        <f>IFERROR(__xludf.DUMMYFUNCTION("""COMPUTED_VALUE"""),0.0)</f>
        <v>0</v>
      </c>
      <c r="BE104" s="32">
        <f>IFERROR(__xludf.DUMMYFUNCTION("""COMPUTED_VALUE"""),10.0)</f>
        <v>10</v>
      </c>
      <c r="BF104" s="32"/>
      <c r="BG104" s="32" t="str">
        <f>IFERROR(__xludf.DUMMYFUNCTION("""COMPUTED_VALUE"""),"Forest")</f>
        <v>Forest</v>
      </c>
      <c r="BH104" s="32" t="str">
        <f>IFERROR(__xludf.DUMMYFUNCTION("""COMPUTED_VALUE"""),"Land of Spira")</f>
        <v>Land of Spira</v>
      </c>
      <c r="BI104" s="32"/>
      <c r="BJ104" s="32"/>
      <c r="BK104" s="32"/>
      <c r="BL104" s="32" t="b">
        <f>IFERROR(__xludf.DUMMYFUNCTION("""COMPUTED_VALUE"""),FALSE)</f>
        <v>0</v>
      </c>
      <c r="BM104" s="32"/>
      <c r="BN104" s="32"/>
      <c r="BO104" s="32"/>
      <c r="BP104" s="32"/>
      <c r="BQ104" s="32"/>
    </row>
    <row r="105">
      <c r="A105" s="32" t="str">
        <f>IFERROR(__xludf.DUMMYFUNCTION("""COMPUTED_VALUE"""),"Forest Guardian")</f>
        <v>Forest Guardian</v>
      </c>
      <c r="B105" s="32">
        <f>IFERROR(__xludf.DUMMYFUNCTION("""COMPUTED_VALUE"""),1.0)</f>
        <v>1</v>
      </c>
      <c r="C105" s="32"/>
      <c r="D105" s="33" t="str">
        <f>IFERROR(__xludf.DUMMYFUNCTION("""COMPUTED_VALUE"""),"Fae")</f>
        <v>Fae</v>
      </c>
      <c r="E105" s="33">
        <f>IFERROR(__xludf.DUMMYFUNCTION("""COMPUTED_VALUE"""),1010.0)</f>
        <v>1010</v>
      </c>
      <c r="F105" s="33">
        <f>IFERROR(__xludf.DUMMYFUNCTION("""COMPUTED_VALUE"""),1010.0)</f>
        <v>1010</v>
      </c>
      <c r="G105" s="33">
        <f>IFERROR(__xludf.DUMMYFUNCTION("""COMPUTED_VALUE"""),1010.0)</f>
        <v>1010</v>
      </c>
      <c r="H105" s="32">
        <f>IFERROR(__xludf.DUMMYFUNCTION("""COMPUTED_VALUE"""),10.0)</f>
        <v>10</v>
      </c>
      <c r="I105" s="32">
        <f>IFERROR(__xludf.DUMMYFUNCTION("""COMPUTED_VALUE"""),0.0)</f>
        <v>0</v>
      </c>
      <c r="J105" s="32">
        <f>IFERROR(__xludf.DUMMYFUNCTION("""COMPUTED_VALUE"""),0.0)</f>
        <v>0</v>
      </c>
      <c r="K105" s="32">
        <f>IFERROR(__xludf.DUMMYFUNCTION("""COMPUTED_VALUE"""),100.0)</f>
        <v>100</v>
      </c>
      <c r="L105" s="32">
        <f>IFERROR(__xludf.DUMMYFUNCTION("""COMPUTED_VALUE"""),100.0)</f>
        <v>100</v>
      </c>
      <c r="M105" s="32" t="str">
        <f>IFERROR(__xludf.DUMMYFUNCTION("""COMPUTED_VALUE"""),"Nature:Immune, ")</f>
        <v>Nature:Immune, </v>
      </c>
      <c r="N105" s="32" t="str">
        <f>IFERROR(__xludf.DUMMYFUNCTION("""COMPUTED_VALUE"""),"Fire:100, Storm:100, ")</f>
        <v>Fire:100, Storm:100, </v>
      </c>
      <c r="O105" s="32"/>
      <c r="P105" s="32"/>
      <c r="Q105" s="32"/>
      <c r="R105" s="32"/>
      <c r="S105" s="32"/>
      <c r="T105" s="32"/>
      <c r="U105" s="32"/>
      <c r="V105" s="32"/>
      <c r="W105" s="32"/>
      <c r="X105" s="32"/>
      <c r="Y105" s="32"/>
      <c r="Z105" s="32"/>
      <c r="AA105" s="32"/>
      <c r="AB105" s="32"/>
      <c r="AC105" s="32"/>
      <c r="AD105" s="32"/>
      <c r="AE105" s="32"/>
      <c r="AF105" s="32"/>
      <c r="AG105" s="32"/>
      <c r="AH105" s="32"/>
      <c r="AI105" s="32"/>
      <c r="AJ105" s="32" t="str">
        <f>IFERROR(__xludf.DUMMYFUNCTION("""COMPUTED_VALUE"""),"Nature ward")</f>
        <v>Nature ward</v>
      </c>
      <c r="AK105" s="32" t="str">
        <f>IFERROR(__xludf.DUMMYFUNCTION("""COMPUTED_VALUE"""),"Vine Whip")</f>
        <v>Vine Whip</v>
      </c>
      <c r="AL105" s="32" t="str">
        <f>IFERROR(__xludf.DUMMYFUNCTION("""COMPUTED_VALUE"""),"Vine Hold")</f>
        <v>Vine Hold</v>
      </c>
      <c r="AM105" s="32"/>
      <c r="AN105" s="32"/>
      <c r="AO105" s="32"/>
      <c r="AP105" s="32" t="str">
        <f>IFERROR(__xludf.DUMMYFUNCTION("""COMPUTED_VALUE"""),"Second Chance")</f>
        <v>Second Chance</v>
      </c>
      <c r="AQ105" s="32"/>
      <c r="AR105" s="32"/>
      <c r="AS105" s="32"/>
      <c r="AT105" s="32"/>
      <c r="AU105" s="32"/>
      <c r="AV105" s="32"/>
      <c r="AW105" s="32"/>
      <c r="AX105" s="32"/>
      <c r="AY105" s="32"/>
      <c r="AZ105" s="32"/>
      <c r="BA105" s="32"/>
      <c r="BB105" s="32"/>
      <c r="BC105" s="32"/>
      <c r="BD105" s="32">
        <f>IFERROR(__xludf.DUMMYFUNCTION("""COMPUTED_VALUE"""),0.0)</f>
        <v>0</v>
      </c>
      <c r="BE105" s="32">
        <f>IFERROR(__xludf.DUMMYFUNCTION("""COMPUTED_VALUE"""),10.0)</f>
        <v>10</v>
      </c>
      <c r="BF105" s="32"/>
      <c r="BG105" s="32" t="str">
        <f>IFERROR(__xludf.DUMMYFUNCTION("""COMPUTED_VALUE"""),"Forest")</f>
        <v>Forest</v>
      </c>
      <c r="BH105" s="32" t="str">
        <f>IFERROR(__xludf.DUMMYFUNCTION("""COMPUTED_VALUE"""),"Land Of Spira")</f>
        <v>Land Of Spira</v>
      </c>
      <c r="BI105" s="32"/>
      <c r="BJ105" s="32"/>
      <c r="BK105" s="32"/>
      <c r="BL105" s="32" t="b">
        <f>IFERROR(__xludf.DUMMYFUNCTION("""COMPUTED_VALUE"""),FALSE)</f>
        <v>0</v>
      </c>
      <c r="BM105" s="32"/>
      <c r="BN105" s="32"/>
      <c r="BO105" s="32"/>
      <c r="BP105" s="32"/>
      <c r="BQ105" s="32"/>
    </row>
    <row r="106">
      <c r="A106" s="32" t="str">
        <f>IFERROR(__xludf.DUMMYFUNCTION("""COMPUTED_VALUE"""),"Frost Dragon")</f>
        <v>Frost Dragon</v>
      </c>
      <c r="B106" s="32">
        <f>IFERROR(__xludf.DUMMYFUNCTION("""COMPUTED_VALUE"""),1.0)</f>
        <v>1</v>
      </c>
      <c r="C106" s="32"/>
      <c r="D106" s="32" t="str">
        <f>IFERROR(__xludf.DUMMYFUNCTION("""COMPUTED_VALUE"""),"Draconic")</f>
        <v>Draconic</v>
      </c>
      <c r="E106" s="32">
        <f>IFERROR(__xludf.DUMMYFUNCTION("""COMPUTED_VALUE"""),31010.0)</f>
        <v>31010</v>
      </c>
      <c r="F106" s="33">
        <f>IFERROR(__xludf.DUMMYFUNCTION("""COMPUTED_VALUE"""),31010.0)</f>
        <v>31010</v>
      </c>
      <c r="G106" s="32">
        <f>IFERROR(__xludf.DUMMYFUNCTION("""COMPUTED_VALUE"""),1010.0)</f>
        <v>1010</v>
      </c>
      <c r="H106" s="32">
        <f>IFERROR(__xludf.DUMMYFUNCTION("""COMPUTED_VALUE"""),10.0)</f>
        <v>10</v>
      </c>
      <c r="I106" s="32">
        <f>IFERROR(__xludf.DUMMYFUNCTION("""COMPUTED_VALUE"""),0.0)</f>
        <v>0</v>
      </c>
      <c r="J106" s="32">
        <f>IFERROR(__xludf.DUMMYFUNCTION("""COMPUTED_VALUE"""),0.0)</f>
        <v>0</v>
      </c>
      <c r="K106" s="32">
        <f>IFERROR(__xludf.DUMMYFUNCTION("""COMPUTED_VALUE"""),100.0)</f>
        <v>100</v>
      </c>
      <c r="L106" s="32">
        <f>IFERROR(__xludf.DUMMYFUNCTION("""COMPUTED_VALUE"""),100.0)</f>
        <v>100</v>
      </c>
      <c r="M106" s="32" t="str">
        <f>IFERROR(__xludf.DUMMYFUNCTION("""COMPUTED_VALUE"""),"Water:Immune, Instant Death:Immune, Banishment:Immune, ")</f>
        <v>Water:Immune, Instant Death:Immune, Banishment:Immune, </v>
      </c>
      <c r="N106" s="32" t="str">
        <f>IFERROR(__xludf.DUMMYFUNCTION("""COMPUTED_VALUE"""),"Fire:100, Nature:100, ")</f>
        <v>Fire:100, Nature:100, </v>
      </c>
      <c r="O106" s="32"/>
      <c r="P106" s="32"/>
      <c r="Q106" s="32"/>
      <c r="R106" s="32"/>
      <c r="S106" s="32"/>
      <c r="T106" s="32"/>
      <c r="U106" s="32"/>
      <c r="V106" s="32"/>
      <c r="W106" s="32"/>
      <c r="X106" s="32"/>
      <c r="Y106" s="32"/>
      <c r="Z106" s="32"/>
      <c r="AA106" s="32"/>
      <c r="AB106" s="32"/>
      <c r="AC106" s="32"/>
      <c r="AD106" s="32"/>
      <c r="AE106" s="32"/>
      <c r="AF106" s="32"/>
      <c r="AG106" s="32"/>
      <c r="AH106" s="32"/>
      <c r="AI106" s="32"/>
      <c r="AJ106" s="32" t="str">
        <f>IFERROR(__xludf.DUMMYFUNCTION("""COMPUTED_VALUE"""),"Dragon's Breath")</f>
        <v>Dragon's Breath</v>
      </c>
      <c r="AK106" s="32" t="str">
        <f>IFERROR(__xludf.DUMMYFUNCTION("""COMPUTED_VALUE"""),"Bite")</f>
        <v>Bite</v>
      </c>
      <c r="AL106" s="32" t="str">
        <f>IFERROR(__xludf.DUMMYFUNCTION("""COMPUTED_VALUE"""),"Tail Smash")</f>
        <v>Tail Smash</v>
      </c>
      <c r="AM106" s="32" t="str">
        <f>IFERROR(__xludf.DUMMYFUNCTION("""COMPUTED_VALUE"""),"Claws")</f>
        <v>Claws</v>
      </c>
      <c r="AN106" s="32" t="str">
        <f>IFERROR(__xludf.DUMMYFUNCTION("""COMPUTED_VALUE"""),"Berserk")</f>
        <v>Berserk</v>
      </c>
      <c r="AO106" s="32" t="str">
        <f>IFERROR(__xludf.DUMMYFUNCTION("""COMPUTED_VALUE"""),"Multishot")</f>
        <v>Multishot</v>
      </c>
      <c r="AP106" s="32" t="str">
        <f>IFERROR(__xludf.DUMMYFUNCTION("""COMPUTED_VALUE"""),"Draconic Scream")</f>
        <v>Draconic Scream</v>
      </c>
      <c r="AQ106" s="32" t="str">
        <f>IFERROR(__xludf.DUMMYFUNCTION("""COMPUTED_VALUE"""),"Freezing Fog")</f>
        <v>Freezing Fog</v>
      </c>
      <c r="AR106" s="32" t="str">
        <f>IFERROR(__xludf.DUMMYFUNCTION("""COMPUTED_VALUE"""),"HailStorm")</f>
        <v>HailStorm</v>
      </c>
      <c r="AS106" s="32" t="str">
        <f>IFERROR(__xludf.DUMMYFUNCTION("""COMPUTED_VALUE"""),"Blizzard")</f>
        <v>Blizzard</v>
      </c>
      <c r="AT106" s="32" t="str">
        <f>IFERROR(__xludf.DUMMYFUNCTION("""COMPUTED_VALUE"""),"Celestial Wrath")</f>
        <v>Celestial Wrath</v>
      </c>
      <c r="AU106" s="32"/>
      <c r="AV106" s="32"/>
      <c r="AW106" s="32"/>
      <c r="AX106" s="32"/>
      <c r="AY106" s="32"/>
      <c r="AZ106" s="32"/>
      <c r="BA106" s="32"/>
      <c r="BB106" s="32"/>
      <c r="BC106" s="32"/>
      <c r="BD106" s="32">
        <f>IFERROR(__xludf.DUMMYFUNCTION("""COMPUTED_VALUE"""),0.0)</f>
        <v>0</v>
      </c>
      <c r="BE106" s="32">
        <f>IFERROR(__xludf.DUMMYFUNCTION("""COMPUTED_VALUE"""),10.0)</f>
        <v>10</v>
      </c>
      <c r="BF106" s="32"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32" t="str">
        <f>IFERROR(__xludf.DUMMYFUNCTION("""COMPUTED_VALUE"""),"Tundra")</f>
        <v>Tundra</v>
      </c>
      <c r="BH106" s="32" t="str">
        <f>IFERROR(__xludf.DUMMYFUNCTION("""COMPUTED_VALUE"""),"Dragonscale Island")</f>
        <v>Dragonscale Island</v>
      </c>
      <c r="BI106" s="32"/>
      <c r="BJ106" s="32"/>
      <c r="BK106" s="32"/>
      <c r="BL106" s="32" t="b">
        <f>IFERROR(__xludf.DUMMYFUNCTION("""COMPUTED_VALUE"""),FALSE)</f>
        <v>0</v>
      </c>
      <c r="BM106" s="32"/>
      <c r="BN106" s="32"/>
      <c r="BO106" s="32"/>
      <c r="BP106" s="32"/>
      <c r="BQ106" s="32"/>
    </row>
    <row r="107">
      <c r="A107" s="32" t="str">
        <f>IFERROR(__xludf.DUMMYFUNCTION("""COMPUTED_VALUE"""),"Frost Knight")</f>
        <v>Frost Knight</v>
      </c>
      <c r="B107" s="32">
        <f>IFERROR(__xludf.DUMMYFUNCTION("""COMPUTED_VALUE"""),1.0)</f>
        <v>1</v>
      </c>
      <c r="C107" s="32"/>
      <c r="D107" s="33" t="str">
        <f>IFERROR(__xludf.DUMMYFUNCTION("""COMPUTED_VALUE"""),"Humanoid")</f>
        <v>Humanoid</v>
      </c>
      <c r="E107" s="33">
        <f>IFERROR(__xludf.DUMMYFUNCTION("""COMPUTED_VALUE"""),1010.0)</f>
        <v>1010</v>
      </c>
      <c r="F107" s="33">
        <f>IFERROR(__xludf.DUMMYFUNCTION("""COMPUTED_VALUE"""),1010.0)</f>
        <v>1010</v>
      </c>
      <c r="G107" s="33">
        <f>IFERROR(__xludf.DUMMYFUNCTION("""COMPUTED_VALUE"""),1010.0)</f>
        <v>1010</v>
      </c>
      <c r="H107" s="32">
        <f>IFERROR(__xludf.DUMMYFUNCTION("""COMPUTED_VALUE"""),10.0)</f>
        <v>10</v>
      </c>
      <c r="I107" s="32">
        <f>IFERROR(__xludf.DUMMYFUNCTION("""COMPUTED_VALUE"""),0.0)</f>
        <v>0</v>
      </c>
      <c r="J107" s="32">
        <f>IFERROR(__xludf.DUMMYFUNCTION("""COMPUTED_VALUE"""),0.0)</f>
        <v>0</v>
      </c>
      <c r="K107" s="32">
        <f>IFERROR(__xludf.DUMMYFUNCTION("""COMPUTED_VALUE"""),100.0)</f>
        <v>100</v>
      </c>
      <c r="L107" s="32">
        <f>IFERROR(__xludf.DUMMYFUNCTION("""COMPUTED_VALUE"""),100.0)</f>
        <v>100</v>
      </c>
      <c r="M107" s="32" t="str">
        <f>IFERROR(__xludf.DUMMYFUNCTION("""COMPUTED_VALUE"""),"Water:Immune, Instant Death:Immune, Banishment:Immune, ")</f>
        <v>Water:Immune, Instant Death:Immune, Banishment:Immune, </v>
      </c>
      <c r="N107" s="32" t="str">
        <f>IFERROR(__xludf.DUMMYFUNCTION("""COMPUTED_VALUE"""),"Fire:100, Nature:100, ")</f>
        <v>Fire:100, Nature:100, </v>
      </c>
      <c r="O107" s="32"/>
      <c r="P107" s="32"/>
      <c r="Q107" s="32"/>
      <c r="R107" s="32"/>
      <c r="S107" s="32"/>
      <c r="T107" s="32"/>
      <c r="U107" s="32"/>
      <c r="V107" s="32" t="str">
        <f>IFERROR(__xludf.DUMMYFUNCTION("""COMPUTED_VALUE"""),"Frozen Soul Lantern")</f>
        <v>Frozen Soul Lantern</v>
      </c>
      <c r="W107" s="32" t="str">
        <f>IFERROR(__xludf.DUMMYFUNCTION("""COMPUTED_VALUE"""),"Frozen Falchion")</f>
        <v>Frozen Falchion</v>
      </c>
      <c r="X107" s="32"/>
      <c r="Y107" s="32"/>
      <c r="Z107" s="32"/>
      <c r="AA107" s="32"/>
      <c r="AB107" s="32"/>
      <c r="AC107" s="32"/>
      <c r="AD107" s="32"/>
      <c r="AE107" s="32"/>
      <c r="AF107" s="32"/>
      <c r="AG107" s="32"/>
      <c r="AH107" s="32"/>
      <c r="AI107" s="32"/>
      <c r="AJ107" s="32" t="str">
        <f>IFERROR(__xludf.DUMMYFUNCTION("""COMPUTED_VALUE"""),"Frost Cloak")</f>
        <v>Frost Cloak</v>
      </c>
      <c r="AK107" s="32" t="str">
        <f>IFERROR(__xludf.DUMMYFUNCTION("""COMPUTED_VALUE"""),"Blizzard")</f>
        <v>Blizzard</v>
      </c>
      <c r="AL107" s="32" t="str">
        <f>IFERROR(__xludf.DUMMYFUNCTION("""COMPUTED_VALUE"""),"Freezing Fog")</f>
        <v>Freezing Fog</v>
      </c>
      <c r="AM107" s="32" t="str">
        <f>IFERROR(__xludf.DUMMYFUNCTION("""COMPUTED_VALUE"""),"Chaincast")</f>
        <v>Chaincast</v>
      </c>
      <c r="AN107" s="32" t="str">
        <f>IFERROR(__xludf.DUMMYFUNCTION("""COMPUTED_VALUE"""),"Berserk")</f>
        <v>Berserk</v>
      </c>
      <c r="AO107" s="32" t="str">
        <f>IFERROR(__xludf.DUMMYFUNCTION("""COMPUTED_VALUE"""),"Roaring Frost Winds")</f>
        <v>Roaring Frost Winds</v>
      </c>
      <c r="AP107" s="32" t="str">
        <f>IFERROR(__xludf.DUMMYFUNCTION("""COMPUTED_VALUE"""),"Arrest")</f>
        <v>Arrest</v>
      </c>
      <c r="AQ107" s="32" t="str">
        <f>IFERROR(__xludf.DUMMYFUNCTION("""COMPUTED_VALUE"""),"Celestial Wrath")</f>
        <v>Celestial Wrath</v>
      </c>
      <c r="AR107" s="32" t="str">
        <f>IFERROR(__xludf.DUMMYFUNCTION("""COMPUTED_VALUE"""),"Avalanche")</f>
        <v>Avalanche</v>
      </c>
      <c r="AS107" s="32"/>
      <c r="AT107" s="32"/>
      <c r="AU107" s="32"/>
      <c r="AV107" s="32"/>
      <c r="AW107" s="32"/>
      <c r="AX107" s="32"/>
      <c r="AY107" s="32"/>
      <c r="AZ107" s="32"/>
      <c r="BA107" s="32"/>
      <c r="BB107" s="32"/>
      <c r="BC107" s="32"/>
      <c r="BD107" s="32">
        <f>IFERROR(__xludf.DUMMYFUNCTION("""COMPUTED_VALUE"""),0.0)</f>
        <v>0</v>
      </c>
      <c r="BE107" s="32">
        <f>IFERROR(__xludf.DUMMYFUNCTION("""COMPUTED_VALUE"""),10.0)</f>
        <v>10</v>
      </c>
      <c r="BF107" s="32"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32" t="str">
        <f>IFERROR(__xludf.DUMMYFUNCTION("""COMPUTED_VALUE"""),"Tundra")</f>
        <v>Tundra</v>
      </c>
      <c r="BH107" s="32" t="str">
        <f>IFERROR(__xludf.DUMMYFUNCTION("""COMPUTED_VALUE"""),"Land of Spira")</f>
        <v>Land of Spira</v>
      </c>
      <c r="BI107" s="32"/>
      <c r="BJ107" s="32"/>
      <c r="BK107" s="32"/>
      <c r="BL107" s="32" t="b">
        <f>IFERROR(__xludf.DUMMYFUNCTION("""COMPUTED_VALUE"""),FALSE)</f>
        <v>0</v>
      </c>
      <c r="BM107" s="32"/>
      <c r="BN107" s="32"/>
      <c r="BO107" s="32"/>
      <c r="BP107" s="32"/>
      <c r="BQ107" s="32"/>
    </row>
    <row r="108">
      <c r="A108" s="32" t="str">
        <f>IFERROR(__xludf.DUMMYFUNCTION("""COMPUTED_VALUE"""),"Giant")</f>
        <v>Giant</v>
      </c>
      <c r="B108" s="32">
        <f>IFERROR(__xludf.DUMMYFUNCTION("""COMPUTED_VALUE"""),1.0)</f>
        <v>1</v>
      </c>
      <c r="C108" s="32"/>
      <c r="D108" s="33" t="str">
        <f>IFERROR(__xludf.DUMMYFUNCTION("""COMPUTED_VALUE"""),"Giant")</f>
        <v>Giant</v>
      </c>
      <c r="E108" s="33">
        <f>IFERROR(__xludf.DUMMYFUNCTION("""COMPUTED_VALUE"""),1010.0)</f>
        <v>1010</v>
      </c>
      <c r="F108" s="33">
        <f>IFERROR(__xludf.DUMMYFUNCTION("""COMPUTED_VALUE"""),1010.0)</f>
        <v>1010</v>
      </c>
      <c r="G108" s="33">
        <f>IFERROR(__xludf.DUMMYFUNCTION("""COMPUTED_VALUE"""),1010.0)</f>
        <v>1010</v>
      </c>
      <c r="H108" s="32">
        <f>IFERROR(__xludf.DUMMYFUNCTION("""COMPUTED_VALUE"""),10.0)</f>
        <v>10</v>
      </c>
      <c r="I108" s="32">
        <f>IFERROR(__xludf.DUMMYFUNCTION("""COMPUTED_VALUE"""),0.0)</f>
        <v>0</v>
      </c>
      <c r="J108" s="32">
        <f>IFERROR(__xludf.DUMMYFUNCTION("""COMPUTED_VALUE"""),0.0)</f>
        <v>0</v>
      </c>
      <c r="K108" s="32">
        <f>IFERROR(__xludf.DUMMYFUNCTION("""COMPUTED_VALUE"""),100.0)</f>
        <v>100</v>
      </c>
      <c r="L108" s="32">
        <f>IFERROR(__xludf.DUMMYFUNCTION("""COMPUTED_VALUE"""),100.0)</f>
        <v>100</v>
      </c>
      <c r="M108" s="32" t="str">
        <f>IFERROR(__xludf.DUMMYFUNCTION("""COMPUTED_VALUE"""),"Earth:100, ")</f>
        <v>Earth:100, </v>
      </c>
      <c r="N108" s="32" t="str">
        <f>IFERROR(__xludf.DUMMYFUNCTION("""COMPUTED_VALUE"""),"")</f>
        <v/>
      </c>
      <c r="O108" s="32"/>
      <c r="P108" s="32"/>
      <c r="Q108" s="32"/>
      <c r="R108" s="32"/>
      <c r="S108" s="32"/>
      <c r="T108" s="32"/>
      <c r="U108" s="32"/>
      <c r="V108" s="32" t="str">
        <f>IFERROR(__xludf.DUMMYFUNCTION("""COMPUTED_VALUE"""),"Bone Sword ")</f>
        <v>Bone Sword </v>
      </c>
      <c r="W108" s="32"/>
      <c r="X108" s="32"/>
      <c r="Y108" s="32"/>
      <c r="Z108" s="32"/>
      <c r="AA108" s="32"/>
      <c r="AB108" s="32"/>
      <c r="AC108" s="32"/>
      <c r="AD108" s="32"/>
      <c r="AE108" s="32"/>
      <c r="AF108" s="32"/>
      <c r="AG108" s="32"/>
      <c r="AH108" s="32"/>
      <c r="AI108" s="32"/>
      <c r="AJ108" s="32" t="str">
        <f>IFERROR(__xludf.DUMMYFUNCTION("""COMPUTED_VALUE"""),"Punch")</f>
        <v>Punch</v>
      </c>
      <c r="AK108" s="32" t="str">
        <f>IFERROR(__xludf.DUMMYFUNCTION("""COMPUTED_VALUE"""),"Rock Shot")</f>
        <v>Rock Shot</v>
      </c>
      <c r="AL108" s="32" t="str">
        <f>IFERROR(__xludf.DUMMYFUNCTION("""COMPUTED_VALUE"""),"Berserk")</f>
        <v>Berserk</v>
      </c>
      <c r="AM108" s="32"/>
      <c r="AN108" s="32"/>
      <c r="AO108" s="32"/>
      <c r="AP108" s="32"/>
      <c r="AQ108" s="32"/>
      <c r="AR108" s="32"/>
      <c r="AS108" s="32"/>
      <c r="AT108" s="32"/>
      <c r="AU108" s="32"/>
      <c r="AV108" s="32"/>
      <c r="AW108" s="32"/>
      <c r="AX108" s="32"/>
      <c r="AY108" s="32"/>
      <c r="AZ108" s="32"/>
      <c r="BA108" s="32"/>
      <c r="BB108" s="32"/>
      <c r="BC108" s="32"/>
      <c r="BD108" s="32">
        <f>IFERROR(__xludf.DUMMYFUNCTION("""COMPUTED_VALUE"""),0.0)</f>
        <v>0</v>
      </c>
      <c r="BE108" s="32">
        <f>IFERROR(__xludf.DUMMYFUNCTION("""COMPUTED_VALUE"""),10.0)</f>
        <v>10</v>
      </c>
      <c r="BF108" s="32"/>
      <c r="BG108" s="32" t="str">
        <f>IFERROR(__xludf.DUMMYFUNCTION("""COMPUTED_VALUE"""),"All")</f>
        <v>All</v>
      </c>
      <c r="BH108" s="32" t="str">
        <f>IFERROR(__xludf.DUMMYFUNCTION("""COMPUTED_VALUE"""),"Land of Spira")</f>
        <v>Land of Spira</v>
      </c>
      <c r="BI108" s="32"/>
      <c r="BJ108" s="32"/>
      <c r="BK108" s="32"/>
      <c r="BL108" s="32" t="b">
        <f>IFERROR(__xludf.DUMMYFUNCTION("""COMPUTED_VALUE"""),FALSE)</f>
        <v>0</v>
      </c>
      <c r="BM108" s="32"/>
      <c r="BN108" s="32"/>
      <c r="BO108" s="32"/>
      <c r="BP108" s="32"/>
      <c r="BQ108" s="32"/>
    </row>
    <row r="109">
      <c r="A109" s="32" t="str">
        <f>IFERROR(__xludf.DUMMYFUNCTION("""COMPUTED_VALUE"""),"Giant Alligator (WD)")</f>
        <v>Giant Alligator (WD)</v>
      </c>
      <c r="B109" s="32">
        <f>IFERROR(__xludf.DUMMYFUNCTION("""COMPUTED_VALUE"""),1.0)</f>
        <v>1</v>
      </c>
      <c r="C109" s="32"/>
      <c r="D109" s="33" t="str">
        <f>IFERROR(__xludf.DUMMYFUNCTION("""COMPUTED_VALUE"""),"Beast")</f>
        <v>Beast</v>
      </c>
      <c r="E109" s="33">
        <f>IFERROR(__xludf.DUMMYFUNCTION("""COMPUTED_VALUE"""),16010.0)</f>
        <v>16010</v>
      </c>
      <c r="F109" s="33">
        <f>IFERROR(__xludf.DUMMYFUNCTION("""COMPUTED_VALUE"""),1010.0)</f>
        <v>1010</v>
      </c>
      <c r="G109" s="33">
        <f>IFERROR(__xludf.DUMMYFUNCTION("""COMPUTED_VALUE"""),16010.0)</f>
        <v>16010</v>
      </c>
      <c r="H109" s="32">
        <f>IFERROR(__xludf.DUMMYFUNCTION("""COMPUTED_VALUE"""),10.0)</f>
        <v>10</v>
      </c>
      <c r="I109" s="32">
        <f>IFERROR(__xludf.DUMMYFUNCTION("""COMPUTED_VALUE"""),0.0)</f>
        <v>0</v>
      </c>
      <c r="J109" s="32">
        <f>IFERROR(__xludf.DUMMYFUNCTION("""COMPUTED_VALUE"""),0.0)</f>
        <v>0</v>
      </c>
      <c r="K109" s="32">
        <f>IFERROR(__xludf.DUMMYFUNCTION("""COMPUTED_VALUE"""),100.0)</f>
        <v>100</v>
      </c>
      <c r="L109" s="32">
        <f>IFERROR(__xludf.DUMMYFUNCTION("""COMPUTED_VALUE"""),100.0)</f>
        <v>100</v>
      </c>
      <c r="M109" s="32" t="str">
        <f>IFERROR(__xludf.DUMMYFUNCTION("""COMPUTED_VALUE"""),"Fire:Immune, Water:Immune, ")</f>
        <v>Fire:Immune, Water:Immune, </v>
      </c>
      <c r="N109" s="32" t="str">
        <f>IFERROR(__xludf.DUMMYFUNCTION("""COMPUTED_VALUE"""),"Nature:100, ")</f>
        <v>Nature:100, </v>
      </c>
      <c r="O109" s="32"/>
      <c r="P109" s="32"/>
      <c r="Q109" s="32"/>
      <c r="R109" s="32"/>
      <c r="S109" s="32"/>
      <c r="T109" s="32"/>
      <c r="U109" s="32"/>
      <c r="V109" s="32"/>
      <c r="W109" s="32"/>
      <c r="X109" s="32"/>
      <c r="Y109" s="32"/>
      <c r="Z109" s="32"/>
      <c r="AA109" s="32"/>
      <c r="AB109" s="32"/>
      <c r="AC109" s="32"/>
      <c r="AD109" s="32"/>
      <c r="AE109" s="32"/>
      <c r="AF109" s="32"/>
      <c r="AG109" s="32"/>
      <c r="AH109" s="32"/>
      <c r="AI109" s="32"/>
      <c r="AJ109" s="32" t="str">
        <f>IFERROR(__xludf.DUMMYFUNCTION("""COMPUTED_VALUE"""),"Reckless Chomp ")</f>
        <v>Reckless Chomp </v>
      </c>
      <c r="AK109" s="32" t="str">
        <f>IFERROR(__xludf.DUMMYFUNCTION("""COMPUTED_VALUE"""),"Aggresive Tear")</f>
        <v>Aggresive Tear</v>
      </c>
      <c r="AL109" s="32" t="str">
        <f>IFERROR(__xludf.DUMMYFUNCTION("""COMPUTED_VALUE"""),"Frostbite")</f>
        <v>Frostbite</v>
      </c>
      <c r="AM109" s="32" t="str">
        <f>IFERROR(__xludf.DUMMYFUNCTION("""COMPUTED_VALUE"""),"Torrential Downpour")</f>
        <v>Torrential Downpour</v>
      </c>
      <c r="AN109" s="32" t="str">
        <f>IFERROR(__xludf.DUMMYFUNCTION("""COMPUTED_VALUE"""),"Berserk")</f>
        <v>Berserk</v>
      </c>
      <c r="AO109" s="32" t="str">
        <f>IFERROR(__xludf.DUMMYFUNCTION("""COMPUTED_VALUE"""),"Tackle")</f>
        <v>Tackle</v>
      </c>
      <c r="AP109" s="32" t="str">
        <f>IFERROR(__xludf.DUMMYFUNCTION("""COMPUTED_VALUE"""),"Guard")</f>
        <v>Guard</v>
      </c>
      <c r="AQ109" s="32"/>
      <c r="AR109" s="32"/>
      <c r="AS109" s="32"/>
      <c r="AT109" s="32"/>
      <c r="AU109" s="32"/>
      <c r="AV109" s="32"/>
      <c r="AW109" s="32"/>
      <c r="AX109" s="32"/>
      <c r="AY109" s="32"/>
      <c r="AZ109" s="32"/>
      <c r="BA109" s="32"/>
      <c r="BB109" s="32"/>
      <c r="BC109" s="32"/>
      <c r="BD109" s="32">
        <f>IFERROR(__xludf.DUMMYFUNCTION("""COMPUTED_VALUE"""),0.0)</f>
        <v>0</v>
      </c>
      <c r="BE109" s="32">
        <f>IFERROR(__xludf.DUMMYFUNCTION("""COMPUTED_VALUE"""),10.0)</f>
        <v>10</v>
      </c>
      <c r="BF109" s="32"/>
      <c r="BG109" s="32" t="str">
        <f>IFERROR(__xludf.DUMMYFUNCTION("""COMPUTED_VALUE"""),"Ocean")</f>
        <v>Ocean</v>
      </c>
      <c r="BH109" s="32" t="str">
        <f>IFERROR(__xludf.DUMMYFUNCTION("""COMPUTED_VALUE"""),"Land Of Spira")</f>
        <v>Land Of Spira</v>
      </c>
      <c r="BI109" s="32"/>
      <c r="BJ109" s="32"/>
      <c r="BK109" s="32"/>
      <c r="BL109" s="32" t="b">
        <f>IFERROR(__xludf.DUMMYFUNCTION("""COMPUTED_VALUE"""),FALSE)</f>
        <v>0</v>
      </c>
      <c r="BM109" s="32"/>
      <c r="BN109" s="32"/>
      <c r="BO109" s="32"/>
      <c r="BP109" s="32"/>
      <c r="BQ109" s="32"/>
    </row>
    <row r="110">
      <c r="A110" s="32" t="str">
        <f>IFERROR(__xludf.DUMMYFUNCTION("""COMPUTED_VALUE"""),"Giant Alligator (WD) (Enhanced)")</f>
        <v>Giant Alligator (WD) (Enhanced)</v>
      </c>
      <c r="B110" s="32">
        <f>IFERROR(__xludf.DUMMYFUNCTION("""COMPUTED_VALUE"""),1.0)</f>
        <v>1</v>
      </c>
      <c r="C110" s="32"/>
      <c r="D110" s="33" t="str">
        <f>IFERROR(__xludf.DUMMYFUNCTION("""COMPUTED_VALUE"""),"Beast")</f>
        <v>Beast</v>
      </c>
      <c r="E110" s="33">
        <f>IFERROR(__xludf.DUMMYFUNCTION("""COMPUTED_VALUE"""),16010.0)</f>
        <v>16010</v>
      </c>
      <c r="F110" s="33">
        <f>IFERROR(__xludf.DUMMYFUNCTION("""COMPUTED_VALUE"""),1010.0)</f>
        <v>1010</v>
      </c>
      <c r="G110" s="33">
        <f>IFERROR(__xludf.DUMMYFUNCTION("""COMPUTED_VALUE"""),16010.0)</f>
        <v>16010</v>
      </c>
      <c r="H110" s="32">
        <f>IFERROR(__xludf.DUMMYFUNCTION("""COMPUTED_VALUE"""),10.0)</f>
        <v>10</v>
      </c>
      <c r="I110" s="32">
        <f>IFERROR(__xludf.DUMMYFUNCTION("""COMPUTED_VALUE"""),0.0)</f>
        <v>0</v>
      </c>
      <c r="J110" s="32">
        <f>IFERROR(__xludf.DUMMYFUNCTION("""COMPUTED_VALUE"""),0.0)</f>
        <v>0</v>
      </c>
      <c r="K110" s="32">
        <f>IFERROR(__xludf.DUMMYFUNCTION("""COMPUTED_VALUE"""),100.0)</f>
        <v>100</v>
      </c>
      <c r="L110" s="32">
        <f>IFERROR(__xludf.DUMMYFUNCTION("""COMPUTED_VALUE"""),100.0)</f>
        <v>100</v>
      </c>
      <c r="M110" s="32" t="str">
        <f>IFERROR(__xludf.DUMMYFUNCTION("""COMPUTED_VALUE"""),"Fire:Immune, Water:Immune, ")</f>
        <v>Fire:Immune, Water:Immune, </v>
      </c>
      <c r="N110" s="32" t="str">
        <f>IFERROR(__xludf.DUMMYFUNCTION("""COMPUTED_VALUE"""),"Nature:100, ")</f>
        <v>Nature:100, </v>
      </c>
      <c r="O110" s="32"/>
      <c r="P110" s="32"/>
      <c r="Q110" s="32"/>
      <c r="R110" s="32"/>
      <c r="S110" s="32"/>
      <c r="T110" s="32"/>
      <c r="U110" s="32"/>
      <c r="V110" s="32"/>
      <c r="W110" s="32"/>
      <c r="X110" s="32"/>
      <c r="Y110" s="32"/>
      <c r="Z110" s="32"/>
      <c r="AA110" s="32"/>
      <c r="AB110" s="32"/>
      <c r="AC110" s="32"/>
      <c r="AD110" s="32"/>
      <c r="AE110" s="32"/>
      <c r="AF110" s="32"/>
      <c r="AG110" s="32"/>
      <c r="AH110" s="32"/>
      <c r="AI110" s="32"/>
      <c r="AJ110" s="32" t="str">
        <f>IFERROR(__xludf.DUMMYFUNCTION("""COMPUTED_VALUE"""),"Aggressive Chomp")</f>
        <v>Aggressive Chomp</v>
      </c>
      <c r="AK110" s="32" t="str">
        <f>IFERROR(__xludf.DUMMYFUNCTION("""COMPUTED_VALUE"""),"Aggresive Tear")</f>
        <v>Aggresive Tear</v>
      </c>
      <c r="AL110" s="32" t="str">
        <f>IFERROR(__xludf.DUMMYFUNCTION("""COMPUTED_VALUE"""),"Frostbite")</f>
        <v>Frostbite</v>
      </c>
      <c r="AM110" s="32" t="str">
        <f>IFERROR(__xludf.DUMMYFUNCTION("""COMPUTED_VALUE"""),"Torrential Downpour")</f>
        <v>Torrential Downpour</v>
      </c>
      <c r="AN110" s="32" t="str">
        <f>IFERROR(__xludf.DUMMYFUNCTION("""COMPUTED_VALUE"""),"Berserk")</f>
        <v>Berserk</v>
      </c>
      <c r="AO110" s="32" t="str">
        <f>IFERROR(__xludf.DUMMYFUNCTION("""COMPUTED_VALUE"""),"Tackle")</f>
        <v>Tackle</v>
      </c>
      <c r="AP110" s="32" t="str">
        <f>IFERROR(__xludf.DUMMYFUNCTION("""COMPUTED_VALUE"""),"Guard")</f>
        <v>Guard</v>
      </c>
      <c r="AQ110" s="32"/>
      <c r="AR110" s="32"/>
      <c r="AS110" s="32"/>
      <c r="AT110" s="32"/>
      <c r="AU110" s="32"/>
      <c r="AV110" s="32"/>
      <c r="AW110" s="32"/>
      <c r="AX110" s="32"/>
      <c r="AY110" s="32"/>
      <c r="AZ110" s="32"/>
      <c r="BA110" s="32"/>
      <c r="BB110" s="32"/>
      <c r="BC110" s="32"/>
      <c r="BD110" s="32">
        <f>IFERROR(__xludf.DUMMYFUNCTION("""COMPUTED_VALUE"""),0.0)</f>
        <v>0</v>
      </c>
      <c r="BE110" s="32">
        <f>IFERROR(__xludf.DUMMYFUNCTION("""COMPUTED_VALUE"""),10.0)</f>
        <v>10</v>
      </c>
      <c r="BF110" s="32"/>
      <c r="BG110" s="32" t="str">
        <f>IFERROR(__xludf.DUMMYFUNCTION("""COMPUTED_VALUE"""),"Ocean")</f>
        <v>Ocean</v>
      </c>
      <c r="BH110" s="32" t="str">
        <f>IFERROR(__xludf.DUMMYFUNCTION("""COMPUTED_VALUE"""),"Land Of Spira")</f>
        <v>Land Of Spira</v>
      </c>
      <c r="BI110" s="32"/>
      <c r="BJ110" s="32"/>
      <c r="BK110" s="32"/>
      <c r="BL110" s="32" t="b">
        <f>IFERROR(__xludf.DUMMYFUNCTION("""COMPUTED_VALUE"""),FALSE)</f>
        <v>0</v>
      </c>
      <c r="BM110" s="32"/>
      <c r="BN110" s="32"/>
      <c r="BO110" s="32"/>
      <c r="BP110" s="32"/>
      <c r="BQ110" s="32"/>
    </row>
    <row r="111">
      <c r="A111" s="32" t="str">
        <f>IFERROR(__xludf.DUMMYFUNCTION("""COMPUTED_VALUE"""),"Giant Ancient Frost Troll")</f>
        <v>Giant Ancient Frost Troll</v>
      </c>
      <c r="B111" s="32">
        <f>IFERROR(__xludf.DUMMYFUNCTION("""COMPUTED_VALUE"""),1.0)</f>
        <v>1</v>
      </c>
      <c r="C111" s="32"/>
      <c r="D111" s="33" t="str">
        <f>IFERROR(__xludf.DUMMYFUNCTION("""COMPUTED_VALUE"""),"Giant")</f>
        <v>Giant</v>
      </c>
      <c r="E111" s="33">
        <f>IFERROR(__xludf.DUMMYFUNCTION("""COMPUTED_VALUE"""),1010.0)</f>
        <v>1010</v>
      </c>
      <c r="F111" s="33">
        <f>IFERROR(__xludf.DUMMYFUNCTION("""COMPUTED_VALUE"""),1010.0)</f>
        <v>1010</v>
      </c>
      <c r="G111" s="33">
        <f>IFERROR(__xludf.DUMMYFUNCTION("""COMPUTED_VALUE"""),1010.0)</f>
        <v>1010</v>
      </c>
      <c r="H111" s="32">
        <f>IFERROR(__xludf.DUMMYFUNCTION("""COMPUTED_VALUE"""),10.0)</f>
        <v>10</v>
      </c>
      <c r="I111" s="32">
        <f>IFERROR(__xludf.DUMMYFUNCTION("""COMPUTED_VALUE"""),0.0)</f>
        <v>0</v>
      </c>
      <c r="J111" s="32">
        <f>IFERROR(__xludf.DUMMYFUNCTION("""COMPUTED_VALUE"""),0.0)</f>
        <v>0</v>
      </c>
      <c r="K111" s="32">
        <f>IFERROR(__xludf.DUMMYFUNCTION("""COMPUTED_VALUE"""),100.0)</f>
        <v>100</v>
      </c>
      <c r="L111" s="32">
        <f>IFERROR(__xludf.DUMMYFUNCTION("""COMPUTED_VALUE"""),100.0)</f>
        <v>100</v>
      </c>
      <c r="M111" s="32" t="str">
        <f>IFERROR(__xludf.DUMMYFUNCTION("""COMPUTED_VALUE"""),"Water:Immune, ")</f>
        <v>Water:Immune, </v>
      </c>
      <c r="N111" s="32" t="str">
        <f>IFERROR(__xludf.DUMMYFUNCTION("""COMPUTED_VALUE"""),"Fire:100, Nature:100, ")</f>
        <v>Fire:100, Nature:100, </v>
      </c>
      <c r="O111" s="32"/>
      <c r="P111" s="32"/>
      <c r="Q111" s="32"/>
      <c r="R111" s="32"/>
      <c r="S111" s="32"/>
      <c r="T111" s="32"/>
      <c r="U111" s="32"/>
      <c r="V111" s="32" t="str">
        <f>IFERROR(__xludf.DUMMYFUNCTION("""COMPUTED_VALUE"""),"Frost Spear")</f>
        <v>Frost Spear</v>
      </c>
      <c r="W111" s="32"/>
      <c r="X111" s="32"/>
      <c r="Y111" s="32"/>
      <c r="Z111" s="32"/>
      <c r="AA111" s="32"/>
      <c r="AB111" s="32"/>
      <c r="AC111" s="32"/>
      <c r="AD111" s="32"/>
      <c r="AE111" s="32"/>
      <c r="AF111" s="32"/>
      <c r="AG111" s="32"/>
      <c r="AH111" s="32"/>
      <c r="AI111" s="32"/>
      <c r="AJ111" s="32" t="str">
        <f>IFERROR(__xludf.DUMMYFUNCTION("""COMPUTED_VALUE"""),"Frost Barrier")</f>
        <v>Frost Barrier</v>
      </c>
      <c r="AK111" s="32" t="str">
        <f>IFERROR(__xludf.DUMMYFUNCTION("""COMPUTED_VALUE"""),"Blizzard")</f>
        <v>Blizzard</v>
      </c>
      <c r="AL111" s="32" t="str">
        <f>IFERROR(__xludf.DUMMYFUNCTION("""COMPUTED_VALUE"""),"Freezing Fog")</f>
        <v>Freezing Fog</v>
      </c>
      <c r="AM111" s="32" t="str">
        <f>IFERROR(__xludf.DUMMYFUNCTION("""COMPUTED_VALUE"""),"Ancient Frost Troll Call")</f>
        <v>Ancient Frost Troll Call</v>
      </c>
      <c r="AN111" s="32" t="str">
        <f>IFERROR(__xludf.DUMMYFUNCTION("""COMPUTED_VALUE"""),"Frost Boost")</f>
        <v>Frost Boost</v>
      </c>
      <c r="AO111" s="32" t="str">
        <f>IFERROR(__xludf.DUMMYFUNCTION("""COMPUTED_VALUE"""),"Icicle spear")</f>
        <v>Icicle spear</v>
      </c>
      <c r="AP111" s="32" t="str">
        <f>IFERROR(__xludf.DUMMYFUNCTION("""COMPUTED_VALUE"""),"Avalanche")</f>
        <v>Avalanche</v>
      </c>
      <c r="AQ111" s="32" t="str">
        <f>IFERROR(__xludf.DUMMYFUNCTION("""COMPUTED_VALUE"""),"Celestial Wrath")</f>
        <v>Celestial Wrath</v>
      </c>
      <c r="AR111" s="32"/>
      <c r="AS111" s="32"/>
      <c r="AT111" s="32"/>
      <c r="AU111" s="32"/>
      <c r="AV111" s="32"/>
      <c r="AW111" s="32"/>
      <c r="AX111" s="32"/>
      <c r="AY111" s="32"/>
      <c r="AZ111" s="32"/>
      <c r="BA111" s="32"/>
      <c r="BB111" s="32"/>
      <c r="BC111" s="32"/>
      <c r="BD111" s="32">
        <f>IFERROR(__xludf.DUMMYFUNCTION("""COMPUTED_VALUE"""),0.0)</f>
        <v>0</v>
      </c>
      <c r="BE111" s="32">
        <f>IFERROR(__xludf.DUMMYFUNCTION("""COMPUTED_VALUE"""),10.0)</f>
        <v>10</v>
      </c>
      <c r="BF111" s="32" t="str">
        <f>IFERROR(__xludf.DUMMYFUNCTION("""COMPUTED_VALUE"""),"+5 can be added to this mobs d20 rolls.
Immune to freezing.")</f>
        <v>+5 can be added to this mobs d20 rolls.
Immune to freezing.</v>
      </c>
      <c r="BG111" s="32" t="str">
        <f>IFERROR(__xludf.DUMMYFUNCTION("""COMPUTED_VALUE"""),"Tundra")</f>
        <v>Tundra</v>
      </c>
      <c r="BH111" s="32" t="str">
        <f>IFERROR(__xludf.DUMMYFUNCTION("""COMPUTED_VALUE"""),"Land of Spira")</f>
        <v>Land of Spira</v>
      </c>
      <c r="BI111" s="32"/>
      <c r="BJ111" s="32"/>
      <c r="BK111" s="32"/>
      <c r="BL111" s="32" t="b">
        <f>IFERROR(__xludf.DUMMYFUNCTION("""COMPUTED_VALUE"""),FALSE)</f>
        <v>0</v>
      </c>
      <c r="BM111" s="32"/>
      <c r="BN111" s="32"/>
      <c r="BO111" s="32"/>
      <c r="BP111" s="32"/>
      <c r="BQ111" s="32"/>
    </row>
    <row r="112">
      <c r="A112" s="32" t="str">
        <f>IFERROR(__xludf.DUMMYFUNCTION("""COMPUTED_VALUE"""),"Giant Chaotic Shadow Spider")</f>
        <v>Giant Chaotic Shadow Spider</v>
      </c>
      <c r="B112" s="32">
        <f>IFERROR(__xludf.DUMMYFUNCTION("""COMPUTED_VALUE"""),1.0)</f>
        <v>1</v>
      </c>
      <c r="C112" s="32"/>
      <c r="D112" s="33" t="str">
        <f>IFERROR(__xludf.DUMMYFUNCTION("""COMPUTED_VALUE"""),"Beast")</f>
        <v>Beast</v>
      </c>
      <c r="E112" s="33">
        <f>IFERROR(__xludf.DUMMYFUNCTION("""COMPUTED_VALUE"""),1010.0)</f>
        <v>1010</v>
      </c>
      <c r="F112" s="33">
        <f>IFERROR(__xludf.DUMMYFUNCTION("""COMPUTED_VALUE"""),1010.0)</f>
        <v>1010</v>
      </c>
      <c r="G112" s="33">
        <f>IFERROR(__xludf.DUMMYFUNCTION("""COMPUTED_VALUE"""),1010.0)</f>
        <v>1010</v>
      </c>
      <c r="H112" s="32">
        <f>IFERROR(__xludf.DUMMYFUNCTION("""COMPUTED_VALUE"""),10.0)</f>
        <v>10</v>
      </c>
      <c r="I112" s="32">
        <f>IFERROR(__xludf.DUMMYFUNCTION("""COMPUTED_VALUE"""),0.0)</f>
        <v>0</v>
      </c>
      <c r="J112" s="32">
        <f>IFERROR(__xludf.DUMMYFUNCTION("""COMPUTED_VALUE"""),0.0)</f>
        <v>0</v>
      </c>
      <c r="K112" s="32">
        <f>IFERROR(__xludf.DUMMYFUNCTION("""COMPUTED_VALUE"""),100.0)</f>
        <v>100</v>
      </c>
      <c r="L112" s="32">
        <f>IFERROR(__xludf.DUMMYFUNCTION("""COMPUTED_VALUE"""),100.0)</f>
        <v>100</v>
      </c>
      <c r="M112" s="32" t="str">
        <f>IFERROR(__xludf.DUMMYFUNCTION("""COMPUTED_VALUE"""),"Dark:100, Chaos:100, Instant Death:Immune, Banishment:Immune, ")</f>
        <v>Dark:100, Chaos:100, Instant Death:Immune, Banishment:Immune, </v>
      </c>
      <c r="N112" s="32" t="str">
        <f>IFERROR(__xludf.DUMMYFUNCTION("""COMPUTED_VALUE"""),"Fire:100, Light:100, Order:100, ")</f>
        <v>Fire:100, Light:100, Order:100, </v>
      </c>
      <c r="O112" s="32"/>
      <c r="P112" s="32"/>
      <c r="Q112" s="32"/>
      <c r="R112" s="32"/>
      <c r="S112" s="32"/>
      <c r="T112" s="32"/>
      <c r="U112" s="32"/>
      <c r="V112" s="32"/>
      <c r="W112" s="32"/>
      <c r="X112" s="32"/>
      <c r="Y112" s="32"/>
      <c r="Z112" s="32"/>
      <c r="AA112" s="32"/>
      <c r="AB112" s="32"/>
      <c r="AC112" s="32"/>
      <c r="AD112" s="32"/>
      <c r="AE112" s="32"/>
      <c r="AF112" s="32"/>
      <c r="AG112" s="32"/>
      <c r="AH112" s="32"/>
      <c r="AI112" s="32"/>
      <c r="AJ112" s="32" t="str">
        <f>IFERROR(__xludf.DUMMYFUNCTION("""COMPUTED_VALUE"""),"Chaotic Shadow Spider Slam")</f>
        <v>Chaotic Shadow Spider Slam</v>
      </c>
      <c r="AK112" s="32" t="str">
        <f>IFERROR(__xludf.DUMMYFUNCTION("""COMPUTED_VALUE"""),"Chaotic Spider Smarts")</f>
        <v>Chaotic Spider Smarts</v>
      </c>
      <c r="AL112" s="32" t="str">
        <f>IFERROR(__xludf.DUMMYFUNCTION("""COMPUTED_VALUE"""),"Spider War Call")</f>
        <v>Spider War Call</v>
      </c>
      <c r="AM112" s="32" t="str">
        <f>IFERROR(__xludf.DUMMYFUNCTION("""COMPUTED_VALUE"""),"Chaotic Shadow Barrier")</f>
        <v>Chaotic Shadow Barrier</v>
      </c>
      <c r="AN112" s="32" t="str">
        <f>IFERROR(__xludf.DUMMYFUNCTION("""COMPUTED_VALUE"""),"Berserk")</f>
        <v>Berserk</v>
      </c>
      <c r="AO112" s="32" t="str">
        <f>IFERROR(__xludf.DUMMYFUNCTION("""COMPUTED_VALUE"""),"Multishot")</f>
        <v>Multishot</v>
      </c>
      <c r="AP112" s="32"/>
      <c r="AQ112" s="32"/>
      <c r="AR112" s="32"/>
      <c r="AS112" s="32"/>
      <c r="AT112" s="32"/>
      <c r="AU112" s="32"/>
      <c r="AV112" s="32"/>
      <c r="AW112" s="32"/>
      <c r="AX112" s="32"/>
      <c r="AY112" s="32"/>
      <c r="AZ112" s="32"/>
      <c r="BA112" s="32"/>
      <c r="BB112" s="32"/>
      <c r="BC112" s="32"/>
      <c r="BD112" s="32">
        <f>IFERROR(__xludf.DUMMYFUNCTION("""COMPUTED_VALUE"""),0.0)</f>
        <v>0</v>
      </c>
      <c r="BE112" s="32">
        <f>IFERROR(__xludf.DUMMYFUNCTION("""COMPUTED_VALUE"""),10.0)</f>
        <v>10</v>
      </c>
      <c r="BF112" s="32"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32" t="str">
        <f>IFERROR(__xludf.DUMMYFUNCTION("""COMPUTED_VALUE"""),"Jungle")</f>
        <v>Jungle</v>
      </c>
      <c r="BH112" s="32" t="str">
        <f>IFERROR(__xludf.DUMMYFUNCTION("""COMPUTED_VALUE"""),"Land Of Spira")</f>
        <v>Land Of Spira</v>
      </c>
      <c r="BI112" s="32"/>
      <c r="BJ112" s="32"/>
      <c r="BK112" s="32"/>
      <c r="BL112" s="32" t="b">
        <f>IFERROR(__xludf.DUMMYFUNCTION("""COMPUTED_VALUE"""),FALSE)</f>
        <v>0</v>
      </c>
      <c r="BM112" s="32"/>
      <c r="BN112" s="32"/>
      <c r="BO112" s="32"/>
      <c r="BP112" s="32"/>
      <c r="BQ112" s="32"/>
    </row>
    <row r="113">
      <c r="A113" s="32" t="str">
        <f>IFERROR(__xludf.DUMMYFUNCTION("""COMPUTED_VALUE"""),"Giant Eagle")</f>
        <v>Giant Eagle</v>
      </c>
      <c r="B113" s="32">
        <f>IFERROR(__xludf.DUMMYFUNCTION("""COMPUTED_VALUE"""),1.0)</f>
        <v>1</v>
      </c>
      <c r="C113" s="32"/>
      <c r="D113" s="33" t="str">
        <f>IFERROR(__xludf.DUMMYFUNCTION("""COMPUTED_VALUE"""),"Beast")</f>
        <v>Beast</v>
      </c>
      <c r="E113" s="33">
        <f>IFERROR(__xludf.DUMMYFUNCTION("""COMPUTED_VALUE"""),1010.0)</f>
        <v>1010</v>
      </c>
      <c r="F113" s="33">
        <f>IFERROR(__xludf.DUMMYFUNCTION("""COMPUTED_VALUE"""),16010.0)</f>
        <v>16010</v>
      </c>
      <c r="G113" s="33">
        <f>IFERROR(__xludf.DUMMYFUNCTION("""COMPUTED_VALUE"""),1010.0)</f>
        <v>1010</v>
      </c>
      <c r="H113" s="32">
        <f>IFERROR(__xludf.DUMMYFUNCTION("""COMPUTED_VALUE"""),20.0)</f>
        <v>20</v>
      </c>
      <c r="I113" s="32">
        <f>IFERROR(__xludf.DUMMYFUNCTION("""COMPUTED_VALUE"""),0.0)</f>
        <v>0</v>
      </c>
      <c r="J113" s="32">
        <f>IFERROR(__xludf.DUMMYFUNCTION("""COMPUTED_VALUE"""),0.0)</f>
        <v>0</v>
      </c>
      <c r="K113" s="32">
        <f>IFERROR(__xludf.DUMMYFUNCTION("""COMPUTED_VALUE"""),100.0)</f>
        <v>100</v>
      </c>
      <c r="L113" s="32">
        <f>IFERROR(__xludf.DUMMYFUNCTION("""COMPUTED_VALUE"""),100.0)</f>
        <v>100</v>
      </c>
      <c r="M113" s="32" t="str">
        <f>IFERROR(__xludf.DUMMYFUNCTION("""COMPUTED_VALUE"""),"")</f>
        <v/>
      </c>
      <c r="N113" s="32" t="str">
        <f>IFERROR(__xludf.DUMMYFUNCTION("""COMPUTED_VALUE"""),"")</f>
        <v/>
      </c>
      <c r="O113" s="32"/>
      <c r="P113" s="32"/>
      <c r="Q113" s="32"/>
      <c r="R113" s="32"/>
      <c r="S113" s="32"/>
      <c r="T113" s="32"/>
      <c r="U113" s="32"/>
      <c r="V113" s="32"/>
      <c r="W113" s="32"/>
      <c r="X113" s="32"/>
      <c r="Y113" s="32"/>
      <c r="Z113" s="32"/>
      <c r="AA113" s="32"/>
      <c r="AB113" s="32"/>
      <c r="AC113" s="32"/>
      <c r="AD113" s="32"/>
      <c r="AE113" s="32"/>
      <c r="AF113" s="32"/>
      <c r="AG113" s="32"/>
      <c r="AH113" s="32"/>
      <c r="AI113" s="32"/>
      <c r="AJ113" s="32" t="str">
        <f>IFERROR(__xludf.DUMMYFUNCTION("""COMPUTED_VALUE"""),"Claws")</f>
        <v>Claws</v>
      </c>
      <c r="AK113" s="32" t="str">
        <f>IFERROR(__xludf.DUMMYFUNCTION("""COMPUTED_VALUE"""),"Multishot")</f>
        <v>Multishot</v>
      </c>
      <c r="AL113" s="32" t="str">
        <f>IFERROR(__xludf.DUMMYFUNCTION("""COMPUTED_VALUE"""),"Rapid Swoop")</f>
        <v>Rapid Swoop</v>
      </c>
      <c r="AM113" s="32" t="str">
        <f>IFERROR(__xludf.DUMMYFUNCTION("""COMPUTED_VALUE"""),"Lock On")</f>
        <v>Lock On</v>
      </c>
      <c r="AN113" s="32" t="str">
        <f>IFERROR(__xludf.DUMMYFUNCTION("""COMPUTED_VALUE"""),"Dive Bomb")</f>
        <v>Dive Bomb</v>
      </c>
      <c r="AO113" s="32"/>
      <c r="AP113" s="32"/>
      <c r="AQ113" s="32"/>
      <c r="AR113" s="32"/>
      <c r="AS113" s="32"/>
      <c r="AT113" s="32"/>
      <c r="AU113" s="32"/>
      <c r="AV113" s="32"/>
      <c r="AW113" s="32"/>
      <c r="AX113" s="32"/>
      <c r="AY113" s="32"/>
      <c r="AZ113" s="32"/>
      <c r="BA113" s="32"/>
      <c r="BB113" s="32"/>
      <c r="BC113" s="32"/>
      <c r="BD113" s="32">
        <f>IFERROR(__xludf.DUMMYFUNCTION("""COMPUTED_VALUE"""),0.0)</f>
        <v>0</v>
      </c>
      <c r="BE113" s="32">
        <f>IFERROR(__xludf.DUMMYFUNCTION("""COMPUTED_VALUE"""),10.0)</f>
        <v>10</v>
      </c>
      <c r="BF113" s="32"/>
      <c r="BG113" s="32" t="str">
        <f>IFERROR(__xludf.DUMMYFUNCTION("""COMPUTED_VALUE"""),"All")</f>
        <v>All</v>
      </c>
      <c r="BH113" s="32"/>
      <c r="BI113" s="32"/>
      <c r="BJ113" s="32"/>
      <c r="BK113" s="32"/>
      <c r="BL113" s="32" t="b">
        <f>IFERROR(__xludf.DUMMYFUNCTION("""COMPUTED_VALUE"""),FALSE)</f>
        <v>0</v>
      </c>
      <c r="BM113" s="32"/>
      <c r="BN113" s="32"/>
      <c r="BO113" s="32"/>
      <c r="BP113" s="32"/>
      <c r="BQ113" s="32"/>
    </row>
    <row r="114">
      <c r="A114" s="32" t="str">
        <f>IFERROR(__xludf.DUMMYFUNCTION("""COMPUTED_VALUE"""),"Giant Lava Frog ")</f>
        <v>Giant Lava Frog </v>
      </c>
      <c r="B114" s="32">
        <f>IFERROR(__xludf.DUMMYFUNCTION("""COMPUTED_VALUE"""),1.0)</f>
        <v>1</v>
      </c>
      <c r="C114" s="32"/>
      <c r="D114" s="33" t="str">
        <f>IFERROR(__xludf.DUMMYFUNCTION("""COMPUTED_VALUE"""),"Beast")</f>
        <v>Beast</v>
      </c>
      <c r="E114" s="33">
        <f>IFERROR(__xludf.DUMMYFUNCTION("""COMPUTED_VALUE"""),1010.0)</f>
        <v>1010</v>
      </c>
      <c r="F114" s="33">
        <f>IFERROR(__xludf.DUMMYFUNCTION("""COMPUTED_VALUE"""),1010.0)</f>
        <v>1010</v>
      </c>
      <c r="G114" s="33">
        <f>IFERROR(__xludf.DUMMYFUNCTION("""COMPUTED_VALUE"""),31010.0)</f>
        <v>31010</v>
      </c>
      <c r="H114" s="32">
        <f>IFERROR(__xludf.DUMMYFUNCTION("""COMPUTED_VALUE"""),10.0)</f>
        <v>10</v>
      </c>
      <c r="I114" s="32">
        <f>IFERROR(__xludf.DUMMYFUNCTION("""COMPUTED_VALUE"""),0.0)</f>
        <v>0</v>
      </c>
      <c r="J114" s="32">
        <f>IFERROR(__xludf.DUMMYFUNCTION("""COMPUTED_VALUE"""),0.0)</f>
        <v>0</v>
      </c>
      <c r="K114" s="32">
        <f>IFERROR(__xludf.DUMMYFUNCTION("""COMPUTED_VALUE"""),100.0)</f>
        <v>100</v>
      </c>
      <c r="L114" s="32">
        <f>IFERROR(__xludf.DUMMYFUNCTION("""COMPUTED_VALUE"""),100.0)</f>
        <v>100</v>
      </c>
      <c r="M114" s="32" t="str">
        <f>IFERROR(__xludf.DUMMYFUNCTION("""COMPUTED_VALUE"""),"Fire:Immune, ")</f>
        <v>Fire:Immune, </v>
      </c>
      <c r="N114" s="32" t="str">
        <f>IFERROR(__xludf.DUMMYFUNCTION("""COMPUTED_VALUE"""),"Water:100, ")</f>
        <v>Water:100, </v>
      </c>
      <c r="O114" s="32"/>
      <c r="P114" s="32"/>
      <c r="Q114" s="32"/>
      <c r="R114" s="32"/>
      <c r="S114" s="32"/>
      <c r="T114" s="32"/>
      <c r="U114" s="32"/>
      <c r="V114" s="32"/>
      <c r="W114" s="32"/>
      <c r="X114" s="32"/>
      <c r="Y114" s="32"/>
      <c r="Z114" s="32"/>
      <c r="AA114" s="32"/>
      <c r="AB114" s="32"/>
      <c r="AC114" s="32"/>
      <c r="AD114" s="32"/>
      <c r="AE114" s="32"/>
      <c r="AF114" s="32"/>
      <c r="AG114" s="32"/>
      <c r="AH114" s="32"/>
      <c r="AI114" s="32"/>
      <c r="AJ114" s="32" t="str">
        <f>IFERROR(__xludf.DUMMYFUNCTION("""COMPUTED_VALUE"""),"Vaporize")</f>
        <v>Vaporize</v>
      </c>
      <c r="AK114" s="32" t="str">
        <f>IFERROR(__xludf.DUMMYFUNCTION("""COMPUTED_VALUE"""),"Absorb Enemy ")</f>
        <v>Absorb Enemy </v>
      </c>
      <c r="AL114" s="32" t="str">
        <f>IFERROR(__xludf.DUMMYFUNCTION("""COMPUTED_VALUE"""),"Absorb")</f>
        <v>Absorb</v>
      </c>
      <c r="AM114" s="32" t="str">
        <f>IFERROR(__xludf.DUMMYFUNCTION("""COMPUTED_VALUE"""),"Meteor Shower")</f>
        <v>Meteor Shower</v>
      </c>
      <c r="AN114" s="32" t="str">
        <f>IFERROR(__xludf.DUMMYFUNCTION("""COMPUTED_VALUE"""),"Tackle")</f>
        <v>Tackle</v>
      </c>
      <c r="AO114" s="32" t="str">
        <f>IFERROR(__xludf.DUMMYFUNCTION("""COMPUTED_VALUE"""),"Dive Bomb")</f>
        <v>Dive Bomb</v>
      </c>
      <c r="AP114" s="32"/>
      <c r="AQ114" s="32"/>
      <c r="AR114" s="32"/>
      <c r="AS114" s="32"/>
      <c r="AT114" s="32"/>
      <c r="AU114" s="32"/>
      <c r="AV114" s="32"/>
      <c r="AW114" s="32"/>
      <c r="AX114" s="32"/>
      <c r="AY114" s="32"/>
      <c r="AZ114" s="32"/>
      <c r="BA114" s="32"/>
      <c r="BB114" s="32"/>
      <c r="BC114" s="32"/>
      <c r="BD114" s="32">
        <f>IFERROR(__xludf.DUMMYFUNCTION("""COMPUTED_VALUE"""),0.0)</f>
        <v>0</v>
      </c>
      <c r="BE114" s="32">
        <f>IFERROR(__xludf.DUMMYFUNCTION("""COMPUTED_VALUE"""),10.0)</f>
        <v>10</v>
      </c>
      <c r="BF114" s="32" t="str">
        <f>IFERROR(__xludf.DUMMYFUNCTION("""COMPUTED_VALUE"""),"50% chance to be unaffected by any spells affecting this mob.")</f>
        <v>50% chance to be unaffected by any spells affecting this mob.</v>
      </c>
      <c r="BG114" s="32" t="str">
        <f>IFERROR(__xludf.DUMMYFUNCTION("""COMPUTED_VALUE"""),"All")</f>
        <v>All</v>
      </c>
      <c r="BH114" s="32" t="str">
        <f>IFERROR(__xludf.DUMMYFUNCTION("""COMPUTED_VALUE"""),"Abstara")</f>
        <v>Abstara</v>
      </c>
      <c r="BI114" s="32"/>
      <c r="BJ114" s="32"/>
      <c r="BK114" s="32"/>
      <c r="BL114" s="32" t="b">
        <f>IFERROR(__xludf.DUMMYFUNCTION("""COMPUTED_VALUE"""),FALSE)</f>
        <v>0</v>
      </c>
      <c r="BM114" s="32"/>
      <c r="BN114" s="32"/>
      <c r="BO114" s="32"/>
      <c r="BP114" s="32"/>
      <c r="BQ114" s="32"/>
    </row>
    <row r="115">
      <c r="A115" s="32" t="str">
        <f>IFERROR(__xludf.DUMMYFUNCTION("""COMPUTED_VALUE"""),"Giant Mutated Eel Shark")</f>
        <v>Giant Mutated Eel Shark</v>
      </c>
      <c r="B115" s="32">
        <f>IFERROR(__xludf.DUMMYFUNCTION("""COMPUTED_VALUE"""),1.0)</f>
        <v>1</v>
      </c>
      <c r="C115" s="32"/>
      <c r="D115" s="33" t="str">
        <f>IFERROR(__xludf.DUMMYFUNCTION("""COMPUTED_VALUE"""),"Beast")</f>
        <v>Beast</v>
      </c>
      <c r="E115" s="33">
        <f>IFERROR(__xludf.DUMMYFUNCTION("""COMPUTED_VALUE"""),31010.0)</f>
        <v>31010</v>
      </c>
      <c r="F115" s="33">
        <f>IFERROR(__xludf.DUMMYFUNCTION("""COMPUTED_VALUE"""),1010.0)</f>
        <v>1010</v>
      </c>
      <c r="G115" s="33">
        <f>IFERROR(__xludf.DUMMYFUNCTION("""COMPUTED_VALUE"""),1010.0)</f>
        <v>1010</v>
      </c>
      <c r="H115" s="32">
        <f>IFERROR(__xludf.DUMMYFUNCTION("""COMPUTED_VALUE"""),10.0)</f>
        <v>10</v>
      </c>
      <c r="I115" s="32">
        <f>IFERROR(__xludf.DUMMYFUNCTION("""COMPUTED_VALUE"""),0.0)</f>
        <v>0</v>
      </c>
      <c r="J115" s="32">
        <f>IFERROR(__xludf.DUMMYFUNCTION("""COMPUTED_VALUE"""),0.0)</f>
        <v>0</v>
      </c>
      <c r="K115" s="32">
        <f>IFERROR(__xludf.DUMMYFUNCTION("""COMPUTED_VALUE"""),100.0)</f>
        <v>100</v>
      </c>
      <c r="L115" s="32">
        <f>IFERROR(__xludf.DUMMYFUNCTION("""COMPUTED_VALUE"""),100.0)</f>
        <v>100</v>
      </c>
      <c r="M115" s="32" t="str">
        <f>IFERROR(__xludf.DUMMYFUNCTION("""COMPUTED_VALUE"""),"Fire:Immune, Water:100, Nature:Immune, ")</f>
        <v>Fire:Immune, Water:100, Nature:Immune, </v>
      </c>
      <c r="N115" s="32" t="str">
        <f>IFERROR(__xludf.DUMMYFUNCTION("""COMPUTED_VALUE"""),"Nature:100, ")</f>
        <v>Nature:100, </v>
      </c>
      <c r="O115" s="32"/>
      <c r="P115" s="32"/>
      <c r="Q115" s="32"/>
      <c r="R115" s="32"/>
      <c r="S115" s="32"/>
      <c r="T115" s="32"/>
      <c r="U115" s="32"/>
      <c r="V115" s="32"/>
      <c r="W115" s="32"/>
      <c r="X115" s="32"/>
      <c r="Y115" s="32"/>
      <c r="Z115" s="32"/>
      <c r="AA115" s="32"/>
      <c r="AB115" s="32"/>
      <c r="AC115" s="32"/>
      <c r="AD115" s="32"/>
      <c r="AE115" s="32"/>
      <c r="AF115" s="32"/>
      <c r="AG115" s="32"/>
      <c r="AH115" s="32"/>
      <c r="AI115" s="32"/>
      <c r="AJ115" s="32" t="str">
        <f>IFERROR(__xludf.DUMMYFUNCTION("""COMPUTED_VALUE"""),"Crashing Waves")</f>
        <v>Crashing Waves</v>
      </c>
      <c r="AK115" s="32" t="str">
        <f>IFERROR(__xludf.DUMMYFUNCTION("""COMPUTED_VALUE"""),"Bite")</f>
        <v>Bite</v>
      </c>
      <c r="AL115" s="32" t="str">
        <f>IFERROR(__xludf.DUMMYFUNCTION("""COMPUTED_VALUE"""),"Quench")</f>
        <v>Quench</v>
      </c>
      <c r="AM115" s="32" t="str">
        <f>IFERROR(__xludf.DUMMYFUNCTION("""COMPUTED_VALUE"""),"Torrential Downpour")</f>
        <v>Torrential Downpour</v>
      </c>
      <c r="AN115" s="32" t="str">
        <f>IFERROR(__xludf.DUMMYFUNCTION("""COMPUTED_VALUE"""),"Reckless Chomp ")</f>
        <v>Reckless Chomp </v>
      </c>
      <c r="AO115" s="32" t="str">
        <f>IFERROR(__xludf.DUMMYFUNCTION("""COMPUTED_VALUE"""),"HP Recover")</f>
        <v>HP Recover</v>
      </c>
      <c r="AP115" s="32"/>
      <c r="AQ115" s="32"/>
      <c r="AR115" s="32"/>
      <c r="AS115" s="32"/>
      <c r="AT115" s="32"/>
      <c r="AU115" s="32"/>
      <c r="AV115" s="32"/>
      <c r="AW115" s="32"/>
      <c r="AX115" s="32"/>
      <c r="AY115" s="32"/>
      <c r="AZ115" s="32"/>
      <c r="BA115" s="32"/>
      <c r="BB115" s="32"/>
      <c r="BC115" s="32"/>
      <c r="BD115" s="32">
        <f>IFERROR(__xludf.DUMMYFUNCTION("""COMPUTED_VALUE"""),0.0)</f>
        <v>0</v>
      </c>
      <c r="BE115" s="32">
        <f>IFERROR(__xludf.DUMMYFUNCTION("""COMPUTED_VALUE"""),10.0)</f>
        <v>10</v>
      </c>
      <c r="BF115" s="32"/>
      <c r="BG115" s="32" t="str">
        <f>IFERROR(__xludf.DUMMYFUNCTION("""COMPUTED_VALUE"""),"Ocean")</f>
        <v>Ocean</v>
      </c>
      <c r="BH115" s="32" t="str">
        <f>IFERROR(__xludf.DUMMYFUNCTION("""COMPUTED_VALUE"""),"Land of Spira")</f>
        <v>Land of Spira</v>
      </c>
      <c r="BI115" s="32"/>
      <c r="BJ115" s="32"/>
      <c r="BK115" s="32"/>
      <c r="BL115" s="32" t="b">
        <f>IFERROR(__xludf.DUMMYFUNCTION("""COMPUTED_VALUE"""),FALSE)</f>
        <v>0</v>
      </c>
      <c r="BM115" s="32"/>
      <c r="BN115" s="32"/>
      <c r="BO115" s="32"/>
      <c r="BP115" s="32"/>
      <c r="BQ115" s="32"/>
    </row>
    <row r="116">
      <c r="A116" s="32" t="str">
        <f>IFERROR(__xludf.DUMMYFUNCTION("""COMPUTED_VALUE"""),"Giant Scorpion")</f>
        <v>Giant Scorpion</v>
      </c>
      <c r="B116" s="32">
        <f>IFERROR(__xludf.DUMMYFUNCTION("""COMPUTED_VALUE"""),1.0)</f>
        <v>1</v>
      </c>
      <c r="C116" s="32"/>
      <c r="D116" s="33" t="str">
        <f>IFERROR(__xludf.DUMMYFUNCTION("""COMPUTED_VALUE"""),"Beast")</f>
        <v>Beast</v>
      </c>
      <c r="E116" s="33">
        <f>IFERROR(__xludf.DUMMYFUNCTION("""COMPUTED_VALUE"""),31010.0)</f>
        <v>31010</v>
      </c>
      <c r="F116" s="33">
        <f>IFERROR(__xludf.DUMMYFUNCTION("""COMPUTED_VALUE"""),1010.0)</f>
        <v>1010</v>
      </c>
      <c r="G116" s="33">
        <f>IFERROR(__xludf.DUMMYFUNCTION("""COMPUTED_VALUE"""),1010.0)</f>
        <v>1010</v>
      </c>
      <c r="H116" s="32">
        <f>IFERROR(__xludf.DUMMYFUNCTION("""COMPUTED_VALUE"""),10.0)</f>
        <v>10</v>
      </c>
      <c r="I116" s="32">
        <f>IFERROR(__xludf.DUMMYFUNCTION("""COMPUTED_VALUE"""),0.0)</f>
        <v>0</v>
      </c>
      <c r="J116" s="32">
        <f>IFERROR(__xludf.DUMMYFUNCTION("""COMPUTED_VALUE"""),0.0)</f>
        <v>0</v>
      </c>
      <c r="K116" s="32">
        <f>IFERROR(__xludf.DUMMYFUNCTION("""COMPUTED_VALUE"""),100.0)</f>
        <v>100</v>
      </c>
      <c r="L116" s="32">
        <f>IFERROR(__xludf.DUMMYFUNCTION("""COMPUTED_VALUE"""),100.0)</f>
        <v>100</v>
      </c>
      <c r="M116" s="32" t="str">
        <f>IFERROR(__xludf.DUMMYFUNCTION("""COMPUTED_VALUE"""),"Water:100, ")</f>
        <v>Water:100, </v>
      </c>
      <c r="N116" s="32" t="str">
        <f>IFERROR(__xludf.DUMMYFUNCTION("""COMPUTED_VALUE"""),"Fire:100, Storm:100, ")</f>
        <v>Fire:100, Storm:100, </v>
      </c>
      <c r="O116" s="32"/>
      <c r="P116" s="32"/>
      <c r="Q116" s="32"/>
      <c r="R116" s="32"/>
      <c r="S116" s="32"/>
      <c r="T116" s="32"/>
      <c r="U116" s="32"/>
      <c r="V116" s="32"/>
      <c r="W116" s="32"/>
      <c r="X116" s="32"/>
      <c r="Y116" s="32"/>
      <c r="Z116" s="32"/>
      <c r="AA116" s="32"/>
      <c r="AB116" s="32"/>
      <c r="AC116" s="32"/>
      <c r="AD116" s="32"/>
      <c r="AE116" s="32"/>
      <c r="AF116" s="32"/>
      <c r="AG116" s="32"/>
      <c r="AH116" s="32"/>
      <c r="AI116" s="32"/>
      <c r="AJ116" s="32" t="str">
        <f>IFERROR(__xludf.DUMMYFUNCTION("""COMPUTED_VALUE"""),"Poison Needle")</f>
        <v>Poison Needle</v>
      </c>
      <c r="AK116" s="32" t="str">
        <f>IFERROR(__xludf.DUMMYFUNCTION("""COMPUTED_VALUE"""),"Poison Stomp")</f>
        <v>Poison Stomp</v>
      </c>
      <c r="AL116" s="32"/>
      <c r="AM116" s="32" t="str">
        <f>IFERROR(__xludf.DUMMYFUNCTION("""COMPUTED_VALUE"""),"Poisonous Fumes")</f>
        <v>Poisonous Fumes</v>
      </c>
      <c r="AN116" s="32" t="str">
        <f>IFERROR(__xludf.DUMMYFUNCTION("""COMPUTED_VALUE"""),"Berserk")</f>
        <v>Berserk</v>
      </c>
      <c r="AO116" s="32" t="str">
        <f>IFERROR(__xludf.DUMMYFUNCTION("""COMPUTED_VALUE"""),"Stinger ")</f>
        <v>Stinger </v>
      </c>
      <c r="AP116" s="32" t="str">
        <f>IFERROR(__xludf.DUMMYFUNCTION("""COMPUTED_VALUE"""),"Reckless Chomp ")</f>
        <v>Reckless Chomp </v>
      </c>
      <c r="AQ116" s="32" t="str">
        <f>IFERROR(__xludf.DUMMYFUNCTION("""COMPUTED_VALUE"""),"[Element] Strike")</f>
        <v>[Element] Strike</v>
      </c>
      <c r="AR116" s="32"/>
      <c r="AS116" s="32"/>
      <c r="AT116" s="32"/>
      <c r="AU116" s="32"/>
      <c r="AV116" s="32"/>
      <c r="AW116" s="32"/>
      <c r="AX116" s="32"/>
      <c r="AY116" s="32"/>
      <c r="AZ116" s="32"/>
      <c r="BA116" s="32"/>
      <c r="BB116" s="32"/>
      <c r="BC116" s="32"/>
      <c r="BD116" s="32">
        <f>IFERROR(__xludf.DUMMYFUNCTION("""COMPUTED_VALUE"""),0.0)</f>
        <v>0</v>
      </c>
      <c r="BE116" s="32">
        <f>IFERROR(__xludf.DUMMYFUNCTION("""COMPUTED_VALUE"""),10.0)</f>
        <v>10</v>
      </c>
      <c r="BF116" s="32"/>
      <c r="BG116" s="32" t="str">
        <f>IFERROR(__xludf.DUMMYFUNCTION("""COMPUTED_VALUE"""),"Desert")</f>
        <v>Desert</v>
      </c>
      <c r="BH116" s="32" t="str">
        <f>IFERROR(__xludf.DUMMYFUNCTION("""COMPUTED_VALUE"""),"Land of Spira")</f>
        <v>Land of Spira</v>
      </c>
      <c r="BI116" s="32"/>
      <c r="BJ116" s="32"/>
      <c r="BK116" s="32"/>
      <c r="BL116" s="32" t="b">
        <f>IFERROR(__xludf.DUMMYFUNCTION("""COMPUTED_VALUE"""),FALSE)</f>
        <v>0</v>
      </c>
      <c r="BM116" s="32"/>
      <c r="BN116" s="32"/>
      <c r="BO116" s="32"/>
      <c r="BP116" s="32"/>
      <c r="BQ116" s="32"/>
    </row>
    <row r="117">
      <c r="A117" s="32" t="str">
        <f>IFERROR(__xludf.DUMMYFUNCTION("""COMPUTED_VALUE"""),"Giant Snow Spider")</f>
        <v>Giant Snow Spider</v>
      </c>
      <c r="B117" s="32">
        <f>IFERROR(__xludf.DUMMYFUNCTION("""COMPUTED_VALUE"""),1.0)</f>
        <v>1</v>
      </c>
      <c r="C117" s="32"/>
      <c r="D117" s="33" t="str">
        <f>IFERROR(__xludf.DUMMYFUNCTION("""COMPUTED_VALUE"""),"Beast")</f>
        <v>Beast</v>
      </c>
      <c r="E117" s="33">
        <f>IFERROR(__xludf.DUMMYFUNCTION("""COMPUTED_VALUE"""),1010.0)</f>
        <v>1010</v>
      </c>
      <c r="F117" s="33">
        <f>IFERROR(__xludf.DUMMYFUNCTION("""COMPUTED_VALUE"""),1010.0)</f>
        <v>1010</v>
      </c>
      <c r="G117" s="33">
        <f>IFERROR(__xludf.DUMMYFUNCTION("""COMPUTED_VALUE"""),1010.0)</f>
        <v>1010</v>
      </c>
      <c r="H117" s="32">
        <f>IFERROR(__xludf.DUMMYFUNCTION("""COMPUTED_VALUE"""),10.0)</f>
        <v>10</v>
      </c>
      <c r="I117" s="32">
        <f>IFERROR(__xludf.DUMMYFUNCTION("""COMPUTED_VALUE"""),0.0)</f>
        <v>0</v>
      </c>
      <c r="J117" s="32">
        <f>IFERROR(__xludf.DUMMYFUNCTION("""COMPUTED_VALUE"""),0.0)</f>
        <v>0</v>
      </c>
      <c r="K117" s="32">
        <f>IFERROR(__xludf.DUMMYFUNCTION("""COMPUTED_VALUE"""),100.0)</f>
        <v>100</v>
      </c>
      <c r="L117" s="32">
        <f>IFERROR(__xludf.DUMMYFUNCTION("""COMPUTED_VALUE"""),100.0)</f>
        <v>100</v>
      </c>
      <c r="M117" s="32" t="str">
        <f>IFERROR(__xludf.DUMMYFUNCTION("""COMPUTED_VALUE"""),"Water:Immune, ")</f>
        <v>Water:Immune, </v>
      </c>
      <c r="N117" s="32" t="str">
        <f>IFERROR(__xludf.DUMMYFUNCTION("""COMPUTED_VALUE"""),"Fire:100, Chaos:100, ")</f>
        <v>Fire:100, Chaos:100, </v>
      </c>
      <c r="O117" s="32"/>
      <c r="P117" s="32"/>
      <c r="Q117" s="32"/>
      <c r="R117" s="32"/>
      <c r="S117" s="32"/>
      <c r="T117" s="32"/>
      <c r="U117" s="32"/>
      <c r="V117" s="32"/>
      <c r="W117" s="32"/>
      <c r="X117" s="32"/>
      <c r="Y117" s="32"/>
      <c r="Z117" s="32"/>
      <c r="AA117" s="32"/>
      <c r="AB117" s="32"/>
      <c r="AC117" s="32"/>
      <c r="AD117" s="32"/>
      <c r="AE117" s="32"/>
      <c r="AF117" s="32"/>
      <c r="AG117" s="32"/>
      <c r="AH117" s="32"/>
      <c r="AI117" s="32"/>
      <c r="AJ117" s="32" t="str">
        <f>IFERROR(__xludf.DUMMYFUNCTION("""COMPUTED_VALUE"""),"Web Shot")</f>
        <v>Web Shot</v>
      </c>
      <c r="AK117" s="32" t="str">
        <f>IFERROR(__xludf.DUMMYFUNCTION("""COMPUTED_VALUE"""),"Bite")</f>
        <v>Bite</v>
      </c>
      <c r="AL117" s="32" t="str">
        <f>IFERROR(__xludf.DUMMYFUNCTION("""COMPUTED_VALUE"""),"Frost Cloak")</f>
        <v>Frost Cloak</v>
      </c>
      <c r="AM117" s="32" t="str">
        <f>IFERROR(__xludf.DUMMYFUNCTION("""COMPUTED_VALUE"""),"Roaring Frost Winds")</f>
        <v>Roaring Frost Winds</v>
      </c>
      <c r="AN117" s="32"/>
      <c r="AO117" s="32"/>
      <c r="AP117" s="32"/>
      <c r="AQ117" s="32"/>
      <c r="AR117" s="32"/>
      <c r="AS117" s="32"/>
      <c r="AT117" s="32"/>
      <c r="AU117" s="32"/>
      <c r="AV117" s="32"/>
      <c r="AW117" s="32"/>
      <c r="AX117" s="32"/>
      <c r="AY117" s="32"/>
      <c r="AZ117" s="32"/>
      <c r="BA117" s="32"/>
      <c r="BB117" s="32"/>
      <c r="BC117" s="32"/>
      <c r="BD117" s="32">
        <f>IFERROR(__xludf.DUMMYFUNCTION("""COMPUTED_VALUE"""),0.0)</f>
        <v>0</v>
      </c>
      <c r="BE117" s="32">
        <f>IFERROR(__xludf.DUMMYFUNCTION("""COMPUTED_VALUE"""),20.0)</f>
        <v>20</v>
      </c>
      <c r="BF117" s="32"/>
      <c r="BG117" s="32" t="str">
        <f>IFERROR(__xludf.DUMMYFUNCTION("""COMPUTED_VALUE"""),"Tundra")</f>
        <v>Tundra</v>
      </c>
      <c r="BH117" s="32" t="str">
        <f>IFERROR(__xludf.DUMMYFUNCTION("""COMPUTED_VALUE"""),"Land Of Spira")</f>
        <v>Land Of Spira</v>
      </c>
      <c r="BI117" s="32"/>
      <c r="BJ117" s="32"/>
      <c r="BK117" s="32"/>
      <c r="BL117" s="32" t="b">
        <f>IFERROR(__xludf.DUMMYFUNCTION("""COMPUTED_VALUE"""),FALSE)</f>
        <v>0</v>
      </c>
      <c r="BM117" s="32"/>
      <c r="BN117" s="32"/>
      <c r="BO117" s="32"/>
      <c r="BP117" s="32"/>
      <c r="BQ117" s="32"/>
    </row>
    <row r="118">
      <c r="A118" s="32" t="str">
        <f>IFERROR(__xludf.DUMMYFUNCTION("""COMPUTED_VALUE"""),"Giant Spider")</f>
        <v>Giant Spider</v>
      </c>
      <c r="B118" s="32">
        <f>IFERROR(__xludf.DUMMYFUNCTION("""COMPUTED_VALUE"""),1.0)</f>
        <v>1</v>
      </c>
      <c r="C118" s="32"/>
      <c r="D118" s="33" t="str">
        <f>IFERROR(__xludf.DUMMYFUNCTION("""COMPUTED_VALUE"""),"Beast")</f>
        <v>Beast</v>
      </c>
      <c r="E118" s="33">
        <f>IFERROR(__xludf.DUMMYFUNCTION("""COMPUTED_VALUE"""),1010.0)</f>
        <v>1010</v>
      </c>
      <c r="F118" s="33">
        <f>IFERROR(__xludf.DUMMYFUNCTION("""COMPUTED_VALUE"""),1010.0)</f>
        <v>1010</v>
      </c>
      <c r="G118" s="33">
        <f>IFERROR(__xludf.DUMMYFUNCTION("""COMPUTED_VALUE"""),1010.0)</f>
        <v>1010</v>
      </c>
      <c r="H118" s="32">
        <f>IFERROR(__xludf.DUMMYFUNCTION("""COMPUTED_VALUE"""),10.0)</f>
        <v>10</v>
      </c>
      <c r="I118" s="32">
        <f>IFERROR(__xludf.DUMMYFUNCTION("""COMPUTED_VALUE"""),0.0)</f>
        <v>0</v>
      </c>
      <c r="J118" s="32">
        <f>IFERROR(__xludf.DUMMYFUNCTION("""COMPUTED_VALUE"""),0.0)</f>
        <v>0</v>
      </c>
      <c r="K118" s="32">
        <f>IFERROR(__xludf.DUMMYFUNCTION("""COMPUTED_VALUE"""),100.0)</f>
        <v>100</v>
      </c>
      <c r="L118" s="32">
        <f>IFERROR(__xludf.DUMMYFUNCTION("""COMPUTED_VALUE"""),100.0)</f>
        <v>100</v>
      </c>
      <c r="M118" s="32" t="str">
        <f>IFERROR(__xludf.DUMMYFUNCTION("""COMPUTED_VALUE"""),"Water:100, Nature:100, ")</f>
        <v>Water:100, Nature:100, </v>
      </c>
      <c r="N118" s="32" t="str">
        <f>IFERROR(__xludf.DUMMYFUNCTION("""COMPUTED_VALUE"""),"Fire:100, Storm:100, ")</f>
        <v>Fire:100, Storm:100, </v>
      </c>
      <c r="O118" s="32"/>
      <c r="P118" s="32"/>
      <c r="Q118" s="32"/>
      <c r="R118" s="32"/>
      <c r="S118" s="32"/>
      <c r="T118" s="32"/>
      <c r="U118" s="32"/>
      <c r="V118" s="32"/>
      <c r="W118" s="32"/>
      <c r="X118" s="32"/>
      <c r="Y118" s="32"/>
      <c r="Z118" s="32"/>
      <c r="AA118" s="32"/>
      <c r="AB118" s="32"/>
      <c r="AC118" s="32"/>
      <c r="AD118" s="32"/>
      <c r="AE118" s="32"/>
      <c r="AF118" s="32"/>
      <c r="AG118" s="32"/>
      <c r="AH118" s="32"/>
      <c r="AI118" s="32"/>
      <c r="AJ118" s="32" t="str">
        <f>IFERROR(__xludf.DUMMYFUNCTION("""COMPUTED_VALUE"""),"Poison Fang")</f>
        <v>Poison Fang</v>
      </c>
      <c r="AK118" s="32" t="str">
        <f>IFERROR(__xludf.DUMMYFUNCTION("""COMPUTED_VALUE"""),"Web Shot")</f>
        <v>Web Shot</v>
      </c>
      <c r="AL118" s="32" t="str">
        <f>IFERROR(__xludf.DUMMYFUNCTION("""COMPUTED_VALUE"""),"Berserk")</f>
        <v>Berserk</v>
      </c>
      <c r="AM118" s="32" t="str">
        <f>IFERROR(__xludf.DUMMYFUNCTION("""COMPUTED_VALUE"""),"Multishot")</f>
        <v>Multishot</v>
      </c>
      <c r="AN118" s="32"/>
      <c r="AO118" s="32"/>
      <c r="AP118" s="32"/>
      <c r="AQ118" s="32"/>
      <c r="AR118" s="32"/>
      <c r="AS118" s="32"/>
      <c r="AT118" s="32"/>
      <c r="AU118" s="32"/>
      <c r="AV118" s="32"/>
      <c r="AW118" s="32"/>
      <c r="AX118" s="32"/>
      <c r="AY118" s="32"/>
      <c r="AZ118" s="32"/>
      <c r="BA118" s="32"/>
      <c r="BB118" s="32"/>
      <c r="BC118" s="32"/>
      <c r="BD118" s="32">
        <f>IFERROR(__xludf.DUMMYFUNCTION("""COMPUTED_VALUE"""),0.0)</f>
        <v>0</v>
      </c>
      <c r="BE118" s="32">
        <f>IFERROR(__xludf.DUMMYFUNCTION("""COMPUTED_VALUE"""),10.0)</f>
        <v>10</v>
      </c>
      <c r="BF118" s="32"/>
      <c r="BG118" s="32" t="str">
        <f>IFERROR(__xludf.DUMMYFUNCTION("""COMPUTED_VALUE"""),"All")</f>
        <v>All</v>
      </c>
      <c r="BH118" s="32" t="str">
        <f>IFERROR(__xludf.DUMMYFUNCTION("""COMPUTED_VALUE"""),"Land of Spira")</f>
        <v>Land of Spira</v>
      </c>
      <c r="BI118" s="32"/>
      <c r="BJ118" s="32"/>
      <c r="BK118" s="32"/>
      <c r="BL118" s="32" t="b">
        <f>IFERROR(__xludf.DUMMYFUNCTION("""COMPUTED_VALUE"""),FALSE)</f>
        <v>0</v>
      </c>
      <c r="BM118" s="32"/>
      <c r="BN118" s="32"/>
      <c r="BO118" s="32"/>
      <c r="BP118" s="32"/>
      <c r="BQ118" s="32"/>
    </row>
    <row r="119">
      <c r="A119" s="32" t="str">
        <f>IFERROR(__xludf.DUMMYFUNCTION("""COMPUTED_VALUE"""),"Giant Volcanic Spider")</f>
        <v>Giant Volcanic Spider</v>
      </c>
      <c r="B119" s="32">
        <f>IFERROR(__xludf.DUMMYFUNCTION("""COMPUTED_VALUE"""),1.0)</f>
        <v>1</v>
      </c>
      <c r="C119" s="32"/>
      <c r="D119" s="33" t="str">
        <f>IFERROR(__xludf.DUMMYFUNCTION("""COMPUTED_VALUE"""),"Beast")</f>
        <v>Beast</v>
      </c>
      <c r="E119" s="33">
        <f>IFERROR(__xludf.DUMMYFUNCTION("""COMPUTED_VALUE"""),1010.0)</f>
        <v>1010</v>
      </c>
      <c r="F119" s="33">
        <f>IFERROR(__xludf.DUMMYFUNCTION("""COMPUTED_VALUE"""),1010.0)</f>
        <v>1010</v>
      </c>
      <c r="G119" s="33">
        <f>IFERROR(__xludf.DUMMYFUNCTION("""COMPUTED_VALUE"""),1010.0)</f>
        <v>1010</v>
      </c>
      <c r="H119" s="32">
        <f>IFERROR(__xludf.DUMMYFUNCTION("""COMPUTED_VALUE"""),10.0)</f>
        <v>10</v>
      </c>
      <c r="I119" s="32">
        <f>IFERROR(__xludf.DUMMYFUNCTION("""COMPUTED_VALUE"""),0.0)</f>
        <v>0</v>
      </c>
      <c r="J119" s="32">
        <f>IFERROR(__xludf.DUMMYFUNCTION("""COMPUTED_VALUE"""),0.0)</f>
        <v>0</v>
      </c>
      <c r="K119" s="32">
        <f>IFERROR(__xludf.DUMMYFUNCTION("""COMPUTED_VALUE"""),100.0)</f>
        <v>100</v>
      </c>
      <c r="L119" s="32">
        <f>IFERROR(__xludf.DUMMYFUNCTION("""COMPUTED_VALUE"""),100.0)</f>
        <v>100</v>
      </c>
      <c r="M119" s="32" t="str">
        <f>IFERROR(__xludf.DUMMYFUNCTION("""COMPUTED_VALUE"""),"Fire:100, Nature:Immune, ")</f>
        <v>Fire:100, Nature:Immune, </v>
      </c>
      <c r="N119" s="32" t="str">
        <f>IFERROR(__xludf.DUMMYFUNCTION("""COMPUTED_VALUE"""),"Water:100, ")</f>
        <v>Water:100, </v>
      </c>
      <c r="O119" s="32"/>
      <c r="P119" s="32"/>
      <c r="Q119" s="32"/>
      <c r="R119" s="32"/>
      <c r="S119" s="32"/>
      <c r="T119" s="32"/>
      <c r="U119" s="32"/>
      <c r="V119" s="32"/>
      <c r="W119" s="32"/>
      <c r="X119" s="32"/>
      <c r="Y119" s="32"/>
      <c r="Z119" s="32"/>
      <c r="AA119" s="32"/>
      <c r="AB119" s="32"/>
      <c r="AC119" s="32"/>
      <c r="AD119" s="32"/>
      <c r="AE119" s="32"/>
      <c r="AF119" s="32"/>
      <c r="AG119" s="32"/>
      <c r="AH119" s="32"/>
      <c r="AI119" s="32"/>
      <c r="AJ119" s="32" t="str">
        <f>IFERROR(__xludf.DUMMYFUNCTION("""COMPUTED_VALUE"""),"Flaming Spider Senses")</f>
        <v>Flaming Spider Senses</v>
      </c>
      <c r="AK119" s="32" t="str">
        <f>IFERROR(__xludf.DUMMYFUNCTION("""COMPUTED_VALUE"""),"Bite")</f>
        <v>Bite</v>
      </c>
      <c r="AL119" s="32" t="str">
        <f>IFERROR(__xludf.DUMMYFUNCTION("""COMPUTED_VALUE"""),"Webs Of Inferno")</f>
        <v>Webs Of Inferno</v>
      </c>
      <c r="AM119" s="32"/>
      <c r="AN119" s="32"/>
      <c r="AO119" s="32"/>
      <c r="AP119" s="32"/>
      <c r="AQ119" s="32"/>
      <c r="AR119" s="32"/>
      <c r="AS119" s="32"/>
      <c r="AT119" s="32"/>
      <c r="AU119" s="32"/>
      <c r="AV119" s="32"/>
      <c r="AW119" s="32"/>
      <c r="AX119" s="32"/>
      <c r="AY119" s="32"/>
      <c r="AZ119" s="32"/>
      <c r="BA119" s="32"/>
      <c r="BB119" s="32"/>
      <c r="BC119" s="32"/>
      <c r="BD119" s="32">
        <f>IFERROR(__xludf.DUMMYFUNCTION("""COMPUTED_VALUE"""),0.0)</f>
        <v>0</v>
      </c>
      <c r="BE119" s="32">
        <f>IFERROR(__xludf.DUMMYFUNCTION("""COMPUTED_VALUE"""),10.0)</f>
        <v>10</v>
      </c>
      <c r="BF119" s="32" t="str">
        <f>IFERROR(__xludf.DUMMYFUNCTION("""COMPUTED_VALUE"""),"Flaming Spider Senses II: +5 is added to the casters attack and evasion roll.")</f>
        <v>Flaming Spider Senses II: +5 is added to the casters attack and evasion roll.</v>
      </c>
      <c r="BG119" s="32" t="str">
        <f>IFERROR(__xludf.DUMMYFUNCTION("""COMPUTED_VALUE"""),"Jungle")</f>
        <v>Jungle</v>
      </c>
      <c r="BH119" s="32" t="str">
        <f>IFERROR(__xludf.DUMMYFUNCTION("""COMPUTED_VALUE"""),"Land Of Spira")</f>
        <v>Land Of Spira</v>
      </c>
      <c r="BI119" s="32"/>
      <c r="BJ119" s="32"/>
      <c r="BK119" s="32"/>
      <c r="BL119" s="32" t="b">
        <f>IFERROR(__xludf.DUMMYFUNCTION("""COMPUTED_VALUE"""),FALSE)</f>
        <v>0</v>
      </c>
      <c r="BM119" s="32"/>
      <c r="BN119" s="32"/>
      <c r="BO119" s="32"/>
      <c r="BP119" s="32"/>
      <c r="BQ119" s="32"/>
    </row>
    <row r="120">
      <c r="A120" s="32" t="str">
        <f>IFERROR(__xludf.DUMMYFUNCTION("""COMPUTED_VALUE"""),"Girl of The Crow")</f>
        <v>Girl of The Crow</v>
      </c>
      <c r="B120" s="32">
        <f>IFERROR(__xludf.DUMMYFUNCTION("""COMPUTED_VALUE"""),1.0)</f>
        <v>1</v>
      </c>
      <c r="C120" s="32"/>
      <c r="D120" s="33" t="str">
        <f>IFERROR(__xludf.DUMMYFUNCTION("""COMPUTED_VALUE"""),"Humanoid")</f>
        <v>Humanoid</v>
      </c>
      <c r="E120" s="33">
        <f>IFERROR(__xludf.DUMMYFUNCTION("""COMPUTED_VALUE"""),1010.0)</f>
        <v>1010</v>
      </c>
      <c r="F120" s="33">
        <f>IFERROR(__xludf.DUMMYFUNCTION("""COMPUTED_VALUE"""),1010.0)</f>
        <v>1010</v>
      </c>
      <c r="G120" s="33">
        <f>IFERROR(__xludf.DUMMYFUNCTION("""COMPUTED_VALUE"""),1010.0)</f>
        <v>1010</v>
      </c>
      <c r="H120" s="32">
        <f>IFERROR(__xludf.DUMMYFUNCTION("""COMPUTED_VALUE"""),10.0)</f>
        <v>10</v>
      </c>
      <c r="I120" s="32">
        <f>IFERROR(__xludf.DUMMYFUNCTION("""COMPUTED_VALUE"""),0.0)</f>
        <v>0</v>
      </c>
      <c r="J120" s="32">
        <f>IFERROR(__xludf.DUMMYFUNCTION("""COMPUTED_VALUE"""),0.0)</f>
        <v>0</v>
      </c>
      <c r="K120" s="32">
        <f>IFERROR(__xludf.DUMMYFUNCTION("""COMPUTED_VALUE"""),100.0)</f>
        <v>100</v>
      </c>
      <c r="L120" s="32">
        <f>IFERROR(__xludf.DUMMYFUNCTION("""COMPUTED_VALUE"""),100.0)</f>
        <v>100</v>
      </c>
      <c r="M120" s="32" t="str">
        <f>IFERROR(__xludf.DUMMYFUNCTION("""COMPUTED_VALUE"""),"Dark:Immune, ")</f>
        <v>Dark:Immune, </v>
      </c>
      <c r="N120" s="32" t="str">
        <f>IFERROR(__xludf.DUMMYFUNCTION("""COMPUTED_VALUE"""),"Fire:100, Light:100, ")</f>
        <v>Fire:100, Light:100, </v>
      </c>
      <c r="O120" s="32"/>
      <c r="P120" s="32"/>
      <c r="Q120" s="32"/>
      <c r="R120" s="32"/>
      <c r="S120" s="32"/>
      <c r="T120" s="32"/>
      <c r="U120" s="32"/>
      <c r="V120" s="32"/>
      <c r="W120" s="32"/>
      <c r="X120" s="32"/>
      <c r="Y120" s="32"/>
      <c r="Z120" s="32"/>
      <c r="AA120" s="32"/>
      <c r="AB120" s="32"/>
      <c r="AC120" s="32"/>
      <c r="AD120" s="32"/>
      <c r="AE120" s="32"/>
      <c r="AF120" s="32"/>
      <c r="AG120" s="32"/>
      <c r="AH120" s="32"/>
      <c r="AI120" s="32"/>
      <c r="AJ120" s="32" t="str">
        <f>IFERROR(__xludf.DUMMYFUNCTION("""COMPUTED_VALUE"""),"Bite")</f>
        <v>Bite</v>
      </c>
      <c r="AK120" s="32" t="str">
        <f>IFERROR(__xludf.DUMMYFUNCTION("""COMPUTED_VALUE"""),"Dark Boost")</f>
        <v>Dark Boost</v>
      </c>
      <c r="AL120" s="32" t="str">
        <f>IFERROR(__xludf.DUMMYFUNCTION("""COMPUTED_VALUE"""),"Dark Force")</f>
        <v>Dark Force</v>
      </c>
      <c r="AM120" s="32" t="str">
        <f>IFERROR(__xludf.DUMMYFUNCTION("""COMPUTED_VALUE"""),"Dark Bolt")</f>
        <v>Dark Bolt</v>
      </c>
      <c r="AN120" s="32" t="str">
        <f>IFERROR(__xludf.DUMMYFUNCTION("""COMPUTED_VALUE"""),"Dive Bomb")</f>
        <v>Dive Bomb</v>
      </c>
      <c r="AO120" s="32"/>
      <c r="AP120" s="32"/>
      <c r="AQ120" s="32"/>
      <c r="AR120" s="32"/>
      <c r="AS120" s="32"/>
      <c r="AT120" s="32"/>
      <c r="AU120" s="32"/>
      <c r="AV120" s="32"/>
      <c r="AW120" s="32"/>
      <c r="AX120" s="32"/>
      <c r="AY120" s="32"/>
      <c r="AZ120" s="32"/>
      <c r="BA120" s="32"/>
      <c r="BB120" s="32"/>
      <c r="BC120" s="32"/>
      <c r="BD120" s="32">
        <f>IFERROR(__xludf.DUMMYFUNCTION("""COMPUTED_VALUE"""),0.0)</f>
        <v>0</v>
      </c>
      <c r="BE120" s="32">
        <f>IFERROR(__xludf.DUMMYFUNCTION("""COMPUTED_VALUE"""),10.0)</f>
        <v>10</v>
      </c>
      <c r="BF120" s="32"/>
      <c r="BG120" s="32" t="str">
        <f>IFERROR(__xludf.DUMMYFUNCTION("""COMPUTED_VALUE"""),"All")</f>
        <v>All</v>
      </c>
      <c r="BH120" s="32" t="str">
        <f>IFERROR(__xludf.DUMMYFUNCTION("""COMPUTED_VALUE"""),"Land Of Spira")</f>
        <v>Land Of Spira</v>
      </c>
      <c r="BI120" s="32"/>
      <c r="BJ120" s="32"/>
      <c r="BK120" s="32"/>
      <c r="BL120" s="32" t="b">
        <f>IFERROR(__xludf.DUMMYFUNCTION("""COMPUTED_VALUE"""),FALSE)</f>
        <v>0</v>
      </c>
      <c r="BM120" s="32"/>
      <c r="BN120" s="32"/>
      <c r="BO120" s="32"/>
      <c r="BP120" s="32"/>
      <c r="BQ120" s="32"/>
    </row>
    <row r="121">
      <c r="A121" s="32" t="str">
        <f>IFERROR(__xludf.DUMMYFUNCTION("""COMPUTED_VALUE"""),"Goblin")</f>
        <v>Goblin</v>
      </c>
      <c r="B121" s="32">
        <f>IFERROR(__xludf.DUMMYFUNCTION("""COMPUTED_VALUE"""),1.0)</f>
        <v>1</v>
      </c>
      <c r="C121" s="32"/>
      <c r="D121" s="33" t="str">
        <f>IFERROR(__xludf.DUMMYFUNCTION("""COMPUTED_VALUE"""),"Humanoid")</f>
        <v>Humanoid</v>
      </c>
      <c r="E121" s="33">
        <f>IFERROR(__xludf.DUMMYFUNCTION("""COMPUTED_VALUE"""),1010.0)</f>
        <v>1010</v>
      </c>
      <c r="F121" s="33">
        <f>IFERROR(__xludf.DUMMYFUNCTION("""COMPUTED_VALUE"""),1010.0)</f>
        <v>1010</v>
      </c>
      <c r="G121" s="33">
        <f>IFERROR(__xludf.DUMMYFUNCTION("""COMPUTED_VALUE"""),1010.0)</f>
        <v>1010</v>
      </c>
      <c r="H121" s="32">
        <f>IFERROR(__xludf.DUMMYFUNCTION("""COMPUTED_VALUE"""),10.0)</f>
        <v>10</v>
      </c>
      <c r="I121" s="32">
        <f>IFERROR(__xludf.DUMMYFUNCTION("""COMPUTED_VALUE"""),0.0)</f>
        <v>0</v>
      </c>
      <c r="J121" s="32">
        <f>IFERROR(__xludf.DUMMYFUNCTION("""COMPUTED_VALUE"""),0.0)</f>
        <v>0</v>
      </c>
      <c r="K121" s="32">
        <f>IFERROR(__xludf.DUMMYFUNCTION("""COMPUTED_VALUE"""),100.0)</f>
        <v>100</v>
      </c>
      <c r="L121" s="32">
        <f>IFERROR(__xludf.DUMMYFUNCTION("""COMPUTED_VALUE"""),100.0)</f>
        <v>100</v>
      </c>
      <c r="M121" s="32" t="str">
        <f>IFERROR(__xludf.DUMMYFUNCTION("""COMPUTED_VALUE"""),"")</f>
        <v/>
      </c>
      <c r="N121" s="32" t="str">
        <f>IFERROR(__xludf.DUMMYFUNCTION("""COMPUTED_VALUE"""),"")</f>
        <v/>
      </c>
      <c r="O121" s="32"/>
      <c r="P121" s="32"/>
      <c r="Q121" s="32"/>
      <c r="R121" s="32"/>
      <c r="S121" s="32"/>
      <c r="T121" s="32"/>
      <c r="U121" s="32"/>
      <c r="V121" s="32" t="str">
        <f>IFERROR(__xludf.DUMMYFUNCTION("""COMPUTED_VALUE"""),"Spear")</f>
        <v>Spear</v>
      </c>
      <c r="W121" s="32"/>
      <c r="X121" s="32"/>
      <c r="Y121" s="32"/>
      <c r="Z121" s="32"/>
      <c r="AA121" s="32"/>
      <c r="AB121" s="32"/>
      <c r="AC121" s="32"/>
      <c r="AD121" s="32"/>
      <c r="AE121" s="32"/>
      <c r="AF121" s="32"/>
      <c r="AG121" s="32"/>
      <c r="AH121" s="32"/>
      <c r="AI121" s="32"/>
      <c r="AJ121" s="32" t="str">
        <f>IFERROR(__xludf.DUMMYFUNCTION("""COMPUTED_VALUE"""),"Pick Pocket")</f>
        <v>Pick Pocket</v>
      </c>
      <c r="AK121" s="32" t="str">
        <f>IFERROR(__xludf.DUMMYFUNCTION("""COMPUTED_VALUE"""),"Hex with bad luck")</f>
        <v>Hex with bad luck</v>
      </c>
      <c r="AL121" s="32" t="str">
        <f>IFERROR(__xludf.DUMMYFUNCTION("""COMPUTED_VALUE"""),"End the voodoo contract")</f>
        <v>End the voodoo contract</v>
      </c>
      <c r="AM121" s="32"/>
      <c r="AN121" s="32"/>
      <c r="AO121" s="32"/>
      <c r="AP121" s="32"/>
      <c r="AQ121" s="32"/>
      <c r="AR121" s="32"/>
      <c r="AS121" s="32"/>
      <c r="AT121" s="32"/>
      <c r="AU121" s="32"/>
      <c r="AV121" s="32"/>
      <c r="AW121" s="32"/>
      <c r="AX121" s="32"/>
      <c r="AY121" s="32"/>
      <c r="AZ121" s="32"/>
      <c r="BA121" s="32"/>
      <c r="BB121" s="32"/>
      <c r="BC121" s="32"/>
      <c r="BD121" s="32">
        <f>IFERROR(__xludf.DUMMYFUNCTION("""COMPUTED_VALUE"""),0.0)</f>
        <v>0</v>
      </c>
      <c r="BE121" s="32">
        <f>IFERROR(__xludf.DUMMYFUNCTION("""COMPUTED_VALUE"""),10.0)</f>
        <v>10</v>
      </c>
      <c r="BF121" s="32"/>
      <c r="BG121" s="32" t="str">
        <f>IFERROR(__xludf.DUMMYFUNCTION("""COMPUTED_VALUE"""),"All")</f>
        <v>All</v>
      </c>
      <c r="BH121" s="32" t="str">
        <f>IFERROR(__xludf.DUMMYFUNCTION("""COMPUTED_VALUE"""),"Land of Spira")</f>
        <v>Land of Spira</v>
      </c>
      <c r="BI121" s="32"/>
      <c r="BJ121" s="32"/>
      <c r="BK121" s="32"/>
      <c r="BL121" s="32" t="b">
        <f>IFERROR(__xludf.DUMMYFUNCTION("""COMPUTED_VALUE"""),FALSE)</f>
        <v>0</v>
      </c>
      <c r="BM121" s="32"/>
      <c r="BN121" s="32"/>
      <c r="BO121" s="32"/>
      <c r="BP121" s="32"/>
      <c r="BQ121" s="32"/>
    </row>
    <row r="122">
      <c r="A122" s="32" t="str">
        <f>IFERROR(__xludf.DUMMYFUNCTION("""COMPUTED_VALUE"""),"Grand Dark &amp; Fire Mage")</f>
        <v>Grand Dark &amp; Fire Mage</v>
      </c>
      <c r="B122" s="32">
        <f>IFERROR(__xludf.DUMMYFUNCTION("""COMPUTED_VALUE"""),1.0)</f>
        <v>1</v>
      </c>
      <c r="C122" s="32"/>
      <c r="D122" s="33" t="str">
        <f>IFERROR(__xludf.DUMMYFUNCTION("""COMPUTED_VALUE"""),"Humanoid")</f>
        <v>Humanoid</v>
      </c>
      <c r="E122" s="33">
        <f>IFERROR(__xludf.DUMMYFUNCTION("""COMPUTED_VALUE"""),1010.0)</f>
        <v>1010</v>
      </c>
      <c r="F122" s="33">
        <f>IFERROR(__xludf.DUMMYFUNCTION("""COMPUTED_VALUE"""),1010.0)</f>
        <v>1010</v>
      </c>
      <c r="G122" s="33">
        <f>IFERROR(__xludf.DUMMYFUNCTION("""COMPUTED_VALUE"""),1010.0)</f>
        <v>1010</v>
      </c>
      <c r="H122" s="32">
        <f>IFERROR(__xludf.DUMMYFUNCTION("""COMPUTED_VALUE"""),10.0)</f>
        <v>10</v>
      </c>
      <c r="I122" s="32">
        <f>IFERROR(__xludf.DUMMYFUNCTION("""COMPUTED_VALUE"""),0.0)</f>
        <v>0</v>
      </c>
      <c r="J122" s="32">
        <f>IFERROR(__xludf.DUMMYFUNCTION("""COMPUTED_VALUE"""),0.0)</f>
        <v>0</v>
      </c>
      <c r="K122" s="32">
        <f>IFERROR(__xludf.DUMMYFUNCTION("""COMPUTED_VALUE"""),100.0)</f>
        <v>100</v>
      </c>
      <c r="L122" s="32">
        <f>IFERROR(__xludf.DUMMYFUNCTION("""COMPUTED_VALUE"""),100.0)</f>
        <v>100</v>
      </c>
      <c r="M122" s="32" t="str">
        <f>IFERROR(__xludf.DUMMYFUNCTION("""COMPUTED_VALUE"""),"Dark:Immune, Instant Death:Immune, Banishment:Immune, ")</f>
        <v>Dark:Immune, Instant Death:Immune, Banishment:Immune, </v>
      </c>
      <c r="N122" s="32" t="str">
        <f>IFERROR(__xludf.DUMMYFUNCTION("""COMPUTED_VALUE"""),"Water:100, Light:100, ")</f>
        <v>Water:100, Light:100, </v>
      </c>
      <c r="O122" s="32"/>
      <c r="P122" s="32"/>
      <c r="Q122" s="32"/>
      <c r="R122" s="32"/>
      <c r="S122" s="32"/>
      <c r="T122" s="32"/>
      <c r="U122" s="32"/>
      <c r="V122" s="32" t="str">
        <f>IFERROR(__xludf.DUMMYFUNCTION("""COMPUTED_VALUE"""),"The Grand Staff of Evil Flames")</f>
        <v>The Grand Staff of Evil Flames</v>
      </c>
      <c r="W122" s="32"/>
      <c r="X122" s="32" t="str">
        <f>IFERROR(__xludf.DUMMYFUNCTION("""COMPUTED_VALUE"""),"Fire Ring")</f>
        <v>Fire Ring</v>
      </c>
      <c r="Y122" s="32"/>
      <c r="Z122" s="32"/>
      <c r="AA122" s="32"/>
      <c r="AB122" s="32"/>
      <c r="AC122" s="32"/>
      <c r="AD122" s="32"/>
      <c r="AE122" s="32"/>
      <c r="AF122" s="32"/>
      <c r="AG122" s="32"/>
      <c r="AH122" s="32"/>
      <c r="AI122" s="32"/>
      <c r="AJ122" s="32" t="str">
        <f>IFERROR(__xludf.DUMMYFUNCTION("""COMPUTED_VALUE"""),"Souls of Darkness and Chaos")</f>
        <v>Souls of Darkness and Chaos</v>
      </c>
      <c r="AK122" s="32" t="str">
        <f>IFERROR(__xludf.DUMMYFUNCTION("""COMPUTED_VALUE"""),"Chaotic Shadow Storm")</f>
        <v>Chaotic Shadow Storm</v>
      </c>
      <c r="AL122" s="32" t="str">
        <f>IFERROR(__xludf.DUMMYFUNCTION("""COMPUTED_VALUE"""),"Chaotic Shadow Force")</f>
        <v>Chaotic Shadow Force</v>
      </c>
      <c r="AM122" s="32" t="str">
        <f>IFERROR(__xludf.DUMMYFUNCTION("""COMPUTED_VALUE"""),"Chaotic Shadow Barrier")</f>
        <v>Chaotic Shadow Barrier</v>
      </c>
      <c r="AN122" s="32" t="str">
        <f>IFERROR(__xludf.DUMMYFUNCTION("""COMPUTED_VALUE"""),"Darkest Abyss")</f>
        <v>Darkest Abyss</v>
      </c>
      <c r="AO122" s="32" t="str">
        <f>IFERROR(__xludf.DUMMYFUNCTION("""COMPUTED_VALUE"""),"Conceal")</f>
        <v>Conceal</v>
      </c>
      <c r="AP122" s="32" t="str">
        <f>IFERROR(__xludf.DUMMYFUNCTION("""COMPUTED_VALUE"""),"Dimensional Quake")</f>
        <v>Dimensional Quake</v>
      </c>
      <c r="AQ122" s="32" t="str">
        <f>IFERROR(__xludf.DUMMYFUNCTION("""COMPUTED_VALUE"""),"Dimension Portal")</f>
        <v>Dimension Portal</v>
      </c>
      <c r="AR122" s="32" t="str">
        <f>IFERROR(__xludf.DUMMYFUNCTION("""COMPUTED_VALUE"""),"Celestial Summon")</f>
        <v>Celestial Summon</v>
      </c>
      <c r="AS122" s="32" t="str">
        <f>IFERROR(__xludf.DUMMYFUNCTION("""COMPUTED_VALUE"""),"Mass Destruction")</f>
        <v>Mass Destruction</v>
      </c>
      <c r="AT122" s="32" t="str">
        <f>IFERROR(__xludf.DUMMYFUNCTION("""COMPUTED_VALUE"""),"Chaincast")</f>
        <v>Chaincast</v>
      </c>
      <c r="AU122" s="32"/>
      <c r="AV122" s="32"/>
      <c r="AW122" s="32"/>
      <c r="AX122" s="32"/>
      <c r="AY122" s="32"/>
      <c r="AZ122" s="32"/>
      <c r="BA122" s="32"/>
      <c r="BB122" s="32"/>
      <c r="BC122" s="32"/>
      <c r="BD122" s="32">
        <f>IFERROR(__xludf.DUMMYFUNCTION("""COMPUTED_VALUE"""),0.0)</f>
        <v>0</v>
      </c>
      <c r="BE122" s="32">
        <f>IFERROR(__xludf.DUMMYFUNCTION("""COMPUTED_VALUE"""),20.0)</f>
        <v>20</v>
      </c>
      <c r="BF122" s="32"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32" t="str">
        <f>IFERROR(__xludf.DUMMYFUNCTION("""COMPUTED_VALUE"""),"All")</f>
        <v>All</v>
      </c>
      <c r="BH122" s="32" t="str">
        <f>IFERROR(__xludf.DUMMYFUNCTION("""COMPUTED_VALUE"""),"Abstara")</f>
        <v>Abstara</v>
      </c>
      <c r="BI122" s="32"/>
      <c r="BJ122" s="32"/>
      <c r="BK122" s="32"/>
      <c r="BL122" s="32" t="b">
        <f>IFERROR(__xludf.DUMMYFUNCTION("""COMPUTED_VALUE"""),FALSE)</f>
        <v>0</v>
      </c>
      <c r="BM122" s="32"/>
      <c r="BN122" s="32"/>
      <c r="BO122" s="32"/>
      <c r="BP122" s="32"/>
      <c r="BQ122" s="32"/>
    </row>
    <row r="123">
      <c r="A123" s="32" t="str">
        <f>IFERROR(__xludf.DUMMYFUNCTION("""COMPUTED_VALUE"""),"Grand Fire Elemental")</f>
        <v>Grand Fire Elemental</v>
      </c>
      <c r="B123" s="32">
        <f>IFERROR(__xludf.DUMMYFUNCTION("""COMPUTED_VALUE"""),1.0)</f>
        <v>1</v>
      </c>
      <c r="C123" s="32"/>
      <c r="D123" s="33" t="str">
        <f>IFERROR(__xludf.DUMMYFUNCTION("""COMPUTED_VALUE"""),"Spirit")</f>
        <v>Spirit</v>
      </c>
      <c r="E123" s="33">
        <f>IFERROR(__xludf.DUMMYFUNCTION("""COMPUTED_VALUE"""),1010.0)</f>
        <v>1010</v>
      </c>
      <c r="F123" s="33">
        <f>IFERROR(__xludf.DUMMYFUNCTION("""COMPUTED_VALUE"""),1010.0)</f>
        <v>1010</v>
      </c>
      <c r="G123" s="33">
        <f>IFERROR(__xludf.DUMMYFUNCTION("""COMPUTED_VALUE"""),1010.0)</f>
        <v>1010</v>
      </c>
      <c r="H123" s="32">
        <f>IFERROR(__xludf.DUMMYFUNCTION("""COMPUTED_VALUE"""),10.0)</f>
        <v>10</v>
      </c>
      <c r="I123" s="32">
        <f>IFERROR(__xludf.DUMMYFUNCTION("""COMPUTED_VALUE"""),0.0)</f>
        <v>0</v>
      </c>
      <c r="J123" s="32">
        <f>IFERROR(__xludf.DUMMYFUNCTION("""COMPUTED_VALUE"""),0.0)</f>
        <v>0</v>
      </c>
      <c r="K123" s="32">
        <f>IFERROR(__xludf.DUMMYFUNCTION("""COMPUTED_VALUE"""),100.0)</f>
        <v>100</v>
      </c>
      <c r="L123" s="32">
        <f>IFERROR(__xludf.DUMMYFUNCTION("""COMPUTED_VALUE"""),100.0)</f>
        <v>100</v>
      </c>
      <c r="M123" s="32" t="str">
        <f>IFERROR(__xludf.DUMMYFUNCTION("""COMPUTED_VALUE"""),"Fire:Immune, Blood:Immune, Instant Death:Immune, Banishment:Immune, ")</f>
        <v>Fire:Immune, Blood:Immune, Instant Death:Immune, Banishment:Immune, </v>
      </c>
      <c r="N123" s="32" t="str">
        <f>IFERROR(__xludf.DUMMYFUNCTION("""COMPUTED_VALUE"""),"Water:100, ")</f>
        <v>Water:100, </v>
      </c>
      <c r="O123" s="32"/>
      <c r="P123" s="32"/>
      <c r="Q123" s="32"/>
      <c r="R123" s="32"/>
      <c r="S123" s="32"/>
      <c r="T123" s="32"/>
      <c r="U123" s="32"/>
      <c r="V123" s="32"/>
      <c r="W123" s="32"/>
      <c r="X123" s="32"/>
      <c r="Y123" s="32"/>
      <c r="Z123" s="32"/>
      <c r="AA123" s="32"/>
      <c r="AB123" s="32"/>
      <c r="AC123" s="32"/>
      <c r="AD123" s="32"/>
      <c r="AE123" s="32"/>
      <c r="AF123" s="32"/>
      <c r="AG123" s="32"/>
      <c r="AH123" s="32"/>
      <c r="AI123" s="32"/>
      <c r="AJ123" s="32" t="str">
        <f>IFERROR(__xludf.DUMMYFUNCTION("""COMPUTED_VALUE"""),"Volcanic Rain")</f>
        <v>Volcanic Rain</v>
      </c>
      <c r="AK123" s="32" t="str">
        <f>IFERROR(__xludf.DUMMYFUNCTION("""COMPUTED_VALUE"""),"Mass Ignition")</f>
        <v>Mass Ignition</v>
      </c>
      <c r="AL123" s="32" t="str">
        <f>IFERROR(__xludf.DUMMYFUNCTION("""COMPUTED_VALUE"""),"Solar Storm")</f>
        <v>Solar Storm</v>
      </c>
      <c r="AM123" s="32" t="str">
        <f>IFERROR(__xludf.DUMMYFUNCTION("""COMPUTED_VALUE"""),"Mass Destruction")</f>
        <v>Mass Destruction</v>
      </c>
      <c r="AN123" s="32" t="str">
        <f>IFERROR(__xludf.DUMMYFUNCTION("""COMPUTED_VALUE"""),"Solar Ward")</f>
        <v>Solar Ward</v>
      </c>
      <c r="AO123" s="32"/>
      <c r="AP123" s="32"/>
      <c r="AQ123" s="32"/>
      <c r="AR123" s="32"/>
      <c r="AS123" s="32"/>
      <c r="AT123" s="32"/>
      <c r="AU123" s="32"/>
      <c r="AV123" s="32"/>
      <c r="AW123" s="32"/>
      <c r="AX123" s="32"/>
      <c r="AY123" s="32"/>
      <c r="AZ123" s="32"/>
      <c r="BA123" s="32"/>
      <c r="BB123" s="32"/>
      <c r="BC123" s="32"/>
      <c r="BD123" s="32">
        <f>IFERROR(__xludf.DUMMYFUNCTION("""COMPUTED_VALUE"""),0.0)</f>
        <v>0</v>
      </c>
      <c r="BE123" s="32">
        <f>IFERROR(__xludf.DUMMYFUNCTION("""COMPUTED_VALUE"""),10.0)</f>
        <v>10</v>
      </c>
      <c r="BF123" s="32" t="str">
        <f>IFERROR(__xludf.DUMMYFUNCTION("""COMPUTED_VALUE"""),"A Dark Calling: +5 can be added to this mobs rolls.")</f>
        <v>A Dark Calling: +5 can be added to this mobs rolls.</v>
      </c>
      <c r="BG123" s="32" t="str">
        <f>IFERROR(__xludf.DUMMYFUNCTION("""COMPUTED_VALUE"""),"All")</f>
        <v>All</v>
      </c>
      <c r="BH123" s="32" t="str">
        <f>IFERROR(__xludf.DUMMYFUNCTION("""COMPUTED_VALUE"""),"Abstara")</f>
        <v>Abstara</v>
      </c>
      <c r="BI123" s="32"/>
      <c r="BJ123" s="32"/>
      <c r="BK123" s="32"/>
      <c r="BL123" s="32" t="b">
        <f>IFERROR(__xludf.DUMMYFUNCTION("""COMPUTED_VALUE"""),FALSE)</f>
        <v>0</v>
      </c>
      <c r="BM123" s="32"/>
      <c r="BN123" s="32"/>
      <c r="BO123" s="32"/>
      <c r="BP123" s="32"/>
      <c r="BQ123" s="32"/>
    </row>
    <row r="124">
      <c r="A124" s="32" t="str">
        <f>IFERROR(__xludf.DUMMYFUNCTION("""COMPUTED_VALUE"""),"Gray Soul")</f>
        <v>Gray Soul</v>
      </c>
      <c r="B124" s="32">
        <f>IFERROR(__xludf.DUMMYFUNCTION("""COMPUTED_VALUE"""),1.0)</f>
        <v>1</v>
      </c>
      <c r="C124" s="32"/>
      <c r="D124" s="33" t="str">
        <f>IFERROR(__xludf.DUMMYFUNCTION("""COMPUTED_VALUE"""),"Spirit")</f>
        <v>Spirit</v>
      </c>
      <c r="E124" s="33">
        <f>IFERROR(__xludf.DUMMYFUNCTION("""COMPUTED_VALUE"""),1010.0)</f>
        <v>1010</v>
      </c>
      <c r="F124" s="33">
        <f>IFERROR(__xludf.DUMMYFUNCTION("""COMPUTED_VALUE"""),1010.0)</f>
        <v>1010</v>
      </c>
      <c r="G124" s="33">
        <f>IFERROR(__xludf.DUMMYFUNCTION("""COMPUTED_VALUE"""),1010.0)</f>
        <v>1010</v>
      </c>
      <c r="H124" s="32">
        <f>IFERROR(__xludf.DUMMYFUNCTION("""COMPUTED_VALUE"""),10.0)</f>
        <v>10</v>
      </c>
      <c r="I124" s="32">
        <f>IFERROR(__xludf.DUMMYFUNCTION("""COMPUTED_VALUE"""),0.0)</f>
        <v>0</v>
      </c>
      <c r="J124" s="32">
        <f>IFERROR(__xludf.DUMMYFUNCTION("""COMPUTED_VALUE"""),0.0)</f>
        <v>0</v>
      </c>
      <c r="K124" s="32">
        <f>IFERROR(__xludf.DUMMYFUNCTION("""COMPUTED_VALUE"""),100.0)</f>
        <v>100</v>
      </c>
      <c r="L124" s="32">
        <f>IFERROR(__xludf.DUMMYFUNCTION("""COMPUTED_VALUE"""),100.0)</f>
        <v>100</v>
      </c>
      <c r="M124" s="32" t="str">
        <f>IFERROR(__xludf.DUMMYFUNCTION("""COMPUTED_VALUE"""),"Spirit:Immune, ")</f>
        <v>Spirit:Immune, </v>
      </c>
      <c r="N124" s="32" t="str">
        <f>IFERROR(__xludf.DUMMYFUNCTION("""COMPUTED_VALUE"""),"Fire:100, Light:100, ")</f>
        <v>Fire:100, Light:100, </v>
      </c>
      <c r="O124" s="32"/>
      <c r="P124" s="32"/>
      <c r="Q124" s="32"/>
      <c r="R124" s="32"/>
      <c r="S124" s="32"/>
      <c r="T124" s="32"/>
      <c r="U124" s="32"/>
      <c r="V124" s="32"/>
      <c r="W124" s="32"/>
      <c r="X124" s="32"/>
      <c r="Y124" s="32"/>
      <c r="Z124" s="32"/>
      <c r="AA124" s="32"/>
      <c r="AB124" s="32"/>
      <c r="AC124" s="32"/>
      <c r="AD124" s="32"/>
      <c r="AE124" s="32"/>
      <c r="AF124" s="32"/>
      <c r="AG124" s="32"/>
      <c r="AH124" s="32"/>
      <c r="AI124" s="32"/>
      <c r="AJ124" s="32" t="str">
        <f>IFERROR(__xludf.DUMMYFUNCTION("""COMPUTED_VALUE"""),"A Deal With The Spirit World")</f>
        <v>A Deal With The Spirit World</v>
      </c>
      <c r="AK124" s="32" t="str">
        <f>IFERROR(__xludf.DUMMYFUNCTION("""COMPUTED_VALUE"""),"Final Blast")</f>
        <v>Final Blast</v>
      </c>
      <c r="AL124" s="32" t="str">
        <f>IFERROR(__xludf.DUMMYFUNCTION("""COMPUTED_VALUE"""),"Soul Shot")</f>
        <v>Soul Shot</v>
      </c>
      <c r="AM124" s="32" t="str">
        <f>IFERROR(__xludf.DUMMYFUNCTION("""COMPUTED_VALUE"""),"Final Rest")</f>
        <v>Final Rest</v>
      </c>
      <c r="AN124" s="32" t="str">
        <f>IFERROR(__xludf.DUMMYFUNCTION("""COMPUTED_VALUE"""),"Soul Trap")</f>
        <v>Soul Trap</v>
      </c>
      <c r="AO124" s="32" t="str">
        <f>IFERROR(__xludf.DUMMYFUNCTION("""COMPUTED_VALUE"""),"Possession")</f>
        <v>Possession</v>
      </c>
      <c r="AP124" s="32" t="str">
        <f>IFERROR(__xludf.DUMMYFUNCTION("""COMPUTED_VALUE"""),"Confuse")</f>
        <v>Confuse</v>
      </c>
      <c r="AQ124" s="32"/>
      <c r="AR124" s="32"/>
      <c r="AS124" s="32"/>
      <c r="AT124" s="32"/>
      <c r="AU124" s="32"/>
      <c r="AV124" s="32"/>
      <c r="AW124" s="32"/>
      <c r="AX124" s="32"/>
      <c r="AY124" s="32"/>
      <c r="AZ124" s="32"/>
      <c r="BA124" s="32"/>
      <c r="BB124" s="32"/>
      <c r="BC124" s="32"/>
      <c r="BD124" s="32">
        <f>IFERROR(__xludf.DUMMYFUNCTION("""COMPUTED_VALUE"""),0.0)</f>
        <v>0</v>
      </c>
      <c r="BE124" s="32">
        <f>IFERROR(__xludf.DUMMYFUNCTION("""COMPUTED_VALUE"""),10.0)</f>
        <v>10</v>
      </c>
      <c r="BF124" s="32"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32" t="str">
        <f>IFERROR(__xludf.DUMMYFUNCTION("""COMPUTED_VALUE"""),"All")</f>
        <v>All</v>
      </c>
      <c r="BH124" s="32" t="str">
        <f>IFERROR(__xludf.DUMMYFUNCTION("""COMPUTED_VALUE"""),"Abstara")</f>
        <v>Abstara</v>
      </c>
      <c r="BI124" s="32"/>
      <c r="BJ124" s="32"/>
      <c r="BK124" s="32"/>
      <c r="BL124" s="32" t="b">
        <f>IFERROR(__xludf.DUMMYFUNCTION("""COMPUTED_VALUE"""),FALSE)</f>
        <v>0</v>
      </c>
      <c r="BM124" s="32"/>
      <c r="BN124" s="32"/>
      <c r="BO124" s="32"/>
      <c r="BP124" s="32"/>
      <c r="BQ124" s="32"/>
    </row>
    <row r="125">
      <c r="A125" s="32" t="str">
        <f>IFERROR(__xludf.DUMMYFUNCTION("""COMPUTED_VALUE"""),"Green Soul")</f>
        <v>Green Soul</v>
      </c>
      <c r="B125" s="32">
        <f>IFERROR(__xludf.DUMMYFUNCTION("""COMPUTED_VALUE"""),1.0)</f>
        <v>1</v>
      </c>
      <c r="C125" s="32"/>
      <c r="D125" s="33" t="str">
        <f>IFERROR(__xludf.DUMMYFUNCTION("""COMPUTED_VALUE"""),"Spirit")</f>
        <v>Spirit</v>
      </c>
      <c r="E125" s="33">
        <f>IFERROR(__xludf.DUMMYFUNCTION("""COMPUTED_VALUE"""),1010.0)</f>
        <v>1010</v>
      </c>
      <c r="F125" s="33">
        <f>IFERROR(__xludf.DUMMYFUNCTION("""COMPUTED_VALUE"""),1010.0)</f>
        <v>1010</v>
      </c>
      <c r="G125" s="33">
        <f>IFERROR(__xludf.DUMMYFUNCTION("""COMPUTED_VALUE"""),1010.0)</f>
        <v>1010</v>
      </c>
      <c r="H125" s="32">
        <f>IFERROR(__xludf.DUMMYFUNCTION("""COMPUTED_VALUE"""),10.0)</f>
        <v>10</v>
      </c>
      <c r="I125" s="32">
        <f>IFERROR(__xludf.DUMMYFUNCTION("""COMPUTED_VALUE"""),0.0)</f>
        <v>0</v>
      </c>
      <c r="J125" s="32">
        <f>IFERROR(__xludf.DUMMYFUNCTION("""COMPUTED_VALUE"""),0.0)</f>
        <v>0</v>
      </c>
      <c r="K125" s="32">
        <f>IFERROR(__xludf.DUMMYFUNCTION("""COMPUTED_VALUE"""),100.0)</f>
        <v>100</v>
      </c>
      <c r="L125" s="32">
        <f>IFERROR(__xludf.DUMMYFUNCTION("""COMPUTED_VALUE"""),100.0)</f>
        <v>100</v>
      </c>
      <c r="M125" s="32" t="str">
        <f>IFERROR(__xludf.DUMMYFUNCTION("""COMPUTED_VALUE"""),"Spirit:Immune, Nature:Immune, ")</f>
        <v>Spirit:Immune, Nature:Immune, </v>
      </c>
      <c r="N125" s="32" t="str">
        <f>IFERROR(__xludf.DUMMYFUNCTION("""COMPUTED_VALUE"""),"Fire:100, Light:100, ")</f>
        <v>Fire:100, Light:100, </v>
      </c>
      <c r="O125" s="32"/>
      <c r="P125" s="32"/>
      <c r="Q125" s="32"/>
      <c r="R125" s="32"/>
      <c r="S125" s="32"/>
      <c r="T125" s="32"/>
      <c r="U125" s="32"/>
      <c r="V125" s="32"/>
      <c r="W125" s="32"/>
      <c r="X125" s="32"/>
      <c r="Y125" s="32"/>
      <c r="Z125" s="32"/>
      <c r="AA125" s="32"/>
      <c r="AB125" s="32"/>
      <c r="AC125" s="32"/>
      <c r="AD125" s="32"/>
      <c r="AE125" s="32"/>
      <c r="AF125" s="32"/>
      <c r="AG125" s="32"/>
      <c r="AH125" s="32"/>
      <c r="AI125" s="32"/>
      <c r="AJ125" s="32" t="str">
        <f>IFERROR(__xludf.DUMMYFUNCTION("""COMPUTED_VALUE"""),"A Deal With The Spirit World")</f>
        <v>A Deal With The Spirit World</v>
      </c>
      <c r="AK125" s="32" t="str">
        <f>IFERROR(__xludf.DUMMYFUNCTION("""COMPUTED_VALUE"""),"Final Blast")</f>
        <v>Final Blast</v>
      </c>
      <c r="AL125" s="32" t="str">
        <f>IFERROR(__xludf.DUMMYFUNCTION("""COMPUTED_VALUE"""),"Soul Shot")</f>
        <v>Soul Shot</v>
      </c>
      <c r="AM125" s="32" t="str">
        <f>IFERROR(__xludf.DUMMYFUNCTION("""COMPUTED_VALUE"""),"Final Rest")</f>
        <v>Final Rest</v>
      </c>
      <c r="AN125" s="32" t="str">
        <f>IFERROR(__xludf.DUMMYFUNCTION("""COMPUTED_VALUE"""),"Soul Trap")</f>
        <v>Soul Trap</v>
      </c>
      <c r="AO125" s="32" t="str">
        <f>IFERROR(__xludf.DUMMYFUNCTION("""COMPUTED_VALUE"""),"Possession")</f>
        <v>Possession</v>
      </c>
      <c r="AP125" s="32" t="str">
        <f>IFERROR(__xludf.DUMMYFUNCTION("""COMPUTED_VALUE"""),"Confuse")</f>
        <v>Confuse</v>
      </c>
      <c r="AQ125" s="32"/>
      <c r="AR125" s="32"/>
      <c r="AS125" s="32"/>
      <c r="AT125" s="32"/>
      <c r="AU125" s="32"/>
      <c r="AV125" s="32"/>
      <c r="AW125" s="32"/>
      <c r="AX125" s="32"/>
      <c r="AY125" s="32"/>
      <c r="AZ125" s="32"/>
      <c r="BA125" s="32"/>
      <c r="BB125" s="32"/>
      <c r="BC125" s="32"/>
      <c r="BD125" s="32">
        <f>IFERROR(__xludf.DUMMYFUNCTION("""COMPUTED_VALUE"""),0.0)</f>
        <v>0</v>
      </c>
      <c r="BE125" s="32">
        <f>IFERROR(__xludf.DUMMYFUNCTION("""COMPUTED_VALUE"""),10.0)</f>
        <v>10</v>
      </c>
      <c r="BF125" s="32"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32" t="str">
        <f>IFERROR(__xludf.DUMMYFUNCTION("""COMPUTED_VALUE"""),"All")</f>
        <v>All</v>
      </c>
      <c r="BH125" s="32" t="str">
        <f>IFERROR(__xludf.DUMMYFUNCTION("""COMPUTED_VALUE"""),"Abstara")</f>
        <v>Abstara</v>
      </c>
      <c r="BI125" s="32"/>
      <c r="BJ125" s="32"/>
      <c r="BK125" s="32"/>
      <c r="BL125" s="32" t="b">
        <f>IFERROR(__xludf.DUMMYFUNCTION("""COMPUTED_VALUE"""),FALSE)</f>
        <v>0</v>
      </c>
      <c r="BM125" s="32"/>
      <c r="BN125" s="32"/>
      <c r="BO125" s="32"/>
      <c r="BP125" s="32"/>
      <c r="BQ125" s="32"/>
    </row>
    <row r="126">
      <c r="A126" s="32" t="str">
        <f>IFERROR(__xludf.DUMMYFUNCTION("""COMPUTED_VALUE"""),"Griffin")</f>
        <v>Griffin</v>
      </c>
      <c r="B126" s="32">
        <f>IFERROR(__xludf.DUMMYFUNCTION("""COMPUTED_VALUE"""),1.0)</f>
        <v>1</v>
      </c>
      <c r="C126" s="32"/>
      <c r="D126" s="33" t="str">
        <f>IFERROR(__xludf.DUMMYFUNCTION("""COMPUTED_VALUE"""),"Beast")</f>
        <v>Beast</v>
      </c>
      <c r="E126" s="33">
        <f>IFERROR(__xludf.DUMMYFUNCTION("""COMPUTED_VALUE"""),31010.0)</f>
        <v>31010</v>
      </c>
      <c r="F126" s="33">
        <f>IFERROR(__xludf.DUMMYFUNCTION("""COMPUTED_VALUE"""),31010.0)</f>
        <v>31010</v>
      </c>
      <c r="G126" s="33">
        <f>IFERROR(__xludf.DUMMYFUNCTION("""COMPUTED_VALUE"""),1010.0)</f>
        <v>1010</v>
      </c>
      <c r="H126" s="32">
        <f>IFERROR(__xludf.DUMMYFUNCTION("""COMPUTED_VALUE"""),20.0)</f>
        <v>20</v>
      </c>
      <c r="I126" s="32">
        <f>IFERROR(__xludf.DUMMYFUNCTION("""COMPUTED_VALUE"""),0.0)</f>
        <v>0</v>
      </c>
      <c r="J126" s="32">
        <f>IFERROR(__xludf.DUMMYFUNCTION("""COMPUTED_VALUE"""),0.0)</f>
        <v>0</v>
      </c>
      <c r="K126" s="32">
        <f>IFERROR(__xludf.DUMMYFUNCTION("""COMPUTED_VALUE"""),100.0)</f>
        <v>100</v>
      </c>
      <c r="L126" s="32">
        <f>IFERROR(__xludf.DUMMYFUNCTION("""COMPUTED_VALUE"""),100.0)</f>
        <v>100</v>
      </c>
      <c r="M126" s="32" t="str">
        <f>IFERROR(__xludf.DUMMYFUNCTION("""COMPUTED_VALUE"""),"")</f>
        <v/>
      </c>
      <c r="N126" s="32" t="str">
        <f>IFERROR(__xludf.DUMMYFUNCTION("""COMPUTED_VALUE"""),"")</f>
        <v/>
      </c>
      <c r="O126" s="32"/>
      <c r="P126" s="32"/>
      <c r="Q126" s="32"/>
      <c r="R126" s="32"/>
      <c r="S126" s="32"/>
      <c r="T126" s="32"/>
      <c r="U126" s="32"/>
      <c r="V126" s="32"/>
      <c r="W126" s="32"/>
      <c r="X126" s="32"/>
      <c r="Y126" s="32"/>
      <c r="Z126" s="32"/>
      <c r="AA126" s="32"/>
      <c r="AB126" s="32"/>
      <c r="AC126" s="32"/>
      <c r="AD126" s="32"/>
      <c r="AE126" s="32"/>
      <c r="AF126" s="32"/>
      <c r="AG126" s="32"/>
      <c r="AH126" s="32"/>
      <c r="AI126" s="32"/>
      <c r="AJ126" s="32" t="str">
        <f>IFERROR(__xludf.DUMMYFUNCTION("""COMPUTED_VALUE"""),"Claws")</f>
        <v>Claws</v>
      </c>
      <c r="AK126" s="32" t="str">
        <f>IFERROR(__xludf.DUMMYFUNCTION("""COMPUTED_VALUE"""),"Skydive")</f>
        <v>Skydive</v>
      </c>
      <c r="AL126" s="32" t="str">
        <f>IFERROR(__xludf.DUMMYFUNCTION("""COMPUTED_VALUE"""),"Rapid Swoop")</f>
        <v>Rapid Swoop</v>
      </c>
      <c r="AM126" s="32" t="str">
        <f>IFERROR(__xludf.DUMMYFUNCTION("""COMPUTED_VALUE"""),"Dive Bomb")</f>
        <v>Dive Bomb</v>
      </c>
      <c r="AN126" s="32" t="str">
        <f>IFERROR(__xludf.DUMMYFUNCTION("""COMPUTED_VALUE"""),"Reckless Chomp ")</f>
        <v>Reckless Chomp </v>
      </c>
      <c r="AO126" s="32" t="str">
        <f>IFERROR(__xludf.DUMMYFUNCTION("""COMPUTED_VALUE"""),"Tackle")</f>
        <v>Tackle</v>
      </c>
      <c r="AP126" s="32" t="str">
        <f>IFERROR(__xludf.DUMMYFUNCTION("""COMPUTED_VALUE"""),"Roaring Gust Of Wind")</f>
        <v>Roaring Gust Of Wind</v>
      </c>
      <c r="AQ126" s="32" t="str">
        <f>IFERROR(__xludf.DUMMYFUNCTION("""COMPUTED_VALUE"""),"Multishot")</f>
        <v>Multishot</v>
      </c>
      <c r="AR126" s="32"/>
      <c r="AS126" s="32"/>
      <c r="AT126" s="32"/>
      <c r="AU126" s="32"/>
      <c r="AV126" s="32"/>
      <c r="AW126" s="32"/>
      <c r="AX126" s="32"/>
      <c r="AY126" s="32"/>
      <c r="AZ126" s="32"/>
      <c r="BA126" s="32"/>
      <c r="BB126" s="32"/>
      <c r="BC126" s="32"/>
      <c r="BD126" s="32">
        <f>IFERROR(__xludf.DUMMYFUNCTION("""COMPUTED_VALUE"""),0.0)</f>
        <v>0</v>
      </c>
      <c r="BE126" s="32">
        <f>IFERROR(__xludf.DUMMYFUNCTION("""COMPUTED_VALUE"""),10.0)</f>
        <v>10</v>
      </c>
      <c r="BF126" s="32"/>
      <c r="BG126" s="32" t="str">
        <f>IFERROR(__xludf.DUMMYFUNCTION("""COMPUTED_VALUE"""),"All")</f>
        <v>All</v>
      </c>
      <c r="BH126" s="32" t="str">
        <f>IFERROR(__xludf.DUMMYFUNCTION("""COMPUTED_VALUE"""),"Land of Spira")</f>
        <v>Land of Spira</v>
      </c>
      <c r="BI126" s="32"/>
      <c r="BJ126" s="32"/>
      <c r="BK126" s="32"/>
      <c r="BL126" s="32" t="b">
        <f>IFERROR(__xludf.DUMMYFUNCTION("""COMPUTED_VALUE"""),FALSE)</f>
        <v>0</v>
      </c>
      <c r="BM126" s="32"/>
      <c r="BN126" s="32"/>
      <c r="BO126" s="32"/>
      <c r="BP126" s="32"/>
      <c r="BQ126" s="32"/>
    </row>
    <row r="127">
      <c r="A127" s="32" t="str">
        <f>IFERROR(__xludf.DUMMYFUNCTION("""COMPUTED_VALUE"""),"Ground Tiger")</f>
        <v>Ground Tiger</v>
      </c>
      <c r="B127" s="32">
        <f>IFERROR(__xludf.DUMMYFUNCTION("""COMPUTED_VALUE"""),1.0)</f>
        <v>1</v>
      </c>
      <c r="C127" s="32"/>
      <c r="D127" s="33" t="str">
        <f>IFERROR(__xludf.DUMMYFUNCTION("""COMPUTED_VALUE"""),"Beast")</f>
        <v>Beast</v>
      </c>
      <c r="E127" s="33">
        <f>IFERROR(__xludf.DUMMYFUNCTION("""COMPUTED_VALUE"""),1010.0)</f>
        <v>1010</v>
      </c>
      <c r="F127" s="33">
        <f>IFERROR(__xludf.DUMMYFUNCTION("""COMPUTED_VALUE"""),1010.0)</f>
        <v>1010</v>
      </c>
      <c r="G127" s="33">
        <f>IFERROR(__xludf.DUMMYFUNCTION("""COMPUTED_VALUE"""),1010.0)</f>
        <v>1010</v>
      </c>
      <c r="H127" s="32">
        <f>IFERROR(__xludf.DUMMYFUNCTION("""COMPUTED_VALUE"""),10.0)</f>
        <v>10</v>
      </c>
      <c r="I127" s="32">
        <f>IFERROR(__xludf.DUMMYFUNCTION("""COMPUTED_VALUE"""),0.0)</f>
        <v>0</v>
      </c>
      <c r="J127" s="32">
        <f>IFERROR(__xludf.DUMMYFUNCTION("""COMPUTED_VALUE"""),0.0)</f>
        <v>0</v>
      </c>
      <c r="K127" s="32">
        <f>IFERROR(__xludf.DUMMYFUNCTION("""COMPUTED_VALUE"""),100.0)</f>
        <v>100</v>
      </c>
      <c r="L127" s="32">
        <f>IFERROR(__xludf.DUMMYFUNCTION("""COMPUTED_VALUE"""),100.0)</f>
        <v>100</v>
      </c>
      <c r="M127" s="32" t="str">
        <f>IFERROR(__xludf.DUMMYFUNCTION("""COMPUTED_VALUE"""),"Fire:100, ")</f>
        <v>Fire:100, </v>
      </c>
      <c r="N127" s="32" t="str">
        <f>IFERROR(__xludf.DUMMYFUNCTION("""COMPUTED_VALUE"""),"Water:100, ")</f>
        <v>Water:100, </v>
      </c>
      <c r="O127" s="32"/>
      <c r="P127" s="32"/>
      <c r="Q127" s="32"/>
      <c r="R127" s="32"/>
      <c r="S127" s="32"/>
      <c r="T127" s="32"/>
      <c r="U127" s="32"/>
      <c r="V127" s="32"/>
      <c r="W127" s="32"/>
      <c r="X127" s="32"/>
      <c r="Y127" s="32"/>
      <c r="Z127" s="32"/>
      <c r="AA127" s="32"/>
      <c r="AB127" s="32"/>
      <c r="AC127" s="32"/>
      <c r="AD127" s="32"/>
      <c r="AE127" s="32"/>
      <c r="AF127" s="32"/>
      <c r="AG127" s="32"/>
      <c r="AH127" s="32"/>
      <c r="AI127" s="32"/>
      <c r="AJ127" s="32" t="str">
        <f>IFERROR(__xludf.DUMMYFUNCTION("""COMPUTED_VALUE"""),"Tremor")</f>
        <v>Tremor</v>
      </c>
      <c r="AK127" s="32" t="str">
        <f>IFERROR(__xludf.DUMMYFUNCTION("""COMPUTED_VALUE"""),"Claws")</f>
        <v>Claws</v>
      </c>
      <c r="AL127" s="32" t="str">
        <f>IFERROR(__xludf.DUMMYFUNCTION("""COMPUTED_VALUE"""),"Bite")</f>
        <v>Bite</v>
      </c>
      <c r="AM127" s="32"/>
      <c r="AN127" s="32"/>
      <c r="AO127" s="32"/>
      <c r="AP127" s="32"/>
      <c r="AQ127" s="32"/>
      <c r="AR127" s="32"/>
      <c r="AS127" s="32"/>
      <c r="AT127" s="32"/>
      <c r="AU127" s="32"/>
      <c r="AV127" s="32"/>
      <c r="AW127" s="32"/>
      <c r="AX127" s="32"/>
      <c r="AY127" s="32"/>
      <c r="AZ127" s="32"/>
      <c r="BA127" s="32"/>
      <c r="BB127" s="32"/>
      <c r="BC127" s="32"/>
      <c r="BD127" s="32">
        <f>IFERROR(__xludf.DUMMYFUNCTION("""COMPUTED_VALUE"""),0.0)</f>
        <v>0</v>
      </c>
      <c r="BE127" s="32">
        <f>IFERROR(__xludf.DUMMYFUNCTION("""COMPUTED_VALUE"""),10.0)</f>
        <v>10</v>
      </c>
      <c r="BF127" s="32"/>
      <c r="BG127" s="32" t="str">
        <f>IFERROR(__xludf.DUMMYFUNCTION("""COMPUTED_VALUE"""),"All")</f>
        <v>All</v>
      </c>
      <c r="BH127" s="32" t="str">
        <f>IFERROR(__xludf.DUMMYFUNCTION("""COMPUTED_VALUE"""),"Land of Spira")</f>
        <v>Land of Spira</v>
      </c>
      <c r="BI127" s="32"/>
      <c r="BJ127" s="32"/>
      <c r="BK127" s="32"/>
      <c r="BL127" s="32" t="b">
        <f>IFERROR(__xludf.DUMMYFUNCTION("""COMPUTED_VALUE"""),FALSE)</f>
        <v>0</v>
      </c>
      <c r="BM127" s="32"/>
      <c r="BN127" s="32"/>
      <c r="BO127" s="32"/>
      <c r="BP127" s="32"/>
      <c r="BQ127" s="32"/>
    </row>
    <row r="128">
      <c r="A128" s="32" t="str">
        <f>IFERROR(__xludf.DUMMYFUNCTION("""COMPUTED_VALUE"""),"Guard Tier III")</f>
        <v>Guard Tier III</v>
      </c>
      <c r="B128" s="32">
        <f>IFERROR(__xludf.DUMMYFUNCTION("""COMPUTED_VALUE"""),1.0)</f>
        <v>1</v>
      </c>
      <c r="C128" s="3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33" t="str">
        <f>IFERROR(__xludf.DUMMYFUNCTION("""COMPUTED_VALUE"""),"Humanoid")</f>
        <v>Humanoid</v>
      </c>
      <c r="E128" s="33">
        <f>IFERROR(__xludf.DUMMYFUNCTION("""COMPUTED_VALUE"""),1010.0)</f>
        <v>1010</v>
      </c>
      <c r="F128" s="33">
        <f>IFERROR(__xludf.DUMMYFUNCTION("""COMPUTED_VALUE"""),1010.0)</f>
        <v>1010</v>
      </c>
      <c r="G128" s="33">
        <f>IFERROR(__xludf.DUMMYFUNCTION("""COMPUTED_VALUE"""),500010.0)</f>
        <v>500010</v>
      </c>
      <c r="H128" s="32">
        <f>IFERROR(__xludf.DUMMYFUNCTION("""COMPUTED_VALUE"""),20.0)</f>
        <v>20</v>
      </c>
      <c r="I128" s="32">
        <f>IFERROR(__xludf.DUMMYFUNCTION("""COMPUTED_VALUE"""),20.0)</f>
        <v>20</v>
      </c>
      <c r="J128" s="32">
        <f>IFERROR(__xludf.DUMMYFUNCTION("""COMPUTED_VALUE"""),0.0)</f>
        <v>0</v>
      </c>
      <c r="K128" s="32">
        <f>IFERROR(__xludf.DUMMYFUNCTION("""COMPUTED_VALUE"""),100.0)</f>
        <v>100</v>
      </c>
      <c r="L128" s="32">
        <f>IFERROR(__xludf.DUMMYFUNCTION("""COMPUTED_VALUE"""),100.0)</f>
        <v>100</v>
      </c>
      <c r="M128" s="32" t="str">
        <f>IFERROR(__xludf.DUMMYFUNCTION("""COMPUTED_VALUE"""),"Light:Immune, Dark:100, Order:Immune, Celestial:Immune, Instant Death:Immune, Banishment:Immune, ")</f>
        <v>Light:Immune, Dark:100, Order:Immune, Celestial:Immune, Instant Death:Immune, Banishment:Immune, </v>
      </c>
      <c r="N128" s="32" t="str">
        <f>IFERROR(__xludf.DUMMYFUNCTION("""COMPUTED_VALUE"""),"")</f>
        <v/>
      </c>
      <c r="O128" s="32" t="str">
        <f>IFERROR(__xludf.DUMMYFUNCTION("""COMPUTED_VALUE"""),"Celestian Royal Helment")</f>
        <v>Celestian Royal Helment</v>
      </c>
      <c r="P128" s="32"/>
      <c r="Q128" s="32"/>
      <c r="R128" s="32"/>
      <c r="S128" s="32"/>
      <c r="T128" s="32" t="str">
        <f>IFERROR(__xludf.DUMMYFUNCTION("""COMPUTED_VALUE"""),"Celestian Royal Chestplate")</f>
        <v>Celestian Royal Chestplate</v>
      </c>
      <c r="U128" s="32"/>
      <c r="V128" s="32" t="str">
        <f>IFERROR(__xludf.DUMMYFUNCTION("""COMPUTED_VALUE"""),"Celestian Royal Shield")</f>
        <v>Celestian Royal Shield</v>
      </c>
      <c r="W128" s="32" t="str">
        <f>IFERROR(__xludf.DUMMYFUNCTION("""COMPUTED_VALUE"""),"Celestian Royal Sword")</f>
        <v>Celestian Royal Sword</v>
      </c>
      <c r="X128" s="32"/>
      <c r="Y128" s="32"/>
      <c r="Z128" s="32"/>
      <c r="AA128" s="32"/>
      <c r="AB128" s="32"/>
      <c r="AC128" s="32"/>
      <c r="AD128" s="32"/>
      <c r="AE128" s="32"/>
      <c r="AF128" s="32"/>
      <c r="AG128" s="32"/>
      <c r="AH128" s="32" t="str">
        <f>IFERROR(__xludf.DUMMYFUNCTION("""COMPUTED_VALUE"""),"Celestian Royal Leggings")</f>
        <v>Celestian Royal Leggings</v>
      </c>
      <c r="AI128" s="32" t="str">
        <f>IFERROR(__xludf.DUMMYFUNCTION("""COMPUTED_VALUE"""),"Celestian Royal Boots")</f>
        <v>Celestian Royal Boots</v>
      </c>
      <c r="AJ128" s="32" t="str">
        <f>IFERROR(__xludf.DUMMYFUNCTION("""COMPUTED_VALUE"""),"Guard Call (Mob)")</f>
        <v>Guard Call (Mob)</v>
      </c>
      <c r="AK128" s="32" t="str">
        <f>IFERROR(__xludf.DUMMYFUNCTION("""COMPUTED_VALUE"""),"Arrest")</f>
        <v>Arrest</v>
      </c>
      <c r="AL128" s="32" t="str">
        <f>IFERROR(__xludf.DUMMYFUNCTION("""COMPUTED_VALUE"""),"Obliterating Light of Blindness")</f>
        <v>Obliterating Light of Blindness</v>
      </c>
      <c r="AM128" s="32" t="str">
        <f>IFERROR(__xludf.DUMMYFUNCTION("""COMPUTED_VALUE"""),"Alliance Guard")</f>
        <v>Alliance Guard</v>
      </c>
      <c r="AN128" s="32" t="str">
        <f>IFERROR(__xludf.DUMMYFUNCTION("""COMPUTED_VALUE"""),"Lock On")</f>
        <v>Lock On</v>
      </c>
      <c r="AO128" s="32" t="str">
        <f>IFERROR(__xludf.DUMMYFUNCTION("""COMPUTED_VALUE"""),"Neutralize")</f>
        <v>Neutralize</v>
      </c>
      <c r="AP128" s="32" t="str">
        <f>IFERROR(__xludf.DUMMYFUNCTION("""COMPUTED_VALUE"""),"Reflect")</f>
        <v>Reflect</v>
      </c>
      <c r="AQ128" s="32" t="str">
        <f>IFERROR(__xludf.DUMMYFUNCTION("""COMPUTED_VALUE"""),"Cancel")</f>
        <v>Cancel</v>
      </c>
      <c r="AR128" s="32" t="str">
        <f>IFERROR(__xludf.DUMMYFUNCTION("""COMPUTED_VALUE"""),"Confiscate")</f>
        <v>Confiscate</v>
      </c>
      <c r="AS128" s="32" t="str">
        <f>IFERROR(__xludf.DUMMYFUNCTION("""COMPUTED_VALUE"""),"Instant Regeneration")</f>
        <v>Instant Regeneration</v>
      </c>
      <c r="AT128" s="32" t="str">
        <f>IFERROR(__xludf.DUMMYFUNCTION("""COMPUTED_VALUE"""),"Berserk")</f>
        <v>Berserk</v>
      </c>
      <c r="AU128" s="32" t="str">
        <f>IFERROR(__xludf.DUMMYFUNCTION("""COMPUTED_VALUE"""),"Multi Ward")</f>
        <v>Multi Ward</v>
      </c>
      <c r="AV128" s="32" t="str">
        <f>IFERROR(__xludf.DUMMYFUNCTION("""COMPUTED_VALUE"""),"Teleport")</f>
        <v>Teleport</v>
      </c>
      <c r="AW128" s="32" t="str">
        <f>IFERROR(__xludf.DUMMYFUNCTION("""COMPUTED_VALUE"""),"Mass Destruction")</f>
        <v>Mass Destruction</v>
      </c>
      <c r="AX128" s="32" t="str">
        <f>IFERROR(__xludf.DUMMYFUNCTION("""COMPUTED_VALUE"""),"Chaincast")</f>
        <v>Chaincast</v>
      </c>
      <c r="AY128" s="32"/>
      <c r="AZ128" s="32"/>
      <c r="BA128" s="32"/>
      <c r="BB128" s="32"/>
      <c r="BC128" s="32"/>
      <c r="BD128" s="32">
        <f>IFERROR(__xludf.DUMMYFUNCTION("""COMPUTED_VALUE"""),20.0)</f>
        <v>20</v>
      </c>
      <c r="BE128" s="32">
        <f>IFERROR(__xludf.DUMMYFUNCTION("""COMPUTED_VALUE"""),20.0)</f>
        <v>20</v>
      </c>
      <c r="BF128" s="32"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32" t="str">
        <f>IFERROR(__xludf.DUMMYFUNCTION("""COMPUTED_VALUE"""),"All")</f>
        <v>All</v>
      </c>
      <c r="BH128" s="32" t="str">
        <f>IFERROR(__xludf.DUMMYFUNCTION("""COMPUTED_VALUE"""),"Land of Spira")</f>
        <v>Land of Spira</v>
      </c>
      <c r="BI128" s="32"/>
      <c r="BJ128" s="32"/>
      <c r="BK128" s="32"/>
      <c r="BL128" s="32" t="b">
        <f>IFERROR(__xludf.DUMMYFUNCTION("""COMPUTED_VALUE"""),FALSE)</f>
        <v>0</v>
      </c>
      <c r="BM128" s="32"/>
      <c r="BN128" s="32"/>
      <c r="BO128" s="32"/>
      <c r="BP128" s="32"/>
      <c r="BQ128" s="32"/>
    </row>
    <row r="129">
      <c r="A129" s="32" t="str">
        <f>IFERROR(__xludf.DUMMYFUNCTION("""COMPUTED_VALUE"""),"Guard Tier II")</f>
        <v>Guard Tier II</v>
      </c>
      <c r="B129" s="32">
        <f>IFERROR(__xludf.DUMMYFUNCTION("""COMPUTED_VALUE"""),1.0)</f>
        <v>1</v>
      </c>
      <c r="C129" s="3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33" t="str">
        <f>IFERROR(__xludf.DUMMYFUNCTION("""COMPUTED_VALUE"""),"Humanoid")</f>
        <v>Humanoid</v>
      </c>
      <c r="E129" s="33">
        <f>IFERROR(__xludf.DUMMYFUNCTION("""COMPUTED_VALUE"""),1010.0)</f>
        <v>1010</v>
      </c>
      <c r="F129" s="33">
        <f>IFERROR(__xludf.DUMMYFUNCTION("""COMPUTED_VALUE"""),1010.0)</f>
        <v>1010</v>
      </c>
      <c r="G129" s="33">
        <f>IFERROR(__xludf.DUMMYFUNCTION("""COMPUTED_VALUE"""),311010.0)</f>
        <v>311010</v>
      </c>
      <c r="H129" s="32">
        <f>IFERROR(__xludf.DUMMYFUNCTION("""COMPUTED_VALUE"""),15.0)</f>
        <v>15</v>
      </c>
      <c r="I129" s="32">
        <f>IFERROR(__xludf.DUMMYFUNCTION("""COMPUTED_VALUE"""),15.0)</f>
        <v>15</v>
      </c>
      <c r="J129" s="32">
        <f>IFERROR(__xludf.DUMMYFUNCTION("""COMPUTED_VALUE"""),0.0)</f>
        <v>0</v>
      </c>
      <c r="K129" s="32">
        <f>IFERROR(__xludf.DUMMYFUNCTION("""COMPUTED_VALUE"""),100.0)</f>
        <v>100</v>
      </c>
      <c r="L129" s="32">
        <f>IFERROR(__xludf.DUMMYFUNCTION("""COMPUTED_VALUE"""),100.0)</f>
        <v>100</v>
      </c>
      <c r="M129" s="32" t="str">
        <f>IFERROR(__xludf.DUMMYFUNCTION("""COMPUTED_VALUE"""),"Light:Immune, Dark:100, Order:Immune, Instant Death:Immune, Banishment:Immune, ")</f>
        <v>Light:Immune, Dark:100, Order:Immune, Instant Death:Immune, Banishment:Immune, </v>
      </c>
      <c r="N129" s="32" t="str">
        <f>IFERROR(__xludf.DUMMYFUNCTION("""COMPUTED_VALUE"""),"")</f>
        <v/>
      </c>
      <c r="O129" s="32" t="str">
        <f>IFERROR(__xludf.DUMMYFUNCTION("""COMPUTED_VALUE"""),"Royal Guard Helmet")</f>
        <v>Royal Guard Helmet</v>
      </c>
      <c r="P129" s="32"/>
      <c r="Q129" s="32"/>
      <c r="R129" s="32"/>
      <c r="S129" s="32" t="str">
        <f>IFERROR(__xludf.DUMMYFUNCTION("""COMPUTED_VALUE"""),"Royal Guard Pauldrons")</f>
        <v>Royal Guard Pauldrons</v>
      </c>
      <c r="T129" s="32" t="str">
        <f>IFERROR(__xludf.DUMMYFUNCTION("""COMPUTED_VALUE"""),"Royal Guard Chestplate")</f>
        <v>Royal Guard Chestplate</v>
      </c>
      <c r="U129" s="32" t="str">
        <f>IFERROR(__xludf.DUMMYFUNCTION("""COMPUTED_VALUE"""),"Royal Guard Vambraces")</f>
        <v>Royal Guard Vambraces</v>
      </c>
      <c r="V129" s="32" t="str">
        <f>IFERROR(__xludf.DUMMYFUNCTION("""COMPUTED_VALUE"""),"Royal Guard Shield")</f>
        <v>Royal Guard Shield</v>
      </c>
      <c r="W129" s="32" t="str">
        <f>IFERROR(__xludf.DUMMYFUNCTION("""COMPUTED_VALUE"""),"Royal Guard Axe")</f>
        <v>Royal Guard Axe</v>
      </c>
      <c r="X129" s="32"/>
      <c r="Y129" s="32"/>
      <c r="Z129" s="32"/>
      <c r="AA129" s="32"/>
      <c r="AB129" s="32"/>
      <c r="AC129" s="32"/>
      <c r="AD129" s="32"/>
      <c r="AE129" s="32"/>
      <c r="AF129" s="32"/>
      <c r="AG129" s="32"/>
      <c r="AH129" s="32" t="str">
        <f>IFERROR(__xludf.DUMMYFUNCTION("""COMPUTED_VALUE"""),"Royal Guard Greaves")</f>
        <v>Royal Guard Greaves</v>
      </c>
      <c r="AI129" s="32" t="str">
        <f>IFERROR(__xludf.DUMMYFUNCTION("""COMPUTED_VALUE"""),"Royal Guard Boots")</f>
        <v>Royal Guard Boots</v>
      </c>
      <c r="AJ129" s="32" t="str">
        <f>IFERROR(__xludf.DUMMYFUNCTION("""COMPUTED_VALUE"""),"Guard Call (Mob)")</f>
        <v>Guard Call (Mob)</v>
      </c>
      <c r="AK129" s="32" t="str">
        <f>IFERROR(__xludf.DUMMYFUNCTION("""COMPUTED_VALUE"""),"Arrest")</f>
        <v>Arrest</v>
      </c>
      <c r="AL129" s="32" t="str">
        <f>IFERROR(__xludf.DUMMYFUNCTION("""COMPUTED_VALUE"""),"Obliterating Light of Blindness")</f>
        <v>Obliterating Light of Blindness</v>
      </c>
      <c r="AM129" s="32" t="str">
        <f>IFERROR(__xludf.DUMMYFUNCTION("""COMPUTED_VALUE"""),"Alliance Guard")</f>
        <v>Alliance Guard</v>
      </c>
      <c r="AN129" s="32" t="str">
        <f>IFERROR(__xludf.DUMMYFUNCTION("""COMPUTED_VALUE"""),"Lock On")</f>
        <v>Lock On</v>
      </c>
      <c r="AO129" s="32" t="str">
        <f>IFERROR(__xludf.DUMMYFUNCTION("""COMPUTED_VALUE"""),"Neutralize")</f>
        <v>Neutralize</v>
      </c>
      <c r="AP129" s="32" t="str">
        <f>IFERROR(__xludf.DUMMYFUNCTION("""COMPUTED_VALUE"""),"Reflect")</f>
        <v>Reflect</v>
      </c>
      <c r="AQ129" s="32" t="str">
        <f>IFERROR(__xludf.DUMMYFUNCTION("""COMPUTED_VALUE"""),"Cancel")</f>
        <v>Cancel</v>
      </c>
      <c r="AR129" s="32" t="str">
        <f>IFERROR(__xludf.DUMMYFUNCTION("""COMPUTED_VALUE"""),"Confiscate")</f>
        <v>Confiscate</v>
      </c>
      <c r="AS129" s="32" t="str">
        <f>IFERROR(__xludf.DUMMYFUNCTION("""COMPUTED_VALUE"""),"Instant Regeneration")</f>
        <v>Instant Regeneration</v>
      </c>
      <c r="AT129" s="32" t="str">
        <f>IFERROR(__xludf.DUMMYFUNCTION("""COMPUTED_VALUE"""),"Berserk")</f>
        <v>Berserk</v>
      </c>
      <c r="AU129" s="32" t="str">
        <f>IFERROR(__xludf.DUMMYFUNCTION("""COMPUTED_VALUE"""),"Multi Ward")</f>
        <v>Multi Ward</v>
      </c>
      <c r="AV129" s="32" t="str">
        <f>IFERROR(__xludf.DUMMYFUNCTION("""COMPUTED_VALUE"""),"Teleport")</f>
        <v>Teleport</v>
      </c>
      <c r="AW129" s="32" t="str">
        <f>IFERROR(__xludf.DUMMYFUNCTION("""COMPUTED_VALUE"""),"Mass Destruction")</f>
        <v>Mass Destruction</v>
      </c>
      <c r="AX129" s="32" t="str">
        <f>IFERROR(__xludf.DUMMYFUNCTION("""COMPUTED_VALUE"""),"Chaincast")</f>
        <v>Chaincast</v>
      </c>
      <c r="AY129" s="32"/>
      <c r="AZ129" s="32"/>
      <c r="BA129" s="32"/>
      <c r="BB129" s="32"/>
      <c r="BC129" s="32"/>
      <c r="BD129" s="32">
        <f>IFERROR(__xludf.DUMMYFUNCTION("""COMPUTED_VALUE"""),15.0)</f>
        <v>15</v>
      </c>
      <c r="BE129" s="32">
        <f>IFERROR(__xludf.DUMMYFUNCTION("""COMPUTED_VALUE"""),15.0)</f>
        <v>15</v>
      </c>
      <c r="BF129" s="32"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32" t="str">
        <f>IFERROR(__xludf.DUMMYFUNCTION("""COMPUTED_VALUE"""),"All")</f>
        <v>All</v>
      </c>
      <c r="BH129" s="32" t="str">
        <f>IFERROR(__xludf.DUMMYFUNCTION("""COMPUTED_VALUE"""),"Land of Spira")</f>
        <v>Land of Spira</v>
      </c>
      <c r="BI129" s="32"/>
      <c r="BJ129" s="32"/>
      <c r="BK129" s="32"/>
      <c r="BL129" s="32" t="b">
        <f>IFERROR(__xludf.DUMMYFUNCTION("""COMPUTED_VALUE"""),FALSE)</f>
        <v>0</v>
      </c>
      <c r="BM129" s="32"/>
      <c r="BN129" s="32"/>
      <c r="BO129" s="32"/>
      <c r="BP129" s="32"/>
      <c r="BQ129" s="32"/>
    </row>
    <row r="130">
      <c r="A130" s="32" t="str">
        <f>IFERROR(__xludf.DUMMYFUNCTION("""COMPUTED_VALUE"""),"Guard Tier I")</f>
        <v>Guard Tier I</v>
      </c>
      <c r="B130" s="32">
        <f>IFERROR(__xludf.DUMMYFUNCTION("""COMPUTED_VALUE"""),1.0)</f>
        <v>1</v>
      </c>
      <c r="C130" s="3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33" t="str">
        <f>IFERROR(__xludf.DUMMYFUNCTION("""COMPUTED_VALUE"""),"Humanoid")</f>
        <v>Humanoid</v>
      </c>
      <c r="E130" s="33">
        <f>IFERROR(__xludf.DUMMYFUNCTION("""COMPUTED_VALUE"""),1010.0)</f>
        <v>1010</v>
      </c>
      <c r="F130" s="33">
        <f>IFERROR(__xludf.DUMMYFUNCTION("""COMPUTED_VALUE"""),1010.0)</f>
        <v>1010</v>
      </c>
      <c r="G130" s="33">
        <f>IFERROR(__xludf.DUMMYFUNCTION("""COMPUTED_VALUE"""),176010.0)</f>
        <v>176010</v>
      </c>
      <c r="H130" s="32">
        <f>IFERROR(__xludf.DUMMYFUNCTION("""COMPUTED_VALUE"""),10.0)</f>
        <v>10</v>
      </c>
      <c r="I130" s="32">
        <f>IFERROR(__xludf.DUMMYFUNCTION("""COMPUTED_VALUE"""),10.0)</f>
        <v>10</v>
      </c>
      <c r="J130" s="32">
        <f>IFERROR(__xludf.DUMMYFUNCTION("""COMPUTED_VALUE"""),0.0)</f>
        <v>0</v>
      </c>
      <c r="K130" s="32">
        <f>IFERROR(__xludf.DUMMYFUNCTION("""COMPUTED_VALUE"""),100.0)</f>
        <v>100</v>
      </c>
      <c r="L130" s="32">
        <f>IFERROR(__xludf.DUMMYFUNCTION("""COMPUTED_VALUE"""),100.0)</f>
        <v>100</v>
      </c>
      <c r="M130" s="32" t="str">
        <f>IFERROR(__xludf.DUMMYFUNCTION("""COMPUTED_VALUE"""),"Instant Death:Immune, Banishment:Immune, ")</f>
        <v>Instant Death:Immune, Banishment:Immune, </v>
      </c>
      <c r="N130" s="32" t="str">
        <f>IFERROR(__xludf.DUMMYFUNCTION("""COMPUTED_VALUE"""),"")</f>
        <v/>
      </c>
      <c r="O130" s="32" t="str">
        <f>IFERROR(__xludf.DUMMYFUNCTION("""COMPUTED_VALUE"""),"Guard Helmet")</f>
        <v>Guard Helmet</v>
      </c>
      <c r="P130" s="32"/>
      <c r="Q130" s="32"/>
      <c r="R130" s="32"/>
      <c r="S130" s="32" t="str">
        <f>IFERROR(__xludf.DUMMYFUNCTION("""COMPUTED_VALUE"""),"Guard Pauldrons")</f>
        <v>Guard Pauldrons</v>
      </c>
      <c r="T130" s="32" t="str">
        <f>IFERROR(__xludf.DUMMYFUNCTION("""COMPUTED_VALUE"""),"Guard Chestplate")</f>
        <v>Guard Chestplate</v>
      </c>
      <c r="U130" s="32" t="str">
        <f>IFERROR(__xludf.DUMMYFUNCTION("""COMPUTED_VALUE"""),"Guard Vambraces")</f>
        <v>Guard Vambraces</v>
      </c>
      <c r="V130" s="32" t="str">
        <f>IFERROR(__xludf.DUMMYFUNCTION("""COMPUTED_VALUE"""),"Guard Shield")</f>
        <v>Guard Shield</v>
      </c>
      <c r="W130" s="32" t="str">
        <f>IFERROR(__xludf.DUMMYFUNCTION("""COMPUTED_VALUE"""),"Guard Sword")</f>
        <v>Guard Sword</v>
      </c>
      <c r="X130" s="32"/>
      <c r="Y130" s="32"/>
      <c r="Z130" s="32"/>
      <c r="AA130" s="32"/>
      <c r="AB130" s="32"/>
      <c r="AC130" s="32"/>
      <c r="AD130" s="32"/>
      <c r="AE130" s="32"/>
      <c r="AF130" s="32"/>
      <c r="AG130" s="32"/>
      <c r="AH130" s="32" t="str">
        <f>IFERROR(__xludf.DUMMYFUNCTION("""COMPUTED_VALUE"""),"Guard Leggings")</f>
        <v>Guard Leggings</v>
      </c>
      <c r="AI130" s="32" t="str">
        <f>IFERROR(__xludf.DUMMYFUNCTION("""COMPUTED_VALUE"""),"Guard Boots")</f>
        <v>Guard Boots</v>
      </c>
      <c r="AJ130" s="32" t="str">
        <f>IFERROR(__xludf.DUMMYFUNCTION("""COMPUTED_VALUE"""),"Guard Call (Mob)")</f>
        <v>Guard Call (Mob)</v>
      </c>
      <c r="AK130" s="32" t="str">
        <f>IFERROR(__xludf.DUMMYFUNCTION("""COMPUTED_VALUE"""),"Arrest")</f>
        <v>Arrest</v>
      </c>
      <c r="AL130" s="32" t="str">
        <f>IFERROR(__xludf.DUMMYFUNCTION("""COMPUTED_VALUE"""),"Obliterating Light of Blindness")</f>
        <v>Obliterating Light of Blindness</v>
      </c>
      <c r="AM130" s="32" t="str">
        <f>IFERROR(__xludf.DUMMYFUNCTION("""COMPUTED_VALUE"""),"Alliance Guard")</f>
        <v>Alliance Guard</v>
      </c>
      <c r="AN130" s="32" t="str">
        <f>IFERROR(__xludf.DUMMYFUNCTION("""COMPUTED_VALUE"""),"Lock On")</f>
        <v>Lock On</v>
      </c>
      <c r="AO130" s="32" t="str">
        <f>IFERROR(__xludf.DUMMYFUNCTION("""COMPUTED_VALUE"""),"Neutralize")</f>
        <v>Neutralize</v>
      </c>
      <c r="AP130" s="32" t="str">
        <f>IFERROR(__xludf.DUMMYFUNCTION("""COMPUTED_VALUE"""),"Reflect")</f>
        <v>Reflect</v>
      </c>
      <c r="AQ130" s="32" t="str">
        <f>IFERROR(__xludf.DUMMYFUNCTION("""COMPUTED_VALUE"""),"Cancel")</f>
        <v>Cancel</v>
      </c>
      <c r="AR130" s="32" t="str">
        <f>IFERROR(__xludf.DUMMYFUNCTION("""COMPUTED_VALUE"""),"Confiscate")</f>
        <v>Confiscate</v>
      </c>
      <c r="AS130" s="32" t="str">
        <f>IFERROR(__xludf.DUMMYFUNCTION("""COMPUTED_VALUE"""),"Instant Regeneration")</f>
        <v>Instant Regeneration</v>
      </c>
      <c r="AT130" s="32" t="str">
        <f>IFERROR(__xludf.DUMMYFUNCTION("""COMPUTED_VALUE"""),"Berserk")</f>
        <v>Berserk</v>
      </c>
      <c r="AU130" s="32" t="str">
        <f>IFERROR(__xludf.DUMMYFUNCTION("""COMPUTED_VALUE"""),"Multi Ward")</f>
        <v>Multi Ward</v>
      </c>
      <c r="AV130" s="32" t="str">
        <f>IFERROR(__xludf.DUMMYFUNCTION("""COMPUTED_VALUE"""),"Teleport")</f>
        <v>Teleport</v>
      </c>
      <c r="AW130" s="32" t="str">
        <f>IFERROR(__xludf.DUMMYFUNCTION("""COMPUTED_VALUE"""),"Mass Destruction")</f>
        <v>Mass Destruction</v>
      </c>
      <c r="AX130" s="32" t="str">
        <f>IFERROR(__xludf.DUMMYFUNCTION("""COMPUTED_VALUE"""),"Chaincast")</f>
        <v>Chaincast</v>
      </c>
      <c r="AY130" s="32"/>
      <c r="AZ130" s="32"/>
      <c r="BA130" s="32"/>
      <c r="BB130" s="32"/>
      <c r="BC130" s="32"/>
      <c r="BD130" s="32">
        <f>IFERROR(__xludf.DUMMYFUNCTION("""COMPUTED_VALUE"""),10.0)</f>
        <v>10</v>
      </c>
      <c r="BE130" s="32">
        <f>IFERROR(__xludf.DUMMYFUNCTION("""COMPUTED_VALUE"""),10.0)</f>
        <v>10</v>
      </c>
      <c r="BF130" s="32"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32" t="str">
        <f>IFERROR(__xludf.DUMMYFUNCTION("""COMPUTED_VALUE"""),"All")</f>
        <v>All</v>
      </c>
      <c r="BH130" s="32" t="str">
        <f>IFERROR(__xludf.DUMMYFUNCTION("""COMPUTED_VALUE"""),"Land of Spira")</f>
        <v>Land of Spira</v>
      </c>
      <c r="BI130" s="32"/>
      <c r="BJ130" s="32"/>
      <c r="BK130" s="32"/>
      <c r="BL130" s="32" t="b">
        <f>IFERROR(__xludf.DUMMYFUNCTION("""COMPUTED_VALUE"""),FALSE)</f>
        <v>0</v>
      </c>
      <c r="BM130" s="32"/>
      <c r="BN130" s="32"/>
      <c r="BO130" s="32"/>
      <c r="BP130" s="32"/>
      <c r="BQ130" s="32"/>
    </row>
    <row r="131">
      <c r="A131" s="32" t="str">
        <f>IFERROR(__xludf.DUMMYFUNCTION("""COMPUTED_VALUE"""),"Guardian Of Nature")</f>
        <v>Guardian Of Nature</v>
      </c>
      <c r="B131" s="32">
        <f>IFERROR(__xludf.DUMMYFUNCTION("""COMPUTED_VALUE"""),1.0)</f>
        <v>1</v>
      </c>
      <c r="C131" s="32"/>
      <c r="D131" s="33" t="str">
        <f>IFERROR(__xludf.DUMMYFUNCTION("""COMPUTED_VALUE"""),"Fae")</f>
        <v>Fae</v>
      </c>
      <c r="E131" s="33">
        <f>IFERROR(__xludf.DUMMYFUNCTION("""COMPUTED_VALUE"""),1010.0)</f>
        <v>1010</v>
      </c>
      <c r="F131" s="33">
        <f>IFERROR(__xludf.DUMMYFUNCTION("""COMPUTED_VALUE"""),1010.0)</f>
        <v>1010</v>
      </c>
      <c r="G131" s="33">
        <f>IFERROR(__xludf.DUMMYFUNCTION("""COMPUTED_VALUE"""),1010.0)</f>
        <v>1010</v>
      </c>
      <c r="H131" s="32">
        <f>IFERROR(__xludf.DUMMYFUNCTION("""COMPUTED_VALUE"""),10.0)</f>
        <v>10</v>
      </c>
      <c r="I131" s="32">
        <f>IFERROR(__xludf.DUMMYFUNCTION("""COMPUTED_VALUE"""),0.0)</f>
        <v>0</v>
      </c>
      <c r="J131" s="32">
        <f>IFERROR(__xludf.DUMMYFUNCTION("""COMPUTED_VALUE"""),0.0)</f>
        <v>0</v>
      </c>
      <c r="K131" s="32">
        <f>IFERROR(__xludf.DUMMYFUNCTION("""COMPUTED_VALUE"""),100.0)</f>
        <v>100</v>
      </c>
      <c r="L131" s="32">
        <f>IFERROR(__xludf.DUMMYFUNCTION("""COMPUTED_VALUE"""),100.0)</f>
        <v>100</v>
      </c>
      <c r="M131" s="32" t="str">
        <f>IFERROR(__xludf.DUMMYFUNCTION("""COMPUTED_VALUE"""),"Nature:Immune, ")</f>
        <v>Nature:Immune, </v>
      </c>
      <c r="N131" s="32" t="str">
        <f>IFERROR(__xludf.DUMMYFUNCTION("""COMPUTED_VALUE"""),"")</f>
        <v/>
      </c>
      <c r="O131" s="32"/>
      <c r="P131" s="32"/>
      <c r="Q131" s="32"/>
      <c r="R131" s="32"/>
      <c r="S131" s="32"/>
      <c r="T131" s="32"/>
      <c r="U131" s="32"/>
      <c r="V131" s="32"/>
      <c r="W131" s="32"/>
      <c r="X131" s="32"/>
      <c r="Y131" s="32"/>
      <c r="Z131" s="32"/>
      <c r="AA131" s="32"/>
      <c r="AB131" s="32"/>
      <c r="AC131" s="32"/>
      <c r="AD131" s="32"/>
      <c r="AE131" s="32"/>
      <c r="AF131" s="32"/>
      <c r="AG131" s="32"/>
      <c r="AH131" s="32"/>
      <c r="AI131" s="32"/>
      <c r="AJ131" s="32" t="str">
        <f>IFERROR(__xludf.DUMMYFUNCTION("""COMPUTED_VALUE"""),"Nature ward")</f>
        <v>Nature ward</v>
      </c>
      <c r="AK131" s="32" t="str">
        <f>IFERROR(__xludf.DUMMYFUNCTION("""COMPUTED_VALUE"""),"Vine Whip")</f>
        <v>Vine Whip</v>
      </c>
      <c r="AL131" s="32" t="str">
        <f>IFERROR(__xludf.DUMMYFUNCTION("""COMPUTED_VALUE"""),"Vine Hold")</f>
        <v>Vine Hold</v>
      </c>
      <c r="AM131" s="32"/>
      <c r="AN131" s="32"/>
      <c r="AO131" s="32"/>
      <c r="AP131" s="32" t="str">
        <f>IFERROR(__xludf.DUMMYFUNCTION("""COMPUTED_VALUE"""),"Second Chance")</f>
        <v>Second Chance</v>
      </c>
      <c r="AQ131" s="32"/>
      <c r="AR131" s="32"/>
      <c r="AS131" s="32"/>
      <c r="AT131" s="32"/>
      <c r="AU131" s="32"/>
      <c r="AV131" s="32"/>
      <c r="AW131" s="32"/>
      <c r="AX131" s="32"/>
      <c r="AY131" s="32"/>
      <c r="AZ131" s="32"/>
      <c r="BA131" s="32"/>
      <c r="BB131" s="32"/>
      <c r="BC131" s="32"/>
      <c r="BD131" s="32">
        <f>IFERROR(__xludf.DUMMYFUNCTION("""COMPUTED_VALUE"""),0.0)</f>
        <v>0</v>
      </c>
      <c r="BE131" s="32">
        <f>IFERROR(__xludf.DUMMYFUNCTION("""COMPUTED_VALUE"""),10.0)</f>
        <v>10</v>
      </c>
      <c r="BF131" s="32"/>
      <c r="BG131" s="32" t="str">
        <f>IFERROR(__xludf.DUMMYFUNCTION("""COMPUTED_VALUE"""),"Forest")</f>
        <v>Forest</v>
      </c>
      <c r="BH131" s="32" t="str">
        <f>IFERROR(__xludf.DUMMYFUNCTION("""COMPUTED_VALUE"""),"Land of Spira")</f>
        <v>Land of Spira</v>
      </c>
      <c r="BI131" s="32"/>
      <c r="BJ131" s="32"/>
      <c r="BK131" s="32"/>
      <c r="BL131" s="32" t="b">
        <f>IFERROR(__xludf.DUMMYFUNCTION("""COMPUTED_VALUE"""),FALSE)</f>
        <v>0</v>
      </c>
      <c r="BM131" s="32"/>
      <c r="BN131" s="32"/>
      <c r="BO131" s="32"/>
      <c r="BP131" s="32"/>
      <c r="BQ131" s="32"/>
    </row>
    <row r="132">
      <c r="A132" s="32" t="str">
        <f>IFERROR(__xludf.DUMMYFUNCTION("""COMPUTED_VALUE"""),"Gytras: The Lord Of Jellyfish")</f>
        <v>Gytras: The Lord Of Jellyfish</v>
      </c>
      <c r="B132" s="32">
        <f>IFERROR(__xludf.DUMMYFUNCTION("""COMPUTED_VALUE"""),1.0)</f>
        <v>1</v>
      </c>
      <c r="C132" s="32"/>
      <c r="D132" s="33" t="str">
        <f>IFERROR(__xludf.DUMMYFUNCTION("""COMPUTED_VALUE"""),"Beast")</f>
        <v>Beast</v>
      </c>
      <c r="E132" s="33">
        <f>IFERROR(__xludf.DUMMYFUNCTION("""COMPUTED_VALUE"""),1010.0)</f>
        <v>1010</v>
      </c>
      <c r="F132" s="33">
        <f>IFERROR(__xludf.DUMMYFUNCTION("""COMPUTED_VALUE"""),1010.0)</f>
        <v>1010</v>
      </c>
      <c r="G132" s="33">
        <f>IFERROR(__xludf.DUMMYFUNCTION("""COMPUTED_VALUE"""),1010.0)</f>
        <v>1010</v>
      </c>
      <c r="H132" s="32">
        <f>IFERROR(__xludf.DUMMYFUNCTION("""COMPUTED_VALUE"""),10.0)</f>
        <v>10</v>
      </c>
      <c r="I132" s="32">
        <f>IFERROR(__xludf.DUMMYFUNCTION("""COMPUTED_VALUE"""),0.0)</f>
        <v>0</v>
      </c>
      <c r="J132" s="32">
        <f>IFERROR(__xludf.DUMMYFUNCTION("""COMPUTED_VALUE"""),0.0)</f>
        <v>0</v>
      </c>
      <c r="K132" s="32">
        <f>IFERROR(__xludf.DUMMYFUNCTION("""COMPUTED_VALUE"""),100.0)</f>
        <v>100</v>
      </c>
      <c r="L132" s="32">
        <f>IFERROR(__xludf.DUMMYFUNCTION("""COMPUTED_VALUE"""),100.0)</f>
        <v>100</v>
      </c>
      <c r="M132" s="32" t="str">
        <f>IFERROR(__xludf.DUMMYFUNCTION("""COMPUTED_VALUE"""),"Fire:Immune, Water:100, Storm:100, ")</f>
        <v>Fire:Immune, Water:100, Storm:100, </v>
      </c>
      <c r="N132" s="32" t="str">
        <f>IFERROR(__xludf.DUMMYFUNCTION("""COMPUTED_VALUE"""),"Nature:100, ")</f>
        <v>Nature:100, </v>
      </c>
      <c r="O132" s="32"/>
      <c r="P132" s="32"/>
      <c r="Q132" s="32"/>
      <c r="R132" s="32"/>
      <c r="S132" s="32"/>
      <c r="T132" s="32"/>
      <c r="U132" s="32"/>
      <c r="V132" s="32"/>
      <c r="W132" s="32"/>
      <c r="X132" s="32"/>
      <c r="Y132" s="32"/>
      <c r="Z132" s="32"/>
      <c r="AA132" s="32"/>
      <c r="AB132" s="32"/>
      <c r="AC132" s="32"/>
      <c r="AD132" s="32"/>
      <c r="AE132" s="32"/>
      <c r="AF132" s="32"/>
      <c r="AG132" s="32"/>
      <c r="AH132" s="32"/>
      <c r="AI132" s="32"/>
      <c r="AJ132" s="32" t="str">
        <f>IFERROR(__xludf.DUMMYFUNCTION("""COMPUTED_VALUE"""),"Chaincast")</f>
        <v>Chaincast</v>
      </c>
      <c r="AK132" s="32" t="str">
        <f>IFERROR(__xludf.DUMMYFUNCTION("""COMPUTED_VALUE"""),"Crashing Waves")</f>
        <v>Crashing Waves</v>
      </c>
      <c r="AL132" s="32" t="str">
        <f>IFERROR(__xludf.DUMMYFUNCTION("""COMPUTED_VALUE"""),"Tsunami")</f>
        <v>Tsunami</v>
      </c>
      <c r="AM132" s="32" t="str">
        <f>IFERROR(__xludf.DUMMYFUNCTION("""COMPUTED_VALUE"""),"Stun Negation")</f>
        <v>Stun Negation</v>
      </c>
      <c r="AN132" s="32" t="str">
        <f>IFERROR(__xludf.DUMMYFUNCTION("""COMPUTED_VALUE"""),"Shocking strike")</f>
        <v>Shocking strike</v>
      </c>
      <c r="AO132" s="32" t="str">
        <f>IFERROR(__xludf.DUMMYFUNCTION("""COMPUTED_VALUE"""),"Eel Nado")</f>
        <v>Eel Nado</v>
      </c>
      <c r="AP132" s="32" t="str">
        <f>IFERROR(__xludf.DUMMYFUNCTION("""COMPUTED_VALUE"""),"Stun Negation")</f>
        <v>Stun Negation</v>
      </c>
      <c r="AQ132" s="32" t="str">
        <f>IFERROR(__xludf.DUMMYFUNCTION("""COMPUTED_VALUE"""),"Mass Destruction")</f>
        <v>Mass Destruction</v>
      </c>
      <c r="AR132" s="32" t="str">
        <f>IFERROR(__xludf.DUMMYFUNCTION("""COMPUTED_VALUE"""),"Multishot")</f>
        <v>Multishot</v>
      </c>
      <c r="AS132" s="32" t="str">
        <f>IFERROR(__xludf.DUMMYFUNCTION("""COMPUTED_VALUE"""),"Berserk")</f>
        <v>Berserk</v>
      </c>
      <c r="AT132" s="32" t="str">
        <f>IFERROR(__xludf.DUMMYFUNCTION("""COMPUTED_VALUE"""),"Stinger ")</f>
        <v>Stinger </v>
      </c>
      <c r="AU132" s="32"/>
      <c r="AV132" s="32"/>
      <c r="AW132" s="32"/>
      <c r="AX132" s="32"/>
      <c r="AY132" s="32"/>
      <c r="AZ132" s="32"/>
      <c r="BA132" s="32"/>
      <c r="BB132" s="32"/>
      <c r="BC132" s="32"/>
      <c r="BD132" s="32">
        <f>IFERROR(__xludf.DUMMYFUNCTION("""COMPUTED_VALUE"""),0.0)</f>
        <v>0</v>
      </c>
      <c r="BE132" s="32">
        <f>IFERROR(__xludf.DUMMYFUNCTION("""COMPUTED_VALUE"""),10.0)</f>
        <v>10</v>
      </c>
      <c r="BF132" s="3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32" t="str">
        <f>IFERROR(__xludf.DUMMYFUNCTION("""COMPUTED_VALUE"""),"Ocean")</f>
        <v>Ocean</v>
      </c>
      <c r="BH132" s="32" t="str">
        <f>IFERROR(__xludf.DUMMYFUNCTION("""COMPUTED_VALUE"""),"Land of Spira")</f>
        <v>Land of Spira</v>
      </c>
      <c r="BI132" s="32"/>
      <c r="BJ132" s="32"/>
      <c r="BK132" s="32"/>
      <c r="BL132" s="32" t="b">
        <f>IFERROR(__xludf.DUMMYFUNCTION("""COMPUTED_VALUE"""),FALSE)</f>
        <v>0</v>
      </c>
      <c r="BM132" s="32"/>
      <c r="BN132" s="32"/>
      <c r="BO132" s="32"/>
      <c r="BP132" s="32"/>
      <c r="BQ132" s="32"/>
    </row>
    <row r="133">
      <c r="A133" s="32" t="str">
        <f>IFERROR(__xludf.DUMMYFUNCTION("""COMPUTED_VALUE"""),"Haunted Scarecrow")</f>
        <v>Haunted Scarecrow</v>
      </c>
      <c r="B133" s="32">
        <f>IFERROR(__xludf.DUMMYFUNCTION("""COMPUTED_VALUE"""),1.0)</f>
        <v>1</v>
      </c>
      <c r="C133" s="32"/>
      <c r="D133" s="32" t="str">
        <f>IFERROR(__xludf.DUMMYFUNCTION("""COMPUTED_VALUE"""),"Undead")</f>
        <v>Undead</v>
      </c>
      <c r="E133" s="32">
        <f>IFERROR(__xludf.DUMMYFUNCTION("""COMPUTED_VALUE"""),1010.0)</f>
        <v>1010</v>
      </c>
      <c r="F133" s="33">
        <f>IFERROR(__xludf.DUMMYFUNCTION("""COMPUTED_VALUE"""),1010.0)</f>
        <v>1010</v>
      </c>
      <c r="G133" s="32">
        <f>IFERROR(__xludf.DUMMYFUNCTION("""COMPUTED_VALUE"""),1010.0)</f>
        <v>1010</v>
      </c>
      <c r="H133" s="32">
        <f>IFERROR(__xludf.DUMMYFUNCTION("""COMPUTED_VALUE"""),10.0)</f>
        <v>10</v>
      </c>
      <c r="I133" s="32">
        <f>IFERROR(__xludf.DUMMYFUNCTION("""COMPUTED_VALUE"""),0.0)</f>
        <v>0</v>
      </c>
      <c r="J133" s="32">
        <f>IFERROR(__xludf.DUMMYFUNCTION("""COMPUTED_VALUE"""),0.0)</f>
        <v>0</v>
      </c>
      <c r="K133" s="32">
        <f>IFERROR(__xludf.DUMMYFUNCTION("""COMPUTED_VALUE"""),100.0)</f>
        <v>100</v>
      </c>
      <c r="L133" s="32">
        <f>IFERROR(__xludf.DUMMYFUNCTION("""COMPUTED_VALUE"""),100.0)</f>
        <v>100</v>
      </c>
      <c r="M133" s="32" t="str">
        <f>IFERROR(__xludf.DUMMYFUNCTION("""COMPUTED_VALUE"""),"Dark:Immune, ")</f>
        <v>Dark:Immune, </v>
      </c>
      <c r="N133" s="32" t="str">
        <f>IFERROR(__xludf.DUMMYFUNCTION("""COMPUTED_VALUE"""),"Fire:100, Light:100, ")</f>
        <v>Fire:100, Light:100, </v>
      </c>
      <c r="O133" s="32"/>
      <c r="P133" s="32"/>
      <c r="Q133" s="32"/>
      <c r="R133" s="32"/>
      <c r="S133" s="32"/>
      <c r="T133" s="32"/>
      <c r="U133" s="32"/>
      <c r="V133" s="32"/>
      <c r="W133" s="32"/>
      <c r="X133" s="32"/>
      <c r="Y133" s="32"/>
      <c r="Z133" s="32"/>
      <c r="AA133" s="32"/>
      <c r="AB133" s="32"/>
      <c r="AC133" s="32"/>
      <c r="AD133" s="32"/>
      <c r="AE133" s="32"/>
      <c r="AF133" s="32"/>
      <c r="AG133" s="32"/>
      <c r="AH133" s="32"/>
      <c r="AI133" s="32"/>
      <c r="AJ133" s="32" t="str">
        <f>IFERROR(__xludf.DUMMYFUNCTION("""COMPUTED_VALUE"""),"Flame Thrower")</f>
        <v>Flame Thrower</v>
      </c>
      <c r="AK133" s="32" t="str">
        <f>IFERROR(__xludf.DUMMYFUNCTION("""COMPUTED_VALUE"""),"Dark Curse")</f>
        <v>Dark Curse</v>
      </c>
      <c r="AL133" s="32" t="str">
        <f>IFERROR(__xludf.DUMMYFUNCTION("""COMPUTED_VALUE"""),"Conceal")</f>
        <v>Conceal</v>
      </c>
      <c r="AM133" s="32" t="str">
        <f>IFERROR(__xludf.DUMMYFUNCTION("""COMPUTED_VALUE"""),"Taunt")</f>
        <v>Taunt</v>
      </c>
      <c r="AN133" s="32"/>
      <c r="AO133" s="32"/>
      <c r="AP133" s="32"/>
      <c r="AQ133" s="32"/>
      <c r="AR133" s="32"/>
      <c r="AS133" s="32"/>
      <c r="AT133" s="32"/>
      <c r="AU133" s="32"/>
      <c r="AV133" s="32"/>
      <c r="AW133" s="32"/>
      <c r="AX133" s="32"/>
      <c r="AY133" s="32"/>
      <c r="AZ133" s="32"/>
      <c r="BA133" s="32"/>
      <c r="BB133" s="32"/>
      <c r="BC133" s="32"/>
      <c r="BD133" s="32">
        <f>IFERROR(__xludf.DUMMYFUNCTION("""COMPUTED_VALUE"""),0.0)</f>
        <v>0</v>
      </c>
      <c r="BE133" s="32">
        <f>IFERROR(__xludf.DUMMYFUNCTION("""COMPUTED_VALUE"""),10.0)</f>
        <v>10</v>
      </c>
      <c r="BF133" s="32" t="str">
        <f>IFERROR(__xludf.DUMMYFUNCTION("""COMPUTED_VALUE"""),"Revenge of The Haunted: 50% chance to revive after death. ")</f>
        <v>Revenge of The Haunted: 50% chance to revive after death. </v>
      </c>
      <c r="BG133" s="32" t="str">
        <f>IFERROR(__xludf.DUMMYFUNCTION("""COMPUTED_VALUE"""),"All")</f>
        <v>All</v>
      </c>
      <c r="BH133" s="32" t="str">
        <f>IFERROR(__xludf.DUMMYFUNCTION("""COMPUTED_VALUE"""),"Land of Spira")</f>
        <v>Land of Spira</v>
      </c>
      <c r="BI133" s="32"/>
      <c r="BJ133" s="32"/>
      <c r="BK133" s="32"/>
      <c r="BL133" s="32" t="b">
        <f>IFERROR(__xludf.DUMMYFUNCTION("""COMPUTED_VALUE"""),FALSE)</f>
        <v>0</v>
      </c>
      <c r="BM133" s="32"/>
      <c r="BN133" s="32"/>
      <c r="BO133" s="32"/>
      <c r="BP133" s="32"/>
      <c r="BQ133" s="32"/>
    </row>
    <row r="134">
      <c r="A134" s="32" t="str">
        <f>IFERROR(__xludf.DUMMYFUNCTION("""COMPUTED_VALUE"""),"Headless Horseman ")</f>
        <v>Headless Horseman </v>
      </c>
      <c r="B134" s="32">
        <f>IFERROR(__xludf.DUMMYFUNCTION("""COMPUTED_VALUE"""),1.0)</f>
        <v>1</v>
      </c>
      <c r="C134" s="32"/>
      <c r="D134" s="33" t="str">
        <f>IFERROR(__xludf.DUMMYFUNCTION("""COMPUTED_VALUE"""),"Undead")</f>
        <v>Undead</v>
      </c>
      <c r="E134" s="33">
        <f>IFERROR(__xludf.DUMMYFUNCTION("""COMPUTED_VALUE"""),1010.0)</f>
        <v>1010</v>
      </c>
      <c r="F134" s="33">
        <f>IFERROR(__xludf.DUMMYFUNCTION("""COMPUTED_VALUE"""),1010.0)</f>
        <v>1010</v>
      </c>
      <c r="G134" s="33">
        <f>IFERROR(__xludf.DUMMYFUNCTION("""COMPUTED_VALUE"""),1010.0)</f>
        <v>1010</v>
      </c>
      <c r="H134" s="32">
        <f>IFERROR(__xludf.DUMMYFUNCTION("""COMPUTED_VALUE"""),10.0)</f>
        <v>10</v>
      </c>
      <c r="I134" s="32">
        <f>IFERROR(__xludf.DUMMYFUNCTION("""COMPUTED_VALUE"""),0.0)</f>
        <v>0</v>
      </c>
      <c r="J134" s="32">
        <f>IFERROR(__xludf.DUMMYFUNCTION("""COMPUTED_VALUE"""),0.0)</f>
        <v>0</v>
      </c>
      <c r="K134" s="32">
        <f>IFERROR(__xludf.DUMMYFUNCTION("""COMPUTED_VALUE"""),100.0)</f>
        <v>100</v>
      </c>
      <c r="L134" s="32">
        <f>IFERROR(__xludf.DUMMYFUNCTION("""COMPUTED_VALUE"""),100.0)</f>
        <v>100</v>
      </c>
      <c r="M134" s="32" t="str">
        <f>IFERROR(__xludf.DUMMYFUNCTION("""COMPUTED_VALUE"""),"Dark:Immune, Chaos:Immune, Voodoo:Immune, Instant Death:Immune, Banishment:Immune, ")</f>
        <v>Dark:Immune, Chaos:Immune, Voodoo:Immune, Instant Death:Immune, Banishment:Immune, </v>
      </c>
      <c r="N134" s="32" t="str">
        <f>IFERROR(__xludf.DUMMYFUNCTION("""COMPUTED_VALUE"""),"Fire:100, Light:100, Order:100, ")</f>
        <v>Fire:100, Light:100, Order:100, </v>
      </c>
      <c r="O134" s="32" t="str">
        <f>IFERROR(__xludf.DUMMYFUNCTION("""COMPUTED_VALUE"""),"Jack’o lantern helmet of Swampy Hallow")</f>
        <v>Jack’o lantern helmet of Swampy Hallow</v>
      </c>
      <c r="P134" s="32"/>
      <c r="Q134" s="32"/>
      <c r="R134" s="32"/>
      <c r="S134" s="32"/>
      <c r="T134" s="32"/>
      <c r="U134" s="32"/>
      <c r="V134" s="32"/>
      <c r="W134" s="32"/>
      <c r="X134" s="32"/>
      <c r="Y134" s="32"/>
      <c r="Z134" s="32"/>
      <c r="AA134" s="32"/>
      <c r="AB134" s="32"/>
      <c r="AC134" s="32"/>
      <c r="AD134" s="32"/>
      <c r="AE134" s="32"/>
      <c r="AF134" s="32"/>
      <c r="AG134" s="32"/>
      <c r="AH134" s="32"/>
      <c r="AI134" s="32"/>
      <c r="AJ134" s="32" t="str">
        <f>IFERROR(__xludf.DUMMYFUNCTION("""COMPUTED_VALUE"""),"Darkest Abyss")</f>
        <v>Darkest Abyss</v>
      </c>
      <c r="AK134" s="32" t="str">
        <f>IFERROR(__xludf.DUMMYFUNCTION("""COMPUTED_VALUE"""),"Dark Curse")</f>
        <v>Dark Curse</v>
      </c>
      <c r="AL134" s="32" t="str">
        <f>IFERROR(__xludf.DUMMYFUNCTION("""COMPUTED_VALUE"""),"A Deal With The Spirit World")</f>
        <v>A Deal With The Spirit World</v>
      </c>
      <c r="AM134" s="32" t="str">
        <f>IFERROR(__xludf.DUMMYFUNCTION("""COMPUTED_VALUE"""),"Soul Trap")</f>
        <v>Soul Trap</v>
      </c>
      <c r="AN134" s="32" t="str">
        <f>IFERROR(__xludf.DUMMYFUNCTION("""COMPUTED_VALUE"""),"Chaotic Shadow Storm")</f>
        <v>Chaotic Shadow Storm</v>
      </c>
      <c r="AO134" s="32" t="str">
        <f>IFERROR(__xludf.DUMMYFUNCTION("""COMPUTED_VALUE"""),"Dimension Portal")</f>
        <v>Dimension Portal</v>
      </c>
      <c r="AP134" s="32" t="str">
        <f>IFERROR(__xludf.DUMMYFUNCTION("""COMPUTED_VALUE"""),"Meteor Shower")</f>
        <v>Meteor Shower</v>
      </c>
      <c r="AQ134" s="32" t="str">
        <f>IFERROR(__xludf.DUMMYFUNCTION("""COMPUTED_VALUE"""),"Flame Sanctuary")</f>
        <v>Flame Sanctuary</v>
      </c>
      <c r="AR134" s="32" t="str">
        <f>IFERROR(__xludf.DUMMYFUNCTION("""COMPUTED_VALUE"""),"Chaincast")</f>
        <v>Chaincast</v>
      </c>
      <c r="AS134" s="32" t="str">
        <f>IFERROR(__xludf.DUMMYFUNCTION("""COMPUTED_VALUE"""),"Celestial Wrath")</f>
        <v>Celestial Wrath</v>
      </c>
      <c r="AT134" s="32" t="str">
        <f>IFERROR(__xludf.DUMMYFUNCTION("""COMPUTED_VALUE"""),"Celestial Increase II")</f>
        <v>Celestial Increase II</v>
      </c>
      <c r="AU134" s="32"/>
      <c r="AV134" s="32"/>
      <c r="AW134" s="32"/>
      <c r="AX134" s="32"/>
      <c r="AY134" s="32"/>
      <c r="AZ134" s="32"/>
      <c r="BA134" s="32"/>
      <c r="BB134" s="32"/>
      <c r="BC134" s="32"/>
      <c r="BD134" s="32">
        <f>IFERROR(__xludf.DUMMYFUNCTION("""COMPUTED_VALUE"""),0.0)</f>
        <v>0</v>
      </c>
      <c r="BE134" s="32">
        <f>IFERROR(__xludf.DUMMYFUNCTION("""COMPUTED_VALUE"""),10.0)</f>
        <v>10</v>
      </c>
      <c r="BF134"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32" t="str">
        <f>IFERROR(__xludf.DUMMYFUNCTION("""COMPUTED_VALUE"""),"Dungeon")</f>
        <v>Dungeon</v>
      </c>
      <c r="BH134" s="32" t="str">
        <f>IFERROR(__xludf.DUMMYFUNCTION("""COMPUTED_VALUE"""),"Land of Spira")</f>
        <v>Land of Spira</v>
      </c>
      <c r="BI134" s="32"/>
      <c r="BJ134" s="32"/>
      <c r="BK134" s="32"/>
      <c r="BL134" s="32" t="b">
        <f>IFERROR(__xludf.DUMMYFUNCTION("""COMPUTED_VALUE"""),FALSE)</f>
        <v>0</v>
      </c>
      <c r="BM134" s="32"/>
      <c r="BN134" s="32"/>
      <c r="BO134" s="32"/>
      <c r="BP134" s="32"/>
      <c r="BQ134" s="32"/>
    </row>
    <row r="135">
      <c r="A135" s="32" t="str">
        <f>IFERROR(__xludf.DUMMYFUNCTION("""COMPUTED_VALUE"""),"Heatmore Flame Golem")</f>
        <v>Heatmore Flame Golem</v>
      </c>
      <c r="B135" s="32">
        <f>IFERROR(__xludf.DUMMYFUNCTION("""COMPUTED_VALUE"""),1.0)</f>
        <v>1</v>
      </c>
      <c r="C135" s="32"/>
      <c r="D135" s="33" t="str">
        <f>IFERROR(__xludf.DUMMYFUNCTION("""COMPUTED_VALUE"""),"Construct")</f>
        <v>Construct</v>
      </c>
      <c r="E135" s="33">
        <f>IFERROR(__xludf.DUMMYFUNCTION("""COMPUTED_VALUE"""),1010.0)</f>
        <v>1010</v>
      </c>
      <c r="F135" s="33">
        <f>IFERROR(__xludf.DUMMYFUNCTION("""COMPUTED_VALUE"""),1010.0)</f>
        <v>1010</v>
      </c>
      <c r="G135" s="33">
        <f>IFERROR(__xludf.DUMMYFUNCTION("""COMPUTED_VALUE"""),1010.0)</f>
        <v>1010</v>
      </c>
      <c r="H135" s="32">
        <f>IFERROR(__xludf.DUMMYFUNCTION("""COMPUTED_VALUE"""),10.0)</f>
        <v>10</v>
      </c>
      <c r="I135" s="32">
        <f>IFERROR(__xludf.DUMMYFUNCTION("""COMPUTED_VALUE"""),0.0)</f>
        <v>0</v>
      </c>
      <c r="J135" s="32">
        <f>IFERROR(__xludf.DUMMYFUNCTION("""COMPUTED_VALUE"""),0.0)</f>
        <v>0</v>
      </c>
      <c r="K135" s="32">
        <f>IFERROR(__xludf.DUMMYFUNCTION("""COMPUTED_VALUE"""),100.0)</f>
        <v>100</v>
      </c>
      <c r="L135" s="32">
        <f>IFERROR(__xludf.DUMMYFUNCTION("""COMPUTED_VALUE"""),100.0)</f>
        <v>100</v>
      </c>
      <c r="M135" s="32" t="str">
        <f>IFERROR(__xludf.DUMMYFUNCTION("""COMPUTED_VALUE"""),"Fire:100, Nature:Immune, Instant Death:Immune, ")</f>
        <v>Fire:100, Nature:Immune, Instant Death:Immune, </v>
      </c>
      <c r="N135" s="32" t="str">
        <f>IFERROR(__xludf.DUMMYFUNCTION("""COMPUTED_VALUE"""),"Water:100, ")</f>
        <v>Water:100, </v>
      </c>
      <c r="O135" s="32" t="str">
        <f>IFERROR(__xludf.DUMMYFUNCTION("""COMPUTED_VALUE"""),"Heatmore Flame Golem Head")</f>
        <v>Heatmore Flame Golem Head</v>
      </c>
      <c r="P135" s="32"/>
      <c r="Q135" s="32"/>
      <c r="R135" s="32"/>
      <c r="S135" s="32"/>
      <c r="T135" s="32"/>
      <c r="U135" s="32"/>
      <c r="V135" s="32"/>
      <c r="W135" s="32" t="str">
        <f>IFERROR(__xludf.DUMMYFUNCTION("""COMPUTED_VALUE"""),"Lava Longsword")</f>
        <v>Lava Longsword</v>
      </c>
      <c r="X135" s="32"/>
      <c r="Y135" s="32"/>
      <c r="Z135" s="32"/>
      <c r="AA135" s="32"/>
      <c r="AB135" s="32"/>
      <c r="AC135" s="32"/>
      <c r="AD135" s="32"/>
      <c r="AE135" s="32"/>
      <c r="AF135" s="32"/>
      <c r="AG135" s="32"/>
      <c r="AH135" s="32"/>
      <c r="AI135" s="32"/>
      <c r="AJ135" s="32" t="str">
        <f>IFERROR(__xludf.DUMMYFUNCTION("""COMPUTED_VALUE"""),"Flaming Golem Smash")</f>
        <v>Flaming Golem Smash</v>
      </c>
      <c r="AK135" s="32" t="str">
        <f>IFERROR(__xludf.DUMMYFUNCTION("""COMPUTED_VALUE"""),"Royal Golem Flamequake")</f>
        <v>Royal Golem Flamequake</v>
      </c>
      <c r="AL135" s="32" t="str">
        <f>IFERROR(__xludf.DUMMYFUNCTION("""COMPUTED_VALUE"""),"Earth Punch")</f>
        <v>Earth Punch</v>
      </c>
      <c r="AM135" s="32" t="str">
        <f>IFERROR(__xludf.DUMMYFUNCTION("""COMPUTED_VALUE"""),"Last resort")</f>
        <v>Last resort</v>
      </c>
      <c r="AN135" s="32" t="str">
        <f>IFERROR(__xludf.DUMMYFUNCTION("""COMPUTED_VALUE"""),"Volcanic wall")</f>
        <v>Volcanic wall</v>
      </c>
      <c r="AO135" s="32" t="str">
        <f>IFERROR(__xludf.DUMMYFUNCTION("""COMPUTED_VALUE"""),"Earthquake")</f>
        <v>Earthquake</v>
      </c>
      <c r="AP135" s="32"/>
      <c r="AQ135" s="32"/>
      <c r="AR135" s="32"/>
      <c r="AS135" s="32"/>
      <c r="AT135" s="32"/>
      <c r="AU135" s="32"/>
      <c r="AV135" s="32"/>
      <c r="AW135" s="32"/>
      <c r="AX135" s="32"/>
      <c r="AY135" s="32"/>
      <c r="AZ135" s="32"/>
      <c r="BA135" s="32"/>
      <c r="BB135" s="32"/>
      <c r="BC135" s="32"/>
      <c r="BD135" s="32">
        <f>IFERROR(__xludf.DUMMYFUNCTION("""COMPUTED_VALUE"""),0.0)</f>
        <v>0</v>
      </c>
      <c r="BE135" s="32">
        <f>IFERROR(__xludf.DUMMYFUNCTION("""COMPUTED_VALUE"""),10.0)</f>
        <v>10</v>
      </c>
      <c r="BF135" s="32"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32" t="str">
        <f>IFERROR(__xludf.DUMMYFUNCTION("""COMPUTED_VALUE"""),"Jungle")</f>
        <v>Jungle</v>
      </c>
      <c r="BH135" s="32" t="str">
        <f>IFERROR(__xludf.DUMMYFUNCTION("""COMPUTED_VALUE"""),"Land of Spira")</f>
        <v>Land of Spira</v>
      </c>
      <c r="BI135" s="32"/>
      <c r="BJ135" s="32"/>
      <c r="BK135" s="32"/>
      <c r="BL135" s="32" t="b">
        <f>IFERROR(__xludf.DUMMYFUNCTION("""COMPUTED_VALUE"""),FALSE)</f>
        <v>0</v>
      </c>
      <c r="BM135" s="32"/>
      <c r="BN135" s="32"/>
      <c r="BO135" s="32"/>
      <c r="BP135" s="32"/>
      <c r="BQ135" s="32"/>
    </row>
    <row r="136">
      <c r="A136" s="32" t="str">
        <f>IFERROR(__xludf.DUMMYFUNCTION("""COMPUTED_VALUE"""),"Heatmore Royal Keeper")</f>
        <v>Heatmore Royal Keeper</v>
      </c>
      <c r="B136" s="32">
        <f>IFERROR(__xludf.DUMMYFUNCTION("""COMPUTED_VALUE"""),1.0)</f>
        <v>1</v>
      </c>
      <c r="C136" s="32"/>
      <c r="D136" s="33" t="str">
        <f>IFERROR(__xludf.DUMMYFUNCTION("""COMPUTED_VALUE"""),"Humanoid")</f>
        <v>Humanoid</v>
      </c>
      <c r="E136" s="33">
        <f>IFERROR(__xludf.DUMMYFUNCTION("""COMPUTED_VALUE"""),1010.0)</f>
        <v>1010</v>
      </c>
      <c r="F136" s="33">
        <f>IFERROR(__xludf.DUMMYFUNCTION("""COMPUTED_VALUE"""),1010.0)</f>
        <v>1010</v>
      </c>
      <c r="G136" s="33">
        <f>IFERROR(__xludf.DUMMYFUNCTION("""COMPUTED_VALUE"""),1010.0)</f>
        <v>1010</v>
      </c>
      <c r="H136" s="32">
        <f>IFERROR(__xludf.DUMMYFUNCTION("""COMPUTED_VALUE"""),10.0)</f>
        <v>10</v>
      </c>
      <c r="I136" s="32">
        <f>IFERROR(__xludf.DUMMYFUNCTION("""COMPUTED_VALUE"""),0.0)</f>
        <v>0</v>
      </c>
      <c r="J136" s="32">
        <f>IFERROR(__xludf.DUMMYFUNCTION("""COMPUTED_VALUE"""),0.0)</f>
        <v>0</v>
      </c>
      <c r="K136" s="32">
        <f>IFERROR(__xludf.DUMMYFUNCTION("""COMPUTED_VALUE"""),100.0)</f>
        <v>100</v>
      </c>
      <c r="L136" s="32">
        <f>IFERROR(__xludf.DUMMYFUNCTION("""COMPUTED_VALUE"""),100.0)</f>
        <v>100</v>
      </c>
      <c r="M136" s="32" t="str">
        <f>IFERROR(__xludf.DUMMYFUNCTION("""COMPUTED_VALUE"""),"Fire:100, Nature:Immune, ")</f>
        <v>Fire:100, Nature:Immune, </v>
      </c>
      <c r="N136" s="32" t="str">
        <f>IFERROR(__xludf.DUMMYFUNCTION("""COMPUTED_VALUE"""),"Water:100, ")</f>
        <v>Water:100, </v>
      </c>
      <c r="O136" s="32"/>
      <c r="P136" s="32"/>
      <c r="Q136" s="32"/>
      <c r="R136" s="32"/>
      <c r="S136" s="32"/>
      <c r="T136" s="32"/>
      <c r="U136" s="32"/>
      <c r="V136" s="32" t="str">
        <f>IFERROR(__xludf.DUMMYFUNCTION("""COMPUTED_VALUE"""),"Royal Keeper Spear")</f>
        <v>Royal Keeper Spear</v>
      </c>
      <c r="W136" s="32" t="str">
        <f>IFERROR(__xludf.DUMMYFUNCTION("""COMPUTED_VALUE"""),"Royal Keeper Shield")</f>
        <v>Royal Keeper Shield</v>
      </c>
      <c r="X136" s="32"/>
      <c r="Y136" s="32"/>
      <c r="Z136" s="32"/>
      <c r="AA136" s="32"/>
      <c r="AB136" s="32"/>
      <c r="AC136" s="32"/>
      <c r="AD136" s="32"/>
      <c r="AE136" s="32"/>
      <c r="AF136" s="32"/>
      <c r="AG136" s="32"/>
      <c r="AH136" s="32"/>
      <c r="AI136" s="32"/>
      <c r="AJ136" s="32" t="str">
        <f>IFERROR(__xludf.DUMMYFUNCTION("""COMPUTED_VALUE"""),"Flame Sanctuary")</f>
        <v>Flame Sanctuary</v>
      </c>
      <c r="AK136" s="32" t="str">
        <f>IFERROR(__xludf.DUMMYFUNCTION("""COMPUTED_VALUE"""),"Flame Thrower")</f>
        <v>Flame Thrower</v>
      </c>
      <c r="AL136" s="32" t="str">
        <f>IFERROR(__xludf.DUMMYFUNCTION("""COMPUTED_VALUE"""),"Mass Ignition")</f>
        <v>Mass Ignition</v>
      </c>
      <c r="AM136" s="32" t="str">
        <f>IFERROR(__xludf.DUMMYFUNCTION("""COMPUTED_VALUE"""),"Lesser Nova")</f>
        <v>Lesser Nova</v>
      </c>
      <c r="AN136" s="32"/>
      <c r="AO136" s="32"/>
      <c r="AP136" s="32"/>
      <c r="AQ136" s="32"/>
      <c r="AR136" s="32"/>
      <c r="AS136" s="32"/>
      <c r="AT136" s="32"/>
      <c r="AU136" s="32"/>
      <c r="AV136" s="32"/>
      <c r="AW136" s="32"/>
      <c r="AX136" s="32"/>
      <c r="AY136" s="32"/>
      <c r="AZ136" s="32"/>
      <c r="BA136" s="32"/>
      <c r="BB136" s="32"/>
      <c r="BC136" s="32"/>
      <c r="BD136" s="32">
        <f>IFERROR(__xludf.DUMMYFUNCTION("""COMPUTED_VALUE"""),0.0)</f>
        <v>0</v>
      </c>
      <c r="BE136" s="32">
        <f>IFERROR(__xludf.DUMMYFUNCTION("""COMPUTED_VALUE"""),10.0)</f>
        <v>10</v>
      </c>
      <c r="BF136" s="32"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32" t="str">
        <f>IFERROR(__xludf.DUMMYFUNCTION("""COMPUTED_VALUE"""),"Jungle")</f>
        <v>Jungle</v>
      </c>
      <c r="BH136" s="32" t="str">
        <f>IFERROR(__xludf.DUMMYFUNCTION("""COMPUTED_VALUE"""),"Land of Spira")</f>
        <v>Land of Spira</v>
      </c>
      <c r="BI136" s="32"/>
      <c r="BJ136" s="32"/>
      <c r="BK136" s="32"/>
      <c r="BL136" s="32" t="b">
        <f>IFERROR(__xludf.DUMMYFUNCTION("""COMPUTED_VALUE"""),FALSE)</f>
        <v>0</v>
      </c>
      <c r="BM136" s="32"/>
      <c r="BN136" s="32"/>
      <c r="BO136" s="32"/>
      <c r="BP136" s="32"/>
      <c r="BQ136" s="32"/>
    </row>
    <row r="137">
      <c r="A137" s="32" t="str">
        <f>IFERROR(__xludf.DUMMYFUNCTION("""COMPUTED_VALUE"""),"Heatmore Underling")</f>
        <v>Heatmore Underling</v>
      </c>
      <c r="B137" s="32">
        <f>IFERROR(__xludf.DUMMYFUNCTION("""COMPUTED_VALUE"""),1.0)</f>
        <v>1</v>
      </c>
      <c r="C137" s="32"/>
      <c r="D137" s="33" t="str">
        <f>IFERROR(__xludf.DUMMYFUNCTION("""COMPUTED_VALUE"""),"Beast")</f>
        <v>Beast</v>
      </c>
      <c r="E137" s="33">
        <f>IFERROR(__xludf.DUMMYFUNCTION("""COMPUTED_VALUE"""),16010.0)</f>
        <v>16010</v>
      </c>
      <c r="F137" s="33">
        <f>IFERROR(__xludf.DUMMYFUNCTION("""COMPUTED_VALUE"""),1010.0)</f>
        <v>1010</v>
      </c>
      <c r="G137" s="33">
        <f>IFERROR(__xludf.DUMMYFUNCTION("""COMPUTED_VALUE"""),1010.0)</f>
        <v>1010</v>
      </c>
      <c r="H137" s="32">
        <f>IFERROR(__xludf.DUMMYFUNCTION("""COMPUTED_VALUE"""),10.0)</f>
        <v>10</v>
      </c>
      <c r="I137" s="32">
        <f>IFERROR(__xludf.DUMMYFUNCTION("""COMPUTED_VALUE"""),0.0)</f>
        <v>0</v>
      </c>
      <c r="J137" s="32">
        <f>IFERROR(__xludf.DUMMYFUNCTION("""COMPUTED_VALUE"""),0.0)</f>
        <v>0</v>
      </c>
      <c r="K137" s="32">
        <f>IFERROR(__xludf.DUMMYFUNCTION("""COMPUTED_VALUE"""),100.0)</f>
        <v>100</v>
      </c>
      <c r="L137" s="32">
        <f>IFERROR(__xludf.DUMMYFUNCTION("""COMPUTED_VALUE"""),100.0)</f>
        <v>100</v>
      </c>
      <c r="M137" s="32" t="str">
        <f>IFERROR(__xludf.DUMMYFUNCTION("""COMPUTED_VALUE"""),"Fire:100, Nature:Immune, ")</f>
        <v>Fire:100, Nature:Immune, </v>
      </c>
      <c r="N137" s="32" t="str">
        <f>IFERROR(__xludf.DUMMYFUNCTION("""COMPUTED_VALUE"""),"Water:100, ")</f>
        <v>Water:100, </v>
      </c>
      <c r="O137" s="32"/>
      <c r="P137" s="32"/>
      <c r="Q137" s="32"/>
      <c r="R137" s="32"/>
      <c r="S137" s="32"/>
      <c r="T137" s="32"/>
      <c r="U137" s="32"/>
      <c r="V137" s="32"/>
      <c r="W137" s="32"/>
      <c r="X137" s="32"/>
      <c r="Y137" s="32"/>
      <c r="Z137" s="32"/>
      <c r="AA137" s="32"/>
      <c r="AB137" s="32"/>
      <c r="AC137" s="32"/>
      <c r="AD137" s="32"/>
      <c r="AE137" s="32"/>
      <c r="AF137" s="32"/>
      <c r="AG137" s="32"/>
      <c r="AH137" s="32"/>
      <c r="AI137" s="32"/>
      <c r="AJ137" s="32" t="str">
        <f>IFERROR(__xludf.DUMMYFUNCTION("""COMPUTED_VALUE"""),"Lunge")</f>
        <v>Lunge</v>
      </c>
      <c r="AK137" s="32" t="str">
        <f>IFERROR(__xludf.DUMMYFUNCTION("""COMPUTED_VALUE"""),"Flaming Bite")</f>
        <v>Flaming Bite</v>
      </c>
      <c r="AL137" s="32" t="str">
        <f>IFERROR(__xludf.DUMMYFUNCTION("""COMPUTED_VALUE"""),"Berserk")</f>
        <v>Berserk</v>
      </c>
      <c r="AM137" s="32" t="str">
        <f>IFERROR(__xludf.DUMMYFUNCTION("""COMPUTED_VALUE"""),"Reckless Chomp ")</f>
        <v>Reckless Chomp </v>
      </c>
      <c r="AN137" s="32" t="str">
        <f>IFERROR(__xludf.DUMMYFUNCTION("""COMPUTED_VALUE"""),"Tackle")</f>
        <v>Tackle</v>
      </c>
      <c r="AO137" s="32" t="str">
        <f>IFERROR(__xludf.DUMMYFUNCTION("""COMPUTED_VALUE"""),"Aggresive Tear")</f>
        <v>Aggresive Tear</v>
      </c>
      <c r="AP137" s="32" t="str">
        <f>IFERROR(__xludf.DUMMYFUNCTION("""COMPUTED_VALUE"""),"Guard")</f>
        <v>Guard</v>
      </c>
      <c r="AQ137" s="32"/>
      <c r="AR137" s="32"/>
      <c r="AS137" s="32"/>
      <c r="AT137" s="32"/>
      <c r="AU137" s="32"/>
      <c r="AV137" s="32"/>
      <c r="AW137" s="32"/>
      <c r="AX137" s="32"/>
      <c r="AY137" s="32"/>
      <c r="AZ137" s="32"/>
      <c r="BA137" s="32"/>
      <c r="BB137" s="32"/>
      <c r="BC137" s="32"/>
      <c r="BD137" s="32">
        <f>IFERROR(__xludf.DUMMYFUNCTION("""COMPUTED_VALUE"""),0.0)</f>
        <v>0</v>
      </c>
      <c r="BE137" s="32">
        <f>IFERROR(__xludf.DUMMYFUNCTION("""COMPUTED_VALUE"""),10.0)</f>
        <v>10</v>
      </c>
      <c r="BF137" s="32"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32" t="str">
        <f>IFERROR(__xludf.DUMMYFUNCTION("""COMPUTED_VALUE"""),"Jungle")</f>
        <v>Jungle</v>
      </c>
      <c r="BH137" s="32" t="str">
        <f>IFERROR(__xludf.DUMMYFUNCTION("""COMPUTED_VALUE"""),"Land of Spira")</f>
        <v>Land of Spira</v>
      </c>
      <c r="BI137" s="32"/>
      <c r="BJ137" s="32"/>
      <c r="BK137" s="32"/>
      <c r="BL137" s="32" t="b">
        <f>IFERROR(__xludf.DUMMYFUNCTION("""COMPUTED_VALUE"""),FALSE)</f>
        <v>0</v>
      </c>
      <c r="BM137" s="32"/>
      <c r="BN137" s="32"/>
      <c r="BO137" s="32"/>
      <c r="BP137" s="32"/>
      <c r="BQ137" s="32"/>
    </row>
    <row r="138">
      <c r="A138" s="32" t="str">
        <f>IFERROR(__xludf.DUMMYFUNCTION("""COMPUTED_VALUE"""),"Hellmore The Soul Keeper")</f>
        <v>Hellmore The Soul Keeper</v>
      </c>
      <c r="B138" s="32">
        <f>IFERROR(__xludf.DUMMYFUNCTION("""COMPUTED_VALUE"""),1.0)</f>
        <v>1</v>
      </c>
      <c r="C138" s="32"/>
      <c r="D138" s="33" t="str">
        <f>IFERROR(__xludf.DUMMYFUNCTION("""COMPUTED_VALUE"""),"Demonic")</f>
        <v>Demonic</v>
      </c>
      <c r="E138" s="33">
        <f>IFERROR(__xludf.DUMMYFUNCTION("""COMPUTED_VALUE"""),1010.0)</f>
        <v>1010</v>
      </c>
      <c r="F138" s="33">
        <f>IFERROR(__xludf.DUMMYFUNCTION("""COMPUTED_VALUE"""),1010.0)</f>
        <v>1010</v>
      </c>
      <c r="G138" s="33">
        <f>IFERROR(__xludf.DUMMYFUNCTION("""COMPUTED_VALUE"""),1010.0)</f>
        <v>1010</v>
      </c>
      <c r="H138" s="32">
        <f>IFERROR(__xludf.DUMMYFUNCTION("""COMPUTED_VALUE"""),10.0)</f>
        <v>10</v>
      </c>
      <c r="I138" s="32">
        <f>IFERROR(__xludf.DUMMYFUNCTION("""COMPUTED_VALUE"""),0.0)</f>
        <v>0</v>
      </c>
      <c r="J138" s="32">
        <f>IFERROR(__xludf.DUMMYFUNCTION("""COMPUTED_VALUE"""),0.0)</f>
        <v>0</v>
      </c>
      <c r="K138" s="32">
        <f>IFERROR(__xludf.DUMMYFUNCTION("""COMPUTED_VALUE"""),100.0)</f>
        <v>100</v>
      </c>
      <c r="L138" s="32">
        <f>IFERROR(__xludf.DUMMYFUNCTION("""COMPUTED_VALUE"""),100.0)</f>
        <v>100</v>
      </c>
      <c r="M138" s="32" t="str">
        <f>IFERROR(__xludf.DUMMYFUNCTION("""COMPUTED_VALUE"""),"Dark:Immune, Spirit:Immune, Chaos:Immune, Voodoo:Immune, Blood:Immune, Instant Death:Immune, Banishment:Immune, ")</f>
        <v>Dark:Immune, Spirit:Immune, Chaos:Immune, Voodoo:Immune, Blood:Immune, Instant Death:Immune, Banishment:Immune, </v>
      </c>
      <c r="N138" s="32" t="str">
        <f>IFERROR(__xludf.DUMMYFUNCTION("""COMPUTED_VALUE"""),"Fire:100, Light:100, Order:100, Celestial:100, ")</f>
        <v>Fire:100, Light:100, Order:100, Celestial:100, </v>
      </c>
      <c r="O138" s="32"/>
      <c r="P138" s="32"/>
      <c r="Q138" s="32"/>
      <c r="R138" s="32"/>
      <c r="S138" s="32"/>
      <c r="T138" s="32"/>
      <c r="U138" s="32"/>
      <c r="V138" s="32" t="str">
        <f>IFERROR(__xludf.DUMMYFUNCTION("""COMPUTED_VALUE"""),"Grand Hell Fire Sword")</f>
        <v>Grand Hell Fire Sword</v>
      </c>
      <c r="W138" s="32"/>
      <c r="X138" s="32"/>
      <c r="Y138" s="32"/>
      <c r="Z138" s="32"/>
      <c r="AA138" s="32"/>
      <c r="AB138" s="32"/>
      <c r="AC138" s="32"/>
      <c r="AD138" s="32"/>
      <c r="AE138" s="32"/>
      <c r="AF138" s="32"/>
      <c r="AG138" s="32"/>
      <c r="AH138" s="32"/>
      <c r="AI138" s="32"/>
      <c r="AJ138" s="32" t="str">
        <f>IFERROR(__xludf.DUMMYFUNCTION("""COMPUTED_VALUE"""),"Spirit Fog")</f>
        <v>Spirit Fog</v>
      </c>
      <c r="AK138" s="32" t="str">
        <f>IFERROR(__xludf.DUMMYFUNCTION("""COMPUTED_VALUE"""),"Lost Soul")</f>
        <v>Lost Soul</v>
      </c>
      <c r="AL138" s="32" t="str">
        <f>IFERROR(__xludf.DUMMYFUNCTION("""COMPUTED_VALUE"""),"Gain Soul")</f>
        <v>Gain Soul</v>
      </c>
      <c r="AM138" s="32" t="str">
        <f>IFERROR(__xludf.DUMMYFUNCTION("""COMPUTED_VALUE"""),"Soul Absorption")</f>
        <v>Soul Absorption</v>
      </c>
      <c r="AN138" s="32" t="str">
        <f>IFERROR(__xludf.DUMMYFUNCTION("""COMPUTED_VALUE"""),"Soul Trap")</f>
        <v>Soul Trap</v>
      </c>
      <c r="AO138" s="32" t="str">
        <f>IFERROR(__xludf.DUMMYFUNCTION("""COMPUTED_VALUE"""),"Souls of Darkness and Chaos")</f>
        <v>Souls of Darkness and Chaos</v>
      </c>
      <c r="AP138" s="32" t="str">
        <f>IFERROR(__xludf.DUMMYFUNCTION("""COMPUTED_VALUE"""),"Dimensional Quake")</f>
        <v>Dimensional Quake</v>
      </c>
      <c r="AQ138" s="32" t="str">
        <f>IFERROR(__xludf.DUMMYFUNCTION("""COMPUTED_VALUE"""),"Flame Sanctuary")</f>
        <v>Flame Sanctuary</v>
      </c>
      <c r="AR138" s="32" t="str">
        <f>IFERROR(__xludf.DUMMYFUNCTION("""COMPUTED_VALUE"""),"Volcanic Rain")</f>
        <v>Volcanic Rain</v>
      </c>
      <c r="AS138" s="32" t="str">
        <f>IFERROR(__xludf.DUMMYFUNCTION("""COMPUTED_VALUE"""),"Berserk")</f>
        <v>Berserk</v>
      </c>
      <c r="AT138" s="32" t="str">
        <f>IFERROR(__xludf.DUMMYFUNCTION("""COMPUTED_VALUE"""),"Chaincast")</f>
        <v>Chaincast</v>
      </c>
      <c r="AU138" s="32" t="str">
        <f>IFERROR(__xludf.DUMMYFUNCTION("""COMPUTED_VALUE"""),"Mass Destruction")</f>
        <v>Mass Destruction</v>
      </c>
      <c r="AV138" s="32"/>
      <c r="AW138" s="32"/>
      <c r="AX138" s="32"/>
      <c r="AY138" s="32"/>
      <c r="AZ138" s="32"/>
      <c r="BA138" s="32"/>
      <c r="BB138" s="32"/>
      <c r="BC138" s="32"/>
      <c r="BD138" s="32">
        <f>IFERROR(__xludf.DUMMYFUNCTION("""COMPUTED_VALUE"""),0.0)</f>
        <v>0</v>
      </c>
      <c r="BE138" s="32">
        <f>IFERROR(__xludf.DUMMYFUNCTION("""COMPUTED_VALUE"""),10.0)</f>
        <v>10</v>
      </c>
      <c r="BF138" s="32"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32" t="str">
        <f>IFERROR(__xludf.DUMMYFUNCTION("""COMPUTED_VALUE"""),"All")</f>
        <v>All</v>
      </c>
      <c r="BH138" s="32" t="str">
        <f>IFERROR(__xludf.DUMMYFUNCTION("""COMPUTED_VALUE"""),"Abstara")</f>
        <v>Abstara</v>
      </c>
      <c r="BI138" s="32"/>
      <c r="BJ138" s="32"/>
      <c r="BK138" s="32"/>
      <c r="BL138" s="32" t="b">
        <f>IFERROR(__xludf.DUMMYFUNCTION("""COMPUTED_VALUE"""),FALSE)</f>
        <v>0</v>
      </c>
      <c r="BM138" s="32"/>
      <c r="BN138" s="32"/>
      <c r="BO138" s="32"/>
      <c r="BP138" s="32"/>
      <c r="BQ138" s="32"/>
    </row>
    <row r="139">
      <c r="A139" s="32" t="str">
        <f>IFERROR(__xludf.DUMMYFUNCTION("""COMPUTED_VALUE"""),"Hydra Cobra")</f>
        <v>Hydra Cobra</v>
      </c>
      <c r="B139" s="32">
        <f>IFERROR(__xludf.DUMMYFUNCTION("""COMPUTED_VALUE"""),1.0)</f>
        <v>1</v>
      </c>
      <c r="C139" s="32"/>
      <c r="D139" s="33" t="str">
        <f>IFERROR(__xludf.DUMMYFUNCTION("""COMPUTED_VALUE"""),"Beast")</f>
        <v>Beast</v>
      </c>
      <c r="E139" s="33">
        <f>IFERROR(__xludf.DUMMYFUNCTION("""COMPUTED_VALUE"""),1010.0)</f>
        <v>1010</v>
      </c>
      <c r="F139" s="33">
        <f>IFERROR(__xludf.DUMMYFUNCTION("""COMPUTED_VALUE"""),1010.0)</f>
        <v>1010</v>
      </c>
      <c r="G139" s="33">
        <f>IFERROR(__xludf.DUMMYFUNCTION("""COMPUTED_VALUE"""),1010.0)</f>
        <v>1010</v>
      </c>
      <c r="H139" s="32">
        <f>IFERROR(__xludf.DUMMYFUNCTION("""COMPUTED_VALUE"""),20.0)</f>
        <v>20</v>
      </c>
      <c r="I139" s="32">
        <f>IFERROR(__xludf.DUMMYFUNCTION("""COMPUTED_VALUE"""),0.0)</f>
        <v>0</v>
      </c>
      <c r="J139" s="32">
        <f>IFERROR(__xludf.DUMMYFUNCTION("""COMPUTED_VALUE"""),0.0)</f>
        <v>0</v>
      </c>
      <c r="K139" s="32">
        <f>IFERROR(__xludf.DUMMYFUNCTION("""COMPUTED_VALUE"""),100.0)</f>
        <v>100</v>
      </c>
      <c r="L139" s="32">
        <f>IFERROR(__xludf.DUMMYFUNCTION("""COMPUTED_VALUE"""),100.0)</f>
        <v>100</v>
      </c>
      <c r="M139" s="32" t="str">
        <f>IFERROR(__xludf.DUMMYFUNCTION("""COMPUTED_VALUE"""),"Dark:100, Chaos:100, Voodoo:Immune, Instant Death:Immune, Banishment:Immune, ")</f>
        <v>Dark:100, Chaos:100, Voodoo:Immune, Instant Death:Immune, Banishment:Immune, </v>
      </c>
      <c r="N139" s="32" t="str">
        <f>IFERROR(__xludf.DUMMYFUNCTION("""COMPUTED_VALUE"""),"Fire:100, Light:100, Order:100, ")</f>
        <v>Fire:100, Light:100, Order:100, </v>
      </c>
      <c r="O139" s="32"/>
      <c r="P139" s="32"/>
      <c r="Q139" s="32"/>
      <c r="R139" s="32"/>
      <c r="S139" s="32"/>
      <c r="T139" s="32"/>
      <c r="U139" s="32"/>
      <c r="V139" s="32"/>
      <c r="W139" s="32"/>
      <c r="X139" s="32"/>
      <c r="Y139" s="32"/>
      <c r="Z139" s="32"/>
      <c r="AA139" s="32"/>
      <c r="AB139" s="32"/>
      <c r="AC139" s="32"/>
      <c r="AD139" s="32"/>
      <c r="AE139" s="32"/>
      <c r="AF139" s="32"/>
      <c r="AG139" s="32"/>
      <c r="AH139" s="32"/>
      <c r="AI139" s="32"/>
      <c r="AJ139" s="32" t="str">
        <f>IFERROR(__xludf.DUMMYFUNCTION("""COMPUTED_VALUE"""),"Multi Banishment")</f>
        <v>Multi Banishment</v>
      </c>
      <c r="AK139" s="32" t="str">
        <f>IFERROR(__xludf.DUMMYFUNCTION("""COMPUTED_VALUE"""),"Conceal")</f>
        <v>Conceal</v>
      </c>
      <c r="AL139" s="32" t="str">
        <f>IFERROR(__xludf.DUMMYFUNCTION("""COMPUTED_VALUE"""),"Mass Destruction")</f>
        <v>Mass Destruction</v>
      </c>
      <c r="AM139" s="32" t="str">
        <f>IFERROR(__xludf.DUMMYFUNCTION("""COMPUTED_VALUE"""),"Confiscate")</f>
        <v>Confiscate</v>
      </c>
      <c r="AN139" s="32" t="str">
        <f>IFERROR(__xludf.DUMMYFUNCTION("""COMPUTED_VALUE"""),"Dimensional Quake")</f>
        <v>Dimensional Quake</v>
      </c>
      <c r="AO139" s="32" t="str">
        <f>IFERROR(__xludf.DUMMYFUNCTION("""COMPUTED_VALUE"""),"Damage With A Cost.")</f>
        <v>Damage With A Cost.</v>
      </c>
      <c r="AP139" s="32" t="str">
        <f>IFERROR(__xludf.DUMMYFUNCTION("""COMPUTED_VALUE"""),"Hex with bad luck")</f>
        <v>Hex with bad luck</v>
      </c>
      <c r="AQ139" s="32" t="str">
        <f>IFERROR(__xludf.DUMMYFUNCTION("""COMPUTED_VALUE"""),"Last Gamble")</f>
        <v>Last Gamble</v>
      </c>
      <c r="AR139" s="32" t="str">
        <f>IFERROR(__xludf.DUMMYFUNCTION("""COMPUTED_VALUE"""),"Chaincast")</f>
        <v>Chaincast</v>
      </c>
      <c r="AS139" s="32"/>
      <c r="AT139" s="32"/>
      <c r="AU139" s="32"/>
      <c r="AV139" s="32"/>
      <c r="AW139" s="32"/>
      <c r="AX139" s="32"/>
      <c r="AY139" s="32"/>
      <c r="AZ139" s="32"/>
      <c r="BA139" s="32"/>
      <c r="BB139" s="32"/>
      <c r="BC139" s="32"/>
      <c r="BD139" s="32">
        <f>IFERROR(__xludf.DUMMYFUNCTION("""COMPUTED_VALUE"""),0.0)</f>
        <v>0</v>
      </c>
      <c r="BE139" s="32">
        <f>IFERROR(__xludf.DUMMYFUNCTION("""COMPUTED_VALUE"""),10.0)</f>
        <v>10</v>
      </c>
      <c r="BF139" s="32"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32" t="str">
        <f>IFERROR(__xludf.DUMMYFUNCTION("""COMPUTED_VALUE"""),"Dungeon")</f>
        <v>Dungeon</v>
      </c>
      <c r="BH139" s="32" t="str">
        <f>IFERROR(__xludf.DUMMYFUNCTION("""COMPUTED_VALUE"""),"Land of Spira")</f>
        <v>Land of Spira</v>
      </c>
      <c r="BI139" s="32"/>
      <c r="BJ139" s="32"/>
      <c r="BK139" s="32"/>
      <c r="BL139" s="32" t="b">
        <f>IFERROR(__xludf.DUMMYFUNCTION("""COMPUTED_VALUE"""),FALSE)</f>
        <v>0</v>
      </c>
      <c r="BM139" s="32"/>
      <c r="BN139" s="32"/>
      <c r="BO139" s="32"/>
      <c r="BP139" s="32"/>
      <c r="BQ139" s="32"/>
    </row>
    <row r="140">
      <c r="A140" s="32" t="str">
        <f>IFERROR(__xludf.DUMMYFUNCTION("""COMPUTED_VALUE"""),"Hyena")</f>
        <v>Hyena</v>
      </c>
      <c r="B140" s="32">
        <f>IFERROR(__xludf.DUMMYFUNCTION("""COMPUTED_VALUE"""),1.0)</f>
        <v>1</v>
      </c>
      <c r="C140" s="32"/>
      <c r="D140" s="33" t="str">
        <f>IFERROR(__xludf.DUMMYFUNCTION("""COMPUTED_VALUE"""),"Beast")</f>
        <v>Beast</v>
      </c>
      <c r="E140" s="33">
        <f>IFERROR(__xludf.DUMMYFUNCTION("""COMPUTED_VALUE"""),1010.0)</f>
        <v>1010</v>
      </c>
      <c r="F140" s="33">
        <f>IFERROR(__xludf.DUMMYFUNCTION("""COMPUTED_VALUE"""),1010.0)</f>
        <v>1010</v>
      </c>
      <c r="G140" s="33">
        <f>IFERROR(__xludf.DUMMYFUNCTION("""COMPUTED_VALUE"""),1010.0)</f>
        <v>1010</v>
      </c>
      <c r="H140" s="32">
        <f>IFERROR(__xludf.DUMMYFUNCTION("""COMPUTED_VALUE"""),10.0)</f>
        <v>10</v>
      </c>
      <c r="I140" s="32">
        <f>IFERROR(__xludf.DUMMYFUNCTION("""COMPUTED_VALUE"""),0.0)</f>
        <v>0</v>
      </c>
      <c r="J140" s="32">
        <f>IFERROR(__xludf.DUMMYFUNCTION("""COMPUTED_VALUE"""),0.0)</f>
        <v>0</v>
      </c>
      <c r="K140" s="32">
        <f>IFERROR(__xludf.DUMMYFUNCTION("""COMPUTED_VALUE"""),100.0)</f>
        <v>100</v>
      </c>
      <c r="L140" s="32">
        <f>IFERROR(__xludf.DUMMYFUNCTION("""COMPUTED_VALUE"""),100.0)</f>
        <v>100</v>
      </c>
      <c r="M140" s="32" t="str">
        <f>IFERROR(__xludf.DUMMYFUNCTION("""COMPUTED_VALUE"""),"")</f>
        <v/>
      </c>
      <c r="N140" s="32" t="str">
        <f>IFERROR(__xludf.DUMMYFUNCTION("""COMPUTED_VALUE"""),"")</f>
        <v/>
      </c>
      <c r="O140" s="32"/>
      <c r="P140" s="32"/>
      <c r="Q140" s="32"/>
      <c r="R140" s="32"/>
      <c r="S140" s="32"/>
      <c r="T140" s="32"/>
      <c r="U140" s="32"/>
      <c r="V140" s="32"/>
      <c r="W140" s="32"/>
      <c r="X140" s="32"/>
      <c r="Y140" s="32"/>
      <c r="Z140" s="32"/>
      <c r="AA140" s="32"/>
      <c r="AB140" s="32"/>
      <c r="AC140" s="32"/>
      <c r="AD140" s="32"/>
      <c r="AE140" s="32"/>
      <c r="AF140" s="32"/>
      <c r="AG140" s="32"/>
      <c r="AH140" s="32"/>
      <c r="AI140" s="32"/>
      <c r="AJ140" s="32" t="str">
        <f>IFERROR(__xludf.DUMMYFUNCTION("""COMPUTED_VALUE"""),"Bite")</f>
        <v>Bite</v>
      </c>
      <c r="AK140" s="32" t="str">
        <f>IFERROR(__xludf.DUMMYFUNCTION("""COMPUTED_VALUE"""),"Rock Shot")</f>
        <v>Rock Shot</v>
      </c>
      <c r="AL140" s="32" t="str">
        <f>IFERROR(__xludf.DUMMYFUNCTION("""COMPUTED_VALUE"""),"Lunge")</f>
        <v>Lunge</v>
      </c>
      <c r="AM140" s="32" t="str">
        <f>IFERROR(__xludf.DUMMYFUNCTION("""COMPUTED_VALUE"""),"Quicksand")</f>
        <v>Quicksand</v>
      </c>
      <c r="AN140" s="32" t="str">
        <f>IFERROR(__xludf.DUMMYFUNCTION("""COMPUTED_VALUE"""),"Reckless Chomp ")</f>
        <v>Reckless Chomp </v>
      </c>
      <c r="AO140" s="32"/>
      <c r="AP140" s="32"/>
      <c r="AQ140" s="32"/>
      <c r="AR140" s="32"/>
      <c r="AS140" s="32"/>
      <c r="AT140" s="32"/>
      <c r="AU140" s="32"/>
      <c r="AV140" s="32"/>
      <c r="AW140" s="32"/>
      <c r="AX140" s="32"/>
      <c r="AY140" s="32"/>
      <c r="AZ140" s="32"/>
      <c r="BA140" s="32"/>
      <c r="BB140" s="32"/>
      <c r="BC140" s="32"/>
      <c r="BD140" s="32">
        <f>IFERROR(__xludf.DUMMYFUNCTION("""COMPUTED_VALUE"""),0.0)</f>
        <v>0</v>
      </c>
      <c r="BE140" s="32">
        <f>IFERROR(__xludf.DUMMYFUNCTION("""COMPUTED_VALUE"""),10.0)</f>
        <v>10</v>
      </c>
      <c r="BF140" s="32"/>
      <c r="BG140" s="32" t="str">
        <f>IFERROR(__xludf.DUMMYFUNCTION("""COMPUTED_VALUE"""),"All")</f>
        <v>All</v>
      </c>
      <c r="BH140" s="32" t="str">
        <f>IFERROR(__xludf.DUMMYFUNCTION("""COMPUTED_VALUE"""),"Land of Spira")</f>
        <v>Land of Spira</v>
      </c>
      <c r="BI140" s="32"/>
      <c r="BJ140" s="32"/>
      <c r="BK140" s="32"/>
      <c r="BL140" s="32" t="b">
        <f>IFERROR(__xludf.DUMMYFUNCTION("""COMPUTED_VALUE"""),FALSE)</f>
        <v>0</v>
      </c>
      <c r="BM140" s="32"/>
      <c r="BN140" s="32"/>
      <c r="BO140" s="32"/>
      <c r="BP140" s="32"/>
      <c r="BQ140" s="32"/>
    </row>
    <row r="141">
      <c r="A141" s="32" t="str">
        <f>IFERROR(__xludf.DUMMYFUNCTION("""COMPUTED_VALUE"""),"Ice Golem")</f>
        <v>Ice Golem</v>
      </c>
      <c r="B141" s="32">
        <f>IFERROR(__xludf.DUMMYFUNCTION("""COMPUTED_VALUE"""),1.0)</f>
        <v>1</v>
      </c>
      <c r="C141" s="32"/>
      <c r="D141" s="33" t="str">
        <f>IFERROR(__xludf.DUMMYFUNCTION("""COMPUTED_VALUE"""),"Construct")</f>
        <v>Construct</v>
      </c>
      <c r="E141" s="33">
        <f>IFERROR(__xludf.DUMMYFUNCTION("""COMPUTED_VALUE"""),1010.0)</f>
        <v>1010</v>
      </c>
      <c r="F141" s="33">
        <f>IFERROR(__xludf.DUMMYFUNCTION("""COMPUTED_VALUE"""),1010.0)</f>
        <v>1010</v>
      </c>
      <c r="G141" s="33">
        <f>IFERROR(__xludf.DUMMYFUNCTION("""COMPUTED_VALUE"""),1010.0)</f>
        <v>1010</v>
      </c>
      <c r="H141" s="32">
        <f>IFERROR(__xludf.DUMMYFUNCTION("""COMPUTED_VALUE"""),10.0)</f>
        <v>10</v>
      </c>
      <c r="I141" s="32">
        <f>IFERROR(__xludf.DUMMYFUNCTION("""COMPUTED_VALUE"""),0.0)</f>
        <v>0</v>
      </c>
      <c r="J141" s="32">
        <f>IFERROR(__xludf.DUMMYFUNCTION("""COMPUTED_VALUE"""),0.0)</f>
        <v>0</v>
      </c>
      <c r="K141" s="32">
        <f>IFERROR(__xludf.DUMMYFUNCTION("""COMPUTED_VALUE"""),100.0)</f>
        <v>100</v>
      </c>
      <c r="L141" s="32">
        <f>IFERROR(__xludf.DUMMYFUNCTION("""COMPUTED_VALUE"""),100.0)</f>
        <v>100</v>
      </c>
      <c r="M141" s="32" t="str">
        <f>IFERROR(__xludf.DUMMYFUNCTION("""COMPUTED_VALUE"""),"Water:Immune, Earth:Immune, ")</f>
        <v>Water:Immune, Earth:Immune, </v>
      </c>
      <c r="N141" s="32" t="str">
        <f>IFERROR(__xludf.DUMMYFUNCTION("""COMPUTED_VALUE"""),"Fire:100, ")</f>
        <v>Fire:100, </v>
      </c>
      <c r="O141" s="32"/>
      <c r="P141" s="32"/>
      <c r="Q141" s="32"/>
      <c r="R141" s="32"/>
      <c r="S141" s="32"/>
      <c r="T141" s="32"/>
      <c r="U141" s="32"/>
      <c r="V141" s="32"/>
      <c r="W141" s="32" t="str">
        <f>IFERROR(__xludf.DUMMYFUNCTION("""COMPUTED_VALUE"""),"Hardened Ice Sickle")</f>
        <v>Hardened Ice Sickle</v>
      </c>
      <c r="X141" s="32"/>
      <c r="Y141" s="32"/>
      <c r="Z141" s="32"/>
      <c r="AA141" s="32"/>
      <c r="AB141" s="32"/>
      <c r="AC141" s="32"/>
      <c r="AD141" s="32"/>
      <c r="AE141" s="32"/>
      <c r="AF141" s="32"/>
      <c r="AG141" s="32"/>
      <c r="AH141" s="32"/>
      <c r="AI141" s="32"/>
      <c r="AJ141" s="32" t="str">
        <f>IFERROR(__xludf.DUMMYFUNCTION("""COMPUTED_VALUE"""),"Frost Cloak")</f>
        <v>Frost Cloak</v>
      </c>
      <c r="AK141" s="32" t="str">
        <f>IFERROR(__xludf.DUMMYFUNCTION("""COMPUTED_VALUE"""),"Frost Barrier")</f>
        <v>Frost Barrier</v>
      </c>
      <c r="AL141" s="32" t="str">
        <f>IFERROR(__xludf.DUMMYFUNCTION("""COMPUTED_VALUE"""),"Roaring Frost Winds")</f>
        <v>Roaring Frost Winds</v>
      </c>
      <c r="AM141" s="32" t="str">
        <f>IFERROR(__xludf.DUMMYFUNCTION("""COMPUTED_VALUE"""),"Blizzard")</f>
        <v>Blizzard</v>
      </c>
      <c r="AN141" s="32" t="str">
        <f>IFERROR(__xludf.DUMMYFUNCTION("""COMPUTED_VALUE"""),"Icicle spear")</f>
        <v>Icicle spear</v>
      </c>
      <c r="AO141" s="32"/>
      <c r="AP141" s="32"/>
      <c r="AQ141" s="32"/>
      <c r="AR141" s="32"/>
      <c r="AS141" s="32"/>
      <c r="AT141" s="32"/>
      <c r="AU141" s="32"/>
      <c r="AV141" s="32"/>
      <c r="AW141" s="32"/>
      <c r="AX141" s="32"/>
      <c r="AY141" s="32"/>
      <c r="AZ141" s="32"/>
      <c r="BA141" s="32"/>
      <c r="BB141" s="32"/>
      <c r="BC141" s="32"/>
      <c r="BD141" s="32">
        <f>IFERROR(__xludf.DUMMYFUNCTION("""COMPUTED_VALUE"""),0.0)</f>
        <v>0</v>
      </c>
      <c r="BE141" s="32">
        <f>IFERROR(__xludf.DUMMYFUNCTION("""COMPUTED_VALUE"""),10.0)</f>
        <v>10</v>
      </c>
      <c r="BF141" s="32"/>
      <c r="BG141" s="32" t="str">
        <f>IFERROR(__xludf.DUMMYFUNCTION("""COMPUTED_VALUE"""),"Tundra")</f>
        <v>Tundra</v>
      </c>
      <c r="BH141" s="32" t="str">
        <f>IFERROR(__xludf.DUMMYFUNCTION("""COMPUTED_VALUE"""),"Land of Spira")</f>
        <v>Land of Spira</v>
      </c>
      <c r="BI141" s="32"/>
      <c r="BJ141" s="32"/>
      <c r="BK141" s="32"/>
      <c r="BL141" s="32" t="b">
        <f>IFERROR(__xludf.DUMMYFUNCTION("""COMPUTED_VALUE"""),FALSE)</f>
        <v>0</v>
      </c>
      <c r="BM141" s="32"/>
      <c r="BN141" s="32"/>
      <c r="BO141" s="32"/>
      <c r="BP141" s="32"/>
      <c r="BQ141" s="32"/>
    </row>
    <row r="142">
      <c r="A142" s="32" t="str">
        <f>IFERROR(__xludf.DUMMYFUNCTION("""COMPUTED_VALUE"""),"Ice Slime")</f>
        <v>Ice Slime</v>
      </c>
      <c r="B142" s="32">
        <f>IFERROR(__xludf.DUMMYFUNCTION("""COMPUTED_VALUE"""),1.0)</f>
        <v>1</v>
      </c>
      <c r="C142" s="32"/>
      <c r="D142" s="33" t="str">
        <f>IFERROR(__xludf.DUMMYFUNCTION("""COMPUTED_VALUE"""),"Monstrosity")</f>
        <v>Monstrosity</v>
      </c>
      <c r="E142" s="33">
        <f>IFERROR(__xludf.DUMMYFUNCTION("""COMPUTED_VALUE"""),1010.0)</f>
        <v>1010</v>
      </c>
      <c r="F142" s="33">
        <f>IFERROR(__xludf.DUMMYFUNCTION("""COMPUTED_VALUE"""),1010.0)</f>
        <v>1010</v>
      </c>
      <c r="G142" s="33">
        <f>IFERROR(__xludf.DUMMYFUNCTION("""COMPUTED_VALUE"""),1010.0)</f>
        <v>1010</v>
      </c>
      <c r="H142" s="32">
        <f>IFERROR(__xludf.DUMMYFUNCTION("""COMPUTED_VALUE"""),10.0)</f>
        <v>10</v>
      </c>
      <c r="I142" s="32">
        <f>IFERROR(__xludf.DUMMYFUNCTION("""COMPUTED_VALUE"""),0.0)</f>
        <v>0</v>
      </c>
      <c r="J142" s="32">
        <f>IFERROR(__xludf.DUMMYFUNCTION("""COMPUTED_VALUE"""),0.0)</f>
        <v>0</v>
      </c>
      <c r="K142" s="32">
        <f>IFERROR(__xludf.DUMMYFUNCTION("""COMPUTED_VALUE"""),100.0)</f>
        <v>100</v>
      </c>
      <c r="L142" s="32">
        <f>IFERROR(__xludf.DUMMYFUNCTION("""COMPUTED_VALUE"""),100.0)</f>
        <v>100</v>
      </c>
      <c r="M142" s="32" t="str">
        <f>IFERROR(__xludf.DUMMYFUNCTION("""COMPUTED_VALUE"""),"Water:100, Nature:100, ")</f>
        <v>Water:100, Nature:100, </v>
      </c>
      <c r="N142" s="32" t="str">
        <f>IFERROR(__xludf.DUMMYFUNCTION("""COMPUTED_VALUE"""),"")</f>
        <v/>
      </c>
      <c r="O142" s="32"/>
      <c r="P142" s="32"/>
      <c r="Q142" s="32"/>
      <c r="R142" s="32"/>
      <c r="S142" s="32"/>
      <c r="T142" s="32"/>
      <c r="U142" s="32"/>
      <c r="V142" s="32"/>
      <c r="W142" s="32"/>
      <c r="X142" s="32"/>
      <c r="Y142" s="32"/>
      <c r="Z142" s="32"/>
      <c r="AA142" s="32"/>
      <c r="AB142" s="32"/>
      <c r="AC142" s="32"/>
      <c r="AD142" s="32"/>
      <c r="AE142" s="32"/>
      <c r="AF142" s="32"/>
      <c r="AG142" s="32"/>
      <c r="AH142" s="32"/>
      <c r="AI142" s="32"/>
      <c r="AJ142" s="32" t="str">
        <f>IFERROR(__xludf.DUMMYFUNCTION("""COMPUTED_VALUE"""),"Absorb Enemy ")</f>
        <v>Absorb Enemy </v>
      </c>
      <c r="AK142" s="32" t="str">
        <f>IFERROR(__xludf.DUMMYFUNCTION("""COMPUTED_VALUE"""),"Latch on")</f>
        <v>Latch on</v>
      </c>
      <c r="AL142" s="32"/>
      <c r="AM142" s="32"/>
      <c r="AN142" s="32"/>
      <c r="AO142" s="32"/>
      <c r="AP142" s="32"/>
      <c r="AQ142" s="32"/>
      <c r="AR142" s="32"/>
      <c r="AS142" s="32"/>
      <c r="AT142" s="32"/>
      <c r="AU142" s="32"/>
      <c r="AV142" s="32"/>
      <c r="AW142" s="32"/>
      <c r="AX142" s="32"/>
      <c r="AY142" s="32"/>
      <c r="AZ142" s="32"/>
      <c r="BA142" s="32"/>
      <c r="BB142" s="32"/>
      <c r="BC142" s="32"/>
      <c r="BD142" s="32">
        <f>IFERROR(__xludf.DUMMYFUNCTION("""COMPUTED_VALUE"""),0.0)</f>
        <v>0</v>
      </c>
      <c r="BE142" s="32">
        <f>IFERROR(__xludf.DUMMYFUNCTION("""COMPUTED_VALUE"""),15.0)</f>
        <v>15</v>
      </c>
      <c r="BF142" s="32" t="str">
        <f>IFERROR(__xludf.DUMMYFUNCTION("""COMPUTED_VALUE"""),"Ice Ward: 50% chance to freeze a target that attempts to attack or cast a spell")</f>
        <v>Ice Ward: 50% chance to freeze a target that attempts to attack or cast a spell</v>
      </c>
      <c r="BG142" s="32" t="str">
        <f>IFERROR(__xludf.DUMMYFUNCTION("""COMPUTED_VALUE"""),"All")</f>
        <v>All</v>
      </c>
      <c r="BH142" s="32" t="str">
        <f>IFERROR(__xludf.DUMMYFUNCTION("""COMPUTED_VALUE"""),"Land of Spira")</f>
        <v>Land of Spira</v>
      </c>
      <c r="BI142" s="32"/>
      <c r="BJ142" s="32"/>
      <c r="BK142" s="32"/>
      <c r="BL142" s="32" t="b">
        <f>IFERROR(__xludf.DUMMYFUNCTION("""COMPUTED_VALUE"""),FALSE)</f>
        <v>0</v>
      </c>
      <c r="BM142" s="32"/>
      <c r="BN142" s="32"/>
      <c r="BO142" s="32"/>
      <c r="BP142" s="32"/>
      <c r="BQ142" s="32"/>
    </row>
    <row r="143">
      <c r="A143" s="32" t="str">
        <f>IFERROR(__xludf.DUMMYFUNCTION("""COMPUTED_VALUE"""),"Ice Yak")</f>
        <v>Ice Yak</v>
      </c>
      <c r="B143" s="32">
        <f>IFERROR(__xludf.DUMMYFUNCTION("""COMPUTED_VALUE"""),1.0)</f>
        <v>1</v>
      </c>
      <c r="C143" s="32"/>
      <c r="D143" s="33" t="str">
        <f>IFERROR(__xludf.DUMMYFUNCTION("""COMPUTED_VALUE"""),"Beast")</f>
        <v>Beast</v>
      </c>
      <c r="E143" s="33">
        <f>IFERROR(__xludf.DUMMYFUNCTION("""COMPUTED_VALUE"""),1010.0)</f>
        <v>1010</v>
      </c>
      <c r="F143" s="33">
        <f>IFERROR(__xludf.DUMMYFUNCTION("""COMPUTED_VALUE"""),1010.0)</f>
        <v>1010</v>
      </c>
      <c r="G143" s="33">
        <f>IFERROR(__xludf.DUMMYFUNCTION("""COMPUTED_VALUE"""),31010.0)</f>
        <v>31010</v>
      </c>
      <c r="H143" s="32">
        <f>IFERROR(__xludf.DUMMYFUNCTION("""COMPUTED_VALUE"""),10.0)</f>
        <v>10</v>
      </c>
      <c r="I143" s="32">
        <f>IFERROR(__xludf.DUMMYFUNCTION("""COMPUTED_VALUE"""),0.0)</f>
        <v>0</v>
      </c>
      <c r="J143" s="32">
        <f>IFERROR(__xludf.DUMMYFUNCTION("""COMPUTED_VALUE"""),0.0)</f>
        <v>0</v>
      </c>
      <c r="K143" s="32">
        <f>IFERROR(__xludf.DUMMYFUNCTION("""COMPUTED_VALUE"""),100.0)</f>
        <v>100</v>
      </c>
      <c r="L143" s="32">
        <f>IFERROR(__xludf.DUMMYFUNCTION("""COMPUTED_VALUE"""),100.0)</f>
        <v>100</v>
      </c>
      <c r="M143" s="32" t="str">
        <f>IFERROR(__xludf.DUMMYFUNCTION("""COMPUTED_VALUE"""),"Earth:Immune, ")</f>
        <v>Earth:Immune, </v>
      </c>
      <c r="N143" s="32" t="str">
        <f>IFERROR(__xludf.DUMMYFUNCTION("""COMPUTED_VALUE"""),"Fire:100, ")</f>
        <v>Fire:100, </v>
      </c>
      <c r="O143" s="32"/>
      <c r="P143" s="32"/>
      <c r="Q143" s="32"/>
      <c r="R143" s="32"/>
      <c r="S143" s="32"/>
      <c r="T143" s="32"/>
      <c r="U143" s="32"/>
      <c r="V143" s="32"/>
      <c r="W143" s="32"/>
      <c r="X143" s="32"/>
      <c r="Y143" s="32"/>
      <c r="Z143" s="32"/>
      <c r="AA143" s="32"/>
      <c r="AB143" s="32"/>
      <c r="AC143" s="32"/>
      <c r="AD143" s="32"/>
      <c r="AE143" s="32"/>
      <c r="AF143" s="32"/>
      <c r="AG143" s="32"/>
      <c r="AH143" s="32"/>
      <c r="AI143" s="32"/>
      <c r="AJ143" s="32" t="str">
        <f>IFERROR(__xludf.DUMMYFUNCTION("""COMPUTED_VALUE"""),"Avalanche")</f>
        <v>Avalanche</v>
      </c>
      <c r="AK143" s="32" t="str">
        <f>IFERROR(__xludf.DUMMYFUNCTION("""COMPUTED_VALUE"""),"Ice Horns")</f>
        <v>Ice Horns</v>
      </c>
      <c r="AL143" s="32" t="str">
        <f>IFERROR(__xludf.DUMMYFUNCTION("""COMPUTED_VALUE"""),"Tackle")</f>
        <v>Tackle</v>
      </c>
      <c r="AM143" s="32" t="str">
        <f>IFERROR(__xludf.DUMMYFUNCTION("""COMPUTED_VALUE"""),"Gore")</f>
        <v>Gore</v>
      </c>
      <c r="AN143" s="32" t="str">
        <f>IFERROR(__xludf.DUMMYFUNCTION("""COMPUTED_VALUE"""),"Guard")</f>
        <v>Guard</v>
      </c>
      <c r="AO143" s="32"/>
      <c r="AP143" s="32"/>
      <c r="AQ143" s="32"/>
      <c r="AR143" s="32"/>
      <c r="AS143" s="32"/>
      <c r="AT143" s="32"/>
      <c r="AU143" s="32"/>
      <c r="AV143" s="32"/>
      <c r="AW143" s="32"/>
      <c r="AX143" s="32"/>
      <c r="AY143" s="32"/>
      <c r="AZ143" s="32"/>
      <c r="BA143" s="32"/>
      <c r="BB143" s="32"/>
      <c r="BC143" s="32"/>
      <c r="BD143" s="32">
        <f>IFERROR(__xludf.DUMMYFUNCTION("""COMPUTED_VALUE"""),0.0)</f>
        <v>0</v>
      </c>
      <c r="BE143" s="32">
        <f>IFERROR(__xludf.DUMMYFUNCTION("""COMPUTED_VALUE"""),20.0)</f>
        <v>20</v>
      </c>
      <c r="BF143" s="32"/>
      <c r="BG143" s="32" t="str">
        <f>IFERROR(__xludf.DUMMYFUNCTION("""COMPUTED_VALUE"""),"Tundra")</f>
        <v>Tundra</v>
      </c>
      <c r="BH143" s="32" t="str">
        <f>IFERROR(__xludf.DUMMYFUNCTION("""COMPUTED_VALUE"""),"Land of Spira")</f>
        <v>Land of Spira</v>
      </c>
      <c r="BI143" s="32"/>
      <c r="BJ143" s="32"/>
      <c r="BK143" s="32"/>
      <c r="BL143" s="32" t="b">
        <f>IFERROR(__xludf.DUMMYFUNCTION("""COMPUTED_VALUE"""),FALSE)</f>
        <v>0</v>
      </c>
      <c r="BM143" s="32"/>
      <c r="BN143" s="32"/>
      <c r="BO143" s="32"/>
      <c r="BP143" s="32"/>
      <c r="BQ143" s="32"/>
    </row>
    <row r="144">
      <c r="A144" s="32" t="str">
        <f>IFERROR(__xludf.DUMMYFUNCTION("""COMPUTED_VALUE"""),"Imperial Judge")</f>
        <v>Imperial Judge</v>
      </c>
      <c r="B144" s="32">
        <f>IFERROR(__xludf.DUMMYFUNCTION("""COMPUTED_VALUE"""),1.0)</f>
        <v>1</v>
      </c>
      <c r="C144" s="32"/>
      <c r="D144" s="33" t="str">
        <f>IFERROR(__xludf.DUMMYFUNCTION("""COMPUTED_VALUE"""),"Humanoid")</f>
        <v>Humanoid</v>
      </c>
      <c r="E144" s="33">
        <f>IFERROR(__xludf.DUMMYFUNCTION("""COMPUTED_VALUE"""),1010.0)</f>
        <v>1010</v>
      </c>
      <c r="F144" s="33">
        <f>IFERROR(__xludf.DUMMYFUNCTION("""COMPUTED_VALUE"""),1010.0)</f>
        <v>1010</v>
      </c>
      <c r="G144" s="33">
        <f>IFERROR(__xludf.DUMMYFUNCTION("""COMPUTED_VALUE"""),1010.0)</f>
        <v>1010</v>
      </c>
      <c r="H144" s="32">
        <f>IFERROR(__xludf.DUMMYFUNCTION("""COMPUTED_VALUE"""),20.0)</f>
        <v>20</v>
      </c>
      <c r="I144" s="32">
        <f>IFERROR(__xludf.DUMMYFUNCTION("""COMPUTED_VALUE"""),20.0)</f>
        <v>20</v>
      </c>
      <c r="J144" s="32">
        <f>IFERROR(__xludf.DUMMYFUNCTION("""COMPUTED_VALUE"""),0.0)</f>
        <v>0</v>
      </c>
      <c r="K144" s="32">
        <f>IFERROR(__xludf.DUMMYFUNCTION("""COMPUTED_VALUE"""),100.0)</f>
        <v>100</v>
      </c>
      <c r="L144" s="32">
        <f>IFERROR(__xludf.DUMMYFUNCTION("""COMPUTED_VALUE"""),100.0)</f>
        <v>100</v>
      </c>
      <c r="M144" s="32" t="str">
        <f>IFERROR(__xludf.DUMMYFUNCTION("""COMPUTED_VALUE"""),"Light:Immune, Order:Immune, Instant Death:Immune, Banishment:Immune, ")</f>
        <v>Light:Immune, Order:Immune, Instant Death:Immune, Banishment:Immune, </v>
      </c>
      <c r="N144" s="32" t="str">
        <f>IFERROR(__xludf.DUMMYFUNCTION("""COMPUTED_VALUE"""),"Dark:100, ")</f>
        <v>Dark:100, </v>
      </c>
      <c r="O144" s="32"/>
      <c r="P144" s="32"/>
      <c r="Q144" s="32"/>
      <c r="R144" s="32"/>
      <c r="S144" s="32"/>
      <c r="T144" s="32"/>
      <c r="U144" s="32"/>
      <c r="V144" s="32"/>
      <c r="W144" s="32"/>
      <c r="X144" s="32"/>
      <c r="Y144" s="32"/>
      <c r="Z144" s="32"/>
      <c r="AA144" s="32"/>
      <c r="AB144" s="32"/>
      <c r="AC144" s="32"/>
      <c r="AD144" s="32"/>
      <c r="AE144" s="32"/>
      <c r="AF144" s="32"/>
      <c r="AG144" s="32"/>
      <c r="AH144" s="32"/>
      <c r="AI144" s="32"/>
      <c r="AJ144" s="32" t="str">
        <f>IFERROR(__xludf.DUMMYFUNCTION("""COMPUTED_VALUE"""),"Guard Call (Mob)")</f>
        <v>Guard Call (Mob)</v>
      </c>
      <c r="AK144" s="32" t="str">
        <f>IFERROR(__xludf.DUMMYFUNCTION("""COMPUTED_VALUE"""),"Arrest")</f>
        <v>Arrest</v>
      </c>
      <c r="AL144" s="32" t="str">
        <f>IFERROR(__xludf.DUMMYFUNCTION("""COMPUTED_VALUE"""),"Focused Light")</f>
        <v>Focused Light</v>
      </c>
      <c r="AM144" s="32" t="str">
        <f>IFERROR(__xludf.DUMMYFUNCTION("""COMPUTED_VALUE"""),"Alliance Guard")</f>
        <v>Alliance Guard</v>
      </c>
      <c r="AN144" s="32" t="str">
        <f>IFERROR(__xludf.DUMMYFUNCTION("""COMPUTED_VALUE"""),"Baptize")</f>
        <v>Baptize</v>
      </c>
      <c r="AO144" s="32" t="str">
        <f>IFERROR(__xludf.DUMMYFUNCTION("""COMPUTED_VALUE"""),"Neutralize")</f>
        <v>Neutralize</v>
      </c>
      <c r="AP144" s="32" t="str">
        <f>IFERROR(__xludf.DUMMYFUNCTION("""COMPUTED_VALUE"""),"Reflect")</f>
        <v>Reflect</v>
      </c>
      <c r="AQ144" s="32" t="str">
        <f>IFERROR(__xludf.DUMMYFUNCTION("""COMPUTED_VALUE"""),"Cancel")</f>
        <v>Cancel</v>
      </c>
      <c r="AR144" s="32" t="str">
        <f>IFERROR(__xludf.DUMMYFUNCTION("""COMPUTED_VALUE"""),"Confiscate")</f>
        <v>Confiscate</v>
      </c>
      <c r="AS144" s="32" t="str">
        <f>IFERROR(__xludf.DUMMYFUNCTION("""COMPUTED_VALUE"""),"Instant Regeneration")</f>
        <v>Instant Regeneration</v>
      </c>
      <c r="AT144" s="32" t="str">
        <f>IFERROR(__xludf.DUMMYFUNCTION("""COMPUTED_VALUE"""),"Downgrade")</f>
        <v>Downgrade</v>
      </c>
      <c r="AU144" s="32" t="str">
        <f>IFERROR(__xludf.DUMMYFUNCTION("""COMPUTED_VALUE"""),"Multi Ward")</f>
        <v>Multi Ward</v>
      </c>
      <c r="AV144" s="32" t="str">
        <f>IFERROR(__xludf.DUMMYFUNCTION("""COMPUTED_VALUE"""),"Celestial Wrath")</f>
        <v>Celestial Wrath</v>
      </c>
      <c r="AW144" s="32" t="str">
        <f>IFERROR(__xludf.DUMMYFUNCTION("""COMPUTED_VALUE"""),"Mass Destruction")</f>
        <v>Mass Destruction</v>
      </c>
      <c r="AX144" s="32" t="str">
        <f>IFERROR(__xludf.DUMMYFUNCTION("""COMPUTED_VALUE"""),"Chaincast")</f>
        <v>Chaincast</v>
      </c>
      <c r="AY144" s="32"/>
      <c r="AZ144" s="32"/>
      <c r="BA144" s="32"/>
      <c r="BB144" s="32"/>
      <c r="BC144" s="32"/>
      <c r="BD144" s="32">
        <f>IFERROR(__xludf.DUMMYFUNCTION("""COMPUTED_VALUE"""),20.0)</f>
        <v>20</v>
      </c>
      <c r="BE144" s="32">
        <f>IFERROR(__xludf.DUMMYFUNCTION("""COMPUTED_VALUE"""),20.0)</f>
        <v>20</v>
      </c>
      <c r="BF144" s="32"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32" t="str">
        <f>IFERROR(__xludf.DUMMYFUNCTION("""COMPUTED_VALUE"""),"City/Town")</f>
        <v>City/Town</v>
      </c>
      <c r="BH144" s="32" t="str">
        <f>IFERROR(__xludf.DUMMYFUNCTION("""COMPUTED_VALUE"""),"Land of Spira")</f>
        <v>Land of Spira</v>
      </c>
      <c r="BI144" s="32"/>
      <c r="BJ144" s="32"/>
      <c r="BK144" s="32"/>
      <c r="BL144" s="32" t="b">
        <f>IFERROR(__xludf.DUMMYFUNCTION("""COMPUTED_VALUE"""),FALSE)</f>
        <v>0</v>
      </c>
      <c r="BM144" s="32"/>
      <c r="BN144" s="32"/>
      <c r="BO144" s="32"/>
      <c r="BP144" s="32"/>
      <c r="BQ144" s="32"/>
    </row>
    <row r="145">
      <c r="A145" s="32" t="str">
        <f>IFERROR(__xludf.DUMMYFUNCTION("""COMPUTED_VALUE"""),"Inferno Tree Walker")</f>
        <v>Inferno Tree Walker</v>
      </c>
      <c r="B145" s="32">
        <f>IFERROR(__xludf.DUMMYFUNCTION("""COMPUTED_VALUE"""),1.0)</f>
        <v>1</v>
      </c>
      <c r="C145" s="32"/>
      <c r="D145" s="33" t="str">
        <f>IFERROR(__xludf.DUMMYFUNCTION("""COMPUTED_VALUE"""),"Monstrosity")</f>
        <v>Monstrosity</v>
      </c>
      <c r="E145" s="33">
        <f>IFERROR(__xludf.DUMMYFUNCTION("""COMPUTED_VALUE"""),1010.0)</f>
        <v>1010</v>
      </c>
      <c r="F145" s="33">
        <f>IFERROR(__xludf.DUMMYFUNCTION("""COMPUTED_VALUE"""),1010.0)</f>
        <v>1010</v>
      </c>
      <c r="G145" s="33">
        <f>IFERROR(__xludf.DUMMYFUNCTION("""COMPUTED_VALUE"""),1010.0)</f>
        <v>1010</v>
      </c>
      <c r="H145" s="32">
        <f>IFERROR(__xludf.DUMMYFUNCTION("""COMPUTED_VALUE"""),10.0)</f>
        <v>10</v>
      </c>
      <c r="I145" s="32">
        <f>IFERROR(__xludf.DUMMYFUNCTION("""COMPUTED_VALUE"""),0.0)</f>
        <v>0</v>
      </c>
      <c r="J145" s="32">
        <f>IFERROR(__xludf.DUMMYFUNCTION("""COMPUTED_VALUE"""),0.0)</f>
        <v>0</v>
      </c>
      <c r="K145" s="32">
        <f>IFERROR(__xludf.DUMMYFUNCTION("""COMPUTED_VALUE"""),100.0)</f>
        <v>100</v>
      </c>
      <c r="L145" s="32">
        <f>IFERROR(__xludf.DUMMYFUNCTION("""COMPUTED_VALUE"""),100.0)</f>
        <v>100</v>
      </c>
      <c r="M145" s="32" t="str">
        <f>IFERROR(__xludf.DUMMYFUNCTION("""COMPUTED_VALUE"""),"Fire:Immune, Nature:Immune, ")</f>
        <v>Fire:Immune, Nature:Immune, </v>
      </c>
      <c r="N145" s="32" t="str">
        <f>IFERROR(__xludf.DUMMYFUNCTION("""COMPUTED_VALUE"""),"")</f>
        <v/>
      </c>
      <c r="O145" s="32"/>
      <c r="P145" s="32"/>
      <c r="Q145" s="32"/>
      <c r="R145" s="32"/>
      <c r="S145" s="32"/>
      <c r="T145" s="32"/>
      <c r="U145" s="32"/>
      <c r="V145" s="32" t="str">
        <f>IFERROR(__xludf.DUMMYFUNCTION("""COMPUTED_VALUE"""),"Legendary Tree Sword")</f>
        <v>Legendary Tree Sword</v>
      </c>
      <c r="W145" s="32"/>
      <c r="X145" s="32" t="str">
        <f>IFERROR(__xludf.DUMMYFUNCTION("""COMPUTED_VALUE"""),"Ring o’ Luck and Nature")</f>
        <v>Ring o’ Luck and Nature</v>
      </c>
      <c r="Y145" s="32"/>
      <c r="Z145" s="32"/>
      <c r="AA145" s="32"/>
      <c r="AB145" s="32"/>
      <c r="AC145" s="32"/>
      <c r="AD145" s="32"/>
      <c r="AE145" s="32"/>
      <c r="AF145" s="32"/>
      <c r="AG145" s="32"/>
      <c r="AH145" s="32"/>
      <c r="AI145" s="32"/>
      <c r="AJ145" s="32" t="str">
        <f>IFERROR(__xludf.DUMMYFUNCTION("""COMPUTED_VALUE"""),"Molten Bolder Toss")</f>
        <v>Molten Bolder Toss</v>
      </c>
      <c r="AK145" s="32" t="str">
        <f>IFERROR(__xludf.DUMMYFUNCTION("""COMPUTED_VALUE"""),"Earthquake")</f>
        <v>Earthquake</v>
      </c>
      <c r="AL145" s="32" t="str">
        <f>IFERROR(__xludf.DUMMYFUNCTION("""COMPUTED_VALUE"""),"Tree Throw")</f>
        <v>Tree Throw</v>
      </c>
      <c r="AM145" s="32" t="str">
        <f>IFERROR(__xludf.DUMMYFUNCTION("""COMPUTED_VALUE"""),"Grounds")</f>
        <v>Grounds</v>
      </c>
      <c r="AN145" s="32" t="str">
        <f>IFERROR(__xludf.DUMMYFUNCTION("""COMPUTED_VALUE"""),"Vine Hold")</f>
        <v>Vine Hold</v>
      </c>
      <c r="AO145" s="32" t="str">
        <f>IFERROR(__xludf.DUMMYFUNCTION("""COMPUTED_VALUE"""),"The World Tree")</f>
        <v>The World Tree</v>
      </c>
      <c r="AP145" s="32" t="str">
        <f>IFERROR(__xludf.DUMMYFUNCTION("""COMPUTED_VALUE"""),"Solar Storm")</f>
        <v>Solar Storm</v>
      </c>
      <c r="AQ145" s="32" t="str">
        <f>IFERROR(__xludf.DUMMYFUNCTION("""COMPUTED_VALUE"""),"Meteor Shower")</f>
        <v>Meteor Shower</v>
      </c>
      <c r="AR145" s="32" t="str">
        <f>IFERROR(__xludf.DUMMYFUNCTION("""COMPUTED_VALUE"""),"Dark Sacrifice")</f>
        <v>Dark Sacrifice</v>
      </c>
      <c r="AS145" s="32" t="str">
        <f>IFERROR(__xludf.DUMMYFUNCTION("""COMPUTED_VALUE"""),"Dark Curse")</f>
        <v>Dark Curse</v>
      </c>
      <c r="AT145" s="32" t="str">
        <f>IFERROR(__xludf.DUMMYFUNCTION("""COMPUTED_VALUE"""),"Berserk")</f>
        <v>Berserk</v>
      </c>
      <c r="AU145" s="32" t="str">
        <f>IFERROR(__xludf.DUMMYFUNCTION("""COMPUTED_VALUE"""),"Celestial Wrath")</f>
        <v>Celestial Wrath</v>
      </c>
      <c r="AV145" s="32"/>
      <c r="AW145" s="32"/>
      <c r="AX145" s="32"/>
      <c r="AY145" s="32"/>
      <c r="AZ145" s="32"/>
      <c r="BA145" s="32"/>
      <c r="BB145" s="32"/>
      <c r="BC145" s="32"/>
      <c r="BD145" s="32">
        <f>IFERROR(__xludf.DUMMYFUNCTION("""COMPUTED_VALUE"""),0.0)</f>
        <v>0</v>
      </c>
      <c r="BE145" s="32">
        <f>IFERROR(__xludf.DUMMYFUNCTION("""COMPUTED_VALUE"""),10.0)</f>
        <v>10</v>
      </c>
      <c r="BF145" s="32"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32" t="str">
        <f>IFERROR(__xludf.DUMMYFUNCTION("""COMPUTED_VALUE"""),"All")</f>
        <v>All</v>
      </c>
      <c r="BH145" s="32" t="str">
        <f>IFERROR(__xludf.DUMMYFUNCTION("""COMPUTED_VALUE"""),"Abstara")</f>
        <v>Abstara</v>
      </c>
      <c r="BI145" s="32"/>
      <c r="BJ145" s="32"/>
      <c r="BK145" s="32"/>
      <c r="BL145" s="32" t="b">
        <f>IFERROR(__xludf.DUMMYFUNCTION("""COMPUTED_VALUE"""),FALSE)</f>
        <v>0</v>
      </c>
      <c r="BM145" s="32"/>
      <c r="BN145" s="32"/>
      <c r="BO145" s="32"/>
      <c r="BP145" s="32"/>
      <c r="BQ145" s="32"/>
    </row>
    <row r="146">
      <c r="A146" s="32" t="str">
        <f>IFERROR(__xludf.DUMMYFUNCTION("""COMPUTED_VALUE"""),"Inferno Vulture")</f>
        <v>Inferno Vulture</v>
      </c>
      <c r="B146" s="32">
        <f>IFERROR(__xludf.DUMMYFUNCTION("""COMPUTED_VALUE"""),1.0)</f>
        <v>1</v>
      </c>
      <c r="C146" s="32"/>
      <c r="D146" s="33" t="str">
        <f>IFERROR(__xludf.DUMMYFUNCTION("""COMPUTED_VALUE"""),"Beast")</f>
        <v>Beast</v>
      </c>
      <c r="E146" s="33">
        <f>IFERROR(__xludf.DUMMYFUNCTION("""COMPUTED_VALUE"""),16010.0)</f>
        <v>16010</v>
      </c>
      <c r="F146" s="33">
        <f>IFERROR(__xludf.DUMMYFUNCTION("""COMPUTED_VALUE"""),16010.0)</f>
        <v>16010</v>
      </c>
      <c r="G146" s="33">
        <f>IFERROR(__xludf.DUMMYFUNCTION("""COMPUTED_VALUE"""),1010.0)</f>
        <v>1010</v>
      </c>
      <c r="H146" s="32">
        <f>IFERROR(__xludf.DUMMYFUNCTION("""COMPUTED_VALUE"""),15.0)</f>
        <v>15</v>
      </c>
      <c r="I146" s="32">
        <f>IFERROR(__xludf.DUMMYFUNCTION("""COMPUTED_VALUE"""),0.0)</f>
        <v>0</v>
      </c>
      <c r="J146" s="32">
        <f>IFERROR(__xludf.DUMMYFUNCTION("""COMPUTED_VALUE"""),0.0)</f>
        <v>0</v>
      </c>
      <c r="K146" s="32">
        <f>IFERROR(__xludf.DUMMYFUNCTION("""COMPUTED_VALUE"""),100.0)</f>
        <v>100</v>
      </c>
      <c r="L146" s="32">
        <f>IFERROR(__xludf.DUMMYFUNCTION("""COMPUTED_VALUE"""),100.0)</f>
        <v>100</v>
      </c>
      <c r="M146" s="32" t="str">
        <f>IFERROR(__xludf.DUMMYFUNCTION("""COMPUTED_VALUE"""),"Fire:Immune, Nature:Immune, ")</f>
        <v>Fire:Immune, Nature:Immune, </v>
      </c>
      <c r="N146" s="32" t="str">
        <f>IFERROR(__xludf.DUMMYFUNCTION("""COMPUTED_VALUE"""),"Water:100, ")</f>
        <v>Water:100, </v>
      </c>
      <c r="O146" s="32"/>
      <c r="P146" s="32"/>
      <c r="Q146" s="32"/>
      <c r="R146" s="32"/>
      <c r="S146" s="32"/>
      <c r="T146" s="32"/>
      <c r="U146" s="32"/>
      <c r="V146" s="32"/>
      <c r="W146" s="32"/>
      <c r="X146" s="32"/>
      <c r="Y146" s="32"/>
      <c r="Z146" s="32"/>
      <c r="AA146" s="32"/>
      <c r="AB146" s="32"/>
      <c r="AC146" s="32"/>
      <c r="AD146" s="32"/>
      <c r="AE146" s="32"/>
      <c r="AF146" s="32"/>
      <c r="AG146" s="32"/>
      <c r="AH146" s="32"/>
      <c r="AI146" s="32"/>
      <c r="AJ146" s="32" t="str">
        <f>IFERROR(__xludf.DUMMYFUNCTION("""COMPUTED_VALUE"""),"Claws")</f>
        <v>Claws</v>
      </c>
      <c r="AK146" s="32" t="str">
        <f>IFERROR(__xludf.DUMMYFUNCTION("""COMPUTED_VALUE"""),"Claws")</f>
        <v>Claws</v>
      </c>
      <c r="AL146" s="32" t="str">
        <f>IFERROR(__xludf.DUMMYFUNCTION("""COMPUTED_VALUE"""),"Sacred Flame Peck")</f>
        <v>Sacred Flame Peck</v>
      </c>
      <c r="AM146" s="32" t="str">
        <f>IFERROR(__xludf.DUMMYFUNCTION("""COMPUTED_VALUE"""),"Berserk")</f>
        <v>Berserk</v>
      </c>
      <c r="AN146" s="32" t="str">
        <f>IFERROR(__xludf.DUMMYFUNCTION("""COMPUTED_VALUE"""),"Celestial Wave")</f>
        <v>Celestial Wave</v>
      </c>
      <c r="AO146" s="32" t="str">
        <f>IFERROR(__xludf.DUMMYFUNCTION("""COMPUTED_VALUE"""),"Dive Bomb")</f>
        <v>Dive Bomb</v>
      </c>
      <c r="AP146" s="32"/>
      <c r="AQ146" s="32"/>
      <c r="AR146" s="32"/>
      <c r="AS146" s="32"/>
      <c r="AT146" s="32"/>
      <c r="AU146" s="32"/>
      <c r="AV146" s="32"/>
      <c r="AW146" s="32"/>
      <c r="AX146" s="32"/>
      <c r="AY146" s="32"/>
      <c r="AZ146" s="32"/>
      <c r="BA146" s="32"/>
      <c r="BB146" s="32"/>
      <c r="BC146" s="32"/>
      <c r="BD146" s="32">
        <f>IFERROR(__xludf.DUMMYFUNCTION("""COMPUTED_VALUE"""),0.0)</f>
        <v>0</v>
      </c>
      <c r="BE146" s="32">
        <f>IFERROR(__xludf.DUMMYFUNCTION("""COMPUTED_VALUE"""),10.0)</f>
        <v>10</v>
      </c>
      <c r="BF146" s="32" t="str">
        <f>IFERROR(__xludf.DUMMYFUNCTION("""COMPUTED_VALUE"""),"Immune to Freezing
Call of the Prey: When this creature dies it will summon a d4 of Inferno Vultures.")</f>
        <v>Immune to Freezing
Call of the Prey: When this creature dies it will summon a d4 of Inferno Vultures.</v>
      </c>
      <c r="BG146" s="32" t="str">
        <f>IFERROR(__xludf.DUMMYFUNCTION("""COMPUTED_VALUE"""),"All")</f>
        <v>All</v>
      </c>
      <c r="BH146" s="32" t="str">
        <f>IFERROR(__xludf.DUMMYFUNCTION("""COMPUTED_VALUE"""),"Abstara")</f>
        <v>Abstara</v>
      </c>
      <c r="BI146" s="32"/>
      <c r="BJ146" s="32"/>
      <c r="BK146" s="32"/>
      <c r="BL146" s="32" t="b">
        <f>IFERROR(__xludf.DUMMYFUNCTION("""COMPUTED_VALUE"""),FALSE)</f>
        <v>0</v>
      </c>
      <c r="BM146" s="32"/>
      <c r="BN146" s="32"/>
      <c r="BO146" s="32"/>
      <c r="BP146" s="32"/>
      <c r="BQ146" s="32"/>
    </row>
    <row r="147">
      <c r="A147" s="32" t="str">
        <f>IFERROR(__xludf.DUMMYFUNCTION("""COMPUTED_VALUE"""),"Jack Haggerson")</f>
        <v>Jack Haggerson</v>
      </c>
      <c r="B147" s="32">
        <f>IFERROR(__xludf.DUMMYFUNCTION("""COMPUTED_VALUE"""),1.0)</f>
        <v>1</v>
      </c>
      <c r="C147" s="32" t="str">
        <f>IFERROR(__xludf.DUMMYFUNCTION("""COMPUTED_VALUE"""),"Mod the Evil Seahags husband.")</f>
        <v>Mod the Evil Seahags husband.</v>
      </c>
      <c r="D147" s="32" t="str">
        <f>IFERROR(__xludf.DUMMYFUNCTION("""COMPUTED_VALUE"""),"Humanoid")</f>
        <v>Humanoid</v>
      </c>
      <c r="E147" s="32">
        <f>IFERROR(__xludf.DUMMYFUNCTION("""COMPUTED_VALUE"""),1010.0)</f>
        <v>1010</v>
      </c>
      <c r="F147" s="33">
        <f>IFERROR(__xludf.DUMMYFUNCTION("""COMPUTED_VALUE"""),1010.0)</f>
        <v>1010</v>
      </c>
      <c r="G147" s="32">
        <f>IFERROR(__xludf.DUMMYFUNCTION("""COMPUTED_VALUE"""),1010.0)</f>
        <v>1010</v>
      </c>
      <c r="H147" s="32">
        <f>IFERROR(__xludf.DUMMYFUNCTION("""COMPUTED_VALUE"""),20.0)</f>
        <v>20</v>
      </c>
      <c r="I147" s="32">
        <f>IFERROR(__xludf.DUMMYFUNCTION("""COMPUTED_VALUE"""),0.0)</f>
        <v>0</v>
      </c>
      <c r="J147" s="32">
        <f>IFERROR(__xludf.DUMMYFUNCTION("""COMPUTED_VALUE"""),0.0)</f>
        <v>0</v>
      </c>
      <c r="K147" s="32">
        <f>IFERROR(__xludf.DUMMYFUNCTION("""COMPUTED_VALUE"""),100.0)</f>
        <v>100</v>
      </c>
      <c r="L147" s="32">
        <f>IFERROR(__xludf.DUMMYFUNCTION("""COMPUTED_VALUE"""),100.0)</f>
        <v>100</v>
      </c>
      <c r="M147" s="3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32" t="str">
        <f>IFERROR(__xludf.DUMMYFUNCTION("""COMPUTED_VALUE"""),"Fire:100, Light:100, Order:100, Zen:100, Celestial:100, ")</f>
        <v>Fire:100, Light:100, Order:100, Zen:100, Celestial:100, </v>
      </c>
      <c r="O147" s="32"/>
      <c r="P147" s="32" t="str">
        <f>IFERROR(__xludf.DUMMYFUNCTION("""COMPUTED_VALUE"""),"Chaotic Amulet")</f>
        <v>Chaotic Amulet</v>
      </c>
      <c r="Q147" s="32"/>
      <c r="R147" s="32"/>
      <c r="S147" s="32"/>
      <c r="T147" s="32"/>
      <c r="U147" s="32"/>
      <c r="V147" s="32"/>
      <c r="W147" s="32" t="str">
        <f>IFERROR(__xludf.DUMMYFUNCTION("""COMPUTED_VALUE"""),"Chaotic Shadow Life Orb")</f>
        <v>Chaotic Shadow Life Orb</v>
      </c>
      <c r="X147" s="32"/>
      <c r="Y147" s="32"/>
      <c r="Z147" s="32"/>
      <c r="AA147" s="32"/>
      <c r="AB147" s="32"/>
      <c r="AC147" s="32"/>
      <c r="AD147" s="32"/>
      <c r="AE147" s="32"/>
      <c r="AF147" s="32"/>
      <c r="AG147" s="32"/>
      <c r="AH147" s="32"/>
      <c r="AI147" s="32"/>
      <c r="AJ147" s="32" t="str">
        <f>IFERROR(__xludf.DUMMYFUNCTION("""COMPUTED_VALUE"""),"Chaincast")</f>
        <v>Chaincast</v>
      </c>
      <c r="AK147" s="32" t="str">
        <f>IFERROR(__xludf.DUMMYFUNCTION("""COMPUTED_VALUE"""),"Voodoo Meteor Shower")</f>
        <v>Voodoo Meteor Shower</v>
      </c>
      <c r="AL147" s="32" t="str">
        <f>IFERROR(__xludf.DUMMYFUNCTION("""COMPUTED_VALUE"""),"End the voodoo contract")</f>
        <v>End the voodoo contract</v>
      </c>
      <c r="AM147" s="32" t="str">
        <f>IFERROR(__xludf.DUMMYFUNCTION("""COMPUTED_VALUE"""),"Stand in")</f>
        <v>Stand in</v>
      </c>
      <c r="AN147" s="32" t="str">
        <f>IFERROR(__xludf.DUMMYFUNCTION("""COMPUTED_VALUE"""),"Hex With Bad Luck")</f>
        <v>Hex With Bad Luck</v>
      </c>
      <c r="AO147" s="32" t="str">
        <f>IFERROR(__xludf.DUMMYFUNCTION("""COMPUTED_VALUE"""),"Dimensional Quake")</f>
        <v>Dimensional Quake</v>
      </c>
      <c r="AP147" s="32" t="str">
        <f>IFERROR(__xludf.DUMMYFUNCTION("""COMPUTED_VALUE"""),"Dimension Portal")</f>
        <v>Dimension Portal</v>
      </c>
      <c r="AQ147" s="32" t="str">
        <f>IFERROR(__xludf.DUMMYFUNCTION("""COMPUTED_VALUE"""),"Darkest Abyss")</f>
        <v>Darkest Abyss</v>
      </c>
      <c r="AR147" s="32" t="str">
        <f>IFERROR(__xludf.DUMMYFUNCTION("""COMPUTED_VALUE"""),"Conceal")</f>
        <v>Conceal</v>
      </c>
      <c r="AS147" s="32" t="str">
        <f>IFERROR(__xludf.DUMMYFUNCTION("""COMPUTED_VALUE"""),"Stasis Madness")</f>
        <v>Stasis Madness</v>
      </c>
      <c r="AT147" s="32" t="str">
        <f>IFERROR(__xludf.DUMMYFUNCTION("""COMPUTED_VALUE"""),"Stasis Tsunami")</f>
        <v>Stasis Tsunami</v>
      </c>
      <c r="AU147" s="32" t="str">
        <f>IFERROR(__xludf.DUMMYFUNCTION("""COMPUTED_VALUE"""),"Twilight Masquerade")</f>
        <v>Twilight Masquerade</v>
      </c>
      <c r="AV147" s="32" t="str">
        <f>IFERROR(__xludf.DUMMYFUNCTION("""COMPUTED_VALUE"""),"Twilight Tsunami")</f>
        <v>Twilight Tsunami</v>
      </c>
      <c r="AW147" s="32" t="str">
        <f>IFERROR(__xludf.DUMMYFUNCTION("""COMPUTED_VALUE"""),"Damage With A Cost.")</f>
        <v>Damage With A Cost.</v>
      </c>
      <c r="AX147" s="32" t="str">
        <f>IFERROR(__xludf.DUMMYFUNCTION("""COMPUTED_VALUE"""),"Swallow")</f>
        <v>Swallow</v>
      </c>
      <c r="AY147" s="32" t="str">
        <f>IFERROR(__xludf.DUMMYFUNCTION("""COMPUTED_VALUE"""),"Mass Destruction")</f>
        <v>Mass Destruction</v>
      </c>
      <c r="AZ147" s="32" t="str">
        <f>IFERROR(__xludf.DUMMYFUNCTION("""COMPUTED_VALUE"""),"Celestial Wrath")</f>
        <v>Celestial Wrath</v>
      </c>
      <c r="BA147" s="32"/>
      <c r="BB147" s="32"/>
      <c r="BC147" s="32"/>
      <c r="BD147" s="32">
        <f>IFERROR(__xludf.DUMMYFUNCTION("""COMPUTED_VALUE"""),0.0)</f>
        <v>0</v>
      </c>
      <c r="BE147" s="32">
        <f>IFERROR(__xludf.DUMMYFUNCTION("""COMPUTED_VALUE"""),10.0)</f>
        <v>10</v>
      </c>
      <c r="BF147"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32"/>
      <c r="BH147" s="32" t="str">
        <f>IFERROR(__xludf.DUMMYFUNCTION("""COMPUTED_VALUE"""),"Halloween Kingdom")</f>
        <v>Halloween Kingdom</v>
      </c>
      <c r="BI147" s="32"/>
      <c r="BJ147" s="32"/>
      <c r="BK147" s="32"/>
      <c r="BL147" s="32" t="b">
        <f>IFERROR(__xludf.DUMMYFUNCTION("""COMPUTED_VALUE"""),FALSE)</f>
        <v>0</v>
      </c>
      <c r="BM147" s="32"/>
      <c r="BN147" s="32"/>
      <c r="BO147" s="32"/>
      <c r="BP147" s="32"/>
      <c r="BQ147" s="32"/>
    </row>
    <row r="148">
      <c r="A148" s="32" t="str">
        <f>IFERROR(__xludf.DUMMYFUNCTION("""COMPUTED_VALUE"""),"Jelly Fish (WD)")</f>
        <v>Jelly Fish (WD)</v>
      </c>
      <c r="B148" s="32">
        <f>IFERROR(__xludf.DUMMYFUNCTION("""COMPUTED_VALUE"""),1.0)</f>
        <v>1</v>
      </c>
      <c r="C148" s="32"/>
      <c r="D148" s="33" t="str">
        <f>IFERROR(__xludf.DUMMYFUNCTION("""COMPUTED_VALUE"""),"Beast")</f>
        <v>Beast</v>
      </c>
      <c r="E148" s="33">
        <f>IFERROR(__xludf.DUMMYFUNCTION("""COMPUTED_VALUE"""),16010.0)</f>
        <v>16010</v>
      </c>
      <c r="F148" s="33">
        <f>IFERROR(__xludf.DUMMYFUNCTION("""COMPUTED_VALUE"""),1010.0)</f>
        <v>1010</v>
      </c>
      <c r="G148" s="33">
        <f>IFERROR(__xludf.DUMMYFUNCTION("""COMPUTED_VALUE"""),1010.0)</f>
        <v>1010</v>
      </c>
      <c r="H148" s="32">
        <f>IFERROR(__xludf.DUMMYFUNCTION("""COMPUTED_VALUE"""),10.0)</f>
        <v>10</v>
      </c>
      <c r="I148" s="32">
        <f>IFERROR(__xludf.DUMMYFUNCTION("""COMPUTED_VALUE"""),0.0)</f>
        <v>0</v>
      </c>
      <c r="J148" s="32">
        <f>IFERROR(__xludf.DUMMYFUNCTION("""COMPUTED_VALUE"""),0.0)</f>
        <v>0</v>
      </c>
      <c r="K148" s="32">
        <f>IFERROR(__xludf.DUMMYFUNCTION("""COMPUTED_VALUE"""),100.0)</f>
        <v>100</v>
      </c>
      <c r="L148" s="32">
        <f>IFERROR(__xludf.DUMMYFUNCTION("""COMPUTED_VALUE"""),100.0)</f>
        <v>100</v>
      </c>
      <c r="M148" s="32" t="str">
        <f>IFERROR(__xludf.DUMMYFUNCTION("""COMPUTED_VALUE"""),"Fire:Immune, Water:Immune, ")</f>
        <v>Fire:Immune, Water:Immune, </v>
      </c>
      <c r="N148" s="32" t="str">
        <f>IFERROR(__xludf.DUMMYFUNCTION("""COMPUTED_VALUE"""),"Nature:100, ")</f>
        <v>Nature:100, </v>
      </c>
      <c r="O148" s="32"/>
      <c r="P148" s="32"/>
      <c r="Q148" s="32"/>
      <c r="R148" s="32"/>
      <c r="S148" s="32"/>
      <c r="T148" s="32"/>
      <c r="U148" s="32"/>
      <c r="V148" s="32"/>
      <c r="W148" s="32"/>
      <c r="X148" s="32"/>
      <c r="Y148" s="32"/>
      <c r="Z148" s="32"/>
      <c r="AA148" s="32"/>
      <c r="AB148" s="32"/>
      <c r="AC148" s="32"/>
      <c r="AD148" s="32"/>
      <c r="AE148" s="32"/>
      <c r="AF148" s="32"/>
      <c r="AG148" s="32"/>
      <c r="AH148" s="32"/>
      <c r="AI148" s="32"/>
      <c r="AJ148" s="32" t="str">
        <f>IFERROR(__xludf.DUMMYFUNCTION("""COMPUTED_VALUE"""),"Stinger ")</f>
        <v>Stinger </v>
      </c>
      <c r="AK148" s="32"/>
      <c r="AL148" s="32"/>
      <c r="AM148" s="32"/>
      <c r="AN148" s="32"/>
      <c r="AO148" s="32"/>
      <c r="AP148" s="32"/>
      <c r="AQ148" s="32"/>
      <c r="AR148" s="32"/>
      <c r="AS148" s="32"/>
      <c r="AT148" s="32"/>
      <c r="AU148" s="32"/>
      <c r="AV148" s="32"/>
      <c r="AW148" s="32"/>
      <c r="AX148" s="32"/>
      <c r="AY148" s="32"/>
      <c r="AZ148" s="32"/>
      <c r="BA148" s="32"/>
      <c r="BB148" s="32"/>
      <c r="BC148" s="32"/>
      <c r="BD148" s="32">
        <f>IFERROR(__xludf.DUMMYFUNCTION("""COMPUTED_VALUE"""),0.0)</f>
        <v>0</v>
      </c>
      <c r="BE148" s="32">
        <f>IFERROR(__xludf.DUMMYFUNCTION("""COMPUTED_VALUE"""),10.0)</f>
        <v>10</v>
      </c>
      <c r="BF148" s="32"/>
      <c r="BG148" s="32" t="str">
        <f>IFERROR(__xludf.DUMMYFUNCTION("""COMPUTED_VALUE"""),"Ocean")</f>
        <v>Ocean</v>
      </c>
      <c r="BH148" s="32" t="str">
        <f>IFERROR(__xludf.DUMMYFUNCTION("""COMPUTED_VALUE"""),"Land Of Spira")</f>
        <v>Land Of Spira</v>
      </c>
      <c r="BI148" s="32"/>
      <c r="BJ148" s="32"/>
      <c r="BK148" s="32"/>
      <c r="BL148" s="32" t="b">
        <f>IFERROR(__xludf.DUMMYFUNCTION("""COMPUTED_VALUE"""),FALSE)</f>
        <v>0</v>
      </c>
      <c r="BM148" s="32"/>
      <c r="BN148" s="32"/>
      <c r="BO148" s="32"/>
      <c r="BP148" s="32"/>
      <c r="BQ148" s="32"/>
    </row>
    <row r="149">
      <c r="A149" s="32" t="str">
        <f>IFERROR(__xludf.DUMMYFUNCTION("""COMPUTED_VALUE"""),"Jelly Fish (WD) (Enhanced)")</f>
        <v>Jelly Fish (WD) (Enhanced)</v>
      </c>
      <c r="B149" s="32">
        <f>IFERROR(__xludf.DUMMYFUNCTION("""COMPUTED_VALUE"""),1.0)</f>
        <v>1</v>
      </c>
      <c r="C149" s="32"/>
      <c r="D149" s="33" t="str">
        <f>IFERROR(__xludf.DUMMYFUNCTION("""COMPUTED_VALUE"""),"Beast")</f>
        <v>Beast</v>
      </c>
      <c r="E149" s="33">
        <f>IFERROR(__xludf.DUMMYFUNCTION("""COMPUTED_VALUE"""),31010.0)</f>
        <v>31010</v>
      </c>
      <c r="F149" s="33">
        <f>IFERROR(__xludf.DUMMYFUNCTION("""COMPUTED_VALUE"""),1010.0)</f>
        <v>1010</v>
      </c>
      <c r="G149" s="33">
        <f>IFERROR(__xludf.DUMMYFUNCTION("""COMPUTED_VALUE"""),1010.0)</f>
        <v>1010</v>
      </c>
      <c r="H149" s="32">
        <f>IFERROR(__xludf.DUMMYFUNCTION("""COMPUTED_VALUE"""),10.0)</f>
        <v>10</v>
      </c>
      <c r="I149" s="32">
        <f>IFERROR(__xludf.DUMMYFUNCTION("""COMPUTED_VALUE"""),0.0)</f>
        <v>0</v>
      </c>
      <c r="J149" s="32">
        <f>IFERROR(__xludf.DUMMYFUNCTION("""COMPUTED_VALUE"""),0.0)</f>
        <v>0</v>
      </c>
      <c r="K149" s="32">
        <f>IFERROR(__xludf.DUMMYFUNCTION("""COMPUTED_VALUE"""),100.0)</f>
        <v>100</v>
      </c>
      <c r="L149" s="32">
        <f>IFERROR(__xludf.DUMMYFUNCTION("""COMPUTED_VALUE"""),100.0)</f>
        <v>100</v>
      </c>
      <c r="M149" s="32" t="str">
        <f>IFERROR(__xludf.DUMMYFUNCTION("""COMPUTED_VALUE"""),"Fire:Immune, Water:Immune, ")</f>
        <v>Fire:Immune, Water:Immune, </v>
      </c>
      <c r="N149" s="32" t="str">
        <f>IFERROR(__xludf.DUMMYFUNCTION("""COMPUTED_VALUE"""),"Nature:100, ")</f>
        <v>Nature:100, </v>
      </c>
      <c r="O149" s="32"/>
      <c r="P149" s="32"/>
      <c r="Q149" s="32"/>
      <c r="R149" s="32"/>
      <c r="S149" s="32"/>
      <c r="T149" s="32"/>
      <c r="U149" s="32"/>
      <c r="V149" s="32"/>
      <c r="W149" s="32"/>
      <c r="X149" s="32"/>
      <c r="Y149" s="32"/>
      <c r="Z149" s="32"/>
      <c r="AA149" s="32"/>
      <c r="AB149" s="32"/>
      <c r="AC149" s="32"/>
      <c r="AD149" s="32"/>
      <c r="AE149" s="32"/>
      <c r="AF149" s="32"/>
      <c r="AG149" s="32"/>
      <c r="AH149" s="32"/>
      <c r="AI149" s="32"/>
      <c r="AJ149" s="32" t="str">
        <f>IFERROR(__xludf.DUMMYFUNCTION("""COMPUTED_VALUE"""),"Stinger ")</f>
        <v>Stinger </v>
      </c>
      <c r="AK149" s="32"/>
      <c r="AL149" s="32"/>
      <c r="AM149" s="32"/>
      <c r="AN149" s="32"/>
      <c r="AO149" s="32"/>
      <c r="AP149" s="32"/>
      <c r="AQ149" s="32"/>
      <c r="AR149" s="32"/>
      <c r="AS149" s="32"/>
      <c r="AT149" s="32"/>
      <c r="AU149" s="32"/>
      <c r="AV149" s="32"/>
      <c r="AW149" s="32"/>
      <c r="AX149" s="32"/>
      <c r="AY149" s="32"/>
      <c r="AZ149" s="32"/>
      <c r="BA149" s="32"/>
      <c r="BB149" s="32"/>
      <c r="BC149" s="32"/>
      <c r="BD149" s="32">
        <f>IFERROR(__xludf.DUMMYFUNCTION("""COMPUTED_VALUE"""),0.0)</f>
        <v>0</v>
      </c>
      <c r="BE149" s="32">
        <f>IFERROR(__xludf.DUMMYFUNCTION("""COMPUTED_VALUE"""),10.0)</f>
        <v>10</v>
      </c>
      <c r="BF149" s="32"/>
      <c r="BG149" s="32" t="str">
        <f>IFERROR(__xludf.DUMMYFUNCTION("""COMPUTED_VALUE"""),"Ocean")</f>
        <v>Ocean</v>
      </c>
      <c r="BH149" s="32" t="str">
        <f>IFERROR(__xludf.DUMMYFUNCTION("""COMPUTED_VALUE"""),"Land Of Spira")</f>
        <v>Land Of Spira</v>
      </c>
      <c r="BI149" s="32"/>
      <c r="BJ149" s="32"/>
      <c r="BK149" s="32"/>
      <c r="BL149" s="32" t="b">
        <f>IFERROR(__xludf.DUMMYFUNCTION("""COMPUTED_VALUE"""),FALSE)</f>
        <v>0</v>
      </c>
      <c r="BM149" s="32"/>
      <c r="BN149" s="32"/>
      <c r="BO149" s="32"/>
      <c r="BP149" s="32"/>
      <c r="BQ149" s="32"/>
    </row>
    <row r="150">
      <c r="A150" s="32" t="str">
        <f>IFERROR(__xludf.DUMMYFUNCTION("""COMPUTED_VALUE"""),"King Goose")</f>
        <v>King Goose</v>
      </c>
      <c r="B150" s="32">
        <f>IFERROR(__xludf.DUMMYFUNCTION("""COMPUTED_VALUE"""),1.0)</f>
        <v>1</v>
      </c>
      <c r="C150" s="32" t="str">
        <f>IFERROR(__xludf.DUMMYFUNCTION("""COMPUTED_VALUE"""),"king of all geese")</f>
        <v>king of all geese</v>
      </c>
      <c r="D150" s="33" t="str">
        <f>IFERROR(__xludf.DUMMYFUNCTION("""COMPUTED_VALUE"""),"Beast")</f>
        <v>Beast</v>
      </c>
      <c r="E150" s="33">
        <f>IFERROR(__xludf.DUMMYFUNCTION("""COMPUTED_VALUE"""),31010.0)</f>
        <v>31010</v>
      </c>
      <c r="F150" s="33">
        <f>IFERROR(__xludf.DUMMYFUNCTION("""COMPUTED_VALUE"""),31010.0)</f>
        <v>31010</v>
      </c>
      <c r="G150" s="33">
        <f>IFERROR(__xludf.DUMMYFUNCTION("""COMPUTED_VALUE"""),31010.0)</f>
        <v>31010</v>
      </c>
      <c r="H150" s="32">
        <f>IFERROR(__xludf.DUMMYFUNCTION("""COMPUTED_VALUE"""),20.0)</f>
        <v>20</v>
      </c>
      <c r="I150" s="32">
        <f>IFERROR(__xludf.DUMMYFUNCTION("""COMPUTED_VALUE"""),0.0)</f>
        <v>0</v>
      </c>
      <c r="J150" s="32">
        <f>IFERROR(__xludf.DUMMYFUNCTION("""COMPUTED_VALUE"""),0.0)</f>
        <v>0</v>
      </c>
      <c r="K150" s="32">
        <f>IFERROR(__xludf.DUMMYFUNCTION("""COMPUTED_VALUE"""),100.0)</f>
        <v>100</v>
      </c>
      <c r="L150" s="32">
        <f>IFERROR(__xludf.DUMMYFUNCTION("""COMPUTED_VALUE"""),100.0)</f>
        <v>100</v>
      </c>
      <c r="M150" s="32" t="str">
        <f>IFERROR(__xludf.DUMMYFUNCTION("""COMPUTED_VALUE"""),"")</f>
        <v/>
      </c>
      <c r="N150" s="32" t="str">
        <f>IFERROR(__xludf.DUMMYFUNCTION("""COMPUTED_VALUE"""),"")</f>
        <v/>
      </c>
      <c r="O150" s="32"/>
      <c r="P150" s="32"/>
      <c r="Q150" s="32"/>
      <c r="R150" s="32"/>
      <c r="S150" s="32"/>
      <c r="T150" s="32"/>
      <c r="U150" s="32"/>
      <c r="V150" s="32" t="str">
        <f>IFERROR(__xludf.DUMMYFUNCTION("""COMPUTED_VALUE"""),"Goose staff")</f>
        <v>Goose staff</v>
      </c>
      <c r="W150" s="32"/>
      <c r="X150" s="32"/>
      <c r="Y150" s="32"/>
      <c r="Z150" s="32"/>
      <c r="AA150" s="32"/>
      <c r="AB150" s="32"/>
      <c r="AC150" s="32"/>
      <c r="AD150" s="32"/>
      <c r="AE150" s="32"/>
      <c r="AF150" s="32"/>
      <c r="AG150" s="32"/>
      <c r="AH150" s="32"/>
      <c r="AI150" s="32"/>
      <c r="AJ150" s="32" t="str">
        <f>IFERROR(__xludf.DUMMYFUNCTION("""COMPUTED_VALUE"""),"Fire Bolt")</f>
        <v>Fire Bolt</v>
      </c>
      <c r="AK150" s="32" t="str">
        <f>IFERROR(__xludf.DUMMYFUNCTION("""COMPUTED_VALUE"""),"Take")</f>
        <v>Take</v>
      </c>
      <c r="AL150" s="32" t="str">
        <f>IFERROR(__xludf.DUMMYFUNCTION("""COMPUTED_VALUE"""),"Eel Nado")</f>
        <v>Eel Nado</v>
      </c>
      <c r="AM150" s="32" t="str">
        <f>IFERROR(__xludf.DUMMYFUNCTION("""COMPUTED_VALUE"""),"Dive Bomb")</f>
        <v>Dive Bomb</v>
      </c>
      <c r="AN150" s="32" t="str">
        <f>IFERROR(__xludf.DUMMYFUNCTION("""COMPUTED_VALUE"""),"Taunt")</f>
        <v>Taunt</v>
      </c>
      <c r="AO150" s="32" t="str">
        <f>IFERROR(__xludf.DUMMYFUNCTION("""COMPUTED_VALUE"""),"Aggressive Chomp")</f>
        <v>Aggressive Chomp</v>
      </c>
      <c r="AP150" s="32" t="str">
        <f>IFERROR(__xludf.DUMMYFUNCTION("""COMPUTED_VALUE"""),"Aggresive Tear")</f>
        <v>Aggresive Tear</v>
      </c>
      <c r="AQ150" s="32" t="str">
        <f>IFERROR(__xludf.DUMMYFUNCTION("""COMPUTED_VALUE"""),"Tackle")</f>
        <v>Tackle</v>
      </c>
      <c r="AR150" s="32"/>
      <c r="AS150" s="32"/>
      <c r="AT150" s="32"/>
      <c r="AU150" s="32"/>
      <c r="AV150" s="32"/>
      <c r="AW150" s="32"/>
      <c r="AX150" s="32"/>
      <c r="AY150" s="32"/>
      <c r="AZ150" s="32"/>
      <c r="BA150" s="32"/>
      <c r="BB150" s="32"/>
      <c r="BC150" s="32"/>
      <c r="BD150" s="32">
        <f>IFERROR(__xludf.DUMMYFUNCTION("""COMPUTED_VALUE"""),0.0)</f>
        <v>0</v>
      </c>
      <c r="BE150" s="32">
        <f>IFERROR(__xludf.DUMMYFUNCTION("""COMPUTED_VALUE"""),10.0)</f>
        <v>10</v>
      </c>
      <c r="BF150" s="32"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32" t="str">
        <f>IFERROR(__xludf.DUMMYFUNCTION("""COMPUTED_VALUE"""),"All")</f>
        <v>All</v>
      </c>
      <c r="BH150" s="32" t="str">
        <f>IFERROR(__xludf.DUMMYFUNCTION("""COMPUTED_VALUE"""),"Land of Spira")</f>
        <v>Land of Spira</v>
      </c>
      <c r="BI150" s="32"/>
      <c r="BJ150" s="32"/>
      <c r="BK150" s="32"/>
      <c r="BL150" s="32" t="b">
        <f>IFERROR(__xludf.DUMMYFUNCTION("""COMPUTED_VALUE"""),FALSE)</f>
        <v>0</v>
      </c>
      <c r="BM150" s="32"/>
      <c r="BN150" s="32"/>
      <c r="BO150" s="32"/>
      <c r="BP150" s="32"/>
      <c r="BQ150" s="32"/>
    </row>
    <row r="151">
      <c r="A151" s="32" t="str">
        <f>IFERROR(__xludf.DUMMYFUNCTION("""COMPUTED_VALUE"""),"King Of Mekana (Robotic Guardian of the 5th, No. 5)")</f>
        <v>King Of Mekana (Robotic Guardian of the 5th, No. 5)</v>
      </c>
      <c r="B151" s="32">
        <f>IFERROR(__xludf.DUMMYFUNCTION("""COMPUTED_VALUE"""),1.0)</f>
        <v>1</v>
      </c>
      <c r="C151" s="32"/>
      <c r="D151" s="33" t="str">
        <f>IFERROR(__xludf.DUMMYFUNCTION("""COMPUTED_VALUE"""),"Construct")</f>
        <v>Construct</v>
      </c>
      <c r="E151" s="33">
        <f>IFERROR(__xludf.DUMMYFUNCTION("""COMPUTED_VALUE"""),1010.0)</f>
        <v>1010</v>
      </c>
      <c r="F151" s="33">
        <f>IFERROR(__xludf.DUMMYFUNCTION("""COMPUTED_VALUE"""),1010.0)</f>
        <v>1010</v>
      </c>
      <c r="G151" s="33">
        <f>IFERROR(__xludf.DUMMYFUNCTION("""COMPUTED_VALUE"""),1010.0)</f>
        <v>1010</v>
      </c>
      <c r="H151" s="32">
        <f>IFERROR(__xludf.DUMMYFUNCTION("""COMPUTED_VALUE"""),20.0)</f>
        <v>20</v>
      </c>
      <c r="I151" s="32">
        <f>IFERROR(__xludf.DUMMYFUNCTION("""COMPUTED_VALUE"""),20.0)</f>
        <v>20</v>
      </c>
      <c r="J151" s="32">
        <f>IFERROR(__xludf.DUMMYFUNCTION("""COMPUTED_VALUE"""),0.0)</f>
        <v>0</v>
      </c>
      <c r="K151" s="32">
        <f>IFERROR(__xludf.DUMMYFUNCTION("""COMPUTED_VALUE"""),100.0)</f>
        <v>100</v>
      </c>
      <c r="L151" s="32">
        <f>IFERROR(__xludf.DUMMYFUNCTION("""COMPUTED_VALUE"""),100.0)</f>
        <v>100</v>
      </c>
      <c r="M151" s="32" t="str">
        <f>IFERROR(__xludf.DUMMYFUNCTION("""COMPUTED_VALUE"""),"Celestial:Immune, Instant Death:Immune, Natural:Immune, ")</f>
        <v>Celestial:Immune, Instant Death:Immune, Natural:Immune, </v>
      </c>
      <c r="N151" s="32" t="str">
        <f>IFERROR(__xludf.DUMMYFUNCTION("""COMPUTED_VALUE"""),"Fire:100, Water:100, ")</f>
        <v>Fire:100, Water:100, </v>
      </c>
      <c r="O151" s="32"/>
      <c r="P151" s="32"/>
      <c r="Q151" s="32"/>
      <c r="R151" s="32"/>
      <c r="S151" s="32"/>
      <c r="T151" s="32"/>
      <c r="U151" s="32"/>
      <c r="V151" s="32"/>
      <c r="W151" s="32" t="str">
        <f>IFERROR(__xludf.DUMMYFUNCTION("""COMPUTED_VALUE"""),"King Of Mekanas Sword")</f>
        <v>King Of Mekanas Sword</v>
      </c>
      <c r="X151" s="32"/>
      <c r="Y151" s="32"/>
      <c r="Z151" s="32"/>
      <c r="AA151" s="32"/>
      <c r="AB151" s="32"/>
      <c r="AC151" s="32"/>
      <c r="AD151" s="32"/>
      <c r="AE151" s="32"/>
      <c r="AF151" s="32"/>
      <c r="AG151" s="32"/>
      <c r="AH151" s="32"/>
      <c r="AI151" s="32"/>
      <c r="AJ151" s="32" t="str">
        <f>IFERROR(__xludf.DUMMYFUNCTION("""COMPUTED_VALUE"""),"Forged in Fire")</f>
        <v>Forged in Fire</v>
      </c>
      <c r="AK151" s="32" t="str">
        <f>IFERROR(__xludf.DUMMYFUNCTION("""COMPUTED_VALUE"""),"Overcharge")</f>
        <v>Overcharge</v>
      </c>
      <c r="AL151" s="32" t="str">
        <f>IFERROR(__xludf.DUMMYFUNCTION("""COMPUTED_VALUE"""),"Cooldown")</f>
        <v>Cooldown</v>
      </c>
      <c r="AM151" s="32" t="str">
        <f>IFERROR(__xludf.DUMMYFUNCTION("""COMPUTED_VALUE"""),"Recharge")</f>
        <v>Recharge</v>
      </c>
      <c r="AN151" s="32"/>
      <c r="AO151" s="32"/>
      <c r="AP151" s="32"/>
      <c r="AQ151" s="32"/>
      <c r="AR151" s="32"/>
      <c r="AS151" s="32"/>
      <c r="AT151" s="32"/>
      <c r="AU151" s="32"/>
      <c r="AV151" s="32"/>
      <c r="AW151" s="32"/>
      <c r="AX151" s="32"/>
      <c r="AY151" s="32"/>
      <c r="AZ151" s="32"/>
      <c r="BA151" s="32"/>
      <c r="BB151" s="32"/>
      <c r="BC151" s="32"/>
      <c r="BD151" s="32">
        <f>IFERROR(__xludf.DUMMYFUNCTION("""COMPUTED_VALUE"""),20.0)</f>
        <v>20</v>
      </c>
      <c r="BE151" s="32">
        <f>IFERROR(__xludf.DUMMYFUNCTION("""COMPUTED_VALUE"""),20.0)</f>
        <v>20</v>
      </c>
      <c r="BF151" s="32"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32" t="str">
        <f>IFERROR(__xludf.DUMMYFUNCTION("""COMPUTED_VALUE"""),"City/Town")</f>
        <v>City/Town</v>
      </c>
      <c r="BH151" s="32" t="str">
        <f>IFERROR(__xludf.DUMMYFUNCTION("""COMPUTED_VALUE"""),"Land Of Spira")</f>
        <v>Land Of Spira</v>
      </c>
      <c r="BI151" s="32"/>
      <c r="BJ151" s="32"/>
      <c r="BK151" s="32"/>
      <c r="BL151" s="32" t="b">
        <f>IFERROR(__xludf.DUMMYFUNCTION("""COMPUTED_VALUE"""),FALSE)</f>
        <v>0</v>
      </c>
      <c r="BM151" s="32"/>
      <c r="BN151" s="32"/>
      <c r="BO151" s="32"/>
      <c r="BP151" s="32"/>
      <c r="BQ151" s="32"/>
    </row>
    <row r="152">
      <c r="A152" s="32" t="str">
        <f>IFERROR(__xludf.DUMMYFUNCTION("""COMPUTED_VALUE"""),"Knight Of Chaotic Shadows")</f>
        <v>Knight Of Chaotic Shadows</v>
      </c>
      <c r="B152" s="32">
        <f>IFERROR(__xludf.DUMMYFUNCTION("""COMPUTED_VALUE"""),1.0)</f>
        <v>1</v>
      </c>
      <c r="C152" s="32"/>
      <c r="D152" s="33" t="str">
        <f>IFERROR(__xludf.DUMMYFUNCTION("""COMPUTED_VALUE"""),"Humanoid")</f>
        <v>Humanoid</v>
      </c>
      <c r="E152" s="33">
        <f>IFERROR(__xludf.DUMMYFUNCTION("""COMPUTED_VALUE"""),1010.0)</f>
        <v>1010</v>
      </c>
      <c r="F152" s="33">
        <f>IFERROR(__xludf.DUMMYFUNCTION("""COMPUTED_VALUE"""),1010.0)</f>
        <v>1010</v>
      </c>
      <c r="G152" s="33">
        <f>IFERROR(__xludf.DUMMYFUNCTION("""COMPUTED_VALUE"""),1010.0)</f>
        <v>1010</v>
      </c>
      <c r="H152" s="32">
        <f>IFERROR(__xludf.DUMMYFUNCTION("""COMPUTED_VALUE"""),10.0)</f>
        <v>10</v>
      </c>
      <c r="I152" s="32">
        <f>IFERROR(__xludf.DUMMYFUNCTION("""COMPUTED_VALUE"""),0.0)</f>
        <v>0</v>
      </c>
      <c r="J152" s="32">
        <f>IFERROR(__xludf.DUMMYFUNCTION("""COMPUTED_VALUE"""),0.0)</f>
        <v>0</v>
      </c>
      <c r="K152" s="32">
        <f>IFERROR(__xludf.DUMMYFUNCTION("""COMPUTED_VALUE"""),100.0)</f>
        <v>100</v>
      </c>
      <c r="L152" s="32">
        <f>IFERROR(__xludf.DUMMYFUNCTION("""COMPUTED_VALUE"""),100.0)</f>
        <v>100</v>
      </c>
      <c r="M152" s="32" t="str">
        <f>IFERROR(__xludf.DUMMYFUNCTION("""COMPUTED_VALUE"""),"Dark:100, Chaos:100, ")</f>
        <v>Dark:100, Chaos:100, </v>
      </c>
      <c r="N152" s="32" t="str">
        <f>IFERROR(__xludf.DUMMYFUNCTION("""COMPUTED_VALUE"""),"Fire:100, Light:100, Order:100, ")</f>
        <v>Fire:100, Light:100, Order:100, </v>
      </c>
      <c r="O152" s="32"/>
      <c r="P152" s="32"/>
      <c r="Q152" s="32"/>
      <c r="R152" s="32"/>
      <c r="S152" s="32"/>
      <c r="T152" s="32"/>
      <c r="U152" s="32"/>
      <c r="V152" s="32"/>
      <c r="W152" s="32" t="str">
        <f>IFERROR(__xludf.DUMMYFUNCTION("""COMPUTED_VALUE"""),"Sword of Chaotic Shadows")</f>
        <v>Sword of Chaotic Shadows</v>
      </c>
      <c r="X152" s="32"/>
      <c r="Y152" s="32"/>
      <c r="Z152" s="32"/>
      <c r="AA152" s="32"/>
      <c r="AB152" s="32"/>
      <c r="AC152" s="32"/>
      <c r="AD152" s="32"/>
      <c r="AE152" s="32"/>
      <c r="AF152" s="32"/>
      <c r="AG152" s="32"/>
      <c r="AH152" s="32"/>
      <c r="AI152" s="32"/>
      <c r="AJ152" s="32" t="str">
        <f>IFERROR(__xludf.DUMMYFUNCTION("""COMPUTED_VALUE"""),"Chaotic Royal Barrier")</f>
        <v>Chaotic Royal Barrier</v>
      </c>
      <c r="AK152" s="32" t="str">
        <f>IFERROR(__xludf.DUMMYFUNCTION("""COMPUTED_VALUE"""),"Chaotic Shadow Storm")</f>
        <v>Chaotic Shadow Storm</v>
      </c>
      <c r="AL152" s="32" t="str">
        <f>IFERROR(__xludf.DUMMYFUNCTION("""COMPUTED_VALUE"""),"Creeping Darkness")</f>
        <v>Creeping Darkness</v>
      </c>
      <c r="AM152" s="32" t="str">
        <f>IFERROR(__xludf.DUMMYFUNCTION("""COMPUTED_VALUE"""),"Chaos Ward")</f>
        <v>Chaos Ward</v>
      </c>
      <c r="AN152" s="32" t="str">
        <f>IFERROR(__xludf.DUMMYFUNCTION("""COMPUTED_VALUE"""),"Dark Curse")</f>
        <v>Dark Curse</v>
      </c>
      <c r="AO152" s="32" t="str">
        <f>IFERROR(__xludf.DUMMYFUNCTION("""COMPUTED_VALUE"""),"Darkest Abyss")</f>
        <v>Darkest Abyss</v>
      </c>
      <c r="AP152" s="32" t="str">
        <f>IFERROR(__xludf.DUMMYFUNCTION("""COMPUTED_VALUE"""),"Berserk")</f>
        <v>Berserk</v>
      </c>
      <c r="AQ152" s="32" t="str">
        <f>IFERROR(__xludf.DUMMYFUNCTION("""COMPUTED_VALUE"""),"Arrest")</f>
        <v>Arrest</v>
      </c>
      <c r="AR152" s="32"/>
      <c r="AS152" s="32"/>
      <c r="AT152" s="32"/>
      <c r="AU152" s="32"/>
      <c r="AV152" s="32"/>
      <c r="AW152" s="32"/>
      <c r="AX152" s="32"/>
      <c r="AY152" s="32"/>
      <c r="AZ152" s="32"/>
      <c r="BA152" s="32"/>
      <c r="BB152" s="32"/>
      <c r="BC152" s="32"/>
      <c r="BD152" s="32">
        <f>IFERROR(__xludf.DUMMYFUNCTION("""COMPUTED_VALUE"""),0.0)</f>
        <v>0</v>
      </c>
      <c r="BE152" s="32">
        <f>IFERROR(__xludf.DUMMYFUNCTION("""COMPUTED_VALUE"""),10.0)</f>
        <v>10</v>
      </c>
      <c r="BF152" s="32" t="str">
        <f>IFERROR(__xludf.DUMMYFUNCTION("""COMPUTED_VALUE"""),"A Dark Calling: +5 can be added to this mobs rolls.")</f>
        <v>A Dark Calling: +5 can be added to this mobs rolls.</v>
      </c>
      <c r="BG152" s="32" t="str">
        <f>IFERROR(__xludf.DUMMYFUNCTION("""COMPUTED_VALUE"""),"Jungle")</f>
        <v>Jungle</v>
      </c>
      <c r="BH152" s="32" t="str">
        <f>IFERROR(__xludf.DUMMYFUNCTION("""COMPUTED_VALUE"""),"Land Of Spira")</f>
        <v>Land Of Spira</v>
      </c>
      <c r="BI152" s="32"/>
      <c r="BJ152" s="32"/>
      <c r="BK152" s="32"/>
      <c r="BL152" s="32" t="b">
        <f>IFERROR(__xludf.DUMMYFUNCTION("""COMPUTED_VALUE"""),FALSE)</f>
        <v>0</v>
      </c>
      <c r="BM152" s="32"/>
      <c r="BN152" s="32"/>
      <c r="BO152" s="32"/>
      <c r="BP152" s="32"/>
      <c r="BQ152" s="32"/>
    </row>
    <row r="153">
      <c r="A153" s="32" t="str">
        <f>IFERROR(__xludf.DUMMYFUNCTION("""COMPUTED_VALUE"""),"Lamia ")</f>
        <v>Lamia </v>
      </c>
      <c r="B153" s="32">
        <f>IFERROR(__xludf.DUMMYFUNCTION("""COMPUTED_VALUE"""),1.0)</f>
        <v>1</v>
      </c>
      <c r="C153" s="32"/>
      <c r="D153" s="32" t="str">
        <f>IFERROR(__xludf.DUMMYFUNCTION("""COMPUTED_VALUE"""),"Fae")</f>
        <v>Fae</v>
      </c>
      <c r="E153" s="32">
        <f>IFERROR(__xludf.DUMMYFUNCTION("""COMPUTED_VALUE"""),1010.0)</f>
        <v>1010</v>
      </c>
      <c r="F153" s="33">
        <f>IFERROR(__xludf.DUMMYFUNCTION("""COMPUTED_VALUE"""),1010.0)</f>
        <v>1010</v>
      </c>
      <c r="G153" s="32">
        <f>IFERROR(__xludf.DUMMYFUNCTION("""COMPUTED_VALUE"""),1010.0)</f>
        <v>1010</v>
      </c>
      <c r="H153" s="32">
        <f>IFERROR(__xludf.DUMMYFUNCTION("""COMPUTED_VALUE"""),10.0)</f>
        <v>10</v>
      </c>
      <c r="I153" s="32">
        <f>IFERROR(__xludf.DUMMYFUNCTION("""COMPUTED_VALUE"""),0.0)</f>
        <v>0</v>
      </c>
      <c r="J153" s="32">
        <f>IFERROR(__xludf.DUMMYFUNCTION("""COMPUTED_VALUE"""),0.0)</f>
        <v>0</v>
      </c>
      <c r="K153" s="32">
        <f>IFERROR(__xludf.DUMMYFUNCTION("""COMPUTED_VALUE"""),100.0)</f>
        <v>100</v>
      </c>
      <c r="L153" s="32">
        <f>IFERROR(__xludf.DUMMYFUNCTION("""COMPUTED_VALUE"""),100.0)</f>
        <v>100</v>
      </c>
      <c r="M153" s="32" t="str">
        <f>IFERROR(__xludf.DUMMYFUNCTION("""COMPUTED_VALUE"""),"")</f>
        <v/>
      </c>
      <c r="N153" s="32" t="str">
        <f>IFERROR(__xludf.DUMMYFUNCTION("""COMPUTED_VALUE"""),"")</f>
        <v/>
      </c>
      <c r="O153" s="32"/>
      <c r="P153" s="32"/>
      <c r="Q153" s="32"/>
      <c r="R153" s="32"/>
      <c r="S153" s="32"/>
      <c r="T153" s="32"/>
      <c r="U153" s="32"/>
      <c r="V153" s="32"/>
      <c r="W153" s="32"/>
      <c r="X153" s="32"/>
      <c r="Y153" s="32"/>
      <c r="Z153" s="32"/>
      <c r="AA153" s="32"/>
      <c r="AB153" s="32"/>
      <c r="AC153" s="32"/>
      <c r="AD153" s="32"/>
      <c r="AE153" s="32"/>
      <c r="AF153" s="32"/>
      <c r="AG153" s="32"/>
      <c r="AH153" s="32"/>
      <c r="AI153" s="32"/>
      <c r="AJ153" s="32" t="str">
        <f>IFERROR(__xludf.DUMMYFUNCTION("""COMPUTED_VALUE"""),"Conceal")</f>
        <v>Conceal</v>
      </c>
      <c r="AK153" s="32" t="str">
        <f>IFERROR(__xludf.DUMMYFUNCTION("""COMPUTED_VALUE"""),"Pinning shot")</f>
        <v>Pinning shot</v>
      </c>
      <c r="AL153" s="32" t="str">
        <f>IFERROR(__xludf.DUMMYFUNCTION("""COMPUTED_VALUE"""),"Beast form")</f>
        <v>Beast form</v>
      </c>
      <c r="AM153" s="32" t="str">
        <f>IFERROR(__xludf.DUMMYFUNCTION("""COMPUTED_VALUE"""),"Devolve")</f>
        <v>Devolve</v>
      </c>
      <c r="AN153" s="32" t="str">
        <f>IFERROR(__xludf.DUMMYFUNCTION("""COMPUTED_VALUE"""),"Absorb Enemy ")</f>
        <v>Absorb Enemy </v>
      </c>
      <c r="AO153" s="32"/>
      <c r="AP153" s="32"/>
      <c r="AQ153" s="32"/>
      <c r="AR153" s="32"/>
      <c r="AS153" s="32"/>
      <c r="AT153" s="32"/>
      <c r="AU153" s="32"/>
      <c r="AV153" s="32"/>
      <c r="AW153" s="32"/>
      <c r="AX153" s="32"/>
      <c r="AY153" s="32"/>
      <c r="AZ153" s="32"/>
      <c r="BA153" s="32"/>
      <c r="BB153" s="32"/>
      <c r="BC153" s="32"/>
      <c r="BD153" s="32">
        <f>IFERROR(__xludf.DUMMYFUNCTION("""COMPUTED_VALUE"""),0.0)</f>
        <v>0</v>
      </c>
      <c r="BE153" s="32">
        <f>IFERROR(__xludf.DUMMYFUNCTION("""COMPUTED_VALUE"""),10.0)</f>
        <v>10</v>
      </c>
      <c r="BF153" s="32"/>
      <c r="BG153" s="32" t="str">
        <f>IFERROR(__xludf.DUMMYFUNCTION("""COMPUTED_VALUE"""),"All")</f>
        <v>All</v>
      </c>
      <c r="BH153" s="32" t="str">
        <f>IFERROR(__xludf.DUMMYFUNCTION("""COMPUTED_VALUE"""),"Land of Spira")</f>
        <v>Land of Spira</v>
      </c>
      <c r="BI153" s="32"/>
      <c r="BJ153" s="32"/>
      <c r="BK153" s="32"/>
      <c r="BL153" s="32" t="b">
        <f>IFERROR(__xludf.DUMMYFUNCTION("""COMPUTED_VALUE"""),FALSE)</f>
        <v>0</v>
      </c>
      <c r="BM153" s="32"/>
      <c r="BN153" s="32"/>
      <c r="BO153" s="32"/>
      <c r="BP153" s="32"/>
      <c r="BQ153" s="32"/>
    </row>
    <row r="154">
      <c r="A154" s="32" t="str">
        <f>IFERROR(__xludf.DUMMYFUNCTION("""COMPUTED_VALUE"""),"Lava Kraken")</f>
        <v>Lava Kraken</v>
      </c>
      <c r="B154" s="32">
        <f>IFERROR(__xludf.DUMMYFUNCTION("""COMPUTED_VALUE"""),1.0)</f>
        <v>1</v>
      </c>
      <c r="C154" s="32"/>
      <c r="D154" s="33" t="str">
        <f>IFERROR(__xludf.DUMMYFUNCTION("""COMPUTED_VALUE"""),"Beast")</f>
        <v>Beast</v>
      </c>
      <c r="E154" s="33">
        <f>IFERROR(__xludf.DUMMYFUNCTION("""COMPUTED_VALUE"""),1010.0)</f>
        <v>1010</v>
      </c>
      <c r="F154" s="33">
        <f>IFERROR(__xludf.DUMMYFUNCTION("""COMPUTED_VALUE"""),1010.0)</f>
        <v>1010</v>
      </c>
      <c r="G154" s="33">
        <f>IFERROR(__xludf.DUMMYFUNCTION("""COMPUTED_VALUE"""),1010.0)</f>
        <v>1010</v>
      </c>
      <c r="H154" s="32">
        <f>IFERROR(__xludf.DUMMYFUNCTION("""COMPUTED_VALUE"""),10.0)</f>
        <v>10</v>
      </c>
      <c r="I154" s="32">
        <f>IFERROR(__xludf.DUMMYFUNCTION("""COMPUTED_VALUE"""),0.0)</f>
        <v>0</v>
      </c>
      <c r="J154" s="32">
        <f>IFERROR(__xludf.DUMMYFUNCTION("""COMPUTED_VALUE"""),0.0)</f>
        <v>0</v>
      </c>
      <c r="K154" s="32">
        <f>IFERROR(__xludf.DUMMYFUNCTION("""COMPUTED_VALUE"""),100.0)</f>
        <v>100</v>
      </c>
      <c r="L154" s="32">
        <f>IFERROR(__xludf.DUMMYFUNCTION("""COMPUTED_VALUE"""),100.0)</f>
        <v>100</v>
      </c>
      <c r="M154" s="32" t="str">
        <f>IFERROR(__xludf.DUMMYFUNCTION("""COMPUTED_VALUE"""),"Fire:Immune, Nature:Immune, Instant Death:Immune, Banishment:Immune, ")</f>
        <v>Fire:Immune, Nature:Immune, Instant Death:Immune, Banishment:Immune, </v>
      </c>
      <c r="N154" s="32" t="str">
        <f>IFERROR(__xludf.DUMMYFUNCTION("""COMPUTED_VALUE"""),"")</f>
        <v/>
      </c>
      <c r="O154" s="32"/>
      <c r="P154" s="32"/>
      <c r="Q154" s="32"/>
      <c r="R154" s="32"/>
      <c r="S154" s="32"/>
      <c r="T154" s="32"/>
      <c r="U154" s="32"/>
      <c r="V154" s="32"/>
      <c r="W154" s="32"/>
      <c r="X154" s="32"/>
      <c r="Y154" s="32"/>
      <c r="Z154" s="32"/>
      <c r="AA154" s="32"/>
      <c r="AB154" s="32"/>
      <c r="AC154" s="32"/>
      <c r="AD154" s="32"/>
      <c r="AE154" s="32"/>
      <c r="AF154" s="32"/>
      <c r="AG154" s="32"/>
      <c r="AH154" s="32"/>
      <c r="AI154" s="32"/>
      <c r="AJ154" s="32" t="str">
        <f>IFERROR(__xludf.DUMMYFUNCTION("""COMPUTED_VALUE"""),"Strangle")</f>
        <v>Strangle</v>
      </c>
      <c r="AK154" s="32" t="str">
        <f>IFERROR(__xludf.DUMMYFUNCTION("""COMPUTED_VALUE"""),"Volcanic Rain")</f>
        <v>Volcanic Rain</v>
      </c>
      <c r="AL154" s="32" t="str">
        <f>IFERROR(__xludf.DUMMYFUNCTION("""COMPUTED_VALUE"""),"Mass Ignition")</f>
        <v>Mass Ignition</v>
      </c>
      <c r="AM154" s="32" t="str">
        <f>IFERROR(__xludf.DUMMYFUNCTION("""COMPUTED_VALUE"""),"Darkest Abyss")</f>
        <v>Darkest Abyss</v>
      </c>
      <c r="AN154" s="32" t="str">
        <f>IFERROR(__xludf.DUMMYFUNCTION("""COMPUTED_VALUE"""),"Dark Curse")</f>
        <v>Dark Curse</v>
      </c>
      <c r="AO154" s="32" t="str">
        <f>IFERROR(__xludf.DUMMYFUNCTION("""COMPUTED_VALUE"""),"Confiscate (Enhanced)")</f>
        <v>Confiscate (Enhanced)</v>
      </c>
      <c r="AP154" s="32" t="str">
        <f>IFERROR(__xludf.DUMMYFUNCTION("""COMPUTED_VALUE"""),"Mass Destruction")</f>
        <v>Mass Destruction</v>
      </c>
      <c r="AQ154" s="32"/>
      <c r="AR154" s="32"/>
      <c r="AS154" s="32"/>
      <c r="AT154" s="32"/>
      <c r="AU154" s="32"/>
      <c r="AV154" s="32"/>
      <c r="AW154" s="32"/>
      <c r="AX154" s="32"/>
      <c r="AY154" s="32"/>
      <c r="AZ154" s="32"/>
      <c r="BA154" s="32"/>
      <c r="BB154" s="32"/>
      <c r="BC154" s="32"/>
      <c r="BD154" s="32">
        <f>IFERROR(__xludf.DUMMYFUNCTION("""COMPUTED_VALUE"""),0.0)</f>
        <v>0</v>
      </c>
      <c r="BE154" s="32">
        <f>IFERROR(__xludf.DUMMYFUNCTION("""COMPUTED_VALUE"""),10.0)</f>
        <v>10</v>
      </c>
      <c r="BF154" s="32"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32" t="str">
        <f>IFERROR(__xludf.DUMMYFUNCTION("""COMPUTED_VALUE"""),"All")</f>
        <v>All</v>
      </c>
      <c r="BH154" s="32" t="str">
        <f>IFERROR(__xludf.DUMMYFUNCTION("""COMPUTED_VALUE"""),"Abstara")</f>
        <v>Abstara</v>
      </c>
      <c r="BI154" s="32"/>
      <c r="BJ154" s="32"/>
      <c r="BK154" s="32"/>
      <c r="BL154" s="32" t="b">
        <f>IFERROR(__xludf.DUMMYFUNCTION("""COMPUTED_VALUE"""),FALSE)</f>
        <v>0</v>
      </c>
      <c r="BM154" s="32"/>
      <c r="BN154" s="32"/>
      <c r="BO154" s="32"/>
      <c r="BP154" s="32"/>
      <c r="BQ154" s="32"/>
    </row>
    <row r="155">
      <c r="A155" s="32" t="str">
        <f>IFERROR(__xludf.DUMMYFUNCTION("""COMPUTED_VALUE"""),"Lava Lizard")</f>
        <v>Lava Lizard</v>
      </c>
      <c r="B155" s="32">
        <f>IFERROR(__xludf.DUMMYFUNCTION("""COMPUTED_VALUE"""),1.0)</f>
        <v>1</v>
      </c>
      <c r="C155" s="32"/>
      <c r="D155" s="33" t="str">
        <f>IFERROR(__xludf.DUMMYFUNCTION("""COMPUTED_VALUE"""),"Beast")</f>
        <v>Beast</v>
      </c>
      <c r="E155" s="33">
        <f>IFERROR(__xludf.DUMMYFUNCTION("""COMPUTED_VALUE"""),1010.0)</f>
        <v>1010</v>
      </c>
      <c r="F155" s="33">
        <f>IFERROR(__xludf.DUMMYFUNCTION("""COMPUTED_VALUE"""),1010.0)</f>
        <v>1010</v>
      </c>
      <c r="G155" s="33">
        <f>IFERROR(__xludf.DUMMYFUNCTION("""COMPUTED_VALUE"""),1010.0)</f>
        <v>1010</v>
      </c>
      <c r="H155" s="32">
        <f>IFERROR(__xludf.DUMMYFUNCTION("""COMPUTED_VALUE"""),10.0)</f>
        <v>10</v>
      </c>
      <c r="I155" s="32">
        <f>IFERROR(__xludf.DUMMYFUNCTION("""COMPUTED_VALUE"""),0.0)</f>
        <v>0</v>
      </c>
      <c r="J155" s="32">
        <f>IFERROR(__xludf.DUMMYFUNCTION("""COMPUTED_VALUE"""),0.0)</f>
        <v>0</v>
      </c>
      <c r="K155" s="32">
        <f>IFERROR(__xludf.DUMMYFUNCTION("""COMPUTED_VALUE"""),100.0)</f>
        <v>100</v>
      </c>
      <c r="L155" s="32">
        <f>IFERROR(__xludf.DUMMYFUNCTION("""COMPUTED_VALUE"""),100.0)</f>
        <v>100</v>
      </c>
      <c r="M155" s="32" t="str">
        <f>IFERROR(__xludf.DUMMYFUNCTION("""COMPUTED_VALUE"""),"Fire:Immune, Dark:100, Nature:Immune, ")</f>
        <v>Fire:Immune, Dark:100, Nature:Immune, </v>
      </c>
      <c r="N155" s="32" t="str">
        <f>IFERROR(__xludf.DUMMYFUNCTION("""COMPUTED_VALUE"""),"Water:100, ")</f>
        <v>Water:100, </v>
      </c>
      <c r="O155" s="32"/>
      <c r="P155" s="32"/>
      <c r="Q155" s="32"/>
      <c r="R155" s="32"/>
      <c r="S155" s="32"/>
      <c r="T155" s="32"/>
      <c r="U155" s="32"/>
      <c r="V155" s="32"/>
      <c r="W155" s="32"/>
      <c r="X155" s="32"/>
      <c r="Y155" s="32"/>
      <c r="Z155" s="32"/>
      <c r="AA155" s="32"/>
      <c r="AB155" s="32"/>
      <c r="AC155" s="32"/>
      <c r="AD155" s="32"/>
      <c r="AE155" s="32"/>
      <c r="AF155" s="32"/>
      <c r="AG155" s="32"/>
      <c r="AH155" s="32"/>
      <c r="AI155" s="32"/>
      <c r="AJ155" s="32" t="str">
        <f>IFERROR(__xludf.DUMMYFUNCTION("""COMPUTED_VALUE"""),"Fiery Acidic Spit")</f>
        <v>Fiery Acidic Spit</v>
      </c>
      <c r="AK155" s="32" t="str">
        <f>IFERROR(__xludf.DUMMYFUNCTION("""COMPUTED_VALUE"""),"Flame Thrower")</f>
        <v>Flame Thrower</v>
      </c>
      <c r="AL155" s="32" t="str">
        <f>IFERROR(__xludf.DUMMYFUNCTION("""COMPUTED_VALUE"""),"Volcanic Wall")</f>
        <v>Volcanic Wall</v>
      </c>
      <c r="AM155" s="32" t="str">
        <f>IFERROR(__xludf.DUMMYFUNCTION("""COMPUTED_VALUE"""),"Mass Ignition")</f>
        <v>Mass Ignition</v>
      </c>
      <c r="AN155" s="32" t="str">
        <f>IFERROR(__xludf.DUMMYFUNCTION("""COMPUTED_VALUE"""),"Dark Curse")</f>
        <v>Dark Curse</v>
      </c>
      <c r="AO155" s="32" t="str">
        <f>IFERROR(__xludf.DUMMYFUNCTION("""COMPUTED_VALUE"""),"Celestial Wave")</f>
        <v>Celestial Wave</v>
      </c>
      <c r="AP155" s="32"/>
      <c r="AQ155" s="32"/>
      <c r="AR155" s="32"/>
      <c r="AS155" s="32"/>
      <c r="AT155" s="32"/>
      <c r="AU155" s="32"/>
      <c r="AV155" s="32"/>
      <c r="AW155" s="32"/>
      <c r="AX155" s="32"/>
      <c r="AY155" s="32"/>
      <c r="AZ155" s="32"/>
      <c r="BA155" s="32"/>
      <c r="BB155" s="32"/>
      <c r="BC155" s="32"/>
      <c r="BD155" s="32">
        <f>IFERROR(__xludf.DUMMYFUNCTION("""COMPUTED_VALUE"""),0.0)</f>
        <v>0</v>
      </c>
      <c r="BE155" s="32">
        <f>IFERROR(__xludf.DUMMYFUNCTION("""COMPUTED_VALUE"""),10.0)</f>
        <v>10</v>
      </c>
      <c r="BF155" s="32" t="str">
        <f>IFERROR(__xludf.DUMMYFUNCTION("""COMPUTED_VALUE"""),"A Dark Calling: +5 can be added to this mobs rolls.
Immune to Freezing.")</f>
        <v>A Dark Calling: +5 can be added to this mobs rolls.
Immune to Freezing.</v>
      </c>
      <c r="BG155" s="32" t="str">
        <f>IFERROR(__xludf.DUMMYFUNCTION("""COMPUTED_VALUE"""),"All")</f>
        <v>All</v>
      </c>
      <c r="BH155" s="32" t="str">
        <f>IFERROR(__xludf.DUMMYFUNCTION("""COMPUTED_VALUE"""),"Abstara")</f>
        <v>Abstara</v>
      </c>
      <c r="BI155" s="32"/>
      <c r="BJ155" s="32"/>
      <c r="BK155" s="32"/>
      <c r="BL155" s="32" t="b">
        <f>IFERROR(__xludf.DUMMYFUNCTION("""COMPUTED_VALUE"""),FALSE)</f>
        <v>0</v>
      </c>
      <c r="BM155" s="32"/>
      <c r="BN155" s="32"/>
      <c r="BO155" s="32"/>
      <c r="BP155" s="32"/>
      <c r="BQ155" s="32"/>
    </row>
    <row r="156">
      <c r="A156" s="32" t="str">
        <f>IFERROR(__xludf.DUMMYFUNCTION("""COMPUTED_VALUE"""),"Lava Moth")</f>
        <v>Lava Moth</v>
      </c>
      <c r="B156" s="32">
        <f>IFERROR(__xludf.DUMMYFUNCTION("""COMPUTED_VALUE"""),1.0)</f>
        <v>1</v>
      </c>
      <c r="C156" s="32"/>
      <c r="D156" s="33" t="str">
        <f>IFERROR(__xludf.DUMMYFUNCTION("""COMPUTED_VALUE"""),"Beast")</f>
        <v>Beast</v>
      </c>
      <c r="E156" s="33">
        <f>IFERROR(__xludf.DUMMYFUNCTION("""COMPUTED_VALUE"""),1010.0)</f>
        <v>1010</v>
      </c>
      <c r="F156" s="33">
        <f>IFERROR(__xludf.DUMMYFUNCTION("""COMPUTED_VALUE"""),1010.0)</f>
        <v>1010</v>
      </c>
      <c r="G156" s="33">
        <f>IFERROR(__xludf.DUMMYFUNCTION("""COMPUTED_VALUE"""),1010.0)</f>
        <v>1010</v>
      </c>
      <c r="H156" s="32">
        <f>IFERROR(__xludf.DUMMYFUNCTION("""COMPUTED_VALUE"""),10.0)</f>
        <v>10</v>
      </c>
      <c r="I156" s="32">
        <f>IFERROR(__xludf.DUMMYFUNCTION("""COMPUTED_VALUE"""),0.0)</f>
        <v>0</v>
      </c>
      <c r="J156" s="32">
        <f>IFERROR(__xludf.DUMMYFUNCTION("""COMPUTED_VALUE"""),0.0)</f>
        <v>0</v>
      </c>
      <c r="K156" s="32">
        <f>IFERROR(__xludf.DUMMYFUNCTION("""COMPUTED_VALUE"""),100.0)</f>
        <v>100</v>
      </c>
      <c r="L156" s="32">
        <f>IFERROR(__xludf.DUMMYFUNCTION("""COMPUTED_VALUE"""),100.0)</f>
        <v>100</v>
      </c>
      <c r="M156" s="32" t="str">
        <f>IFERROR(__xludf.DUMMYFUNCTION("""COMPUTED_VALUE"""),"")</f>
        <v/>
      </c>
      <c r="N156" s="32" t="str">
        <f>IFERROR(__xludf.DUMMYFUNCTION("""COMPUTED_VALUE"""),"Water:100, ")</f>
        <v>Water:100, </v>
      </c>
      <c r="O156" s="32"/>
      <c r="P156" s="32"/>
      <c r="Q156" s="32"/>
      <c r="R156" s="32"/>
      <c r="S156" s="32"/>
      <c r="T156" s="32"/>
      <c r="U156" s="32"/>
      <c r="V156" s="32"/>
      <c r="W156" s="32"/>
      <c r="X156" s="32"/>
      <c r="Y156" s="32"/>
      <c r="Z156" s="32"/>
      <c r="AA156" s="32"/>
      <c r="AB156" s="32"/>
      <c r="AC156" s="32"/>
      <c r="AD156" s="32"/>
      <c r="AE156" s="32"/>
      <c r="AF156" s="32"/>
      <c r="AG156" s="32"/>
      <c r="AH156" s="32"/>
      <c r="AI156" s="32"/>
      <c r="AJ156" s="32" t="str">
        <f>IFERROR(__xludf.DUMMYFUNCTION("""COMPUTED_VALUE"""),"Fire Bolt")</f>
        <v>Fire Bolt</v>
      </c>
      <c r="AK156" s="32" t="str">
        <f>IFERROR(__xludf.DUMMYFUNCTION("""COMPUTED_VALUE"""),"Flame Thrower")</f>
        <v>Flame Thrower</v>
      </c>
      <c r="AL156" s="32" t="str">
        <f>IFERROR(__xludf.DUMMYFUNCTION("""COMPUTED_VALUE"""),"Hurricane")</f>
        <v>Hurricane</v>
      </c>
      <c r="AM156" s="32" t="str">
        <f>IFERROR(__xludf.DUMMYFUNCTION("""COMPUTED_VALUE"""),"Gust of Wind")</f>
        <v>Gust of Wind</v>
      </c>
      <c r="AN156" s="32" t="str">
        <f>IFERROR(__xludf.DUMMYFUNCTION("""COMPUTED_VALUE"""),"Shadow Strike")</f>
        <v>Shadow Strike</v>
      </c>
      <c r="AO156" s="32" t="str">
        <f>IFERROR(__xludf.DUMMYFUNCTION("""COMPUTED_VALUE"""),"Devolve")</f>
        <v>Devolve</v>
      </c>
      <c r="AP156" s="32" t="str">
        <f>IFERROR(__xludf.DUMMYFUNCTION("""COMPUTED_VALUE"""),"Berserk")</f>
        <v>Berserk</v>
      </c>
      <c r="AQ156" s="32" t="str">
        <f>IFERROR(__xludf.DUMMYFUNCTION("""COMPUTED_VALUE"""),"Celestial Wave")</f>
        <v>Celestial Wave</v>
      </c>
      <c r="AR156" s="32"/>
      <c r="AS156" s="32"/>
      <c r="AT156" s="32"/>
      <c r="AU156" s="32"/>
      <c r="AV156" s="32"/>
      <c r="AW156" s="32"/>
      <c r="AX156" s="32"/>
      <c r="AY156" s="32"/>
      <c r="AZ156" s="32"/>
      <c r="BA156" s="32"/>
      <c r="BB156" s="32"/>
      <c r="BC156" s="32"/>
      <c r="BD156" s="32">
        <f>IFERROR(__xludf.DUMMYFUNCTION("""COMPUTED_VALUE"""),0.0)</f>
        <v>0</v>
      </c>
      <c r="BE156" s="32">
        <f>IFERROR(__xludf.DUMMYFUNCTION("""COMPUTED_VALUE"""),10.0)</f>
        <v>10</v>
      </c>
      <c r="BF156" s="32" t="str">
        <f>IFERROR(__xludf.DUMMYFUNCTION("""COMPUTED_VALUE"""),"A Dark Calling: +5 can be added to this mobs rolls.
Immune to Freezing.")</f>
        <v>A Dark Calling: +5 can be added to this mobs rolls.
Immune to Freezing.</v>
      </c>
      <c r="BG156" s="32" t="str">
        <f>IFERROR(__xludf.DUMMYFUNCTION("""COMPUTED_VALUE"""),"All")</f>
        <v>All</v>
      </c>
      <c r="BH156" s="32" t="str">
        <f>IFERROR(__xludf.DUMMYFUNCTION("""COMPUTED_VALUE"""),"Abstara")</f>
        <v>Abstara</v>
      </c>
      <c r="BI156" s="32"/>
      <c r="BJ156" s="32"/>
      <c r="BK156" s="32"/>
      <c r="BL156" s="32" t="b">
        <f>IFERROR(__xludf.DUMMYFUNCTION("""COMPUTED_VALUE"""),FALSE)</f>
        <v>0</v>
      </c>
      <c r="BM156" s="32"/>
      <c r="BN156" s="32"/>
      <c r="BO156" s="32"/>
      <c r="BP156" s="32"/>
      <c r="BQ156" s="32"/>
    </row>
    <row r="157">
      <c r="A157" s="32" t="str">
        <f>IFERROR(__xludf.DUMMYFUNCTION("""COMPUTED_VALUE"""),"Lava Panther")</f>
        <v>Lava Panther</v>
      </c>
      <c r="B157" s="32">
        <f>IFERROR(__xludf.DUMMYFUNCTION("""COMPUTED_VALUE"""),1.0)</f>
        <v>1</v>
      </c>
      <c r="C157" s="32"/>
      <c r="D157" s="33" t="str">
        <f>IFERROR(__xludf.DUMMYFUNCTION("""COMPUTED_VALUE"""),"Beast")</f>
        <v>Beast</v>
      </c>
      <c r="E157" s="33">
        <f>IFERROR(__xludf.DUMMYFUNCTION("""COMPUTED_VALUE"""),1010.0)</f>
        <v>1010</v>
      </c>
      <c r="F157" s="33">
        <f>IFERROR(__xludf.DUMMYFUNCTION("""COMPUTED_VALUE"""),1010.0)</f>
        <v>1010</v>
      </c>
      <c r="G157" s="33">
        <f>IFERROR(__xludf.DUMMYFUNCTION("""COMPUTED_VALUE"""),1010.0)</f>
        <v>1010</v>
      </c>
      <c r="H157" s="32">
        <f>IFERROR(__xludf.DUMMYFUNCTION("""COMPUTED_VALUE"""),10.0)</f>
        <v>10</v>
      </c>
      <c r="I157" s="32">
        <f>IFERROR(__xludf.DUMMYFUNCTION("""COMPUTED_VALUE"""),0.0)</f>
        <v>0</v>
      </c>
      <c r="J157" s="32">
        <f>IFERROR(__xludf.DUMMYFUNCTION("""COMPUTED_VALUE"""),0.0)</f>
        <v>0</v>
      </c>
      <c r="K157" s="32">
        <f>IFERROR(__xludf.DUMMYFUNCTION("""COMPUTED_VALUE"""),100.0)</f>
        <v>100</v>
      </c>
      <c r="L157" s="32">
        <f>IFERROR(__xludf.DUMMYFUNCTION("""COMPUTED_VALUE"""),100.0)</f>
        <v>100</v>
      </c>
      <c r="M157" s="32" t="str">
        <f>IFERROR(__xludf.DUMMYFUNCTION("""COMPUTED_VALUE"""),"Fire:Immune, ")</f>
        <v>Fire:Immune, </v>
      </c>
      <c r="N157" s="32" t="str">
        <f>IFERROR(__xludf.DUMMYFUNCTION("""COMPUTED_VALUE"""),"Water:100, ")</f>
        <v>Water:100, </v>
      </c>
      <c r="O157" s="32"/>
      <c r="P157" s="32"/>
      <c r="Q157" s="32"/>
      <c r="R157" s="32"/>
      <c r="S157" s="32"/>
      <c r="T157" s="32"/>
      <c r="U157" s="32"/>
      <c r="V157" s="32"/>
      <c r="W157" s="32"/>
      <c r="X157" s="32"/>
      <c r="Y157" s="32"/>
      <c r="Z157" s="32"/>
      <c r="AA157" s="32"/>
      <c r="AB157" s="32"/>
      <c r="AC157" s="32"/>
      <c r="AD157" s="32"/>
      <c r="AE157" s="32"/>
      <c r="AF157" s="32"/>
      <c r="AG157" s="32"/>
      <c r="AH157" s="32"/>
      <c r="AI157" s="32"/>
      <c r="AJ157" s="32" t="str">
        <f>IFERROR(__xludf.DUMMYFUNCTION("""COMPUTED_VALUE"""),"Flaming Bite")</f>
        <v>Flaming Bite</v>
      </c>
      <c r="AK157" s="32" t="str">
        <f>IFERROR(__xludf.DUMMYFUNCTION("""COMPUTED_VALUE"""),"Volcanic Claws")</f>
        <v>Volcanic Claws</v>
      </c>
      <c r="AL157" s="32" t="str">
        <f>IFERROR(__xludf.DUMMYFUNCTION("""COMPUTED_VALUE"""),"Claws")</f>
        <v>Claws</v>
      </c>
      <c r="AM157" s="32" t="str">
        <f>IFERROR(__xludf.DUMMYFUNCTION("""COMPUTED_VALUE"""),"Lunge")</f>
        <v>Lunge</v>
      </c>
      <c r="AN157" s="32" t="str">
        <f>IFERROR(__xludf.DUMMYFUNCTION("""COMPUTED_VALUE"""),"Berserk")</f>
        <v>Berserk</v>
      </c>
      <c r="AO157" s="32" t="str">
        <f>IFERROR(__xludf.DUMMYFUNCTION("""COMPUTED_VALUE"""),"Celestial Strike")</f>
        <v>Celestial Strike</v>
      </c>
      <c r="AP157" s="32"/>
      <c r="AQ157" s="32"/>
      <c r="AR157" s="32"/>
      <c r="AS157" s="32"/>
      <c r="AT157" s="32"/>
      <c r="AU157" s="32"/>
      <c r="AV157" s="32"/>
      <c r="AW157" s="32"/>
      <c r="AX157" s="32"/>
      <c r="AY157" s="32"/>
      <c r="AZ157" s="32"/>
      <c r="BA157" s="32"/>
      <c r="BB157" s="32"/>
      <c r="BC157" s="32"/>
      <c r="BD157" s="32">
        <f>IFERROR(__xludf.DUMMYFUNCTION("""COMPUTED_VALUE"""),0.0)</f>
        <v>0</v>
      </c>
      <c r="BE157" s="32">
        <f>IFERROR(__xludf.DUMMYFUNCTION("""COMPUTED_VALUE"""),10.0)</f>
        <v>10</v>
      </c>
      <c r="BF157" s="32" t="str">
        <f>IFERROR(__xludf.DUMMYFUNCTION("""COMPUTED_VALUE"""),"A Dark Calling: +5 can be added to this mobs rolls.
Immune to Freezing.")</f>
        <v>A Dark Calling: +5 can be added to this mobs rolls.
Immune to Freezing.</v>
      </c>
      <c r="BG157" s="32" t="str">
        <f>IFERROR(__xludf.DUMMYFUNCTION("""COMPUTED_VALUE"""),"All")</f>
        <v>All</v>
      </c>
      <c r="BH157" s="32" t="str">
        <f>IFERROR(__xludf.DUMMYFUNCTION("""COMPUTED_VALUE"""),"Abstara")</f>
        <v>Abstara</v>
      </c>
      <c r="BI157" s="32"/>
      <c r="BJ157" s="32"/>
      <c r="BK157" s="32"/>
      <c r="BL157" s="32" t="b">
        <f>IFERROR(__xludf.DUMMYFUNCTION("""COMPUTED_VALUE"""),FALSE)</f>
        <v>0</v>
      </c>
      <c r="BM157" s="32"/>
      <c r="BN157" s="32"/>
      <c r="BO157" s="32"/>
      <c r="BP157" s="32"/>
      <c r="BQ157" s="32"/>
    </row>
    <row r="158">
      <c r="A158" s="32" t="str">
        <f>IFERROR(__xludf.DUMMYFUNCTION("""COMPUTED_VALUE"""),"Lava Rat")</f>
        <v>Lava Rat</v>
      </c>
      <c r="B158" s="32">
        <f>IFERROR(__xludf.DUMMYFUNCTION("""COMPUTED_VALUE"""),1.0)</f>
        <v>1</v>
      </c>
      <c r="C158" s="32"/>
      <c r="D158" s="33" t="str">
        <f>IFERROR(__xludf.DUMMYFUNCTION("""COMPUTED_VALUE"""),"Beast")</f>
        <v>Beast</v>
      </c>
      <c r="E158" s="33">
        <f>IFERROR(__xludf.DUMMYFUNCTION("""COMPUTED_VALUE"""),1010.0)</f>
        <v>1010</v>
      </c>
      <c r="F158" s="33">
        <f>IFERROR(__xludf.DUMMYFUNCTION("""COMPUTED_VALUE"""),1010.0)</f>
        <v>1010</v>
      </c>
      <c r="G158" s="33">
        <f>IFERROR(__xludf.DUMMYFUNCTION("""COMPUTED_VALUE"""),1010.0)</f>
        <v>1010</v>
      </c>
      <c r="H158" s="32">
        <f>IFERROR(__xludf.DUMMYFUNCTION("""COMPUTED_VALUE"""),10.0)</f>
        <v>10</v>
      </c>
      <c r="I158" s="32">
        <f>IFERROR(__xludf.DUMMYFUNCTION("""COMPUTED_VALUE"""),0.0)</f>
        <v>0</v>
      </c>
      <c r="J158" s="32">
        <f>IFERROR(__xludf.DUMMYFUNCTION("""COMPUTED_VALUE"""),0.0)</f>
        <v>0</v>
      </c>
      <c r="K158" s="32">
        <f>IFERROR(__xludf.DUMMYFUNCTION("""COMPUTED_VALUE"""),100.0)</f>
        <v>100</v>
      </c>
      <c r="L158" s="32">
        <f>IFERROR(__xludf.DUMMYFUNCTION("""COMPUTED_VALUE"""),100.0)</f>
        <v>100</v>
      </c>
      <c r="M158" s="32" t="str">
        <f>IFERROR(__xludf.DUMMYFUNCTION("""COMPUTED_VALUE"""),"Fire:Immune, ")</f>
        <v>Fire:Immune, </v>
      </c>
      <c r="N158" s="32" t="str">
        <f>IFERROR(__xludf.DUMMYFUNCTION("""COMPUTED_VALUE"""),"Water:100, ")</f>
        <v>Water:100, </v>
      </c>
      <c r="O158" s="32"/>
      <c r="P158" s="32"/>
      <c r="Q158" s="32"/>
      <c r="R158" s="32"/>
      <c r="S158" s="32"/>
      <c r="T158" s="32"/>
      <c r="U158" s="32"/>
      <c r="V158" s="32"/>
      <c r="W158" s="32"/>
      <c r="X158" s="32"/>
      <c r="Y158" s="32"/>
      <c r="Z158" s="32"/>
      <c r="AA158" s="32"/>
      <c r="AB158" s="32"/>
      <c r="AC158" s="32"/>
      <c r="AD158" s="32"/>
      <c r="AE158" s="32"/>
      <c r="AF158" s="32"/>
      <c r="AG158" s="32"/>
      <c r="AH158" s="32"/>
      <c r="AI158" s="32"/>
      <c r="AJ158" s="32" t="str">
        <f>IFERROR(__xludf.DUMMYFUNCTION("""COMPUTED_VALUE"""),"Flaming Bite")</f>
        <v>Flaming Bite</v>
      </c>
      <c r="AK158" s="32" t="str">
        <f>IFERROR(__xludf.DUMMYFUNCTION("""COMPUTED_VALUE"""),"Volcanic Claws")</f>
        <v>Volcanic Claws</v>
      </c>
      <c r="AL158" s="32" t="str">
        <f>IFERROR(__xludf.DUMMYFUNCTION("""COMPUTED_VALUE"""),"Claws")</f>
        <v>Claws</v>
      </c>
      <c r="AM158" s="32" t="str">
        <f>IFERROR(__xludf.DUMMYFUNCTION("""COMPUTED_VALUE"""),"Flame Thrower")</f>
        <v>Flame Thrower</v>
      </c>
      <c r="AN158" s="32" t="str">
        <f>IFERROR(__xludf.DUMMYFUNCTION("""COMPUTED_VALUE"""),"Berserk")</f>
        <v>Berserk</v>
      </c>
      <c r="AO158" s="32" t="str">
        <f>IFERROR(__xludf.DUMMYFUNCTION("""COMPUTED_VALUE"""),"Dark Sacrifice")</f>
        <v>Dark Sacrifice</v>
      </c>
      <c r="AP158" s="32" t="str">
        <f>IFERROR(__xludf.DUMMYFUNCTION("""COMPUTED_VALUE"""),"Celestial Strike")</f>
        <v>Celestial Strike</v>
      </c>
      <c r="AQ158" s="32"/>
      <c r="AR158" s="32"/>
      <c r="AS158" s="32"/>
      <c r="AT158" s="32"/>
      <c r="AU158" s="32"/>
      <c r="AV158" s="32"/>
      <c r="AW158" s="32"/>
      <c r="AX158" s="32"/>
      <c r="AY158" s="32"/>
      <c r="AZ158" s="32"/>
      <c r="BA158" s="32"/>
      <c r="BB158" s="32"/>
      <c r="BC158" s="32"/>
      <c r="BD158" s="32">
        <f>IFERROR(__xludf.DUMMYFUNCTION("""COMPUTED_VALUE"""),0.0)</f>
        <v>0</v>
      </c>
      <c r="BE158" s="32">
        <f>IFERROR(__xludf.DUMMYFUNCTION("""COMPUTED_VALUE"""),10.0)</f>
        <v>10</v>
      </c>
      <c r="BF158" s="32" t="str">
        <f>IFERROR(__xludf.DUMMYFUNCTION("""COMPUTED_VALUE"""),"A Dark Calling: +5 can be added to this mobs rolls.
Immune to Freezing.")</f>
        <v>A Dark Calling: +5 can be added to this mobs rolls.
Immune to Freezing.</v>
      </c>
      <c r="BG158" s="32" t="str">
        <f>IFERROR(__xludf.DUMMYFUNCTION("""COMPUTED_VALUE"""),"All")</f>
        <v>All</v>
      </c>
      <c r="BH158" s="32" t="str">
        <f>IFERROR(__xludf.DUMMYFUNCTION("""COMPUTED_VALUE"""),"Abstara")</f>
        <v>Abstara</v>
      </c>
      <c r="BI158" s="32"/>
      <c r="BJ158" s="32"/>
      <c r="BK158" s="32"/>
      <c r="BL158" s="32" t="b">
        <f>IFERROR(__xludf.DUMMYFUNCTION("""COMPUTED_VALUE"""),FALSE)</f>
        <v>0</v>
      </c>
      <c r="BM158" s="32"/>
      <c r="BN158" s="32"/>
      <c r="BO158" s="32"/>
      <c r="BP158" s="32"/>
      <c r="BQ158" s="32"/>
    </row>
    <row r="159">
      <c r="A159" s="32" t="str">
        <f>IFERROR(__xludf.DUMMYFUNCTION("""COMPUTED_VALUE"""),"Rat King")</f>
        <v>Rat King</v>
      </c>
      <c r="B159" s="32">
        <f>IFERROR(__xludf.DUMMYFUNCTION("""COMPUTED_VALUE"""),1.0)</f>
        <v>1</v>
      </c>
      <c r="C159" s="32"/>
      <c r="D159" s="33" t="str">
        <f>IFERROR(__xludf.DUMMYFUNCTION("""COMPUTED_VALUE"""),"Beast")</f>
        <v>Beast</v>
      </c>
      <c r="E159" s="33">
        <f>IFERROR(__xludf.DUMMYFUNCTION("""COMPUTED_VALUE"""),1010.0)</f>
        <v>1010</v>
      </c>
      <c r="F159" s="33">
        <f>IFERROR(__xludf.DUMMYFUNCTION("""COMPUTED_VALUE"""),1010.0)</f>
        <v>1010</v>
      </c>
      <c r="G159" s="33">
        <f>IFERROR(__xludf.DUMMYFUNCTION("""COMPUTED_VALUE"""),1010.0)</f>
        <v>1010</v>
      </c>
      <c r="H159" s="32">
        <f>IFERROR(__xludf.DUMMYFUNCTION("""COMPUTED_VALUE"""),10.0)</f>
        <v>10</v>
      </c>
      <c r="I159" s="32">
        <f>IFERROR(__xludf.DUMMYFUNCTION("""COMPUTED_VALUE"""),0.0)</f>
        <v>0</v>
      </c>
      <c r="J159" s="32">
        <f>IFERROR(__xludf.DUMMYFUNCTION("""COMPUTED_VALUE"""),0.0)</f>
        <v>0</v>
      </c>
      <c r="K159" s="32">
        <f>IFERROR(__xludf.DUMMYFUNCTION("""COMPUTED_VALUE"""),100.0)</f>
        <v>100</v>
      </c>
      <c r="L159" s="32">
        <f>IFERROR(__xludf.DUMMYFUNCTION("""COMPUTED_VALUE"""),100.0)</f>
        <v>100</v>
      </c>
      <c r="M159" s="32" t="str">
        <f>IFERROR(__xludf.DUMMYFUNCTION("""COMPUTED_VALUE"""),"Dark:Immune, Chaos:Immune, Voodoo:Immune, Instant Death:Immune, Banishment:Immune, ")</f>
        <v>Dark:Immune, Chaos:Immune, Voodoo:Immune, Instant Death:Immune, Banishment:Immune, </v>
      </c>
      <c r="N159" s="32" t="str">
        <f>IFERROR(__xludf.DUMMYFUNCTION("""COMPUTED_VALUE"""),"Light:100, Order:100, ")</f>
        <v>Light:100, Order:100, </v>
      </c>
      <c r="O159" s="32" t="str">
        <f>IFERROR(__xludf.DUMMYFUNCTION("""COMPUTED_VALUE"""),"Rat King's Crown")</f>
        <v>Rat King's Crown</v>
      </c>
      <c r="P159" s="32"/>
      <c r="Q159" s="32"/>
      <c r="R159" s="32"/>
      <c r="S159" s="32"/>
      <c r="T159" s="32"/>
      <c r="U159" s="32"/>
      <c r="V159" s="32"/>
      <c r="W159" s="32"/>
      <c r="X159" s="32"/>
      <c r="Y159" s="32"/>
      <c r="Z159" s="32"/>
      <c r="AA159" s="32"/>
      <c r="AB159" s="32"/>
      <c r="AC159" s="32"/>
      <c r="AD159" s="32"/>
      <c r="AE159" s="32"/>
      <c r="AF159" s="32"/>
      <c r="AG159" s="32"/>
      <c r="AH159" s="32"/>
      <c r="AI159" s="32"/>
      <c r="AJ159" s="32" t="str">
        <f>IFERROR(__xludf.DUMMYFUNCTION("""COMPUTED_VALUE"""),"Chaincast")</f>
        <v>Chaincast</v>
      </c>
      <c r="AK159" s="32" t="str">
        <f>IFERROR(__xludf.DUMMYFUNCTION("""COMPUTED_VALUE"""),"Last Gamble")</f>
        <v>Last Gamble</v>
      </c>
      <c r="AL159" s="32" t="str">
        <f>IFERROR(__xludf.DUMMYFUNCTION("""COMPUTED_VALUE"""),"Voodoo Meteor Shower")</f>
        <v>Voodoo Meteor Shower</v>
      </c>
      <c r="AM159" s="32" t="str">
        <f>IFERROR(__xludf.DUMMYFUNCTION("""COMPUTED_VALUE"""),"Banish")</f>
        <v>Banish</v>
      </c>
      <c r="AN159" s="32" t="str">
        <f>IFERROR(__xludf.DUMMYFUNCTION("""COMPUTED_VALUE"""),"Chains of Shadow")</f>
        <v>Chains of Shadow</v>
      </c>
      <c r="AO159" s="32" t="str">
        <f>IFERROR(__xludf.DUMMYFUNCTION("""COMPUTED_VALUE"""),"Devolve")</f>
        <v>Devolve</v>
      </c>
      <c r="AP159" s="32" t="str">
        <f>IFERROR(__xludf.DUMMYFUNCTION("""COMPUTED_VALUE"""),"Dimensional Quake")</f>
        <v>Dimensional Quake</v>
      </c>
      <c r="AQ159" s="32"/>
      <c r="AR159" s="32" t="str">
        <f>IFERROR(__xludf.DUMMYFUNCTION("""COMPUTED_VALUE"""),"Countdown")</f>
        <v>Countdown</v>
      </c>
      <c r="AS159" s="32" t="str">
        <f>IFERROR(__xludf.DUMMYFUNCTION("""COMPUTED_VALUE"""),"Berserk")</f>
        <v>Berserk</v>
      </c>
      <c r="AT159" s="32" t="str">
        <f>IFERROR(__xludf.DUMMYFUNCTION("""COMPUTED_VALUE"""),"Celestial Wrath")</f>
        <v>Celestial Wrath</v>
      </c>
      <c r="AU159" s="32"/>
      <c r="AV159" s="32"/>
      <c r="AW159" s="32"/>
      <c r="AX159" s="32"/>
      <c r="AY159" s="32"/>
      <c r="AZ159" s="32"/>
      <c r="BA159" s="32"/>
      <c r="BB159" s="32"/>
      <c r="BC159" s="32"/>
      <c r="BD159" s="32">
        <f>IFERROR(__xludf.DUMMYFUNCTION("""COMPUTED_VALUE"""),0.0)</f>
        <v>0</v>
      </c>
      <c r="BE159" s="32">
        <f>IFERROR(__xludf.DUMMYFUNCTION("""COMPUTED_VALUE"""),10.0)</f>
        <v>10</v>
      </c>
      <c r="BF159" s="32"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32" t="str">
        <f>IFERROR(__xludf.DUMMYFUNCTION("""COMPUTED_VALUE"""),"All")</f>
        <v>All</v>
      </c>
      <c r="BH159" s="32" t="str">
        <f>IFERROR(__xludf.DUMMYFUNCTION("""COMPUTED_VALUE"""),"Abstara")</f>
        <v>Abstara</v>
      </c>
      <c r="BI159" s="32"/>
      <c r="BJ159" s="32"/>
      <c r="BK159" s="32"/>
      <c r="BL159" s="32" t="b">
        <f>IFERROR(__xludf.DUMMYFUNCTION("""COMPUTED_VALUE"""),FALSE)</f>
        <v>0</v>
      </c>
      <c r="BM159" s="32"/>
      <c r="BN159" s="32"/>
      <c r="BO159" s="32"/>
      <c r="BP159" s="32"/>
      <c r="BQ159" s="32"/>
    </row>
    <row r="160">
      <c r="A160" s="32" t="str">
        <f>IFERROR(__xludf.DUMMYFUNCTION("""COMPUTED_VALUE"""),"Lava Tiger")</f>
        <v>Lava Tiger</v>
      </c>
      <c r="B160" s="32">
        <f>IFERROR(__xludf.DUMMYFUNCTION("""COMPUTED_VALUE"""),1.0)</f>
        <v>1</v>
      </c>
      <c r="C160" s="32"/>
      <c r="D160" s="33" t="str">
        <f>IFERROR(__xludf.DUMMYFUNCTION("""COMPUTED_VALUE"""),"Beast")</f>
        <v>Beast</v>
      </c>
      <c r="E160" s="33">
        <f>IFERROR(__xludf.DUMMYFUNCTION("""COMPUTED_VALUE"""),1010.0)</f>
        <v>1010</v>
      </c>
      <c r="F160" s="33">
        <f>IFERROR(__xludf.DUMMYFUNCTION("""COMPUTED_VALUE"""),1010.0)</f>
        <v>1010</v>
      </c>
      <c r="G160" s="33">
        <f>IFERROR(__xludf.DUMMYFUNCTION("""COMPUTED_VALUE"""),1010.0)</f>
        <v>1010</v>
      </c>
      <c r="H160" s="32">
        <f>IFERROR(__xludf.DUMMYFUNCTION("""COMPUTED_VALUE"""),10.0)</f>
        <v>10</v>
      </c>
      <c r="I160" s="32">
        <f>IFERROR(__xludf.DUMMYFUNCTION("""COMPUTED_VALUE"""),0.0)</f>
        <v>0</v>
      </c>
      <c r="J160" s="32">
        <f>IFERROR(__xludf.DUMMYFUNCTION("""COMPUTED_VALUE"""),0.0)</f>
        <v>0</v>
      </c>
      <c r="K160" s="32">
        <f>IFERROR(__xludf.DUMMYFUNCTION("""COMPUTED_VALUE"""),100.0)</f>
        <v>100</v>
      </c>
      <c r="L160" s="32">
        <f>IFERROR(__xludf.DUMMYFUNCTION("""COMPUTED_VALUE"""),100.0)</f>
        <v>100</v>
      </c>
      <c r="M160" s="32" t="str">
        <f>IFERROR(__xludf.DUMMYFUNCTION("""COMPUTED_VALUE"""),"Fire:100, Nature:Immune, ")</f>
        <v>Fire:100, Nature:Immune, </v>
      </c>
      <c r="N160" s="32" t="str">
        <f>IFERROR(__xludf.DUMMYFUNCTION("""COMPUTED_VALUE"""),"Water:100, ")</f>
        <v>Water:100, </v>
      </c>
      <c r="O160" s="32"/>
      <c r="P160" s="32"/>
      <c r="Q160" s="32"/>
      <c r="R160" s="32"/>
      <c r="S160" s="32"/>
      <c r="T160" s="32"/>
      <c r="U160" s="32"/>
      <c r="V160" s="32"/>
      <c r="W160" s="32"/>
      <c r="X160" s="32"/>
      <c r="Y160" s="32"/>
      <c r="Z160" s="32"/>
      <c r="AA160" s="32"/>
      <c r="AB160" s="32"/>
      <c r="AC160" s="32"/>
      <c r="AD160" s="32"/>
      <c r="AE160" s="32"/>
      <c r="AF160" s="32"/>
      <c r="AG160" s="32"/>
      <c r="AH160" s="32"/>
      <c r="AI160" s="32"/>
      <c r="AJ160" s="32" t="str">
        <f>IFERROR(__xludf.DUMMYFUNCTION("""COMPUTED_VALUE"""),"Volcanic Claws")</f>
        <v>Volcanic Claws</v>
      </c>
      <c r="AK160" s="32" t="str">
        <f>IFERROR(__xludf.DUMMYFUNCTION("""COMPUTED_VALUE"""),"Roar Of Heatmore")</f>
        <v>Roar Of Heatmore</v>
      </c>
      <c r="AL160" s="32"/>
      <c r="AM160" s="32" t="str">
        <f>IFERROR(__xludf.DUMMYFUNCTION("""COMPUTED_VALUE"""),"Flame Thrower")</f>
        <v>Flame Thrower</v>
      </c>
      <c r="AN160" s="32" t="str">
        <f>IFERROR(__xludf.DUMMYFUNCTION("""COMPUTED_VALUE"""),"Forgotten Fire")</f>
        <v>Forgotten Fire</v>
      </c>
      <c r="AO160" s="32" t="str">
        <f>IFERROR(__xludf.DUMMYFUNCTION("""COMPUTED_VALUE"""),"Heighten reflexes")</f>
        <v>Heighten reflexes</v>
      </c>
      <c r="AP160" s="32"/>
      <c r="AQ160" s="32"/>
      <c r="AR160" s="32"/>
      <c r="AS160" s="32"/>
      <c r="AT160" s="32"/>
      <c r="AU160" s="32"/>
      <c r="AV160" s="32"/>
      <c r="AW160" s="32"/>
      <c r="AX160" s="32"/>
      <c r="AY160" s="32"/>
      <c r="AZ160" s="32"/>
      <c r="BA160" s="32"/>
      <c r="BB160" s="32"/>
      <c r="BC160" s="32"/>
      <c r="BD160" s="32">
        <f>IFERROR(__xludf.DUMMYFUNCTION("""COMPUTED_VALUE"""),0.0)</f>
        <v>0</v>
      </c>
      <c r="BE160" s="32">
        <f>IFERROR(__xludf.DUMMYFUNCTION("""COMPUTED_VALUE"""),10.0)</f>
        <v>10</v>
      </c>
      <c r="BF160" s="32"/>
      <c r="BG160" s="32" t="str">
        <f>IFERROR(__xludf.DUMMYFUNCTION("""COMPUTED_VALUE"""),"Heatmore Jungle")</f>
        <v>Heatmore Jungle</v>
      </c>
      <c r="BH160" s="32" t="str">
        <f>IFERROR(__xludf.DUMMYFUNCTION("""COMPUTED_VALUE"""),"Land Of Spira")</f>
        <v>Land Of Spira</v>
      </c>
      <c r="BI160" s="32"/>
      <c r="BJ160" s="32"/>
      <c r="BK160" s="32"/>
      <c r="BL160" s="32" t="b">
        <f>IFERROR(__xludf.DUMMYFUNCTION("""COMPUTED_VALUE"""),FALSE)</f>
        <v>0</v>
      </c>
      <c r="BM160" s="32"/>
      <c r="BN160" s="32"/>
      <c r="BO160" s="32"/>
      <c r="BP160" s="32"/>
      <c r="BQ160" s="32"/>
    </row>
    <row r="161">
      <c r="A161" s="32" t="str">
        <f>IFERROR(__xludf.DUMMYFUNCTION("""COMPUTED_VALUE"""),"Legendary Treant")</f>
        <v>Legendary Treant</v>
      </c>
      <c r="B161" s="32">
        <f>IFERROR(__xludf.DUMMYFUNCTION("""COMPUTED_VALUE"""),1.0)</f>
        <v>1</v>
      </c>
      <c r="C161" s="32"/>
      <c r="D161" s="33" t="str">
        <f>IFERROR(__xludf.DUMMYFUNCTION("""COMPUTED_VALUE"""),"Monstrosity")</f>
        <v>Monstrosity</v>
      </c>
      <c r="E161" s="33">
        <f>IFERROR(__xludf.DUMMYFUNCTION("""COMPUTED_VALUE"""),1010.0)</f>
        <v>1010</v>
      </c>
      <c r="F161" s="33">
        <f>IFERROR(__xludf.DUMMYFUNCTION("""COMPUTED_VALUE"""),1010.0)</f>
        <v>1010</v>
      </c>
      <c r="G161" s="33">
        <f>IFERROR(__xludf.DUMMYFUNCTION("""COMPUTED_VALUE"""),1010.0)</f>
        <v>1010</v>
      </c>
      <c r="H161" s="32">
        <f>IFERROR(__xludf.DUMMYFUNCTION("""COMPUTED_VALUE"""),10.0)</f>
        <v>10</v>
      </c>
      <c r="I161" s="32">
        <f>IFERROR(__xludf.DUMMYFUNCTION("""COMPUTED_VALUE"""),0.0)</f>
        <v>0</v>
      </c>
      <c r="J161" s="32">
        <f>IFERROR(__xludf.DUMMYFUNCTION("""COMPUTED_VALUE"""),0.0)</f>
        <v>0</v>
      </c>
      <c r="K161" s="32">
        <f>IFERROR(__xludf.DUMMYFUNCTION("""COMPUTED_VALUE"""),100.0)</f>
        <v>100</v>
      </c>
      <c r="L161" s="32">
        <f>IFERROR(__xludf.DUMMYFUNCTION("""COMPUTED_VALUE"""),100.0)</f>
        <v>100</v>
      </c>
      <c r="M161" s="32" t="str">
        <f>IFERROR(__xludf.DUMMYFUNCTION("""COMPUTED_VALUE"""),"Water:Immune, Nature:Immune, ")</f>
        <v>Water:Immune, Nature:Immune, </v>
      </c>
      <c r="N161" s="32" t="str">
        <f>IFERROR(__xludf.DUMMYFUNCTION("""COMPUTED_VALUE"""),"Fire:100, Storm:100, ")</f>
        <v>Fire:100, Storm:100, </v>
      </c>
      <c r="O161" s="32"/>
      <c r="P161" s="32"/>
      <c r="Q161" s="32"/>
      <c r="R161" s="32"/>
      <c r="S161" s="32"/>
      <c r="T161" s="32"/>
      <c r="U161" s="32"/>
      <c r="V161" s="32" t="str">
        <f>IFERROR(__xludf.DUMMYFUNCTION("""COMPUTED_VALUE"""),"Legendary Tree Sword")</f>
        <v>Legendary Tree Sword</v>
      </c>
      <c r="W161" s="32"/>
      <c r="X161" s="32"/>
      <c r="Y161" s="32"/>
      <c r="Z161" s="32"/>
      <c r="AA161" s="32"/>
      <c r="AB161" s="32"/>
      <c r="AC161" s="32"/>
      <c r="AD161" s="32"/>
      <c r="AE161" s="32"/>
      <c r="AF161" s="32"/>
      <c r="AG161" s="32"/>
      <c r="AH161" s="32"/>
      <c r="AI161" s="32"/>
      <c r="AJ161" s="32" t="str">
        <f>IFERROR(__xludf.DUMMYFUNCTION("""COMPUTED_VALUE"""),"Tree Throw")</f>
        <v>Tree Throw</v>
      </c>
      <c r="AK161" s="32" t="str">
        <f>IFERROR(__xludf.DUMMYFUNCTION("""COMPUTED_VALUE"""),"Bite")</f>
        <v>Bite</v>
      </c>
      <c r="AL161" s="32" t="str">
        <f>IFERROR(__xludf.DUMMYFUNCTION("""COMPUTED_VALUE"""),"Absorb Life")</f>
        <v>Absorb Life</v>
      </c>
      <c r="AM161" s="32" t="str">
        <f>IFERROR(__xludf.DUMMYFUNCTION("""COMPUTED_VALUE"""),"Mountain Formation")</f>
        <v>Mountain Formation</v>
      </c>
      <c r="AN161" s="32" t="str">
        <f>IFERROR(__xludf.DUMMYFUNCTION("""COMPUTED_VALUE"""),"Sand Hole")</f>
        <v>Sand Hole</v>
      </c>
      <c r="AO161" s="32"/>
      <c r="AP161" s="32"/>
      <c r="AQ161" s="32"/>
      <c r="AR161" s="32"/>
      <c r="AS161" s="32"/>
      <c r="AT161" s="32"/>
      <c r="AU161" s="32"/>
      <c r="AV161" s="32"/>
      <c r="AW161" s="32"/>
      <c r="AX161" s="32"/>
      <c r="AY161" s="32"/>
      <c r="AZ161" s="32"/>
      <c r="BA161" s="32"/>
      <c r="BB161" s="32"/>
      <c r="BC161" s="32"/>
      <c r="BD161" s="32">
        <f>IFERROR(__xludf.DUMMYFUNCTION("""COMPUTED_VALUE"""),0.0)</f>
        <v>0</v>
      </c>
      <c r="BE161" s="32">
        <f>IFERROR(__xludf.DUMMYFUNCTION("""COMPUTED_VALUE"""),10.0)</f>
        <v>10</v>
      </c>
      <c r="BF161" s="32"/>
      <c r="BG161" s="32" t="str">
        <f>IFERROR(__xludf.DUMMYFUNCTION("""COMPUTED_VALUE"""),"Forest")</f>
        <v>Forest</v>
      </c>
      <c r="BH161" s="32" t="str">
        <f>IFERROR(__xludf.DUMMYFUNCTION("""COMPUTED_VALUE"""),"Land of Spira")</f>
        <v>Land of Spira</v>
      </c>
      <c r="BI161" s="32"/>
      <c r="BJ161" s="32"/>
      <c r="BK161" s="32"/>
      <c r="BL161" s="32" t="b">
        <f>IFERROR(__xludf.DUMMYFUNCTION("""COMPUTED_VALUE"""),FALSE)</f>
        <v>0</v>
      </c>
      <c r="BM161" s="32"/>
      <c r="BN161" s="32"/>
      <c r="BO161" s="32"/>
      <c r="BP161" s="32"/>
      <c r="BQ161" s="32"/>
    </row>
    <row r="162">
      <c r="A162" s="32" t="str">
        <f>IFERROR(__xludf.DUMMYFUNCTION("""COMPUTED_VALUE"""),"Locust Swarm")</f>
        <v>Locust Swarm</v>
      </c>
      <c r="B162" s="32">
        <f>IFERROR(__xludf.DUMMYFUNCTION("""COMPUTED_VALUE"""),1.0)</f>
        <v>1</v>
      </c>
      <c r="C162" s="32"/>
      <c r="D162" s="33" t="str">
        <f>IFERROR(__xludf.DUMMYFUNCTION("""COMPUTED_VALUE"""),"Beast")</f>
        <v>Beast</v>
      </c>
      <c r="E162" s="33">
        <f>IFERROR(__xludf.DUMMYFUNCTION("""COMPUTED_VALUE"""),1010.0)</f>
        <v>1010</v>
      </c>
      <c r="F162" s="33">
        <f>IFERROR(__xludf.DUMMYFUNCTION("""COMPUTED_VALUE"""),1010.0)</f>
        <v>1010</v>
      </c>
      <c r="G162" s="33">
        <f>IFERROR(__xludf.DUMMYFUNCTION("""COMPUTED_VALUE"""),1010.0)</f>
        <v>1010</v>
      </c>
      <c r="H162" s="32">
        <f>IFERROR(__xludf.DUMMYFUNCTION("""COMPUTED_VALUE"""),35.0)</f>
        <v>35</v>
      </c>
      <c r="I162" s="32">
        <f>IFERROR(__xludf.DUMMYFUNCTION("""COMPUTED_VALUE"""),0.0)</f>
        <v>0</v>
      </c>
      <c r="J162" s="32">
        <f>IFERROR(__xludf.DUMMYFUNCTION("""COMPUTED_VALUE"""),0.0)</f>
        <v>0</v>
      </c>
      <c r="K162" s="32">
        <f>IFERROR(__xludf.DUMMYFUNCTION("""COMPUTED_VALUE"""),100.0)</f>
        <v>100</v>
      </c>
      <c r="L162" s="32">
        <f>IFERROR(__xludf.DUMMYFUNCTION("""COMPUTED_VALUE"""),100.0)</f>
        <v>100</v>
      </c>
      <c r="M162" s="32" t="str">
        <f>IFERROR(__xludf.DUMMYFUNCTION("""COMPUTED_VALUE"""),"")</f>
        <v/>
      </c>
      <c r="N162" s="32" t="str">
        <f>IFERROR(__xludf.DUMMYFUNCTION("""COMPUTED_VALUE"""),"")</f>
        <v/>
      </c>
      <c r="O162" s="32"/>
      <c r="P162" s="32"/>
      <c r="Q162" s="32"/>
      <c r="R162" s="32"/>
      <c r="S162" s="32"/>
      <c r="T162" s="32"/>
      <c r="U162" s="32"/>
      <c r="V162" s="32"/>
      <c r="W162" s="32"/>
      <c r="X162" s="32"/>
      <c r="Y162" s="32"/>
      <c r="Z162" s="32"/>
      <c r="AA162" s="32"/>
      <c r="AB162" s="32"/>
      <c r="AC162" s="32"/>
      <c r="AD162" s="32"/>
      <c r="AE162" s="32"/>
      <c r="AF162" s="32"/>
      <c r="AG162" s="32"/>
      <c r="AH162" s="32"/>
      <c r="AI162" s="32"/>
      <c r="AJ162" s="32" t="str">
        <f>IFERROR(__xludf.DUMMYFUNCTION("""COMPUTED_VALUE"""),"Bite")</f>
        <v>Bite</v>
      </c>
      <c r="AK162" s="32" t="str">
        <f>IFERROR(__xludf.DUMMYFUNCTION("""COMPUTED_VALUE"""),"Sandstorm")</f>
        <v>Sandstorm</v>
      </c>
      <c r="AL162" s="32" t="str">
        <f>IFERROR(__xludf.DUMMYFUNCTION("""COMPUTED_VALUE"""),"Dive Bomb")</f>
        <v>Dive Bomb</v>
      </c>
      <c r="AM162" s="32"/>
      <c r="AN162" s="32"/>
      <c r="AO162" s="32"/>
      <c r="AP162" s="32"/>
      <c r="AQ162" s="32"/>
      <c r="AR162" s="32"/>
      <c r="AS162" s="32"/>
      <c r="AT162" s="32"/>
      <c r="AU162" s="32"/>
      <c r="AV162" s="32"/>
      <c r="AW162" s="32"/>
      <c r="AX162" s="32"/>
      <c r="AY162" s="32"/>
      <c r="AZ162" s="32"/>
      <c r="BA162" s="32"/>
      <c r="BB162" s="32"/>
      <c r="BC162" s="32"/>
      <c r="BD162" s="32">
        <f>IFERROR(__xludf.DUMMYFUNCTION("""COMPUTED_VALUE"""),0.0)</f>
        <v>0</v>
      </c>
      <c r="BE162" s="32">
        <f>IFERROR(__xludf.DUMMYFUNCTION("""COMPUTED_VALUE"""),10.0)</f>
        <v>10</v>
      </c>
      <c r="BF162" s="32"/>
      <c r="BG162" s="32" t="str">
        <f>IFERROR(__xludf.DUMMYFUNCTION("""COMPUTED_VALUE"""),"Desert")</f>
        <v>Desert</v>
      </c>
      <c r="BH162" s="32" t="str">
        <f>IFERROR(__xludf.DUMMYFUNCTION("""COMPUTED_VALUE"""),"Land of Spira")</f>
        <v>Land of Spira</v>
      </c>
      <c r="BI162" s="32"/>
      <c r="BJ162" s="32"/>
      <c r="BK162" s="32"/>
      <c r="BL162" s="32" t="b">
        <f>IFERROR(__xludf.DUMMYFUNCTION("""COMPUTED_VALUE"""),FALSE)</f>
        <v>0</v>
      </c>
      <c r="BM162" s="32"/>
      <c r="BN162" s="32"/>
      <c r="BO162" s="32"/>
      <c r="BP162" s="32"/>
      <c r="BQ162" s="32"/>
    </row>
    <row r="163">
      <c r="A163" s="32" t="str">
        <f>IFERROR(__xludf.DUMMYFUNCTION("""COMPUTED_VALUE"""),"Lord Dreadful (Form 1)")</f>
        <v>Lord Dreadful (Form 1)</v>
      </c>
      <c r="B163" s="32">
        <f>IFERROR(__xludf.DUMMYFUNCTION("""COMPUTED_VALUE"""),1.0)</f>
        <v>1</v>
      </c>
      <c r="C163" s="32"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33" t="str">
        <f>IFERROR(__xludf.DUMMYFUNCTION("""COMPUTED_VALUE"""),"God")</f>
        <v>God</v>
      </c>
      <c r="E163" s="33">
        <f>IFERROR(__xludf.DUMMYFUNCTION("""COMPUTED_VALUE"""),1010.0)</f>
        <v>1010</v>
      </c>
      <c r="F163" s="33">
        <f>IFERROR(__xludf.DUMMYFUNCTION("""COMPUTED_VALUE"""),1010.0)</f>
        <v>1010</v>
      </c>
      <c r="G163" s="33">
        <f>IFERROR(__xludf.DUMMYFUNCTION("""COMPUTED_VALUE"""),1010.0)</f>
        <v>1010</v>
      </c>
      <c r="H163" s="32">
        <f>IFERROR(__xludf.DUMMYFUNCTION("""COMPUTED_VALUE"""),10.0)</f>
        <v>10</v>
      </c>
      <c r="I163" s="32">
        <f>IFERROR(__xludf.DUMMYFUNCTION("""COMPUTED_VALUE"""),0.0)</f>
        <v>0</v>
      </c>
      <c r="J163" s="32">
        <f>IFERROR(__xludf.DUMMYFUNCTION("""COMPUTED_VALUE"""),0.0)</f>
        <v>0</v>
      </c>
      <c r="K163" s="32">
        <f>IFERROR(__xludf.DUMMYFUNCTION("""COMPUTED_VALUE"""),100.0)</f>
        <v>100</v>
      </c>
      <c r="L163" s="32">
        <f>IFERROR(__xludf.DUMMYFUNCTION("""COMPUTED_VALUE"""),100.0)</f>
        <v>100</v>
      </c>
      <c r="M163" s="32" t="str">
        <f>IFERROR(__xludf.DUMMYFUNCTION("""COMPUTED_VALUE"""),"Dark:Immune, Chaos:Immune, Stasis:Immune, Instant Death:Immune, ")</f>
        <v>Dark:Immune, Chaos:Immune, Stasis:Immune, Instant Death:Immune, </v>
      </c>
      <c r="N163" s="32" t="str">
        <f>IFERROR(__xludf.DUMMYFUNCTION("""COMPUTED_VALUE"""),"Fire:100, Light:100, Order:100, ")</f>
        <v>Fire:100, Light:100, Order:100, </v>
      </c>
      <c r="O163" s="32"/>
      <c r="P163" s="32"/>
      <c r="Q163" s="32"/>
      <c r="R163" s="32"/>
      <c r="S163" s="32"/>
      <c r="T163" s="32"/>
      <c r="U163" s="32"/>
      <c r="V163" s="32" t="str">
        <f>IFERROR(__xludf.DUMMYFUNCTION("""COMPUTED_VALUE"""),"Lord Dreadfuls sword")</f>
        <v>Lord Dreadfuls sword</v>
      </c>
      <c r="W163" s="32"/>
      <c r="X163" s="32"/>
      <c r="Y163" s="32"/>
      <c r="Z163" s="32"/>
      <c r="AA163" s="32"/>
      <c r="AB163" s="32"/>
      <c r="AC163" s="32"/>
      <c r="AD163" s="32"/>
      <c r="AE163" s="32"/>
      <c r="AF163" s="32"/>
      <c r="AG163" s="32"/>
      <c r="AH163" s="32"/>
      <c r="AI163" s="32"/>
      <c r="AJ163" s="32" t="str">
        <f>IFERROR(__xludf.DUMMYFUNCTION("""COMPUTED_VALUE"""),"Shatter")</f>
        <v>Shatter</v>
      </c>
      <c r="AK163" s="32" t="str">
        <f>IFERROR(__xludf.DUMMYFUNCTION("""COMPUTED_VALUE"""),"Chaos Beam")</f>
        <v>Chaos Beam</v>
      </c>
      <c r="AL163" s="32" t="str">
        <f>IFERROR(__xludf.DUMMYFUNCTION("""COMPUTED_VALUE"""),"Chaotic Collapse")</f>
        <v>Chaotic Collapse</v>
      </c>
      <c r="AM163" s="32" t="str">
        <f>IFERROR(__xludf.DUMMYFUNCTION("""COMPUTED_VALUE"""),"Chaos Ward")</f>
        <v>Chaos Ward</v>
      </c>
      <c r="AN163" s="32" t="str">
        <f>IFERROR(__xludf.DUMMYFUNCTION("""COMPUTED_VALUE"""),"Disturbance")</f>
        <v>Disturbance</v>
      </c>
      <c r="AO163" s="32" t="str">
        <f>IFERROR(__xludf.DUMMYFUNCTION("""COMPUTED_VALUE"""),"Shadow Vanish")</f>
        <v>Shadow Vanish</v>
      </c>
      <c r="AP163" s="32" t="str">
        <f>IFERROR(__xludf.DUMMYFUNCTION("""COMPUTED_VALUE"""),"Chains of Shadow")</f>
        <v>Chains of Shadow</v>
      </c>
      <c r="AQ163" s="32" t="str">
        <f>IFERROR(__xludf.DUMMYFUNCTION("""COMPUTED_VALUE"""),"Dark Bolt")</f>
        <v>Dark Bolt</v>
      </c>
      <c r="AR163" s="32" t="str">
        <f>IFERROR(__xludf.DUMMYFUNCTION("""COMPUTED_VALUE"""),"Darkest Abyss")</f>
        <v>Darkest Abyss</v>
      </c>
      <c r="AS163" s="32" t="str">
        <f>IFERROR(__xludf.DUMMYFUNCTION("""COMPUTED_VALUE"""),"Celestial strike")</f>
        <v>Celestial strike</v>
      </c>
      <c r="AT163" s="32" t="str">
        <f>IFERROR(__xludf.DUMMYFUNCTION("""COMPUTED_VALUE"""),"Celestial Portal")</f>
        <v>Celestial Portal</v>
      </c>
      <c r="AU163" s="32" t="str">
        <f>IFERROR(__xludf.DUMMYFUNCTION("""COMPUTED_VALUE"""),"Celestial shield")</f>
        <v>Celestial shield</v>
      </c>
      <c r="AV163" s="32"/>
      <c r="AW163" s="32"/>
      <c r="AX163" s="32"/>
      <c r="AY163" s="32"/>
      <c r="AZ163" s="32"/>
      <c r="BA163" s="32"/>
      <c r="BB163" s="32"/>
      <c r="BC163" s="32"/>
      <c r="BD163" s="32">
        <f>IFERROR(__xludf.DUMMYFUNCTION("""COMPUTED_VALUE"""),0.0)</f>
        <v>0</v>
      </c>
      <c r="BE163" s="32">
        <f>IFERROR(__xludf.DUMMYFUNCTION("""COMPUTED_VALUE"""),10.0)</f>
        <v>10</v>
      </c>
      <c r="BF163" s="32"/>
      <c r="BG163" s="32" t="str">
        <f>IFERROR(__xludf.DUMMYFUNCTION("""COMPUTED_VALUE"""),"Dungeon")</f>
        <v>Dungeon</v>
      </c>
      <c r="BH163" s="32" t="str">
        <f>IFERROR(__xludf.DUMMYFUNCTION("""COMPUTED_VALUE"""),"Land Of Spira")</f>
        <v>Land Of Spira</v>
      </c>
      <c r="BI163" s="32"/>
      <c r="BJ163" s="32"/>
      <c r="BK163" s="32"/>
      <c r="BL163" s="32" t="b">
        <f>IFERROR(__xludf.DUMMYFUNCTION("""COMPUTED_VALUE"""),FALSE)</f>
        <v>0</v>
      </c>
      <c r="BM163" s="32"/>
      <c r="BN163" s="32"/>
      <c r="BO163" s="32"/>
      <c r="BP163" s="32"/>
      <c r="BQ163" s="32"/>
    </row>
    <row r="164">
      <c r="A164" s="32" t="str">
        <f>IFERROR(__xludf.DUMMYFUNCTION("""COMPUTED_VALUE"""),"Lord Dreadful (Lord Zude) (Form 2)")</f>
        <v>Lord Dreadful (Lord Zude) (Form 2)</v>
      </c>
      <c r="B164" s="32">
        <f>IFERROR(__xludf.DUMMYFUNCTION("""COMPUTED_VALUE"""),1.0)</f>
        <v>1</v>
      </c>
      <c r="C164" s="32"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33" t="str">
        <f>IFERROR(__xludf.DUMMYFUNCTION("""COMPUTED_VALUE"""),"God")</f>
        <v>God</v>
      </c>
      <c r="E164" s="33">
        <f>IFERROR(__xludf.DUMMYFUNCTION("""COMPUTED_VALUE"""),1010.0)</f>
        <v>1010</v>
      </c>
      <c r="F164" s="33">
        <f>IFERROR(__xludf.DUMMYFUNCTION("""COMPUTED_VALUE"""),1010.0)</f>
        <v>1010</v>
      </c>
      <c r="G164" s="33">
        <f>IFERROR(__xludf.DUMMYFUNCTION("""COMPUTED_VALUE"""),1010.0)</f>
        <v>1010</v>
      </c>
      <c r="H164" s="32">
        <f>IFERROR(__xludf.DUMMYFUNCTION("""COMPUTED_VALUE"""),10.0)</f>
        <v>10</v>
      </c>
      <c r="I164" s="32">
        <f>IFERROR(__xludf.DUMMYFUNCTION("""COMPUTED_VALUE"""),0.0)</f>
        <v>0</v>
      </c>
      <c r="J164" s="32">
        <f>IFERROR(__xludf.DUMMYFUNCTION("""COMPUTED_VALUE"""),0.0)</f>
        <v>0</v>
      </c>
      <c r="K164" s="32">
        <f>IFERROR(__xludf.DUMMYFUNCTION("""COMPUTED_VALUE"""),100.0)</f>
        <v>100</v>
      </c>
      <c r="L164" s="32">
        <f>IFERROR(__xludf.DUMMYFUNCTION("""COMPUTED_VALUE"""),100.0)</f>
        <v>100</v>
      </c>
      <c r="M164" s="32" t="str">
        <f>IFERROR(__xludf.DUMMYFUNCTION("""COMPUTED_VALUE"""),"Dark:Immune, Chaos:Immune, Stasis:Immune, Instant Death:Immune, ")</f>
        <v>Dark:Immune, Chaos:Immune, Stasis:Immune, Instant Death:Immune, </v>
      </c>
      <c r="N164" s="32" t="str">
        <f>IFERROR(__xludf.DUMMYFUNCTION("""COMPUTED_VALUE"""),"Fire:100, Light:100, Order:100, ")</f>
        <v>Fire:100, Light:100, Order:100, </v>
      </c>
      <c r="O164" s="32"/>
      <c r="P164" s="32"/>
      <c r="Q164" s="32"/>
      <c r="R164" s="32"/>
      <c r="S164" s="32"/>
      <c r="T164" s="32"/>
      <c r="U164" s="32"/>
      <c r="V164" s="32" t="str">
        <f>IFERROR(__xludf.DUMMYFUNCTION("""COMPUTED_VALUE"""),"Lord Dreadfuls Sword")</f>
        <v>Lord Dreadfuls Sword</v>
      </c>
      <c r="W164" s="32"/>
      <c r="X164" s="32"/>
      <c r="Y164" s="32"/>
      <c r="Z164" s="32"/>
      <c r="AA164" s="32"/>
      <c r="AB164" s="32"/>
      <c r="AC164" s="32"/>
      <c r="AD164" s="32"/>
      <c r="AE164" s="32"/>
      <c r="AF164" s="32"/>
      <c r="AG164" s="32"/>
      <c r="AH164" s="32"/>
      <c r="AI164" s="32"/>
      <c r="AJ164" s="32" t="str">
        <f>IFERROR(__xludf.DUMMYFUNCTION("""COMPUTED_VALUE"""),"Shatter")</f>
        <v>Shatter</v>
      </c>
      <c r="AK164" s="32" t="str">
        <f>IFERROR(__xludf.DUMMYFUNCTION("""COMPUTED_VALUE"""),"Chaos Beam")</f>
        <v>Chaos Beam</v>
      </c>
      <c r="AL164" s="32" t="str">
        <f>IFERROR(__xludf.DUMMYFUNCTION("""COMPUTED_VALUE"""),"Chaos Ward")</f>
        <v>Chaos Ward</v>
      </c>
      <c r="AM164" s="32" t="str">
        <f>IFERROR(__xludf.DUMMYFUNCTION("""COMPUTED_VALUE"""),"Disturbance")</f>
        <v>Disturbance</v>
      </c>
      <c r="AN164" s="32" t="str">
        <f>IFERROR(__xludf.DUMMYFUNCTION("""COMPUTED_VALUE"""),"Shadow Vanish")</f>
        <v>Shadow Vanish</v>
      </c>
      <c r="AO164" s="32" t="str">
        <f>IFERROR(__xludf.DUMMYFUNCTION("""COMPUTED_VALUE"""),"Chains of Shadow")</f>
        <v>Chains of Shadow</v>
      </c>
      <c r="AP164" s="32" t="str">
        <f>IFERROR(__xludf.DUMMYFUNCTION("""COMPUTED_VALUE"""),"Dark Bolt")</f>
        <v>Dark Bolt</v>
      </c>
      <c r="AQ164" s="32" t="str">
        <f>IFERROR(__xludf.DUMMYFUNCTION("""COMPUTED_VALUE"""),"Darkest Abyss")</f>
        <v>Darkest Abyss</v>
      </c>
      <c r="AR164" s="32" t="str">
        <f>IFERROR(__xludf.DUMMYFUNCTION("""COMPUTED_VALUE"""),"Raise Dead")</f>
        <v>Raise Dead</v>
      </c>
      <c r="AS164" s="32" t="str">
        <f>IFERROR(__xludf.DUMMYFUNCTION("""COMPUTED_VALUE"""),"Shadow Strike")</f>
        <v>Shadow Strike</v>
      </c>
      <c r="AT164" s="32" t="str">
        <f>IFERROR(__xludf.DUMMYFUNCTION("""COMPUTED_VALUE"""),"Double Strike")</f>
        <v>Double Strike</v>
      </c>
      <c r="AU164" s="32" t="str">
        <f>IFERROR(__xludf.DUMMYFUNCTION("""COMPUTED_VALUE"""),"Multishot")</f>
        <v>Multishot</v>
      </c>
      <c r="AV164" s="32" t="str">
        <f>IFERROR(__xludf.DUMMYFUNCTION("""COMPUTED_VALUE"""),"Energy Charge")</f>
        <v>Energy Charge</v>
      </c>
      <c r="AW164" s="32" t="str">
        <f>IFERROR(__xludf.DUMMYFUNCTION("""COMPUTED_VALUE"""),"Celestial strike")</f>
        <v>Celestial strike</v>
      </c>
      <c r="AX164" s="32" t="str">
        <f>IFERROR(__xludf.DUMMYFUNCTION("""COMPUTED_VALUE"""),"Celestial Portal")</f>
        <v>Celestial Portal</v>
      </c>
      <c r="AY164" s="32" t="str">
        <f>IFERROR(__xludf.DUMMYFUNCTION("""COMPUTED_VALUE"""),"Celestial shield")</f>
        <v>Celestial shield</v>
      </c>
      <c r="AZ164" s="32" t="str">
        <f>IFERROR(__xludf.DUMMYFUNCTION("""COMPUTED_VALUE"""),"Celestial blast")</f>
        <v>Celestial blast</v>
      </c>
      <c r="BA164" s="32" t="str">
        <f>IFERROR(__xludf.DUMMYFUNCTION("""COMPUTED_VALUE"""),"Celestial Wrath")</f>
        <v>Celestial Wrath</v>
      </c>
      <c r="BB164" s="32"/>
      <c r="BC164" s="32"/>
      <c r="BD164" s="32">
        <f>IFERROR(__xludf.DUMMYFUNCTION("""COMPUTED_VALUE"""),0.0)</f>
        <v>0</v>
      </c>
      <c r="BE164" s="32">
        <f>IFERROR(__xludf.DUMMYFUNCTION("""COMPUTED_VALUE"""),10.0)</f>
        <v>10</v>
      </c>
      <c r="BF164" s="32" t="str">
        <f>IFERROR(__xludf.DUMMYFUNCTION("""COMPUTED_VALUE"""),"Has a 75% chance to be unaffected by any spells affecting this mob.")</f>
        <v>Has a 75% chance to be unaffected by any spells affecting this mob.</v>
      </c>
      <c r="BG164" s="32" t="str">
        <f>IFERROR(__xludf.DUMMYFUNCTION("""COMPUTED_VALUE"""),"Dungeon")</f>
        <v>Dungeon</v>
      </c>
      <c r="BH164" s="32" t="str">
        <f>IFERROR(__xludf.DUMMYFUNCTION("""COMPUTED_VALUE"""),"Land Of Spira")</f>
        <v>Land Of Spira</v>
      </c>
      <c r="BI164" s="32"/>
      <c r="BJ164" s="32"/>
      <c r="BK164" s="32"/>
      <c r="BL164" s="32" t="b">
        <f>IFERROR(__xludf.DUMMYFUNCTION("""COMPUTED_VALUE"""),FALSE)</f>
        <v>0</v>
      </c>
      <c r="BM164" s="32"/>
      <c r="BN164" s="32"/>
      <c r="BO164" s="32"/>
      <c r="BP164" s="32"/>
      <c r="BQ164" s="32"/>
    </row>
    <row r="165">
      <c r="A165" s="32" t="str">
        <f>IFERROR(__xludf.DUMMYFUNCTION("""COMPUTED_VALUE"""),"Lord Goose")</f>
        <v>Lord Goose</v>
      </c>
      <c r="B165" s="32">
        <f>IFERROR(__xludf.DUMMYFUNCTION("""COMPUTED_VALUE"""),1.0)</f>
        <v>1</v>
      </c>
      <c r="C165" s="32" t="str">
        <f>IFERROR(__xludf.DUMMYFUNCTION("""COMPUTED_VALUE"""),"scourge of the docile plain")</f>
        <v>scourge of the docile plain</v>
      </c>
      <c r="D165" s="33" t="str">
        <f>IFERROR(__xludf.DUMMYFUNCTION("""COMPUTED_VALUE"""),"Beast")</f>
        <v>Beast</v>
      </c>
      <c r="E165" s="33">
        <f>IFERROR(__xludf.DUMMYFUNCTION("""COMPUTED_VALUE"""),1010.0)</f>
        <v>1010</v>
      </c>
      <c r="F165" s="33">
        <f>IFERROR(__xludf.DUMMYFUNCTION("""COMPUTED_VALUE"""),1010.0)</f>
        <v>1010</v>
      </c>
      <c r="G165" s="33">
        <f>IFERROR(__xludf.DUMMYFUNCTION("""COMPUTED_VALUE"""),1010.0)</f>
        <v>1010</v>
      </c>
      <c r="H165" s="32">
        <f>IFERROR(__xludf.DUMMYFUNCTION("""COMPUTED_VALUE"""),10.0)</f>
        <v>10</v>
      </c>
      <c r="I165" s="32">
        <f>IFERROR(__xludf.DUMMYFUNCTION("""COMPUTED_VALUE"""),0.0)</f>
        <v>0</v>
      </c>
      <c r="J165" s="32">
        <f>IFERROR(__xludf.DUMMYFUNCTION("""COMPUTED_VALUE"""),0.0)</f>
        <v>0</v>
      </c>
      <c r="K165" s="32">
        <f>IFERROR(__xludf.DUMMYFUNCTION("""COMPUTED_VALUE"""),100.0)</f>
        <v>100</v>
      </c>
      <c r="L165" s="32">
        <f>IFERROR(__xludf.DUMMYFUNCTION("""COMPUTED_VALUE"""),100.0)</f>
        <v>100</v>
      </c>
      <c r="M165" s="32" t="str">
        <f>IFERROR(__xludf.DUMMYFUNCTION("""COMPUTED_VALUE"""),"")</f>
        <v/>
      </c>
      <c r="N165" s="32" t="str">
        <f>IFERROR(__xludf.DUMMYFUNCTION("""COMPUTED_VALUE"""),"")</f>
        <v/>
      </c>
      <c r="O165" s="32"/>
      <c r="P165" s="32"/>
      <c r="Q165" s="32"/>
      <c r="R165" s="32"/>
      <c r="S165" s="32"/>
      <c r="T165" s="32"/>
      <c r="U165" s="32"/>
      <c r="V165" s="32"/>
      <c r="W165" s="32" t="str">
        <f>IFERROR(__xludf.DUMMYFUNCTION("""COMPUTED_VALUE"""),"Goose Staff")</f>
        <v>Goose Staff</v>
      </c>
      <c r="X165" s="32"/>
      <c r="Y165" s="32"/>
      <c r="Z165" s="32"/>
      <c r="AA165" s="32"/>
      <c r="AB165" s="32"/>
      <c r="AC165" s="32"/>
      <c r="AD165" s="32"/>
      <c r="AE165" s="32"/>
      <c r="AF165" s="32"/>
      <c r="AG165" s="32"/>
      <c r="AH165" s="32"/>
      <c r="AI165" s="32"/>
      <c r="AJ165" s="32" t="str">
        <f>IFERROR(__xludf.DUMMYFUNCTION("""COMPUTED_VALUE"""),"Eel Nado")</f>
        <v>Eel Nado</v>
      </c>
      <c r="AK165" s="32" t="str">
        <f>IFERROR(__xludf.DUMMYFUNCTION("""COMPUTED_VALUE"""),"Take")</f>
        <v>Take</v>
      </c>
      <c r="AL165" s="32" t="str">
        <f>IFERROR(__xludf.DUMMYFUNCTION("""COMPUTED_VALUE"""),"Honk")</f>
        <v>Honk</v>
      </c>
      <c r="AM165" s="32"/>
      <c r="AN165" s="32"/>
      <c r="AO165" s="32"/>
      <c r="AP165" s="32"/>
      <c r="AQ165" s="32"/>
      <c r="AR165" s="32"/>
      <c r="AS165" s="32"/>
      <c r="AT165" s="32"/>
      <c r="AU165" s="32"/>
      <c r="AV165" s="32"/>
      <c r="AW165" s="32"/>
      <c r="AX165" s="32"/>
      <c r="AY165" s="32"/>
      <c r="AZ165" s="32"/>
      <c r="BA165" s="32"/>
      <c r="BB165" s="32"/>
      <c r="BC165" s="32"/>
      <c r="BD165" s="32">
        <f>IFERROR(__xludf.DUMMYFUNCTION("""COMPUTED_VALUE"""),0.0)</f>
        <v>0</v>
      </c>
      <c r="BE165" s="32">
        <f>IFERROR(__xludf.DUMMYFUNCTION("""COMPUTED_VALUE"""),10.0)</f>
        <v>10</v>
      </c>
      <c r="BF165" s="32"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32" t="str">
        <f>IFERROR(__xludf.DUMMYFUNCTION("""COMPUTED_VALUE"""),"All")</f>
        <v>All</v>
      </c>
      <c r="BH165" s="32" t="str">
        <f>IFERROR(__xludf.DUMMYFUNCTION("""COMPUTED_VALUE"""),"Land of Spira")</f>
        <v>Land of Spira</v>
      </c>
      <c r="BI165" s="32"/>
      <c r="BJ165" s="32"/>
      <c r="BK165" s="32"/>
      <c r="BL165" s="32" t="b">
        <f>IFERROR(__xludf.DUMMYFUNCTION("""COMPUTED_VALUE"""),FALSE)</f>
        <v>0</v>
      </c>
      <c r="BM165" s="32"/>
      <c r="BN165" s="32"/>
      <c r="BO165" s="32"/>
      <c r="BP165" s="32"/>
      <c r="BQ165" s="32"/>
    </row>
    <row r="166">
      <c r="A166" s="32" t="str">
        <f>IFERROR(__xludf.DUMMYFUNCTION("""COMPUTED_VALUE"""),"Lord Of The Bandits")</f>
        <v>Lord Of The Bandits</v>
      </c>
      <c r="B166" s="32">
        <f>IFERROR(__xludf.DUMMYFUNCTION("""COMPUTED_VALUE"""),1.0)</f>
        <v>1</v>
      </c>
      <c r="C166" s="32"/>
      <c r="D166" s="33" t="str">
        <f>IFERROR(__xludf.DUMMYFUNCTION("""COMPUTED_VALUE"""),"Humanoid")</f>
        <v>Humanoid</v>
      </c>
      <c r="E166" s="33">
        <f>IFERROR(__xludf.DUMMYFUNCTION("""COMPUTED_VALUE"""),1010.0)</f>
        <v>1010</v>
      </c>
      <c r="F166" s="33">
        <f>IFERROR(__xludf.DUMMYFUNCTION("""COMPUTED_VALUE"""),1010.0)</f>
        <v>1010</v>
      </c>
      <c r="G166" s="33">
        <f>IFERROR(__xludf.DUMMYFUNCTION("""COMPUTED_VALUE"""),351010.0)</f>
        <v>351010</v>
      </c>
      <c r="H166" s="32">
        <f>IFERROR(__xludf.DUMMYFUNCTION("""COMPUTED_VALUE"""),10.0)</f>
        <v>10</v>
      </c>
      <c r="I166" s="32">
        <f>IFERROR(__xludf.DUMMYFUNCTION("""COMPUTED_VALUE"""),0.0)</f>
        <v>0</v>
      </c>
      <c r="J166" s="32">
        <f>IFERROR(__xludf.DUMMYFUNCTION("""COMPUTED_VALUE"""),0.0)</f>
        <v>0</v>
      </c>
      <c r="K166" s="32">
        <f>IFERROR(__xludf.DUMMYFUNCTION("""COMPUTED_VALUE"""),100.0)</f>
        <v>100</v>
      </c>
      <c r="L166" s="32">
        <f>IFERROR(__xludf.DUMMYFUNCTION("""COMPUTED_VALUE"""),100.0)</f>
        <v>100</v>
      </c>
      <c r="M166" s="32" t="str">
        <f>IFERROR(__xludf.DUMMYFUNCTION("""COMPUTED_VALUE"""),"Dark:Immune, Spirit:Immune, ")</f>
        <v>Dark:Immune, Spirit:Immune, </v>
      </c>
      <c r="N166" s="32" t="str">
        <f>IFERROR(__xludf.DUMMYFUNCTION("""COMPUTED_VALUE"""),"")</f>
        <v/>
      </c>
      <c r="O166" s="32" t="str">
        <f>IFERROR(__xludf.DUMMYFUNCTION("""COMPUTED_VALUE"""),"Bandit Hide Helm")</f>
        <v>Bandit Hide Helm</v>
      </c>
      <c r="P166" s="32"/>
      <c r="Q166" s="32"/>
      <c r="R166" s="32"/>
      <c r="S166" s="32" t="str">
        <f>IFERROR(__xludf.DUMMYFUNCTION("""COMPUTED_VALUE"""),"Bandit Hide Padding")</f>
        <v>Bandit Hide Padding</v>
      </c>
      <c r="T166" s="32" t="str">
        <f>IFERROR(__xludf.DUMMYFUNCTION("""COMPUTED_VALUE"""),"Bandit Hide Chestplate")</f>
        <v>Bandit Hide Chestplate</v>
      </c>
      <c r="U166" s="32" t="str">
        <f>IFERROR(__xludf.DUMMYFUNCTION("""COMPUTED_VALUE"""),"Bandit Hide Vambraces")</f>
        <v>Bandit Hide Vambraces</v>
      </c>
      <c r="V166" s="32" t="str">
        <f>IFERROR(__xludf.DUMMYFUNCTION("""COMPUTED_VALUE"""),"Steel Bandit Dagger")</f>
        <v>Steel Bandit Dagger</v>
      </c>
      <c r="W166" s="32" t="str">
        <f>IFERROR(__xludf.DUMMYFUNCTION("""COMPUTED_VALUE"""),"Sword of Bad Luck")</f>
        <v>Sword of Bad Luck</v>
      </c>
      <c r="X166" s="32"/>
      <c r="Y166" s="32"/>
      <c r="Z166" s="32"/>
      <c r="AA166" s="32"/>
      <c r="AB166" s="32"/>
      <c r="AC166" s="32"/>
      <c r="AD166" s="32"/>
      <c r="AE166" s="32"/>
      <c r="AF166" s="32"/>
      <c r="AG166" s="32"/>
      <c r="AH166" s="32" t="str">
        <f>IFERROR(__xludf.DUMMYFUNCTION("""COMPUTED_VALUE"""),"Bandit Hide Greaves")</f>
        <v>Bandit Hide Greaves</v>
      </c>
      <c r="AI166" s="32" t="str">
        <f>IFERROR(__xludf.DUMMYFUNCTION("""COMPUTED_VALUE"""),"Bandit Hide Boots")</f>
        <v>Bandit Hide Boots</v>
      </c>
      <c r="AJ166" s="32" t="str">
        <f>IFERROR(__xludf.DUMMYFUNCTION("""COMPUTED_VALUE"""),"Pick Pocket")</f>
        <v>Pick Pocket</v>
      </c>
      <c r="AK166" s="32" t="str">
        <f>IFERROR(__xludf.DUMMYFUNCTION("""COMPUTED_VALUE"""),"Confiscate")</f>
        <v>Confiscate</v>
      </c>
      <c r="AL166" s="32" t="str">
        <f>IFERROR(__xludf.DUMMYFUNCTION("""COMPUTED_VALUE"""),"Power Increase")</f>
        <v>Power Increase</v>
      </c>
      <c r="AM166" s="32" t="str">
        <f>IFERROR(__xludf.DUMMYFUNCTION("""COMPUTED_VALUE"""),"Double Strike")</f>
        <v>Double Strike</v>
      </c>
      <c r="AN166" s="32" t="str">
        <f>IFERROR(__xludf.DUMMYFUNCTION("""COMPUTED_VALUE"""),"Berserk")</f>
        <v>Berserk</v>
      </c>
      <c r="AO166" s="32" t="str">
        <f>IFERROR(__xludf.DUMMYFUNCTION("""COMPUTED_VALUE"""),"Multishot")</f>
        <v>Multishot</v>
      </c>
      <c r="AP166" s="32"/>
      <c r="AQ166" s="32"/>
      <c r="AR166" s="32"/>
      <c r="AS166" s="32"/>
      <c r="AT166" s="32"/>
      <c r="AU166" s="32"/>
      <c r="AV166" s="32"/>
      <c r="AW166" s="32"/>
      <c r="AX166" s="32"/>
      <c r="AY166" s="32"/>
      <c r="AZ166" s="32"/>
      <c r="BA166" s="32"/>
      <c r="BB166" s="32"/>
      <c r="BC166" s="32"/>
      <c r="BD166" s="32">
        <f>IFERROR(__xludf.DUMMYFUNCTION("""COMPUTED_VALUE"""),0.0)</f>
        <v>0</v>
      </c>
      <c r="BE166" s="32">
        <f>IFERROR(__xludf.DUMMYFUNCTION("""COMPUTED_VALUE"""),10.0)</f>
        <v>10</v>
      </c>
      <c r="BF166" s="32"/>
      <c r="BG166" s="32" t="str">
        <f>IFERROR(__xludf.DUMMYFUNCTION("""COMPUTED_VALUE"""),"All")</f>
        <v>All</v>
      </c>
      <c r="BH166" s="32" t="str">
        <f>IFERROR(__xludf.DUMMYFUNCTION("""COMPUTED_VALUE"""),"Land Of Spira")</f>
        <v>Land Of Spira</v>
      </c>
      <c r="BI166" s="32"/>
      <c r="BJ166" s="32"/>
      <c r="BK166" s="32"/>
      <c r="BL166" s="32" t="b">
        <f>IFERROR(__xludf.DUMMYFUNCTION("""COMPUTED_VALUE"""),FALSE)</f>
        <v>0</v>
      </c>
      <c r="BM166" s="32"/>
      <c r="BN166" s="32"/>
      <c r="BO166" s="32"/>
      <c r="BP166" s="32"/>
      <c r="BQ166" s="32"/>
    </row>
    <row r="167">
      <c r="A167" s="32" t="str">
        <f>IFERROR(__xludf.DUMMYFUNCTION("""COMPUTED_VALUE"""),"Chaotic Shadow Servant")</f>
        <v>Chaotic Shadow Servant</v>
      </c>
      <c r="B167" s="32">
        <f>IFERROR(__xludf.DUMMYFUNCTION("""COMPUTED_VALUE"""),1.0)</f>
        <v>1</v>
      </c>
      <c r="C167" s="32"/>
      <c r="D167" s="33" t="str">
        <f>IFERROR(__xludf.DUMMYFUNCTION("""COMPUTED_VALUE"""),"Humanoid")</f>
        <v>Humanoid</v>
      </c>
      <c r="E167" s="33">
        <f>IFERROR(__xludf.DUMMYFUNCTION("""COMPUTED_VALUE"""),1010.0)</f>
        <v>1010</v>
      </c>
      <c r="F167" s="33">
        <f>IFERROR(__xludf.DUMMYFUNCTION("""COMPUTED_VALUE"""),1010.0)</f>
        <v>1010</v>
      </c>
      <c r="G167" s="33">
        <f>IFERROR(__xludf.DUMMYFUNCTION("""COMPUTED_VALUE"""),1010.0)</f>
        <v>1010</v>
      </c>
      <c r="H167" s="32">
        <f>IFERROR(__xludf.DUMMYFUNCTION("""COMPUTED_VALUE"""),10.0)</f>
        <v>10</v>
      </c>
      <c r="I167" s="32">
        <f>IFERROR(__xludf.DUMMYFUNCTION("""COMPUTED_VALUE"""),0.0)</f>
        <v>0</v>
      </c>
      <c r="J167" s="32">
        <f>IFERROR(__xludf.DUMMYFUNCTION("""COMPUTED_VALUE"""),0.0)</f>
        <v>0</v>
      </c>
      <c r="K167" s="32">
        <f>IFERROR(__xludf.DUMMYFUNCTION("""COMPUTED_VALUE"""),100.0)</f>
        <v>100</v>
      </c>
      <c r="L167" s="32">
        <f>IFERROR(__xludf.DUMMYFUNCTION("""COMPUTED_VALUE"""),100.0)</f>
        <v>100</v>
      </c>
      <c r="M167" s="32" t="str">
        <f>IFERROR(__xludf.DUMMYFUNCTION("""COMPUTED_VALUE"""),"Dark:100, Chaos:100, ")</f>
        <v>Dark:100, Chaos:100, </v>
      </c>
      <c r="N167" s="32" t="str">
        <f>IFERROR(__xludf.DUMMYFUNCTION("""COMPUTED_VALUE"""),"Fire:100, Light:100, Order:100, ")</f>
        <v>Fire:100, Light:100, Order:100, </v>
      </c>
      <c r="O167" s="32"/>
      <c r="P167" s="32"/>
      <c r="Q167" s="32"/>
      <c r="R167" s="32"/>
      <c r="S167" s="32"/>
      <c r="T167" s="32"/>
      <c r="U167" s="32"/>
      <c r="V167" s="32"/>
      <c r="W167" s="32" t="str">
        <f>IFERROR(__xludf.DUMMYFUNCTION("""COMPUTED_VALUE"""),"Staff of Chaotic Shadows")</f>
        <v>Staff of Chaotic Shadows</v>
      </c>
      <c r="X167" s="32"/>
      <c r="Y167" s="32"/>
      <c r="Z167" s="32"/>
      <c r="AA167" s="32"/>
      <c r="AB167" s="32"/>
      <c r="AC167" s="32"/>
      <c r="AD167" s="32"/>
      <c r="AE167" s="32"/>
      <c r="AF167" s="32"/>
      <c r="AG167" s="32"/>
      <c r="AH167" s="32"/>
      <c r="AI167" s="32"/>
      <c r="AJ167" s="32" t="str">
        <f>IFERROR(__xludf.DUMMYFUNCTION("""COMPUTED_VALUE"""),"Shadow Vanish")</f>
        <v>Shadow Vanish</v>
      </c>
      <c r="AK167" s="32" t="str">
        <f>IFERROR(__xludf.DUMMYFUNCTION("""COMPUTED_VALUE"""),"Dark Bolt")</f>
        <v>Dark Bolt</v>
      </c>
      <c r="AL167" s="32" t="str">
        <f>IFERROR(__xludf.DUMMYFUNCTION("""COMPUTED_VALUE"""),"Voodoo meteor shower")</f>
        <v>Voodoo meteor shower</v>
      </c>
      <c r="AM167" s="32" t="str">
        <f>IFERROR(__xludf.DUMMYFUNCTION("""COMPUTED_VALUE"""),"Spirit Drain")</f>
        <v>Spirit Drain</v>
      </c>
      <c r="AN167" s="32" t="str">
        <f>IFERROR(__xludf.DUMMYFUNCTION("""COMPUTED_VALUE"""),"Soul Shot")</f>
        <v>Soul Shot</v>
      </c>
      <c r="AO167" s="32" t="str">
        <f>IFERROR(__xludf.DUMMYFUNCTION("""COMPUTED_VALUE"""),"Chaos Ward")</f>
        <v>Chaos Ward</v>
      </c>
      <c r="AP167" s="32" t="str">
        <f>IFERROR(__xludf.DUMMYFUNCTION("""COMPUTED_VALUE"""),"Chaos Beam")</f>
        <v>Chaos Beam</v>
      </c>
      <c r="AQ167" s="32"/>
      <c r="AR167" s="32"/>
      <c r="AS167" s="32"/>
      <c r="AT167" s="32"/>
      <c r="AU167" s="32"/>
      <c r="AV167" s="32"/>
      <c r="AW167" s="32"/>
      <c r="AX167" s="32"/>
      <c r="AY167" s="32"/>
      <c r="AZ167" s="32"/>
      <c r="BA167" s="32"/>
      <c r="BB167" s="32"/>
      <c r="BC167" s="32"/>
      <c r="BD167" s="32">
        <f>IFERROR(__xludf.DUMMYFUNCTION("""COMPUTED_VALUE"""),0.0)</f>
        <v>0</v>
      </c>
      <c r="BE167" s="32">
        <f>IFERROR(__xludf.DUMMYFUNCTION("""COMPUTED_VALUE"""),10.0)</f>
        <v>10</v>
      </c>
      <c r="BF167" s="32" t="str">
        <f>IFERROR(__xludf.DUMMYFUNCTION("""COMPUTED_VALUE"""),"A Dark Calling: +5 can be added to this mobs rolls.")</f>
        <v>A Dark Calling: +5 can be added to this mobs rolls.</v>
      </c>
      <c r="BG167" s="32" t="str">
        <f>IFERROR(__xludf.DUMMYFUNCTION("""COMPUTED_VALUE"""),"Jungle")</f>
        <v>Jungle</v>
      </c>
      <c r="BH167" s="32" t="str">
        <f>IFERROR(__xludf.DUMMYFUNCTION("""COMPUTED_VALUE"""),"Land Of Spira")</f>
        <v>Land Of Spira</v>
      </c>
      <c r="BI167" s="32"/>
      <c r="BJ167" s="32"/>
      <c r="BK167" s="32"/>
      <c r="BL167" s="32" t="b">
        <f>IFERROR(__xludf.DUMMYFUNCTION("""COMPUTED_VALUE"""),FALSE)</f>
        <v>0</v>
      </c>
      <c r="BM167" s="32"/>
      <c r="BN167" s="32"/>
      <c r="BO167" s="32"/>
      <c r="BP167" s="32"/>
      <c r="BQ167" s="32"/>
    </row>
    <row r="168">
      <c r="A168" s="32" t="str">
        <f>IFERROR(__xludf.DUMMYFUNCTION("""COMPUTED_VALUE"""),"Lugh")</f>
        <v>Lugh</v>
      </c>
      <c r="B168" s="32">
        <f>IFERROR(__xludf.DUMMYFUNCTION("""COMPUTED_VALUE"""),1.0)</f>
        <v>1</v>
      </c>
      <c r="C168" s="32" t="str">
        <f>IFERROR(__xludf.DUMMYFUNCTION("""COMPUTED_VALUE"""),"A warrior, a king, a master craftsman and a savior.")</f>
        <v>A warrior, a king, a master craftsman and a savior.</v>
      </c>
      <c r="D168" s="32" t="str">
        <f>IFERROR(__xludf.DUMMYFUNCTION("""COMPUTED_VALUE"""),"Humanoid")</f>
        <v>Humanoid</v>
      </c>
      <c r="E168" s="32">
        <f>IFERROR(__xludf.DUMMYFUNCTION("""COMPUTED_VALUE"""),1010.0)</f>
        <v>1010</v>
      </c>
      <c r="F168" s="33">
        <f>IFERROR(__xludf.DUMMYFUNCTION("""COMPUTED_VALUE"""),1010.0)</f>
        <v>1010</v>
      </c>
      <c r="G168" s="32">
        <f>IFERROR(__xludf.DUMMYFUNCTION("""COMPUTED_VALUE"""),1010.0)</f>
        <v>1010</v>
      </c>
      <c r="H168" s="32">
        <f>IFERROR(__xludf.DUMMYFUNCTION("""COMPUTED_VALUE"""),10.0)</f>
        <v>10</v>
      </c>
      <c r="I168" s="32">
        <f>IFERROR(__xludf.DUMMYFUNCTION("""COMPUTED_VALUE"""),0.0)</f>
        <v>0</v>
      </c>
      <c r="J168" s="32">
        <f>IFERROR(__xludf.DUMMYFUNCTION("""COMPUTED_VALUE"""),0.0)</f>
        <v>0</v>
      </c>
      <c r="K168" s="32">
        <f>IFERROR(__xludf.DUMMYFUNCTION("""COMPUTED_VALUE"""),100.0)</f>
        <v>100</v>
      </c>
      <c r="L168" s="32">
        <f>IFERROR(__xludf.DUMMYFUNCTION("""COMPUTED_VALUE"""),100.0)</f>
        <v>100</v>
      </c>
      <c r="M168" s="32" t="str">
        <f>IFERROR(__xludf.DUMMYFUNCTION("""COMPUTED_VALUE"""),"")</f>
        <v/>
      </c>
      <c r="N168" s="32" t="str">
        <f>IFERROR(__xludf.DUMMYFUNCTION("""COMPUTED_VALUE"""),"")</f>
        <v/>
      </c>
      <c r="O168" s="32"/>
      <c r="P168" s="32"/>
      <c r="Q168" s="32"/>
      <c r="R168" s="32"/>
      <c r="S168" s="32"/>
      <c r="T168" s="32"/>
      <c r="U168" s="32"/>
      <c r="V168" s="32"/>
      <c r="W168" s="32"/>
      <c r="X168" s="32"/>
      <c r="Y168" s="32"/>
      <c r="Z168" s="32"/>
      <c r="AA168" s="32"/>
      <c r="AB168" s="32"/>
      <c r="AC168" s="32"/>
      <c r="AD168" s="32"/>
      <c r="AE168" s="32"/>
      <c r="AF168" s="32"/>
      <c r="AG168" s="32"/>
      <c r="AH168" s="32"/>
      <c r="AI168" s="32"/>
      <c r="AJ168" s="32" t="str">
        <f>IFERROR(__xludf.DUMMYFUNCTION("""COMPUTED_VALUE"""),"Sling Stone")</f>
        <v>Sling Stone</v>
      </c>
      <c r="AK168" s="32"/>
      <c r="AL168" s="32"/>
      <c r="AM168" s="32"/>
      <c r="AN168" s="32"/>
      <c r="AO168" s="32"/>
      <c r="AP168" s="32"/>
      <c r="AQ168" s="32"/>
      <c r="AR168" s="32"/>
      <c r="AS168" s="32"/>
      <c r="AT168" s="32"/>
      <c r="AU168" s="32"/>
      <c r="AV168" s="32"/>
      <c r="AW168" s="32"/>
      <c r="AX168" s="32"/>
      <c r="AY168" s="32"/>
      <c r="AZ168" s="32"/>
      <c r="BA168" s="32"/>
      <c r="BB168" s="32"/>
      <c r="BC168" s="32"/>
      <c r="BD168" s="32">
        <f>IFERROR(__xludf.DUMMYFUNCTION("""COMPUTED_VALUE"""),0.0)</f>
        <v>0</v>
      </c>
      <c r="BE168" s="32">
        <f>IFERROR(__xludf.DUMMYFUNCTION("""COMPUTED_VALUE"""),10.0)</f>
        <v>10</v>
      </c>
      <c r="BF168" s="32"/>
      <c r="BG168" s="32"/>
      <c r="BH168" s="32" t="str">
        <f>IFERROR(__xludf.DUMMYFUNCTION("""COMPUTED_VALUE"""),"Land of Spira")</f>
        <v>Land of Spira</v>
      </c>
      <c r="BI168" s="32"/>
      <c r="BJ168" s="32" t="str">
        <f>IFERROR(__xludf.DUMMYFUNCTION("""COMPUTED_VALUE"""),"Lughnasadh")</f>
        <v>Lughnasadh</v>
      </c>
      <c r="BK168" s="32"/>
      <c r="BL168" s="32" t="b">
        <f>IFERROR(__xludf.DUMMYFUNCTION("""COMPUTED_VALUE"""),FALSE)</f>
        <v>0</v>
      </c>
      <c r="BM168" s="32"/>
      <c r="BN168" s="32"/>
      <c r="BO168" s="32"/>
      <c r="BP168" s="32"/>
      <c r="BQ168" s="32"/>
    </row>
    <row r="169">
      <c r="A169" s="32" t="str">
        <f>IFERROR(__xludf.DUMMYFUNCTION("""COMPUTED_VALUE"""),"Madem Hagbottom")</f>
        <v>Madem Hagbottom</v>
      </c>
      <c r="B169" s="32">
        <f>IFERROR(__xludf.DUMMYFUNCTION("""COMPUTED_VALUE"""),1.0)</f>
        <v>1</v>
      </c>
      <c r="C169" s="32" t="str">
        <f>IFERROR(__xludf.DUMMYFUNCTION("""COMPUTED_VALUE"""),"Mod the Evil Seahags older  sister.")</f>
        <v>Mod the Evil Seahags older  sister.</v>
      </c>
      <c r="D169" s="32" t="str">
        <f>IFERROR(__xludf.DUMMYFUNCTION("""COMPUTED_VALUE"""),"Fae")</f>
        <v>Fae</v>
      </c>
      <c r="E169" s="32">
        <f>IFERROR(__xludf.DUMMYFUNCTION("""COMPUTED_VALUE"""),1010.0)</f>
        <v>1010</v>
      </c>
      <c r="F169" s="33">
        <f>IFERROR(__xludf.DUMMYFUNCTION("""COMPUTED_VALUE"""),1010.0)</f>
        <v>1010</v>
      </c>
      <c r="G169" s="32">
        <f>IFERROR(__xludf.DUMMYFUNCTION("""COMPUTED_VALUE"""),1010.0)</f>
        <v>1010</v>
      </c>
      <c r="H169" s="32">
        <f>IFERROR(__xludf.DUMMYFUNCTION("""COMPUTED_VALUE"""),20.0)</f>
        <v>20</v>
      </c>
      <c r="I169" s="32">
        <f>IFERROR(__xludf.DUMMYFUNCTION("""COMPUTED_VALUE"""),0.0)</f>
        <v>0</v>
      </c>
      <c r="J169" s="32">
        <f>IFERROR(__xludf.DUMMYFUNCTION("""COMPUTED_VALUE"""),0.0)</f>
        <v>0</v>
      </c>
      <c r="K169" s="32">
        <f>IFERROR(__xludf.DUMMYFUNCTION("""COMPUTED_VALUE"""),100.0)</f>
        <v>100</v>
      </c>
      <c r="L169" s="32">
        <f>IFERROR(__xludf.DUMMYFUNCTION("""COMPUTED_VALUE"""),100.0)</f>
        <v>100</v>
      </c>
      <c r="M169" s="3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32" t="str">
        <f>IFERROR(__xludf.DUMMYFUNCTION("""COMPUTED_VALUE"""),"Fire:100, Light:100, Order:100, Zen:100, Celestial:100, ")</f>
        <v>Fire:100, Light:100, Order:100, Zen:100, Celestial:100, </v>
      </c>
      <c r="O169" s="32"/>
      <c r="P169" s="32" t="str">
        <f>IFERROR(__xludf.DUMMYFUNCTION("""COMPUTED_VALUE"""),"Chaotic Amulet")</f>
        <v>Chaotic Amulet</v>
      </c>
      <c r="Q169" s="32"/>
      <c r="R169" s="32"/>
      <c r="S169" s="32"/>
      <c r="T169" s="32"/>
      <c r="U169" s="32"/>
      <c r="V169" s="32"/>
      <c r="W169" s="32" t="str">
        <f>IFERROR(__xludf.DUMMYFUNCTION("""COMPUTED_VALUE"""),"Chaotic Shadow Life Orb")</f>
        <v>Chaotic Shadow Life Orb</v>
      </c>
      <c r="X169" s="32"/>
      <c r="Y169" s="32"/>
      <c r="Z169" s="32"/>
      <c r="AA169" s="32"/>
      <c r="AB169" s="32"/>
      <c r="AC169" s="32"/>
      <c r="AD169" s="32"/>
      <c r="AE169" s="32"/>
      <c r="AF169" s="32"/>
      <c r="AG169" s="32"/>
      <c r="AH169" s="32"/>
      <c r="AI169" s="32"/>
      <c r="AJ169" s="32" t="str">
        <f>IFERROR(__xludf.DUMMYFUNCTION("""COMPUTED_VALUE"""),"Chaincast")</f>
        <v>Chaincast</v>
      </c>
      <c r="AK169" s="32" t="str">
        <f>IFERROR(__xludf.DUMMYFUNCTION("""COMPUTED_VALUE"""),"Voodoo Meteor Shower")</f>
        <v>Voodoo Meteor Shower</v>
      </c>
      <c r="AL169" s="32" t="str">
        <f>IFERROR(__xludf.DUMMYFUNCTION("""COMPUTED_VALUE"""),"End the voodoo contract")</f>
        <v>End the voodoo contract</v>
      </c>
      <c r="AM169" s="32" t="str">
        <f>IFERROR(__xludf.DUMMYFUNCTION("""COMPUTED_VALUE"""),"Stand in")</f>
        <v>Stand in</v>
      </c>
      <c r="AN169" s="32" t="str">
        <f>IFERROR(__xludf.DUMMYFUNCTION("""COMPUTED_VALUE"""),"Hex With Bad Luck")</f>
        <v>Hex With Bad Luck</v>
      </c>
      <c r="AO169" s="32" t="str">
        <f>IFERROR(__xludf.DUMMYFUNCTION("""COMPUTED_VALUE"""),"Dimensional Quake")</f>
        <v>Dimensional Quake</v>
      </c>
      <c r="AP169" s="32" t="str">
        <f>IFERROR(__xludf.DUMMYFUNCTION("""COMPUTED_VALUE"""),"Dimension Portal")</f>
        <v>Dimension Portal</v>
      </c>
      <c r="AQ169" s="32" t="str">
        <f>IFERROR(__xludf.DUMMYFUNCTION("""COMPUTED_VALUE"""),"Darkest Abyss")</f>
        <v>Darkest Abyss</v>
      </c>
      <c r="AR169" s="32" t="str">
        <f>IFERROR(__xludf.DUMMYFUNCTION("""COMPUTED_VALUE"""),"Conceal")</f>
        <v>Conceal</v>
      </c>
      <c r="AS169" s="32" t="str">
        <f>IFERROR(__xludf.DUMMYFUNCTION("""COMPUTED_VALUE"""),"Stasis Madness")</f>
        <v>Stasis Madness</v>
      </c>
      <c r="AT169" s="32" t="str">
        <f>IFERROR(__xludf.DUMMYFUNCTION("""COMPUTED_VALUE"""),"Stasis Tsunami")</f>
        <v>Stasis Tsunami</v>
      </c>
      <c r="AU169" s="32" t="str">
        <f>IFERROR(__xludf.DUMMYFUNCTION("""COMPUTED_VALUE"""),"Twilight Masquerade")</f>
        <v>Twilight Masquerade</v>
      </c>
      <c r="AV169" s="32" t="str">
        <f>IFERROR(__xludf.DUMMYFUNCTION("""COMPUTED_VALUE"""),"The Setting Sun")</f>
        <v>The Setting Sun</v>
      </c>
      <c r="AW169" s="32" t="str">
        <f>IFERROR(__xludf.DUMMYFUNCTION("""COMPUTED_VALUE"""),"Damage With A Cost.")</f>
        <v>Damage With A Cost.</v>
      </c>
      <c r="AX169" s="32" t="str">
        <f>IFERROR(__xludf.DUMMYFUNCTION("""COMPUTED_VALUE"""),"Swallow")</f>
        <v>Swallow</v>
      </c>
      <c r="AY169" s="32" t="str">
        <f>IFERROR(__xludf.DUMMYFUNCTION("""COMPUTED_VALUE"""),"Mass Destruction")</f>
        <v>Mass Destruction</v>
      </c>
      <c r="AZ169" s="32" t="str">
        <f>IFERROR(__xludf.DUMMYFUNCTION("""COMPUTED_VALUE"""),"Celestial Wrath")</f>
        <v>Celestial Wrath</v>
      </c>
      <c r="BA169" s="32"/>
      <c r="BB169" s="32"/>
      <c r="BC169" s="32"/>
      <c r="BD169" s="32">
        <f>IFERROR(__xludf.DUMMYFUNCTION("""COMPUTED_VALUE"""),0.0)</f>
        <v>0</v>
      </c>
      <c r="BE169" s="32">
        <f>IFERROR(__xludf.DUMMYFUNCTION("""COMPUTED_VALUE"""),10.0)</f>
        <v>10</v>
      </c>
      <c r="BF169"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32" t="str">
        <f>IFERROR(__xludf.DUMMYFUNCTION("""COMPUTED_VALUE"""),"Dungeon")</f>
        <v>Dungeon</v>
      </c>
      <c r="BH169" s="32" t="str">
        <f>IFERROR(__xludf.DUMMYFUNCTION("""COMPUTED_VALUE"""),"Halloween Kingdom")</f>
        <v>Halloween Kingdom</v>
      </c>
      <c r="BI169" s="32"/>
      <c r="BJ169" s="32"/>
      <c r="BK169" s="32"/>
      <c r="BL169" s="32" t="b">
        <f>IFERROR(__xludf.DUMMYFUNCTION("""COMPUTED_VALUE"""),FALSE)</f>
        <v>0</v>
      </c>
      <c r="BM169" s="32"/>
      <c r="BN169" s="32"/>
      <c r="BO169" s="32"/>
      <c r="BP169" s="32"/>
      <c r="BQ169" s="32"/>
    </row>
    <row r="170">
      <c r="A170" s="32" t="str">
        <f>IFERROR(__xludf.DUMMYFUNCTION("""COMPUTED_VALUE"""),"Magma Bear")</f>
        <v>Magma Bear</v>
      </c>
      <c r="B170" s="32">
        <f>IFERROR(__xludf.DUMMYFUNCTION("""COMPUTED_VALUE"""),1.0)</f>
        <v>1</v>
      </c>
      <c r="C170" s="32"/>
      <c r="D170" s="33" t="str">
        <f>IFERROR(__xludf.DUMMYFUNCTION("""COMPUTED_VALUE"""),"Beast")</f>
        <v>Beast</v>
      </c>
      <c r="E170" s="33">
        <f>IFERROR(__xludf.DUMMYFUNCTION("""COMPUTED_VALUE"""),16010.0)</f>
        <v>16010</v>
      </c>
      <c r="F170" s="33">
        <f>IFERROR(__xludf.DUMMYFUNCTION("""COMPUTED_VALUE"""),1010.0)</f>
        <v>1010</v>
      </c>
      <c r="G170" s="33">
        <f>IFERROR(__xludf.DUMMYFUNCTION("""COMPUTED_VALUE"""),16010.0)</f>
        <v>16010</v>
      </c>
      <c r="H170" s="32">
        <f>IFERROR(__xludf.DUMMYFUNCTION("""COMPUTED_VALUE"""),10.0)</f>
        <v>10</v>
      </c>
      <c r="I170" s="32">
        <f>IFERROR(__xludf.DUMMYFUNCTION("""COMPUTED_VALUE"""),0.0)</f>
        <v>0</v>
      </c>
      <c r="J170" s="32">
        <f>IFERROR(__xludf.DUMMYFUNCTION("""COMPUTED_VALUE"""),0.0)</f>
        <v>0</v>
      </c>
      <c r="K170" s="32">
        <f>IFERROR(__xludf.DUMMYFUNCTION("""COMPUTED_VALUE"""),100.0)</f>
        <v>100</v>
      </c>
      <c r="L170" s="32">
        <f>IFERROR(__xludf.DUMMYFUNCTION("""COMPUTED_VALUE"""),100.0)</f>
        <v>100</v>
      </c>
      <c r="M170" s="32" t="str">
        <f>IFERROR(__xludf.DUMMYFUNCTION("""COMPUTED_VALUE"""),"Fire:Immune, ")</f>
        <v>Fire:Immune, </v>
      </c>
      <c r="N170" s="32" t="str">
        <f>IFERROR(__xludf.DUMMYFUNCTION("""COMPUTED_VALUE"""),"Water:100, ")</f>
        <v>Water:100, </v>
      </c>
      <c r="O170" s="32"/>
      <c r="P170" s="32"/>
      <c r="Q170" s="32"/>
      <c r="R170" s="32"/>
      <c r="S170" s="32"/>
      <c r="T170" s="32"/>
      <c r="U170" s="32"/>
      <c r="V170" s="32"/>
      <c r="W170" s="32"/>
      <c r="X170" s="32"/>
      <c r="Y170" s="32"/>
      <c r="Z170" s="32"/>
      <c r="AA170" s="32"/>
      <c r="AB170" s="32"/>
      <c r="AC170" s="32"/>
      <c r="AD170" s="32"/>
      <c r="AE170" s="32"/>
      <c r="AF170" s="32"/>
      <c r="AG170" s="32"/>
      <c r="AH170" s="32"/>
      <c r="AI170" s="32"/>
      <c r="AJ170" s="32" t="str">
        <f>IFERROR(__xludf.DUMMYFUNCTION("""COMPUTED_VALUE"""),"Flaming Bite")</f>
        <v>Flaming Bite</v>
      </c>
      <c r="AK170" s="32" t="str">
        <f>IFERROR(__xludf.DUMMYFUNCTION("""COMPUTED_VALUE"""),"Volcanic Claws")</f>
        <v>Volcanic Claws</v>
      </c>
      <c r="AL170" s="32" t="str">
        <f>IFERROR(__xludf.DUMMYFUNCTION("""COMPUTED_VALUE"""),"Flame Thrower")</f>
        <v>Flame Thrower</v>
      </c>
      <c r="AM170" s="32" t="str">
        <f>IFERROR(__xludf.DUMMYFUNCTION("""COMPUTED_VALUE"""),"Meteor Shower")</f>
        <v>Meteor Shower</v>
      </c>
      <c r="AN170" s="32" t="str">
        <f>IFERROR(__xludf.DUMMYFUNCTION("""COMPUTED_VALUE"""),"Berserk")</f>
        <v>Berserk</v>
      </c>
      <c r="AO170" s="32" t="str">
        <f>IFERROR(__xludf.DUMMYFUNCTION("""COMPUTED_VALUE"""),"Celestial Strike")</f>
        <v>Celestial Strike</v>
      </c>
      <c r="AP170" s="32"/>
      <c r="AQ170" s="32"/>
      <c r="AR170" s="32"/>
      <c r="AS170" s="32"/>
      <c r="AT170" s="32"/>
      <c r="AU170" s="32"/>
      <c r="AV170" s="32"/>
      <c r="AW170" s="32"/>
      <c r="AX170" s="32"/>
      <c r="AY170" s="32"/>
      <c r="AZ170" s="32"/>
      <c r="BA170" s="32"/>
      <c r="BB170" s="32"/>
      <c r="BC170" s="32"/>
      <c r="BD170" s="32">
        <f>IFERROR(__xludf.DUMMYFUNCTION("""COMPUTED_VALUE"""),0.0)</f>
        <v>0</v>
      </c>
      <c r="BE170" s="32">
        <f>IFERROR(__xludf.DUMMYFUNCTION("""COMPUTED_VALUE"""),10.0)</f>
        <v>10</v>
      </c>
      <c r="BF170" s="32" t="str">
        <f>IFERROR(__xludf.DUMMYFUNCTION("""COMPUTED_VALUE"""),"Immune to Freezing")</f>
        <v>Immune to Freezing</v>
      </c>
      <c r="BG170" s="32" t="str">
        <f>IFERROR(__xludf.DUMMYFUNCTION("""COMPUTED_VALUE"""),"All")</f>
        <v>All</v>
      </c>
      <c r="BH170" s="32" t="str">
        <f>IFERROR(__xludf.DUMMYFUNCTION("""COMPUTED_VALUE"""),"Abstara")</f>
        <v>Abstara</v>
      </c>
      <c r="BI170" s="32"/>
      <c r="BJ170" s="32"/>
      <c r="BK170" s="32"/>
      <c r="BL170" s="32" t="b">
        <f>IFERROR(__xludf.DUMMYFUNCTION("""COMPUTED_VALUE"""),FALSE)</f>
        <v>0</v>
      </c>
      <c r="BM170" s="32"/>
      <c r="BN170" s="32"/>
      <c r="BO170" s="32"/>
      <c r="BP170" s="32"/>
      <c r="BQ170" s="32"/>
    </row>
    <row r="171">
      <c r="A171" s="32" t="str">
        <f>IFERROR(__xludf.DUMMYFUNCTION("""COMPUTED_VALUE"""),"Magma Slime")</f>
        <v>Magma Slime</v>
      </c>
      <c r="B171" s="32">
        <f>IFERROR(__xludf.DUMMYFUNCTION("""COMPUTED_VALUE"""),1.0)</f>
        <v>1</v>
      </c>
      <c r="C171" s="32"/>
      <c r="D171" s="33" t="str">
        <f>IFERROR(__xludf.DUMMYFUNCTION("""COMPUTED_VALUE"""),"Monstrosity")</f>
        <v>Monstrosity</v>
      </c>
      <c r="E171" s="33">
        <f>IFERROR(__xludf.DUMMYFUNCTION("""COMPUTED_VALUE"""),1010.0)</f>
        <v>1010</v>
      </c>
      <c r="F171" s="33">
        <f>IFERROR(__xludf.DUMMYFUNCTION("""COMPUTED_VALUE"""),1010.0)</f>
        <v>1010</v>
      </c>
      <c r="G171" s="33">
        <f>IFERROR(__xludf.DUMMYFUNCTION("""COMPUTED_VALUE"""),1010.0)</f>
        <v>1010</v>
      </c>
      <c r="H171" s="32">
        <f>IFERROR(__xludf.DUMMYFUNCTION("""COMPUTED_VALUE"""),10.0)</f>
        <v>10</v>
      </c>
      <c r="I171" s="32">
        <f>IFERROR(__xludf.DUMMYFUNCTION("""COMPUTED_VALUE"""),0.0)</f>
        <v>0</v>
      </c>
      <c r="J171" s="32">
        <f>IFERROR(__xludf.DUMMYFUNCTION("""COMPUTED_VALUE"""),0.0)</f>
        <v>0</v>
      </c>
      <c r="K171" s="32">
        <f>IFERROR(__xludf.DUMMYFUNCTION("""COMPUTED_VALUE"""),100.0)</f>
        <v>100</v>
      </c>
      <c r="L171" s="32">
        <f>IFERROR(__xludf.DUMMYFUNCTION("""COMPUTED_VALUE"""),100.0)</f>
        <v>100</v>
      </c>
      <c r="M171" s="32" t="str">
        <f>IFERROR(__xludf.DUMMYFUNCTION("""COMPUTED_VALUE"""),"Fire:Immune, Nature:Immune, ")</f>
        <v>Fire:Immune, Nature:Immune, </v>
      </c>
      <c r="N171" s="32" t="str">
        <f>IFERROR(__xludf.DUMMYFUNCTION("""COMPUTED_VALUE"""),"Water:100, ")</f>
        <v>Water:100, </v>
      </c>
      <c r="O171" s="32"/>
      <c r="P171" s="32"/>
      <c r="Q171" s="32"/>
      <c r="R171" s="32"/>
      <c r="S171" s="32"/>
      <c r="T171" s="32"/>
      <c r="U171" s="32"/>
      <c r="V171" s="32"/>
      <c r="W171" s="32"/>
      <c r="X171" s="32"/>
      <c r="Y171" s="32"/>
      <c r="Z171" s="32"/>
      <c r="AA171" s="32"/>
      <c r="AB171" s="32"/>
      <c r="AC171" s="32"/>
      <c r="AD171" s="32"/>
      <c r="AE171" s="32"/>
      <c r="AF171" s="32"/>
      <c r="AG171" s="32"/>
      <c r="AH171" s="32"/>
      <c r="AI171" s="32"/>
      <c r="AJ171" s="32" t="str">
        <f>IFERROR(__xludf.DUMMYFUNCTION("""COMPUTED_VALUE"""),"Latch on")</f>
        <v>Latch on</v>
      </c>
      <c r="AK171" s="32" t="str">
        <f>IFERROR(__xludf.DUMMYFUNCTION("""COMPUTED_VALUE"""),"Absorb Enemy ")</f>
        <v>Absorb Enemy </v>
      </c>
      <c r="AL171" s="32" t="str">
        <f>IFERROR(__xludf.DUMMYFUNCTION("""COMPUTED_VALUE"""),"Volcanic Rain")</f>
        <v>Volcanic Rain</v>
      </c>
      <c r="AM171" s="32" t="str">
        <f>IFERROR(__xludf.DUMMYFUNCTION("""COMPUTED_VALUE"""),"Mass Ignition")</f>
        <v>Mass Ignition</v>
      </c>
      <c r="AN171" s="32"/>
      <c r="AO171" s="32"/>
      <c r="AP171" s="32"/>
      <c r="AQ171" s="32"/>
      <c r="AR171" s="32"/>
      <c r="AS171" s="32"/>
      <c r="AT171" s="32"/>
      <c r="AU171" s="32"/>
      <c r="AV171" s="32"/>
      <c r="AW171" s="32"/>
      <c r="AX171" s="32"/>
      <c r="AY171" s="32"/>
      <c r="AZ171" s="32"/>
      <c r="BA171" s="32"/>
      <c r="BB171" s="32"/>
      <c r="BC171" s="32"/>
      <c r="BD171" s="32">
        <f>IFERROR(__xludf.DUMMYFUNCTION("""COMPUTED_VALUE"""),0.0)</f>
        <v>0</v>
      </c>
      <c r="BE171" s="32">
        <f>IFERROR(__xludf.DUMMYFUNCTION("""COMPUTED_VALUE"""),15.0)</f>
        <v>15</v>
      </c>
      <c r="BF171" s="32"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32" t="str">
        <f>IFERROR(__xludf.DUMMYFUNCTION("""COMPUTED_VALUE"""),"All")</f>
        <v>All</v>
      </c>
      <c r="BH171" s="32" t="str">
        <f>IFERROR(__xludf.DUMMYFUNCTION("""COMPUTED_VALUE"""),"Abstara")</f>
        <v>Abstara</v>
      </c>
      <c r="BI171" s="32"/>
      <c r="BJ171" s="32"/>
      <c r="BK171" s="32"/>
      <c r="BL171" s="32" t="b">
        <f>IFERROR(__xludf.DUMMYFUNCTION("""COMPUTED_VALUE"""),FALSE)</f>
        <v>0</v>
      </c>
      <c r="BM171" s="32"/>
      <c r="BN171" s="32"/>
      <c r="BO171" s="32"/>
      <c r="BP171" s="32"/>
      <c r="BQ171" s="32"/>
    </row>
    <row r="172">
      <c r="A172" s="32" t="str">
        <f>IFERROR(__xludf.DUMMYFUNCTION("""COMPUTED_VALUE"""),"Manticore")</f>
        <v>Manticore</v>
      </c>
      <c r="B172" s="32">
        <f>IFERROR(__xludf.DUMMYFUNCTION("""COMPUTED_VALUE"""),1.0)</f>
        <v>1</v>
      </c>
      <c r="C172" s="32"/>
      <c r="D172" s="33" t="str">
        <f>IFERROR(__xludf.DUMMYFUNCTION("""COMPUTED_VALUE"""),"Beast")</f>
        <v>Beast</v>
      </c>
      <c r="E172" s="33">
        <f>IFERROR(__xludf.DUMMYFUNCTION("""COMPUTED_VALUE"""),16010.0)</f>
        <v>16010</v>
      </c>
      <c r="F172" s="33">
        <f>IFERROR(__xludf.DUMMYFUNCTION("""COMPUTED_VALUE"""),16010.0)</f>
        <v>16010</v>
      </c>
      <c r="G172" s="33">
        <f>IFERROR(__xludf.DUMMYFUNCTION("""COMPUTED_VALUE"""),1010.0)</f>
        <v>1010</v>
      </c>
      <c r="H172" s="32">
        <f>IFERROR(__xludf.DUMMYFUNCTION("""COMPUTED_VALUE"""),10.0)</f>
        <v>10</v>
      </c>
      <c r="I172" s="32">
        <f>IFERROR(__xludf.DUMMYFUNCTION("""COMPUTED_VALUE"""),0.0)</f>
        <v>0</v>
      </c>
      <c r="J172" s="32">
        <f>IFERROR(__xludf.DUMMYFUNCTION("""COMPUTED_VALUE"""),0.0)</f>
        <v>0</v>
      </c>
      <c r="K172" s="32">
        <f>IFERROR(__xludf.DUMMYFUNCTION("""COMPUTED_VALUE"""),100.0)</f>
        <v>100</v>
      </c>
      <c r="L172" s="32">
        <f>IFERROR(__xludf.DUMMYFUNCTION("""COMPUTED_VALUE"""),100.0)</f>
        <v>100</v>
      </c>
      <c r="M172" s="32" t="str">
        <f>IFERROR(__xludf.DUMMYFUNCTION("""COMPUTED_VALUE"""),"")</f>
        <v/>
      </c>
      <c r="N172" s="32" t="str">
        <f>IFERROR(__xludf.DUMMYFUNCTION("""COMPUTED_VALUE"""),"")</f>
        <v/>
      </c>
      <c r="O172" s="32"/>
      <c r="P172" s="32"/>
      <c r="Q172" s="32"/>
      <c r="R172" s="32"/>
      <c r="S172" s="32"/>
      <c r="T172" s="32"/>
      <c r="U172" s="32"/>
      <c r="V172" s="32"/>
      <c r="W172" s="32"/>
      <c r="X172" s="32"/>
      <c r="Y172" s="32"/>
      <c r="Z172" s="32"/>
      <c r="AA172" s="32"/>
      <c r="AB172" s="32"/>
      <c r="AC172" s="32"/>
      <c r="AD172" s="32"/>
      <c r="AE172" s="32"/>
      <c r="AF172" s="32"/>
      <c r="AG172" s="32"/>
      <c r="AH172" s="32"/>
      <c r="AI172" s="32"/>
      <c r="AJ172" s="32" t="str">
        <f>IFERROR(__xludf.DUMMYFUNCTION("""COMPUTED_VALUE"""),"Poison Needle")</f>
        <v>Poison Needle</v>
      </c>
      <c r="AK172" s="32" t="str">
        <f>IFERROR(__xludf.DUMMYFUNCTION("""COMPUTED_VALUE"""),"Poison Fang")</f>
        <v>Poison Fang</v>
      </c>
      <c r="AL172" s="32" t="str">
        <f>IFERROR(__xludf.DUMMYFUNCTION("""COMPUTED_VALUE"""),"Claws")</f>
        <v>Claws</v>
      </c>
      <c r="AM172" s="32" t="str">
        <f>IFERROR(__xludf.DUMMYFUNCTION("""COMPUTED_VALUE"""),"Bite")</f>
        <v>Bite</v>
      </c>
      <c r="AN172" s="32" t="str">
        <f>IFERROR(__xludf.DUMMYFUNCTION("""COMPUTED_VALUE"""),"Dive Bomb")</f>
        <v>Dive Bomb</v>
      </c>
      <c r="AO172" s="32"/>
      <c r="AP172" s="32"/>
      <c r="AQ172" s="32"/>
      <c r="AR172" s="32"/>
      <c r="AS172" s="32"/>
      <c r="AT172" s="32"/>
      <c r="AU172" s="32"/>
      <c r="AV172" s="32"/>
      <c r="AW172" s="32"/>
      <c r="AX172" s="32"/>
      <c r="AY172" s="32"/>
      <c r="AZ172" s="32"/>
      <c r="BA172" s="32"/>
      <c r="BB172" s="32"/>
      <c r="BC172" s="32"/>
      <c r="BD172" s="32">
        <f>IFERROR(__xludf.DUMMYFUNCTION("""COMPUTED_VALUE"""),0.0)</f>
        <v>0</v>
      </c>
      <c r="BE172" s="32">
        <f>IFERROR(__xludf.DUMMYFUNCTION("""COMPUTED_VALUE"""),10.0)</f>
        <v>10</v>
      </c>
      <c r="BF172" s="32"/>
      <c r="BG172" s="32" t="str">
        <f>IFERROR(__xludf.DUMMYFUNCTION("""COMPUTED_VALUE"""),"All")</f>
        <v>All</v>
      </c>
      <c r="BH172" s="32" t="str">
        <f>IFERROR(__xludf.DUMMYFUNCTION("""COMPUTED_VALUE"""),"Land of Spira")</f>
        <v>Land of Spira</v>
      </c>
      <c r="BI172" s="32"/>
      <c r="BJ172" s="32"/>
      <c r="BK172" s="32"/>
      <c r="BL172" s="32" t="b">
        <f>IFERROR(__xludf.DUMMYFUNCTION("""COMPUTED_VALUE"""),FALSE)</f>
        <v>0</v>
      </c>
      <c r="BM172" s="32"/>
      <c r="BN172" s="32"/>
      <c r="BO172" s="32"/>
      <c r="BP172" s="32"/>
      <c r="BQ172" s="32"/>
    </row>
    <row r="173">
      <c r="A173" s="32" t="str">
        <f>IFERROR(__xludf.DUMMYFUNCTION("""COMPUTED_VALUE"""),"Master Monk Warrior")</f>
        <v>Master Monk Warrior</v>
      </c>
      <c r="B173" s="32">
        <f>IFERROR(__xludf.DUMMYFUNCTION("""COMPUTED_VALUE"""),1.0)</f>
        <v>1</v>
      </c>
      <c r="C173" s="32"/>
      <c r="D173" s="33" t="str">
        <f>IFERROR(__xludf.DUMMYFUNCTION("""COMPUTED_VALUE"""),"Humanoid")</f>
        <v>Humanoid</v>
      </c>
      <c r="E173" s="33">
        <f>IFERROR(__xludf.DUMMYFUNCTION("""COMPUTED_VALUE"""),1010.0)</f>
        <v>1010</v>
      </c>
      <c r="F173" s="33">
        <f>IFERROR(__xludf.DUMMYFUNCTION("""COMPUTED_VALUE"""),1010.0)</f>
        <v>1010</v>
      </c>
      <c r="G173" s="33">
        <f>IFERROR(__xludf.DUMMYFUNCTION("""COMPUTED_VALUE"""),1010.0)</f>
        <v>1010</v>
      </c>
      <c r="H173" s="32">
        <f>IFERROR(__xludf.DUMMYFUNCTION("""COMPUTED_VALUE"""),10.0)</f>
        <v>10</v>
      </c>
      <c r="I173" s="32">
        <f>IFERROR(__xludf.DUMMYFUNCTION("""COMPUTED_VALUE"""),0.0)</f>
        <v>0</v>
      </c>
      <c r="J173" s="32">
        <f>IFERROR(__xludf.DUMMYFUNCTION("""COMPUTED_VALUE"""),0.0)</f>
        <v>0</v>
      </c>
      <c r="K173" s="32">
        <f>IFERROR(__xludf.DUMMYFUNCTION("""COMPUTED_VALUE"""),100.0)</f>
        <v>100</v>
      </c>
      <c r="L173" s="32">
        <f>IFERROR(__xludf.DUMMYFUNCTION("""COMPUTED_VALUE"""),100.0)</f>
        <v>100</v>
      </c>
      <c r="M173" s="32" t="str">
        <f>IFERROR(__xludf.DUMMYFUNCTION("""COMPUTED_VALUE"""),"Light:100, Order:100, Zen:Immune, ")</f>
        <v>Light:100, Order:100, Zen:Immune, </v>
      </c>
      <c r="N173" s="32" t="str">
        <f>IFERROR(__xludf.DUMMYFUNCTION("""COMPUTED_VALUE"""),"Dark:100, Chaos:100, Voodoo:100, ")</f>
        <v>Dark:100, Chaos:100, Voodoo:100, </v>
      </c>
      <c r="O173" s="32"/>
      <c r="P173" s="32"/>
      <c r="Q173" s="32"/>
      <c r="R173" s="32"/>
      <c r="S173" s="32"/>
      <c r="T173" s="32"/>
      <c r="U173" s="32"/>
      <c r="V173" s="32"/>
      <c r="W173" s="32" t="str">
        <f>IFERROR(__xludf.DUMMYFUNCTION("""COMPUTED_VALUE"""),"Bo Staff Of Zhenmay")</f>
        <v>Bo Staff Of Zhenmay</v>
      </c>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f>IFERROR(__xludf.DUMMYFUNCTION("""COMPUTED_VALUE"""),0.0)</f>
        <v>0</v>
      </c>
      <c r="BE173" s="32">
        <f>IFERROR(__xludf.DUMMYFUNCTION("""COMPUTED_VALUE"""),10.0)</f>
        <v>10</v>
      </c>
      <c r="BF173" s="32"/>
      <c r="BG173" s="32" t="str">
        <f>IFERROR(__xludf.DUMMYFUNCTION("""COMPUTED_VALUE"""),"City/Town")</f>
        <v>City/Town</v>
      </c>
      <c r="BH173" s="32" t="str">
        <f>IFERROR(__xludf.DUMMYFUNCTION("""COMPUTED_VALUE"""),"Land Of Spira")</f>
        <v>Land Of Spira</v>
      </c>
      <c r="BI173" s="32"/>
      <c r="BJ173" s="32"/>
      <c r="BK173" s="32"/>
      <c r="BL173" s="32" t="b">
        <f>IFERROR(__xludf.DUMMYFUNCTION("""COMPUTED_VALUE"""),FALSE)</f>
        <v>0</v>
      </c>
      <c r="BM173" s="32"/>
      <c r="BN173" s="32"/>
      <c r="BO173" s="32"/>
      <c r="BP173" s="32"/>
      <c r="BQ173" s="32"/>
    </row>
    <row r="174">
      <c r="A174" s="32" t="str">
        <f>IFERROR(__xludf.DUMMYFUNCTION("""COMPUTED_VALUE"""),"Master Sawoogo")</f>
        <v>Master Sawoogo</v>
      </c>
      <c r="B174" s="32">
        <f>IFERROR(__xludf.DUMMYFUNCTION("""COMPUTED_VALUE"""),1.0)</f>
        <v>1</v>
      </c>
      <c r="C174" s="32"/>
      <c r="D174" s="33" t="str">
        <f>IFERROR(__xludf.DUMMYFUNCTION("""COMPUTED_VALUE"""),"Humanoid")</f>
        <v>Humanoid</v>
      </c>
      <c r="E174" s="33">
        <f>IFERROR(__xludf.DUMMYFUNCTION("""COMPUTED_VALUE"""),1010.0)</f>
        <v>1010</v>
      </c>
      <c r="F174" s="33">
        <f>IFERROR(__xludf.DUMMYFUNCTION("""COMPUTED_VALUE"""),1010.0)</f>
        <v>1010</v>
      </c>
      <c r="G174" s="33">
        <f>IFERROR(__xludf.DUMMYFUNCTION("""COMPUTED_VALUE"""),1010.0)</f>
        <v>1010</v>
      </c>
      <c r="H174" s="32">
        <f>IFERROR(__xludf.DUMMYFUNCTION("""COMPUTED_VALUE"""),10.0)</f>
        <v>10</v>
      </c>
      <c r="I174" s="32">
        <f>IFERROR(__xludf.DUMMYFUNCTION("""COMPUTED_VALUE"""),0.0)</f>
        <v>0</v>
      </c>
      <c r="J174" s="32">
        <f>IFERROR(__xludf.DUMMYFUNCTION("""COMPUTED_VALUE"""),0.0)</f>
        <v>0</v>
      </c>
      <c r="K174" s="32">
        <f>IFERROR(__xludf.DUMMYFUNCTION("""COMPUTED_VALUE"""),100.0)</f>
        <v>100</v>
      </c>
      <c r="L174" s="32">
        <f>IFERROR(__xludf.DUMMYFUNCTION("""COMPUTED_VALUE"""),100.0)</f>
        <v>100</v>
      </c>
      <c r="M174" s="32" t="str">
        <f>IFERROR(__xludf.DUMMYFUNCTION("""COMPUTED_VALUE"""),"Fire:Immune, Water:Immune, Nature:Immune, Celestial:Immune, Instant Death:Immune, Banishment:Immune, ")</f>
        <v>Fire:Immune, Water:Immune, Nature:Immune, Celestial:Immune, Instant Death:Immune, Banishment:Immune, </v>
      </c>
      <c r="N174" s="32" t="str">
        <f>IFERROR(__xludf.DUMMYFUNCTION("""COMPUTED_VALUE"""),"")</f>
        <v/>
      </c>
      <c r="O174" s="32"/>
      <c r="P174" s="32" t="str">
        <f>IFERROR(__xludf.DUMMYFUNCTION("""COMPUTED_VALUE"""),"Necklace Of Heatmore")</f>
        <v>Necklace Of Heatmore</v>
      </c>
      <c r="Q174" s="32"/>
      <c r="R174" s="32"/>
      <c r="S174" s="32"/>
      <c r="T174" s="32"/>
      <c r="U174" s="32"/>
      <c r="V174" s="32"/>
      <c r="W174" s="32" t="str">
        <f>IFERROR(__xludf.DUMMYFUNCTION("""COMPUTED_VALUE"""),"Staff Of Heatmore")</f>
        <v>Staff Of Heatmore</v>
      </c>
      <c r="X174" s="32"/>
      <c r="Y174" s="32"/>
      <c r="Z174" s="32"/>
      <c r="AA174" s="32"/>
      <c r="AB174" s="32"/>
      <c r="AC174" s="32"/>
      <c r="AD174" s="32"/>
      <c r="AE174" s="32"/>
      <c r="AF174" s="32"/>
      <c r="AG174" s="32"/>
      <c r="AH174" s="32"/>
      <c r="AI174" s="32"/>
      <c r="AJ174" s="32" t="str">
        <f>IFERROR(__xludf.DUMMYFUNCTION("""COMPUTED_VALUE"""),"Wrath of Heatmore")</f>
        <v>Wrath of Heatmore</v>
      </c>
      <c r="AK174" s="32" t="str">
        <f>IFERROR(__xludf.DUMMYFUNCTION("""COMPUTED_VALUE"""),"Elemental Storm")</f>
        <v>Elemental Storm</v>
      </c>
      <c r="AL174" s="32" t="str">
        <f>IFERROR(__xludf.DUMMYFUNCTION("""COMPUTED_VALUE"""),"Rock Cycle")</f>
        <v>Rock Cycle</v>
      </c>
      <c r="AM174" s="32" t="str">
        <f>IFERROR(__xludf.DUMMYFUNCTION("""COMPUTED_VALUE"""),"Grounds")</f>
        <v>Grounds</v>
      </c>
      <c r="AN174" s="32" t="str">
        <f>IFERROR(__xludf.DUMMYFUNCTION("""COMPUTED_VALUE"""),"The World Tree")</f>
        <v>The World Tree</v>
      </c>
      <c r="AO174" s="32" t="str">
        <f>IFERROR(__xludf.DUMMYFUNCTION("""COMPUTED_VALUE"""),"Chaincast")</f>
        <v>Chaincast</v>
      </c>
      <c r="AP174" s="32" t="str">
        <f>IFERROR(__xludf.DUMMYFUNCTION("""COMPUTED_VALUE"""),"Max Focus")</f>
        <v>Max Focus</v>
      </c>
      <c r="AQ174" s="32" t="str">
        <f>IFERROR(__xludf.DUMMYFUNCTION("""COMPUTED_VALUE"""),"Max Evade")</f>
        <v>Max Evade</v>
      </c>
      <c r="AR174" s="32" t="str">
        <f>IFERROR(__xludf.DUMMYFUNCTION("""COMPUTED_VALUE"""),"Last Gamble")</f>
        <v>Last Gamble</v>
      </c>
      <c r="AS174" s="32" t="str">
        <f>IFERROR(__xludf.DUMMYFUNCTION("""COMPUTED_VALUE"""),"Multishot")</f>
        <v>Multishot</v>
      </c>
      <c r="AT174" s="32" t="str">
        <f>IFERROR(__xludf.DUMMYFUNCTION("""COMPUTED_VALUE"""),"Cancel")</f>
        <v>Cancel</v>
      </c>
      <c r="AU174" s="32" t="str">
        <f>IFERROR(__xludf.DUMMYFUNCTION("""COMPUTED_VALUE"""),"Berserk")</f>
        <v>Berserk</v>
      </c>
      <c r="AV174" s="32"/>
      <c r="AW174" s="32"/>
      <c r="AX174" s="32"/>
      <c r="AY174" s="32"/>
      <c r="AZ174" s="32"/>
      <c r="BA174" s="32"/>
      <c r="BB174" s="32"/>
      <c r="BC174" s="32"/>
      <c r="BD174" s="32">
        <f>IFERROR(__xludf.DUMMYFUNCTION("""COMPUTED_VALUE"""),0.0)</f>
        <v>0</v>
      </c>
      <c r="BE174" s="32">
        <f>IFERROR(__xludf.DUMMYFUNCTION("""COMPUTED_VALUE"""),10.0)</f>
        <v>10</v>
      </c>
      <c r="BF174" s="32"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32" t="str">
        <f>IFERROR(__xludf.DUMMYFUNCTION("""COMPUTED_VALUE"""),"Jungle")</f>
        <v>Jungle</v>
      </c>
      <c r="BH174" s="32" t="str">
        <f>IFERROR(__xludf.DUMMYFUNCTION("""COMPUTED_VALUE"""),"Land Of Spira")</f>
        <v>Land Of Spira</v>
      </c>
      <c r="BI174" s="32"/>
      <c r="BJ174" s="32"/>
      <c r="BK174" s="32"/>
      <c r="BL174" s="32" t="b">
        <f>IFERROR(__xludf.DUMMYFUNCTION("""COMPUTED_VALUE"""),FALSE)</f>
        <v>0</v>
      </c>
      <c r="BM174" s="32"/>
      <c r="BN174" s="32"/>
      <c r="BO174" s="32"/>
      <c r="BP174" s="32"/>
      <c r="BQ174" s="32"/>
    </row>
    <row r="175">
      <c r="A175" s="32" t="str">
        <f>IFERROR(__xludf.DUMMYFUNCTION("""COMPUTED_VALUE"""),"Megalodon (WD)")</f>
        <v>Megalodon (WD)</v>
      </c>
      <c r="B175" s="32">
        <f>IFERROR(__xludf.DUMMYFUNCTION("""COMPUTED_VALUE"""),1.0)</f>
        <v>1</v>
      </c>
      <c r="C175" s="32"/>
      <c r="D175" s="33" t="str">
        <f>IFERROR(__xludf.DUMMYFUNCTION("""COMPUTED_VALUE"""),"Beast")</f>
        <v>Beast</v>
      </c>
      <c r="E175" s="33">
        <f>IFERROR(__xludf.DUMMYFUNCTION("""COMPUTED_VALUE"""),1010.0)</f>
        <v>1010</v>
      </c>
      <c r="F175" s="33">
        <f>IFERROR(__xludf.DUMMYFUNCTION("""COMPUTED_VALUE"""),1010.0)</f>
        <v>1010</v>
      </c>
      <c r="G175" s="33">
        <f>IFERROR(__xludf.DUMMYFUNCTION("""COMPUTED_VALUE"""),1010.0)</f>
        <v>1010</v>
      </c>
      <c r="H175" s="32">
        <f>IFERROR(__xludf.DUMMYFUNCTION("""COMPUTED_VALUE"""),10.0)</f>
        <v>10</v>
      </c>
      <c r="I175" s="32">
        <f>IFERROR(__xludf.DUMMYFUNCTION("""COMPUTED_VALUE"""),0.0)</f>
        <v>0</v>
      </c>
      <c r="J175" s="32">
        <f>IFERROR(__xludf.DUMMYFUNCTION("""COMPUTED_VALUE"""),0.0)</f>
        <v>0</v>
      </c>
      <c r="K175" s="32">
        <f>IFERROR(__xludf.DUMMYFUNCTION("""COMPUTED_VALUE"""),100.0)</f>
        <v>100</v>
      </c>
      <c r="L175" s="32">
        <f>IFERROR(__xludf.DUMMYFUNCTION("""COMPUTED_VALUE"""),100.0)</f>
        <v>100</v>
      </c>
      <c r="M175" s="32" t="str">
        <f>IFERROR(__xludf.DUMMYFUNCTION("""COMPUTED_VALUE"""),"Fire:Immune, Water:Immune, Instant Death:Immune, ")</f>
        <v>Fire:Immune, Water:Immune, Instant Death:Immune, </v>
      </c>
      <c r="N175" s="32" t="str">
        <f>IFERROR(__xludf.DUMMYFUNCTION("""COMPUTED_VALUE"""),"Nature:100, ")</f>
        <v>Nature:100, </v>
      </c>
      <c r="O175" s="32"/>
      <c r="P175" s="32"/>
      <c r="Q175" s="32"/>
      <c r="R175" s="32"/>
      <c r="S175" s="32"/>
      <c r="T175" s="32"/>
      <c r="U175" s="32"/>
      <c r="V175" s="32"/>
      <c r="W175" s="32"/>
      <c r="X175" s="32"/>
      <c r="Y175" s="32"/>
      <c r="Z175" s="32"/>
      <c r="AA175" s="32"/>
      <c r="AB175" s="32"/>
      <c r="AC175" s="32"/>
      <c r="AD175" s="32"/>
      <c r="AE175" s="32"/>
      <c r="AF175" s="32"/>
      <c r="AG175" s="32"/>
      <c r="AH175" s="32"/>
      <c r="AI175" s="32"/>
      <c r="AJ175" s="32" t="str">
        <f>IFERROR(__xludf.DUMMYFUNCTION("""COMPUTED_VALUE"""),"Call of The Sharks")</f>
        <v>Call of The Sharks</v>
      </c>
      <c r="AK175" s="32" t="str">
        <f>IFERROR(__xludf.DUMMYFUNCTION("""COMPUTED_VALUE"""),"Crashing Waves")</f>
        <v>Crashing Waves</v>
      </c>
      <c r="AL175" s="32" t="str">
        <f>IFERROR(__xludf.DUMMYFUNCTION("""COMPUTED_VALUE"""),"Torrential Downpour")</f>
        <v>Torrential Downpour</v>
      </c>
      <c r="AM175" s="32" t="str">
        <f>IFERROR(__xludf.DUMMYFUNCTION("""COMPUTED_VALUE"""),"Celestial Wave")</f>
        <v>Celestial Wave</v>
      </c>
      <c r="AN175" s="32" t="str">
        <f>IFERROR(__xludf.DUMMYFUNCTION("""COMPUTED_VALUE"""),"Multishot")</f>
        <v>Multishot</v>
      </c>
      <c r="AO175" s="32" t="str">
        <f>IFERROR(__xludf.DUMMYFUNCTION("""COMPUTED_VALUE"""),"Berserk")</f>
        <v>Berserk</v>
      </c>
      <c r="AP175" s="32" t="str">
        <f>IFERROR(__xludf.DUMMYFUNCTION("""COMPUTED_VALUE"""),"Reckless Chomp ")</f>
        <v>Reckless Chomp </v>
      </c>
      <c r="AQ175" s="32"/>
      <c r="AR175" s="32"/>
      <c r="AS175" s="32"/>
      <c r="AT175" s="32"/>
      <c r="AU175" s="32"/>
      <c r="AV175" s="32"/>
      <c r="AW175" s="32"/>
      <c r="AX175" s="32"/>
      <c r="AY175" s="32"/>
      <c r="AZ175" s="32"/>
      <c r="BA175" s="32"/>
      <c r="BB175" s="32"/>
      <c r="BC175" s="32"/>
      <c r="BD175" s="32">
        <f>IFERROR(__xludf.DUMMYFUNCTION("""COMPUTED_VALUE"""),0.0)</f>
        <v>0</v>
      </c>
      <c r="BE175" s="32">
        <f>IFERROR(__xludf.DUMMYFUNCTION("""COMPUTED_VALUE"""),10.0)</f>
        <v>10</v>
      </c>
      <c r="BF175" s="32" t="str">
        <f>IFERROR(__xludf.DUMMYFUNCTION("""COMPUTED_VALUE"""),"25% chance to be unaffected by any spells affecting this mob")</f>
        <v>25% chance to be unaffected by any spells affecting this mob</v>
      </c>
      <c r="BG175" s="32" t="str">
        <f>IFERROR(__xludf.DUMMYFUNCTION("""COMPUTED_VALUE"""),"Ocean")</f>
        <v>Ocean</v>
      </c>
      <c r="BH175" s="32" t="str">
        <f>IFERROR(__xludf.DUMMYFUNCTION("""COMPUTED_VALUE"""),"Land Of Spira")</f>
        <v>Land Of Spira</v>
      </c>
      <c r="BI175" s="32"/>
      <c r="BJ175" s="32"/>
      <c r="BK175" s="32"/>
      <c r="BL175" s="32" t="b">
        <f>IFERROR(__xludf.DUMMYFUNCTION("""COMPUTED_VALUE"""),FALSE)</f>
        <v>0</v>
      </c>
      <c r="BM175" s="32"/>
      <c r="BN175" s="32"/>
      <c r="BO175" s="32"/>
      <c r="BP175" s="32"/>
      <c r="BQ175" s="32"/>
    </row>
    <row r="176">
      <c r="A176" s="32" t="str">
        <f>IFERROR(__xludf.DUMMYFUNCTION("""COMPUTED_VALUE"""),"Megalodon (WD) (Enhanced)")</f>
        <v>Megalodon (WD) (Enhanced)</v>
      </c>
      <c r="B176" s="32">
        <f>IFERROR(__xludf.DUMMYFUNCTION("""COMPUTED_VALUE"""),1.0)</f>
        <v>1</v>
      </c>
      <c r="C176" s="32"/>
      <c r="D176" s="33" t="str">
        <f>IFERROR(__xludf.DUMMYFUNCTION("""COMPUTED_VALUE"""),"Beast")</f>
        <v>Beast</v>
      </c>
      <c r="E176" s="33">
        <f>IFERROR(__xludf.DUMMYFUNCTION("""COMPUTED_VALUE"""),1010.0)</f>
        <v>1010</v>
      </c>
      <c r="F176" s="33">
        <f>IFERROR(__xludf.DUMMYFUNCTION("""COMPUTED_VALUE"""),1010.0)</f>
        <v>1010</v>
      </c>
      <c r="G176" s="33">
        <f>IFERROR(__xludf.DUMMYFUNCTION("""COMPUTED_VALUE"""),1010.0)</f>
        <v>1010</v>
      </c>
      <c r="H176" s="32">
        <f>IFERROR(__xludf.DUMMYFUNCTION("""COMPUTED_VALUE"""),10.0)</f>
        <v>10</v>
      </c>
      <c r="I176" s="32">
        <f>IFERROR(__xludf.DUMMYFUNCTION("""COMPUTED_VALUE"""),0.0)</f>
        <v>0</v>
      </c>
      <c r="J176" s="32">
        <f>IFERROR(__xludf.DUMMYFUNCTION("""COMPUTED_VALUE"""),0.0)</f>
        <v>0</v>
      </c>
      <c r="K176" s="32">
        <f>IFERROR(__xludf.DUMMYFUNCTION("""COMPUTED_VALUE"""),100.0)</f>
        <v>100</v>
      </c>
      <c r="L176" s="32">
        <f>IFERROR(__xludf.DUMMYFUNCTION("""COMPUTED_VALUE"""),100.0)</f>
        <v>100</v>
      </c>
      <c r="M176" s="32" t="str">
        <f>IFERROR(__xludf.DUMMYFUNCTION("""COMPUTED_VALUE"""),"Fire:Immune, Water:Immune, Instant Death:Immune, ")</f>
        <v>Fire:Immune, Water:Immune, Instant Death:Immune, </v>
      </c>
      <c r="N176" s="32" t="str">
        <f>IFERROR(__xludf.DUMMYFUNCTION("""COMPUTED_VALUE"""),"Nature:100, ")</f>
        <v>Nature:100, </v>
      </c>
      <c r="O176" s="32"/>
      <c r="P176" s="32"/>
      <c r="Q176" s="32"/>
      <c r="R176" s="32"/>
      <c r="S176" s="32"/>
      <c r="T176" s="32"/>
      <c r="U176" s="32"/>
      <c r="V176" s="32"/>
      <c r="W176" s="32"/>
      <c r="X176" s="32"/>
      <c r="Y176" s="32"/>
      <c r="Z176" s="32"/>
      <c r="AA176" s="32"/>
      <c r="AB176" s="32"/>
      <c r="AC176" s="32"/>
      <c r="AD176" s="32"/>
      <c r="AE176" s="32"/>
      <c r="AF176" s="32"/>
      <c r="AG176" s="32"/>
      <c r="AH176" s="32"/>
      <c r="AI176" s="32"/>
      <c r="AJ176" s="32" t="str">
        <f>IFERROR(__xludf.DUMMYFUNCTION("""COMPUTED_VALUE"""),"Torrential Downpour")</f>
        <v>Torrential Downpour</v>
      </c>
      <c r="AK176" s="32" t="str">
        <f>IFERROR(__xludf.DUMMYFUNCTION("""COMPUTED_VALUE"""),"Crashing Waves")</f>
        <v>Crashing Waves</v>
      </c>
      <c r="AL176" s="32" t="str">
        <f>IFERROR(__xludf.DUMMYFUNCTION("""COMPUTED_VALUE"""),"Celestial Wave")</f>
        <v>Celestial Wave</v>
      </c>
      <c r="AM176" s="32" t="str">
        <f>IFERROR(__xludf.DUMMYFUNCTION("""COMPUTED_VALUE"""),"Call of The Sharks")</f>
        <v>Call of The Sharks</v>
      </c>
      <c r="AN176" s="32" t="str">
        <f>IFERROR(__xludf.DUMMYFUNCTION("""COMPUTED_VALUE"""),"Multishot")</f>
        <v>Multishot</v>
      </c>
      <c r="AO176" s="32" t="str">
        <f>IFERROR(__xludf.DUMMYFUNCTION("""COMPUTED_VALUE"""),"Berserk")</f>
        <v>Berserk</v>
      </c>
      <c r="AP176" s="32" t="str">
        <f>IFERROR(__xludf.DUMMYFUNCTION("""COMPUTED_VALUE"""),"Bite")</f>
        <v>Bite</v>
      </c>
      <c r="AQ176" s="32" t="str">
        <f>IFERROR(__xludf.DUMMYFUNCTION("""COMPUTED_VALUE"""),"Aggressive Chomp")</f>
        <v>Aggressive Chomp</v>
      </c>
      <c r="AR176" s="32" t="str">
        <f>IFERROR(__xludf.DUMMYFUNCTION("""COMPUTED_VALUE"""),"Aggresive Tear")</f>
        <v>Aggresive Tear</v>
      </c>
      <c r="AS176" s="32"/>
      <c r="AT176" s="32"/>
      <c r="AU176" s="32"/>
      <c r="AV176" s="32"/>
      <c r="AW176" s="32"/>
      <c r="AX176" s="32"/>
      <c r="AY176" s="32"/>
      <c r="AZ176" s="32"/>
      <c r="BA176" s="32"/>
      <c r="BB176" s="32"/>
      <c r="BC176" s="32"/>
      <c r="BD176" s="32">
        <f>IFERROR(__xludf.DUMMYFUNCTION("""COMPUTED_VALUE"""),0.0)</f>
        <v>0</v>
      </c>
      <c r="BE176" s="32">
        <f>IFERROR(__xludf.DUMMYFUNCTION("""COMPUTED_VALUE"""),10.0)</f>
        <v>10</v>
      </c>
      <c r="BF176" s="32" t="str">
        <f>IFERROR(__xludf.DUMMYFUNCTION("""COMPUTED_VALUE"""),"50% chance to be unaffected by any spells affecting this mob")</f>
        <v>50% chance to be unaffected by any spells affecting this mob</v>
      </c>
      <c r="BG176" s="32" t="str">
        <f>IFERROR(__xludf.DUMMYFUNCTION("""COMPUTED_VALUE"""),"Ocean")</f>
        <v>Ocean</v>
      </c>
      <c r="BH176" s="32" t="str">
        <f>IFERROR(__xludf.DUMMYFUNCTION("""COMPUTED_VALUE"""),"Land Of Spira")</f>
        <v>Land Of Spira</v>
      </c>
      <c r="BI176" s="32"/>
      <c r="BJ176" s="32"/>
      <c r="BK176" s="32"/>
      <c r="BL176" s="32" t="b">
        <f>IFERROR(__xludf.DUMMYFUNCTION("""COMPUTED_VALUE"""),FALSE)</f>
        <v>0</v>
      </c>
      <c r="BM176" s="32"/>
      <c r="BN176" s="32"/>
      <c r="BO176" s="32"/>
      <c r="BP176" s="32"/>
      <c r="BQ176" s="32"/>
    </row>
    <row r="177">
      <c r="A177" s="32" t="str">
        <f>IFERROR(__xludf.DUMMYFUNCTION("""COMPUTED_VALUE"""),"Merk the undying sand Goblin")</f>
        <v>Merk the undying sand Goblin</v>
      </c>
      <c r="B177" s="32">
        <f>IFERROR(__xludf.DUMMYFUNCTION("""COMPUTED_VALUE"""),1.0)</f>
        <v>1</v>
      </c>
      <c r="C177" s="32"/>
      <c r="D177" s="33" t="str">
        <f>IFERROR(__xludf.DUMMYFUNCTION("""COMPUTED_VALUE"""),"Humanoid")</f>
        <v>Humanoid</v>
      </c>
      <c r="E177" s="33">
        <f>IFERROR(__xludf.DUMMYFUNCTION("""COMPUTED_VALUE"""),1010.0)</f>
        <v>1010</v>
      </c>
      <c r="F177" s="33">
        <f>IFERROR(__xludf.DUMMYFUNCTION("""COMPUTED_VALUE"""),1010.0)</f>
        <v>1010</v>
      </c>
      <c r="G177" s="33">
        <f>IFERROR(__xludf.DUMMYFUNCTION("""COMPUTED_VALUE"""),1010.0)</f>
        <v>1010</v>
      </c>
      <c r="H177" s="32">
        <f>IFERROR(__xludf.DUMMYFUNCTION("""COMPUTED_VALUE"""),10.0)</f>
        <v>10</v>
      </c>
      <c r="I177" s="32">
        <f>IFERROR(__xludf.DUMMYFUNCTION("""COMPUTED_VALUE"""),0.0)</f>
        <v>0</v>
      </c>
      <c r="J177" s="32">
        <f>IFERROR(__xludf.DUMMYFUNCTION("""COMPUTED_VALUE"""),0.0)</f>
        <v>0</v>
      </c>
      <c r="K177" s="32">
        <f>IFERROR(__xludf.DUMMYFUNCTION("""COMPUTED_VALUE"""),100.0)</f>
        <v>100</v>
      </c>
      <c r="L177" s="32">
        <f>IFERROR(__xludf.DUMMYFUNCTION("""COMPUTED_VALUE"""),100.0)</f>
        <v>100</v>
      </c>
      <c r="M177" s="32" t="str">
        <f>IFERROR(__xludf.DUMMYFUNCTION("""COMPUTED_VALUE"""),"Fire:100, ")</f>
        <v>Fire:100, </v>
      </c>
      <c r="N177" s="32" t="str">
        <f>IFERROR(__xludf.DUMMYFUNCTION("""COMPUTED_VALUE"""),"Water:100, Storm:100, ")</f>
        <v>Water:100, Storm:100, </v>
      </c>
      <c r="O177" s="32"/>
      <c r="P177" s="32"/>
      <c r="Q177" s="32"/>
      <c r="R177" s="32"/>
      <c r="S177" s="32"/>
      <c r="T177" s="32"/>
      <c r="U177" s="32"/>
      <c r="V177" s="32"/>
      <c r="W177" s="32"/>
      <c r="X177" s="32"/>
      <c r="Y177" s="32"/>
      <c r="Z177" s="32"/>
      <c r="AA177" s="32"/>
      <c r="AB177" s="32"/>
      <c r="AC177" s="32"/>
      <c r="AD177" s="32"/>
      <c r="AE177" s="32"/>
      <c r="AF177" s="32"/>
      <c r="AG177" s="32"/>
      <c r="AH177" s="32"/>
      <c r="AI177" s="32"/>
      <c r="AJ177" s="32" t="str">
        <f>IFERROR(__xludf.DUMMYFUNCTION("""COMPUTED_VALUE"""),"Boulder Toss")</f>
        <v>Boulder Toss</v>
      </c>
      <c r="AK177" s="32" t="str">
        <f>IFERROR(__xludf.DUMMYFUNCTION("""COMPUTED_VALUE"""),"Last Gamble")</f>
        <v>Last Gamble</v>
      </c>
      <c r="AL177" s="32" t="str">
        <f>IFERROR(__xludf.DUMMYFUNCTION("""COMPUTED_VALUE"""),"Rock Cycle")</f>
        <v>Rock Cycle</v>
      </c>
      <c r="AM177" s="32" t="str">
        <f>IFERROR(__xludf.DUMMYFUNCTION("""COMPUTED_VALUE"""),"Sandstorm")</f>
        <v>Sandstorm</v>
      </c>
      <c r="AN177" s="32"/>
      <c r="AO177" s="32"/>
      <c r="AP177" s="32"/>
      <c r="AQ177" s="32"/>
      <c r="AR177" s="32"/>
      <c r="AS177" s="32"/>
      <c r="AT177" s="32"/>
      <c r="AU177" s="32"/>
      <c r="AV177" s="32"/>
      <c r="AW177" s="32"/>
      <c r="AX177" s="32"/>
      <c r="AY177" s="32"/>
      <c r="AZ177" s="32"/>
      <c r="BA177" s="32"/>
      <c r="BB177" s="32"/>
      <c r="BC177" s="32"/>
      <c r="BD177" s="32">
        <f>IFERROR(__xludf.DUMMYFUNCTION("""COMPUTED_VALUE"""),0.0)</f>
        <v>0</v>
      </c>
      <c r="BE177" s="32">
        <f>IFERROR(__xludf.DUMMYFUNCTION("""COMPUTED_VALUE"""),10.0)</f>
        <v>10</v>
      </c>
      <c r="BF177" s="32"/>
      <c r="BG177" s="32" t="str">
        <f>IFERROR(__xludf.DUMMYFUNCTION("""COMPUTED_VALUE"""),"Desert")</f>
        <v>Desert</v>
      </c>
      <c r="BH177" s="32" t="str">
        <f>IFERROR(__xludf.DUMMYFUNCTION("""COMPUTED_VALUE"""),"Land of Spira")</f>
        <v>Land of Spira</v>
      </c>
      <c r="BI177" s="32"/>
      <c r="BJ177" s="32"/>
      <c r="BK177" s="32"/>
      <c r="BL177" s="32" t="b">
        <f>IFERROR(__xludf.DUMMYFUNCTION("""COMPUTED_VALUE"""),FALSE)</f>
        <v>0</v>
      </c>
      <c r="BM177" s="32"/>
      <c r="BN177" s="32"/>
      <c r="BO177" s="32"/>
      <c r="BP177" s="32"/>
      <c r="BQ177" s="32"/>
    </row>
    <row r="178">
      <c r="A178" s="32" t="str">
        <f>IFERROR(__xludf.DUMMYFUNCTION("""COMPUTED_VALUE"""),"Mod ""The Evil Seahag From Hagstown""")</f>
        <v>Mod "The Evil Seahag From Hagstown"</v>
      </c>
      <c r="B178" s="32">
        <f>IFERROR(__xludf.DUMMYFUNCTION("""COMPUTED_VALUE"""),1.0)</f>
        <v>1</v>
      </c>
      <c r="C178" s="32"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32" t="str">
        <f>IFERROR(__xludf.DUMMYFUNCTION("""COMPUTED_VALUE"""),"Fae")</f>
        <v>Fae</v>
      </c>
      <c r="E178" s="32">
        <f>IFERROR(__xludf.DUMMYFUNCTION("""COMPUTED_VALUE"""),1010.0)</f>
        <v>1010</v>
      </c>
      <c r="F178" s="33">
        <f>IFERROR(__xludf.DUMMYFUNCTION("""COMPUTED_VALUE"""),1010.0)</f>
        <v>1010</v>
      </c>
      <c r="G178" s="32">
        <f>IFERROR(__xludf.DUMMYFUNCTION("""COMPUTED_VALUE"""),1010.0)</f>
        <v>1010</v>
      </c>
      <c r="H178" s="32">
        <f>IFERROR(__xludf.DUMMYFUNCTION("""COMPUTED_VALUE"""),20.0)</f>
        <v>20</v>
      </c>
      <c r="I178" s="32">
        <f>IFERROR(__xludf.DUMMYFUNCTION("""COMPUTED_VALUE"""),0.0)</f>
        <v>0</v>
      </c>
      <c r="J178" s="32">
        <f>IFERROR(__xludf.DUMMYFUNCTION("""COMPUTED_VALUE"""),0.0)</f>
        <v>0</v>
      </c>
      <c r="K178" s="32">
        <f>IFERROR(__xludf.DUMMYFUNCTION("""COMPUTED_VALUE"""),100.0)</f>
        <v>100</v>
      </c>
      <c r="L178" s="32">
        <f>IFERROR(__xludf.DUMMYFUNCTION("""COMPUTED_VALUE"""),100.0)</f>
        <v>100</v>
      </c>
      <c r="M178" s="3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32" t="str">
        <f>IFERROR(__xludf.DUMMYFUNCTION("""COMPUTED_VALUE"""),"Fire:100, Light:100, Order:100, Zen:100, Celestial:100, ")</f>
        <v>Fire:100, Light:100, Order:100, Zen:100, Celestial:100, </v>
      </c>
      <c r="O178" s="32"/>
      <c r="P178" s="32" t="str">
        <f>IFERROR(__xludf.DUMMYFUNCTION("""COMPUTED_VALUE"""),"Chaotic Amulet")</f>
        <v>Chaotic Amulet</v>
      </c>
      <c r="Q178" s="32"/>
      <c r="R178" s="32"/>
      <c r="S178" s="32"/>
      <c r="T178" s="32"/>
      <c r="U178" s="32"/>
      <c r="V178" s="32"/>
      <c r="W178" s="32" t="str">
        <f>IFERROR(__xludf.DUMMYFUNCTION("""COMPUTED_VALUE"""),"Chaotic Shadow Life Orb")</f>
        <v>Chaotic Shadow Life Orb</v>
      </c>
      <c r="X178" s="32"/>
      <c r="Y178" s="32"/>
      <c r="Z178" s="32"/>
      <c r="AA178" s="32"/>
      <c r="AB178" s="32"/>
      <c r="AC178" s="32"/>
      <c r="AD178" s="32"/>
      <c r="AE178" s="32"/>
      <c r="AF178" s="32"/>
      <c r="AG178" s="32"/>
      <c r="AH178" s="32"/>
      <c r="AI178" s="32"/>
      <c r="AJ178" s="32" t="str">
        <f>IFERROR(__xludf.DUMMYFUNCTION("""COMPUTED_VALUE"""),"Chaincast")</f>
        <v>Chaincast</v>
      </c>
      <c r="AK178" s="32" t="str">
        <f>IFERROR(__xludf.DUMMYFUNCTION("""COMPUTED_VALUE"""),"Voodoo Meteor Shower")</f>
        <v>Voodoo Meteor Shower</v>
      </c>
      <c r="AL178" s="32" t="str">
        <f>IFERROR(__xludf.DUMMYFUNCTION("""COMPUTED_VALUE"""),"End the voodoo contract")</f>
        <v>End the voodoo contract</v>
      </c>
      <c r="AM178" s="32" t="str">
        <f>IFERROR(__xludf.DUMMYFUNCTION("""COMPUTED_VALUE"""),"Stand in")</f>
        <v>Stand in</v>
      </c>
      <c r="AN178" s="32" t="str">
        <f>IFERROR(__xludf.DUMMYFUNCTION("""COMPUTED_VALUE"""),"Hex With Bad Luck")</f>
        <v>Hex With Bad Luck</v>
      </c>
      <c r="AO178" s="32" t="str">
        <f>IFERROR(__xludf.DUMMYFUNCTION("""COMPUTED_VALUE"""),"Dimensional Quake")</f>
        <v>Dimensional Quake</v>
      </c>
      <c r="AP178" s="32" t="str">
        <f>IFERROR(__xludf.DUMMYFUNCTION("""COMPUTED_VALUE"""),"Dimension Portal")</f>
        <v>Dimension Portal</v>
      </c>
      <c r="AQ178" s="32" t="str">
        <f>IFERROR(__xludf.DUMMYFUNCTION("""COMPUTED_VALUE"""),"Darkest Abyss")</f>
        <v>Darkest Abyss</v>
      </c>
      <c r="AR178" s="32" t="str">
        <f>IFERROR(__xludf.DUMMYFUNCTION("""COMPUTED_VALUE"""),"Conceal")</f>
        <v>Conceal</v>
      </c>
      <c r="AS178" s="32" t="str">
        <f>IFERROR(__xludf.DUMMYFUNCTION("""COMPUTED_VALUE"""),"Stasis Madness")</f>
        <v>Stasis Madness</v>
      </c>
      <c r="AT178" s="32" t="str">
        <f>IFERROR(__xludf.DUMMYFUNCTION("""COMPUTED_VALUE"""),"Stasis Tsunami")</f>
        <v>Stasis Tsunami</v>
      </c>
      <c r="AU178" s="32" t="str">
        <f>IFERROR(__xludf.DUMMYFUNCTION("""COMPUTED_VALUE"""),"Twilight Masquerade")</f>
        <v>Twilight Masquerade</v>
      </c>
      <c r="AV178" s="32" t="str">
        <f>IFERROR(__xludf.DUMMYFUNCTION("""COMPUTED_VALUE"""),"The Setting Sun")</f>
        <v>The Setting Sun</v>
      </c>
      <c r="AW178" s="32" t="str">
        <f>IFERROR(__xludf.DUMMYFUNCTION("""COMPUTED_VALUE"""),"Damage With A Cost.")</f>
        <v>Damage With A Cost.</v>
      </c>
      <c r="AX178" s="32" t="str">
        <f>IFERROR(__xludf.DUMMYFUNCTION("""COMPUTED_VALUE"""),"Swallow")</f>
        <v>Swallow</v>
      </c>
      <c r="AY178" s="32" t="str">
        <f>IFERROR(__xludf.DUMMYFUNCTION("""COMPUTED_VALUE"""),"Mass Destruction")</f>
        <v>Mass Destruction</v>
      </c>
      <c r="AZ178" s="32" t="str">
        <f>IFERROR(__xludf.DUMMYFUNCTION("""COMPUTED_VALUE"""),"Celestial Wrath")</f>
        <v>Celestial Wrath</v>
      </c>
      <c r="BA178" s="32"/>
      <c r="BB178" s="32"/>
      <c r="BC178" s="32"/>
      <c r="BD178" s="32">
        <f>IFERROR(__xludf.DUMMYFUNCTION("""COMPUTED_VALUE"""),0.0)</f>
        <v>0</v>
      </c>
      <c r="BE178" s="32">
        <f>IFERROR(__xludf.DUMMYFUNCTION("""COMPUTED_VALUE"""),10.0)</f>
        <v>10</v>
      </c>
      <c r="BF178"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32" t="str">
        <f>IFERROR(__xludf.DUMMYFUNCTION("""COMPUTED_VALUE"""),"Dungeon")</f>
        <v>Dungeon</v>
      </c>
      <c r="BH178" s="32" t="str">
        <f>IFERROR(__xludf.DUMMYFUNCTION("""COMPUTED_VALUE"""),"Halloween Kingdom")</f>
        <v>Halloween Kingdom</v>
      </c>
      <c r="BI178" s="32"/>
      <c r="BJ178" s="32"/>
      <c r="BK178" s="32"/>
      <c r="BL178" s="32" t="b">
        <f>IFERROR(__xludf.DUMMYFUNCTION("""COMPUTED_VALUE"""),FALSE)</f>
        <v>0</v>
      </c>
      <c r="BM178" s="32"/>
      <c r="BN178" s="32"/>
      <c r="BO178" s="32"/>
      <c r="BP178" s="32"/>
      <c r="BQ178" s="32"/>
    </row>
    <row r="179">
      <c r="A179" s="32" t="str">
        <f>IFERROR(__xludf.DUMMYFUNCTION("""COMPUTED_VALUE"""),"Moonlight Unicorn")</f>
        <v>Moonlight Unicorn</v>
      </c>
      <c r="B179" s="32">
        <f>IFERROR(__xludf.DUMMYFUNCTION("""COMPUTED_VALUE"""),1.0)</f>
        <v>1</v>
      </c>
      <c r="C179" s="32"/>
      <c r="D179" s="33" t="str">
        <f>IFERROR(__xludf.DUMMYFUNCTION("""COMPUTED_VALUE"""),"Fae")</f>
        <v>Fae</v>
      </c>
      <c r="E179" s="33">
        <f>IFERROR(__xludf.DUMMYFUNCTION("""COMPUTED_VALUE"""),1010.0)</f>
        <v>1010</v>
      </c>
      <c r="F179" s="33">
        <f>IFERROR(__xludf.DUMMYFUNCTION("""COMPUTED_VALUE"""),100010.0)</f>
        <v>100010</v>
      </c>
      <c r="G179" s="33">
        <f>IFERROR(__xludf.DUMMYFUNCTION("""COMPUTED_VALUE"""),1010.0)</f>
        <v>1010</v>
      </c>
      <c r="H179" s="32">
        <f>IFERROR(__xludf.DUMMYFUNCTION("""COMPUTED_VALUE"""),10.0)</f>
        <v>10</v>
      </c>
      <c r="I179" s="32">
        <f>IFERROR(__xludf.DUMMYFUNCTION("""COMPUTED_VALUE"""),0.0)</f>
        <v>0</v>
      </c>
      <c r="J179" s="32">
        <f>IFERROR(__xludf.DUMMYFUNCTION("""COMPUTED_VALUE"""),0.0)</f>
        <v>0</v>
      </c>
      <c r="K179" s="32">
        <f>IFERROR(__xludf.DUMMYFUNCTION("""COMPUTED_VALUE"""),100.0)</f>
        <v>100</v>
      </c>
      <c r="L179" s="32">
        <f>IFERROR(__xludf.DUMMYFUNCTION("""COMPUTED_VALUE"""),100.0)</f>
        <v>100</v>
      </c>
      <c r="M179" s="32" t="str">
        <f>IFERROR(__xludf.DUMMYFUNCTION("""COMPUTED_VALUE"""),"Dark:Immune, Chaos:Immune, Astral:Immune, ")</f>
        <v>Dark:Immune, Chaos:Immune, Astral:Immune, </v>
      </c>
      <c r="N179" s="32" t="str">
        <f>IFERROR(__xludf.DUMMYFUNCTION("""COMPUTED_VALUE"""),"Celestial:100, ")</f>
        <v>Celestial:100, </v>
      </c>
      <c r="O179" s="32"/>
      <c r="P179" s="32"/>
      <c r="Q179" s="32"/>
      <c r="R179" s="32"/>
      <c r="S179" s="32"/>
      <c r="T179" s="32"/>
      <c r="U179" s="32"/>
      <c r="V179" s="32"/>
      <c r="W179" s="32"/>
      <c r="X179" s="32"/>
      <c r="Y179" s="32"/>
      <c r="Z179" s="32"/>
      <c r="AA179" s="32"/>
      <c r="AB179" s="32"/>
      <c r="AC179" s="32"/>
      <c r="AD179" s="32"/>
      <c r="AE179" s="32"/>
      <c r="AF179" s="32"/>
      <c r="AG179" s="32"/>
      <c r="AH179" s="32"/>
      <c r="AI179" s="32"/>
      <c r="AJ179" s="32" t="str">
        <f>IFERROR(__xludf.DUMMYFUNCTION("""COMPUTED_VALUE"""),"Comet Shower")</f>
        <v>Comet Shower</v>
      </c>
      <c r="AK179" s="32" t="str">
        <f>IFERROR(__xludf.DUMMYFUNCTION("""COMPUTED_VALUE"""),"Black Hole")</f>
        <v>Black Hole</v>
      </c>
      <c r="AL179" s="32" t="str">
        <f>IFERROR(__xludf.DUMMYFUNCTION("""COMPUTED_VALUE"""),"Planetary Meteor Storm")</f>
        <v>Planetary Meteor Storm</v>
      </c>
      <c r="AM179" s="32" t="str">
        <f>IFERROR(__xludf.DUMMYFUNCTION("""COMPUTED_VALUE"""),"Gore")</f>
        <v>Gore</v>
      </c>
      <c r="AN179" s="32"/>
      <c r="AO179" s="32"/>
      <c r="AP179" s="32"/>
      <c r="AQ179" s="32"/>
      <c r="AR179" s="32"/>
      <c r="AS179" s="32"/>
      <c r="AT179" s="32"/>
      <c r="AU179" s="32"/>
      <c r="AV179" s="32"/>
      <c r="AW179" s="32"/>
      <c r="AX179" s="32"/>
      <c r="AY179" s="32"/>
      <c r="AZ179" s="32"/>
      <c r="BA179" s="32"/>
      <c r="BB179" s="32"/>
      <c r="BC179" s="32"/>
      <c r="BD179" s="32">
        <f>IFERROR(__xludf.DUMMYFUNCTION("""COMPUTED_VALUE"""),0.0)</f>
        <v>0</v>
      </c>
      <c r="BE179" s="32">
        <f>IFERROR(__xludf.DUMMYFUNCTION("""COMPUTED_VALUE"""),10.0)</f>
        <v>10</v>
      </c>
      <c r="BF179" s="32"/>
      <c r="BG179" s="32" t="str">
        <f>IFERROR(__xludf.DUMMYFUNCTION("""COMPUTED_VALUE"""),"All")</f>
        <v>All</v>
      </c>
      <c r="BH179" s="32" t="str">
        <f>IFERROR(__xludf.DUMMYFUNCTION("""COMPUTED_VALUE"""),"Land Of Spira")</f>
        <v>Land Of Spira</v>
      </c>
      <c r="BI179" s="32"/>
      <c r="BJ179" s="32"/>
      <c r="BK179" s="32"/>
      <c r="BL179" s="32" t="b">
        <f>IFERROR(__xludf.DUMMYFUNCTION("""COMPUTED_VALUE"""),FALSE)</f>
        <v>0</v>
      </c>
      <c r="BM179" s="32"/>
      <c r="BN179" s="32"/>
      <c r="BO179" s="32"/>
      <c r="BP179" s="32"/>
      <c r="BQ179" s="32"/>
    </row>
    <row r="180">
      <c r="A180" s="32" t="str">
        <f>IFERROR(__xludf.DUMMYFUNCTION("""COMPUTED_VALUE"""),"Moonstone Dragon")</f>
        <v>Moonstone Dragon</v>
      </c>
      <c r="B180" s="32">
        <f>IFERROR(__xludf.DUMMYFUNCTION("""COMPUTED_VALUE"""),1.0)</f>
        <v>1</v>
      </c>
      <c r="C180" s="32"/>
      <c r="D180" s="32" t="str">
        <f>IFERROR(__xludf.DUMMYFUNCTION("""COMPUTED_VALUE"""),"Draconic")</f>
        <v>Draconic</v>
      </c>
      <c r="E180" s="32">
        <f>IFERROR(__xludf.DUMMYFUNCTION("""COMPUTED_VALUE"""),31010.0)</f>
        <v>31010</v>
      </c>
      <c r="F180" s="33">
        <f>IFERROR(__xludf.DUMMYFUNCTION("""COMPUTED_VALUE"""),31010.0)</f>
        <v>31010</v>
      </c>
      <c r="G180" s="32">
        <f>IFERROR(__xludf.DUMMYFUNCTION("""COMPUTED_VALUE"""),31010.0)</f>
        <v>31010</v>
      </c>
      <c r="H180" s="32">
        <f>IFERROR(__xludf.DUMMYFUNCTION("""COMPUTED_VALUE"""),20.0)</f>
        <v>20</v>
      </c>
      <c r="I180" s="32">
        <f>IFERROR(__xludf.DUMMYFUNCTION("""COMPUTED_VALUE"""),0.0)</f>
        <v>0</v>
      </c>
      <c r="J180" s="32">
        <f>IFERROR(__xludf.DUMMYFUNCTION("""COMPUTED_VALUE"""),0.0)</f>
        <v>0</v>
      </c>
      <c r="K180" s="32">
        <f>IFERROR(__xludf.DUMMYFUNCTION("""COMPUTED_VALUE"""),100.0)</f>
        <v>100</v>
      </c>
      <c r="L180" s="32">
        <f>IFERROR(__xludf.DUMMYFUNCTION("""COMPUTED_VALUE"""),100.0)</f>
        <v>100</v>
      </c>
      <c r="M180" s="32" t="str">
        <f>IFERROR(__xludf.DUMMYFUNCTION("""COMPUTED_VALUE"""),"Earth:100, Astral:Immune, Instant Death:Immune, Banishment:Immune, ")</f>
        <v>Earth:100, Astral:Immune, Instant Death:Immune, Banishment:Immune, </v>
      </c>
      <c r="N180" s="32" t="str">
        <f>IFERROR(__xludf.DUMMYFUNCTION("""COMPUTED_VALUE"""),"Water:100, Storm:100, Celestial:100, ")</f>
        <v>Water:100, Storm:100, Celestial:100, </v>
      </c>
      <c r="O180" s="32"/>
      <c r="P180" s="32"/>
      <c r="Q180" s="32"/>
      <c r="R180" s="32"/>
      <c r="S180" s="32"/>
      <c r="T180" s="32"/>
      <c r="U180" s="32"/>
      <c r="V180" s="32"/>
      <c r="W180" s="32"/>
      <c r="X180" s="32"/>
      <c r="Y180" s="32"/>
      <c r="Z180" s="32"/>
      <c r="AA180" s="32"/>
      <c r="AB180" s="32"/>
      <c r="AC180" s="32"/>
      <c r="AD180" s="32"/>
      <c r="AE180" s="32"/>
      <c r="AF180" s="32"/>
      <c r="AG180" s="32"/>
      <c r="AH180" s="32"/>
      <c r="AI180" s="32"/>
      <c r="AJ180" s="32" t="str">
        <f>IFERROR(__xludf.DUMMYFUNCTION("""COMPUTED_VALUE"""),"Lunar Ward")</f>
        <v>Lunar Ward</v>
      </c>
      <c r="AK180" s="32" t="str">
        <f>IFERROR(__xludf.DUMMYFUNCTION("""COMPUTED_VALUE"""),"Dark Curse")</f>
        <v>Dark Curse</v>
      </c>
      <c r="AL180" s="32" t="str">
        <f>IFERROR(__xludf.DUMMYFUNCTION("""COMPUTED_VALUE"""),"Dive Bomb")</f>
        <v>Dive Bomb</v>
      </c>
      <c r="AM180" s="32" t="str">
        <f>IFERROR(__xludf.DUMMYFUNCTION("""COMPUTED_VALUE"""),"Max Focus")</f>
        <v>Max Focus</v>
      </c>
      <c r="AN180" s="32" t="str">
        <f>IFERROR(__xludf.DUMMYFUNCTION("""COMPUTED_VALUE"""),"Dragon's Breath")</f>
        <v>Dragon's Breath</v>
      </c>
      <c r="AO180" s="32" t="str">
        <f>IFERROR(__xludf.DUMMYFUNCTION("""COMPUTED_VALUE"""),"Aggressive Chomp")</f>
        <v>Aggressive Chomp</v>
      </c>
      <c r="AP180" s="32" t="str">
        <f>IFERROR(__xludf.DUMMYFUNCTION("""COMPUTED_VALUE"""),"Lash of Twilight")</f>
        <v>Lash of Twilight</v>
      </c>
      <c r="AQ180" s="32" t="str">
        <f>IFERROR(__xludf.DUMMYFUNCTION("""COMPUTED_VALUE"""),"Danse Macabre")</f>
        <v>Danse Macabre</v>
      </c>
      <c r="AR180" s="32" t="str">
        <f>IFERROR(__xludf.DUMMYFUNCTION("""COMPUTED_VALUE"""),"Dark Boost")</f>
        <v>Dark Boost</v>
      </c>
      <c r="AS180" s="32" t="str">
        <f>IFERROR(__xludf.DUMMYFUNCTION("""COMPUTED_VALUE"""),"Shadow")</f>
        <v>Shadow</v>
      </c>
      <c r="AT180" s="32" t="str">
        <f>IFERROR(__xludf.DUMMYFUNCTION("""COMPUTED_VALUE"""),"Nightmare")</f>
        <v>Nightmare</v>
      </c>
      <c r="AU180" s="32" t="str">
        <f>IFERROR(__xludf.DUMMYFUNCTION("""COMPUTED_VALUE"""),"Dark Force")</f>
        <v>Dark Force</v>
      </c>
      <c r="AV180" s="32" t="str">
        <f>IFERROR(__xludf.DUMMYFUNCTION("""COMPUTED_VALUE"""),"Moon Slam")</f>
        <v>Moon Slam</v>
      </c>
      <c r="AW180" s="32" t="str">
        <f>IFERROR(__xludf.DUMMYFUNCTION("""COMPUTED_VALUE"""),"Moonlight")</f>
        <v>Moonlight</v>
      </c>
      <c r="AX180" s="32" t="str">
        <f>IFERROR(__xludf.DUMMYFUNCTION("""COMPUTED_VALUE"""),"Moonlight")</f>
        <v>Moonlight</v>
      </c>
      <c r="AY180" s="32" t="str">
        <f>IFERROR(__xludf.DUMMYFUNCTION("""COMPUTED_VALUE"""),"Moonlight Regen")</f>
        <v>Moonlight Regen</v>
      </c>
      <c r="AZ180" s="32"/>
      <c r="BA180" s="32"/>
      <c r="BB180" s="32"/>
      <c r="BC180" s="32"/>
      <c r="BD180" s="32">
        <f>IFERROR(__xludf.DUMMYFUNCTION("""COMPUTED_VALUE"""),0.0)</f>
        <v>0</v>
      </c>
      <c r="BE180" s="32">
        <f>IFERROR(__xludf.DUMMYFUNCTION("""COMPUTED_VALUE"""),10.0)</f>
        <v>10</v>
      </c>
      <c r="BF180"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32" t="str">
        <f>IFERROR(__xludf.DUMMYFUNCTION("""COMPUTED_VALUE"""),"All")</f>
        <v>All</v>
      </c>
      <c r="BH180" s="32" t="str">
        <f>IFERROR(__xludf.DUMMYFUNCTION("""COMPUTED_VALUE"""),"Dragonscale Island")</f>
        <v>Dragonscale Island</v>
      </c>
      <c r="BI180" s="32"/>
      <c r="BJ180" s="32"/>
      <c r="BK180" s="32"/>
      <c r="BL180" s="32" t="b">
        <f>IFERROR(__xludf.DUMMYFUNCTION("""COMPUTED_VALUE"""),FALSE)</f>
        <v>0</v>
      </c>
      <c r="BM180" s="32"/>
      <c r="BN180" s="32"/>
      <c r="BO180" s="32"/>
      <c r="BP180" s="32"/>
      <c r="BQ180" s="32"/>
    </row>
    <row r="181">
      <c r="A181" s="32" t="str">
        <f>IFERROR(__xludf.DUMMYFUNCTION("""COMPUTED_VALUE"""),"Mournful Mother")</f>
        <v>Mournful Mother</v>
      </c>
      <c r="B181" s="32">
        <f>IFERROR(__xludf.DUMMYFUNCTION("""COMPUTED_VALUE"""),1.0)</f>
        <v>1</v>
      </c>
      <c r="C181" s="32"/>
      <c r="D181" s="32" t="str">
        <f>IFERROR(__xludf.DUMMYFUNCTION("""COMPUTED_VALUE"""),"Undead")</f>
        <v>Undead</v>
      </c>
      <c r="E181" s="32">
        <f>IFERROR(__xludf.DUMMYFUNCTION("""COMPUTED_VALUE"""),1010.0)</f>
        <v>1010</v>
      </c>
      <c r="F181" s="33">
        <f>IFERROR(__xludf.DUMMYFUNCTION("""COMPUTED_VALUE"""),1010.0)</f>
        <v>1010</v>
      </c>
      <c r="G181" s="32">
        <f>IFERROR(__xludf.DUMMYFUNCTION("""COMPUTED_VALUE"""),1010.0)</f>
        <v>1010</v>
      </c>
      <c r="H181" s="32">
        <f>IFERROR(__xludf.DUMMYFUNCTION("""COMPUTED_VALUE"""),10.0)</f>
        <v>10</v>
      </c>
      <c r="I181" s="32">
        <f>IFERROR(__xludf.DUMMYFUNCTION("""COMPUTED_VALUE"""),0.0)</f>
        <v>0</v>
      </c>
      <c r="J181" s="32">
        <f>IFERROR(__xludf.DUMMYFUNCTION("""COMPUTED_VALUE"""),0.0)</f>
        <v>0</v>
      </c>
      <c r="K181" s="32">
        <f>IFERROR(__xludf.DUMMYFUNCTION("""COMPUTED_VALUE"""),100.0)</f>
        <v>100</v>
      </c>
      <c r="L181" s="32">
        <f>IFERROR(__xludf.DUMMYFUNCTION("""COMPUTED_VALUE"""),100.0)</f>
        <v>100</v>
      </c>
      <c r="M181" s="32" t="str">
        <f>IFERROR(__xludf.DUMMYFUNCTION("""COMPUTED_VALUE"""),"Dark:Immune, ")</f>
        <v>Dark:Immune, </v>
      </c>
      <c r="N181" s="32" t="str">
        <f>IFERROR(__xludf.DUMMYFUNCTION("""COMPUTED_VALUE"""),"Light:100, ")</f>
        <v>Light:100, </v>
      </c>
      <c r="O181" s="32"/>
      <c r="P181" s="32"/>
      <c r="Q181" s="32"/>
      <c r="R181" s="32"/>
      <c r="S181" s="32"/>
      <c r="T181" s="32" t="str">
        <f>IFERROR(__xludf.DUMMYFUNCTION("""COMPUTED_VALUE"""),"Poison Vine Sword")</f>
        <v>Poison Vine Sword</v>
      </c>
      <c r="U181" s="32"/>
      <c r="V181" s="32"/>
      <c r="W181" s="32"/>
      <c r="X181" s="32"/>
      <c r="Y181" s="32"/>
      <c r="Z181" s="32"/>
      <c r="AA181" s="32"/>
      <c r="AB181" s="32"/>
      <c r="AC181" s="32"/>
      <c r="AD181" s="32"/>
      <c r="AE181" s="32"/>
      <c r="AF181" s="32"/>
      <c r="AG181" s="32"/>
      <c r="AH181" s="32"/>
      <c r="AI181" s="32"/>
      <c r="AJ181" s="32" t="str">
        <f>IFERROR(__xludf.DUMMYFUNCTION("""COMPUTED_VALUE"""),"Conceal")</f>
        <v>Conceal</v>
      </c>
      <c r="AK181" s="32" t="str">
        <f>IFERROR(__xludf.DUMMYFUNCTION("""COMPUTED_VALUE"""),"Frostbite")</f>
        <v>Frostbite</v>
      </c>
      <c r="AL181" s="32"/>
      <c r="AM181" s="32"/>
      <c r="AN181" s="32"/>
      <c r="AO181" s="32"/>
      <c r="AP181" s="32"/>
      <c r="AQ181" s="32"/>
      <c r="AR181" s="32"/>
      <c r="AS181" s="32"/>
      <c r="AT181" s="32"/>
      <c r="AU181" s="32"/>
      <c r="AV181" s="32"/>
      <c r="AW181" s="32"/>
      <c r="AX181" s="32"/>
      <c r="AY181" s="32"/>
      <c r="AZ181" s="32"/>
      <c r="BA181" s="32"/>
      <c r="BB181" s="32"/>
      <c r="BC181" s="32"/>
      <c r="BD181" s="32">
        <f>IFERROR(__xludf.DUMMYFUNCTION("""COMPUTED_VALUE"""),0.0)</f>
        <v>0</v>
      </c>
      <c r="BE181" s="32">
        <f>IFERROR(__xludf.DUMMYFUNCTION("""COMPUTED_VALUE"""),10.0)</f>
        <v>10</v>
      </c>
      <c r="BF181" s="32" t="str">
        <f>IFERROR(__xludf.DUMMYFUNCTION("""COMPUTED_VALUE"""),"Whaling Cry - When this mob is targeted for an attack it may use intimidation on the player targetting it.")</f>
        <v>Whaling Cry - When this mob is targeted for an attack it may use intimidation on the player targetting it.</v>
      </c>
      <c r="BG181" s="32" t="str">
        <f>IFERROR(__xludf.DUMMYFUNCTION("""COMPUTED_VALUE"""),"All")</f>
        <v>All</v>
      </c>
      <c r="BH181" s="32" t="str">
        <f>IFERROR(__xludf.DUMMYFUNCTION("""COMPUTED_VALUE"""),"Land of Spira")</f>
        <v>Land of Spira</v>
      </c>
      <c r="BI181" s="32"/>
      <c r="BJ181" s="32"/>
      <c r="BK181" s="32"/>
      <c r="BL181" s="32" t="b">
        <f>IFERROR(__xludf.DUMMYFUNCTION("""COMPUTED_VALUE"""),FALSE)</f>
        <v>0</v>
      </c>
      <c r="BM181" s="32"/>
      <c r="BN181" s="32"/>
      <c r="BO181" s="32"/>
      <c r="BP181" s="32"/>
      <c r="BQ181" s="32"/>
    </row>
    <row r="182">
      <c r="A182" s="32" t="str">
        <f>IFERROR(__xludf.DUMMYFUNCTION("""COMPUTED_VALUE"""),"Mr. Skeleton")</f>
        <v>Mr. Skeleton</v>
      </c>
      <c r="B182" s="32">
        <f>IFERROR(__xludf.DUMMYFUNCTION("""COMPUTED_VALUE"""),1.0)</f>
        <v>1</v>
      </c>
      <c r="C182" s="32"/>
      <c r="D182" s="33" t="str">
        <f>IFERROR(__xludf.DUMMYFUNCTION("""COMPUTED_VALUE"""),"Undead")</f>
        <v>Undead</v>
      </c>
      <c r="E182" s="33">
        <f>IFERROR(__xludf.DUMMYFUNCTION("""COMPUTED_VALUE"""),1010.0)</f>
        <v>1010</v>
      </c>
      <c r="F182" s="33">
        <f>IFERROR(__xludf.DUMMYFUNCTION("""COMPUTED_VALUE"""),1010.0)</f>
        <v>1010</v>
      </c>
      <c r="G182" s="33">
        <f>IFERROR(__xludf.DUMMYFUNCTION("""COMPUTED_VALUE"""),1010.0)</f>
        <v>1010</v>
      </c>
      <c r="H182" s="32">
        <f>IFERROR(__xludf.DUMMYFUNCTION("""COMPUTED_VALUE"""),10.0)</f>
        <v>10</v>
      </c>
      <c r="I182" s="32">
        <f>IFERROR(__xludf.DUMMYFUNCTION("""COMPUTED_VALUE"""),0.0)</f>
        <v>0</v>
      </c>
      <c r="J182" s="32">
        <f>IFERROR(__xludf.DUMMYFUNCTION("""COMPUTED_VALUE"""),0.0)</f>
        <v>0</v>
      </c>
      <c r="K182" s="32">
        <f>IFERROR(__xludf.DUMMYFUNCTION("""COMPUTED_VALUE"""),100.0)</f>
        <v>100</v>
      </c>
      <c r="L182" s="32">
        <f>IFERROR(__xludf.DUMMYFUNCTION("""COMPUTED_VALUE"""),100.0)</f>
        <v>100</v>
      </c>
      <c r="M182" s="32" t="str">
        <f>IFERROR(__xludf.DUMMYFUNCTION("""COMPUTED_VALUE"""),"")</f>
        <v/>
      </c>
      <c r="N182" s="32" t="str">
        <f>IFERROR(__xludf.DUMMYFUNCTION("""COMPUTED_VALUE"""),"")</f>
        <v/>
      </c>
      <c r="O182" s="32"/>
      <c r="P182" s="32"/>
      <c r="Q182" s="32"/>
      <c r="R182" s="32"/>
      <c r="S182" s="32"/>
      <c r="T182" s="32"/>
      <c r="U182" s="32"/>
      <c r="V182" s="32"/>
      <c r="W182" s="32" t="str">
        <f>IFERROR(__xludf.DUMMYFUNCTION("""COMPUTED_VALUE"""),"Colossus Bone Sword")</f>
        <v>Colossus Bone Sword</v>
      </c>
      <c r="X182" s="32"/>
      <c r="Y182" s="32"/>
      <c r="Z182" s="32"/>
      <c r="AA182" s="32"/>
      <c r="AB182" s="32"/>
      <c r="AC182" s="32"/>
      <c r="AD182" s="32"/>
      <c r="AE182" s="32"/>
      <c r="AF182" s="32"/>
      <c r="AG182" s="32"/>
      <c r="AH182" s="32"/>
      <c r="AI182" s="32"/>
      <c r="AJ182" s="32" t="str">
        <f>IFERROR(__xludf.DUMMYFUNCTION("""COMPUTED_VALUE"""),"Darkness Ablaze")</f>
        <v>Darkness Ablaze</v>
      </c>
      <c r="AK182" s="32" t="str">
        <f>IFERROR(__xludf.DUMMYFUNCTION("""COMPUTED_VALUE"""),"Dimensional Quake")</f>
        <v>Dimensional Quake</v>
      </c>
      <c r="AL182" s="32" t="str">
        <f>IFERROR(__xludf.DUMMYFUNCTION("""COMPUTED_VALUE"""),"Darkest Abyss")</f>
        <v>Darkest Abyss</v>
      </c>
      <c r="AM182" s="32" t="str">
        <f>IFERROR(__xludf.DUMMYFUNCTION("""COMPUTED_VALUE"""),"Dark Curse")</f>
        <v>Dark Curse</v>
      </c>
      <c r="AN182" s="32" t="str">
        <f>IFERROR(__xludf.DUMMYFUNCTION("""COMPUTED_VALUE"""),"Earthquake")</f>
        <v>Earthquake</v>
      </c>
      <c r="AO182" s="32" t="str">
        <f>IFERROR(__xludf.DUMMYFUNCTION("""COMPUTED_VALUE"""),"Curse of Wasting")</f>
        <v>Curse of Wasting</v>
      </c>
      <c r="AP182" s="32" t="str">
        <f>IFERROR(__xludf.DUMMYFUNCTION("""COMPUTED_VALUE"""),"Berserk")</f>
        <v>Berserk</v>
      </c>
      <c r="AQ182" s="32" t="str">
        <f>IFERROR(__xludf.DUMMYFUNCTION("""COMPUTED_VALUE"""),"Chaincast")</f>
        <v>Chaincast</v>
      </c>
      <c r="AR182" s="32" t="str">
        <f>IFERROR(__xludf.DUMMYFUNCTION("""COMPUTED_VALUE"""),"Mass Destruction")</f>
        <v>Mass Destruction</v>
      </c>
      <c r="AS182" s="32"/>
      <c r="AT182" s="32"/>
      <c r="AU182" s="32"/>
      <c r="AV182" s="32"/>
      <c r="AW182" s="32"/>
      <c r="AX182" s="32"/>
      <c r="AY182" s="32"/>
      <c r="AZ182" s="32"/>
      <c r="BA182" s="32"/>
      <c r="BB182" s="32"/>
      <c r="BC182" s="32"/>
      <c r="BD182" s="32">
        <f>IFERROR(__xludf.DUMMYFUNCTION("""COMPUTED_VALUE"""),0.0)</f>
        <v>0</v>
      </c>
      <c r="BE182" s="32">
        <f>IFERROR(__xludf.DUMMYFUNCTION("""COMPUTED_VALUE"""),10.0)</f>
        <v>10</v>
      </c>
      <c r="BF182" s="32"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32" t="str">
        <f>IFERROR(__xludf.DUMMYFUNCTION("""COMPUTED_VALUE"""),"All")</f>
        <v>All</v>
      </c>
      <c r="BH182" s="32" t="str">
        <f>IFERROR(__xludf.DUMMYFUNCTION("""COMPUTED_VALUE"""),"Abstara")</f>
        <v>Abstara</v>
      </c>
      <c r="BI182" s="32"/>
      <c r="BJ182" s="32"/>
      <c r="BK182" s="32"/>
      <c r="BL182" s="32" t="b">
        <f>IFERROR(__xludf.DUMMYFUNCTION("""COMPUTED_VALUE"""),FALSE)</f>
        <v>0</v>
      </c>
      <c r="BM182" s="32"/>
      <c r="BN182" s="32"/>
      <c r="BO182" s="32"/>
      <c r="BP182" s="32"/>
      <c r="BQ182" s="32"/>
    </row>
    <row r="183">
      <c r="A183" s="32" t="str">
        <f>IFERROR(__xludf.DUMMYFUNCTION("""COMPUTED_VALUE"""),"Multi Headed Chaotic Shadow Dragon")</f>
        <v>Multi Headed Chaotic Shadow Dragon</v>
      </c>
      <c r="B183" s="32">
        <f>IFERROR(__xludf.DUMMYFUNCTION("""COMPUTED_VALUE"""),1.0)</f>
        <v>1</v>
      </c>
      <c r="C183" s="32"/>
      <c r="D183" s="33" t="str">
        <f>IFERROR(__xludf.DUMMYFUNCTION("""COMPUTED_VALUE"""),"Draconic")</f>
        <v>Draconic</v>
      </c>
      <c r="E183" s="33">
        <f>IFERROR(__xludf.DUMMYFUNCTION("""COMPUTED_VALUE"""),1010.0)</f>
        <v>1010</v>
      </c>
      <c r="F183" s="33">
        <f>IFERROR(__xludf.DUMMYFUNCTION("""COMPUTED_VALUE"""),1010.0)</f>
        <v>1010</v>
      </c>
      <c r="G183" s="33">
        <f>IFERROR(__xludf.DUMMYFUNCTION("""COMPUTED_VALUE"""),1010.0)</f>
        <v>1010</v>
      </c>
      <c r="H183" s="32">
        <f>IFERROR(__xludf.DUMMYFUNCTION("""COMPUTED_VALUE"""),10.0)</f>
        <v>10</v>
      </c>
      <c r="I183" s="32">
        <f>IFERROR(__xludf.DUMMYFUNCTION("""COMPUTED_VALUE"""),0.0)</f>
        <v>0</v>
      </c>
      <c r="J183" s="32">
        <f>IFERROR(__xludf.DUMMYFUNCTION("""COMPUTED_VALUE"""),0.0)</f>
        <v>0</v>
      </c>
      <c r="K183" s="32">
        <f>IFERROR(__xludf.DUMMYFUNCTION("""COMPUTED_VALUE"""),100.0)</f>
        <v>100</v>
      </c>
      <c r="L183" s="32">
        <f>IFERROR(__xludf.DUMMYFUNCTION("""COMPUTED_VALUE"""),100.0)</f>
        <v>100</v>
      </c>
      <c r="M183" s="32" t="str">
        <f>IFERROR(__xludf.DUMMYFUNCTION("""COMPUTED_VALUE"""),"Dark:100, Chaos:100, Instant Death:Immune, Banishment:Immune, ")</f>
        <v>Dark:100, Chaos:100, Instant Death:Immune, Banishment:Immune, </v>
      </c>
      <c r="N183" s="32" t="str">
        <f>IFERROR(__xludf.DUMMYFUNCTION("""COMPUTED_VALUE"""),"Fire:100, Light:100, Order:100, ")</f>
        <v>Fire:100, Light:100, Order:100, </v>
      </c>
      <c r="O183" s="32"/>
      <c r="P183" s="32"/>
      <c r="Q183" s="32"/>
      <c r="R183" s="32"/>
      <c r="S183" s="32"/>
      <c r="T183" s="32"/>
      <c r="U183" s="32"/>
      <c r="V183" s="32"/>
      <c r="W183" s="32"/>
      <c r="X183" s="32"/>
      <c r="Y183" s="32"/>
      <c r="Z183" s="32"/>
      <c r="AA183" s="32"/>
      <c r="AB183" s="32"/>
      <c r="AC183" s="32"/>
      <c r="AD183" s="32"/>
      <c r="AE183" s="32"/>
      <c r="AF183" s="32"/>
      <c r="AG183" s="32"/>
      <c r="AH183" s="32"/>
      <c r="AI183" s="32"/>
      <c r="AJ183" s="32" t="str">
        <f>IFERROR(__xludf.DUMMYFUNCTION("""COMPUTED_VALUE"""),"Greater Dragon's Breath")</f>
        <v>Greater Dragon's Breath</v>
      </c>
      <c r="AK183" s="32" t="str">
        <f>IFERROR(__xludf.DUMMYFUNCTION("""COMPUTED_VALUE"""),"Bite")</f>
        <v>Bite</v>
      </c>
      <c r="AL183" s="32" t="str">
        <f>IFERROR(__xludf.DUMMYFUNCTION("""COMPUTED_VALUE"""),"Tail Smash")</f>
        <v>Tail Smash</v>
      </c>
      <c r="AM183" s="32" t="str">
        <f>IFERROR(__xludf.DUMMYFUNCTION("""COMPUTED_VALUE"""),"Claws")</f>
        <v>Claws</v>
      </c>
      <c r="AN183" s="32" t="str">
        <f>IFERROR(__xludf.DUMMYFUNCTION("""COMPUTED_VALUE"""),"Berserk")</f>
        <v>Berserk</v>
      </c>
      <c r="AO183" s="32" t="str">
        <f>IFERROR(__xludf.DUMMYFUNCTION("""COMPUTED_VALUE"""),"Multishot")</f>
        <v>Multishot</v>
      </c>
      <c r="AP183" s="32" t="str">
        <f>IFERROR(__xludf.DUMMYFUNCTION("""COMPUTED_VALUE"""),"Draconic Scream")</f>
        <v>Draconic Scream</v>
      </c>
      <c r="AQ183" s="32" t="str">
        <f>IFERROR(__xludf.DUMMYFUNCTION("""COMPUTED_VALUE"""),"Chaotic Shadow Dragons War Call")</f>
        <v>Chaotic Shadow Dragons War Call</v>
      </c>
      <c r="AR183" s="32" t="str">
        <f>IFERROR(__xludf.DUMMYFUNCTION("""COMPUTED_VALUE"""),"Chaotic Shadow Dragons Wrath")</f>
        <v>Chaotic Shadow Dragons Wrath</v>
      </c>
      <c r="AS183" s="32" t="str">
        <f>IFERROR(__xludf.DUMMYFUNCTION("""COMPUTED_VALUE"""),"Chaotic Shadow Breath")</f>
        <v>Chaotic Shadow Breath</v>
      </c>
      <c r="AT183" s="32" t="str">
        <f>IFERROR(__xludf.DUMMYFUNCTION("""COMPUTED_VALUE"""),"Chaotic Shadow Storm")</f>
        <v>Chaotic Shadow Storm</v>
      </c>
      <c r="AU183" s="32" t="str">
        <f>IFERROR(__xludf.DUMMYFUNCTION("""COMPUTED_VALUE"""),"Mass Destruction")</f>
        <v>Mass Destruction</v>
      </c>
      <c r="AV183" s="32"/>
      <c r="AW183" s="32"/>
      <c r="AX183" s="32"/>
      <c r="AY183" s="32"/>
      <c r="AZ183" s="32"/>
      <c r="BA183" s="32"/>
      <c r="BB183" s="32"/>
      <c r="BC183" s="32"/>
      <c r="BD183" s="32">
        <f>IFERROR(__xludf.DUMMYFUNCTION("""COMPUTED_VALUE"""),0.0)</f>
        <v>0</v>
      </c>
      <c r="BE183" s="32">
        <f>IFERROR(__xludf.DUMMYFUNCTION("""COMPUTED_VALUE"""),10.0)</f>
        <v>10</v>
      </c>
      <c r="BF183" s="32"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32" t="str">
        <f>IFERROR(__xludf.DUMMYFUNCTION("""COMPUTED_VALUE"""),"Jungle of Shadows")</f>
        <v>Jungle of Shadows</v>
      </c>
      <c r="BH183" s="32" t="str">
        <f>IFERROR(__xludf.DUMMYFUNCTION("""COMPUTED_VALUE"""),"Land Of Spira")</f>
        <v>Land Of Spira</v>
      </c>
      <c r="BI183" s="32"/>
      <c r="BJ183" s="32"/>
      <c r="BK183" s="32"/>
      <c r="BL183" s="32" t="b">
        <f>IFERROR(__xludf.DUMMYFUNCTION("""COMPUTED_VALUE"""),FALSE)</f>
        <v>0</v>
      </c>
      <c r="BM183" s="32"/>
      <c r="BN183" s="32"/>
      <c r="BO183" s="32"/>
      <c r="BP183" s="32"/>
      <c r="BQ183" s="32"/>
    </row>
    <row r="184">
      <c r="A184" s="32" t="str">
        <f>IFERROR(__xludf.DUMMYFUNCTION("""COMPUTED_VALUE"""),"Mummy Guardian")</f>
        <v>Mummy Guardian</v>
      </c>
      <c r="B184" s="32">
        <f>IFERROR(__xludf.DUMMYFUNCTION("""COMPUTED_VALUE"""),1.0)</f>
        <v>1</v>
      </c>
      <c r="C184" s="32"/>
      <c r="D184" s="33" t="str">
        <f>IFERROR(__xludf.DUMMYFUNCTION("""COMPUTED_VALUE"""),"Undead")</f>
        <v>Undead</v>
      </c>
      <c r="E184" s="33">
        <f>IFERROR(__xludf.DUMMYFUNCTION("""COMPUTED_VALUE"""),1010.0)</f>
        <v>1010</v>
      </c>
      <c r="F184" s="33">
        <f>IFERROR(__xludf.DUMMYFUNCTION("""COMPUTED_VALUE"""),1010.0)</f>
        <v>1010</v>
      </c>
      <c r="G184" s="33">
        <f>IFERROR(__xludf.DUMMYFUNCTION("""COMPUTED_VALUE"""),1010.0)</f>
        <v>1010</v>
      </c>
      <c r="H184" s="32">
        <f>IFERROR(__xludf.DUMMYFUNCTION("""COMPUTED_VALUE"""),10.0)</f>
        <v>10</v>
      </c>
      <c r="I184" s="32">
        <f>IFERROR(__xludf.DUMMYFUNCTION("""COMPUTED_VALUE"""),0.0)</f>
        <v>0</v>
      </c>
      <c r="J184" s="32">
        <f>IFERROR(__xludf.DUMMYFUNCTION("""COMPUTED_VALUE"""),0.0)</f>
        <v>0</v>
      </c>
      <c r="K184" s="32">
        <f>IFERROR(__xludf.DUMMYFUNCTION("""COMPUTED_VALUE"""),100.0)</f>
        <v>100</v>
      </c>
      <c r="L184" s="32">
        <f>IFERROR(__xludf.DUMMYFUNCTION("""COMPUTED_VALUE"""),100.0)</f>
        <v>100</v>
      </c>
      <c r="M184" s="32" t="str">
        <f>IFERROR(__xludf.DUMMYFUNCTION("""COMPUTED_VALUE"""),"Dark:Immune, ")</f>
        <v>Dark:Immune, </v>
      </c>
      <c r="N184" s="32" t="str">
        <f>IFERROR(__xludf.DUMMYFUNCTION("""COMPUTED_VALUE"""),"Fire:100, Light:100, ")</f>
        <v>Fire:100, Light:100, </v>
      </c>
      <c r="O184" s="32"/>
      <c r="P184" s="32"/>
      <c r="Q184" s="32"/>
      <c r="R184" s="32"/>
      <c r="S184" s="32"/>
      <c r="T184" s="32"/>
      <c r="U184" s="32"/>
      <c r="V184" s="32"/>
      <c r="W184" s="32" t="str">
        <f>IFERROR(__xludf.DUMMYFUNCTION("""COMPUTED_VALUE"""),"Sword of the Wicked")</f>
        <v>Sword of the Wicked</v>
      </c>
      <c r="X184" s="32"/>
      <c r="Y184" s="32"/>
      <c r="Z184" s="32"/>
      <c r="AA184" s="32"/>
      <c r="AB184" s="32"/>
      <c r="AC184" s="32"/>
      <c r="AD184" s="32"/>
      <c r="AE184" s="32"/>
      <c r="AF184" s="32"/>
      <c r="AG184" s="32"/>
      <c r="AH184" s="32"/>
      <c r="AI184" s="32"/>
      <c r="AJ184" s="32" t="str">
        <f>IFERROR(__xludf.DUMMYFUNCTION("""COMPUTED_VALUE"""),"Dark Force")</f>
        <v>Dark Force</v>
      </c>
      <c r="AK184" s="32" t="str">
        <f>IFERROR(__xludf.DUMMYFUNCTION("""COMPUTED_VALUE"""),"Dark Sacrifice")</f>
        <v>Dark Sacrifice</v>
      </c>
      <c r="AL184" s="32"/>
      <c r="AM184" s="32"/>
      <c r="AN184" s="32"/>
      <c r="AO184" s="32"/>
      <c r="AP184" s="32"/>
      <c r="AQ184" s="32"/>
      <c r="AR184" s="32"/>
      <c r="AS184" s="32"/>
      <c r="AT184" s="32"/>
      <c r="AU184" s="32"/>
      <c r="AV184" s="32"/>
      <c r="AW184" s="32"/>
      <c r="AX184" s="32"/>
      <c r="AY184" s="32"/>
      <c r="AZ184" s="32"/>
      <c r="BA184" s="32"/>
      <c r="BB184" s="32"/>
      <c r="BC184" s="32"/>
      <c r="BD184" s="32">
        <f>IFERROR(__xludf.DUMMYFUNCTION("""COMPUTED_VALUE"""),0.0)</f>
        <v>0</v>
      </c>
      <c r="BE184" s="32">
        <f>IFERROR(__xludf.DUMMYFUNCTION("""COMPUTED_VALUE"""),10.0)</f>
        <v>10</v>
      </c>
      <c r="BF184" s="32"/>
      <c r="BG184" s="32" t="str">
        <f>IFERROR(__xludf.DUMMYFUNCTION("""COMPUTED_VALUE"""),"Desert")</f>
        <v>Desert</v>
      </c>
      <c r="BH184" s="32" t="str">
        <f>IFERROR(__xludf.DUMMYFUNCTION("""COMPUTED_VALUE"""),"Land Of Spira")</f>
        <v>Land Of Spira</v>
      </c>
      <c r="BI184" s="32"/>
      <c r="BJ184" s="32"/>
      <c r="BK184" s="32"/>
      <c r="BL184" s="32" t="b">
        <f>IFERROR(__xludf.DUMMYFUNCTION("""COMPUTED_VALUE"""),FALSE)</f>
        <v>0</v>
      </c>
      <c r="BM184" s="32"/>
      <c r="BN184" s="32"/>
      <c r="BO184" s="32"/>
      <c r="BP184" s="32"/>
      <c r="BQ184" s="32"/>
    </row>
    <row r="185">
      <c r="A185" s="32" t="str">
        <f>IFERROR(__xludf.DUMMYFUNCTION("""COMPUTED_VALUE"""),"Mummy King")</f>
        <v>Mummy King</v>
      </c>
      <c r="B185" s="32">
        <f>IFERROR(__xludf.DUMMYFUNCTION("""COMPUTED_VALUE"""),1.0)</f>
        <v>1</v>
      </c>
      <c r="C185" s="32"/>
      <c r="D185" s="33" t="str">
        <f>IFERROR(__xludf.DUMMYFUNCTION("""COMPUTED_VALUE"""),"Undead")</f>
        <v>Undead</v>
      </c>
      <c r="E185" s="33">
        <f>IFERROR(__xludf.DUMMYFUNCTION("""COMPUTED_VALUE"""),1010.0)</f>
        <v>1010</v>
      </c>
      <c r="F185" s="33">
        <f>IFERROR(__xludf.DUMMYFUNCTION("""COMPUTED_VALUE"""),1010.0)</f>
        <v>1010</v>
      </c>
      <c r="G185" s="33">
        <f>IFERROR(__xludf.DUMMYFUNCTION("""COMPUTED_VALUE"""),1010.0)</f>
        <v>1010</v>
      </c>
      <c r="H185" s="32">
        <f>IFERROR(__xludf.DUMMYFUNCTION("""COMPUTED_VALUE"""),20.0)</f>
        <v>20</v>
      </c>
      <c r="I185" s="32">
        <f>IFERROR(__xludf.DUMMYFUNCTION("""COMPUTED_VALUE"""),0.0)</f>
        <v>0</v>
      </c>
      <c r="J185" s="32">
        <f>IFERROR(__xludf.DUMMYFUNCTION("""COMPUTED_VALUE"""),0.0)</f>
        <v>0</v>
      </c>
      <c r="K185" s="32">
        <f>IFERROR(__xludf.DUMMYFUNCTION("""COMPUTED_VALUE"""),100.0)</f>
        <v>100</v>
      </c>
      <c r="L185" s="32">
        <f>IFERROR(__xludf.DUMMYFUNCTION("""COMPUTED_VALUE"""),100.0)</f>
        <v>100</v>
      </c>
      <c r="M185" s="32" t="str">
        <f>IFERROR(__xludf.DUMMYFUNCTION("""COMPUTED_VALUE"""),"Dark:Immune, Instant Death:Immune, Banishment:Immune, ")</f>
        <v>Dark:Immune, Instant Death:Immune, Banishment:Immune, </v>
      </c>
      <c r="N185" s="32" t="str">
        <f>IFERROR(__xludf.DUMMYFUNCTION("""COMPUTED_VALUE"""),"Fire:100, Light:100, ")</f>
        <v>Fire:100, Light:100, </v>
      </c>
      <c r="O185" s="32"/>
      <c r="P185" s="32"/>
      <c r="Q185" s="32"/>
      <c r="R185" s="32"/>
      <c r="S185" s="32"/>
      <c r="T185" s="32"/>
      <c r="U185" s="32"/>
      <c r="V185" s="32"/>
      <c r="W185" s="32" t="str">
        <f>IFERROR(__xludf.DUMMYFUNCTION("""COMPUTED_VALUE"""),"Ancient Stone Guardians Sword")</f>
        <v>Ancient Stone Guardians Sword</v>
      </c>
      <c r="X185" s="32"/>
      <c r="Y185" s="32"/>
      <c r="Z185" s="32"/>
      <c r="AA185" s="32"/>
      <c r="AB185" s="32"/>
      <c r="AC185" s="32"/>
      <c r="AD185" s="32"/>
      <c r="AE185" s="32"/>
      <c r="AF185" s="32"/>
      <c r="AG185" s="32"/>
      <c r="AH185" s="32"/>
      <c r="AI185" s="32"/>
      <c r="AJ185" s="32" t="str">
        <f>IFERROR(__xludf.DUMMYFUNCTION("""COMPUTED_VALUE"""),"Arrest")</f>
        <v>Arrest</v>
      </c>
      <c r="AK185" s="32" t="str">
        <f>IFERROR(__xludf.DUMMYFUNCTION("""COMPUTED_VALUE"""),"Chains of Shadow")</f>
        <v>Chains of Shadow</v>
      </c>
      <c r="AL185" s="32" t="str">
        <f>IFERROR(__xludf.DUMMYFUNCTION("""COMPUTED_VALUE"""),"Dark Curse")</f>
        <v>Dark Curse</v>
      </c>
      <c r="AM185" s="32" t="str">
        <f>IFERROR(__xludf.DUMMYFUNCTION("""COMPUTED_VALUE"""),"Dimensional Quake")</f>
        <v>Dimensional Quake</v>
      </c>
      <c r="AN185" s="32" t="str">
        <f>IFERROR(__xludf.DUMMYFUNCTION("""COMPUTED_VALUE"""),"Damage With A Cost.")</f>
        <v>Damage With A Cost.</v>
      </c>
      <c r="AO185" s="32" t="str">
        <f>IFERROR(__xludf.DUMMYFUNCTION("""COMPUTED_VALUE"""),"Conceal")</f>
        <v>Conceal</v>
      </c>
      <c r="AP185" s="32" t="str">
        <f>IFERROR(__xludf.DUMMYFUNCTION("""COMPUTED_VALUE"""),"Voodoo meteor shower")</f>
        <v>Voodoo meteor shower</v>
      </c>
      <c r="AQ185" s="32" t="str">
        <f>IFERROR(__xludf.DUMMYFUNCTION("""COMPUTED_VALUE"""),"Last Gamble")</f>
        <v>Last Gamble</v>
      </c>
      <c r="AR185" s="32" t="str">
        <f>IFERROR(__xludf.DUMMYFUNCTION("""COMPUTED_VALUE"""),"Banish")</f>
        <v>Banish</v>
      </c>
      <c r="AS185" s="32" t="str">
        <f>IFERROR(__xludf.DUMMYFUNCTION("""COMPUTED_VALUE"""),"Chaos Ward")</f>
        <v>Chaos Ward</v>
      </c>
      <c r="AT185" s="32" t="str">
        <f>IFERROR(__xludf.DUMMYFUNCTION("""COMPUTED_VALUE"""),"Stasis Madness")</f>
        <v>Stasis Madness</v>
      </c>
      <c r="AU185" s="32" t="str">
        <f>IFERROR(__xludf.DUMMYFUNCTION("""COMPUTED_VALUE"""),"Chaincast")</f>
        <v>Chaincast</v>
      </c>
      <c r="AV185" s="32"/>
      <c r="AW185" s="32"/>
      <c r="AX185" s="32"/>
      <c r="AY185" s="32"/>
      <c r="AZ185" s="32"/>
      <c r="BA185" s="32"/>
      <c r="BB185" s="32"/>
      <c r="BC185" s="32"/>
      <c r="BD185" s="32">
        <f>IFERROR(__xludf.DUMMYFUNCTION("""COMPUTED_VALUE"""),0.0)</f>
        <v>0</v>
      </c>
      <c r="BE185" s="32">
        <f>IFERROR(__xludf.DUMMYFUNCTION("""COMPUTED_VALUE"""),20.0)</f>
        <v>20</v>
      </c>
      <c r="BF185" s="32"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32" t="str">
        <f>IFERROR(__xludf.DUMMYFUNCTION("""COMPUTED_VALUE"""),"Desert")</f>
        <v>Desert</v>
      </c>
      <c r="BH185" s="32" t="str">
        <f>IFERROR(__xludf.DUMMYFUNCTION("""COMPUTED_VALUE"""),"Land Of Spira")</f>
        <v>Land Of Spira</v>
      </c>
      <c r="BI185" s="32"/>
      <c r="BJ185" s="32"/>
      <c r="BK185" s="32"/>
      <c r="BL185" s="32" t="b">
        <f>IFERROR(__xludf.DUMMYFUNCTION("""COMPUTED_VALUE"""),FALSE)</f>
        <v>0</v>
      </c>
      <c r="BM185" s="32"/>
      <c r="BN185" s="32"/>
      <c r="BO185" s="32"/>
      <c r="BP185" s="32"/>
      <c r="BQ185" s="32"/>
    </row>
    <row r="186">
      <c r="A186" s="32" t="str">
        <f>IFERROR(__xludf.DUMMYFUNCTION("""COMPUTED_VALUE"""),"Mummy Queen")</f>
        <v>Mummy Queen</v>
      </c>
      <c r="B186" s="32">
        <f>IFERROR(__xludf.DUMMYFUNCTION("""COMPUTED_VALUE"""),1.0)</f>
        <v>1</v>
      </c>
      <c r="C186" s="32"/>
      <c r="D186" s="33" t="str">
        <f>IFERROR(__xludf.DUMMYFUNCTION("""COMPUTED_VALUE"""),"Undead")</f>
        <v>Undead</v>
      </c>
      <c r="E186" s="33">
        <f>IFERROR(__xludf.DUMMYFUNCTION("""COMPUTED_VALUE"""),1010.0)</f>
        <v>1010</v>
      </c>
      <c r="F186" s="33">
        <f>IFERROR(__xludf.DUMMYFUNCTION("""COMPUTED_VALUE"""),1010.0)</f>
        <v>1010</v>
      </c>
      <c r="G186" s="33">
        <f>IFERROR(__xludf.DUMMYFUNCTION("""COMPUTED_VALUE"""),1010.0)</f>
        <v>1010</v>
      </c>
      <c r="H186" s="32">
        <f>IFERROR(__xludf.DUMMYFUNCTION("""COMPUTED_VALUE"""),10.0)</f>
        <v>10</v>
      </c>
      <c r="I186" s="32">
        <f>IFERROR(__xludf.DUMMYFUNCTION("""COMPUTED_VALUE"""),0.0)</f>
        <v>0</v>
      </c>
      <c r="J186" s="32">
        <f>IFERROR(__xludf.DUMMYFUNCTION("""COMPUTED_VALUE"""),0.0)</f>
        <v>0</v>
      </c>
      <c r="K186" s="32">
        <f>IFERROR(__xludf.DUMMYFUNCTION("""COMPUTED_VALUE"""),100.0)</f>
        <v>100</v>
      </c>
      <c r="L186" s="32">
        <f>IFERROR(__xludf.DUMMYFUNCTION("""COMPUTED_VALUE"""),100.0)</f>
        <v>100</v>
      </c>
      <c r="M186" s="32" t="str">
        <f>IFERROR(__xludf.DUMMYFUNCTION("""COMPUTED_VALUE"""),"Dark:Immune, ")</f>
        <v>Dark:Immune, </v>
      </c>
      <c r="N186" s="32" t="str">
        <f>IFERROR(__xludf.DUMMYFUNCTION("""COMPUTED_VALUE"""),"Fire:100, Light:100, ")</f>
        <v>Fire:100, Light:100, </v>
      </c>
      <c r="O186" s="32"/>
      <c r="P186" s="32"/>
      <c r="Q186" s="32"/>
      <c r="R186" s="32"/>
      <c r="S186" s="32"/>
      <c r="T186" s="32"/>
      <c r="U186" s="32"/>
      <c r="V186" s="32"/>
      <c r="W186" s="32" t="str">
        <f>IFERROR(__xludf.DUMMYFUNCTION("""COMPUTED_VALUE"""),"Sword of the Wicked")</f>
        <v>Sword of the Wicked</v>
      </c>
      <c r="X186" s="32"/>
      <c r="Y186" s="32"/>
      <c r="Z186" s="32"/>
      <c r="AA186" s="32"/>
      <c r="AB186" s="32"/>
      <c r="AC186" s="32"/>
      <c r="AD186" s="32"/>
      <c r="AE186" s="32"/>
      <c r="AF186" s="32"/>
      <c r="AG186" s="32"/>
      <c r="AH186" s="32"/>
      <c r="AI186" s="32"/>
      <c r="AJ186" s="32" t="str">
        <f>IFERROR(__xludf.DUMMYFUNCTION("""COMPUTED_VALUE"""),"Arrest")</f>
        <v>Arrest</v>
      </c>
      <c r="AK186" s="32" t="str">
        <f>IFERROR(__xludf.DUMMYFUNCTION("""COMPUTED_VALUE"""),"Chains of Shadow")</f>
        <v>Chains of Shadow</v>
      </c>
      <c r="AL186" s="32" t="str">
        <f>IFERROR(__xludf.DUMMYFUNCTION("""COMPUTED_VALUE"""),"Dark Curse")</f>
        <v>Dark Curse</v>
      </c>
      <c r="AM186" s="32" t="str">
        <f>IFERROR(__xludf.DUMMYFUNCTION("""COMPUTED_VALUE"""),"Dimensional Quake")</f>
        <v>Dimensional Quake</v>
      </c>
      <c r="AN186" s="32" t="str">
        <f>IFERROR(__xludf.DUMMYFUNCTION("""COMPUTED_VALUE"""),"Damage With A Cost.")</f>
        <v>Damage With A Cost.</v>
      </c>
      <c r="AO186" s="32" t="str">
        <f>IFERROR(__xludf.DUMMYFUNCTION("""COMPUTED_VALUE"""),"Conceal")</f>
        <v>Conceal</v>
      </c>
      <c r="AP186" s="32" t="str">
        <f>IFERROR(__xludf.DUMMYFUNCTION("""COMPUTED_VALUE"""),"Voodoo meteor shower")</f>
        <v>Voodoo meteor shower</v>
      </c>
      <c r="AQ186" s="32" t="str">
        <f>IFERROR(__xludf.DUMMYFUNCTION("""COMPUTED_VALUE"""),"Last Gamble")</f>
        <v>Last Gamble</v>
      </c>
      <c r="AR186" s="32" t="str">
        <f>IFERROR(__xludf.DUMMYFUNCTION("""COMPUTED_VALUE"""),"Banish")</f>
        <v>Banish</v>
      </c>
      <c r="AS186" s="32" t="str">
        <f>IFERROR(__xludf.DUMMYFUNCTION("""COMPUTED_VALUE"""),"Chaos Ward")</f>
        <v>Chaos Ward</v>
      </c>
      <c r="AT186" s="32" t="str">
        <f>IFERROR(__xludf.DUMMYFUNCTION("""COMPUTED_VALUE"""),"Stasis Madness")</f>
        <v>Stasis Madness</v>
      </c>
      <c r="AU186" s="32" t="str">
        <f>IFERROR(__xludf.DUMMYFUNCTION("""COMPUTED_VALUE"""),"Chaincast")</f>
        <v>Chaincast</v>
      </c>
      <c r="AV186" s="32"/>
      <c r="AW186" s="32"/>
      <c r="AX186" s="32"/>
      <c r="AY186" s="32"/>
      <c r="AZ186" s="32"/>
      <c r="BA186" s="32"/>
      <c r="BB186" s="32"/>
      <c r="BC186" s="32"/>
      <c r="BD186" s="32">
        <f>IFERROR(__xludf.DUMMYFUNCTION("""COMPUTED_VALUE"""),0.0)</f>
        <v>0</v>
      </c>
      <c r="BE186" s="32">
        <f>IFERROR(__xludf.DUMMYFUNCTION("""COMPUTED_VALUE"""),10.0)</f>
        <v>10</v>
      </c>
      <c r="BF186" s="32"/>
      <c r="BG186" s="32" t="str">
        <f>IFERROR(__xludf.DUMMYFUNCTION("""COMPUTED_VALUE"""),"Desert")</f>
        <v>Desert</v>
      </c>
      <c r="BH186" s="32" t="str">
        <f>IFERROR(__xludf.DUMMYFUNCTION("""COMPUTED_VALUE"""),"Land Of Spira")</f>
        <v>Land Of Spira</v>
      </c>
      <c r="BI186" s="32"/>
      <c r="BJ186" s="32"/>
      <c r="BK186" s="32"/>
      <c r="BL186" s="32" t="b">
        <f>IFERROR(__xludf.DUMMYFUNCTION("""COMPUTED_VALUE"""),FALSE)</f>
        <v>0</v>
      </c>
      <c r="BM186" s="32"/>
      <c r="BN186" s="32"/>
      <c r="BO186" s="32"/>
      <c r="BP186" s="32"/>
      <c r="BQ186" s="32"/>
    </row>
    <row r="187">
      <c r="A187" s="32" t="str">
        <f>IFERROR(__xludf.DUMMYFUNCTION("""COMPUTED_VALUE"""),"Mummy Soldier")</f>
        <v>Mummy Soldier</v>
      </c>
      <c r="B187" s="32">
        <f>IFERROR(__xludf.DUMMYFUNCTION("""COMPUTED_VALUE"""),1.0)</f>
        <v>1</v>
      </c>
      <c r="C187" s="32"/>
      <c r="D187" s="33" t="str">
        <f>IFERROR(__xludf.DUMMYFUNCTION("""COMPUTED_VALUE"""),"Undead")</f>
        <v>Undead</v>
      </c>
      <c r="E187" s="33">
        <f>IFERROR(__xludf.DUMMYFUNCTION("""COMPUTED_VALUE"""),1010.0)</f>
        <v>1010</v>
      </c>
      <c r="F187" s="33">
        <f>IFERROR(__xludf.DUMMYFUNCTION("""COMPUTED_VALUE"""),1010.0)</f>
        <v>1010</v>
      </c>
      <c r="G187" s="33">
        <f>IFERROR(__xludf.DUMMYFUNCTION("""COMPUTED_VALUE"""),1010.0)</f>
        <v>1010</v>
      </c>
      <c r="H187" s="32">
        <f>IFERROR(__xludf.DUMMYFUNCTION("""COMPUTED_VALUE"""),10.0)</f>
        <v>10</v>
      </c>
      <c r="I187" s="32">
        <f>IFERROR(__xludf.DUMMYFUNCTION("""COMPUTED_VALUE"""),0.0)</f>
        <v>0</v>
      </c>
      <c r="J187" s="32">
        <f>IFERROR(__xludf.DUMMYFUNCTION("""COMPUTED_VALUE"""),0.0)</f>
        <v>0</v>
      </c>
      <c r="K187" s="32">
        <f>IFERROR(__xludf.DUMMYFUNCTION("""COMPUTED_VALUE"""),100.0)</f>
        <v>100</v>
      </c>
      <c r="L187" s="32">
        <f>IFERROR(__xludf.DUMMYFUNCTION("""COMPUTED_VALUE"""),100.0)</f>
        <v>100</v>
      </c>
      <c r="M187" s="32" t="str">
        <f>IFERROR(__xludf.DUMMYFUNCTION("""COMPUTED_VALUE"""),"Dark:Immune, ")</f>
        <v>Dark:Immune, </v>
      </c>
      <c r="N187" s="32" t="str">
        <f>IFERROR(__xludf.DUMMYFUNCTION("""COMPUTED_VALUE"""),"Fire:100, Light:100, ")</f>
        <v>Fire:100, Light:100, </v>
      </c>
      <c r="O187" s="32"/>
      <c r="P187" s="32"/>
      <c r="Q187" s="32"/>
      <c r="R187" s="32"/>
      <c r="S187" s="32"/>
      <c r="T187" s="32"/>
      <c r="U187" s="32"/>
      <c r="V187" s="32"/>
      <c r="W187" s="32" t="str">
        <f>IFERROR(__xludf.DUMMYFUNCTION("""COMPUTED_VALUE"""),"Sword of the Wicked")</f>
        <v>Sword of the Wicked</v>
      </c>
      <c r="X187" s="32"/>
      <c r="Y187" s="32"/>
      <c r="Z187" s="32"/>
      <c r="AA187" s="32"/>
      <c r="AB187" s="32"/>
      <c r="AC187" s="32"/>
      <c r="AD187" s="32"/>
      <c r="AE187" s="32"/>
      <c r="AF187" s="32"/>
      <c r="AG187" s="32"/>
      <c r="AH187" s="32"/>
      <c r="AI187" s="32"/>
      <c r="AJ187" s="32" t="str">
        <f>IFERROR(__xludf.DUMMYFUNCTION("""COMPUTED_VALUE"""),"Dark Force")</f>
        <v>Dark Force</v>
      </c>
      <c r="AK187" s="32" t="str">
        <f>IFERROR(__xludf.DUMMYFUNCTION("""COMPUTED_VALUE"""),"Dark Sacrifice")</f>
        <v>Dark Sacrifice</v>
      </c>
      <c r="AL187" s="32"/>
      <c r="AM187" s="32"/>
      <c r="AN187" s="32"/>
      <c r="AO187" s="32"/>
      <c r="AP187" s="32"/>
      <c r="AQ187" s="32"/>
      <c r="AR187" s="32"/>
      <c r="AS187" s="32"/>
      <c r="AT187" s="32"/>
      <c r="AU187" s="32"/>
      <c r="AV187" s="32"/>
      <c r="AW187" s="32"/>
      <c r="AX187" s="32"/>
      <c r="AY187" s="32"/>
      <c r="AZ187" s="32"/>
      <c r="BA187" s="32"/>
      <c r="BB187" s="32"/>
      <c r="BC187" s="32"/>
      <c r="BD187" s="32">
        <f>IFERROR(__xludf.DUMMYFUNCTION("""COMPUTED_VALUE"""),0.0)</f>
        <v>0</v>
      </c>
      <c r="BE187" s="32">
        <f>IFERROR(__xludf.DUMMYFUNCTION("""COMPUTED_VALUE"""),10.0)</f>
        <v>10</v>
      </c>
      <c r="BF187" s="32"/>
      <c r="BG187" s="32" t="str">
        <f>IFERROR(__xludf.DUMMYFUNCTION("""COMPUTED_VALUE"""),"Desert")</f>
        <v>Desert</v>
      </c>
      <c r="BH187" s="32" t="str">
        <f>IFERROR(__xludf.DUMMYFUNCTION("""COMPUTED_VALUE"""),"Land Of Spira")</f>
        <v>Land Of Spira</v>
      </c>
      <c r="BI187" s="32"/>
      <c r="BJ187" s="32"/>
      <c r="BK187" s="32"/>
      <c r="BL187" s="32" t="b">
        <f>IFERROR(__xludf.DUMMYFUNCTION("""COMPUTED_VALUE"""),FALSE)</f>
        <v>0</v>
      </c>
      <c r="BM187" s="32"/>
      <c r="BN187" s="32"/>
      <c r="BO187" s="32"/>
      <c r="BP187" s="32"/>
      <c r="BQ187" s="32"/>
    </row>
    <row r="188">
      <c r="A188" s="32" t="str">
        <f>IFERROR(__xludf.DUMMYFUNCTION("""COMPUTED_VALUE"""),"Mummy Warrior")</f>
        <v>Mummy Warrior</v>
      </c>
      <c r="B188" s="32">
        <f>IFERROR(__xludf.DUMMYFUNCTION("""COMPUTED_VALUE"""),1.0)</f>
        <v>1</v>
      </c>
      <c r="C188" s="32"/>
      <c r="D188" s="33" t="str">
        <f>IFERROR(__xludf.DUMMYFUNCTION("""COMPUTED_VALUE"""),"Undead")</f>
        <v>Undead</v>
      </c>
      <c r="E188" s="33">
        <f>IFERROR(__xludf.DUMMYFUNCTION("""COMPUTED_VALUE"""),1010.0)</f>
        <v>1010</v>
      </c>
      <c r="F188" s="33">
        <f>IFERROR(__xludf.DUMMYFUNCTION("""COMPUTED_VALUE"""),1010.0)</f>
        <v>1010</v>
      </c>
      <c r="G188" s="33">
        <f>IFERROR(__xludf.DUMMYFUNCTION("""COMPUTED_VALUE"""),1010.0)</f>
        <v>1010</v>
      </c>
      <c r="H188" s="32">
        <f>IFERROR(__xludf.DUMMYFUNCTION("""COMPUTED_VALUE"""),10.0)</f>
        <v>10</v>
      </c>
      <c r="I188" s="32">
        <f>IFERROR(__xludf.DUMMYFUNCTION("""COMPUTED_VALUE"""),0.0)</f>
        <v>0</v>
      </c>
      <c r="J188" s="32">
        <f>IFERROR(__xludf.DUMMYFUNCTION("""COMPUTED_VALUE"""),0.0)</f>
        <v>0</v>
      </c>
      <c r="K188" s="32">
        <f>IFERROR(__xludf.DUMMYFUNCTION("""COMPUTED_VALUE"""),100.0)</f>
        <v>100</v>
      </c>
      <c r="L188" s="32">
        <f>IFERROR(__xludf.DUMMYFUNCTION("""COMPUTED_VALUE"""),100.0)</f>
        <v>100</v>
      </c>
      <c r="M188" s="32" t="str">
        <f>IFERROR(__xludf.DUMMYFUNCTION("""COMPUTED_VALUE"""),"Dark:Immune, ")</f>
        <v>Dark:Immune, </v>
      </c>
      <c r="N188" s="32" t="str">
        <f>IFERROR(__xludf.DUMMYFUNCTION("""COMPUTED_VALUE"""),"Fire:100, Light:100, ")</f>
        <v>Fire:100, Light:100, </v>
      </c>
      <c r="O188" s="32"/>
      <c r="P188" s="32"/>
      <c r="Q188" s="32"/>
      <c r="R188" s="32"/>
      <c r="S188" s="32"/>
      <c r="T188" s="32"/>
      <c r="U188" s="32"/>
      <c r="V188" s="32"/>
      <c r="W188" s="32" t="str">
        <f>IFERROR(__xludf.DUMMYFUNCTION("""COMPUTED_VALUE"""),"Sword of the Wicked")</f>
        <v>Sword of the Wicked</v>
      </c>
      <c r="X188" s="32"/>
      <c r="Y188" s="32"/>
      <c r="Z188" s="32"/>
      <c r="AA188" s="32"/>
      <c r="AB188" s="32"/>
      <c r="AC188" s="32"/>
      <c r="AD188" s="32"/>
      <c r="AE188" s="32"/>
      <c r="AF188" s="32"/>
      <c r="AG188" s="32"/>
      <c r="AH188" s="32"/>
      <c r="AI188" s="32"/>
      <c r="AJ188" s="32" t="str">
        <f>IFERROR(__xludf.DUMMYFUNCTION("""COMPUTED_VALUE"""),"Dark Force")</f>
        <v>Dark Force</v>
      </c>
      <c r="AK188" s="32" t="str">
        <f>IFERROR(__xludf.DUMMYFUNCTION("""COMPUTED_VALUE"""),"Dark Sacrifice")</f>
        <v>Dark Sacrifice</v>
      </c>
      <c r="AL188" s="32"/>
      <c r="AM188" s="32"/>
      <c r="AN188" s="32"/>
      <c r="AO188" s="32"/>
      <c r="AP188" s="32"/>
      <c r="AQ188" s="32"/>
      <c r="AR188" s="32"/>
      <c r="AS188" s="32"/>
      <c r="AT188" s="32"/>
      <c r="AU188" s="32"/>
      <c r="AV188" s="32"/>
      <c r="AW188" s="32"/>
      <c r="AX188" s="32"/>
      <c r="AY188" s="32"/>
      <c r="AZ188" s="32"/>
      <c r="BA188" s="32"/>
      <c r="BB188" s="32"/>
      <c r="BC188" s="32"/>
      <c r="BD188" s="32">
        <f>IFERROR(__xludf.DUMMYFUNCTION("""COMPUTED_VALUE"""),0.0)</f>
        <v>0</v>
      </c>
      <c r="BE188" s="32">
        <f>IFERROR(__xludf.DUMMYFUNCTION("""COMPUTED_VALUE"""),10.0)</f>
        <v>10</v>
      </c>
      <c r="BF188" s="32"/>
      <c r="BG188" s="32" t="str">
        <f>IFERROR(__xludf.DUMMYFUNCTION("""COMPUTED_VALUE"""),"Desert")</f>
        <v>Desert</v>
      </c>
      <c r="BH188" s="32" t="str">
        <f>IFERROR(__xludf.DUMMYFUNCTION("""COMPUTED_VALUE"""),"Land Of Spira")</f>
        <v>Land Of Spira</v>
      </c>
      <c r="BI188" s="32"/>
      <c r="BJ188" s="32"/>
      <c r="BK188" s="32"/>
      <c r="BL188" s="32" t="b">
        <f>IFERROR(__xludf.DUMMYFUNCTION("""COMPUTED_VALUE"""),FALSE)</f>
        <v>0</v>
      </c>
      <c r="BM188" s="32"/>
      <c r="BN188" s="32"/>
      <c r="BO188" s="32"/>
      <c r="BP188" s="32"/>
      <c r="BQ188" s="32"/>
    </row>
    <row r="189">
      <c r="A189" s="32" t="str">
        <f>IFERROR(__xludf.DUMMYFUNCTION("""COMPUTED_VALUE"""),"Octopi (WD)")</f>
        <v>Octopi (WD)</v>
      </c>
      <c r="B189" s="32">
        <f>IFERROR(__xludf.DUMMYFUNCTION("""COMPUTED_VALUE"""),1.0)</f>
        <v>1</v>
      </c>
      <c r="C189" s="32"/>
      <c r="D189" s="33" t="str">
        <f>IFERROR(__xludf.DUMMYFUNCTION("""COMPUTED_VALUE"""),"Beast")</f>
        <v>Beast</v>
      </c>
      <c r="E189" s="33">
        <f>IFERROR(__xludf.DUMMYFUNCTION("""COMPUTED_VALUE"""),1010.0)</f>
        <v>1010</v>
      </c>
      <c r="F189" s="33">
        <f>IFERROR(__xludf.DUMMYFUNCTION("""COMPUTED_VALUE"""),16010.0)</f>
        <v>16010</v>
      </c>
      <c r="G189" s="33">
        <f>IFERROR(__xludf.DUMMYFUNCTION("""COMPUTED_VALUE"""),1010.0)</f>
        <v>1010</v>
      </c>
      <c r="H189" s="32">
        <f>IFERROR(__xludf.DUMMYFUNCTION("""COMPUTED_VALUE"""),15.0)</f>
        <v>15</v>
      </c>
      <c r="I189" s="32">
        <f>IFERROR(__xludf.DUMMYFUNCTION("""COMPUTED_VALUE"""),0.0)</f>
        <v>0</v>
      </c>
      <c r="J189" s="32">
        <f>IFERROR(__xludf.DUMMYFUNCTION("""COMPUTED_VALUE"""),0.0)</f>
        <v>0</v>
      </c>
      <c r="K189" s="32">
        <f>IFERROR(__xludf.DUMMYFUNCTION("""COMPUTED_VALUE"""),100.0)</f>
        <v>100</v>
      </c>
      <c r="L189" s="32">
        <f>IFERROR(__xludf.DUMMYFUNCTION("""COMPUTED_VALUE"""),100.0)</f>
        <v>100</v>
      </c>
      <c r="M189" s="32" t="str">
        <f>IFERROR(__xludf.DUMMYFUNCTION("""COMPUTED_VALUE"""),"Fire:Immune, Water:Immune, Instant Death:Immune, ")</f>
        <v>Fire:Immune, Water:Immune, Instant Death:Immune, </v>
      </c>
      <c r="N189" s="32" t="str">
        <f>IFERROR(__xludf.DUMMYFUNCTION("""COMPUTED_VALUE"""),"Nature:100, ")</f>
        <v>Nature:100, </v>
      </c>
      <c r="O189" s="32"/>
      <c r="P189" s="32"/>
      <c r="Q189" s="32"/>
      <c r="R189" s="32"/>
      <c r="S189" s="32"/>
      <c r="T189" s="32"/>
      <c r="U189" s="32"/>
      <c r="V189" s="32"/>
      <c r="W189" s="32"/>
      <c r="X189" s="32"/>
      <c r="Y189" s="32"/>
      <c r="Z189" s="32"/>
      <c r="AA189" s="32"/>
      <c r="AB189" s="32"/>
      <c r="AC189" s="32"/>
      <c r="AD189" s="32"/>
      <c r="AE189" s="32"/>
      <c r="AF189" s="32"/>
      <c r="AG189" s="32"/>
      <c r="AH189" s="32"/>
      <c r="AI189" s="32"/>
      <c r="AJ189" s="32" t="str">
        <f>IFERROR(__xludf.DUMMYFUNCTION("""COMPUTED_VALUE"""),"Confiscate")</f>
        <v>Confiscate</v>
      </c>
      <c r="AK189" s="32" t="str">
        <f>IFERROR(__xludf.DUMMYFUNCTION("""COMPUTED_VALUE"""),"Tentacle Wack ")</f>
        <v>Tentacle Wack </v>
      </c>
      <c r="AL189" s="32" t="str">
        <f>IFERROR(__xludf.DUMMYFUNCTION("""COMPUTED_VALUE"""),"Punch")</f>
        <v>Punch</v>
      </c>
      <c r="AM189" s="32" t="str">
        <f>IFERROR(__xludf.DUMMYFUNCTION("""COMPUTED_VALUE"""),"Distracting Blow")</f>
        <v>Distracting Blow</v>
      </c>
      <c r="AN189" s="32"/>
      <c r="AO189" s="32"/>
      <c r="AP189" s="32"/>
      <c r="AQ189" s="32"/>
      <c r="AR189" s="32"/>
      <c r="AS189" s="32"/>
      <c r="AT189" s="32"/>
      <c r="AU189" s="32"/>
      <c r="AV189" s="32"/>
      <c r="AW189" s="32"/>
      <c r="AX189" s="32"/>
      <c r="AY189" s="32"/>
      <c r="AZ189" s="32"/>
      <c r="BA189" s="32"/>
      <c r="BB189" s="32"/>
      <c r="BC189" s="32"/>
      <c r="BD189" s="32">
        <f>IFERROR(__xludf.DUMMYFUNCTION("""COMPUTED_VALUE"""),0.0)</f>
        <v>0</v>
      </c>
      <c r="BE189" s="32">
        <f>IFERROR(__xludf.DUMMYFUNCTION("""COMPUTED_VALUE"""),15.0)</f>
        <v>15</v>
      </c>
      <c r="BF189" s="32" t="str">
        <f>IFERROR(__xludf.DUMMYFUNCTION("""COMPUTED_VALUE"""),"25% chance to be unaffected by any spells affecting this mob")</f>
        <v>25% chance to be unaffected by any spells affecting this mob</v>
      </c>
      <c r="BG189" s="32" t="str">
        <f>IFERROR(__xludf.DUMMYFUNCTION("""COMPUTED_VALUE"""),"Ocean")</f>
        <v>Ocean</v>
      </c>
      <c r="BH189" s="32" t="str">
        <f>IFERROR(__xludf.DUMMYFUNCTION("""COMPUTED_VALUE"""),"Land Of Spira")</f>
        <v>Land Of Spira</v>
      </c>
      <c r="BI189" s="32"/>
      <c r="BJ189" s="32"/>
      <c r="BK189" s="32"/>
      <c r="BL189" s="32" t="b">
        <f>IFERROR(__xludf.DUMMYFUNCTION("""COMPUTED_VALUE"""),FALSE)</f>
        <v>0</v>
      </c>
      <c r="BM189" s="32"/>
      <c r="BN189" s="32"/>
      <c r="BO189" s="32"/>
      <c r="BP189" s="32"/>
      <c r="BQ189" s="32"/>
    </row>
    <row r="190">
      <c r="A190" s="32" t="str">
        <f>IFERROR(__xludf.DUMMYFUNCTION("""COMPUTED_VALUE"""),"Octopi (WD) (Enhanced)")</f>
        <v>Octopi (WD) (Enhanced)</v>
      </c>
      <c r="B190" s="32">
        <f>IFERROR(__xludf.DUMMYFUNCTION("""COMPUTED_VALUE"""),1.0)</f>
        <v>1</v>
      </c>
      <c r="C190" s="32"/>
      <c r="D190" s="33" t="str">
        <f>IFERROR(__xludf.DUMMYFUNCTION("""COMPUTED_VALUE"""),"Beast")</f>
        <v>Beast</v>
      </c>
      <c r="E190" s="33">
        <f>IFERROR(__xludf.DUMMYFUNCTION("""COMPUTED_VALUE"""),1010.0)</f>
        <v>1010</v>
      </c>
      <c r="F190" s="33">
        <f>IFERROR(__xludf.DUMMYFUNCTION("""COMPUTED_VALUE"""),31010.0)</f>
        <v>31010</v>
      </c>
      <c r="G190" s="33">
        <f>IFERROR(__xludf.DUMMYFUNCTION("""COMPUTED_VALUE"""),1010.0)</f>
        <v>1010</v>
      </c>
      <c r="H190" s="32">
        <f>IFERROR(__xludf.DUMMYFUNCTION("""COMPUTED_VALUE"""),15.0)</f>
        <v>15</v>
      </c>
      <c r="I190" s="32">
        <f>IFERROR(__xludf.DUMMYFUNCTION("""COMPUTED_VALUE"""),0.0)</f>
        <v>0</v>
      </c>
      <c r="J190" s="32">
        <f>IFERROR(__xludf.DUMMYFUNCTION("""COMPUTED_VALUE"""),0.0)</f>
        <v>0</v>
      </c>
      <c r="K190" s="32">
        <f>IFERROR(__xludf.DUMMYFUNCTION("""COMPUTED_VALUE"""),100.0)</f>
        <v>100</v>
      </c>
      <c r="L190" s="32">
        <f>IFERROR(__xludf.DUMMYFUNCTION("""COMPUTED_VALUE"""),100.0)</f>
        <v>100</v>
      </c>
      <c r="M190" s="32" t="str">
        <f>IFERROR(__xludf.DUMMYFUNCTION("""COMPUTED_VALUE"""),"Fire:Immune, Water:Immune, Instant Death:Immune, ")</f>
        <v>Fire:Immune, Water:Immune, Instant Death:Immune, </v>
      </c>
      <c r="N190" s="32" t="str">
        <f>IFERROR(__xludf.DUMMYFUNCTION("""COMPUTED_VALUE"""),"Storm:100, Nature:100, ")</f>
        <v>Storm:100, Nature:100, </v>
      </c>
      <c r="O190" s="32"/>
      <c r="P190" s="32"/>
      <c r="Q190" s="32"/>
      <c r="R190" s="32"/>
      <c r="S190" s="32"/>
      <c r="T190" s="32"/>
      <c r="U190" s="32"/>
      <c r="V190" s="32"/>
      <c r="W190" s="32"/>
      <c r="X190" s="32"/>
      <c r="Y190" s="32"/>
      <c r="Z190" s="32"/>
      <c r="AA190" s="32"/>
      <c r="AB190" s="32"/>
      <c r="AC190" s="32"/>
      <c r="AD190" s="32"/>
      <c r="AE190" s="32"/>
      <c r="AF190" s="32"/>
      <c r="AG190" s="32"/>
      <c r="AH190" s="32"/>
      <c r="AI190" s="32"/>
      <c r="AJ190" s="32" t="str">
        <f>IFERROR(__xludf.DUMMYFUNCTION("""COMPUTED_VALUE"""),"Confiscate")</f>
        <v>Confiscate</v>
      </c>
      <c r="AK190" s="32" t="str">
        <f>IFERROR(__xludf.DUMMYFUNCTION("""COMPUTED_VALUE"""),"Tentacle Wack ")</f>
        <v>Tentacle Wack </v>
      </c>
      <c r="AL190" s="32" t="str">
        <f>IFERROR(__xludf.DUMMYFUNCTION("""COMPUTED_VALUE"""),"Hard punch")</f>
        <v>Hard punch</v>
      </c>
      <c r="AM190" s="32" t="str">
        <f>IFERROR(__xludf.DUMMYFUNCTION("""COMPUTED_VALUE"""),"Distracting Blow")</f>
        <v>Distracting Blow</v>
      </c>
      <c r="AN190" s="32"/>
      <c r="AO190" s="32"/>
      <c r="AP190" s="32"/>
      <c r="AQ190" s="32"/>
      <c r="AR190" s="32"/>
      <c r="AS190" s="32"/>
      <c r="AT190" s="32"/>
      <c r="AU190" s="32"/>
      <c r="AV190" s="32"/>
      <c r="AW190" s="32"/>
      <c r="AX190" s="32"/>
      <c r="AY190" s="32"/>
      <c r="AZ190" s="32"/>
      <c r="BA190" s="32"/>
      <c r="BB190" s="32"/>
      <c r="BC190" s="32"/>
      <c r="BD190" s="32">
        <f>IFERROR(__xludf.DUMMYFUNCTION("""COMPUTED_VALUE"""),0.0)</f>
        <v>0</v>
      </c>
      <c r="BE190" s="32">
        <f>IFERROR(__xludf.DUMMYFUNCTION("""COMPUTED_VALUE"""),15.0)</f>
        <v>15</v>
      </c>
      <c r="BF190" s="32" t="str">
        <f>IFERROR(__xludf.DUMMYFUNCTION("""COMPUTED_VALUE"""),"50% chance to be unaffected by any spells affecting this mob")</f>
        <v>50% chance to be unaffected by any spells affecting this mob</v>
      </c>
      <c r="BG190" s="32" t="str">
        <f>IFERROR(__xludf.DUMMYFUNCTION("""COMPUTED_VALUE"""),"Ocean")</f>
        <v>Ocean</v>
      </c>
      <c r="BH190" s="32" t="str">
        <f>IFERROR(__xludf.DUMMYFUNCTION("""COMPUTED_VALUE"""),"Land Of Spira")</f>
        <v>Land Of Spira</v>
      </c>
      <c r="BI190" s="32"/>
      <c r="BJ190" s="32"/>
      <c r="BK190" s="32"/>
      <c r="BL190" s="32" t="b">
        <f>IFERROR(__xludf.DUMMYFUNCTION("""COMPUTED_VALUE"""),FALSE)</f>
        <v>0</v>
      </c>
      <c r="BM190" s="32"/>
      <c r="BN190" s="32"/>
      <c r="BO190" s="32"/>
      <c r="BP190" s="32"/>
      <c r="BQ190" s="32"/>
    </row>
    <row r="191">
      <c r="A191" s="32" t="str">
        <f>IFERROR(__xludf.DUMMYFUNCTION("""COMPUTED_VALUE"""),"Ox")</f>
        <v>Ox</v>
      </c>
      <c r="B191" s="32">
        <f>IFERROR(__xludf.DUMMYFUNCTION("""COMPUTED_VALUE"""),1.0)</f>
        <v>1</v>
      </c>
      <c r="C191" s="32"/>
      <c r="D191" s="32" t="str">
        <f>IFERROR(__xludf.DUMMYFUNCTION("""COMPUTED_VALUE"""),"Beast")</f>
        <v>Beast</v>
      </c>
      <c r="E191" s="32">
        <f>IFERROR(__xludf.DUMMYFUNCTION("""COMPUTED_VALUE"""),1010.0)</f>
        <v>1010</v>
      </c>
      <c r="F191" s="33">
        <f>IFERROR(__xludf.DUMMYFUNCTION("""COMPUTED_VALUE"""),1010.0)</f>
        <v>1010</v>
      </c>
      <c r="G191" s="32">
        <f>IFERROR(__xludf.DUMMYFUNCTION("""COMPUTED_VALUE"""),1010.0)</f>
        <v>1010</v>
      </c>
      <c r="H191" s="32">
        <f>IFERROR(__xludf.DUMMYFUNCTION("""COMPUTED_VALUE"""),10.0)</f>
        <v>10</v>
      </c>
      <c r="I191" s="32">
        <f>IFERROR(__xludf.DUMMYFUNCTION("""COMPUTED_VALUE"""),0.0)</f>
        <v>0</v>
      </c>
      <c r="J191" s="32">
        <f>IFERROR(__xludf.DUMMYFUNCTION("""COMPUTED_VALUE"""),0.0)</f>
        <v>0</v>
      </c>
      <c r="K191" s="32">
        <f>IFERROR(__xludf.DUMMYFUNCTION("""COMPUTED_VALUE"""),100.0)</f>
        <v>100</v>
      </c>
      <c r="L191" s="32">
        <f>IFERROR(__xludf.DUMMYFUNCTION("""COMPUTED_VALUE"""),100.0)</f>
        <v>100</v>
      </c>
      <c r="M191" s="32" t="str">
        <f>IFERROR(__xludf.DUMMYFUNCTION("""COMPUTED_VALUE"""),"")</f>
        <v/>
      </c>
      <c r="N191" s="32" t="str">
        <f>IFERROR(__xludf.DUMMYFUNCTION("""COMPUTED_VALUE"""),"")</f>
        <v/>
      </c>
      <c r="O191" s="32"/>
      <c r="P191" s="32"/>
      <c r="Q191" s="32"/>
      <c r="R191" s="32"/>
      <c r="S191" s="32"/>
      <c r="T191" s="32"/>
      <c r="U191" s="32"/>
      <c r="V191" s="32"/>
      <c r="W191" s="32"/>
      <c r="X191" s="32"/>
      <c r="Y191" s="32"/>
      <c r="Z191" s="32"/>
      <c r="AA191" s="32"/>
      <c r="AB191" s="32"/>
      <c r="AC191" s="32"/>
      <c r="AD191" s="32"/>
      <c r="AE191" s="32"/>
      <c r="AF191" s="32"/>
      <c r="AG191" s="32"/>
      <c r="AH191" s="32"/>
      <c r="AI191" s="32"/>
      <c r="AJ191" s="32" t="str">
        <f>IFERROR(__xludf.DUMMYFUNCTION("""COMPUTED_VALUE"""),"Horns")</f>
        <v>Horns</v>
      </c>
      <c r="AK191" s="32" t="str">
        <f>IFERROR(__xludf.DUMMYFUNCTION("""COMPUTED_VALUE"""),"Charge")</f>
        <v>Charge</v>
      </c>
      <c r="AL191" s="32" t="str">
        <f>IFERROR(__xludf.DUMMYFUNCTION("""COMPUTED_VALUE"""),"Gore")</f>
        <v>Gore</v>
      </c>
      <c r="AM191" s="32" t="str">
        <f>IFERROR(__xludf.DUMMYFUNCTION("""COMPUTED_VALUE"""),"Distracting Blow")</f>
        <v>Distracting Blow</v>
      </c>
      <c r="AN191" s="32"/>
      <c r="AO191" s="32"/>
      <c r="AP191" s="32"/>
      <c r="AQ191" s="32"/>
      <c r="AR191" s="32"/>
      <c r="AS191" s="32"/>
      <c r="AT191" s="32"/>
      <c r="AU191" s="32"/>
      <c r="AV191" s="32"/>
      <c r="AW191" s="32"/>
      <c r="AX191" s="32"/>
      <c r="AY191" s="32"/>
      <c r="AZ191" s="32"/>
      <c r="BA191" s="32"/>
      <c r="BB191" s="32"/>
      <c r="BC191" s="32"/>
      <c r="BD191" s="32">
        <f>IFERROR(__xludf.DUMMYFUNCTION("""COMPUTED_VALUE"""),0.0)</f>
        <v>0</v>
      </c>
      <c r="BE191" s="32">
        <f>IFERROR(__xludf.DUMMYFUNCTION("""COMPUTED_VALUE"""),15.0)</f>
        <v>15</v>
      </c>
      <c r="BF191" s="32"/>
      <c r="BG191" s="32" t="str">
        <f>IFERROR(__xludf.DUMMYFUNCTION("""COMPUTED_VALUE"""),"All")</f>
        <v>All</v>
      </c>
      <c r="BH191" s="32" t="str">
        <f>IFERROR(__xludf.DUMMYFUNCTION("""COMPUTED_VALUE"""),"Land of Spira")</f>
        <v>Land of Spira</v>
      </c>
      <c r="BI191" s="32"/>
      <c r="BJ191" s="32"/>
      <c r="BK191" s="32"/>
      <c r="BL191" s="32" t="b">
        <f>IFERROR(__xludf.DUMMYFUNCTION("""COMPUTED_VALUE"""),FALSE)</f>
        <v>0</v>
      </c>
      <c r="BM191" s="32"/>
      <c r="BN191" s="32"/>
      <c r="BO191" s="32"/>
      <c r="BP191" s="32"/>
      <c r="BQ191" s="32"/>
    </row>
    <row r="192">
      <c r="A192" s="32" t="str">
        <f>IFERROR(__xludf.DUMMYFUNCTION("""COMPUTED_VALUE"""),"Phantom")</f>
        <v>Phantom</v>
      </c>
      <c r="B192" s="32">
        <f>IFERROR(__xludf.DUMMYFUNCTION("""COMPUTED_VALUE"""),1.0)</f>
        <v>1</v>
      </c>
      <c r="C192" s="32"/>
      <c r="D192" s="33" t="str">
        <f>IFERROR(__xludf.DUMMYFUNCTION("""COMPUTED_VALUE"""),"Spirit")</f>
        <v>Spirit</v>
      </c>
      <c r="E192" s="33">
        <f>IFERROR(__xludf.DUMMYFUNCTION("""COMPUTED_VALUE"""),1010.0)</f>
        <v>1010</v>
      </c>
      <c r="F192" s="33">
        <f>IFERROR(__xludf.DUMMYFUNCTION("""COMPUTED_VALUE"""),1010.0)</f>
        <v>1010</v>
      </c>
      <c r="G192" s="33">
        <f>IFERROR(__xludf.DUMMYFUNCTION("""COMPUTED_VALUE"""),1010.0)</f>
        <v>1010</v>
      </c>
      <c r="H192" s="32">
        <f>IFERROR(__xludf.DUMMYFUNCTION("""COMPUTED_VALUE"""),10.0)</f>
        <v>10</v>
      </c>
      <c r="I192" s="32">
        <f>IFERROR(__xludf.DUMMYFUNCTION("""COMPUTED_VALUE"""),0.0)</f>
        <v>0</v>
      </c>
      <c r="J192" s="32">
        <f>IFERROR(__xludf.DUMMYFUNCTION("""COMPUTED_VALUE"""),0.0)</f>
        <v>0</v>
      </c>
      <c r="K192" s="32">
        <f>IFERROR(__xludf.DUMMYFUNCTION("""COMPUTED_VALUE"""),100.0)</f>
        <v>100</v>
      </c>
      <c r="L192" s="32">
        <f>IFERROR(__xludf.DUMMYFUNCTION("""COMPUTED_VALUE"""),100.0)</f>
        <v>100</v>
      </c>
      <c r="M192" s="32" t="str">
        <f>IFERROR(__xludf.DUMMYFUNCTION("""COMPUTED_VALUE"""),"Dark:Immune, ")</f>
        <v>Dark:Immune, </v>
      </c>
      <c r="N192" s="32" t="str">
        <f>IFERROR(__xludf.DUMMYFUNCTION("""COMPUTED_VALUE"""),"Light:100, ")</f>
        <v>Light:100, </v>
      </c>
      <c r="O192" s="32"/>
      <c r="P192" s="32"/>
      <c r="Q192" s="32"/>
      <c r="R192" s="32"/>
      <c r="S192" s="32"/>
      <c r="T192" s="32"/>
      <c r="U192" s="32"/>
      <c r="V192" s="32"/>
      <c r="W192" s="32"/>
      <c r="X192" s="32"/>
      <c r="Y192" s="32"/>
      <c r="Z192" s="32"/>
      <c r="AA192" s="32"/>
      <c r="AB192" s="32"/>
      <c r="AC192" s="32"/>
      <c r="AD192" s="32"/>
      <c r="AE192" s="32"/>
      <c r="AF192" s="32"/>
      <c r="AG192" s="32"/>
      <c r="AH192" s="32"/>
      <c r="AI192" s="32"/>
      <c r="AJ192" s="32" t="str">
        <f>IFERROR(__xludf.DUMMYFUNCTION("""COMPUTED_VALUE"""),"Ice Ball")</f>
        <v>Ice Ball</v>
      </c>
      <c r="AK192" s="32" t="str">
        <f>IFERROR(__xludf.DUMMYFUNCTION("""COMPUTED_VALUE"""),"Chains of Shadow")</f>
        <v>Chains of Shadow</v>
      </c>
      <c r="AL192" s="32" t="str">
        <f>IFERROR(__xludf.DUMMYFUNCTION("""COMPUTED_VALUE"""),"Burning Dread")</f>
        <v>Burning Dread</v>
      </c>
      <c r="AM192" s="32"/>
      <c r="AN192" s="32"/>
      <c r="AO192" s="32"/>
      <c r="AP192" s="32"/>
      <c r="AQ192" s="32"/>
      <c r="AR192" s="32"/>
      <c r="AS192" s="32"/>
      <c r="AT192" s="32"/>
      <c r="AU192" s="32"/>
      <c r="AV192" s="32"/>
      <c r="AW192" s="32"/>
      <c r="AX192" s="32"/>
      <c r="AY192" s="32"/>
      <c r="AZ192" s="32"/>
      <c r="BA192" s="32"/>
      <c r="BB192" s="32"/>
      <c r="BC192" s="32"/>
      <c r="BD192" s="32">
        <f>IFERROR(__xludf.DUMMYFUNCTION("""COMPUTED_VALUE"""),0.0)</f>
        <v>0</v>
      </c>
      <c r="BE192" s="32">
        <f>IFERROR(__xludf.DUMMYFUNCTION("""COMPUTED_VALUE"""),10.0)</f>
        <v>10</v>
      </c>
      <c r="BF192" s="32"/>
      <c r="BG192" s="32" t="str">
        <f>IFERROR(__xludf.DUMMYFUNCTION("""COMPUTED_VALUE"""),"All")</f>
        <v>All</v>
      </c>
      <c r="BH192" s="32" t="str">
        <f>IFERROR(__xludf.DUMMYFUNCTION("""COMPUTED_VALUE"""),"Land of Spira")</f>
        <v>Land of Spira</v>
      </c>
      <c r="BI192" s="32"/>
      <c r="BJ192" s="32"/>
      <c r="BK192" s="32"/>
      <c r="BL192" s="32" t="b">
        <f>IFERROR(__xludf.DUMMYFUNCTION("""COMPUTED_VALUE"""),FALSE)</f>
        <v>0</v>
      </c>
      <c r="BM192" s="32"/>
      <c r="BN192" s="32"/>
      <c r="BO192" s="32"/>
      <c r="BP192" s="32"/>
      <c r="BQ192" s="32"/>
    </row>
    <row r="193">
      <c r="A193" s="32" t="str">
        <f>IFERROR(__xludf.DUMMYFUNCTION("""COMPUTED_VALUE"""),"Phantom of Lord Dreadful")</f>
        <v>Phantom of Lord Dreadful</v>
      </c>
      <c r="B193" s="32">
        <f>IFERROR(__xludf.DUMMYFUNCTION("""COMPUTED_VALUE"""),1.0)</f>
        <v>1</v>
      </c>
      <c r="C193" s="32"/>
      <c r="D193" s="33" t="str">
        <f>IFERROR(__xludf.DUMMYFUNCTION("""COMPUTED_VALUE"""),"Spirit")</f>
        <v>Spirit</v>
      </c>
      <c r="E193" s="33">
        <f>IFERROR(__xludf.DUMMYFUNCTION("""COMPUTED_VALUE"""),1010.0)</f>
        <v>1010</v>
      </c>
      <c r="F193" s="33">
        <f>IFERROR(__xludf.DUMMYFUNCTION("""COMPUTED_VALUE"""),1010.0)</f>
        <v>1010</v>
      </c>
      <c r="G193" s="33">
        <f>IFERROR(__xludf.DUMMYFUNCTION("""COMPUTED_VALUE"""),1010.0)</f>
        <v>1010</v>
      </c>
      <c r="H193" s="32">
        <f>IFERROR(__xludf.DUMMYFUNCTION("""COMPUTED_VALUE"""),10.0)</f>
        <v>10</v>
      </c>
      <c r="I193" s="32">
        <f>IFERROR(__xludf.DUMMYFUNCTION("""COMPUTED_VALUE"""),0.0)</f>
        <v>0</v>
      </c>
      <c r="J193" s="32">
        <f>IFERROR(__xludf.DUMMYFUNCTION("""COMPUTED_VALUE"""),0.0)</f>
        <v>0</v>
      </c>
      <c r="K193" s="32">
        <f>IFERROR(__xludf.DUMMYFUNCTION("""COMPUTED_VALUE"""),100.0)</f>
        <v>100</v>
      </c>
      <c r="L193" s="32">
        <f>IFERROR(__xludf.DUMMYFUNCTION("""COMPUTED_VALUE"""),100.0)</f>
        <v>100</v>
      </c>
      <c r="M193" s="32" t="str">
        <f>IFERROR(__xludf.DUMMYFUNCTION("""COMPUTED_VALUE"""),"Dark:Immune, ")</f>
        <v>Dark:Immune, </v>
      </c>
      <c r="N193" s="32" t="str">
        <f>IFERROR(__xludf.DUMMYFUNCTION("""COMPUTED_VALUE"""),"Fire:100, Light:100, ")</f>
        <v>Fire:100, Light:100, </v>
      </c>
      <c r="O193" s="32"/>
      <c r="P193" s="32"/>
      <c r="Q193" s="32"/>
      <c r="R193" s="32"/>
      <c r="S193" s="32"/>
      <c r="T193" s="32"/>
      <c r="U193" s="32"/>
      <c r="V193" s="32"/>
      <c r="W193" s="32"/>
      <c r="X193" s="32"/>
      <c r="Y193" s="32"/>
      <c r="Z193" s="32"/>
      <c r="AA193" s="32"/>
      <c r="AB193" s="32"/>
      <c r="AC193" s="32"/>
      <c r="AD193" s="32"/>
      <c r="AE193" s="32"/>
      <c r="AF193" s="32"/>
      <c r="AG193" s="32"/>
      <c r="AH193" s="32"/>
      <c r="AI193" s="32"/>
      <c r="AJ193" s="32" t="str">
        <f>IFERROR(__xludf.DUMMYFUNCTION("""COMPUTED_VALUE"""),"Dark Boost")</f>
        <v>Dark Boost</v>
      </c>
      <c r="AK193" s="32" t="str">
        <f>IFERROR(__xludf.DUMMYFUNCTION("""COMPUTED_VALUE"""),"Chaotic Shadow Force")</f>
        <v>Chaotic Shadow Force</v>
      </c>
      <c r="AL193" s="32" t="str">
        <f>IFERROR(__xludf.DUMMYFUNCTION("""COMPUTED_VALUE"""),"Darkest Abyss")</f>
        <v>Darkest Abyss</v>
      </c>
      <c r="AM193" s="32" t="str">
        <f>IFERROR(__xludf.DUMMYFUNCTION("""COMPUTED_VALUE"""),"Chaotic Shadow Force")</f>
        <v>Chaotic Shadow Force</v>
      </c>
      <c r="AN193" s="32" t="str">
        <f>IFERROR(__xludf.DUMMYFUNCTION("""COMPUTED_VALUE"""),"Celestial strike")</f>
        <v>Celestial strike</v>
      </c>
      <c r="AO193" s="32"/>
      <c r="AP193" s="32"/>
      <c r="AQ193" s="32"/>
      <c r="AR193" s="32"/>
      <c r="AS193" s="32"/>
      <c r="AT193" s="32"/>
      <c r="AU193" s="32"/>
      <c r="AV193" s="32"/>
      <c r="AW193" s="32"/>
      <c r="AX193" s="32"/>
      <c r="AY193" s="32"/>
      <c r="AZ193" s="32"/>
      <c r="BA193" s="32"/>
      <c r="BB193" s="32"/>
      <c r="BC193" s="32"/>
      <c r="BD193" s="32">
        <f>IFERROR(__xludf.DUMMYFUNCTION("""COMPUTED_VALUE"""),0.0)</f>
        <v>0</v>
      </c>
      <c r="BE193" s="32">
        <f>IFERROR(__xludf.DUMMYFUNCTION("""COMPUTED_VALUE"""),10.0)</f>
        <v>10</v>
      </c>
      <c r="BF193" s="32" t="str">
        <f>IFERROR(__xludf.DUMMYFUNCTION("""COMPUTED_VALUE"""),"will live on 1 hp unless hit with light, fire, or celestial.")</f>
        <v>will live on 1 hp unless hit with light, fire, or celestial.</v>
      </c>
      <c r="BG193" s="32" t="str">
        <f>IFERROR(__xludf.DUMMYFUNCTION("""COMPUTED_VALUE"""),"All")</f>
        <v>All</v>
      </c>
      <c r="BH193" s="32" t="str">
        <f>IFERROR(__xludf.DUMMYFUNCTION("""COMPUTED_VALUE"""),"Land Of Spira")</f>
        <v>Land Of Spira</v>
      </c>
      <c r="BI193" s="32"/>
      <c r="BJ193" s="32"/>
      <c r="BK193" s="32"/>
      <c r="BL193" s="32" t="b">
        <f>IFERROR(__xludf.DUMMYFUNCTION("""COMPUTED_VALUE"""),FALSE)</f>
        <v>0</v>
      </c>
      <c r="BM193" s="32"/>
      <c r="BN193" s="32"/>
      <c r="BO193" s="32"/>
      <c r="BP193" s="32"/>
      <c r="BQ193" s="32"/>
    </row>
    <row r="194">
      <c r="A194" s="32" t="str">
        <f>IFERROR(__xludf.DUMMYFUNCTION("""COMPUTED_VALUE"""),"Piranhas (WD)")</f>
        <v>Piranhas (WD)</v>
      </c>
      <c r="B194" s="32">
        <f>IFERROR(__xludf.DUMMYFUNCTION("""COMPUTED_VALUE"""),1.0)</f>
        <v>1</v>
      </c>
      <c r="C194" s="32"/>
      <c r="D194" s="33" t="str">
        <f>IFERROR(__xludf.DUMMYFUNCTION("""COMPUTED_VALUE"""),"Beast")</f>
        <v>Beast</v>
      </c>
      <c r="E194" s="33">
        <f>IFERROR(__xludf.DUMMYFUNCTION("""COMPUTED_VALUE"""),16010.0)</f>
        <v>16010</v>
      </c>
      <c r="F194" s="33">
        <f>IFERROR(__xludf.DUMMYFUNCTION("""COMPUTED_VALUE"""),1010.0)</f>
        <v>1010</v>
      </c>
      <c r="G194" s="33">
        <f>IFERROR(__xludf.DUMMYFUNCTION("""COMPUTED_VALUE"""),1010.0)</f>
        <v>1010</v>
      </c>
      <c r="H194" s="32">
        <f>IFERROR(__xludf.DUMMYFUNCTION("""COMPUTED_VALUE"""),20.0)</f>
        <v>20</v>
      </c>
      <c r="I194" s="32">
        <f>IFERROR(__xludf.DUMMYFUNCTION("""COMPUTED_VALUE"""),0.0)</f>
        <v>0</v>
      </c>
      <c r="J194" s="32">
        <f>IFERROR(__xludf.DUMMYFUNCTION("""COMPUTED_VALUE"""),0.0)</f>
        <v>0</v>
      </c>
      <c r="K194" s="32">
        <f>IFERROR(__xludf.DUMMYFUNCTION("""COMPUTED_VALUE"""),100.0)</f>
        <v>100</v>
      </c>
      <c r="L194" s="32">
        <f>IFERROR(__xludf.DUMMYFUNCTION("""COMPUTED_VALUE"""),100.0)</f>
        <v>100</v>
      </c>
      <c r="M194" s="32" t="str">
        <f>IFERROR(__xludf.DUMMYFUNCTION("""COMPUTED_VALUE"""),"Fire:Immune, Water:Immune, ")</f>
        <v>Fire:Immune, Water:Immune, </v>
      </c>
      <c r="N194" s="32" t="str">
        <f>IFERROR(__xludf.DUMMYFUNCTION("""COMPUTED_VALUE"""),"Nature:100, ")</f>
        <v>Nature:100, </v>
      </c>
      <c r="O194" s="32"/>
      <c r="P194" s="32"/>
      <c r="Q194" s="32"/>
      <c r="R194" s="32"/>
      <c r="S194" s="32"/>
      <c r="T194" s="32"/>
      <c r="U194" s="32"/>
      <c r="V194" s="32"/>
      <c r="W194" s="32"/>
      <c r="X194" s="32"/>
      <c r="Y194" s="32"/>
      <c r="Z194" s="32"/>
      <c r="AA194" s="32"/>
      <c r="AB194" s="32"/>
      <c r="AC194" s="32"/>
      <c r="AD194" s="32"/>
      <c r="AE194" s="32"/>
      <c r="AF194" s="32"/>
      <c r="AG194" s="32"/>
      <c r="AH194" s="32"/>
      <c r="AI194" s="32"/>
      <c r="AJ194" s="32" t="str">
        <f>IFERROR(__xludf.DUMMYFUNCTION("""COMPUTED_VALUE"""),"Swarm")</f>
        <v>Swarm</v>
      </c>
      <c r="AK194" s="32" t="str">
        <f>IFERROR(__xludf.DUMMYFUNCTION("""COMPUTED_VALUE"""),"Bite")</f>
        <v>Bite</v>
      </c>
      <c r="AL194" s="32"/>
      <c r="AM194" s="32"/>
      <c r="AN194" s="32"/>
      <c r="AO194" s="32"/>
      <c r="AP194" s="32"/>
      <c r="AQ194" s="32"/>
      <c r="AR194" s="32"/>
      <c r="AS194" s="32"/>
      <c r="AT194" s="32"/>
      <c r="AU194" s="32"/>
      <c r="AV194" s="32"/>
      <c r="AW194" s="32"/>
      <c r="AX194" s="32"/>
      <c r="AY194" s="32"/>
      <c r="AZ194" s="32"/>
      <c r="BA194" s="32"/>
      <c r="BB194" s="32"/>
      <c r="BC194" s="32"/>
      <c r="BD194" s="32">
        <f>IFERROR(__xludf.DUMMYFUNCTION("""COMPUTED_VALUE"""),0.0)</f>
        <v>0</v>
      </c>
      <c r="BE194" s="32">
        <f>IFERROR(__xludf.DUMMYFUNCTION("""COMPUTED_VALUE"""),10.0)</f>
        <v>10</v>
      </c>
      <c r="BF194" s="32"/>
      <c r="BG194" s="32" t="str">
        <f>IFERROR(__xludf.DUMMYFUNCTION("""COMPUTED_VALUE"""),"Ocean")</f>
        <v>Ocean</v>
      </c>
      <c r="BH194" s="32" t="str">
        <f>IFERROR(__xludf.DUMMYFUNCTION("""COMPUTED_VALUE"""),"Land Of Spira")</f>
        <v>Land Of Spira</v>
      </c>
      <c r="BI194" s="32"/>
      <c r="BJ194" s="32"/>
      <c r="BK194" s="32"/>
      <c r="BL194" s="32" t="b">
        <f>IFERROR(__xludf.DUMMYFUNCTION("""COMPUTED_VALUE"""),FALSE)</f>
        <v>0</v>
      </c>
      <c r="BM194" s="32"/>
      <c r="BN194" s="32"/>
      <c r="BO194" s="32"/>
      <c r="BP194" s="32"/>
      <c r="BQ194" s="32"/>
    </row>
    <row r="195">
      <c r="A195" s="32" t="str">
        <f>IFERROR(__xludf.DUMMYFUNCTION("""COMPUTED_VALUE"""),"Piranhas (WD) (Enhanced)")</f>
        <v>Piranhas (WD) (Enhanced)</v>
      </c>
      <c r="B195" s="32">
        <f>IFERROR(__xludf.DUMMYFUNCTION("""COMPUTED_VALUE"""),1.0)</f>
        <v>1</v>
      </c>
      <c r="C195" s="32"/>
      <c r="D195" s="33" t="str">
        <f>IFERROR(__xludf.DUMMYFUNCTION("""COMPUTED_VALUE"""),"Beast")</f>
        <v>Beast</v>
      </c>
      <c r="E195" s="33">
        <f>IFERROR(__xludf.DUMMYFUNCTION("""COMPUTED_VALUE"""),31010.0)</f>
        <v>31010</v>
      </c>
      <c r="F195" s="33">
        <f>IFERROR(__xludf.DUMMYFUNCTION("""COMPUTED_VALUE"""),1010.0)</f>
        <v>1010</v>
      </c>
      <c r="G195" s="33">
        <f>IFERROR(__xludf.DUMMYFUNCTION("""COMPUTED_VALUE"""),1010.0)</f>
        <v>1010</v>
      </c>
      <c r="H195" s="32">
        <f>IFERROR(__xludf.DUMMYFUNCTION("""COMPUTED_VALUE"""),25.0)</f>
        <v>25</v>
      </c>
      <c r="I195" s="32">
        <f>IFERROR(__xludf.DUMMYFUNCTION("""COMPUTED_VALUE"""),0.0)</f>
        <v>0</v>
      </c>
      <c r="J195" s="32">
        <f>IFERROR(__xludf.DUMMYFUNCTION("""COMPUTED_VALUE"""),0.0)</f>
        <v>0</v>
      </c>
      <c r="K195" s="32">
        <f>IFERROR(__xludf.DUMMYFUNCTION("""COMPUTED_VALUE"""),100.0)</f>
        <v>100</v>
      </c>
      <c r="L195" s="32">
        <f>IFERROR(__xludf.DUMMYFUNCTION("""COMPUTED_VALUE"""),100.0)</f>
        <v>100</v>
      </c>
      <c r="M195" s="32" t="str">
        <f>IFERROR(__xludf.DUMMYFUNCTION("""COMPUTED_VALUE"""),"Fire:Immune, Water:Immune, ")</f>
        <v>Fire:Immune, Water:Immune, </v>
      </c>
      <c r="N195" s="32" t="str">
        <f>IFERROR(__xludf.DUMMYFUNCTION("""COMPUTED_VALUE"""),"Nature:100, ")</f>
        <v>Nature:100, </v>
      </c>
      <c r="O195" s="32"/>
      <c r="P195" s="32"/>
      <c r="Q195" s="32"/>
      <c r="R195" s="32"/>
      <c r="S195" s="32"/>
      <c r="T195" s="32"/>
      <c r="U195" s="32"/>
      <c r="V195" s="32"/>
      <c r="W195" s="32"/>
      <c r="X195" s="32"/>
      <c r="Y195" s="32"/>
      <c r="Z195" s="32"/>
      <c r="AA195" s="32"/>
      <c r="AB195" s="32"/>
      <c r="AC195" s="32"/>
      <c r="AD195" s="32"/>
      <c r="AE195" s="32"/>
      <c r="AF195" s="32"/>
      <c r="AG195" s="32"/>
      <c r="AH195" s="32"/>
      <c r="AI195" s="32"/>
      <c r="AJ195" s="32" t="str">
        <f>IFERROR(__xludf.DUMMYFUNCTION("""COMPUTED_VALUE"""),"Swarm")</f>
        <v>Swarm</v>
      </c>
      <c r="AK195" s="32" t="str">
        <f>IFERROR(__xludf.DUMMYFUNCTION("""COMPUTED_VALUE"""),"Bite")</f>
        <v>Bite</v>
      </c>
      <c r="AL195" s="32"/>
      <c r="AM195" s="32"/>
      <c r="AN195" s="32"/>
      <c r="AO195" s="32"/>
      <c r="AP195" s="32"/>
      <c r="AQ195" s="32"/>
      <c r="AR195" s="32"/>
      <c r="AS195" s="32"/>
      <c r="AT195" s="32"/>
      <c r="AU195" s="32"/>
      <c r="AV195" s="32"/>
      <c r="AW195" s="32"/>
      <c r="AX195" s="32"/>
      <c r="AY195" s="32"/>
      <c r="AZ195" s="32"/>
      <c r="BA195" s="32"/>
      <c r="BB195" s="32"/>
      <c r="BC195" s="32"/>
      <c r="BD195" s="32">
        <f>IFERROR(__xludf.DUMMYFUNCTION("""COMPUTED_VALUE"""),0.0)</f>
        <v>0</v>
      </c>
      <c r="BE195" s="32">
        <f>IFERROR(__xludf.DUMMYFUNCTION("""COMPUTED_VALUE"""),10.0)</f>
        <v>10</v>
      </c>
      <c r="BF195" s="32"/>
      <c r="BG195" s="32" t="str">
        <f>IFERROR(__xludf.DUMMYFUNCTION("""COMPUTED_VALUE"""),"Ocean")</f>
        <v>Ocean</v>
      </c>
      <c r="BH195" s="32" t="str">
        <f>IFERROR(__xludf.DUMMYFUNCTION("""COMPUTED_VALUE"""),"Land Of Spira")</f>
        <v>Land Of Spira</v>
      </c>
      <c r="BI195" s="32"/>
      <c r="BJ195" s="32"/>
      <c r="BK195" s="32"/>
      <c r="BL195" s="32" t="b">
        <f>IFERROR(__xludf.DUMMYFUNCTION("""COMPUTED_VALUE"""),FALSE)</f>
        <v>0</v>
      </c>
      <c r="BM195" s="32"/>
      <c r="BN195" s="32"/>
      <c r="BO195" s="32"/>
      <c r="BP195" s="32"/>
      <c r="BQ195" s="32"/>
    </row>
    <row r="196">
      <c r="A196" s="32" t="str">
        <f>IFERROR(__xludf.DUMMYFUNCTION("""COMPUTED_VALUE"""),"Poison Warrior")</f>
        <v>Poison Warrior</v>
      </c>
      <c r="B196" s="32">
        <f>IFERROR(__xludf.DUMMYFUNCTION("""COMPUTED_VALUE"""),1.0)</f>
        <v>1</v>
      </c>
      <c r="C196" s="32" t="str">
        <f>IFERROR(__xludf.DUMMYFUNCTION("""COMPUTED_VALUE"""),"swamp portal event enemy")</f>
        <v>swamp portal event enemy</v>
      </c>
      <c r="D196" s="33" t="str">
        <f>IFERROR(__xludf.DUMMYFUNCTION("""COMPUTED_VALUE"""),"Humanoid")</f>
        <v>Humanoid</v>
      </c>
      <c r="E196" s="33">
        <f>IFERROR(__xludf.DUMMYFUNCTION("""COMPUTED_VALUE"""),1010.0)</f>
        <v>1010</v>
      </c>
      <c r="F196" s="33">
        <f>IFERROR(__xludf.DUMMYFUNCTION("""COMPUTED_VALUE"""),1010.0)</f>
        <v>1010</v>
      </c>
      <c r="G196" s="33">
        <f>IFERROR(__xludf.DUMMYFUNCTION("""COMPUTED_VALUE"""),1010.0)</f>
        <v>1010</v>
      </c>
      <c r="H196" s="32">
        <f>IFERROR(__xludf.DUMMYFUNCTION("""COMPUTED_VALUE"""),10.0)</f>
        <v>10</v>
      </c>
      <c r="I196" s="32">
        <f>IFERROR(__xludf.DUMMYFUNCTION("""COMPUTED_VALUE"""),0.0)</f>
        <v>0</v>
      </c>
      <c r="J196" s="32">
        <f>IFERROR(__xludf.DUMMYFUNCTION("""COMPUTED_VALUE"""),0.0)</f>
        <v>0</v>
      </c>
      <c r="K196" s="32">
        <f>IFERROR(__xludf.DUMMYFUNCTION("""COMPUTED_VALUE"""),100.0)</f>
        <v>100</v>
      </c>
      <c r="L196" s="32">
        <f>IFERROR(__xludf.DUMMYFUNCTION("""COMPUTED_VALUE"""),100.0)</f>
        <v>100</v>
      </c>
      <c r="M196" s="32" t="str">
        <f>IFERROR(__xludf.DUMMYFUNCTION("""COMPUTED_VALUE"""),"Nature:100, ")</f>
        <v>Nature:100, </v>
      </c>
      <c r="N196" s="32" t="str">
        <f>IFERROR(__xludf.DUMMYFUNCTION("""COMPUTED_VALUE"""),"Fire:100, ")</f>
        <v>Fire:100, </v>
      </c>
      <c r="O196" s="32"/>
      <c r="P196" s="32"/>
      <c r="Q196" s="32"/>
      <c r="R196" s="32"/>
      <c r="S196" s="32"/>
      <c r="T196" s="32"/>
      <c r="U196" s="32"/>
      <c r="V196" s="32" t="str">
        <f>IFERROR(__xludf.DUMMYFUNCTION("""COMPUTED_VALUE"""),"Poison Vine Sword")</f>
        <v>Poison Vine Sword</v>
      </c>
      <c r="W196" s="32"/>
      <c r="X196" s="32"/>
      <c r="Y196" s="32"/>
      <c r="Z196" s="32"/>
      <c r="AA196" s="32"/>
      <c r="AB196" s="32"/>
      <c r="AC196" s="32"/>
      <c r="AD196" s="32"/>
      <c r="AE196" s="32"/>
      <c r="AF196" s="32"/>
      <c r="AG196" s="32"/>
      <c r="AH196" s="32"/>
      <c r="AI196" s="32"/>
      <c r="AJ196" s="32" t="str">
        <f>IFERROR(__xludf.DUMMYFUNCTION("""COMPUTED_VALUE"""),"Class 3 Poison")</f>
        <v>Class 3 Poison</v>
      </c>
      <c r="AK196" s="32"/>
      <c r="AL196" s="32"/>
      <c r="AM196" s="32"/>
      <c r="AN196" s="32"/>
      <c r="AO196" s="32"/>
      <c r="AP196" s="32"/>
      <c r="AQ196" s="32"/>
      <c r="AR196" s="32"/>
      <c r="AS196" s="32"/>
      <c r="AT196" s="32"/>
      <c r="AU196" s="32"/>
      <c r="AV196" s="32"/>
      <c r="AW196" s="32"/>
      <c r="AX196" s="32"/>
      <c r="AY196" s="32"/>
      <c r="AZ196" s="32"/>
      <c r="BA196" s="32"/>
      <c r="BB196" s="32"/>
      <c r="BC196" s="32"/>
      <c r="BD196" s="32">
        <f>IFERROR(__xludf.DUMMYFUNCTION("""COMPUTED_VALUE"""),0.0)</f>
        <v>0</v>
      </c>
      <c r="BE196" s="32">
        <f>IFERROR(__xludf.DUMMYFUNCTION("""COMPUTED_VALUE"""),10.0)</f>
        <v>10</v>
      </c>
      <c r="BF196" s="32"/>
      <c r="BG196" s="32" t="str">
        <f>IFERROR(__xludf.DUMMYFUNCTION("""COMPUTED_VALUE"""),"Swamp")</f>
        <v>Swamp</v>
      </c>
      <c r="BH196" s="32" t="str">
        <f>IFERROR(__xludf.DUMMYFUNCTION("""COMPUTED_VALUE"""),"Land of Spira")</f>
        <v>Land of Spira</v>
      </c>
      <c r="BI196" s="32"/>
      <c r="BJ196" s="32"/>
      <c r="BK196" s="32"/>
      <c r="BL196" s="32" t="b">
        <f>IFERROR(__xludf.DUMMYFUNCTION("""COMPUTED_VALUE"""),FALSE)</f>
        <v>0</v>
      </c>
      <c r="BM196" s="32"/>
      <c r="BN196" s="32"/>
      <c r="BO196" s="32"/>
      <c r="BP196" s="32"/>
      <c r="BQ196" s="32"/>
    </row>
    <row r="197">
      <c r="A197" s="32" t="str">
        <f>IFERROR(__xludf.DUMMYFUNCTION("""COMPUTED_VALUE"""),"Possessed Pumpkin")</f>
        <v>Possessed Pumpkin</v>
      </c>
      <c r="B197" s="32">
        <f>IFERROR(__xludf.DUMMYFUNCTION("""COMPUTED_VALUE"""),1.0)</f>
        <v>1</v>
      </c>
      <c r="C197" s="32"/>
      <c r="D197" s="32" t="str">
        <f>IFERROR(__xludf.DUMMYFUNCTION("""COMPUTED_VALUE"""),"Undead")</f>
        <v>Undead</v>
      </c>
      <c r="E197" s="32">
        <f>IFERROR(__xludf.DUMMYFUNCTION("""COMPUTED_VALUE"""),1010.0)</f>
        <v>1010</v>
      </c>
      <c r="F197" s="33">
        <f>IFERROR(__xludf.DUMMYFUNCTION("""COMPUTED_VALUE"""),1010.0)</f>
        <v>1010</v>
      </c>
      <c r="G197" s="32">
        <f>IFERROR(__xludf.DUMMYFUNCTION("""COMPUTED_VALUE"""),1010.0)</f>
        <v>1010</v>
      </c>
      <c r="H197" s="32">
        <f>IFERROR(__xludf.DUMMYFUNCTION("""COMPUTED_VALUE"""),10.0)</f>
        <v>10</v>
      </c>
      <c r="I197" s="32">
        <f>IFERROR(__xludf.DUMMYFUNCTION("""COMPUTED_VALUE"""),0.0)</f>
        <v>0</v>
      </c>
      <c r="J197" s="32">
        <f>IFERROR(__xludf.DUMMYFUNCTION("""COMPUTED_VALUE"""),0.0)</f>
        <v>0</v>
      </c>
      <c r="K197" s="32">
        <f>IFERROR(__xludf.DUMMYFUNCTION("""COMPUTED_VALUE"""),100.0)</f>
        <v>100</v>
      </c>
      <c r="L197" s="32">
        <f>IFERROR(__xludf.DUMMYFUNCTION("""COMPUTED_VALUE"""),100.0)</f>
        <v>100</v>
      </c>
      <c r="M197" s="32" t="str">
        <f>IFERROR(__xludf.DUMMYFUNCTION("""COMPUTED_VALUE"""),"Dark:Immune, Spirit:Immune, ")</f>
        <v>Dark:Immune, Spirit:Immune, </v>
      </c>
      <c r="N197" s="32" t="str">
        <f>IFERROR(__xludf.DUMMYFUNCTION("""COMPUTED_VALUE"""),"Light:100, ")</f>
        <v>Light:100, </v>
      </c>
      <c r="O197" s="32"/>
      <c r="P197" s="32"/>
      <c r="Q197" s="32"/>
      <c r="R197" s="32"/>
      <c r="S197" s="32"/>
      <c r="T197" s="32"/>
      <c r="U197" s="32"/>
      <c r="V197" s="32"/>
      <c r="W197" s="32"/>
      <c r="X197" s="32"/>
      <c r="Y197" s="32"/>
      <c r="Z197" s="32"/>
      <c r="AA197" s="32"/>
      <c r="AB197" s="32"/>
      <c r="AC197" s="32"/>
      <c r="AD197" s="32"/>
      <c r="AE197" s="32"/>
      <c r="AF197" s="32"/>
      <c r="AG197" s="32"/>
      <c r="AH197" s="32"/>
      <c r="AI197" s="32"/>
      <c r="AJ197" s="32" t="str">
        <f>IFERROR(__xludf.DUMMYFUNCTION("""COMPUTED_VALUE"""),"Possession")</f>
        <v>Possession</v>
      </c>
      <c r="AK197" s="32" t="str">
        <f>IFERROR(__xludf.DUMMYFUNCTION("""COMPUTED_VALUE"""),"Soul Shot")</f>
        <v>Soul Shot</v>
      </c>
      <c r="AL197" s="32" t="str">
        <f>IFERROR(__xludf.DUMMYFUNCTION("""COMPUTED_VALUE"""),"Flaming Bite")</f>
        <v>Flaming Bite</v>
      </c>
      <c r="AM197" s="32" t="str">
        <f>IFERROR(__xludf.DUMMYFUNCTION("""COMPUTED_VALUE"""),"Mass Ignition")</f>
        <v>Mass Ignition</v>
      </c>
      <c r="AN197" s="32"/>
      <c r="AO197" s="32"/>
      <c r="AP197" s="32"/>
      <c r="AQ197" s="32"/>
      <c r="AR197" s="32"/>
      <c r="AS197" s="32"/>
      <c r="AT197" s="32"/>
      <c r="AU197" s="32"/>
      <c r="AV197" s="32"/>
      <c r="AW197" s="32"/>
      <c r="AX197" s="32"/>
      <c r="AY197" s="32"/>
      <c r="AZ197" s="32"/>
      <c r="BA197" s="32"/>
      <c r="BB197" s="32"/>
      <c r="BC197" s="32"/>
      <c r="BD197" s="32">
        <f>IFERROR(__xludf.DUMMYFUNCTION("""COMPUTED_VALUE"""),0.0)</f>
        <v>0</v>
      </c>
      <c r="BE197" s="32">
        <f>IFERROR(__xludf.DUMMYFUNCTION("""COMPUTED_VALUE"""),10.0)</f>
        <v>10</v>
      </c>
      <c r="BF197" s="32"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32" t="str">
        <f>IFERROR(__xludf.DUMMYFUNCTION("""COMPUTED_VALUE"""),"Dungeon")</f>
        <v>Dungeon</v>
      </c>
      <c r="BH197" s="32" t="str">
        <f>IFERROR(__xludf.DUMMYFUNCTION("""COMPUTED_VALUE"""),"Halloween Kingdom")</f>
        <v>Halloween Kingdom</v>
      </c>
      <c r="BI197" s="32"/>
      <c r="BJ197" s="32"/>
      <c r="BK197" s="32"/>
      <c r="BL197" s="32" t="b">
        <f>IFERROR(__xludf.DUMMYFUNCTION("""COMPUTED_VALUE"""),FALSE)</f>
        <v>0</v>
      </c>
      <c r="BM197" s="32"/>
      <c r="BN197" s="32"/>
      <c r="BO197" s="32"/>
      <c r="BP197" s="32"/>
      <c r="BQ197" s="32"/>
    </row>
    <row r="198">
      <c r="A198" s="32" t="str">
        <f>IFERROR(__xludf.DUMMYFUNCTION("""COMPUTED_VALUE"""),"Possesed Clown")</f>
        <v>Possesed Clown</v>
      </c>
      <c r="B198" s="32">
        <f>IFERROR(__xludf.DUMMYFUNCTION("""COMPUTED_VALUE"""),1.0)</f>
        <v>1</v>
      </c>
      <c r="C198" s="32"/>
      <c r="D198" s="32" t="str">
        <f>IFERROR(__xludf.DUMMYFUNCTION("""COMPUTED_VALUE"""),"Undead")</f>
        <v>Undead</v>
      </c>
      <c r="E198" s="32">
        <f>IFERROR(__xludf.DUMMYFUNCTION("""COMPUTED_VALUE"""),1010.0)</f>
        <v>1010</v>
      </c>
      <c r="F198" s="33">
        <f>IFERROR(__xludf.DUMMYFUNCTION("""COMPUTED_VALUE"""),1010.0)</f>
        <v>1010</v>
      </c>
      <c r="G198" s="32">
        <f>IFERROR(__xludf.DUMMYFUNCTION("""COMPUTED_VALUE"""),1010.0)</f>
        <v>1010</v>
      </c>
      <c r="H198" s="32">
        <f>IFERROR(__xludf.DUMMYFUNCTION("""COMPUTED_VALUE"""),10.0)</f>
        <v>10</v>
      </c>
      <c r="I198" s="32">
        <f>IFERROR(__xludf.DUMMYFUNCTION("""COMPUTED_VALUE"""),0.0)</f>
        <v>0</v>
      </c>
      <c r="J198" s="32">
        <f>IFERROR(__xludf.DUMMYFUNCTION("""COMPUTED_VALUE"""),0.0)</f>
        <v>0</v>
      </c>
      <c r="K198" s="32">
        <f>IFERROR(__xludf.DUMMYFUNCTION("""COMPUTED_VALUE"""),100.0)</f>
        <v>100</v>
      </c>
      <c r="L198" s="32">
        <f>IFERROR(__xludf.DUMMYFUNCTION("""COMPUTED_VALUE"""),100.0)</f>
        <v>100</v>
      </c>
      <c r="M198" s="32" t="str">
        <f>IFERROR(__xludf.DUMMYFUNCTION("""COMPUTED_VALUE"""),"Dark:Immune, Spirit:Immune, ")</f>
        <v>Dark:Immune, Spirit:Immune, </v>
      </c>
      <c r="N198" s="32" t="str">
        <f>IFERROR(__xludf.DUMMYFUNCTION("""COMPUTED_VALUE"""),"Light:100, ")</f>
        <v>Light:100, </v>
      </c>
      <c r="O198" s="32"/>
      <c r="P198" s="32"/>
      <c r="Q198" s="32"/>
      <c r="R198" s="32"/>
      <c r="S198" s="32"/>
      <c r="T198" s="32"/>
      <c r="U198" s="32"/>
      <c r="V198" s="32"/>
      <c r="W198" s="32"/>
      <c r="X198" s="32"/>
      <c r="Y198" s="32"/>
      <c r="Z198" s="32"/>
      <c r="AA198" s="32"/>
      <c r="AB198" s="32"/>
      <c r="AC198" s="32"/>
      <c r="AD198" s="32"/>
      <c r="AE198" s="32"/>
      <c r="AF198" s="32"/>
      <c r="AG198" s="32"/>
      <c r="AH198" s="32"/>
      <c r="AI198" s="32"/>
      <c r="AJ198" s="32" t="str">
        <f>IFERROR(__xludf.DUMMYFUNCTION("""COMPUTED_VALUE"""),"Darkest Abyss")</f>
        <v>Darkest Abyss</v>
      </c>
      <c r="AK198" s="32" t="str">
        <f>IFERROR(__xludf.DUMMYFUNCTION("""COMPUTED_VALUE"""),"Dark Curse")</f>
        <v>Dark Curse</v>
      </c>
      <c r="AL198" s="32" t="str">
        <f>IFERROR(__xludf.DUMMYFUNCTION("""COMPUTED_VALUE"""),"Possession")</f>
        <v>Possession</v>
      </c>
      <c r="AM198" s="32" t="str">
        <f>IFERROR(__xludf.DUMMYFUNCTION("""COMPUTED_VALUE"""),"Soul Trap")</f>
        <v>Soul Trap</v>
      </c>
      <c r="AN198" s="32"/>
      <c r="AO198" s="32"/>
      <c r="AP198" s="32"/>
      <c r="AQ198" s="32"/>
      <c r="AR198" s="32"/>
      <c r="AS198" s="32"/>
      <c r="AT198" s="32"/>
      <c r="AU198" s="32"/>
      <c r="AV198" s="32"/>
      <c r="AW198" s="32"/>
      <c r="AX198" s="32"/>
      <c r="AY198" s="32"/>
      <c r="AZ198" s="32"/>
      <c r="BA198" s="32"/>
      <c r="BB198" s="32"/>
      <c r="BC198" s="32"/>
      <c r="BD198" s="32">
        <f>IFERROR(__xludf.DUMMYFUNCTION("""COMPUTED_VALUE"""),0.0)</f>
        <v>0</v>
      </c>
      <c r="BE198" s="32">
        <f>IFERROR(__xludf.DUMMYFUNCTION("""COMPUTED_VALUE"""),10.0)</f>
        <v>10</v>
      </c>
      <c r="BF198" s="32" t="str">
        <f>IFERROR(__xludf.DUMMYFUNCTION("""COMPUTED_VALUE"""),"A Dark Calling: +5 can be added to this mobs rolls.")</f>
        <v>A Dark Calling: +5 can be added to this mobs rolls.</v>
      </c>
      <c r="BG198" s="32" t="str">
        <f>IFERROR(__xludf.DUMMYFUNCTION("""COMPUTED_VALUE"""),"Dungeon")</f>
        <v>Dungeon</v>
      </c>
      <c r="BH198" s="32" t="str">
        <f>IFERROR(__xludf.DUMMYFUNCTION("""COMPUTED_VALUE"""),"Halloween Kingdom")</f>
        <v>Halloween Kingdom</v>
      </c>
      <c r="BI198" s="32"/>
      <c r="BJ198" s="32"/>
      <c r="BK198" s="32"/>
      <c r="BL198" s="32" t="b">
        <f>IFERROR(__xludf.DUMMYFUNCTION("""COMPUTED_VALUE"""),FALSE)</f>
        <v>0</v>
      </c>
      <c r="BM198" s="32"/>
      <c r="BN198" s="32"/>
      <c r="BO198" s="32"/>
      <c r="BP198" s="32"/>
      <c r="BQ198" s="32"/>
    </row>
    <row r="199">
      <c r="A199" s="32" t="str">
        <f>IFERROR(__xludf.DUMMYFUNCTION("""COMPUTED_VALUE"""),"Pumpkin King")</f>
        <v>Pumpkin King</v>
      </c>
      <c r="B199" s="32">
        <f>IFERROR(__xludf.DUMMYFUNCTION("""COMPUTED_VALUE"""),1.0)</f>
        <v>1</v>
      </c>
      <c r="C199" s="32"/>
      <c r="D199" s="32" t="str">
        <f>IFERROR(__xludf.DUMMYFUNCTION("""COMPUTED_VALUE"""),"Undead")</f>
        <v>Undead</v>
      </c>
      <c r="E199" s="32">
        <f>IFERROR(__xludf.DUMMYFUNCTION("""COMPUTED_VALUE"""),1010.0)</f>
        <v>1010</v>
      </c>
      <c r="F199" s="33">
        <f>IFERROR(__xludf.DUMMYFUNCTION("""COMPUTED_VALUE"""),1010.0)</f>
        <v>1010</v>
      </c>
      <c r="G199" s="32">
        <f>IFERROR(__xludf.DUMMYFUNCTION("""COMPUTED_VALUE"""),1010.0)</f>
        <v>1010</v>
      </c>
      <c r="H199" s="32">
        <f>IFERROR(__xludf.DUMMYFUNCTION("""COMPUTED_VALUE"""),20.0)</f>
        <v>20</v>
      </c>
      <c r="I199" s="32">
        <f>IFERROR(__xludf.DUMMYFUNCTION("""COMPUTED_VALUE"""),0.0)</f>
        <v>0</v>
      </c>
      <c r="J199" s="32">
        <f>IFERROR(__xludf.DUMMYFUNCTION("""COMPUTED_VALUE"""),0.0)</f>
        <v>0</v>
      </c>
      <c r="K199" s="32">
        <f>IFERROR(__xludf.DUMMYFUNCTION("""COMPUTED_VALUE"""),100.0)</f>
        <v>100</v>
      </c>
      <c r="L199" s="32">
        <f>IFERROR(__xludf.DUMMYFUNCTION("""COMPUTED_VALUE"""),100.0)</f>
        <v>100</v>
      </c>
      <c r="M199" s="32" t="str">
        <f>IFERROR(__xludf.DUMMYFUNCTION("""COMPUTED_VALUE"""),"Dark:Immune, Spirit:Immune, Instant Death:Immune, Banishment:Immune, ")</f>
        <v>Dark:Immune, Spirit:Immune, Instant Death:Immune, Banishment:Immune, </v>
      </c>
      <c r="N199" s="32" t="str">
        <f>IFERROR(__xludf.DUMMYFUNCTION("""COMPUTED_VALUE"""),"Light:100, ")</f>
        <v>Light:100, </v>
      </c>
      <c r="O199" s="32"/>
      <c r="P199" s="32" t="str">
        <f>IFERROR(__xludf.DUMMYFUNCTION("""COMPUTED_VALUE"""),"Necklace of the Pumpkin")</f>
        <v>Necklace of the Pumpkin</v>
      </c>
      <c r="Q199" s="32"/>
      <c r="R199" s="32"/>
      <c r="S199" s="32"/>
      <c r="T199" s="32"/>
      <c r="U199" s="32"/>
      <c r="V199" s="32"/>
      <c r="W199" s="32" t="str">
        <f>IFERROR(__xludf.DUMMYFUNCTION("""COMPUTED_VALUE"""),"The Staff of The Pumpkin’s Curse")</f>
        <v>The Staff of The Pumpkin’s Curse</v>
      </c>
      <c r="X199" s="32"/>
      <c r="Y199" s="32"/>
      <c r="Z199" s="32"/>
      <c r="AA199" s="32"/>
      <c r="AB199" s="32"/>
      <c r="AC199" s="32"/>
      <c r="AD199" s="32"/>
      <c r="AE199" s="32"/>
      <c r="AF199" s="32"/>
      <c r="AG199" s="32"/>
      <c r="AH199" s="32"/>
      <c r="AI199" s="32"/>
      <c r="AJ199" s="32" t="str">
        <f>IFERROR(__xludf.DUMMYFUNCTION("""COMPUTED_VALUE"""),"Chaincast")</f>
        <v>Chaincast</v>
      </c>
      <c r="AK199" s="32" t="str">
        <f>IFERROR(__xludf.DUMMYFUNCTION("""COMPUTED_VALUE"""),"Arrest")</f>
        <v>Arrest</v>
      </c>
      <c r="AL199" s="32" t="str">
        <f>IFERROR(__xludf.DUMMYFUNCTION("""COMPUTED_VALUE"""),"Enthrall")</f>
        <v>Enthrall</v>
      </c>
      <c r="AM199" s="32" t="str">
        <f>IFERROR(__xludf.DUMMYFUNCTION("""COMPUTED_VALUE"""),"A Deal With The Spirit World")</f>
        <v>A Deal With The Spirit World</v>
      </c>
      <c r="AN199" s="32" t="str">
        <f>IFERROR(__xludf.DUMMYFUNCTION("""COMPUTED_VALUE"""),"Last Gamble")</f>
        <v>Last Gamble</v>
      </c>
      <c r="AO199" s="32" t="str">
        <f>IFERROR(__xludf.DUMMYFUNCTION("""COMPUTED_VALUE"""),"Voodoo Meteor Shower")</f>
        <v>Voodoo Meteor Shower</v>
      </c>
      <c r="AP199" s="32" t="str">
        <f>IFERROR(__xludf.DUMMYFUNCTION("""COMPUTED_VALUE"""),"Volcanic Rain")</f>
        <v>Volcanic Rain</v>
      </c>
      <c r="AQ199" s="32" t="str">
        <f>IFERROR(__xludf.DUMMYFUNCTION("""COMPUTED_VALUE"""),"Meteor Shower")</f>
        <v>Meteor Shower</v>
      </c>
      <c r="AR199" s="32" t="str">
        <f>IFERROR(__xludf.DUMMYFUNCTION("""COMPUTED_VALUE"""),"Darkest Abyss")</f>
        <v>Darkest Abyss</v>
      </c>
      <c r="AS199" s="32" t="str">
        <f>IFERROR(__xludf.DUMMYFUNCTION("""COMPUTED_VALUE"""),"Dark Curse")</f>
        <v>Dark Curse</v>
      </c>
      <c r="AT199" s="32" t="str">
        <f>IFERROR(__xludf.DUMMYFUNCTION("""COMPUTED_VALUE"""),"Dimensional Quake")</f>
        <v>Dimensional Quake</v>
      </c>
      <c r="AU199" s="32" t="str">
        <f>IFERROR(__xludf.DUMMYFUNCTION("""COMPUTED_VALUE"""),"Dimension Portal")</f>
        <v>Dimension Portal</v>
      </c>
      <c r="AV199" s="32" t="str">
        <f>IFERROR(__xludf.DUMMYFUNCTION("""COMPUTED_VALUE"""),"Mass Destruction")</f>
        <v>Mass Destruction</v>
      </c>
      <c r="AW199" s="32" t="str">
        <f>IFERROR(__xludf.DUMMYFUNCTION("""COMPUTED_VALUE"""),"Multishot")</f>
        <v>Multishot</v>
      </c>
      <c r="AX199" s="32"/>
      <c r="AY199" s="32"/>
      <c r="AZ199" s="32"/>
      <c r="BA199" s="32"/>
      <c r="BB199" s="32"/>
      <c r="BC199" s="32"/>
      <c r="BD199" s="32">
        <f>IFERROR(__xludf.DUMMYFUNCTION("""COMPUTED_VALUE"""),0.0)</f>
        <v>0</v>
      </c>
      <c r="BE199" s="32">
        <f>IFERROR(__xludf.DUMMYFUNCTION("""COMPUTED_VALUE"""),20.0)</f>
        <v>20</v>
      </c>
      <c r="BF199" s="32"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32" t="str">
        <f>IFERROR(__xludf.DUMMYFUNCTION("""COMPUTED_VALUE"""),"Dungeon")</f>
        <v>Dungeon</v>
      </c>
      <c r="BH199" s="32" t="str">
        <f>IFERROR(__xludf.DUMMYFUNCTION("""COMPUTED_VALUE"""),"Halloween Kingdom")</f>
        <v>Halloween Kingdom</v>
      </c>
      <c r="BI199" s="32"/>
      <c r="BJ199" s="32"/>
      <c r="BK199" s="32"/>
      <c r="BL199" s="32" t="b">
        <f>IFERROR(__xludf.DUMMYFUNCTION("""COMPUTED_VALUE"""),FALSE)</f>
        <v>0</v>
      </c>
      <c r="BM199" s="32"/>
      <c r="BN199" s="32"/>
      <c r="BO199" s="32"/>
      <c r="BP199" s="32"/>
      <c r="BQ199" s="32"/>
    </row>
    <row r="200">
      <c r="A200" s="32" t="str">
        <f>IFERROR(__xludf.DUMMYFUNCTION("""COMPUTED_VALUE"""),"Pumpkin Lord")</f>
        <v>Pumpkin Lord</v>
      </c>
      <c r="B200" s="32">
        <f>IFERROR(__xludf.DUMMYFUNCTION("""COMPUTED_VALUE"""),1.0)</f>
        <v>1</v>
      </c>
      <c r="C200" s="32"/>
      <c r="D200" s="32" t="str">
        <f>IFERROR(__xludf.DUMMYFUNCTION("""COMPUTED_VALUE"""),"Undead")</f>
        <v>Undead</v>
      </c>
      <c r="E200" s="32">
        <f>IFERROR(__xludf.DUMMYFUNCTION("""COMPUTED_VALUE"""),1010.0)</f>
        <v>1010</v>
      </c>
      <c r="F200" s="33">
        <f>IFERROR(__xludf.DUMMYFUNCTION("""COMPUTED_VALUE"""),1010.0)</f>
        <v>1010</v>
      </c>
      <c r="G200" s="32">
        <f>IFERROR(__xludf.DUMMYFUNCTION("""COMPUTED_VALUE"""),1010.0)</f>
        <v>1010</v>
      </c>
      <c r="H200" s="32">
        <f>IFERROR(__xludf.DUMMYFUNCTION("""COMPUTED_VALUE"""),10.0)</f>
        <v>10</v>
      </c>
      <c r="I200" s="32">
        <f>IFERROR(__xludf.DUMMYFUNCTION("""COMPUTED_VALUE"""),0.0)</f>
        <v>0</v>
      </c>
      <c r="J200" s="32">
        <f>IFERROR(__xludf.DUMMYFUNCTION("""COMPUTED_VALUE"""),0.0)</f>
        <v>0</v>
      </c>
      <c r="K200" s="32">
        <f>IFERROR(__xludf.DUMMYFUNCTION("""COMPUTED_VALUE"""),100.0)</f>
        <v>100</v>
      </c>
      <c r="L200" s="32">
        <f>IFERROR(__xludf.DUMMYFUNCTION("""COMPUTED_VALUE"""),100.0)</f>
        <v>100</v>
      </c>
      <c r="M200" s="32" t="str">
        <f>IFERROR(__xludf.DUMMYFUNCTION("""COMPUTED_VALUE"""),"Dark:Immune, Spirit:Immune, Instant Death:Immune, ")</f>
        <v>Dark:Immune, Spirit:Immune, Instant Death:Immune, </v>
      </c>
      <c r="N200" s="32" t="str">
        <f>IFERROR(__xludf.DUMMYFUNCTION("""COMPUTED_VALUE"""),"Light:100, ")</f>
        <v>Light:100, </v>
      </c>
      <c r="O200" s="32"/>
      <c r="P200" s="32" t="str">
        <f>IFERROR(__xludf.DUMMYFUNCTION("""COMPUTED_VALUE"""),"Necklace of the Pumpkin")</f>
        <v>Necklace of the Pumpkin</v>
      </c>
      <c r="Q200" s="32"/>
      <c r="R200" s="32"/>
      <c r="S200" s="32"/>
      <c r="T200" s="32"/>
      <c r="U200" s="32"/>
      <c r="V200" s="32"/>
      <c r="W200" s="32" t="str">
        <f>IFERROR(__xludf.DUMMYFUNCTION("""COMPUTED_VALUE"""),"The Staff of The Pumpkin’s Curse")</f>
        <v>The Staff of The Pumpkin’s Curse</v>
      </c>
      <c r="X200" s="32"/>
      <c r="Y200" s="32"/>
      <c r="Z200" s="32"/>
      <c r="AA200" s="32"/>
      <c r="AB200" s="32"/>
      <c r="AC200" s="32"/>
      <c r="AD200" s="32"/>
      <c r="AE200" s="32"/>
      <c r="AF200" s="32"/>
      <c r="AG200" s="32"/>
      <c r="AH200" s="32"/>
      <c r="AI200" s="32"/>
      <c r="AJ200" s="32" t="str">
        <f>IFERROR(__xludf.DUMMYFUNCTION("""COMPUTED_VALUE"""),"Arrest")</f>
        <v>Arrest</v>
      </c>
      <c r="AK200" s="32" t="str">
        <f>IFERROR(__xludf.DUMMYFUNCTION("""COMPUTED_VALUE"""),"Possession")</f>
        <v>Possession</v>
      </c>
      <c r="AL200" s="32" t="str">
        <f>IFERROR(__xludf.DUMMYFUNCTION("""COMPUTED_VALUE"""),"A Deal With The Spirit World")</f>
        <v>A Deal With The Spirit World</v>
      </c>
      <c r="AM200" s="32" t="str">
        <f>IFERROR(__xludf.DUMMYFUNCTION("""COMPUTED_VALUE"""),"Last Gamble")</f>
        <v>Last Gamble</v>
      </c>
      <c r="AN200" s="32" t="str">
        <f>IFERROR(__xludf.DUMMYFUNCTION("""COMPUTED_VALUE"""),"Voodoo Meteor Shower")</f>
        <v>Voodoo Meteor Shower</v>
      </c>
      <c r="AO200" s="32" t="str">
        <f>IFERROR(__xludf.DUMMYFUNCTION("""COMPUTED_VALUE"""),"Volcanic Rain")</f>
        <v>Volcanic Rain</v>
      </c>
      <c r="AP200" s="32" t="str">
        <f>IFERROR(__xludf.DUMMYFUNCTION("""COMPUTED_VALUE"""),"Meteor Shower")</f>
        <v>Meteor Shower</v>
      </c>
      <c r="AQ200" s="32" t="str">
        <f>IFERROR(__xludf.DUMMYFUNCTION("""COMPUTED_VALUE"""),"Darkest Abyss")</f>
        <v>Darkest Abyss</v>
      </c>
      <c r="AR200" s="32" t="str">
        <f>IFERROR(__xludf.DUMMYFUNCTION("""COMPUTED_VALUE"""),"Dark Curse")</f>
        <v>Dark Curse</v>
      </c>
      <c r="AS200" s="32" t="str">
        <f>IFERROR(__xludf.DUMMYFUNCTION("""COMPUTED_VALUE"""),"Dimensional Quake")</f>
        <v>Dimensional Quake</v>
      </c>
      <c r="AT200" s="32" t="str">
        <f>IFERROR(__xludf.DUMMYFUNCTION("""COMPUTED_VALUE"""),"Dimension Portal")</f>
        <v>Dimension Portal</v>
      </c>
      <c r="AU200" s="32" t="str">
        <f>IFERROR(__xludf.DUMMYFUNCTION("""COMPUTED_VALUE"""),"Mass Destruction")</f>
        <v>Mass Destruction</v>
      </c>
      <c r="AV200" s="32" t="str">
        <f>IFERROR(__xludf.DUMMYFUNCTION("""COMPUTED_VALUE"""),"Multishot")</f>
        <v>Multishot</v>
      </c>
      <c r="AW200" s="32"/>
      <c r="AX200" s="32"/>
      <c r="AY200" s="32"/>
      <c r="AZ200" s="32"/>
      <c r="BA200" s="32"/>
      <c r="BB200" s="32"/>
      <c r="BC200" s="32"/>
      <c r="BD200" s="32">
        <f>IFERROR(__xludf.DUMMYFUNCTION("""COMPUTED_VALUE"""),0.0)</f>
        <v>0</v>
      </c>
      <c r="BE200" s="32">
        <f>IFERROR(__xludf.DUMMYFUNCTION("""COMPUTED_VALUE"""),10.0)</f>
        <v>10</v>
      </c>
      <c r="BF200" s="3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32" t="str">
        <f>IFERROR(__xludf.DUMMYFUNCTION("""COMPUTED_VALUE"""),"Dungeon")</f>
        <v>Dungeon</v>
      </c>
      <c r="BH200" s="32" t="str">
        <f>IFERROR(__xludf.DUMMYFUNCTION("""COMPUTED_VALUE"""),"Halloween Kingdom")</f>
        <v>Halloween Kingdom</v>
      </c>
      <c r="BI200" s="32"/>
      <c r="BJ200" s="32"/>
      <c r="BK200" s="32"/>
      <c r="BL200" s="32" t="b">
        <f>IFERROR(__xludf.DUMMYFUNCTION("""COMPUTED_VALUE"""),FALSE)</f>
        <v>0</v>
      </c>
      <c r="BM200" s="32"/>
      <c r="BN200" s="32"/>
      <c r="BO200" s="32"/>
      <c r="BP200" s="32"/>
      <c r="BQ200" s="32"/>
    </row>
    <row r="201">
      <c r="A201" s="32" t="str">
        <f>IFERROR(__xludf.DUMMYFUNCTION("""COMPUTED_VALUE"""),"Puppet")</f>
        <v>Puppet</v>
      </c>
      <c r="B201" s="32">
        <f>IFERROR(__xludf.DUMMYFUNCTION("""COMPUTED_VALUE"""),1.0)</f>
        <v>1</v>
      </c>
      <c r="C201" s="32"/>
      <c r="D201" s="32" t="str">
        <f>IFERROR(__xludf.DUMMYFUNCTION("""COMPUTED_VALUE"""),"Construct")</f>
        <v>Construct</v>
      </c>
      <c r="E201" s="32">
        <f>IFERROR(__xludf.DUMMYFUNCTION("""COMPUTED_VALUE"""),1010.0)</f>
        <v>1010</v>
      </c>
      <c r="F201" s="33">
        <f>IFERROR(__xludf.DUMMYFUNCTION("""COMPUTED_VALUE"""),1010.0)</f>
        <v>1010</v>
      </c>
      <c r="G201" s="32">
        <f>IFERROR(__xludf.DUMMYFUNCTION("""COMPUTED_VALUE"""),1010.0)</f>
        <v>1010</v>
      </c>
      <c r="H201" s="32">
        <f>IFERROR(__xludf.DUMMYFUNCTION("""COMPUTED_VALUE"""),10.0)</f>
        <v>10</v>
      </c>
      <c r="I201" s="32">
        <f>IFERROR(__xludf.DUMMYFUNCTION("""COMPUTED_VALUE"""),0.0)</f>
        <v>0</v>
      </c>
      <c r="J201" s="32">
        <f>IFERROR(__xludf.DUMMYFUNCTION("""COMPUTED_VALUE"""),0.0)</f>
        <v>0</v>
      </c>
      <c r="K201" s="32">
        <f>IFERROR(__xludf.DUMMYFUNCTION("""COMPUTED_VALUE"""),100.0)</f>
        <v>100</v>
      </c>
      <c r="L201" s="32">
        <f>IFERROR(__xludf.DUMMYFUNCTION("""COMPUTED_VALUE"""),100.0)</f>
        <v>100</v>
      </c>
      <c r="M201" s="32" t="str">
        <f>IFERROR(__xludf.DUMMYFUNCTION("""COMPUTED_VALUE"""),"Dark:Immune, Spirit:immune, Chaos:immune, ")</f>
        <v>Dark:Immune, Spirit:immune, Chaos:immune, </v>
      </c>
      <c r="N201" s="32" t="str">
        <f>IFERROR(__xludf.DUMMYFUNCTION("""COMPUTED_VALUE"""),"Fire:100, Light:100, Order:100, ")</f>
        <v>Fire:100, Light:100, Order:100, </v>
      </c>
      <c r="O201" s="32"/>
      <c r="P201" s="32"/>
      <c r="Q201" s="32"/>
      <c r="R201" s="32"/>
      <c r="S201" s="32"/>
      <c r="T201" s="32"/>
      <c r="U201" s="32"/>
      <c r="V201" s="32"/>
      <c r="W201" s="32"/>
      <c r="X201" s="32"/>
      <c r="Y201" s="32"/>
      <c r="Z201" s="32"/>
      <c r="AA201" s="32"/>
      <c r="AB201" s="32"/>
      <c r="AC201" s="32"/>
      <c r="AD201" s="32"/>
      <c r="AE201" s="32"/>
      <c r="AF201" s="32"/>
      <c r="AG201" s="32"/>
      <c r="AH201" s="32"/>
      <c r="AI201" s="32"/>
      <c r="AJ201" s="32" t="str">
        <f>IFERROR(__xludf.DUMMYFUNCTION("""COMPUTED_VALUE"""),"Possession")</f>
        <v>Possession</v>
      </c>
      <c r="AK201" s="32" t="str">
        <f>IFERROR(__xludf.DUMMYFUNCTION("""COMPUTED_VALUE"""),"Conceal")</f>
        <v>Conceal</v>
      </c>
      <c r="AL201" s="32" t="str">
        <f>IFERROR(__xludf.DUMMYFUNCTION("""COMPUTED_VALUE"""),"Chaotic Shadow Force")</f>
        <v>Chaotic Shadow Force</v>
      </c>
      <c r="AM201" s="32"/>
      <c r="AN201" s="32"/>
      <c r="AO201" s="32"/>
      <c r="AP201" s="32"/>
      <c r="AQ201" s="32"/>
      <c r="AR201" s="32"/>
      <c r="AS201" s="32"/>
      <c r="AT201" s="32"/>
      <c r="AU201" s="32"/>
      <c r="AV201" s="32"/>
      <c r="AW201" s="32"/>
      <c r="AX201" s="32"/>
      <c r="AY201" s="32"/>
      <c r="AZ201" s="32"/>
      <c r="BA201" s="32"/>
      <c r="BB201" s="32"/>
      <c r="BC201" s="32"/>
      <c r="BD201" s="32">
        <f>IFERROR(__xludf.DUMMYFUNCTION("""COMPUTED_VALUE"""),0.0)</f>
        <v>0</v>
      </c>
      <c r="BE201" s="32">
        <f>IFERROR(__xludf.DUMMYFUNCTION("""COMPUTED_VALUE"""),10.0)</f>
        <v>10</v>
      </c>
      <c r="BF201" s="32" t="str">
        <f>IFERROR(__xludf.DUMMYFUNCTION("""COMPUTED_VALUE"""),"Undead: Can only be killed by light, fire, or celestial.")</f>
        <v>Undead: Can only be killed by light, fire, or celestial.</v>
      </c>
      <c r="BG201" s="32" t="str">
        <f>IFERROR(__xludf.DUMMYFUNCTION("""COMPUTED_VALUE"""),"All")</f>
        <v>All</v>
      </c>
      <c r="BH201" s="32" t="str">
        <f>IFERROR(__xludf.DUMMYFUNCTION("""COMPUTED_VALUE"""),"Land of Spira")</f>
        <v>Land of Spira</v>
      </c>
      <c r="BI201" s="32" t="str">
        <f>IFERROR(__xludf.DUMMYFUNCTION("""COMPUTED_VALUE"""),"Land of The Forgotten")</f>
        <v>Land of The Forgotten</v>
      </c>
      <c r="BJ201" s="32"/>
      <c r="BK201" s="32"/>
      <c r="BL201" s="32" t="b">
        <f>IFERROR(__xludf.DUMMYFUNCTION("""COMPUTED_VALUE"""),FALSE)</f>
        <v>0</v>
      </c>
      <c r="BM201" s="32"/>
      <c r="BN201" s="32"/>
      <c r="BO201" s="32"/>
      <c r="BP201" s="32"/>
      <c r="BQ201" s="32"/>
    </row>
    <row r="202">
      <c r="A202" s="32" t="str">
        <f>IFERROR(__xludf.DUMMYFUNCTION("""COMPUTED_VALUE"""),"Reaper Of Spira (25% chance of this enemy appearing when you complain about being targeted)")</f>
        <v>Reaper Of Spira (25% chance of this enemy appearing when you complain about being targeted)</v>
      </c>
      <c r="B202" s="32">
        <f>IFERROR(__xludf.DUMMYFUNCTION("""COMPUTED_VALUE"""),1.0)</f>
        <v>1</v>
      </c>
      <c r="C202" s="32"/>
      <c r="D202" s="33" t="str">
        <f>IFERROR(__xludf.DUMMYFUNCTION("""COMPUTED_VALUE"""),"Undead")</f>
        <v>Undead</v>
      </c>
      <c r="E202" s="33">
        <f>IFERROR(__xludf.DUMMYFUNCTION("""COMPUTED_VALUE"""),1010.0)</f>
        <v>1010</v>
      </c>
      <c r="F202" s="33">
        <f>IFERROR(__xludf.DUMMYFUNCTION("""COMPUTED_VALUE"""),1010.0)</f>
        <v>1010</v>
      </c>
      <c r="G202" s="33">
        <f>IFERROR(__xludf.DUMMYFUNCTION("""COMPUTED_VALUE"""),1010.0)</f>
        <v>1010</v>
      </c>
      <c r="H202" s="32">
        <f>IFERROR(__xludf.DUMMYFUNCTION("""COMPUTED_VALUE"""),10.0)</f>
        <v>10</v>
      </c>
      <c r="I202" s="32">
        <f>IFERROR(__xludf.DUMMYFUNCTION("""COMPUTED_VALUE"""),0.0)</f>
        <v>0</v>
      </c>
      <c r="J202" s="32">
        <f>IFERROR(__xludf.DUMMYFUNCTION("""COMPUTED_VALUE"""),0.0)</f>
        <v>0</v>
      </c>
      <c r="K202" s="32">
        <f>IFERROR(__xludf.DUMMYFUNCTION("""COMPUTED_VALUE"""),100.0)</f>
        <v>100</v>
      </c>
      <c r="L202" s="32">
        <f>IFERROR(__xludf.DUMMYFUNCTION("""COMPUTED_VALUE"""),100.0)</f>
        <v>100</v>
      </c>
      <c r="M202" s="32" t="str">
        <f>IFERROR(__xludf.DUMMYFUNCTION("""COMPUTED_VALUE"""),"Instant Death:Immune, Banishment:Immune, ")</f>
        <v>Instant Death:Immune, Banishment:Immune, </v>
      </c>
      <c r="N202" s="32" t="str">
        <f>IFERROR(__xludf.DUMMYFUNCTION("""COMPUTED_VALUE"""),"Fire:100, Light:100, Order:100, ")</f>
        <v>Fire:100, Light:100, Order:100, </v>
      </c>
      <c r="O202" s="32"/>
      <c r="P202" s="32"/>
      <c r="Q202" s="32"/>
      <c r="R202" s="32"/>
      <c r="S202" s="32"/>
      <c r="T202" s="32"/>
      <c r="U202" s="32"/>
      <c r="V202" s="32" t="str">
        <f>IFERROR(__xludf.DUMMYFUNCTION("""COMPUTED_VALUE"""),"Sword Of The Reaper")</f>
        <v>Sword Of The Reaper</v>
      </c>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f>IFERROR(__xludf.DUMMYFUNCTION("""COMPUTED_VALUE"""),0.0)</f>
        <v>0</v>
      </c>
      <c r="BE202" s="32">
        <f>IFERROR(__xludf.DUMMYFUNCTION("""COMPUTED_VALUE"""),10.0)</f>
        <v>10</v>
      </c>
      <c r="BF202" s="32" t="str">
        <f>IFERROR(__xludf.DUMMYFUNCTION("""COMPUTED_VALUE"""),"Undead- Can only be killed by light,fire, or celestial")</f>
        <v>Undead- Can only be killed by light,fire, or celestial</v>
      </c>
      <c r="BG202" s="32" t="str">
        <f>IFERROR(__xludf.DUMMYFUNCTION("""COMPUTED_VALUE"""),"Dungeon")</f>
        <v>Dungeon</v>
      </c>
      <c r="BH202" s="32" t="str">
        <f>IFERROR(__xludf.DUMMYFUNCTION("""COMPUTED_VALUE"""),"Land Of Spira")</f>
        <v>Land Of Spira</v>
      </c>
      <c r="BI202" s="32"/>
      <c r="BJ202" s="32"/>
      <c r="BK202" s="32"/>
      <c r="BL202" s="32" t="b">
        <f>IFERROR(__xludf.DUMMYFUNCTION("""COMPUTED_VALUE"""),FALSE)</f>
        <v>0</v>
      </c>
      <c r="BM202" s="32"/>
      <c r="BN202" s="32"/>
      <c r="BO202" s="32"/>
      <c r="BP202" s="32"/>
      <c r="BQ202" s="32"/>
    </row>
    <row r="203">
      <c r="A203" s="32" t="str">
        <f>IFERROR(__xludf.DUMMYFUNCTION("""COMPUTED_VALUE"""),"Red Footed Beast")</f>
        <v>Red Footed Beast</v>
      </c>
      <c r="B203" s="32">
        <f>IFERROR(__xludf.DUMMYFUNCTION("""COMPUTED_VALUE"""),1.0)</f>
        <v>1</v>
      </c>
      <c r="C203" s="32"/>
      <c r="D203" s="33" t="str">
        <f>IFERROR(__xludf.DUMMYFUNCTION("""COMPUTED_VALUE"""),"Undead")</f>
        <v>Undead</v>
      </c>
      <c r="E203" s="33">
        <f>IFERROR(__xludf.DUMMYFUNCTION("""COMPUTED_VALUE"""),31010.0)</f>
        <v>31010</v>
      </c>
      <c r="F203" s="33">
        <f>IFERROR(__xludf.DUMMYFUNCTION("""COMPUTED_VALUE"""),1010.0)</f>
        <v>1010</v>
      </c>
      <c r="G203" s="33">
        <f>IFERROR(__xludf.DUMMYFUNCTION("""COMPUTED_VALUE"""),1010.0)</f>
        <v>1010</v>
      </c>
      <c r="H203" s="32">
        <f>IFERROR(__xludf.DUMMYFUNCTION("""COMPUTED_VALUE"""),15.0)</f>
        <v>15</v>
      </c>
      <c r="I203" s="32">
        <f>IFERROR(__xludf.DUMMYFUNCTION("""COMPUTED_VALUE"""),0.0)</f>
        <v>0</v>
      </c>
      <c r="J203" s="32">
        <f>IFERROR(__xludf.DUMMYFUNCTION("""COMPUTED_VALUE"""),0.0)</f>
        <v>0</v>
      </c>
      <c r="K203" s="32">
        <f>IFERROR(__xludf.DUMMYFUNCTION("""COMPUTED_VALUE"""),100.0)</f>
        <v>100</v>
      </c>
      <c r="L203" s="32">
        <f>IFERROR(__xludf.DUMMYFUNCTION("""COMPUTED_VALUE"""),100.0)</f>
        <v>100</v>
      </c>
      <c r="M203" s="32" t="str">
        <f>IFERROR(__xludf.DUMMYFUNCTION("""COMPUTED_VALUE"""),"Earth:Immune, ")</f>
        <v>Earth:Immune, </v>
      </c>
      <c r="N203" s="32" t="str">
        <f>IFERROR(__xludf.DUMMYFUNCTION("""COMPUTED_VALUE"""),"")</f>
        <v/>
      </c>
      <c r="O203" s="32"/>
      <c r="P203" s="32"/>
      <c r="Q203" s="32"/>
      <c r="R203" s="32"/>
      <c r="S203" s="32"/>
      <c r="T203" s="32"/>
      <c r="U203" s="32"/>
      <c r="V203" s="32"/>
      <c r="W203" s="32"/>
      <c r="X203" s="32"/>
      <c r="Y203" s="32"/>
      <c r="Z203" s="32"/>
      <c r="AA203" s="32"/>
      <c r="AB203" s="32"/>
      <c r="AC203" s="32"/>
      <c r="AD203" s="32"/>
      <c r="AE203" s="32"/>
      <c r="AF203" s="32"/>
      <c r="AG203" s="32"/>
      <c r="AH203" s="32"/>
      <c r="AI203" s="32"/>
      <c r="AJ203" s="32" t="str">
        <f>IFERROR(__xludf.DUMMYFUNCTION("""COMPUTED_VALUE"""),"Earthquake")</f>
        <v>Earthquake</v>
      </c>
      <c r="AK203" s="32" t="str">
        <f>IFERROR(__xludf.DUMMYFUNCTION("""COMPUTED_VALUE"""),"Horns")</f>
        <v>Horns</v>
      </c>
      <c r="AL203" s="32" t="str">
        <f>IFERROR(__xludf.DUMMYFUNCTION("""COMPUTED_VALUE"""),"Gore")</f>
        <v>Gore</v>
      </c>
      <c r="AM203" s="32" t="str">
        <f>IFERROR(__xludf.DUMMYFUNCTION("""COMPUTED_VALUE"""),"Bite")</f>
        <v>Bite</v>
      </c>
      <c r="AN203" s="32" t="str">
        <f>IFERROR(__xludf.DUMMYFUNCTION("""COMPUTED_VALUE"""),"Aggressive Chomp")</f>
        <v>Aggressive Chomp</v>
      </c>
      <c r="AO203" s="32" t="str">
        <f>IFERROR(__xludf.DUMMYFUNCTION("""COMPUTED_VALUE"""),"Aggresive Tear")</f>
        <v>Aggresive Tear</v>
      </c>
      <c r="AP203" s="32"/>
      <c r="AQ203" s="32"/>
      <c r="AR203" s="32"/>
      <c r="AS203" s="32"/>
      <c r="AT203" s="32"/>
      <c r="AU203" s="32"/>
      <c r="AV203" s="32"/>
      <c r="AW203" s="32"/>
      <c r="AX203" s="32"/>
      <c r="AY203" s="32"/>
      <c r="AZ203" s="32"/>
      <c r="BA203" s="32"/>
      <c r="BB203" s="32"/>
      <c r="BC203" s="32"/>
      <c r="BD203" s="32">
        <f>IFERROR(__xludf.DUMMYFUNCTION("""COMPUTED_VALUE"""),0.0)</f>
        <v>0</v>
      </c>
      <c r="BE203" s="32">
        <f>IFERROR(__xludf.DUMMYFUNCTION("""COMPUTED_VALUE"""),15.0)</f>
        <v>15</v>
      </c>
      <c r="BF203" s="32" t="str">
        <f>IFERROR(__xludf.DUMMYFUNCTION("""COMPUTED_VALUE"""),"Undead- Can only be killed by light,fire, or celestial")</f>
        <v>Undead- Can only be killed by light,fire, or celestial</v>
      </c>
      <c r="BG203" s="32" t="str">
        <f>IFERROR(__xludf.DUMMYFUNCTION("""COMPUTED_VALUE"""),"All")</f>
        <v>All</v>
      </c>
      <c r="BH203" s="32" t="str">
        <f>IFERROR(__xludf.DUMMYFUNCTION("""COMPUTED_VALUE"""),"Land Of Spira")</f>
        <v>Land Of Spira</v>
      </c>
      <c r="BI203" s="32"/>
      <c r="BJ203" s="32"/>
      <c r="BK203" s="32"/>
      <c r="BL203" s="32" t="b">
        <f>IFERROR(__xludf.DUMMYFUNCTION("""COMPUTED_VALUE"""),FALSE)</f>
        <v>0</v>
      </c>
      <c r="BM203" s="32"/>
      <c r="BN203" s="32"/>
      <c r="BO203" s="32"/>
      <c r="BP203" s="32"/>
      <c r="BQ203" s="32"/>
    </row>
    <row r="204">
      <c r="A204" s="32" t="str">
        <f>IFERROR(__xludf.DUMMYFUNCTION("""COMPUTED_VALUE"""),"Red Soul")</f>
        <v>Red Soul</v>
      </c>
      <c r="B204" s="32">
        <f>IFERROR(__xludf.DUMMYFUNCTION("""COMPUTED_VALUE"""),1.0)</f>
        <v>1</v>
      </c>
      <c r="C204" s="32"/>
      <c r="D204" s="33" t="str">
        <f>IFERROR(__xludf.DUMMYFUNCTION("""COMPUTED_VALUE"""),"Spirit")</f>
        <v>Spirit</v>
      </c>
      <c r="E204" s="33">
        <f>IFERROR(__xludf.DUMMYFUNCTION("""COMPUTED_VALUE"""),1010.0)</f>
        <v>1010</v>
      </c>
      <c r="F204" s="33">
        <f>IFERROR(__xludf.DUMMYFUNCTION("""COMPUTED_VALUE"""),1010.0)</f>
        <v>1010</v>
      </c>
      <c r="G204" s="33">
        <f>IFERROR(__xludf.DUMMYFUNCTION("""COMPUTED_VALUE"""),1010.0)</f>
        <v>1010</v>
      </c>
      <c r="H204" s="32">
        <f>IFERROR(__xludf.DUMMYFUNCTION("""COMPUTED_VALUE"""),10.0)</f>
        <v>10</v>
      </c>
      <c r="I204" s="32">
        <f>IFERROR(__xludf.DUMMYFUNCTION("""COMPUTED_VALUE"""),0.0)</f>
        <v>0</v>
      </c>
      <c r="J204" s="32">
        <f>IFERROR(__xludf.DUMMYFUNCTION("""COMPUTED_VALUE"""),0.0)</f>
        <v>0</v>
      </c>
      <c r="K204" s="32">
        <f>IFERROR(__xludf.DUMMYFUNCTION("""COMPUTED_VALUE"""),100.0)</f>
        <v>100</v>
      </c>
      <c r="L204" s="32">
        <f>IFERROR(__xludf.DUMMYFUNCTION("""COMPUTED_VALUE"""),100.0)</f>
        <v>100</v>
      </c>
      <c r="M204" s="32" t="str">
        <f>IFERROR(__xludf.DUMMYFUNCTION("""COMPUTED_VALUE"""),"Fire:100, Spirit:Immune, Nature:Immune, ")</f>
        <v>Fire:100, Spirit:Immune, Nature:Immune, </v>
      </c>
      <c r="N204" s="32" t="str">
        <f>IFERROR(__xludf.DUMMYFUNCTION("""COMPUTED_VALUE"""),"Water:100, Light:100, ")</f>
        <v>Water:100, Light:100, </v>
      </c>
      <c r="O204" s="32"/>
      <c r="P204" s="32"/>
      <c r="Q204" s="32"/>
      <c r="R204" s="32"/>
      <c r="S204" s="32"/>
      <c r="T204" s="32"/>
      <c r="U204" s="32"/>
      <c r="V204" s="32"/>
      <c r="W204" s="32" t="str">
        <f>IFERROR(__xludf.DUMMYFUNCTION("""COMPUTED_VALUE"""),"The Red Sword")</f>
        <v>The Red Sword</v>
      </c>
      <c r="X204" s="32"/>
      <c r="Y204" s="32"/>
      <c r="Z204" s="32"/>
      <c r="AA204" s="32"/>
      <c r="AB204" s="32"/>
      <c r="AC204" s="32"/>
      <c r="AD204" s="32"/>
      <c r="AE204" s="32"/>
      <c r="AF204" s="32"/>
      <c r="AG204" s="32"/>
      <c r="AH204" s="32"/>
      <c r="AI204" s="32"/>
      <c r="AJ204" s="32" t="str">
        <f>IFERROR(__xludf.DUMMYFUNCTION("""COMPUTED_VALUE"""),"A Deal With The Spirit World")</f>
        <v>A Deal With The Spirit World</v>
      </c>
      <c r="AK204" s="32" t="str">
        <f>IFERROR(__xludf.DUMMYFUNCTION("""COMPUTED_VALUE"""),"Final Blast")</f>
        <v>Final Blast</v>
      </c>
      <c r="AL204" s="32" t="str">
        <f>IFERROR(__xludf.DUMMYFUNCTION("""COMPUTED_VALUE"""),"Soul Shot")</f>
        <v>Soul Shot</v>
      </c>
      <c r="AM204" s="32" t="str">
        <f>IFERROR(__xludf.DUMMYFUNCTION("""COMPUTED_VALUE"""),"Final Rest")</f>
        <v>Final Rest</v>
      </c>
      <c r="AN204" s="32" t="str">
        <f>IFERROR(__xludf.DUMMYFUNCTION("""COMPUTED_VALUE"""),"Soul Trap")</f>
        <v>Soul Trap</v>
      </c>
      <c r="AO204" s="32" t="str">
        <f>IFERROR(__xludf.DUMMYFUNCTION("""COMPUTED_VALUE"""),"Possession")</f>
        <v>Possession</v>
      </c>
      <c r="AP204" s="32" t="str">
        <f>IFERROR(__xludf.DUMMYFUNCTION("""COMPUTED_VALUE"""),"Confuse")</f>
        <v>Confuse</v>
      </c>
      <c r="AQ204" s="32"/>
      <c r="AR204" s="32"/>
      <c r="AS204" s="32"/>
      <c r="AT204" s="32"/>
      <c r="AU204" s="32"/>
      <c r="AV204" s="32"/>
      <c r="AW204" s="32"/>
      <c r="AX204" s="32"/>
      <c r="AY204" s="32"/>
      <c r="AZ204" s="32"/>
      <c r="BA204" s="32"/>
      <c r="BB204" s="32"/>
      <c r="BC204" s="32"/>
      <c r="BD204" s="32">
        <f>IFERROR(__xludf.DUMMYFUNCTION("""COMPUTED_VALUE"""),0.0)</f>
        <v>0</v>
      </c>
      <c r="BE204" s="32">
        <f>IFERROR(__xludf.DUMMYFUNCTION("""COMPUTED_VALUE"""),10.0)</f>
        <v>10</v>
      </c>
      <c r="BF204" s="3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32" t="str">
        <f>IFERROR(__xludf.DUMMYFUNCTION("""COMPUTED_VALUE"""),"All")</f>
        <v>All</v>
      </c>
      <c r="BH204" s="32" t="str">
        <f>IFERROR(__xludf.DUMMYFUNCTION("""COMPUTED_VALUE"""),"Abstara")</f>
        <v>Abstara</v>
      </c>
      <c r="BI204" s="32"/>
      <c r="BJ204" s="32"/>
      <c r="BK204" s="32"/>
      <c r="BL204" s="32" t="b">
        <f>IFERROR(__xludf.DUMMYFUNCTION("""COMPUTED_VALUE"""),FALSE)</f>
        <v>0</v>
      </c>
      <c r="BM204" s="32"/>
      <c r="BN204" s="32"/>
      <c r="BO204" s="32"/>
      <c r="BP204" s="32"/>
      <c r="BQ204" s="32"/>
    </row>
    <row r="205">
      <c r="A205" s="32" t="str">
        <f>IFERROR(__xludf.DUMMYFUNCTION("""COMPUTED_VALUE"""),"Rhino")</f>
        <v>Rhino</v>
      </c>
      <c r="B205" s="32">
        <f>IFERROR(__xludf.DUMMYFUNCTION("""COMPUTED_VALUE"""),1.0)</f>
        <v>1</v>
      </c>
      <c r="C205" s="32"/>
      <c r="D205" s="33" t="str">
        <f>IFERROR(__xludf.DUMMYFUNCTION("""COMPUTED_VALUE"""),"Beast")</f>
        <v>Beast</v>
      </c>
      <c r="E205" s="33">
        <f>IFERROR(__xludf.DUMMYFUNCTION("""COMPUTED_VALUE"""),61010.0)</f>
        <v>61010</v>
      </c>
      <c r="F205" s="33">
        <f>IFERROR(__xludf.DUMMYFUNCTION("""COMPUTED_VALUE"""),1010.0)</f>
        <v>1010</v>
      </c>
      <c r="G205" s="33">
        <f>IFERROR(__xludf.DUMMYFUNCTION("""COMPUTED_VALUE"""),61010.0)</f>
        <v>61010</v>
      </c>
      <c r="H205" s="32">
        <f>IFERROR(__xludf.DUMMYFUNCTION("""COMPUTED_VALUE"""),15.0)</f>
        <v>15</v>
      </c>
      <c r="I205" s="32">
        <f>IFERROR(__xludf.DUMMYFUNCTION("""COMPUTED_VALUE"""),0.0)</f>
        <v>0</v>
      </c>
      <c r="J205" s="32">
        <f>IFERROR(__xludf.DUMMYFUNCTION("""COMPUTED_VALUE"""),0.0)</f>
        <v>0</v>
      </c>
      <c r="K205" s="32">
        <f>IFERROR(__xludf.DUMMYFUNCTION("""COMPUTED_VALUE"""),100.0)</f>
        <v>100</v>
      </c>
      <c r="L205" s="32">
        <f>IFERROR(__xludf.DUMMYFUNCTION("""COMPUTED_VALUE"""),100.0)</f>
        <v>100</v>
      </c>
      <c r="M205" s="32" t="str">
        <f>IFERROR(__xludf.DUMMYFUNCTION("""COMPUTED_VALUE"""),"")</f>
        <v/>
      </c>
      <c r="N205" s="32" t="str">
        <f>IFERROR(__xludf.DUMMYFUNCTION("""COMPUTED_VALUE"""),"")</f>
        <v/>
      </c>
      <c r="O205" s="32"/>
      <c r="P205" s="32"/>
      <c r="Q205" s="32"/>
      <c r="R205" s="32"/>
      <c r="S205" s="32"/>
      <c r="T205" s="32"/>
      <c r="U205" s="32"/>
      <c r="V205" s="32"/>
      <c r="W205" s="32"/>
      <c r="X205" s="32"/>
      <c r="Y205" s="32"/>
      <c r="Z205" s="32"/>
      <c r="AA205" s="32"/>
      <c r="AB205" s="32"/>
      <c r="AC205" s="32"/>
      <c r="AD205" s="32"/>
      <c r="AE205" s="32"/>
      <c r="AF205" s="32"/>
      <c r="AG205" s="32"/>
      <c r="AH205" s="32"/>
      <c r="AI205" s="32"/>
      <c r="AJ205" s="32" t="str">
        <f>IFERROR(__xludf.DUMMYFUNCTION("""COMPUTED_VALUE"""),"Horns")</f>
        <v>Horns</v>
      </c>
      <c r="AK205" s="32" t="str">
        <f>IFERROR(__xludf.DUMMYFUNCTION("""COMPUTED_VALUE"""),"Charge")</f>
        <v>Charge</v>
      </c>
      <c r="AL205" s="32" t="str">
        <f>IFERROR(__xludf.DUMMYFUNCTION("""COMPUTED_VALUE"""),"Heighten reflexes")</f>
        <v>Heighten reflexes</v>
      </c>
      <c r="AM205" s="32" t="str">
        <f>IFERROR(__xludf.DUMMYFUNCTION("""COMPUTED_VALUE"""),"Double Strike")</f>
        <v>Double Strike</v>
      </c>
      <c r="AN205" s="32" t="str">
        <f>IFERROR(__xludf.DUMMYFUNCTION("""COMPUTED_VALUE"""),"Gore")</f>
        <v>Gore</v>
      </c>
      <c r="AO205" s="32"/>
      <c r="AP205" s="32"/>
      <c r="AQ205" s="32"/>
      <c r="AR205" s="32"/>
      <c r="AS205" s="32"/>
      <c r="AT205" s="32"/>
      <c r="AU205" s="32"/>
      <c r="AV205" s="32"/>
      <c r="AW205" s="32"/>
      <c r="AX205" s="32"/>
      <c r="AY205" s="32"/>
      <c r="AZ205" s="32"/>
      <c r="BA205" s="32"/>
      <c r="BB205" s="32"/>
      <c r="BC205" s="32"/>
      <c r="BD205" s="32">
        <f>IFERROR(__xludf.DUMMYFUNCTION("""COMPUTED_VALUE"""),0.0)</f>
        <v>0</v>
      </c>
      <c r="BE205" s="32">
        <f>IFERROR(__xludf.DUMMYFUNCTION("""COMPUTED_VALUE"""),10.0)</f>
        <v>10</v>
      </c>
      <c r="BF205" s="32"/>
      <c r="BG205" s="32" t="str">
        <f>IFERROR(__xludf.DUMMYFUNCTION("""COMPUTED_VALUE"""),"All")</f>
        <v>All</v>
      </c>
      <c r="BH205" s="32" t="str">
        <f>IFERROR(__xludf.DUMMYFUNCTION("""COMPUTED_VALUE"""),"Land Of Spira")</f>
        <v>Land Of Spira</v>
      </c>
      <c r="BI205" s="32"/>
      <c r="BJ205" s="32"/>
      <c r="BK205" s="32"/>
      <c r="BL205" s="32" t="b">
        <f>IFERROR(__xludf.DUMMYFUNCTION("""COMPUTED_VALUE"""),FALSE)</f>
        <v>0</v>
      </c>
      <c r="BM205" s="32"/>
      <c r="BN205" s="32"/>
      <c r="BO205" s="32"/>
      <c r="BP205" s="32"/>
      <c r="BQ205" s="32"/>
    </row>
    <row r="206">
      <c r="A206" s="32" t="str">
        <f>IFERROR(__xludf.DUMMYFUNCTION("""COMPUTED_VALUE"""),"Robotic Guardian of the 5th, No. 1")</f>
        <v>Robotic Guardian of the 5th, No. 1</v>
      </c>
      <c r="B206" s="32">
        <f>IFERROR(__xludf.DUMMYFUNCTION("""COMPUTED_VALUE"""),1.0)</f>
        <v>1</v>
      </c>
      <c r="C206" s="32"/>
      <c r="D206" s="33" t="str">
        <f>IFERROR(__xludf.DUMMYFUNCTION("""COMPUTED_VALUE"""),"Construct")</f>
        <v>Construct</v>
      </c>
      <c r="E206" s="33">
        <f>IFERROR(__xludf.DUMMYFUNCTION("""COMPUTED_VALUE"""),1010.0)</f>
        <v>1010</v>
      </c>
      <c r="F206" s="33">
        <f>IFERROR(__xludf.DUMMYFUNCTION("""COMPUTED_VALUE"""),1010.0)</f>
        <v>1010</v>
      </c>
      <c r="G206" s="33">
        <f>IFERROR(__xludf.DUMMYFUNCTION("""COMPUTED_VALUE"""),1010.0)</f>
        <v>1010</v>
      </c>
      <c r="H206" s="32">
        <f>IFERROR(__xludf.DUMMYFUNCTION("""COMPUTED_VALUE"""),10.0)</f>
        <v>10</v>
      </c>
      <c r="I206" s="32">
        <f>IFERROR(__xludf.DUMMYFUNCTION("""COMPUTED_VALUE"""),0.0)</f>
        <v>0</v>
      </c>
      <c r="J206" s="32">
        <f>IFERROR(__xludf.DUMMYFUNCTION("""COMPUTED_VALUE"""),0.0)</f>
        <v>0</v>
      </c>
      <c r="K206" s="32">
        <f>IFERROR(__xludf.DUMMYFUNCTION("""COMPUTED_VALUE"""),100.0)</f>
        <v>100</v>
      </c>
      <c r="L206" s="32">
        <f>IFERROR(__xludf.DUMMYFUNCTION("""COMPUTED_VALUE"""),100.0)</f>
        <v>100</v>
      </c>
      <c r="M206" s="32" t="str">
        <f>IFERROR(__xludf.DUMMYFUNCTION("""COMPUTED_VALUE"""),"Natural:Immune, ")</f>
        <v>Natural:Immune, </v>
      </c>
      <c r="N206" s="32" t="str">
        <f>IFERROR(__xludf.DUMMYFUNCTION("""COMPUTED_VALUE"""),"Fire:100, Water:100, ")</f>
        <v>Fire:100, Water:100, </v>
      </c>
      <c r="O206" s="32"/>
      <c r="P206" s="32"/>
      <c r="Q206" s="32"/>
      <c r="R206" s="32"/>
      <c r="S206" s="32"/>
      <c r="T206" s="32"/>
      <c r="U206" s="32"/>
      <c r="V206" s="32"/>
      <c r="W206" s="32" t="str">
        <f>IFERROR(__xludf.DUMMYFUNCTION("""COMPUTED_VALUE"""),"Lazer Infused Sword")</f>
        <v>Lazer Infused Sword</v>
      </c>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f>IFERROR(__xludf.DUMMYFUNCTION("""COMPUTED_VALUE"""),0.0)</f>
        <v>0</v>
      </c>
      <c r="BE206" s="32">
        <f>IFERROR(__xludf.DUMMYFUNCTION("""COMPUTED_VALUE"""),10.0)</f>
        <v>10</v>
      </c>
      <c r="BF206" s="32"/>
      <c r="BG206" s="32" t="str">
        <f>IFERROR(__xludf.DUMMYFUNCTION("""COMPUTED_VALUE"""),"City/Town")</f>
        <v>City/Town</v>
      </c>
      <c r="BH206" s="32" t="str">
        <f>IFERROR(__xludf.DUMMYFUNCTION("""COMPUTED_VALUE"""),"Land Of Spira")</f>
        <v>Land Of Spira</v>
      </c>
      <c r="BI206" s="32"/>
      <c r="BJ206" s="32"/>
      <c r="BK206" s="32"/>
      <c r="BL206" s="32" t="b">
        <f>IFERROR(__xludf.DUMMYFUNCTION("""COMPUTED_VALUE"""),FALSE)</f>
        <v>0</v>
      </c>
      <c r="BM206" s="32"/>
      <c r="BN206" s="32"/>
      <c r="BO206" s="32"/>
      <c r="BP206" s="32"/>
      <c r="BQ206" s="32"/>
    </row>
    <row r="207">
      <c r="A207" s="32" t="str">
        <f>IFERROR(__xludf.DUMMYFUNCTION("""COMPUTED_VALUE"""),"Robotic Guardian of the 5th, No. 2")</f>
        <v>Robotic Guardian of the 5th, No. 2</v>
      </c>
      <c r="B207" s="32">
        <f>IFERROR(__xludf.DUMMYFUNCTION("""COMPUTED_VALUE"""),1.0)</f>
        <v>1</v>
      </c>
      <c r="C207" s="32"/>
      <c r="D207" s="33" t="str">
        <f>IFERROR(__xludf.DUMMYFUNCTION("""COMPUTED_VALUE"""),"Construct")</f>
        <v>Construct</v>
      </c>
      <c r="E207" s="33">
        <f>IFERROR(__xludf.DUMMYFUNCTION("""COMPUTED_VALUE"""),1010.0)</f>
        <v>1010</v>
      </c>
      <c r="F207" s="33">
        <f>IFERROR(__xludf.DUMMYFUNCTION("""COMPUTED_VALUE"""),1010.0)</f>
        <v>1010</v>
      </c>
      <c r="G207" s="33">
        <f>IFERROR(__xludf.DUMMYFUNCTION("""COMPUTED_VALUE"""),1010.0)</f>
        <v>1010</v>
      </c>
      <c r="H207" s="32">
        <f>IFERROR(__xludf.DUMMYFUNCTION("""COMPUTED_VALUE"""),10.0)</f>
        <v>10</v>
      </c>
      <c r="I207" s="32">
        <f>IFERROR(__xludf.DUMMYFUNCTION("""COMPUTED_VALUE"""),0.0)</f>
        <v>0</v>
      </c>
      <c r="J207" s="32">
        <f>IFERROR(__xludf.DUMMYFUNCTION("""COMPUTED_VALUE"""),0.0)</f>
        <v>0</v>
      </c>
      <c r="K207" s="32">
        <f>IFERROR(__xludf.DUMMYFUNCTION("""COMPUTED_VALUE"""),100.0)</f>
        <v>100</v>
      </c>
      <c r="L207" s="32">
        <f>IFERROR(__xludf.DUMMYFUNCTION("""COMPUTED_VALUE"""),100.0)</f>
        <v>100</v>
      </c>
      <c r="M207" s="32" t="str">
        <f>IFERROR(__xludf.DUMMYFUNCTION("""COMPUTED_VALUE"""),"Natural:Immune, ")</f>
        <v>Natural:Immune, </v>
      </c>
      <c r="N207" s="32" t="str">
        <f>IFERROR(__xludf.DUMMYFUNCTION("""COMPUTED_VALUE"""),"Fire:100, Water:100, ")</f>
        <v>Fire:100, Water:100, </v>
      </c>
      <c r="O207" s="32"/>
      <c r="P207" s="32"/>
      <c r="Q207" s="32"/>
      <c r="R207" s="32"/>
      <c r="S207" s="32"/>
      <c r="T207" s="32"/>
      <c r="U207" s="32"/>
      <c r="V207" s="32"/>
      <c r="W207" s="32" t="str">
        <f>IFERROR(__xludf.DUMMYFUNCTION("""COMPUTED_VALUE"""),"Lazer Infused Sword")</f>
        <v>Lazer Infused Sword</v>
      </c>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f>IFERROR(__xludf.DUMMYFUNCTION("""COMPUTED_VALUE"""),0.0)</f>
        <v>0</v>
      </c>
      <c r="BE207" s="32">
        <f>IFERROR(__xludf.DUMMYFUNCTION("""COMPUTED_VALUE"""),10.0)</f>
        <v>10</v>
      </c>
      <c r="BF207" s="32"/>
      <c r="BG207" s="32" t="str">
        <f>IFERROR(__xludf.DUMMYFUNCTION("""COMPUTED_VALUE"""),"City/Town")</f>
        <v>City/Town</v>
      </c>
      <c r="BH207" s="32" t="str">
        <f>IFERROR(__xludf.DUMMYFUNCTION("""COMPUTED_VALUE"""),"Land Of Spira")</f>
        <v>Land Of Spira</v>
      </c>
      <c r="BI207" s="32"/>
      <c r="BJ207" s="32"/>
      <c r="BK207" s="32"/>
      <c r="BL207" s="32" t="b">
        <f>IFERROR(__xludf.DUMMYFUNCTION("""COMPUTED_VALUE"""),FALSE)</f>
        <v>0</v>
      </c>
      <c r="BM207" s="32"/>
      <c r="BN207" s="32"/>
      <c r="BO207" s="32"/>
      <c r="BP207" s="32"/>
      <c r="BQ207" s="32"/>
    </row>
    <row r="208">
      <c r="A208" s="32" t="str">
        <f>IFERROR(__xludf.DUMMYFUNCTION("""COMPUTED_VALUE"""),"Robotic Guardian of the 5th, No. 3")</f>
        <v>Robotic Guardian of the 5th, No. 3</v>
      </c>
      <c r="B208" s="32">
        <f>IFERROR(__xludf.DUMMYFUNCTION("""COMPUTED_VALUE"""),1.0)</f>
        <v>1</v>
      </c>
      <c r="C208" s="32"/>
      <c r="D208" s="33" t="str">
        <f>IFERROR(__xludf.DUMMYFUNCTION("""COMPUTED_VALUE"""),"Construct")</f>
        <v>Construct</v>
      </c>
      <c r="E208" s="33">
        <f>IFERROR(__xludf.DUMMYFUNCTION("""COMPUTED_VALUE"""),1010.0)</f>
        <v>1010</v>
      </c>
      <c r="F208" s="33">
        <f>IFERROR(__xludf.DUMMYFUNCTION("""COMPUTED_VALUE"""),1010.0)</f>
        <v>1010</v>
      </c>
      <c r="G208" s="33">
        <f>IFERROR(__xludf.DUMMYFUNCTION("""COMPUTED_VALUE"""),1010.0)</f>
        <v>1010</v>
      </c>
      <c r="H208" s="32">
        <f>IFERROR(__xludf.DUMMYFUNCTION("""COMPUTED_VALUE"""),10.0)</f>
        <v>10</v>
      </c>
      <c r="I208" s="32">
        <f>IFERROR(__xludf.DUMMYFUNCTION("""COMPUTED_VALUE"""),0.0)</f>
        <v>0</v>
      </c>
      <c r="J208" s="32">
        <f>IFERROR(__xludf.DUMMYFUNCTION("""COMPUTED_VALUE"""),0.0)</f>
        <v>0</v>
      </c>
      <c r="K208" s="32">
        <f>IFERROR(__xludf.DUMMYFUNCTION("""COMPUTED_VALUE"""),100.0)</f>
        <v>100</v>
      </c>
      <c r="L208" s="32">
        <f>IFERROR(__xludf.DUMMYFUNCTION("""COMPUTED_VALUE"""),100.0)</f>
        <v>100</v>
      </c>
      <c r="M208" s="32" t="str">
        <f>IFERROR(__xludf.DUMMYFUNCTION("""COMPUTED_VALUE"""),"Natural:Immune, ")</f>
        <v>Natural:Immune, </v>
      </c>
      <c r="N208" s="32" t="str">
        <f>IFERROR(__xludf.DUMMYFUNCTION("""COMPUTED_VALUE"""),"Fire:100, Water:100, ")</f>
        <v>Fire:100, Water:100, </v>
      </c>
      <c r="O208" s="32"/>
      <c r="P208" s="32"/>
      <c r="Q208" s="32"/>
      <c r="R208" s="32"/>
      <c r="S208" s="32"/>
      <c r="T208" s="32"/>
      <c r="U208" s="32"/>
      <c r="V208" s="32"/>
      <c r="W208" s="32" t="str">
        <f>IFERROR(__xludf.DUMMYFUNCTION("""COMPUTED_VALUE"""),"Lazer Infused Sword")</f>
        <v>Lazer Infused Sword</v>
      </c>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f>IFERROR(__xludf.DUMMYFUNCTION("""COMPUTED_VALUE"""),0.0)</f>
        <v>0</v>
      </c>
      <c r="BE208" s="32">
        <f>IFERROR(__xludf.DUMMYFUNCTION("""COMPUTED_VALUE"""),10.0)</f>
        <v>10</v>
      </c>
      <c r="BF208" s="32"/>
      <c r="BG208" s="32" t="str">
        <f>IFERROR(__xludf.DUMMYFUNCTION("""COMPUTED_VALUE"""),"City/Town")</f>
        <v>City/Town</v>
      </c>
      <c r="BH208" s="32" t="str">
        <f>IFERROR(__xludf.DUMMYFUNCTION("""COMPUTED_VALUE"""),"Land Of Spira")</f>
        <v>Land Of Spira</v>
      </c>
      <c r="BI208" s="32"/>
      <c r="BJ208" s="32"/>
      <c r="BK208" s="32"/>
      <c r="BL208" s="32" t="b">
        <f>IFERROR(__xludf.DUMMYFUNCTION("""COMPUTED_VALUE"""),FALSE)</f>
        <v>0</v>
      </c>
      <c r="BM208" s="32"/>
      <c r="BN208" s="32"/>
      <c r="BO208" s="32"/>
      <c r="BP208" s="32"/>
      <c r="BQ208" s="32"/>
    </row>
    <row r="209">
      <c r="A209" s="32" t="str">
        <f>IFERROR(__xludf.DUMMYFUNCTION("""COMPUTED_VALUE"""),"Robotic Guardian of the 5th, No. 4")</f>
        <v>Robotic Guardian of the 5th, No. 4</v>
      </c>
      <c r="B209" s="32">
        <f>IFERROR(__xludf.DUMMYFUNCTION("""COMPUTED_VALUE"""),1.0)</f>
        <v>1</v>
      </c>
      <c r="C209" s="32"/>
      <c r="D209" s="33" t="str">
        <f>IFERROR(__xludf.DUMMYFUNCTION("""COMPUTED_VALUE"""),"Construct")</f>
        <v>Construct</v>
      </c>
      <c r="E209" s="33">
        <f>IFERROR(__xludf.DUMMYFUNCTION("""COMPUTED_VALUE"""),1010.0)</f>
        <v>1010</v>
      </c>
      <c r="F209" s="33">
        <f>IFERROR(__xludf.DUMMYFUNCTION("""COMPUTED_VALUE"""),1010.0)</f>
        <v>1010</v>
      </c>
      <c r="G209" s="33">
        <f>IFERROR(__xludf.DUMMYFUNCTION("""COMPUTED_VALUE"""),1010.0)</f>
        <v>1010</v>
      </c>
      <c r="H209" s="32">
        <f>IFERROR(__xludf.DUMMYFUNCTION("""COMPUTED_VALUE"""),10.0)</f>
        <v>10</v>
      </c>
      <c r="I209" s="32">
        <f>IFERROR(__xludf.DUMMYFUNCTION("""COMPUTED_VALUE"""),0.0)</f>
        <v>0</v>
      </c>
      <c r="J209" s="32">
        <f>IFERROR(__xludf.DUMMYFUNCTION("""COMPUTED_VALUE"""),0.0)</f>
        <v>0</v>
      </c>
      <c r="K209" s="32">
        <f>IFERROR(__xludf.DUMMYFUNCTION("""COMPUTED_VALUE"""),100.0)</f>
        <v>100</v>
      </c>
      <c r="L209" s="32">
        <f>IFERROR(__xludf.DUMMYFUNCTION("""COMPUTED_VALUE"""),100.0)</f>
        <v>100</v>
      </c>
      <c r="M209" s="32" t="str">
        <f>IFERROR(__xludf.DUMMYFUNCTION("""COMPUTED_VALUE"""),"Natural:Immune, ")</f>
        <v>Natural:Immune, </v>
      </c>
      <c r="N209" s="32" t="str">
        <f>IFERROR(__xludf.DUMMYFUNCTION("""COMPUTED_VALUE"""),"Fire:100, Water:100, ")</f>
        <v>Fire:100, Water:100, </v>
      </c>
      <c r="O209" s="32"/>
      <c r="P209" s="32"/>
      <c r="Q209" s="32"/>
      <c r="R209" s="32"/>
      <c r="S209" s="32"/>
      <c r="T209" s="32"/>
      <c r="U209" s="32"/>
      <c r="V209" s="32"/>
      <c r="W209" s="32" t="str">
        <f>IFERROR(__xludf.DUMMYFUNCTION("""COMPUTED_VALUE"""),"Lazer Infused Sword")</f>
        <v>Lazer Infused Sword</v>
      </c>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f>IFERROR(__xludf.DUMMYFUNCTION("""COMPUTED_VALUE"""),0.0)</f>
        <v>0</v>
      </c>
      <c r="BE209" s="32">
        <f>IFERROR(__xludf.DUMMYFUNCTION("""COMPUTED_VALUE"""),10.0)</f>
        <v>10</v>
      </c>
      <c r="BF209" s="32"/>
      <c r="BG209" s="32" t="str">
        <f>IFERROR(__xludf.DUMMYFUNCTION("""COMPUTED_VALUE"""),"City/Town")</f>
        <v>City/Town</v>
      </c>
      <c r="BH209" s="32" t="str">
        <f>IFERROR(__xludf.DUMMYFUNCTION("""COMPUTED_VALUE"""),"Land Of Spira")</f>
        <v>Land Of Spira</v>
      </c>
      <c r="BI209" s="32"/>
      <c r="BJ209" s="32"/>
      <c r="BK209" s="32"/>
      <c r="BL209" s="32" t="b">
        <f>IFERROR(__xludf.DUMMYFUNCTION("""COMPUTED_VALUE"""),FALSE)</f>
        <v>0</v>
      </c>
      <c r="BM209" s="32"/>
      <c r="BN209" s="32"/>
      <c r="BO209" s="32"/>
      <c r="BP209" s="32"/>
      <c r="BQ209" s="32"/>
    </row>
    <row r="210">
      <c r="A210" s="32" t="str">
        <f>IFERROR(__xludf.DUMMYFUNCTION("""COMPUTED_VALUE"""),"Rock Snake")</f>
        <v>Rock Snake</v>
      </c>
      <c r="B210" s="32">
        <f>IFERROR(__xludf.DUMMYFUNCTION("""COMPUTED_VALUE"""),1.0)</f>
        <v>1</v>
      </c>
      <c r="C210" s="32"/>
      <c r="D210" s="33" t="str">
        <f>IFERROR(__xludf.DUMMYFUNCTION("""COMPUTED_VALUE"""),"Beast")</f>
        <v>Beast</v>
      </c>
      <c r="E210" s="33">
        <f>IFERROR(__xludf.DUMMYFUNCTION("""COMPUTED_VALUE"""),1010.0)</f>
        <v>1010</v>
      </c>
      <c r="F210" s="33">
        <f>IFERROR(__xludf.DUMMYFUNCTION("""COMPUTED_VALUE"""),1010.0)</f>
        <v>1010</v>
      </c>
      <c r="G210" s="33">
        <f>IFERROR(__xludf.DUMMYFUNCTION("""COMPUTED_VALUE"""),1010.0)</f>
        <v>1010</v>
      </c>
      <c r="H210" s="32">
        <f>IFERROR(__xludf.DUMMYFUNCTION("""COMPUTED_VALUE"""),10.0)</f>
        <v>10</v>
      </c>
      <c r="I210" s="32">
        <f>IFERROR(__xludf.DUMMYFUNCTION("""COMPUTED_VALUE"""),0.0)</f>
        <v>0</v>
      </c>
      <c r="J210" s="32">
        <f>IFERROR(__xludf.DUMMYFUNCTION("""COMPUTED_VALUE"""),0.0)</f>
        <v>0</v>
      </c>
      <c r="K210" s="32">
        <f>IFERROR(__xludf.DUMMYFUNCTION("""COMPUTED_VALUE"""),100.0)</f>
        <v>100</v>
      </c>
      <c r="L210" s="32">
        <f>IFERROR(__xludf.DUMMYFUNCTION("""COMPUTED_VALUE"""),100.0)</f>
        <v>100</v>
      </c>
      <c r="M210" s="32" t="str">
        <f>IFERROR(__xludf.DUMMYFUNCTION("""COMPUTED_VALUE"""),"Fire:100, ")</f>
        <v>Fire:100, </v>
      </c>
      <c r="N210" s="32" t="str">
        <f>IFERROR(__xludf.DUMMYFUNCTION("""COMPUTED_VALUE"""),"Water:100, ")</f>
        <v>Water:100, </v>
      </c>
      <c r="O210" s="32"/>
      <c r="P210" s="32"/>
      <c r="Q210" s="32"/>
      <c r="R210" s="32"/>
      <c r="S210" s="32"/>
      <c r="T210" s="32"/>
      <c r="U210" s="32"/>
      <c r="V210" s="32"/>
      <c r="W210" s="32"/>
      <c r="X210" s="32"/>
      <c r="Y210" s="32"/>
      <c r="Z210" s="32"/>
      <c r="AA210" s="32"/>
      <c r="AB210" s="32"/>
      <c r="AC210" s="32"/>
      <c r="AD210" s="32"/>
      <c r="AE210" s="32"/>
      <c r="AF210" s="32"/>
      <c r="AG210" s="32"/>
      <c r="AH210" s="32"/>
      <c r="AI210" s="32"/>
      <c r="AJ210" s="32" t="str">
        <f>IFERROR(__xludf.DUMMYFUNCTION("""COMPUTED_VALUE"""),"Rock Shot")</f>
        <v>Rock Shot</v>
      </c>
      <c r="AK210" s="32" t="str">
        <f>IFERROR(__xludf.DUMMYFUNCTION("""COMPUTED_VALUE"""),"Quicksand")</f>
        <v>Quicksand</v>
      </c>
      <c r="AL210" s="32" t="str">
        <f>IFERROR(__xludf.DUMMYFUNCTION("""COMPUTED_VALUE"""),"Rock Shot")</f>
        <v>Rock Shot</v>
      </c>
      <c r="AM210" s="32" t="str">
        <f>IFERROR(__xludf.DUMMYFUNCTION("""COMPUTED_VALUE"""),"Bite")</f>
        <v>Bite</v>
      </c>
      <c r="AN210" s="32" t="str">
        <f>IFERROR(__xludf.DUMMYFUNCTION("""COMPUTED_VALUE"""),"Poison Fang")</f>
        <v>Poison Fang</v>
      </c>
      <c r="AO210" s="32"/>
      <c r="AP210" s="32"/>
      <c r="AQ210" s="32"/>
      <c r="AR210" s="32"/>
      <c r="AS210" s="32"/>
      <c r="AT210" s="32"/>
      <c r="AU210" s="32"/>
      <c r="AV210" s="32"/>
      <c r="AW210" s="32"/>
      <c r="AX210" s="32"/>
      <c r="AY210" s="32"/>
      <c r="AZ210" s="32"/>
      <c r="BA210" s="32"/>
      <c r="BB210" s="32"/>
      <c r="BC210" s="32"/>
      <c r="BD210" s="32">
        <f>IFERROR(__xludf.DUMMYFUNCTION("""COMPUTED_VALUE"""),0.0)</f>
        <v>0</v>
      </c>
      <c r="BE210" s="32">
        <f>IFERROR(__xludf.DUMMYFUNCTION("""COMPUTED_VALUE"""),10.0)</f>
        <v>10</v>
      </c>
      <c r="BF210" s="32"/>
      <c r="BG210" s="32" t="str">
        <f>IFERROR(__xludf.DUMMYFUNCTION("""COMPUTED_VALUE"""),"All")</f>
        <v>All</v>
      </c>
      <c r="BH210" s="32" t="str">
        <f>IFERROR(__xludf.DUMMYFUNCTION("""COMPUTED_VALUE"""),"Land of Spira")</f>
        <v>Land of Spira</v>
      </c>
      <c r="BI210" s="32"/>
      <c r="BJ210" s="32"/>
      <c r="BK210" s="32"/>
      <c r="BL210" s="32" t="b">
        <f>IFERROR(__xludf.DUMMYFUNCTION("""COMPUTED_VALUE"""),FALSE)</f>
        <v>0</v>
      </c>
      <c r="BM210" s="32"/>
      <c r="BN210" s="32"/>
      <c r="BO210" s="32"/>
      <c r="BP210" s="32"/>
      <c r="BQ210" s="32"/>
    </row>
    <row r="211">
      <c r="A211" s="32" t="str">
        <f>IFERROR(__xludf.DUMMYFUNCTION("""COMPUTED_VALUE"""),"Rooster")</f>
        <v>Rooster</v>
      </c>
      <c r="B211" s="32">
        <f>IFERROR(__xludf.DUMMYFUNCTION("""COMPUTED_VALUE"""),1.0)</f>
        <v>1</v>
      </c>
      <c r="C211" s="32" t="str">
        <f>IFERROR(__xludf.DUMMYFUNCTION("""COMPUTED_VALUE"""),"Fuck around and find out")</f>
        <v>Fuck around and find out</v>
      </c>
      <c r="D211" s="32" t="str">
        <f>IFERROR(__xludf.DUMMYFUNCTION("""COMPUTED_VALUE"""),"Beast")</f>
        <v>Beast</v>
      </c>
      <c r="E211" s="33">
        <f>IFERROR(__xludf.DUMMYFUNCTION("""COMPUTED_VALUE"""),101010.0)</f>
        <v>101010</v>
      </c>
      <c r="F211" s="33">
        <f>IFERROR(__xludf.DUMMYFUNCTION("""COMPUTED_VALUE"""),101010.0)</f>
        <v>101010</v>
      </c>
      <c r="G211" s="33">
        <f>IFERROR(__xludf.DUMMYFUNCTION("""COMPUTED_VALUE"""),101010.0)</f>
        <v>101010</v>
      </c>
      <c r="H211" s="32">
        <f>IFERROR(__xludf.DUMMYFUNCTION("""COMPUTED_VALUE"""),50.0)</f>
        <v>50</v>
      </c>
      <c r="I211" s="32">
        <f>IFERROR(__xludf.DUMMYFUNCTION("""COMPUTED_VALUE"""),0.0)</f>
        <v>0</v>
      </c>
      <c r="J211" s="32">
        <f>IFERROR(__xludf.DUMMYFUNCTION("""COMPUTED_VALUE"""),0.0)</f>
        <v>0</v>
      </c>
      <c r="K211" s="33">
        <f>IFERROR(__xludf.DUMMYFUNCTION("""COMPUTED_VALUE"""),101010.0)</f>
        <v>101010</v>
      </c>
      <c r="L211" s="33">
        <f>IFERROR(__xludf.DUMMYFUNCTION("""COMPUTED_VALUE"""),101010.0)</f>
        <v>101010</v>
      </c>
      <c r="M211" s="32" t="str">
        <f>IFERROR(__xludf.DUMMYFUNCTION("""COMPUTED_VALUE"""),"")</f>
        <v/>
      </c>
      <c r="N211" s="32" t="str">
        <f>IFERROR(__xludf.DUMMYFUNCTION("""COMPUTED_VALUE"""),"")</f>
        <v/>
      </c>
      <c r="O211" s="32"/>
      <c r="P211" s="32"/>
      <c r="Q211" s="32"/>
      <c r="R211" s="32"/>
      <c r="S211" s="32"/>
      <c r="T211" s="32"/>
      <c r="U211" s="32"/>
      <c r="V211" s="32"/>
      <c r="W211" s="32"/>
      <c r="X211" s="32"/>
      <c r="Y211" s="32"/>
      <c r="Z211" s="32"/>
      <c r="AA211" s="32"/>
      <c r="AB211" s="32"/>
      <c r="AC211" s="32"/>
      <c r="AD211" s="32"/>
      <c r="AE211" s="32"/>
      <c r="AF211" s="32"/>
      <c r="AG211" s="32"/>
      <c r="AH211" s="32"/>
      <c r="AI211" s="32"/>
      <c r="AJ211" s="32" t="str">
        <f>IFERROR(__xludf.DUMMYFUNCTION("""COMPUTED_VALUE"""),"Dive Bomb")</f>
        <v>Dive Bomb</v>
      </c>
      <c r="AK211" s="32" t="str">
        <f>IFERROR(__xludf.DUMMYFUNCTION("""COMPUTED_VALUE"""),"Sacred Flame Peck")</f>
        <v>Sacred Flame Peck</v>
      </c>
      <c r="AL211" s="32" t="str">
        <f>IFERROR(__xludf.DUMMYFUNCTION("""COMPUTED_VALUE"""),"Rapid Frost Peck")</f>
        <v>Rapid Frost Peck</v>
      </c>
      <c r="AM211" s="32" t="str">
        <f>IFERROR(__xludf.DUMMYFUNCTION("""COMPUTED_VALUE"""),"Sun Slam")</f>
        <v>Sun Slam</v>
      </c>
      <c r="AN211" s="32"/>
      <c r="AO211" s="32"/>
      <c r="AP211" s="32"/>
      <c r="AQ211" s="32"/>
      <c r="AR211" s="32"/>
      <c r="AS211" s="32"/>
      <c r="AT211" s="32"/>
      <c r="AU211" s="32"/>
      <c r="AV211" s="32"/>
      <c r="AW211" s="32"/>
      <c r="AX211" s="32"/>
      <c r="AY211" s="32"/>
      <c r="AZ211" s="32"/>
      <c r="BA211" s="32"/>
      <c r="BB211" s="32"/>
      <c r="BC211" s="32"/>
      <c r="BD211" s="32">
        <f>IFERROR(__xludf.DUMMYFUNCTION("""COMPUTED_VALUE"""),0.0)</f>
        <v>0</v>
      </c>
      <c r="BE211" s="32">
        <f>IFERROR(__xludf.DUMMYFUNCTION("""COMPUTED_VALUE"""),10.0)</f>
        <v>10</v>
      </c>
      <c r="BF211" s="32"/>
      <c r="BG211" s="32" t="str">
        <f>IFERROR(__xludf.DUMMYFUNCTION("""COMPUTED_VALUE"""),"All")</f>
        <v>All</v>
      </c>
      <c r="BH211" s="32" t="str">
        <f>IFERROR(__xludf.DUMMYFUNCTION("""COMPUTED_VALUE"""),"Land of Spira")</f>
        <v>Land of Spira</v>
      </c>
      <c r="BI211" s="32"/>
      <c r="BJ211" s="32"/>
      <c r="BK211" s="32"/>
      <c r="BL211" s="32" t="b">
        <f>IFERROR(__xludf.DUMMYFUNCTION("""COMPUTED_VALUE"""),FALSE)</f>
        <v>0</v>
      </c>
      <c r="BM211" s="32"/>
      <c r="BN211" s="32"/>
      <c r="BO211" s="32"/>
      <c r="BP211" s="32"/>
      <c r="BQ211" s="32"/>
    </row>
    <row r="212">
      <c r="A212" s="32" t="str">
        <f>IFERROR(__xludf.DUMMYFUNCTION("""COMPUTED_VALUE"""),"Rowboat")</f>
        <v>Rowboat</v>
      </c>
      <c r="B212" s="32">
        <f>IFERROR(__xludf.DUMMYFUNCTION("""COMPUTED_VALUE"""),1.0)</f>
        <v>1</v>
      </c>
      <c r="C212" s="32"/>
      <c r="D212" s="33" t="str">
        <f>IFERROR(__xludf.DUMMYFUNCTION("""COMPUTED_VALUE"""),"Construct")</f>
        <v>Construct</v>
      </c>
      <c r="E212" s="32"/>
      <c r="F212" s="33">
        <f>IFERROR(__xludf.DUMMYFUNCTION("""COMPUTED_VALUE"""),1010.0)</f>
        <v>1010</v>
      </c>
      <c r="G212" s="32"/>
      <c r="H212" s="32">
        <f>IFERROR(__xludf.DUMMYFUNCTION("""COMPUTED_VALUE"""),10.0)</f>
        <v>10</v>
      </c>
      <c r="I212" s="32">
        <f>IFERROR(__xludf.DUMMYFUNCTION("""COMPUTED_VALUE"""),0.0)</f>
        <v>0</v>
      </c>
      <c r="J212" s="32">
        <f>IFERROR(__xludf.DUMMYFUNCTION("""COMPUTED_VALUE"""),0.0)</f>
        <v>0</v>
      </c>
      <c r="K212" s="32">
        <f>IFERROR(__xludf.DUMMYFUNCTION("""COMPUTED_VALUE"""),100.0)</f>
        <v>100</v>
      </c>
      <c r="L212" s="32">
        <f>IFERROR(__xludf.DUMMYFUNCTION("""COMPUTED_VALUE"""),100.0)</f>
        <v>100</v>
      </c>
      <c r="M212" s="32" t="str">
        <f>IFERROR(__xludf.DUMMYFUNCTION("""COMPUTED_VALUE"""),"")</f>
        <v/>
      </c>
      <c r="N212" s="32" t="str">
        <f>IFERROR(__xludf.DUMMYFUNCTION("""COMPUTED_VALUE"""),"")</f>
        <v/>
      </c>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f>IFERROR(__xludf.DUMMYFUNCTION("""COMPUTED_VALUE"""),0.0)</f>
        <v>0</v>
      </c>
      <c r="BE212" s="32">
        <f>IFERROR(__xludf.DUMMYFUNCTION("""COMPUTED_VALUE"""),10.0)</f>
        <v>10</v>
      </c>
      <c r="BF212" s="32" t="str">
        <f>IFERROR(__xludf.DUMMYFUNCTION("""COMPUTED_VALUE"""),"Deduct d5 days from your current journey.
Up to 2 party members can travel in this mount.")</f>
        <v>Deduct d5 days from your current journey.
Up to 2 party members can travel in this mount.</v>
      </c>
      <c r="BG212" s="32" t="str">
        <f>IFERROR(__xludf.DUMMYFUNCTION("""COMPUTED_VALUE"""),"Ocean")</f>
        <v>Ocean</v>
      </c>
      <c r="BH212" s="32" t="str">
        <f>IFERROR(__xludf.DUMMYFUNCTION("""COMPUTED_VALUE"""),"Land of Spira")</f>
        <v>Land of Spira</v>
      </c>
      <c r="BI212" s="32"/>
      <c r="BJ212" s="32"/>
      <c r="BK212" s="32">
        <f>IFERROR(__xludf.DUMMYFUNCTION("""COMPUTED_VALUE"""),0.0)</f>
        <v>0</v>
      </c>
      <c r="BL212" s="32" t="b">
        <f>IFERROR(__xludf.DUMMYFUNCTION("""COMPUTED_VALUE"""),TRUE)</f>
        <v>1</v>
      </c>
      <c r="BM212" s="33" t="str">
        <f>IFERROR(__xludf.DUMMYFUNCTION("""COMPUTED_VALUE"""),"Boat")</f>
        <v>Boat</v>
      </c>
      <c r="BN212" s="32"/>
      <c r="BO212" s="32"/>
      <c r="BP212" s="32"/>
      <c r="BQ212" s="32"/>
    </row>
    <row r="213">
      <c r="A213" s="32"/>
      <c r="B213" s="32">
        <f>IFERROR(__xludf.DUMMYFUNCTION("""COMPUTED_VALUE"""),1.0)</f>
        <v>1</v>
      </c>
      <c r="C213" s="32"/>
      <c r="D213" s="32" t="str">
        <f>IFERROR(__xludf.DUMMYFUNCTION("""COMPUTED_VALUE"""),"Draconic")</f>
        <v>Draconic</v>
      </c>
      <c r="E213" s="32">
        <f>IFERROR(__xludf.DUMMYFUNCTION("""COMPUTED_VALUE"""),1010.0)</f>
        <v>1010</v>
      </c>
      <c r="F213" s="33">
        <f>IFERROR(__xludf.DUMMYFUNCTION("""COMPUTED_VALUE"""),1010.0)</f>
        <v>1010</v>
      </c>
      <c r="G213" s="32">
        <f>IFERROR(__xludf.DUMMYFUNCTION("""COMPUTED_VALUE"""),1010.0)</f>
        <v>1010</v>
      </c>
      <c r="H213" s="32">
        <f>IFERROR(__xludf.DUMMYFUNCTION("""COMPUTED_VALUE"""),10.0)</f>
        <v>10</v>
      </c>
      <c r="I213" s="32">
        <f>IFERROR(__xludf.DUMMYFUNCTION("""COMPUTED_VALUE"""),0.0)</f>
        <v>0</v>
      </c>
      <c r="J213" s="32">
        <f>IFERROR(__xludf.DUMMYFUNCTION("""COMPUTED_VALUE"""),0.0)</f>
        <v>0</v>
      </c>
      <c r="K213" s="32">
        <f>IFERROR(__xludf.DUMMYFUNCTION("""COMPUTED_VALUE"""),100.0)</f>
        <v>100</v>
      </c>
      <c r="L213" s="32">
        <f>IFERROR(__xludf.DUMMYFUNCTION("""COMPUTED_VALUE"""),100.0)</f>
        <v>100</v>
      </c>
      <c r="M213" s="32" t="str">
        <f>IFERROR(__xludf.DUMMYFUNCTION("""COMPUTED_VALUE"""),"#N/A")</f>
        <v>#N/A</v>
      </c>
      <c r="N213" s="32" t="str">
        <f>IFERROR(__xludf.DUMMYFUNCTION("""COMPUTED_VALUE"""),"#N/A")</f>
        <v>#N/A</v>
      </c>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f>IFERROR(__xludf.DUMMYFUNCTION("""COMPUTED_VALUE"""),0.0)</f>
        <v>0</v>
      </c>
      <c r="BE213" s="32">
        <f>IFERROR(__xludf.DUMMYFUNCTION("""COMPUTED_VALUE"""),10.0)</f>
        <v>10</v>
      </c>
      <c r="BF213" s="32"/>
      <c r="BG213" s="32"/>
      <c r="BH213" s="32"/>
      <c r="BI213" s="32"/>
      <c r="BJ213" s="32"/>
      <c r="BK213" s="32"/>
      <c r="BL213" s="32" t="b">
        <f>IFERROR(__xludf.DUMMYFUNCTION("""COMPUTED_VALUE"""),FALSE)</f>
        <v>0</v>
      </c>
      <c r="BM213" s="32"/>
      <c r="BN213" s="32"/>
      <c r="BO213" s="32"/>
      <c r="BP213" s="32"/>
      <c r="BQ213" s="32"/>
    </row>
    <row r="214">
      <c r="A214" s="32" t="str">
        <f>IFERROR(__xludf.DUMMYFUNCTION("""COMPUTED_VALUE"""),"Saber Toothed Cat")</f>
        <v>Saber Toothed Cat</v>
      </c>
      <c r="B214" s="32">
        <f>IFERROR(__xludf.DUMMYFUNCTION("""COMPUTED_VALUE"""),1.0)</f>
        <v>1</v>
      </c>
      <c r="C214" s="32"/>
      <c r="D214" s="32" t="str">
        <f>IFERROR(__xludf.DUMMYFUNCTION("""COMPUTED_VALUE"""),"Beast")</f>
        <v>Beast</v>
      </c>
      <c r="E214" s="32">
        <f>IFERROR(__xludf.DUMMYFUNCTION("""COMPUTED_VALUE"""),1010.0)</f>
        <v>1010</v>
      </c>
      <c r="F214" s="33">
        <f>IFERROR(__xludf.DUMMYFUNCTION("""COMPUTED_VALUE"""),1010.0)</f>
        <v>1010</v>
      </c>
      <c r="G214" s="32">
        <f>IFERROR(__xludf.DUMMYFUNCTION("""COMPUTED_VALUE"""),1010.0)</f>
        <v>1010</v>
      </c>
      <c r="H214" s="32">
        <f>IFERROR(__xludf.DUMMYFUNCTION("""COMPUTED_VALUE"""),10.0)</f>
        <v>10</v>
      </c>
      <c r="I214" s="32">
        <f>IFERROR(__xludf.DUMMYFUNCTION("""COMPUTED_VALUE"""),0.0)</f>
        <v>0</v>
      </c>
      <c r="J214" s="32">
        <f>IFERROR(__xludf.DUMMYFUNCTION("""COMPUTED_VALUE"""),0.0)</f>
        <v>0</v>
      </c>
      <c r="K214" s="32">
        <f>IFERROR(__xludf.DUMMYFUNCTION("""COMPUTED_VALUE"""),100.0)</f>
        <v>100</v>
      </c>
      <c r="L214" s="32">
        <f>IFERROR(__xludf.DUMMYFUNCTION("""COMPUTED_VALUE"""),100.0)</f>
        <v>100</v>
      </c>
      <c r="M214" s="32" t="str">
        <f>IFERROR(__xludf.DUMMYFUNCTION("""COMPUTED_VALUE"""),"")</f>
        <v/>
      </c>
      <c r="N214" s="32" t="str">
        <f>IFERROR(__xludf.DUMMYFUNCTION("""COMPUTED_VALUE"""),"")</f>
        <v/>
      </c>
      <c r="O214" s="32"/>
      <c r="P214" s="32"/>
      <c r="Q214" s="32"/>
      <c r="R214" s="32"/>
      <c r="S214" s="32"/>
      <c r="T214" s="32"/>
      <c r="U214" s="32"/>
      <c r="V214" s="32"/>
      <c r="W214" s="32"/>
      <c r="X214" s="32"/>
      <c r="Y214" s="32"/>
      <c r="Z214" s="32"/>
      <c r="AA214" s="32"/>
      <c r="AB214" s="32"/>
      <c r="AC214" s="32"/>
      <c r="AD214" s="32"/>
      <c r="AE214" s="32"/>
      <c r="AF214" s="32"/>
      <c r="AG214" s="32"/>
      <c r="AH214" s="32"/>
      <c r="AI214" s="32"/>
      <c r="AJ214" s="32" t="str">
        <f>IFERROR(__xludf.DUMMYFUNCTION("""COMPUTED_VALUE"""),"Flaming Bite")</f>
        <v>Flaming Bite</v>
      </c>
      <c r="AK214" s="32" t="str">
        <f>IFERROR(__xludf.DUMMYFUNCTION("""COMPUTED_VALUE"""),"Volcanic Claws")</f>
        <v>Volcanic Claws</v>
      </c>
      <c r="AL214" s="32" t="str">
        <f>IFERROR(__xludf.DUMMYFUNCTION("""COMPUTED_VALUE"""),"Blazing Scratch")</f>
        <v>Blazing Scratch</v>
      </c>
      <c r="AM214" s="32" t="str">
        <f>IFERROR(__xludf.DUMMYFUNCTION("""COMPUTED_VALUE"""),"Berserk")</f>
        <v>Berserk</v>
      </c>
      <c r="AN214" s="32" t="str">
        <f>IFERROR(__xludf.DUMMYFUNCTION("""COMPUTED_VALUE"""),"Celestial Strike")</f>
        <v>Celestial Strike</v>
      </c>
      <c r="AO214" s="32" t="str">
        <f>IFERROR(__xludf.DUMMYFUNCTION("""COMPUTED_VALUE"""),"Reckless Chomp ")</f>
        <v>Reckless Chomp </v>
      </c>
      <c r="AP214" s="32" t="str">
        <f>IFERROR(__xludf.DUMMYFUNCTION("""COMPUTED_VALUE"""),"Tackle")</f>
        <v>Tackle</v>
      </c>
      <c r="AQ214" s="32"/>
      <c r="AR214" s="32"/>
      <c r="AS214" s="32"/>
      <c r="AT214" s="32"/>
      <c r="AU214" s="32"/>
      <c r="AV214" s="32"/>
      <c r="AW214" s="32"/>
      <c r="AX214" s="32"/>
      <c r="AY214" s="32"/>
      <c r="AZ214" s="32"/>
      <c r="BA214" s="32"/>
      <c r="BB214" s="32"/>
      <c r="BC214" s="32"/>
      <c r="BD214" s="32">
        <f>IFERROR(__xludf.DUMMYFUNCTION("""COMPUTED_VALUE"""),0.0)</f>
        <v>0</v>
      </c>
      <c r="BE214" s="32">
        <f>IFERROR(__xludf.DUMMYFUNCTION("""COMPUTED_VALUE"""),10.0)</f>
        <v>10</v>
      </c>
      <c r="BF214" s="32" t="str">
        <f>IFERROR(__xludf.DUMMYFUNCTION("""COMPUTED_VALUE"""),"A Dark Calling: +5 can be added to this mobs rolls.")</f>
        <v>A Dark Calling: +5 can be added to this mobs rolls.</v>
      </c>
      <c r="BG214" s="32" t="str">
        <f>IFERROR(__xludf.DUMMYFUNCTION("""COMPUTED_VALUE"""),"All")</f>
        <v>All</v>
      </c>
      <c r="BH214" s="32" t="str">
        <f>IFERROR(__xludf.DUMMYFUNCTION("""COMPUTED_VALUE"""),"Abstara")</f>
        <v>Abstara</v>
      </c>
      <c r="BI214" s="32"/>
      <c r="BJ214" s="32"/>
      <c r="BK214" s="32"/>
      <c r="BL214" s="32" t="b">
        <f>IFERROR(__xludf.DUMMYFUNCTION("""COMPUTED_VALUE"""),FALSE)</f>
        <v>0</v>
      </c>
      <c r="BM214" s="32"/>
      <c r="BN214" s="32"/>
      <c r="BO214" s="32"/>
      <c r="BP214" s="32"/>
      <c r="BQ214" s="32"/>
    </row>
    <row r="215">
      <c r="A215" s="32" t="str">
        <f>IFERROR(__xludf.DUMMYFUNCTION("""COMPUTED_VALUE"""),"Sand Worm")</f>
        <v>Sand Worm</v>
      </c>
      <c r="B215" s="32">
        <f>IFERROR(__xludf.DUMMYFUNCTION("""COMPUTED_VALUE"""),1.0)</f>
        <v>1</v>
      </c>
      <c r="C215" s="32"/>
      <c r="D215" s="33" t="str">
        <f>IFERROR(__xludf.DUMMYFUNCTION("""COMPUTED_VALUE"""),"Monstrosity")</f>
        <v>Monstrosity</v>
      </c>
      <c r="E215" s="33">
        <f>IFERROR(__xludf.DUMMYFUNCTION("""COMPUTED_VALUE"""),1010.0)</f>
        <v>1010</v>
      </c>
      <c r="F215" s="33">
        <f>IFERROR(__xludf.DUMMYFUNCTION("""COMPUTED_VALUE"""),1010.0)</f>
        <v>1010</v>
      </c>
      <c r="G215" s="33">
        <f>IFERROR(__xludf.DUMMYFUNCTION("""COMPUTED_VALUE"""),1010.0)</f>
        <v>1010</v>
      </c>
      <c r="H215" s="32">
        <f>IFERROR(__xludf.DUMMYFUNCTION("""COMPUTED_VALUE"""),10.0)</f>
        <v>10</v>
      </c>
      <c r="I215" s="32">
        <f>IFERROR(__xludf.DUMMYFUNCTION("""COMPUTED_VALUE"""),0.0)</f>
        <v>0</v>
      </c>
      <c r="J215" s="32">
        <f>IFERROR(__xludf.DUMMYFUNCTION("""COMPUTED_VALUE"""),0.0)</f>
        <v>0</v>
      </c>
      <c r="K215" s="32">
        <f>IFERROR(__xludf.DUMMYFUNCTION("""COMPUTED_VALUE"""),100.0)</f>
        <v>100</v>
      </c>
      <c r="L215" s="32">
        <f>IFERROR(__xludf.DUMMYFUNCTION("""COMPUTED_VALUE"""),100.0)</f>
        <v>100</v>
      </c>
      <c r="M215" s="32" t="str">
        <f>IFERROR(__xludf.DUMMYFUNCTION("""COMPUTED_VALUE"""),"Fire:Immune, Water:Immune, ")</f>
        <v>Fire:Immune, Water:Immune, </v>
      </c>
      <c r="N215" s="32" t="str">
        <f>IFERROR(__xludf.DUMMYFUNCTION("""COMPUTED_VALUE"""),"Storm:100, ")</f>
        <v>Storm:100, </v>
      </c>
      <c r="O215" s="32"/>
      <c r="P215" s="32"/>
      <c r="Q215" s="32"/>
      <c r="R215" s="32"/>
      <c r="S215" s="32"/>
      <c r="T215" s="32"/>
      <c r="U215" s="32"/>
      <c r="V215" s="32"/>
      <c r="W215" s="32"/>
      <c r="X215" s="32"/>
      <c r="Y215" s="32"/>
      <c r="Z215" s="32"/>
      <c r="AA215" s="32"/>
      <c r="AB215" s="32"/>
      <c r="AC215" s="32"/>
      <c r="AD215" s="32"/>
      <c r="AE215" s="32"/>
      <c r="AF215" s="32"/>
      <c r="AG215" s="32"/>
      <c r="AH215" s="32"/>
      <c r="AI215" s="32"/>
      <c r="AJ215" s="32" t="str">
        <f>IFERROR(__xludf.DUMMYFUNCTION("""COMPUTED_VALUE"""),"Absorb Enemy ")</f>
        <v>Absorb Enemy </v>
      </c>
      <c r="AK215" s="32" t="str">
        <f>IFERROR(__xludf.DUMMYFUNCTION("""COMPUTED_VALUE"""),"Rock Shot")</f>
        <v>Rock Shot</v>
      </c>
      <c r="AL215" s="32" t="str">
        <f>IFERROR(__xludf.DUMMYFUNCTION("""COMPUTED_VALUE"""),"Sand Hole")</f>
        <v>Sand Hole</v>
      </c>
      <c r="AM215" s="32" t="str">
        <f>IFERROR(__xludf.DUMMYFUNCTION("""COMPUTED_VALUE"""),"Quicksand")</f>
        <v>Quicksand</v>
      </c>
      <c r="AN215" s="32" t="str">
        <f>IFERROR(__xludf.DUMMYFUNCTION("""COMPUTED_VALUE"""),"Earthquake")</f>
        <v>Earthquake</v>
      </c>
      <c r="AO215" s="32" t="str">
        <f>IFERROR(__xludf.DUMMYFUNCTION("""COMPUTED_VALUE"""),"Rock Cycle")</f>
        <v>Rock Cycle</v>
      </c>
      <c r="AP215" s="32" t="str">
        <f>IFERROR(__xludf.DUMMYFUNCTION("""COMPUTED_VALUE"""),"Taunt (Mob)")</f>
        <v>Taunt (Mob)</v>
      </c>
      <c r="AQ215" s="32"/>
      <c r="AR215" s="32"/>
      <c r="AS215" s="32"/>
      <c r="AT215" s="32"/>
      <c r="AU215" s="32"/>
      <c r="AV215" s="32"/>
      <c r="AW215" s="32"/>
      <c r="AX215" s="32"/>
      <c r="AY215" s="32"/>
      <c r="AZ215" s="32"/>
      <c r="BA215" s="32"/>
      <c r="BB215" s="32"/>
      <c r="BC215" s="32"/>
      <c r="BD215" s="32">
        <f>IFERROR(__xludf.DUMMYFUNCTION("""COMPUTED_VALUE"""),0.0)</f>
        <v>0</v>
      </c>
      <c r="BE215" s="32">
        <f>IFERROR(__xludf.DUMMYFUNCTION("""COMPUTED_VALUE"""),10.0)</f>
        <v>10</v>
      </c>
      <c r="BF215" s="32" t="str">
        <f>IFERROR(__xludf.DUMMYFUNCTION("""COMPUTED_VALUE"""),"Absorption: has a 50% to absorb an attack or spell affecting this creature.")</f>
        <v>Absorption: has a 50% to absorb an attack or spell affecting this creature.</v>
      </c>
      <c r="BG215" s="32" t="str">
        <f>IFERROR(__xludf.DUMMYFUNCTION("""COMPUTED_VALUE"""),"Desert")</f>
        <v>Desert</v>
      </c>
      <c r="BH215" s="32" t="str">
        <f>IFERROR(__xludf.DUMMYFUNCTION("""COMPUTED_VALUE"""),"Land of Spira")</f>
        <v>Land of Spira</v>
      </c>
      <c r="BI215" s="32"/>
      <c r="BJ215" s="32"/>
      <c r="BK215" s="32"/>
      <c r="BL215" s="32" t="b">
        <f>IFERROR(__xludf.DUMMYFUNCTION("""COMPUTED_VALUE"""),FALSE)</f>
        <v>0</v>
      </c>
      <c r="BM215" s="32"/>
      <c r="BN215" s="32"/>
      <c r="BO215" s="32"/>
      <c r="BP215" s="32"/>
      <c r="BQ215" s="32"/>
    </row>
    <row r="216">
      <c r="A216" s="32" t="str">
        <f>IFERROR(__xludf.DUMMYFUNCTION("""COMPUTED_VALUE"""),"Sandmite")</f>
        <v>Sandmite</v>
      </c>
      <c r="B216" s="32">
        <f>IFERROR(__xludf.DUMMYFUNCTION("""COMPUTED_VALUE"""),1.0)</f>
        <v>1</v>
      </c>
      <c r="C216" s="32"/>
      <c r="D216" s="33" t="str">
        <f>IFERROR(__xludf.DUMMYFUNCTION("""COMPUTED_VALUE"""),"Beast")</f>
        <v>Beast</v>
      </c>
      <c r="E216" s="33">
        <f>IFERROR(__xludf.DUMMYFUNCTION("""COMPUTED_VALUE"""),1010.0)</f>
        <v>1010</v>
      </c>
      <c r="F216" s="33">
        <f>IFERROR(__xludf.DUMMYFUNCTION("""COMPUTED_VALUE"""),1010.0)</f>
        <v>1010</v>
      </c>
      <c r="G216" s="33">
        <f>IFERROR(__xludf.DUMMYFUNCTION("""COMPUTED_VALUE"""),1010.0)</f>
        <v>1010</v>
      </c>
      <c r="H216" s="32">
        <f>IFERROR(__xludf.DUMMYFUNCTION("""COMPUTED_VALUE"""),10.0)</f>
        <v>10</v>
      </c>
      <c r="I216" s="32">
        <f>IFERROR(__xludf.DUMMYFUNCTION("""COMPUTED_VALUE"""),0.0)</f>
        <v>0</v>
      </c>
      <c r="J216" s="32">
        <f>IFERROR(__xludf.DUMMYFUNCTION("""COMPUTED_VALUE"""),0.0)</f>
        <v>0</v>
      </c>
      <c r="K216" s="32">
        <f>IFERROR(__xludf.DUMMYFUNCTION("""COMPUTED_VALUE"""),100.0)</f>
        <v>100</v>
      </c>
      <c r="L216" s="32">
        <f>IFERROR(__xludf.DUMMYFUNCTION("""COMPUTED_VALUE"""),100.0)</f>
        <v>100</v>
      </c>
      <c r="M216" s="32" t="str">
        <f>IFERROR(__xludf.DUMMYFUNCTION("""COMPUTED_VALUE"""),"Fire:100, ")</f>
        <v>Fire:100, </v>
      </c>
      <c r="N216" s="32" t="str">
        <f>IFERROR(__xludf.DUMMYFUNCTION("""COMPUTED_VALUE"""),"Water:100, ")</f>
        <v>Water:100, </v>
      </c>
      <c r="O216" s="32"/>
      <c r="P216" s="32"/>
      <c r="Q216" s="32"/>
      <c r="R216" s="32"/>
      <c r="S216" s="32"/>
      <c r="T216" s="32"/>
      <c r="U216" s="32"/>
      <c r="V216" s="32"/>
      <c r="W216" s="32"/>
      <c r="X216" s="32"/>
      <c r="Y216" s="32"/>
      <c r="Z216" s="32"/>
      <c r="AA216" s="32"/>
      <c r="AB216" s="32"/>
      <c r="AC216" s="32"/>
      <c r="AD216" s="32"/>
      <c r="AE216" s="32"/>
      <c r="AF216" s="32"/>
      <c r="AG216" s="32"/>
      <c r="AH216" s="32"/>
      <c r="AI216" s="32"/>
      <c r="AJ216" s="32" t="str">
        <f>IFERROR(__xludf.DUMMYFUNCTION("""COMPUTED_VALUE"""),"Bite")</f>
        <v>Bite</v>
      </c>
      <c r="AK216" s="32" t="str">
        <f>IFERROR(__xludf.DUMMYFUNCTION("""COMPUTED_VALUE"""),"Sandstorm")</f>
        <v>Sandstorm</v>
      </c>
      <c r="AL216" s="32" t="str">
        <f>IFERROR(__xludf.DUMMYFUNCTION("""COMPUTED_VALUE"""),"[Element] Strike")</f>
        <v>[Element] Strike</v>
      </c>
      <c r="AM216" s="32" t="str">
        <f>IFERROR(__xludf.DUMMYFUNCTION("""COMPUTED_VALUE"""),"Berserk")</f>
        <v>Berserk</v>
      </c>
      <c r="AN216" s="32" t="str">
        <f>IFERROR(__xludf.DUMMYFUNCTION("""COMPUTED_VALUE"""),"Go For The Vitals")</f>
        <v>Go For The Vitals</v>
      </c>
      <c r="AO216" s="32"/>
      <c r="AP216" s="32"/>
      <c r="AQ216" s="32"/>
      <c r="AR216" s="32"/>
      <c r="AS216" s="32"/>
      <c r="AT216" s="32"/>
      <c r="AU216" s="32"/>
      <c r="AV216" s="32"/>
      <c r="AW216" s="32"/>
      <c r="AX216" s="32"/>
      <c r="AY216" s="32"/>
      <c r="AZ216" s="32"/>
      <c r="BA216" s="32"/>
      <c r="BB216" s="32"/>
      <c r="BC216" s="32"/>
      <c r="BD216" s="32">
        <f>IFERROR(__xludf.DUMMYFUNCTION("""COMPUTED_VALUE"""),0.0)</f>
        <v>0</v>
      </c>
      <c r="BE216" s="32">
        <f>IFERROR(__xludf.DUMMYFUNCTION("""COMPUTED_VALUE"""),10.0)</f>
        <v>10</v>
      </c>
      <c r="BF216" s="32"/>
      <c r="BG216" s="32" t="str">
        <f>IFERROR(__xludf.DUMMYFUNCTION("""COMPUTED_VALUE"""),"Desert")</f>
        <v>Desert</v>
      </c>
      <c r="BH216" s="32" t="str">
        <f>IFERROR(__xludf.DUMMYFUNCTION("""COMPUTED_VALUE"""),"Land of Spira")</f>
        <v>Land of Spira</v>
      </c>
      <c r="BI216" s="32"/>
      <c r="BJ216" s="32"/>
      <c r="BK216" s="32"/>
      <c r="BL216" s="32" t="b">
        <f>IFERROR(__xludf.DUMMYFUNCTION("""COMPUTED_VALUE"""),FALSE)</f>
        <v>0</v>
      </c>
      <c r="BM216" s="32"/>
      <c r="BN216" s="32"/>
      <c r="BO216" s="32"/>
      <c r="BP216" s="32"/>
      <c r="BQ216" s="32"/>
    </row>
    <row r="217">
      <c r="A217" s="32"/>
      <c r="B217" s="32">
        <f>IFERROR(__xludf.DUMMYFUNCTION("""COMPUTED_VALUE"""),1.0)</f>
        <v>1</v>
      </c>
      <c r="C217" s="32"/>
      <c r="D217" s="32" t="str">
        <f>IFERROR(__xludf.DUMMYFUNCTION("""COMPUTED_VALUE"""),"Draconic")</f>
        <v>Draconic</v>
      </c>
      <c r="E217" s="32">
        <f>IFERROR(__xludf.DUMMYFUNCTION("""COMPUTED_VALUE"""),1010.0)</f>
        <v>1010</v>
      </c>
      <c r="F217" s="33">
        <f>IFERROR(__xludf.DUMMYFUNCTION("""COMPUTED_VALUE"""),1010.0)</f>
        <v>1010</v>
      </c>
      <c r="G217" s="32">
        <f>IFERROR(__xludf.DUMMYFUNCTION("""COMPUTED_VALUE"""),1010.0)</f>
        <v>1010</v>
      </c>
      <c r="H217" s="32">
        <f>IFERROR(__xludf.DUMMYFUNCTION("""COMPUTED_VALUE"""),10.0)</f>
        <v>10</v>
      </c>
      <c r="I217" s="32">
        <f>IFERROR(__xludf.DUMMYFUNCTION("""COMPUTED_VALUE"""),0.0)</f>
        <v>0</v>
      </c>
      <c r="J217" s="32">
        <f>IFERROR(__xludf.DUMMYFUNCTION("""COMPUTED_VALUE"""),0.0)</f>
        <v>0</v>
      </c>
      <c r="K217" s="32">
        <f>IFERROR(__xludf.DUMMYFUNCTION("""COMPUTED_VALUE"""),100.0)</f>
        <v>100</v>
      </c>
      <c r="L217" s="32">
        <f>IFERROR(__xludf.DUMMYFUNCTION("""COMPUTED_VALUE"""),100.0)</f>
        <v>100</v>
      </c>
      <c r="M217" s="32" t="str">
        <f>IFERROR(__xludf.DUMMYFUNCTION("""COMPUTED_VALUE"""),"#N/A")</f>
        <v>#N/A</v>
      </c>
      <c r="N217" s="32" t="str">
        <f>IFERROR(__xludf.DUMMYFUNCTION("""COMPUTED_VALUE"""),"#N/A")</f>
        <v>#N/A</v>
      </c>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f>IFERROR(__xludf.DUMMYFUNCTION("""COMPUTED_VALUE"""),0.0)</f>
        <v>0</v>
      </c>
      <c r="BE217" s="32">
        <f>IFERROR(__xludf.DUMMYFUNCTION("""COMPUTED_VALUE"""),10.0)</f>
        <v>10</v>
      </c>
      <c r="BF217" s="32"/>
      <c r="BG217" s="32"/>
      <c r="BH217" s="32"/>
      <c r="BI217" s="32"/>
      <c r="BJ217" s="32"/>
      <c r="BK217" s="32"/>
      <c r="BL217" s="32" t="b">
        <f>IFERROR(__xludf.DUMMYFUNCTION("""COMPUTED_VALUE"""),FALSE)</f>
        <v>0</v>
      </c>
      <c r="BM217" s="32"/>
      <c r="BN217" s="32"/>
      <c r="BO217" s="32"/>
      <c r="BP217" s="32"/>
      <c r="BQ217" s="32"/>
    </row>
    <row r="218">
      <c r="A218" s="32" t="str">
        <f>IFERROR(__xludf.DUMMYFUNCTION("""COMPUTED_VALUE"""),"Sea Serpent (WD)")</f>
        <v>Sea Serpent (WD)</v>
      </c>
      <c r="B218" s="32">
        <f>IFERROR(__xludf.DUMMYFUNCTION("""COMPUTED_VALUE"""),1.0)</f>
        <v>1</v>
      </c>
      <c r="C218" s="32"/>
      <c r="D218" s="33" t="str">
        <f>IFERROR(__xludf.DUMMYFUNCTION("""COMPUTED_VALUE"""),"Beast")</f>
        <v>Beast</v>
      </c>
      <c r="E218" s="33">
        <f>IFERROR(__xludf.DUMMYFUNCTION("""COMPUTED_VALUE"""),1010.0)</f>
        <v>1010</v>
      </c>
      <c r="F218" s="33">
        <f>IFERROR(__xludf.DUMMYFUNCTION("""COMPUTED_VALUE"""),1010.0)</f>
        <v>1010</v>
      </c>
      <c r="G218" s="33">
        <f>IFERROR(__xludf.DUMMYFUNCTION("""COMPUTED_VALUE"""),1010.0)</f>
        <v>1010</v>
      </c>
      <c r="H218" s="32">
        <f>IFERROR(__xludf.DUMMYFUNCTION("""COMPUTED_VALUE"""),10.0)</f>
        <v>10</v>
      </c>
      <c r="I218" s="32">
        <f>IFERROR(__xludf.DUMMYFUNCTION("""COMPUTED_VALUE"""),0.0)</f>
        <v>0</v>
      </c>
      <c r="J218" s="32">
        <f>IFERROR(__xludf.DUMMYFUNCTION("""COMPUTED_VALUE"""),0.0)</f>
        <v>0</v>
      </c>
      <c r="K218" s="32">
        <f>IFERROR(__xludf.DUMMYFUNCTION("""COMPUTED_VALUE"""),100.0)</f>
        <v>100</v>
      </c>
      <c r="L218" s="32">
        <f>IFERROR(__xludf.DUMMYFUNCTION("""COMPUTED_VALUE"""),100.0)</f>
        <v>100</v>
      </c>
      <c r="M218" s="32" t="str">
        <f>IFERROR(__xludf.DUMMYFUNCTION("""COMPUTED_VALUE"""),"Fire:Immune, Water:Immune, Instant Death:Immune, ")</f>
        <v>Fire:Immune, Water:Immune, Instant Death:Immune, </v>
      </c>
      <c r="N218" s="32" t="str">
        <f>IFERROR(__xludf.DUMMYFUNCTION("""COMPUTED_VALUE"""),"Nature:100, ")</f>
        <v>Nature:100, </v>
      </c>
      <c r="O218" s="32"/>
      <c r="P218" s="32"/>
      <c r="Q218" s="32"/>
      <c r="R218" s="32"/>
      <c r="S218" s="32"/>
      <c r="T218" s="32"/>
      <c r="U218" s="32"/>
      <c r="V218" s="32"/>
      <c r="W218" s="32"/>
      <c r="X218" s="32"/>
      <c r="Y218" s="32"/>
      <c r="Z218" s="32"/>
      <c r="AA218" s="32"/>
      <c r="AB218" s="32"/>
      <c r="AC218" s="32"/>
      <c r="AD218" s="32"/>
      <c r="AE218" s="32"/>
      <c r="AF218" s="32"/>
      <c r="AG218" s="32"/>
      <c r="AH218" s="32"/>
      <c r="AI218" s="32"/>
      <c r="AJ218" s="32" t="str">
        <f>IFERROR(__xludf.DUMMYFUNCTION("""COMPUTED_VALUE"""),"Water Beam")</f>
        <v>Water Beam</v>
      </c>
      <c r="AK218" s="32" t="str">
        <f>IFERROR(__xludf.DUMMYFUNCTION("""COMPUTED_VALUE"""),"Celestial blast")</f>
        <v>Celestial blast</v>
      </c>
      <c r="AL218" s="32" t="str">
        <f>IFERROR(__xludf.DUMMYFUNCTION("""COMPUTED_VALUE"""),"Crashing Waves")</f>
        <v>Crashing Waves</v>
      </c>
      <c r="AM218" s="32" t="str">
        <f>IFERROR(__xludf.DUMMYFUNCTION("""COMPUTED_VALUE"""),"Mass Destruction")</f>
        <v>Mass Destruction</v>
      </c>
      <c r="AN218" s="32" t="str">
        <f>IFERROR(__xludf.DUMMYFUNCTION("""COMPUTED_VALUE"""),"Torrential Downpour")</f>
        <v>Torrential Downpour</v>
      </c>
      <c r="AO218" s="32" t="str">
        <f>IFERROR(__xludf.DUMMYFUNCTION("""COMPUTED_VALUE"""),"Berserk")</f>
        <v>Berserk</v>
      </c>
      <c r="AP218" s="32"/>
      <c r="AQ218" s="32"/>
      <c r="AR218" s="32"/>
      <c r="AS218" s="32"/>
      <c r="AT218" s="32"/>
      <c r="AU218" s="32"/>
      <c r="AV218" s="32"/>
      <c r="AW218" s="32"/>
      <c r="AX218" s="32"/>
      <c r="AY218" s="32"/>
      <c r="AZ218" s="32"/>
      <c r="BA218" s="32"/>
      <c r="BB218" s="32"/>
      <c r="BC218" s="32"/>
      <c r="BD218" s="32">
        <f>IFERROR(__xludf.DUMMYFUNCTION("""COMPUTED_VALUE"""),0.0)</f>
        <v>0</v>
      </c>
      <c r="BE218" s="32">
        <f>IFERROR(__xludf.DUMMYFUNCTION("""COMPUTED_VALUE"""),10.0)</f>
        <v>10</v>
      </c>
      <c r="BF218" s="32"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32" t="str">
        <f>IFERROR(__xludf.DUMMYFUNCTION("""COMPUTED_VALUE"""),"Ocean")</f>
        <v>Ocean</v>
      </c>
      <c r="BH218" s="32" t="str">
        <f>IFERROR(__xludf.DUMMYFUNCTION("""COMPUTED_VALUE"""),"Land Of Spira")</f>
        <v>Land Of Spira</v>
      </c>
      <c r="BI218" s="32"/>
      <c r="BJ218" s="32"/>
      <c r="BK218" s="32"/>
      <c r="BL218" s="32" t="b">
        <f>IFERROR(__xludf.DUMMYFUNCTION("""COMPUTED_VALUE"""),FALSE)</f>
        <v>0</v>
      </c>
      <c r="BM218" s="32"/>
      <c r="BN218" s="32"/>
      <c r="BO218" s="32"/>
      <c r="BP218" s="32"/>
      <c r="BQ218" s="32"/>
    </row>
    <row r="219">
      <c r="A219" s="32" t="str">
        <f>IFERROR(__xludf.DUMMYFUNCTION("""COMPUTED_VALUE"""),"Sea Serpent (WD) (Enhanced)")</f>
        <v>Sea Serpent (WD) (Enhanced)</v>
      </c>
      <c r="B219" s="32">
        <f>IFERROR(__xludf.DUMMYFUNCTION("""COMPUTED_VALUE"""),1.0)</f>
        <v>1</v>
      </c>
      <c r="C219" s="32"/>
      <c r="D219" s="33" t="str">
        <f>IFERROR(__xludf.DUMMYFUNCTION("""COMPUTED_VALUE"""),"Beast")</f>
        <v>Beast</v>
      </c>
      <c r="E219" s="33">
        <f>IFERROR(__xludf.DUMMYFUNCTION("""COMPUTED_VALUE"""),1010.0)</f>
        <v>1010</v>
      </c>
      <c r="F219" s="33">
        <f>IFERROR(__xludf.DUMMYFUNCTION("""COMPUTED_VALUE"""),1010.0)</f>
        <v>1010</v>
      </c>
      <c r="G219" s="33">
        <f>IFERROR(__xludf.DUMMYFUNCTION("""COMPUTED_VALUE"""),1010.0)</f>
        <v>1010</v>
      </c>
      <c r="H219" s="32">
        <f>IFERROR(__xludf.DUMMYFUNCTION("""COMPUTED_VALUE"""),10.0)</f>
        <v>10</v>
      </c>
      <c r="I219" s="32">
        <f>IFERROR(__xludf.DUMMYFUNCTION("""COMPUTED_VALUE"""),0.0)</f>
        <v>0</v>
      </c>
      <c r="J219" s="32">
        <f>IFERROR(__xludf.DUMMYFUNCTION("""COMPUTED_VALUE"""),0.0)</f>
        <v>0</v>
      </c>
      <c r="K219" s="32">
        <f>IFERROR(__xludf.DUMMYFUNCTION("""COMPUTED_VALUE"""),100.0)</f>
        <v>100</v>
      </c>
      <c r="L219" s="32">
        <f>IFERROR(__xludf.DUMMYFUNCTION("""COMPUTED_VALUE"""),100.0)</f>
        <v>100</v>
      </c>
      <c r="M219" s="32" t="str">
        <f>IFERROR(__xludf.DUMMYFUNCTION("""COMPUTED_VALUE"""),"Fire:Immune, Water:Immune, Instant Death:Immune, ")</f>
        <v>Fire:Immune, Water:Immune, Instant Death:Immune, </v>
      </c>
      <c r="N219" s="32" t="str">
        <f>IFERROR(__xludf.DUMMYFUNCTION("""COMPUTED_VALUE"""),"Nature:100, ")</f>
        <v>Nature:100, </v>
      </c>
      <c r="O219" s="32"/>
      <c r="P219" s="32"/>
      <c r="Q219" s="32"/>
      <c r="R219" s="32"/>
      <c r="S219" s="32"/>
      <c r="T219" s="32"/>
      <c r="U219" s="32"/>
      <c r="V219" s="32"/>
      <c r="W219" s="32"/>
      <c r="X219" s="32"/>
      <c r="Y219" s="32"/>
      <c r="Z219" s="32"/>
      <c r="AA219" s="32"/>
      <c r="AB219" s="32"/>
      <c r="AC219" s="32"/>
      <c r="AD219" s="32"/>
      <c r="AE219" s="32"/>
      <c r="AF219" s="32"/>
      <c r="AG219" s="32"/>
      <c r="AH219" s="32"/>
      <c r="AI219" s="32"/>
      <c r="AJ219" s="32" t="str">
        <f>IFERROR(__xludf.DUMMYFUNCTION("""COMPUTED_VALUE"""),"Water Beam")</f>
        <v>Water Beam</v>
      </c>
      <c r="AK219" s="32" t="str">
        <f>IFERROR(__xludf.DUMMYFUNCTION("""COMPUTED_VALUE"""),"Celestial blast")</f>
        <v>Celestial blast</v>
      </c>
      <c r="AL219" s="32" t="str">
        <f>IFERROR(__xludf.DUMMYFUNCTION("""COMPUTED_VALUE"""),"Crashing Waves (Enhanced)")</f>
        <v>Crashing Waves (Enhanced)</v>
      </c>
      <c r="AM219" s="32" t="str">
        <f>IFERROR(__xludf.DUMMYFUNCTION("""COMPUTED_VALUE"""),"Mass Destruction")</f>
        <v>Mass Destruction</v>
      </c>
      <c r="AN219" s="32" t="str">
        <f>IFERROR(__xludf.DUMMYFUNCTION("""COMPUTED_VALUE"""),"Torrential Downpour")</f>
        <v>Torrential Downpour</v>
      </c>
      <c r="AO219" s="32" t="str">
        <f>IFERROR(__xludf.DUMMYFUNCTION("""COMPUTED_VALUE"""),"Berserk")</f>
        <v>Berserk</v>
      </c>
      <c r="AP219" s="32"/>
      <c r="AQ219" s="32"/>
      <c r="AR219" s="32"/>
      <c r="AS219" s="32"/>
      <c r="AT219" s="32"/>
      <c r="AU219" s="32"/>
      <c r="AV219" s="32"/>
      <c r="AW219" s="32"/>
      <c r="AX219" s="32"/>
      <c r="AY219" s="32"/>
      <c r="AZ219" s="32"/>
      <c r="BA219" s="32"/>
      <c r="BB219" s="32"/>
      <c r="BC219" s="32"/>
      <c r="BD219" s="32">
        <f>IFERROR(__xludf.DUMMYFUNCTION("""COMPUTED_VALUE"""),0.0)</f>
        <v>0</v>
      </c>
      <c r="BE219" s="32">
        <f>IFERROR(__xludf.DUMMYFUNCTION("""COMPUTED_VALUE"""),10.0)</f>
        <v>10</v>
      </c>
      <c r="BF219" s="32"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32" t="str">
        <f>IFERROR(__xludf.DUMMYFUNCTION("""COMPUTED_VALUE"""),"Ocean")</f>
        <v>Ocean</v>
      </c>
      <c r="BH219" s="32" t="str">
        <f>IFERROR(__xludf.DUMMYFUNCTION("""COMPUTED_VALUE"""),"Land Of Spira")</f>
        <v>Land Of Spira</v>
      </c>
      <c r="BI219" s="32"/>
      <c r="BJ219" s="32"/>
      <c r="BK219" s="32"/>
      <c r="BL219" s="32" t="b">
        <f>IFERROR(__xludf.DUMMYFUNCTION("""COMPUTED_VALUE"""),FALSE)</f>
        <v>0</v>
      </c>
      <c r="BM219" s="32"/>
      <c r="BN219" s="32"/>
      <c r="BO219" s="32"/>
      <c r="BP219" s="32"/>
      <c r="BQ219" s="32"/>
    </row>
    <row r="220">
      <c r="A220" s="32" t="str">
        <f>IFERROR(__xludf.DUMMYFUNCTION("""COMPUTED_VALUE"""),"Sea Worm (WD)")</f>
        <v>Sea Worm (WD)</v>
      </c>
      <c r="B220" s="32">
        <f>IFERROR(__xludf.DUMMYFUNCTION("""COMPUTED_VALUE"""),1.0)</f>
        <v>1</v>
      </c>
      <c r="C220" s="32"/>
      <c r="D220" s="33" t="str">
        <f>IFERROR(__xludf.DUMMYFUNCTION("""COMPUTED_VALUE"""),"Monstrosity")</f>
        <v>Monstrosity</v>
      </c>
      <c r="E220" s="33">
        <f>IFERROR(__xludf.DUMMYFUNCTION("""COMPUTED_VALUE"""),1010.0)</f>
        <v>1010</v>
      </c>
      <c r="F220" s="33">
        <f>IFERROR(__xludf.DUMMYFUNCTION("""COMPUTED_VALUE"""),1010.0)</f>
        <v>1010</v>
      </c>
      <c r="G220" s="33">
        <f>IFERROR(__xludf.DUMMYFUNCTION("""COMPUTED_VALUE"""),1010.0)</f>
        <v>1010</v>
      </c>
      <c r="H220" s="32">
        <f>IFERROR(__xludf.DUMMYFUNCTION("""COMPUTED_VALUE"""),10.0)</f>
        <v>10</v>
      </c>
      <c r="I220" s="32">
        <f>IFERROR(__xludf.DUMMYFUNCTION("""COMPUTED_VALUE"""),0.0)</f>
        <v>0</v>
      </c>
      <c r="J220" s="32">
        <f>IFERROR(__xludf.DUMMYFUNCTION("""COMPUTED_VALUE"""),0.0)</f>
        <v>0</v>
      </c>
      <c r="K220" s="32">
        <f>IFERROR(__xludf.DUMMYFUNCTION("""COMPUTED_VALUE"""),100.0)</f>
        <v>100</v>
      </c>
      <c r="L220" s="32">
        <f>IFERROR(__xludf.DUMMYFUNCTION("""COMPUTED_VALUE"""),100.0)</f>
        <v>100</v>
      </c>
      <c r="M220" s="32" t="str">
        <f>IFERROR(__xludf.DUMMYFUNCTION("""COMPUTED_VALUE"""),"Fire:Immune, Water:Immune, ")</f>
        <v>Fire:Immune, Water:Immune, </v>
      </c>
      <c r="N220" s="32" t="str">
        <f>IFERROR(__xludf.DUMMYFUNCTION("""COMPUTED_VALUE"""),"Nature:100, ")</f>
        <v>Nature:100, </v>
      </c>
      <c r="O220" s="32"/>
      <c r="P220" s="32"/>
      <c r="Q220" s="32"/>
      <c r="R220" s="32"/>
      <c r="S220" s="32"/>
      <c r="T220" s="32"/>
      <c r="U220" s="32"/>
      <c r="V220" s="32"/>
      <c r="W220" s="32"/>
      <c r="X220" s="32"/>
      <c r="Y220" s="32"/>
      <c r="Z220" s="32"/>
      <c r="AA220" s="32"/>
      <c r="AB220" s="32"/>
      <c r="AC220" s="32"/>
      <c r="AD220" s="32"/>
      <c r="AE220" s="32"/>
      <c r="AF220" s="32"/>
      <c r="AG220" s="32"/>
      <c r="AH220" s="32"/>
      <c r="AI220" s="32"/>
      <c r="AJ220" s="32" t="str">
        <f>IFERROR(__xludf.DUMMYFUNCTION("""COMPUTED_VALUE"""),"Absorb Enemy ")</f>
        <v>Absorb Enemy </v>
      </c>
      <c r="AK220" s="32" t="str">
        <f>IFERROR(__xludf.DUMMYFUNCTION("""COMPUTED_VALUE"""),"Crashing Waves")</f>
        <v>Crashing Waves</v>
      </c>
      <c r="AL220" s="32" t="str">
        <f>IFERROR(__xludf.DUMMYFUNCTION("""COMPUTED_VALUE"""),"Torrential Downpour")</f>
        <v>Torrential Downpour</v>
      </c>
      <c r="AM220" s="32" t="str">
        <f>IFERROR(__xludf.DUMMYFUNCTION("""COMPUTED_VALUE"""),"Taunt (Mob)")</f>
        <v>Taunt (Mob)</v>
      </c>
      <c r="AN220" s="32"/>
      <c r="AO220" s="32"/>
      <c r="AP220" s="32"/>
      <c r="AQ220" s="32"/>
      <c r="AR220" s="32"/>
      <c r="AS220" s="32"/>
      <c r="AT220" s="32"/>
      <c r="AU220" s="32"/>
      <c r="AV220" s="32"/>
      <c r="AW220" s="32"/>
      <c r="AX220" s="32"/>
      <c r="AY220" s="32"/>
      <c r="AZ220" s="32"/>
      <c r="BA220" s="32"/>
      <c r="BB220" s="32"/>
      <c r="BC220" s="32"/>
      <c r="BD220" s="32">
        <f>IFERROR(__xludf.DUMMYFUNCTION("""COMPUTED_VALUE"""),0.0)</f>
        <v>0</v>
      </c>
      <c r="BE220" s="32">
        <f>IFERROR(__xludf.DUMMYFUNCTION("""COMPUTED_VALUE"""),15.0)</f>
        <v>15</v>
      </c>
      <c r="BF220" s="32" t="str">
        <f>IFERROR(__xludf.DUMMYFUNCTION("""COMPUTED_VALUE"""),"Absorption: has a 50% to absorb an attack or spell affecting this creature.
+5 can be added to this mobs rolls.")</f>
        <v>Absorption: has a 50% to absorb an attack or spell affecting this creature.
+5 can be added to this mobs rolls.</v>
      </c>
      <c r="BG220" s="32" t="str">
        <f>IFERROR(__xludf.DUMMYFUNCTION("""COMPUTED_VALUE"""),"Ocean")</f>
        <v>Ocean</v>
      </c>
      <c r="BH220" s="32" t="str">
        <f>IFERROR(__xludf.DUMMYFUNCTION("""COMPUTED_VALUE"""),"Land Of Spira")</f>
        <v>Land Of Spira</v>
      </c>
      <c r="BI220" s="32"/>
      <c r="BJ220" s="32"/>
      <c r="BK220" s="32"/>
      <c r="BL220" s="32" t="b">
        <f>IFERROR(__xludf.DUMMYFUNCTION("""COMPUTED_VALUE"""),FALSE)</f>
        <v>0</v>
      </c>
      <c r="BM220" s="32"/>
      <c r="BN220" s="32"/>
      <c r="BO220" s="32"/>
      <c r="BP220" s="32"/>
      <c r="BQ220" s="32"/>
    </row>
    <row r="221">
      <c r="A221" s="32" t="str">
        <f>IFERROR(__xludf.DUMMYFUNCTION("""COMPUTED_VALUE"""),"Sea Worm (WD) (Enhanced)")</f>
        <v>Sea Worm (WD) (Enhanced)</v>
      </c>
      <c r="B221" s="32">
        <f>IFERROR(__xludf.DUMMYFUNCTION("""COMPUTED_VALUE"""),1.0)</f>
        <v>1</v>
      </c>
      <c r="C221" s="32"/>
      <c r="D221" s="33" t="str">
        <f>IFERROR(__xludf.DUMMYFUNCTION("""COMPUTED_VALUE"""),"Monstrosity")</f>
        <v>Monstrosity</v>
      </c>
      <c r="E221" s="33">
        <f>IFERROR(__xludf.DUMMYFUNCTION("""COMPUTED_VALUE"""),1010.0)</f>
        <v>1010</v>
      </c>
      <c r="F221" s="33">
        <f>IFERROR(__xludf.DUMMYFUNCTION("""COMPUTED_VALUE"""),1010.0)</f>
        <v>1010</v>
      </c>
      <c r="G221" s="33">
        <f>IFERROR(__xludf.DUMMYFUNCTION("""COMPUTED_VALUE"""),1010.0)</f>
        <v>1010</v>
      </c>
      <c r="H221" s="32">
        <f>IFERROR(__xludf.DUMMYFUNCTION("""COMPUTED_VALUE"""),10.0)</f>
        <v>10</v>
      </c>
      <c r="I221" s="32">
        <f>IFERROR(__xludf.DUMMYFUNCTION("""COMPUTED_VALUE"""),0.0)</f>
        <v>0</v>
      </c>
      <c r="J221" s="32">
        <f>IFERROR(__xludf.DUMMYFUNCTION("""COMPUTED_VALUE"""),0.0)</f>
        <v>0</v>
      </c>
      <c r="K221" s="32">
        <f>IFERROR(__xludf.DUMMYFUNCTION("""COMPUTED_VALUE"""),100.0)</f>
        <v>100</v>
      </c>
      <c r="L221" s="32">
        <f>IFERROR(__xludf.DUMMYFUNCTION("""COMPUTED_VALUE"""),100.0)</f>
        <v>100</v>
      </c>
      <c r="M221" s="32" t="str">
        <f>IFERROR(__xludf.DUMMYFUNCTION("""COMPUTED_VALUE"""),"Fire:Immune, Water:Immune, ")</f>
        <v>Fire:Immune, Water:Immune, </v>
      </c>
      <c r="N221" s="32" t="str">
        <f>IFERROR(__xludf.DUMMYFUNCTION("""COMPUTED_VALUE"""),"Nature:100, ")</f>
        <v>Nature:100, </v>
      </c>
      <c r="O221" s="32"/>
      <c r="P221" s="32"/>
      <c r="Q221" s="32"/>
      <c r="R221" s="32"/>
      <c r="S221" s="32"/>
      <c r="T221" s="32"/>
      <c r="U221" s="32"/>
      <c r="V221" s="32"/>
      <c r="W221" s="32"/>
      <c r="X221" s="32"/>
      <c r="Y221" s="32"/>
      <c r="Z221" s="32"/>
      <c r="AA221" s="32"/>
      <c r="AB221" s="32"/>
      <c r="AC221" s="32"/>
      <c r="AD221" s="32"/>
      <c r="AE221" s="32"/>
      <c r="AF221" s="32"/>
      <c r="AG221" s="32"/>
      <c r="AH221" s="32"/>
      <c r="AI221" s="32"/>
      <c r="AJ221" s="32" t="str">
        <f>IFERROR(__xludf.DUMMYFUNCTION("""COMPUTED_VALUE"""),"Absorb Enemy ")</f>
        <v>Absorb Enemy </v>
      </c>
      <c r="AK221" s="32" t="str">
        <f>IFERROR(__xludf.DUMMYFUNCTION("""COMPUTED_VALUE"""),"Crashing Waves (Enhanced)")</f>
        <v>Crashing Waves (Enhanced)</v>
      </c>
      <c r="AL221" s="32" t="str">
        <f>IFERROR(__xludf.DUMMYFUNCTION("""COMPUTED_VALUE"""),"Torrential Downpour")</f>
        <v>Torrential Downpour</v>
      </c>
      <c r="AM221" s="32" t="str">
        <f>IFERROR(__xludf.DUMMYFUNCTION("""COMPUTED_VALUE"""),"Taunt (Mob)")</f>
        <v>Taunt (Mob)</v>
      </c>
      <c r="AN221" s="32"/>
      <c r="AO221" s="32"/>
      <c r="AP221" s="32"/>
      <c r="AQ221" s="32"/>
      <c r="AR221" s="32"/>
      <c r="AS221" s="32"/>
      <c r="AT221" s="32"/>
      <c r="AU221" s="32"/>
      <c r="AV221" s="32"/>
      <c r="AW221" s="32"/>
      <c r="AX221" s="32"/>
      <c r="AY221" s="32"/>
      <c r="AZ221" s="32"/>
      <c r="BA221" s="32"/>
      <c r="BB221" s="32"/>
      <c r="BC221" s="32"/>
      <c r="BD221" s="32">
        <f>IFERROR(__xludf.DUMMYFUNCTION("""COMPUTED_VALUE"""),0.0)</f>
        <v>0</v>
      </c>
      <c r="BE221" s="32">
        <f>IFERROR(__xludf.DUMMYFUNCTION("""COMPUTED_VALUE"""),20.0)</f>
        <v>20</v>
      </c>
      <c r="BF221" s="32"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32" t="str">
        <f>IFERROR(__xludf.DUMMYFUNCTION("""COMPUTED_VALUE"""),"Ocean")</f>
        <v>Ocean</v>
      </c>
      <c r="BH221" s="32" t="str">
        <f>IFERROR(__xludf.DUMMYFUNCTION("""COMPUTED_VALUE"""),"Land Of Spira")</f>
        <v>Land Of Spira</v>
      </c>
      <c r="BI221" s="32"/>
      <c r="BJ221" s="32"/>
      <c r="BK221" s="32"/>
      <c r="BL221" s="32" t="b">
        <f>IFERROR(__xludf.DUMMYFUNCTION("""COMPUTED_VALUE"""),FALSE)</f>
        <v>0</v>
      </c>
      <c r="BM221" s="32"/>
      <c r="BN221" s="32"/>
      <c r="BO221" s="32"/>
      <c r="BP221" s="32"/>
      <c r="BQ221" s="32"/>
    </row>
    <row r="222">
      <c r="A222" s="32" t="str">
        <f>IFERROR(__xludf.DUMMYFUNCTION("""COMPUTED_VALUE"""),"Seraph")</f>
        <v>Seraph</v>
      </c>
      <c r="B222" s="32">
        <f>IFERROR(__xludf.DUMMYFUNCTION("""COMPUTED_VALUE"""),1.0)</f>
        <v>1</v>
      </c>
      <c r="C222" s="32"/>
      <c r="D222" s="33" t="str">
        <f>IFERROR(__xludf.DUMMYFUNCTION("""COMPUTED_VALUE"""),"Heavenly")</f>
        <v>Heavenly</v>
      </c>
      <c r="E222" s="33">
        <f>IFERROR(__xludf.DUMMYFUNCTION("""COMPUTED_VALUE"""),1010.0)</f>
        <v>1010</v>
      </c>
      <c r="F222" s="33">
        <f>IFERROR(__xludf.DUMMYFUNCTION("""COMPUTED_VALUE"""),1010.0)</f>
        <v>1010</v>
      </c>
      <c r="G222" s="33">
        <f>IFERROR(__xludf.DUMMYFUNCTION("""COMPUTED_VALUE"""),1010.0)</f>
        <v>1010</v>
      </c>
      <c r="H222" s="32">
        <f>IFERROR(__xludf.DUMMYFUNCTION("""COMPUTED_VALUE"""),10.0)</f>
        <v>10</v>
      </c>
      <c r="I222" s="32">
        <f>IFERROR(__xludf.DUMMYFUNCTION("""COMPUTED_VALUE"""),0.0)</f>
        <v>0</v>
      </c>
      <c r="J222" s="32">
        <f>IFERROR(__xludf.DUMMYFUNCTION("""COMPUTED_VALUE"""),0.0)</f>
        <v>0</v>
      </c>
      <c r="K222" s="32">
        <f>IFERROR(__xludf.DUMMYFUNCTION("""COMPUTED_VALUE"""),100.0)</f>
        <v>100</v>
      </c>
      <c r="L222" s="32">
        <f>IFERROR(__xludf.DUMMYFUNCTION("""COMPUTED_VALUE"""),100.0)</f>
        <v>100</v>
      </c>
      <c r="M222" s="32" t="str">
        <f>IFERROR(__xludf.DUMMYFUNCTION("""COMPUTED_VALUE"""),"Light:Immune, Spirit:Immune, Order:Immune, Astral:Immune, Celestial:Immune, Instant Death:Immune, Banishment:Immune, ")</f>
        <v>Light:Immune, Spirit:Immune, Order:Immune, Astral:Immune, Celestial:Immune, Instant Death:Immune, Banishment:Immune, </v>
      </c>
      <c r="N222" s="32" t="str">
        <f>IFERROR(__xludf.DUMMYFUNCTION("""COMPUTED_VALUE"""),"Dark:100, Chaos:100, Voodoo:100, ")</f>
        <v>Dark:100, Chaos:100, Voodoo:100, </v>
      </c>
      <c r="O222" s="32"/>
      <c r="P222" s="32"/>
      <c r="Q222" s="32"/>
      <c r="R222" s="32"/>
      <c r="S222" s="32"/>
      <c r="T222" s="32"/>
      <c r="U222" s="32"/>
      <c r="V222" s="32"/>
      <c r="W222" s="32"/>
      <c r="X222" s="32"/>
      <c r="Y222" s="32"/>
      <c r="Z222" s="32"/>
      <c r="AA222" s="32"/>
      <c r="AB222" s="32"/>
      <c r="AC222" s="32"/>
      <c r="AD222" s="32"/>
      <c r="AE222" s="32"/>
      <c r="AF222" s="32"/>
      <c r="AG222" s="32"/>
      <c r="AH222" s="32"/>
      <c r="AI222" s="32"/>
      <c r="AJ222" s="32" t="str">
        <f>IFERROR(__xludf.DUMMYFUNCTION("""COMPUTED_VALUE"""),"Dive Bomb")</f>
        <v>Dive Bomb</v>
      </c>
      <c r="AK222" s="32"/>
      <c r="AL222" s="32"/>
      <c r="AM222" s="32"/>
      <c r="AN222" s="32"/>
      <c r="AO222" s="32"/>
      <c r="AP222" s="32"/>
      <c r="AQ222" s="32"/>
      <c r="AR222" s="32"/>
      <c r="AS222" s="32"/>
      <c r="AT222" s="32"/>
      <c r="AU222" s="32"/>
      <c r="AV222" s="32"/>
      <c r="AW222" s="32"/>
      <c r="AX222" s="32"/>
      <c r="AY222" s="32"/>
      <c r="AZ222" s="32"/>
      <c r="BA222" s="32"/>
      <c r="BB222" s="32"/>
      <c r="BC222" s="32"/>
      <c r="BD222" s="32">
        <f>IFERROR(__xludf.DUMMYFUNCTION("""COMPUTED_VALUE"""),0.0)</f>
        <v>0</v>
      </c>
      <c r="BE222" s="32">
        <f>IFERROR(__xludf.DUMMYFUNCTION("""COMPUTED_VALUE"""),10.0)</f>
        <v>10</v>
      </c>
      <c r="BF222" s="32"/>
      <c r="BG222" s="32" t="str">
        <f>IFERROR(__xludf.DUMMYFUNCTION("""COMPUTED_VALUE"""),"All")</f>
        <v>All</v>
      </c>
      <c r="BH222" s="32" t="str">
        <f>IFERROR(__xludf.DUMMYFUNCTION("""COMPUTED_VALUE"""),"Solreach")</f>
        <v>Solreach</v>
      </c>
      <c r="BI222" s="32"/>
      <c r="BJ222" s="32"/>
      <c r="BK222" s="32"/>
      <c r="BL222" s="32" t="b">
        <f>IFERROR(__xludf.DUMMYFUNCTION("""COMPUTED_VALUE"""),FALSE)</f>
        <v>0</v>
      </c>
      <c r="BM222" s="32"/>
      <c r="BN222" s="32"/>
      <c r="BO222" s="32"/>
      <c r="BP222" s="32"/>
      <c r="BQ222" s="32"/>
    </row>
    <row r="223">
      <c r="A223" s="32" t="str">
        <f>IFERROR(__xludf.DUMMYFUNCTION("""COMPUTED_VALUE"""),"Shadow King")</f>
        <v>Shadow King</v>
      </c>
      <c r="B223" s="32">
        <f>IFERROR(__xludf.DUMMYFUNCTION("""COMPUTED_VALUE"""),1.0)</f>
        <v>1</v>
      </c>
      <c r="C223" s="32"/>
      <c r="D223" s="33" t="str">
        <f>IFERROR(__xludf.DUMMYFUNCTION("""COMPUTED_VALUE"""),"Undead")</f>
        <v>Undead</v>
      </c>
      <c r="E223" s="33">
        <f>IFERROR(__xludf.DUMMYFUNCTION("""COMPUTED_VALUE"""),1010.0)</f>
        <v>1010</v>
      </c>
      <c r="F223" s="33">
        <f>IFERROR(__xludf.DUMMYFUNCTION("""COMPUTED_VALUE"""),1010.0)</f>
        <v>1010</v>
      </c>
      <c r="G223" s="33">
        <f>IFERROR(__xludf.DUMMYFUNCTION("""COMPUTED_VALUE"""),1010.0)</f>
        <v>1010</v>
      </c>
      <c r="H223" s="32">
        <f>IFERROR(__xludf.DUMMYFUNCTION("""COMPUTED_VALUE"""),10.0)</f>
        <v>10</v>
      </c>
      <c r="I223" s="32">
        <f>IFERROR(__xludf.DUMMYFUNCTION("""COMPUTED_VALUE"""),0.0)</f>
        <v>0</v>
      </c>
      <c r="J223" s="32">
        <f>IFERROR(__xludf.DUMMYFUNCTION("""COMPUTED_VALUE"""),0.0)</f>
        <v>0</v>
      </c>
      <c r="K223" s="32">
        <f>IFERROR(__xludf.DUMMYFUNCTION("""COMPUTED_VALUE"""),100.0)</f>
        <v>100</v>
      </c>
      <c r="L223" s="32">
        <f>IFERROR(__xludf.DUMMYFUNCTION("""COMPUTED_VALUE"""),100.0)</f>
        <v>100</v>
      </c>
      <c r="M223" s="32" t="str">
        <f>IFERROR(__xludf.DUMMYFUNCTION("""COMPUTED_VALUE"""),"Dark:Immune, Physical:Immune, ")</f>
        <v>Dark:Immune, Physical:Immune, </v>
      </c>
      <c r="N223" s="32" t="str">
        <f>IFERROR(__xludf.DUMMYFUNCTION("""COMPUTED_VALUE"""),"Fire:100, Light:100, ")</f>
        <v>Fire:100, Light:100, </v>
      </c>
      <c r="O223" s="32"/>
      <c r="P223" s="32"/>
      <c r="Q223" s="32"/>
      <c r="R223" s="32"/>
      <c r="S223" s="32"/>
      <c r="T223" s="32"/>
      <c r="U223" s="32"/>
      <c r="V223" s="32"/>
      <c r="W223" s="32"/>
      <c r="X223" s="32"/>
      <c r="Y223" s="32"/>
      <c r="Z223" s="32"/>
      <c r="AA223" s="32"/>
      <c r="AB223" s="32"/>
      <c r="AC223" s="32"/>
      <c r="AD223" s="32"/>
      <c r="AE223" s="32"/>
      <c r="AF223" s="32"/>
      <c r="AG223" s="32"/>
      <c r="AH223" s="32"/>
      <c r="AI223" s="32"/>
      <c r="AJ223" s="32" t="str">
        <f>IFERROR(__xludf.DUMMYFUNCTION("""COMPUTED_VALUE"""),"Celestial Wrath")</f>
        <v>Celestial Wrath</v>
      </c>
      <c r="AK223" s="32" t="str">
        <f>IFERROR(__xludf.DUMMYFUNCTION("""COMPUTED_VALUE"""),"Dark Force")</f>
        <v>Dark Force</v>
      </c>
      <c r="AL223" s="32" t="str">
        <f>IFERROR(__xludf.DUMMYFUNCTION("""COMPUTED_VALUE"""),"Nightmare")</f>
        <v>Nightmare</v>
      </c>
      <c r="AM223" s="32" t="str">
        <f>IFERROR(__xludf.DUMMYFUNCTION("""COMPUTED_VALUE"""),"Dark Curse")</f>
        <v>Dark Curse</v>
      </c>
      <c r="AN223" s="32" t="str">
        <f>IFERROR(__xludf.DUMMYFUNCTION("""COMPUTED_VALUE"""),"Darkest Abyss")</f>
        <v>Darkest Abyss</v>
      </c>
      <c r="AO223" s="32" t="str">
        <f>IFERROR(__xludf.DUMMYFUNCTION("""COMPUTED_VALUE"""),"Summon Haunted Scarecrow")</f>
        <v>Summon Haunted Scarecrow</v>
      </c>
      <c r="AP223" s="32" t="str">
        <f>IFERROR(__xludf.DUMMYFUNCTION("""COMPUTED_VALUE"""),"Voodoo Meteor Shower")</f>
        <v>Voodoo Meteor Shower</v>
      </c>
      <c r="AQ223" s="32"/>
      <c r="AR223" s="32"/>
      <c r="AS223" s="32"/>
      <c r="AT223" s="32"/>
      <c r="AU223" s="32"/>
      <c r="AV223" s="32"/>
      <c r="AW223" s="32"/>
      <c r="AX223" s="32"/>
      <c r="AY223" s="32"/>
      <c r="AZ223" s="32"/>
      <c r="BA223" s="32"/>
      <c r="BB223" s="32"/>
      <c r="BC223" s="32"/>
      <c r="BD223" s="32">
        <f>IFERROR(__xludf.DUMMYFUNCTION("""COMPUTED_VALUE"""),0.0)</f>
        <v>0</v>
      </c>
      <c r="BE223" s="32">
        <f>IFERROR(__xludf.DUMMYFUNCTION("""COMPUTED_VALUE"""),10.0)</f>
        <v>10</v>
      </c>
      <c r="BF223" s="32" t="str">
        <f>IFERROR(__xludf.DUMMYFUNCTION("""COMPUTED_VALUE"""),"Undead- Can only be killed by light,fire, or celestial")</f>
        <v>Undead- Can only be killed by light,fire, or celestial</v>
      </c>
      <c r="BG223" s="32" t="str">
        <f>IFERROR(__xludf.DUMMYFUNCTION("""COMPUTED_VALUE"""),"All")</f>
        <v>All</v>
      </c>
      <c r="BH223" s="32" t="str">
        <f>IFERROR(__xludf.DUMMYFUNCTION("""COMPUTED_VALUE"""),"Land Of Spira")</f>
        <v>Land Of Spira</v>
      </c>
      <c r="BI223" s="32"/>
      <c r="BJ223" s="32"/>
      <c r="BK223" s="32"/>
      <c r="BL223" s="32" t="b">
        <f>IFERROR(__xludf.DUMMYFUNCTION("""COMPUTED_VALUE"""),FALSE)</f>
        <v>0</v>
      </c>
      <c r="BM223" s="32"/>
      <c r="BN223" s="32"/>
      <c r="BO223" s="32"/>
      <c r="BP223" s="32"/>
      <c r="BQ223" s="32"/>
    </row>
    <row r="224">
      <c r="A224" s="32" t="str">
        <f>IFERROR(__xludf.DUMMYFUNCTION("""COMPUTED_VALUE"""),"Shadow Suit of Armor")</f>
        <v>Shadow Suit of Armor</v>
      </c>
      <c r="B224" s="32">
        <f>IFERROR(__xludf.DUMMYFUNCTION("""COMPUTED_VALUE"""),1.0)</f>
        <v>1</v>
      </c>
      <c r="C224" s="32"/>
      <c r="D224" s="33" t="str">
        <f>IFERROR(__xludf.DUMMYFUNCTION("""COMPUTED_VALUE"""),"Spirit")</f>
        <v>Spirit</v>
      </c>
      <c r="E224" s="33">
        <f>IFERROR(__xludf.DUMMYFUNCTION("""COMPUTED_VALUE"""),1010.0)</f>
        <v>1010</v>
      </c>
      <c r="F224" s="33">
        <f>IFERROR(__xludf.DUMMYFUNCTION("""COMPUTED_VALUE"""),1010.0)</f>
        <v>1010</v>
      </c>
      <c r="G224" s="33">
        <f>IFERROR(__xludf.DUMMYFUNCTION("""COMPUTED_VALUE"""),1010.0)</f>
        <v>1010</v>
      </c>
      <c r="H224" s="32">
        <f>IFERROR(__xludf.DUMMYFUNCTION("""COMPUTED_VALUE"""),10.0)</f>
        <v>10</v>
      </c>
      <c r="I224" s="32">
        <f>IFERROR(__xludf.DUMMYFUNCTION("""COMPUTED_VALUE"""),0.0)</f>
        <v>0</v>
      </c>
      <c r="J224" s="32">
        <f>IFERROR(__xludf.DUMMYFUNCTION("""COMPUTED_VALUE"""),0.0)</f>
        <v>0</v>
      </c>
      <c r="K224" s="32">
        <f>IFERROR(__xludf.DUMMYFUNCTION("""COMPUTED_VALUE"""),100.0)</f>
        <v>100</v>
      </c>
      <c r="L224" s="32">
        <f>IFERROR(__xludf.DUMMYFUNCTION("""COMPUTED_VALUE"""),100.0)</f>
        <v>100</v>
      </c>
      <c r="M224" s="32" t="str">
        <f>IFERROR(__xludf.DUMMYFUNCTION("""COMPUTED_VALUE"""),"Dark:100, ")</f>
        <v>Dark:100, </v>
      </c>
      <c r="N224" s="32" t="str">
        <f>IFERROR(__xludf.DUMMYFUNCTION("""COMPUTED_VALUE"""),"Light:100, ")</f>
        <v>Light:100, </v>
      </c>
      <c r="O224" s="32" t="str">
        <f>IFERROR(__xludf.DUMMYFUNCTION("""COMPUTED_VALUE"""),"Dark Knight Helm")</f>
        <v>Dark Knight Helm</v>
      </c>
      <c r="P224" s="32"/>
      <c r="Q224" s="32"/>
      <c r="R224" s="32"/>
      <c r="S224" s="32"/>
      <c r="T224" s="32"/>
      <c r="U224" s="32"/>
      <c r="V224" s="32" t="str">
        <f>IFERROR(__xludf.DUMMYFUNCTION("""COMPUTED_VALUE"""),"Sword of Eternal darkness")</f>
        <v>Sword of Eternal darkness</v>
      </c>
      <c r="W224" s="32"/>
      <c r="X224" s="32" t="str">
        <f>IFERROR(__xludf.DUMMYFUNCTION("""COMPUTED_VALUE"""),"Ring of Darkness")</f>
        <v>Ring of Darkness</v>
      </c>
      <c r="Y224" s="32" t="str">
        <f>IFERROR(__xludf.DUMMYFUNCTION("""COMPUTED_VALUE"""),"Ring of Death")</f>
        <v>Ring of Death</v>
      </c>
      <c r="Z224" s="32"/>
      <c r="AA224" s="32"/>
      <c r="AB224" s="32"/>
      <c r="AC224" s="32"/>
      <c r="AD224" s="32"/>
      <c r="AE224" s="32"/>
      <c r="AF224" s="32"/>
      <c r="AG224" s="32"/>
      <c r="AH224" s="32"/>
      <c r="AI224" s="32"/>
      <c r="AJ224" s="32" t="str">
        <f>IFERROR(__xludf.DUMMYFUNCTION("""COMPUTED_VALUE"""),"Darkest Abyss")</f>
        <v>Darkest Abyss</v>
      </c>
      <c r="AK224" s="32" t="str">
        <f>IFERROR(__xludf.DUMMYFUNCTION("""COMPUTED_VALUE"""),"Conceal")</f>
        <v>Conceal</v>
      </c>
      <c r="AL224" s="32" t="str">
        <f>IFERROR(__xludf.DUMMYFUNCTION("""COMPUTED_VALUE"""),"Possession")</f>
        <v>Possession</v>
      </c>
      <c r="AM224" s="32" t="str">
        <f>IFERROR(__xludf.DUMMYFUNCTION("""COMPUTED_VALUE"""),"A Deal With The Spirit World")</f>
        <v>A Deal With The Spirit World</v>
      </c>
      <c r="AN224" s="32" t="str">
        <f>IFERROR(__xludf.DUMMYFUNCTION("""COMPUTED_VALUE"""),"Arrest")</f>
        <v>Arrest</v>
      </c>
      <c r="AO224" s="32"/>
      <c r="AP224" s="32"/>
      <c r="AQ224" s="32"/>
      <c r="AR224" s="32"/>
      <c r="AS224" s="32"/>
      <c r="AT224" s="32"/>
      <c r="AU224" s="32"/>
      <c r="AV224" s="32"/>
      <c r="AW224" s="32"/>
      <c r="AX224" s="32"/>
      <c r="AY224" s="32"/>
      <c r="AZ224" s="32"/>
      <c r="BA224" s="32"/>
      <c r="BB224" s="32"/>
      <c r="BC224" s="32"/>
      <c r="BD224" s="32">
        <f>IFERROR(__xludf.DUMMYFUNCTION("""COMPUTED_VALUE"""),0.0)</f>
        <v>0</v>
      </c>
      <c r="BE224" s="32">
        <f>IFERROR(__xludf.DUMMYFUNCTION("""COMPUTED_VALUE"""),10.0)</f>
        <v>10</v>
      </c>
      <c r="BF224" s="32" t="str">
        <f>IFERROR(__xludf.DUMMYFUNCTION("""COMPUTED_VALUE"""),"A Dark Calling: +5 can be added to this mobs rolls.
Undead - Can only be killed by light,fire, or celestial")</f>
        <v>A Dark Calling: +5 can be added to this mobs rolls.
Undead - Can only be killed by light,fire, or celestial</v>
      </c>
      <c r="BG224" s="32" t="str">
        <f>IFERROR(__xludf.DUMMYFUNCTION("""COMPUTED_VALUE"""),"All")</f>
        <v>All</v>
      </c>
      <c r="BH224" s="32" t="str">
        <f>IFERROR(__xludf.DUMMYFUNCTION("""COMPUTED_VALUE"""),"Land of Spira")</f>
        <v>Land of Spira</v>
      </c>
      <c r="BI224" s="32"/>
      <c r="BJ224" s="32"/>
      <c r="BK224" s="32"/>
      <c r="BL224" s="32" t="b">
        <f>IFERROR(__xludf.DUMMYFUNCTION("""COMPUTED_VALUE"""),FALSE)</f>
        <v>0</v>
      </c>
      <c r="BM224" s="32"/>
      <c r="BN224" s="32"/>
      <c r="BO224" s="32"/>
      <c r="BP224" s="32"/>
      <c r="BQ224" s="32"/>
    </row>
    <row r="225">
      <c r="A225" s="32" t="str">
        <f>IFERROR(__xludf.DUMMYFUNCTION("""COMPUTED_VALUE"""),"Shark (WD)")</f>
        <v>Shark (WD)</v>
      </c>
      <c r="B225" s="32">
        <f>IFERROR(__xludf.DUMMYFUNCTION("""COMPUTED_VALUE"""),1.0)</f>
        <v>1</v>
      </c>
      <c r="C225" s="32"/>
      <c r="D225" s="33" t="str">
        <f>IFERROR(__xludf.DUMMYFUNCTION("""COMPUTED_VALUE"""),"Beast")</f>
        <v>Beast</v>
      </c>
      <c r="E225" s="33">
        <f>IFERROR(__xludf.DUMMYFUNCTION("""COMPUTED_VALUE"""),1010.0)</f>
        <v>1010</v>
      </c>
      <c r="F225" s="33">
        <f>IFERROR(__xludf.DUMMYFUNCTION("""COMPUTED_VALUE"""),1010.0)</f>
        <v>1010</v>
      </c>
      <c r="G225" s="33">
        <f>IFERROR(__xludf.DUMMYFUNCTION("""COMPUTED_VALUE"""),1010.0)</f>
        <v>1010</v>
      </c>
      <c r="H225" s="32">
        <f>IFERROR(__xludf.DUMMYFUNCTION("""COMPUTED_VALUE"""),10.0)</f>
        <v>10</v>
      </c>
      <c r="I225" s="32">
        <f>IFERROR(__xludf.DUMMYFUNCTION("""COMPUTED_VALUE"""),0.0)</f>
        <v>0</v>
      </c>
      <c r="J225" s="32">
        <f>IFERROR(__xludf.DUMMYFUNCTION("""COMPUTED_VALUE"""),0.0)</f>
        <v>0</v>
      </c>
      <c r="K225" s="32">
        <f>IFERROR(__xludf.DUMMYFUNCTION("""COMPUTED_VALUE"""),100.0)</f>
        <v>100</v>
      </c>
      <c r="L225" s="32">
        <f>IFERROR(__xludf.DUMMYFUNCTION("""COMPUTED_VALUE"""),100.0)</f>
        <v>100</v>
      </c>
      <c r="M225" s="32" t="str">
        <f>IFERROR(__xludf.DUMMYFUNCTION("""COMPUTED_VALUE"""),"Fire:Immune, Water:Immune, ")</f>
        <v>Fire:Immune, Water:Immune, </v>
      </c>
      <c r="N225" s="32" t="str">
        <f>IFERROR(__xludf.DUMMYFUNCTION("""COMPUTED_VALUE"""),"Nature:100, ")</f>
        <v>Nature:100, </v>
      </c>
      <c r="O225" s="32"/>
      <c r="P225" s="32"/>
      <c r="Q225" s="32"/>
      <c r="R225" s="32"/>
      <c r="S225" s="32"/>
      <c r="T225" s="32"/>
      <c r="U225" s="32"/>
      <c r="V225" s="32"/>
      <c r="W225" s="32"/>
      <c r="X225" s="32"/>
      <c r="Y225" s="32"/>
      <c r="Z225" s="32"/>
      <c r="AA225" s="32"/>
      <c r="AB225" s="32"/>
      <c r="AC225" s="32"/>
      <c r="AD225" s="32"/>
      <c r="AE225" s="32"/>
      <c r="AF225" s="32"/>
      <c r="AG225" s="32"/>
      <c r="AH225" s="32"/>
      <c r="AI225" s="32"/>
      <c r="AJ225" s="32" t="str">
        <f>IFERROR(__xludf.DUMMYFUNCTION("""COMPUTED_VALUE"""),"Bite")</f>
        <v>Bite</v>
      </c>
      <c r="AK225" s="32" t="str">
        <f>IFERROR(__xludf.DUMMYFUNCTION("""COMPUTED_VALUE"""),"Call of The Sharks")</f>
        <v>Call of The Sharks</v>
      </c>
      <c r="AL225" s="32" t="str">
        <f>IFERROR(__xludf.DUMMYFUNCTION("""COMPUTED_VALUE"""),"Geyser")</f>
        <v>Geyser</v>
      </c>
      <c r="AM225" s="32" t="str">
        <f>IFERROR(__xludf.DUMMYFUNCTION("""COMPUTED_VALUE"""),"Berserk")</f>
        <v>Berserk</v>
      </c>
      <c r="AN225" s="32" t="str">
        <f>IFERROR(__xludf.DUMMYFUNCTION("""COMPUTED_VALUE"""),"Reckless Chomp ")</f>
        <v>Reckless Chomp </v>
      </c>
      <c r="AO225" s="32" t="str">
        <f>IFERROR(__xludf.DUMMYFUNCTION("""COMPUTED_VALUE"""),"Tackle")</f>
        <v>Tackle</v>
      </c>
      <c r="AP225" s="32"/>
      <c r="AQ225" s="32"/>
      <c r="AR225" s="32"/>
      <c r="AS225" s="32"/>
      <c r="AT225" s="32"/>
      <c r="AU225" s="32"/>
      <c r="AV225" s="32"/>
      <c r="AW225" s="32"/>
      <c r="AX225" s="32"/>
      <c r="AY225" s="32"/>
      <c r="AZ225" s="32"/>
      <c r="BA225" s="32"/>
      <c r="BB225" s="32"/>
      <c r="BC225" s="32"/>
      <c r="BD225" s="32">
        <f>IFERROR(__xludf.DUMMYFUNCTION("""COMPUTED_VALUE"""),0.0)</f>
        <v>0</v>
      </c>
      <c r="BE225" s="32">
        <f>IFERROR(__xludf.DUMMYFUNCTION("""COMPUTED_VALUE"""),10.0)</f>
        <v>10</v>
      </c>
      <c r="BF225" s="32"/>
      <c r="BG225" s="32" t="str">
        <f>IFERROR(__xludf.DUMMYFUNCTION("""COMPUTED_VALUE"""),"Ocean")</f>
        <v>Ocean</v>
      </c>
      <c r="BH225" s="32" t="str">
        <f>IFERROR(__xludf.DUMMYFUNCTION("""COMPUTED_VALUE"""),"Land Of Spira")</f>
        <v>Land Of Spira</v>
      </c>
      <c r="BI225" s="32"/>
      <c r="BJ225" s="32"/>
      <c r="BK225" s="32"/>
      <c r="BL225" s="32" t="b">
        <f>IFERROR(__xludf.DUMMYFUNCTION("""COMPUTED_VALUE"""),FALSE)</f>
        <v>0</v>
      </c>
      <c r="BM225" s="32"/>
      <c r="BN225" s="32"/>
      <c r="BO225" s="32"/>
      <c r="BP225" s="32"/>
      <c r="BQ225" s="32"/>
    </row>
    <row r="226">
      <c r="A226" s="32" t="str">
        <f>IFERROR(__xludf.DUMMYFUNCTION("""COMPUTED_VALUE"""),"Shark (WD) (Enhanced0")</f>
        <v>Shark (WD) (Enhanced0</v>
      </c>
      <c r="B226" s="32">
        <f>IFERROR(__xludf.DUMMYFUNCTION("""COMPUTED_VALUE"""),1.0)</f>
        <v>1</v>
      </c>
      <c r="C226" s="32"/>
      <c r="D226" s="33" t="str">
        <f>IFERROR(__xludf.DUMMYFUNCTION("""COMPUTED_VALUE"""),"Beast")</f>
        <v>Beast</v>
      </c>
      <c r="E226" s="33">
        <f>IFERROR(__xludf.DUMMYFUNCTION("""COMPUTED_VALUE"""),1010.0)</f>
        <v>1010</v>
      </c>
      <c r="F226" s="33">
        <f>IFERROR(__xludf.DUMMYFUNCTION("""COMPUTED_VALUE"""),1010.0)</f>
        <v>1010</v>
      </c>
      <c r="G226" s="33">
        <f>IFERROR(__xludf.DUMMYFUNCTION("""COMPUTED_VALUE"""),1010.0)</f>
        <v>1010</v>
      </c>
      <c r="H226" s="32">
        <f>IFERROR(__xludf.DUMMYFUNCTION("""COMPUTED_VALUE"""),10.0)</f>
        <v>10</v>
      </c>
      <c r="I226" s="32">
        <f>IFERROR(__xludf.DUMMYFUNCTION("""COMPUTED_VALUE"""),0.0)</f>
        <v>0</v>
      </c>
      <c r="J226" s="32">
        <f>IFERROR(__xludf.DUMMYFUNCTION("""COMPUTED_VALUE"""),0.0)</f>
        <v>0</v>
      </c>
      <c r="K226" s="32">
        <f>IFERROR(__xludf.DUMMYFUNCTION("""COMPUTED_VALUE"""),100.0)</f>
        <v>100</v>
      </c>
      <c r="L226" s="32">
        <f>IFERROR(__xludf.DUMMYFUNCTION("""COMPUTED_VALUE"""),100.0)</f>
        <v>100</v>
      </c>
      <c r="M226" s="32" t="str">
        <f>IFERROR(__xludf.DUMMYFUNCTION("""COMPUTED_VALUE"""),"Fire:Immune, Water:Immune, ")</f>
        <v>Fire:Immune, Water:Immune, </v>
      </c>
      <c r="N226" s="32" t="str">
        <f>IFERROR(__xludf.DUMMYFUNCTION("""COMPUTED_VALUE"""),"")</f>
        <v/>
      </c>
      <c r="O226" s="32"/>
      <c r="P226" s="32"/>
      <c r="Q226" s="32"/>
      <c r="R226" s="32"/>
      <c r="S226" s="32"/>
      <c r="T226" s="32"/>
      <c r="U226" s="32"/>
      <c r="V226" s="32"/>
      <c r="W226" s="32"/>
      <c r="X226" s="32"/>
      <c r="Y226" s="32"/>
      <c r="Z226" s="32"/>
      <c r="AA226" s="32"/>
      <c r="AB226" s="32"/>
      <c r="AC226" s="32"/>
      <c r="AD226" s="32"/>
      <c r="AE226" s="32"/>
      <c r="AF226" s="32"/>
      <c r="AG226" s="32"/>
      <c r="AH226" s="32"/>
      <c r="AI226" s="32"/>
      <c r="AJ226" s="32" t="str">
        <f>IFERROR(__xludf.DUMMYFUNCTION("""COMPUTED_VALUE"""),"Bite")</f>
        <v>Bite</v>
      </c>
      <c r="AK226" s="32" t="str">
        <f>IFERROR(__xludf.DUMMYFUNCTION("""COMPUTED_VALUE"""),"Call of The Sharks")</f>
        <v>Call of The Sharks</v>
      </c>
      <c r="AL226" s="32" t="str">
        <f>IFERROR(__xludf.DUMMYFUNCTION("""COMPUTED_VALUE"""),"Geyser")</f>
        <v>Geyser</v>
      </c>
      <c r="AM226" s="32" t="str">
        <f>IFERROR(__xludf.DUMMYFUNCTION("""COMPUTED_VALUE"""),"Berserk")</f>
        <v>Berserk</v>
      </c>
      <c r="AN226" s="32" t="str">
        <f>IFERROR(__xludf.DUMMYFUNCTION("""COMPUTED_VALUE"""),"Crashing Waves (Enhanced)")</f>
        <v>Crashing Waves (Enhanced)</v>
      </c>
      <c r="AO226" s="32" t="str">
        <f>IFERROR(__xludf.DUMMYFUNCTION("""COMPUTED_VALUE"""),"Aggressive Chomp")</f>
        <v>Aggressive Chomp</v>
      </c>
      <c r="AP226" s="32" t="str">
        <f>IFERROR(__xludf.DUMMYFUNCTION("""COMPUTED_VALUE"""),"Aggresive Tear")</f>
        <v>Aggresive Tear</v>
      </c>
      <c r="AQ226" s="32" t="str">
        <f>IFERROR(__xludf.DUMMYFUNCTION("""COMPUTED_VALUE"""),"Tackle")</f>
        <v>Tackle</v>
      </c>
      <c r="AR226" s="32"/>
      <c r="AS226" s="32"/>
      <c r="AT226" s="32"/>
      <c r="AU226" s="32"/>
      <c r="AV226" s="32"/>
      <c r="AW226" s="32"/>
      <c r="AX226" s="32"/>
      <c r="AY226" s="32"/>
      <c r="AZ226" s="32"/>
      <c r="BA226" s="32"/>
      <c r="BB226" s="32"/>
      <c r="BC226" s="32"/>
      <c r="BD226" s="32">
        <f>IFERROR(__xludf.DUMMYFUNCTION("""COMPUTED_VALUE"""),0.0)</f>
        <v>0</v>
      </c>
      <c r="BE226" s="32">
        <f>IFERROR(__xludf.DUMMYFUNCTION("""COMPUTED_VALUE"""),10.0)</f>
        <v>10</v>
      </c>
      <c r="BF226" s="32"/>
      <c r="BG226" s="32" t="str">
        <f>IFERROR(__xludf.DUMMYFUNCTION("""COMPUTED_VALUE"""),"Ocean")</f>
        <v>Ocean</v>
      </c>
      <c r="BH226" s="32" t="str">
        <f>IFERROR(__xludf.DUMMYFUNCTION("""COMPUTED_VALUE"""),"Land Of Spira")</f>
        <v>Land Of Spira</v>
      </c>
      <c r="BI226" s="32"/>
      <c r="BJ226" s="32"/>
      <c r="BK226" s="32"/>
      <c r="BL226" s="32" t="b">
        <f>IFERROR(__xludf.DUMMYFUNCTION("""COMPUTED_VALUE"""),FALSE)</f>
        <v>0</v>
      </c>
      <c r="BM226" s="32"/>
      <c r="BN226" s="32"/>
      <c r="BO226" s="32"/>
      <c r="BP226" s="32"/>
      <c r="BQ226" s="32"/>
    </row>
    <row r="227">
      <c r="A227" s="32" t="str">
        <f>IFERROR(__xludf.DUMMYFUNCTION("""COMPUTED_VALUE"""),"Skeletal Warrior")</f>
        <v>Skeletal Warrior</v>
      </c>
      <c r="B227" s="32">
        <f>IFERROR(__xludf.DUMMYFUNCTION("""COMPUTED_VALUE"""),1.0)</f>
        <v>1</v>
      </c>
      <c r="C227" s="32"/>
      <c r="D227" s="33" t="str">
        <f>IFERROR(__xludf.DUMMYFUNCTION("""COMPUTED_VALUE"""),"Undead")</f>
        <v>Undead</v>
      </c>
      <c r="E227" s="33">
        <f>IFERROR(__xludf.DUMMYFUNCTION("""COMPUTED_VALUE"""),1010.0)</f>
        <v>1010</v>
      </c>
      <c r="F227" s="33">
        <f>IFERROR(__xludf.DUMMYFUNCTION("""COMPUTED_VALUE"""),1010.0)</f>
        <v>1010</v>
      </c>
      <c r="G227" s="33">
        <f>IFERROR(__xludf.DUMMYFUNCTION("""COMPUTED_VALUE"""),1010.0)</f>
        <v>1010</v>
      </c>
      <c r="H227" s="32">
        <f>IFERROR(__xludf.DUMMYFUNCTION("""COMPUTED_VALUE"""),10.0)</f>
        <v>10</v>
      </c>
      <c r="I227" s="32">
        <f>IFERROR(__xludf.DUMMYFUNCTION("""COMPUTED_VALUE"""),0.0)</f>
        <v>0</v>
      </c>
      <c r="J227" s="32">
        <f>IFERROR(__xludf.DUMMYFUNCTION("""COMPUTED_VALUE"""),0.0)</f>
        <v>0</v>
      </c>
      <c r="K227" s="32">
        <f>IFERROR(__xludf.DUMMYFUNCTION("""COMPUTED_VALUE"""),100.0)</f>
        <v>100</v>
      </c>
      <c r="L227" s="32">
        <f>IFERROR(__xludf.DUMMYFUNCTION("""COMPUTED_VALUE"""),100.0)</f>
        <v>100</v>
      </c>
      <c r="M227" s="32" t="str">
        <f>IFERROR(__xludf.DUMMYFUNCTION("""COMPUTED_VALUE"""),"Dark:100, ")</f>
        <v>Dark:100, </v>
      </c>
      <c r="N227" s="32" t="str">
        <f>IFERROR(__xludf.DUMMYFUNCTION("""COMPUTED_VALUE"""),"Light:100, ")</f>
        <v>Light:100, </v>
      </c>
      <c r="O227" s="32"/>
      <c r="P227" s="32"/>
      <c r="Q227" s="32"/>
      <c r="R227" s="32"/>
      <c r="S227" s="32"/>
      <c r="T227" s="32"/>
      <c r="U227" s="32"/>
      <c r="V227" s="32"/>
      <c r="W227" s="32" t="str">
        <f>IFERROR(__xludf.DUMMYFUNCTION("""COMPUTED_VALUE"""),"Bone Sword ")</f>
        <v>Bone Sword </v>
      </c>
      <c r="X227" s="32"/>
      <c r="Y227" s="32"/>
      <c r="Z227" s="32"/>
      <c r="AA227" s="32"/>
      <c r="AB227" s="32"/>
      <c r="AC227" s="32"/>
      <c r="AD227" s="32"/>
      <c r="AE227" s="32"/>
      <c r="AF227" s="32"/>
      <c r="AG227" s="32"/>
      <c r="AH227" s="32"/>
      <c r="AI227" s="32"/>
      <c r="AJ227" s="32" t="str">
        <f>IFERROR(__xludf.DUMMYFUNCTION("""COMPUTED_VALUE"""),"Dark Curse")</f>
        <v>Dark Curse</v>
      </c>
      <c r="AK227" s="32" t="str">
        <f>IFERROR(__xludf.DUMMYFUNCTION("""COMPUTED_VALUE"""),"Dark Force")</f>
        <v>Dark Force</v>
      </c>
      <c r="AL227" s="32" t="str">
        <f>IFERROR(__xludf.DUMMYFUNCTION("""COMPUTED_VALUE"""),"Chains of Shadow")</f>
        <v>Chains of Shadow</v>
      </c>
      <c r="AM227" s="32" t="str">
        <f>IFERROR(__xludf.DUMMYFUNCTION("""COMPUTED_VALUE"""),"Berserk")</f>
        <v>Berserk</v>
      </c>
      <c r="AN227" s="32"/>
      <c r="AO227" s="32"/>
      <c r="AP227" s="32"/>
      <c r="AQ227" s="32"/>
      <c r="AR227" s="32"/>
      <c r="AS227" s="32"/>
      <c r="AT227" s="32"/>
      <c r="AU227" s="32"/>
      <c r="AV227" s="32"/>
      <c r="AW227" s="32"/>
      <c r="AX227" s="32"/>
      <c r="AY227" s="32"/>
      <c r="AZ227" s="32"/>
      <c r="BA227" s="32"/>
      <c r="BB227" s="32"/>
      <c r="BC227" s="32"/>
      <c r="BD227" s="32">
        <f>IFERROR(__xludf.DUMMYFUNCTION("""COMPUTED_VALUE"""),0.0)</f>
        <v>0</v>
      </c>
      <c r="BE227" s="32">
        <f>IFERROR(__xludf.DUMMYFUNCTION("""COMPUTED_VALUE"""),10.0)</f>
        <v>10</v>
      </c>
      <c r="BF227" s="32" t="str">
        <f>IFERROR(__xludf.DUMMYFUNCTION("""COMPUTED_VALUE"""),"Undead- Can only be killed by light,fire, or celestial")</f>
        <v>Undead- Can only be killed by light,fire, or celestial</v>
      </c>
      <c r="BG227" s="32" t="str">
        <f>IFERROR(__xludf.DUMMYFUNCTION("""COMPUTED_VALUE"""),"All")</f>
        <v>All</v>
      </c>
      <c r="BH227" s="32" t="str">
        <f>IFERROR(__xludf.DUMMYFUNCTION("""COMPUTED_VALUE"""),"Land of Spira")</f>
        <v>Land of Spira</v>
      </c>
      <c r="BI227" s="32"/>
      <c r="BJ227" s="32"/>
      <c r="BK227" s="32"/>
      <c r="BL227" s="32" t="b">
        <f>IFERROR(__xludf.DUMMYFUNCTION("""COMPUTED_VALUE"""),FALSE)</f>
        <v>0</v>
      </c>
      <c r="BM227" s="32"/>
      <c r="BN227" s="32"/>
      <c r="BO227" s="32"/>
      <c r="BP227" s="32"/>
      <c r="BQ227" s="32"/>
    </row>
    <row r="228">
      <c r="A228" s="32" t="str">
        <f>IFERROR(__xludf.DUMMYFUNCTION("""COMPUTED_VALUE"""),"Skeleton Lord")</f>
        <v>Skeleton Lord</v>
      </c>
      <c r="B228" s="32">
        <f>IFERROR(__xludf.DUMMYFUNCTION("""COMPUTED_VALUE"""),1.0)</f>
        <v>1</v>
      </c>
      <c r="C228" s="32" t="str">
        <f>IFERROR(__xludf.DUMMYFUNCTION("""COMPUTED_VALUE"""),"lord dreadfuls 1st son.")</f>
        <v>lord dreadfuls 1st son.</v>
      </c>
      <c r="D228" s="33" t="str">
        <f>IFERROR(__xludf.DUMMYFUNCTION("""COMPUTED_VALUE"""),"Undead")</f>
        <v>Undead</v>
      </c>
      <c r="E228" s="33">
        <f>IFERROR(__xludf.DUMMYFUNCTION("""COMPUTED_VALUE"""),1010.0)</f>
        <v>1010</v>
      </c>
      <c r="F228" s="33">
        <f>IFERROR(__xludf.DUMMYFUNCTION("""COMPUTED_VALUE"""),1010.0)</f>
        <v>1010</v>
      </c>
      <c r="G228" s="33">
        <f>IFERROR(__xludf.DUMMYFUNCTION("""COMPUTED_VALUE"""),1010.0)</f>
        <v>1010</v>
      </c>
      <c r="H228" s="32">
        <f>IFERROR(__xludf.DUMMYFUNCTION("""COMPUTED_VALUE"""),10.0)</f>
        <v>10</v>
      </c>
      <c r="I228" s="32">
        <f>IFERROR(__xludf.DUMMYFUNCTION("""COMPUTED_VALUE"""),0.0)</f>
        <v>0</v>
      </c>
      <c r="J228" s="32">
        <f>IFERROR(__xludf.DUMMYFUNCTION("""COMPUTED_VALUE"""),0.0)</f>
        <v>0</v>
      </c>
      <c r="K228" s="32">
        <f>IFERROR(__xludf.DUMMYFUNCTION("""COMPUTED_VALUE"""),100.0)</f>
        <v>100</v>
      </c>
      <c r="L228" s="32">
        <f>IFERROR(__xludf.DUMMYFUNCTION("""COMPUTED_VALUE"""),100.0)</f>
        <v>100</v>
      </c>
      <c r="M228" s="32" t="str">
        <f>IFERROR(__xludf.DUMMYFUNCTION("""COMPUTED_VALUE"""),"Dark:Immune, Chaos:100, Instant Death:Immune, ")</f>
        <v>Dark:Immune, Chaos:100, Instant Death:Immune, </v>
      </c>
      <c r="N228" s="32" t="str">
        <f>IFERROR(__xludf.DUMMYFUNCTION("""COMPUTED_VALUE"""),"Light:100, ")</f>
        <v>Light:100, </v>
      </c>
      <c r="O228" s="32"/>
      <c r="P228" s="32"/>
      <c r="Q228" s="32"/>
      <c r="R228" s="32"/>
      <c r="S228" s="32"/>
      <c r="T228" s="32"/>
      <c r="U228" s="32"/>
      <c r="V228" s="32" t="str">
        <f>IFERROR(__xludf.DUMMYFUNCTION("""COMPUTED_VALUE"""),"Bone Sword ")</f>
        <v>Bone Sword </v>
      </c>
      <c r="W228" s="32"/>
      <c r="X228" s="32"/>
      <c r="Y228" s="32"/>
      <c r="Z228" s="32"/>
      <c r="AA228" s="32"/>
      <c r="AB228" s="32"/>
      <c r="AC228" s="32"/>
      <c r="AD228" s="32"/>
      <c r="AE228" s="32"/>
      <c r="AF228" s="32"/>
      <c r="AG228" s="32"/>
      <c r="AH228" s="32"/>
      <c r="AI228" s="32"/>
      <c r="AJ228" s="32" t="str">
        <f>IFERROR(__xludf.DUMMYFUNCTION("""COMPUTED_VALUE"""),"Dark Curse")</f>
        <v>Dark Curse</v>
      </c>
      <c r="AK228" s="32" t="str">
        <f>IFERROR(__xludf.DUMMYFUNCTION("""COMPUTED_VALUE"""),"Dark Bolt")</f>
        <v>Dark Bolt</v>
      </c>
      <c r="AL228" s="32" t="str">
        <f>IFERROR(__xludf.DUMMYFUNCTION("""COMPUTED_VALUE"""),"Curse of Wasting")</f>
        <v>Curse of Wasting</v>
      </c>
      <c r="AM228" s="32" t="str">
        <f>IFERROR(__xludf.DUMMYFUNCTION("""COMPUTED_VALUE"""),"Chaos Beam")</f>
        <v>Chaos Beam</v>
      </c>
      <c r="AN228" s="32" t="str">
        <f>IFERROR(__xludf.DUMMYFUNCTION("""COMPUTED_VALUE"""),"Darkest Abyss")</f>
        <v>Darkest Abyss</v>
      </c>
      <c r="AO228" s="32" t="str">
        <f>IFERROR(__xludf.DUMMYFUNCTION("""COMPUTED_VALUE"""),"Celestial Wrath")</f>
        <v>Celestial Wrath</v>
      </c>
      <c r="AP228" s="32"/>
      <c r="AQ228" s="32"/>
      <c r="AR228" s="32"/>
      <c r="AS228" s="32"/>
      <c r="AT228" s="32"/>
      <c r="AU228" s="32"/>
      <c r="AV228" s="32"/>
      <c r="AW228" s="32"/>
      <c r="AX228" s="32"/>
      <c r="AY228" s="32"/>
      <c r="AZ228" s="32"/>
      <c r="BA228" s="32"/>
      <c r="BB228" s="32"/>
      <c r="BC228" s="32"/>
      <c r="BD228" s="32">
        <f>IFERROR(__xludf.DUMMYFUNCTION("""COMPUTED_VALUE"""),0.0)</f>
        <v>0</v>
      </c>
      <c r="BE228" s="32">
        <f>IFERROR(__xludf.DUMMYFUNCTION("""COMPUTED_VALUE"""),10.0)</f>
        <v>10</v>
      </c>
      <c r="BF228" s="32" t="str">
        <f>IFERROR(__xludf.DUMMYFUNCTION("""COMPUTED_VALUE"""),"Undead- Can only be killed by light,fire, or celestial")</f>
        <v>Undead- Can only be killed by light,fire, or celestial</v>
      </c>
      <c r="BG228" s="32" t="str">
        <f>IFERROR(__xludf.DUMMYFUNCTION("""COMPUTED_VALUE"""),"All")</f>
        <v>All</v>
      </c>
      <c r="BH228" s="32" t="str">
        <f>IFERROR(__xludf.DUMMYFUNCTION("""COMPUTED_VALUE"""),"Land of Spira")</f>
        <v>Land of Spira</v>
      </c>
      <c r="BI228" s="32"/>
      <c r="BJ228" s="32"/>
      <c r="BK228" s="32"/>
      <c r="BL228" s="32" t="b">
        <f>IFERROR(__xludf.DUMMYFUNCTION("""COMPUTED_VALUE"""),FALSE)</f>
        <v>0</v>
      </c>
      <c r="BM228" s="32"/>
      <c r="BN228" s="32"/>
      <c r="BO228" s="32"/>
      <c r="BP228" s="32"/>
      <c r="BQ228" s="32"/>
    </row>
    <row r="229">
      <c r="A229" s="32" t="str">
        <f>IFERROR(__xludf.DUMMYFUNCTION("""COMPUTED_VALUE"""),"Skilled Robot Soldier (King Of Mekanas Companion)")</f>
        <v>Skilled Robot Soldier (King Of Mekanas Companion)</v>
      </c>
      <c r="B229" s="32">
        <f>IFERROR(__xludf.DUMMYFUNCTION("""COMPUTED_VALUE"""),1.0)</f>
        <v>1</v>
      </c>
      <c r="C229" s="32"/>
      <c r="D229" s="33" t="str">
        <f>IFERROR(__xludf.DUMMYFUNCTION("""COMPUTED_VALUE"""),"Construct")</f>
        <v>Construct</v>
      </c>
      <c r="E229" s="33">
        <f>IFERROR(__xludf.DUMMYFUNCTION("""COMPUTED_VALUE"""),1010.0)</f>
        <v>1010</v>
      </c>
      <c r="F229" s="33">
        <f>IFERROR(__xludf.DUMMYFUNCTION("""COMPUTED_VALUE"""),1010.0)</f>
        <v>1010</v>
      </c>
      <c r="G229" s="33">
        <f>IFERROR(__xludf.DUMMYFUNCTION("""COMPUTED_VALUE"""),1010.0)</f>
        <v>1010</v>
      </c>
      <c r="H229" s="32">
        <f>IFERROR(__xludf.DUMMYFUNCTION("""COMPUTED_VALUE"""),10.0)</f>
        <v>10</v>
      </c>
      <c r="I229" s="32">
        <f>IFERROR(__xludf.DUMMYFUNCTION("""COMPUTED_VALUE"""),0.0)</f>
        <v>0</v>
      </c>
      <c r="J229" s="32">
        <f>IFERROR(__xludf.DUMMYFUNCTION("""COMPUTED_VALUE"""),0.0)</f>
        <v>0</v>
      </c>
      <c r="K229" s="32">
        <f>IFERROR(__xludf.DUMMYFUNCTION("""COMPUTED_VALUE"""),100.0)</f>
        <v>100</v>
      </c>
      <c r="L229" s="32">
        <f>IFERROR(__xludf.DUMMYFUNCTION("""COMPUTED_VALUE"""),100.0)</f>
        <v>100</v>
      </c>
      <c r="M229" s="32" t="str">
        <f>IFERROR(__xludf.DUMMYFUNCTION("""COMPUTED_VALUE"""),"Natural:Immune, ")</f>
        <v>Natural:Immune, </v>
      </c>
      <c r="N229" s="32" t="str">
        <f>IFERROR(__xludf.DUMMYFUNCTION("""COMPUTED_VALUE"""),"Fire:100, Water:100, ")</f>
        <v>Fire:100, Water:100, </v>
      </c>
      <c r="O229" s="32"/>
      <c r="P229" s="32"/>
      <c r="Q229" s="32"/>
      <c r="R229" s="32"/>
      <c r="S229" s="32"/>
      <c r="T229" s="32"/>
      <c r="U229" s="32"/>
      <c r="V229" s="32"/>
      <c r="W229" s="32"/>
      <c r="X229" s="32"/>
      <c r="Y229" s="32"/>
      <c r="Z229" s="32"/>
      <c r="AA229" s="32"/>
      <c r="AB229" s="32"/>
      <c r="AC229" s="32"/>
      <c r="AD229" s="32"/>
      <c r="AE229" s="32"/>
      <c r="AF229" s="32"/>
      <c r="AG229" s="32"/>
      <c r="AH229" s="32"/>
      <c r="AI229" s="32"/>
      <c r="AJ229" s="32" t="str">
        <f>IFERROR(__xludf.DUMMYFUNCTION("""COMPUTED_VALUE"""),"Overcharge")</f>
        <v>Overcharge</v>
      </c>
      <c r="AK229" s="32" t="str">
        <f>IFERROR(__xludf.DUMMYFUNCTION("""COMPUTED_VALUE"""),"Recharge")</f>
        <v>Recharge</v>
      </c>
      <c r="AL229" s="32" t="str">
        <f>IFERROR(__xludf.DUMMYFUNCTION("""COMPUTED_VALUE"""),"Cooldown")</f>
        <v>Cooldown</v>
      </c>
      <c r="AM229" s="32"/>
      <c r="AN229" s="32"/>
      <c r="AO229" s="32"/>
      <c r="AP229" s="32"/>
      <c r="AQ229" s="32"/>
      <c r="AR229" s="32"/>
      <c r="AS229" s="32"/>
      <c r="AT229" s="32"/>
      <c r="AU229" s="32"/>
      <c r="AV229" s="32"/>
      <c r="AW229" s="32"/>
      <c r="AX229" s="32"/>
      <c r="AY229" s="32"/>
      <c r="AZ229" s="32"/>
      <c r="BA229" s="32"/>
      <c r="BB229" s="32"/>
      <c r="BC229" s="32"/>
      <c r="BD229" s="32">
        <f>IFERROR(__xludf.DUMMYFUNCTION("""COMPUTED_VALUE"""),0.0)</f>
        <v>0</v>
      </c>
      <c r="BE229" s="32">
        <f>IFERROR(__xludf.DUMMYFUNCTION("""COMPUTED_VALUE"""),10.0)</f>
        <v>10</v>
      </c>
      <c r="BF229" s="32"/>
      <c r="BG229" s="32" t="str">
        <f>IFERROR(__xludf.DUMMYFUNCTION("""COMPUTED_VALUE"""),"City/Town")</f>
        <v>City/Town</v>
      </c>
      <c r="BH229" s="32" t="str">
        <f>IFERROR(__xludf.DUMMYFUNCTION("""COMPUTED_VALUE"""),"Land Of Spira")</f>
        <v>Land Of Spira</v>
      </c>
      <c r="BI229" s="32"/>
      <c r="BJ229" s="32"/>
      <c r="BK229" s="32"/>
      <c r="BL229" s="32" t="b">
        <f>IFERROR(__xludf.DUMMYFUNCTION("""COMPUTED_VALUE"""),FALSE)</f>
        <v>0</v>
      </c>
      <c r="BM229" s="32"/>
      <c r="BN229" s="32"/>
      <c r="BO229" s="32"/>
      <c r="BP229" s="32"/>
      <c r="BQ229" s="32"/>
    </row>
    <row r="230">
      <c r="A230" s="32" t="str">
        <f>IFERROR(__xludf.DUMMYFUNCTION("""COMPUTED_VALUE"""),"Slime")</f>
        <v>Slime</v>
      </c>
      <c r="B230" s="32">
        <f>IFERROR(__xludf.DUMMYFUNCTION("""COMPUTED_VALUE"""),1.0)</f>
        <v>1</v>
      </c>
      <c r="C230" s="32"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33" t="str">
        <f>IFERROR(__xludf.DUMMYFUNCTION("""COMPUTED_VALUE"""),"Monstrosity")</f>
        <v>Monstrosity</v>
      </c>
      <c r="E230" s="33">
        <f>IFERROR(__xludf.DUMMYFUNCTION("""COMPUTED_VALUE"""),1010.0)</f>
        <v>1010</v>
      </c>
      <c r="F230" s="33">
        <f>IFERROR(__xludf.DUMMYFUNCTION("""COMPUTED_VALUE"""),1010.0)</f>
        <v>1010</v>
      </c>
      <c r="G230" s="33">
        <f>IFERROR(__xludf.DUMMYFUNCTION("""COMPUTED_VALUE"""),1010.0)</f>
        <v>1010</v>
      </c>
      <c r="H230" s="32">
        <f>IFERROR(__xludf.DUMMYFUNCTION("""COMPUTED_VALUE"""),10.0)</f>
        <v>10</v>
      </c>
      <c r="I230" s="32">
        <f>IFERROR(__xludf.DUMMYFUNCTION("""COMPUTED_VALUE"""),0.0)</f>
        <v>0</v>
      </c>
      <c r="J230" s="32">
        <f>IFERROR(__xludf.DUMMYFUNCTION("""COMPUTED_VALUE"""),0.0)</f>
        <v>0</v>
      </c>
      <c r="K230" s="32">
        <f>IFERROR(__xludf.DUMMYFUNCTION("""COMPUTED_VALUE"""),100.0)</f>
        <v>100</v>
      </c>
      <c r="L230" s="32">
        <f>IFERROR(__xludf.DUMMYFUNCTION("""COMPUTED_VALUE"""),100.0)</f>
        <v>100</v>
      </c>
      <c r="M230" s="32" t="str">
        <f>IFERROR(__xludf.DUMMYFUNCTION("""COMPUTED_VALUE"""),"")</f>
        <v/>
      </c>
      <c r="N230" s="32" t="str">
        <f>IFERROR(__xludf.DUMMYFUNCTION("""COMPUTED_VALUE"""),"")</f>
        <v/>
      </c>
      <c r="O230" s="32"/>
      <c r="P230" s="32"/>
      <c r="Q230" s="32"/>
      <c r="R230" s="32"/>
      <c r="S230" s="32"/>
      <c r="T230" s="32"/>
      <c r="U230" s="32"/>
      <c r="V230" s="32"/>
      <c r="W230" s="32"/>
      <c r="X230" s="32"/>
      <c r="Y230" s="32"/>
      <c r="Z230" s="32"/>
      <c r="AA230" s="32"/>
      <c r="AB230" s="32"/>
      <c r="AC230" s="32"/>
      <c r="AD230" s="32"/>
      <c r="AE230" s="32"/>
      <c r="AF230" s="32"/>
      <c r="AG230" s="32"/>
      <c r="AH230" s="32"/>
      <c r="AI230" s="32"/>
      <c r="AJ230" s="32" t="str">
        <f>IFERROR(__xludf.DUMMYFUNCTION("""COMPUTED_VALUE"""),"Latch on")</f>
        <v>Latch on</v>
      </c>
      <c r="AK230" s="32" t="str">
        <f>IFERROR(__xludf.DUMMYFUNCTION("""COMPUTED_VALUE"""),"Absorb")</f>
        <v>Absorb</v>
      </c>
      <c r="AL230" s="32" t="str">
        <f>IFERROR(__xludf.DUMMYFUNCTION("""COMPUTED_VALUE"""),"Absorb Enemy ")</f>
        <v>Absorb Enemy </v>
      </c>
      <c r="AM230" s="32"/>
      <c r="AN230" s="32"/>
      <c r="AO230" s="32"/>
      <c r="AP230" s="32"/>
      <c r="AQ230" s="32"/>
      <c r="AR230" s="32"/>
      <c r="AS230" s="32"/>
      <c r="AT230" s="32"/>
      <c r="AU230" s="32"/>
      <c r="AV230" s="32"/>
      <c r="AW230" s="32"/>
      <c r="AX230" s="32"/>
      <c r="AY230" s="32"/>
      <c r="AZ230" s="32"/>
      <c r="BA230" s="32"/>
      <c r="BB230" s="32"/>
      <c r="BC230" s="32"/>
      <c r="BD230" s="32">
        <f>IFERROR(__xludf.DUMMYFUNCTION("""COMPUTED_VALUE"""),0.0)</f>
        <v>0</v>
      </c>
      <c r="BE230" s="32">
        <f>IFERROR(__xludf.DUMMYFUNCTION("""COMPUTED_VALUE"""),15.0)</f>
        <v>15</v>
      </c>
      <c r="BF230" s="32" t="str">
        <f>IFERROR(__xludf.DUMMYFUNCTION("""COMPUTED_VALUE"""),"Absorption: 50% chance to absorb a spell or attack affecting this creature")</f>
        <v>Absorption: 50% chance to absorb a spell or attack affecting this creature</v>
      </c>
      <c r="BG230" s="32" t="str">
        <f>IFERROR(__xludf.DUMMYFUNCTION("""COMPUTED_VALUE"""),"All")</f>
        <v>All</v>
      </c>
      <c r="BH230" s="32" t="str">
        <f>IFERROR(__xludf.DUMMYFUNCTION("""COMPUTED_VALUE"""),"Land of Spira")</f>
        <v>Land of Spira</v>
      </c>
      <c r="BI230" s="32"/>
      <c r="BJ230" s="32"/>
      <c r="BK230" s="32"/>
      <c r="BL230" s="32" t="b">
        <f>IFERROR(__xludf.DUMMYFUNCTION("""COMPUTED_VALUE"""),FALSE)</f>
        <v>0</v>
      </c>
      <c r="BM230" s="32"/>
      <c r="BN230" s="32"/>
      <c r="BO230" s="32"/>
      <c r="BP230" s="32"/>
      <c r="BQ230" s="32"/>
    </row>
    <row r="231">
      <c r="A231" s="32" t="str">
        <f>IFERROR(__xludf.DUMMYFUNCTION("""COMPUTED_VALUE"""),"Sorana- Demon Of The Cycle")</f>
        <v>Sorana- Demon Of The Cycle</v>
      </c>
      <c r="B231" s="32">
        <f>IFERROR(__xludf.DUMMYFUNCTION("""COMPUTED_VALUE"""),1.0)</f>
        <v>1</v>
      </c>
      <c r="C231" s="32"/>
      <c r="D231" s="33" t="str">
        <f>IFERROR(__xludf.DUMMYFUNCTION("""COMPUTED_VALUE"""),"Demonic")</f>
        <v>Demonic</v>
      </c>
      <c r="E231" s="33">
        <f>IFERROR(__xludf.DUMMYFUNCTION("""COMPUTED_VALUE"""),1010.0)</f>
        <v>1010</v>
      </c>
      <c r="F231" s="33">
        <f>IFERROR(__xludf.DUMMYFUNCTION("""COMPUTED_VALUE"""),1010.0)</f>
        <v>1010</v>
      </c>
      <c r="G231" s="33">
        <f>IFERROR(__xludf.DUMMYFUNCTION("""COMPUTED_VALUE"""),1010.0)</f>
        <v>1010</v>
      </c>
      <c r="H231" s="32">
        <f>IFERROR(__xludf.DUMMYFUNCTION("""COMPUTED_VALUE"""),10.0)</f>
        <v>10</v>
      </c>
      <c r="I231" s="32">
        <f>IFERROR(__xludf.DUMMYFUNCTION("""COMPUTED_VALUE"""),0.0)</f>
        <v>0</v>
      </c>
      <c r="J231" s="32">
        <f>IFERROR(__xludf.DUMMYFUNCTION("""COMPUTED_VALUE"""),0.0)</f>
        <v>0</v>
      </c>
      <c r="K231" s="32">
        <f>IFERROR(__xludf.DUMMYFUNCTION("""COMPUTED_VALUE"""),100.0)</f>
        <v>100</v>
      </c>
      <c r="L231" s="32">
        <f>IFERROR(__xludf.DUMMYFUNCTION("""COMPUTED_VALUE"""),100.0)</f>
        <v>100</v>
      </c>
      <c r="M231" s="32" t="str">
        <f>IFERROR(__xludf.DUMMYFUNCTION("""COMPUTED_VALUE"""),"Dark:Immune, Chaos:Immune, Voodoo:Immune, Instant Death:Immune, Banishment:Immune, ")</f>
        <v>Dark:Immune, Chaos:Immune, Voodoo:Immune, Instant Death:Immune, Banishment:Immune, </v>
      </c>
      <c r="N231" s="32" t="str">
        <f>IFERROR(__xludf.DUMMYFUNCTION("""COMPUTED_VALUE"""),"Fire:100, Light:100, Order:100, ")</f>
        <v>Fire:100, Light:100, Order:100, </v>
      </c>
      <c r="O231" s="32"/>
      <c r="P231" s="32"/>
      <c r="Q231" s="32"/>
      <c r="R231" s="32"/>
      <c r="S231" s="32"/>
      <c r="T231" s="32"/>
      <c r="U231" s="32"/>
      <c r="V231" s="32"/>
      <c r="W231" s="32"/>
      <c r="X231" s="32"/>
      <c r="Y231" s="32"/>
      <c r="Z231" s="32"/>
      <c r="AA231" s="32"/>
      <c r="AB231" s="32"/>
      <c r="AC231" s="32"/>
      <c r="AD231" s="32"/>
      <c r="AE231" s="32"/>
      <c r="AF231" s="32"/>
      <c r="AG231" s="32"/>
      <c r="AH231" s="32"/>
      <c r="AI231" s="32"/>
      <c r="AJ231" s="32" t="str">
        <f>IFERROR(__xludf.DUMMYFUNCTION("""COMPUTED_VALUE"""),"The Cycle")</f>
        <v>The Cycle</v>
      </c>
      <c r="AK231" s="32"/>
      <c r="AL231" s="32"/>
      <c r="AM231" s="32"/>
      <c r="AN231" s="32"/>
      <c r="AO231" s="32"/>
      <c r="AP231" s="32"/>
      <c r="AQ231" s="32"/>
      <c r="AR231" s="32"/>
      <c r="AS231" s="32"/>
      <c r="AT231" s="32"/>
      <c r="AU231" s="32"/>
      <c r="AV231" s="32"/>
      <c r="AW231" s="32"/>
      <c r="AX231" s="32"/>
      <c r="AY231" s="32"/>
      <c r="AZ231" s="32"/>
      <c r="BA231" s="32"/>
      <c r="BB231" s="32"/>
      <c r="BC231" s="32"/>
      <c r="BD231" s="32">
        <f>IFERROR(__xludf.DUMMYFUNCTION("""COMPUTED_VALUE"""),0.0)</f>
        <v>0</v>
      </c>
      <c r="BE231" s="32">
        <f>IFERROR(__xludf.DUMMYFUNCTION("""COMPUTED_VALUE"""),10.0)</f>
        <v>10</v>
      </c>
      <c r="BF231" s="32" t="str">
        <f>IFERROR(__xludf.DUMMYFUNCTION("""COMPUTED_VALUE"""),"will live on 1 hp unless hit with light, fire, or celestial.")</f>
        <v>will live on 1 hp unless hit with light, fire, or celestial.</v>
      </c>
      <c r="BG231" s="32" t="str">
        <f>IFERROR(__xludf.DUMMYFUNCTION("""COMPUTED_VALUE"""),"Dungeon")</f>
        <v>Dungeon</v>
      </c>
      <c r="BH231" s="32" t="str">
        <f>IFERROR(__xludf.DUMMYFUNCTION("""COMPUTED_VALUE"""),"Land Of Spira")</f>
        <v>Land Of Spira</v>
      </c>
      <c r="BI231" s="32"/>
      <c r="BJ231" s="32"/>
      <c r="BK231" s="32"/>
      <c r="BL231" s="32" t="b">
        <f>IFERROR(__xludf.DUMMYFUNCTION("""COMPUTED_VALUE"""),FALSE)</f>
        <v>0</v>
      </c>
      <c r="BM231" s="32"/>
      <c r="BN231" s="32"/>
      <c r="BO231" s="32"/>
      <c r="BP231" s="32"/>
      <c r="BQ231" s="32"/>
    </row>
    <row r="232">
      <c r="A232" s="32" t="str">
        <f>IFERROR(__xludf.DUMMYFUNCTION("""COMPUTED_VALUE"""),"Soul Dragon")</f>
        <v>Soul Dragon</v>
      </c>
      <c r="B232" s="32">
        <f>IFERROR(__xludf.DUMMYFUNCTION("""COMPUTED_VALUE"""),1.0)</f>
        <v>1</v>
      </c>
      <c r="C232" s="32"/>
      <c r="D232" s="32" t="str">
        <f>IFERROR(__xludf.DUMMYFUNCTION("""COMPUTED_VALUE"""),"Draconic")</f>
        <v>Draconic</v>
      </c>
      <c r="E232" s="32">
        <f>IFERROR(__xludf.DUMMYFUNCTION("""COMPUTED_VALUE"""),31010.0)</f>
        <v>31010</v>
      </c>
      <c r="F232" s="33">
        <f>IFERROR(__xludf.DUMMYFUNCTION("""COMPUTED_VALUE"""),31010.0)</f>
        <v>31010</v>
      </c>
      <c r="G232" s="32">
        <f>IFERROR(__xludf.DUMMYFUNCTION("""COMPUTED_VALUE"""),31010.0)</f>
        <v>31010</v>
      </c>
      <c r="H232" s="32">
        <f>IFERROR(__xludf.DUMMYFUNCTION("""COMPUTED_VALUE"""),15.0)</f>
        <v>15</v>
      </c>
      <c r="I232" s="32">
        <f>IFERROR(__xludf.DUMMYFUNCTION("""COMPUTED_VALUE"""),0.0)</f>
        <v>0</v>
      </c>
      <c r="J232" s="32">
        <f>IFERROR(__xludf.DUMMYFUNCTION("""COMPUTED_VALUE"""),0.0)</f>
        <v>0</v>
      </c>
      <c r="K232" s="32">
        <f>IFERROR(__xludf.DUMMYFUNCTION("""COMPUTED_VALUE"""),100.0)</f>
        <v>100</v>
      </c>
      <c r="L232" s="32">
        <f>IFERROR(__xludf.DUMMYFUNCTION("""COMPUTED_VALUE"""),100.0)</f>
        <v>100</v>
      </c>
      <c r="M232" s="32" t="str">
        <f>IFERROR(__xludf.DUMMYFUNCTION("""COMPUTED_VALUE"""),"Dark:Immune, Instant Death:Immune, Banishment:Immune, ")</f>
        <v>Dark:Immune, Instant Death:Immune, Banishment:Immune, </v>
      </c>
      <c r="N232" s="32" t="str">
        <f>IFERROR(__xludf.DUMMYFUNCTION("""COMPUTED_VALUE"""),"Fire:100, Light:100, ")</f>
        <v>Fire:100, Light:100, </v>
      </c>
      <c r="O232" s="32"/>
      <c r="P232" s="32"/>
      <c r="Q232" s="32"/>
      <c r="R232" s="32"/>
      <c r="S232" s="32"/>
      <c r="T232" s="32"/>
      <c r="U232" s="32"/>
      <c r="V232" s="32"/>
      <c r="W232" s="32"/>
      <c r="X232" s="32"/>
      <c r="Y232" s="32"/>
      <c r="Z232" s="32"/>
      <c r="AA232" s="32"/>
      <c r="AB232" s="32"/>
      <c r="AC232" s="32"/>
      <c r="AD232" s="32"/>
      <c r="AE232" s="32"/>
      <c r="AF232" s="32"/>
      <c r="AG232" s="32"/>
      <c r="AH232" s="32"/>
      <c r="AI232" s="32"/>
      <c r="AJ232" s="32" t="str">
        <f>IFERROR(__xludf.DUMMYFUNCTION("""COMPUTED_VALUE"""),"Dragon's Breath")</f>
        <v>Dragon's Breath</v>
      </c>
      <c r="AK232" s="32" t="str">
        <f>IFERROR(__xludf.DUMMYFUNCTION("""COMPUTED_VALUE"""),"Bite")</f>
        <v>Bite</v>
      </c>
      <c r="AL232" s="32" t="str">
        <f>IFERROR(__xludf.DUMMYFUNCTION("""COMPUTED_VALUE"""),"Tail Smash")</f>
        <v>Tail Smash</v>
      </c>
      <c r="AM232" s="32" t="str">
        <f>IFERROR(__xludf.DUMMYFUNCTION("""COMPUTED_VALUE"""),"Claws")</f>
        <v>Claws</v>
      </c>
      <c r="AN232" s="32" t="str">
        <f>IFERROR(__xludf.DUMMYFUNCTION("""COMPUTED_VALUE"""),"Berserk")</f>
        <v>Berserk</v>
      </c>
      <c r="AO232" s="32" t="str">
        <f>IFERROR(__xludf.DUMMYFUNCTION("""COMPUTED_VALUE"""),"Multishot")</f>
        <v>Multishot</v>
      </c>
      <c r="AP232" s="32" t="str">
        <f>IFERROR(__xludf.DUMMYFUNCTION("""COMPUTED_VALUE"""),"Draconic Scream")</f>
        <v>Draconic Scream</v>
      </c>
      <c r="AQ232" s="32" t="str">
        <f>IFERROR(__xludf.DUMMYFUNCTION("""COMPUTED_VALUE"""),"Spirit Fog")</f>
        <v>Spirit Fog</v>
      </c>
      <c r="AR232" s="32" t="str">
        <f>IFERROR(__xludf.DUMMYFUNCTION("""COMPUTED_VALUE"""),"Rain of Souls")</f>
        <v>Rain of Souls</v>
      </c>
      <c r="AS232" s="32" t="str">
        <f>IFERROR(__xludf.DUMMYFUNCTION("""COMPUTED_VALUE"""),"Soul Trap")</f>
        <v>Soul Trap</v>
      </c>
      <c r="AT232" s="32" t="str">
        <f>IFERROR(__xludf.DUMMYFUNCTION("""COMPUTED_VALUE"""),"Celestial Wrath")</f>
        <v>Celestial Wrath</v>
      </c>
      <c r="AU232" s="32"/>
      <c r="AV232" s="32"/>
      <c r="AW232" s="32"/>
      <c r="AX232" s="32"/>
      <c r="AY232" s="32"/>
      <c r="AZ232" s="32"/>
      <c r="BA232" s="32"/>
      <c r="BB232" s="32"/>
      <c r="BC232" s="32"/>
      <c r="BD232" s="32">
        <f>IFERROR(__xludf.DUMMYFUNCTION("""COMPUTED_VALUE"""),0.0)</f>
        <v>0</v>
      </c>
      <c r="BE232" s="32">
        <f>IFERROR(__xludf.DUMMYFUNCTION("""COMPUTED_VALUE"""),10.0)</f>
        <v>10</v>
      </c>
      <c r="BF232" s="32"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32" t="str">
        <f>IFERROR(__xludf.DUMMYFUNCTION("""COMPUTED_VALUE"""),"All")</f>
        <v>All</v>
      </c>
      <c r="BH232" s="32" t="str">
        <f>IFERROR(__xludf.DUMMYFUNCTION("""COMPUTED_VALUE"""),"Dragonscale Island")</f>
        <v>Dragonscale Island</v>
      </c>
      <c r="BI232" s="32"/>
      <c r="BJ232" s="32"/>
      <c r="BK232" s="32"/>
      <c r="BL232" s="32" t="b">
        <f>IFERROR(__xludf.DUMMYFUNCTION("""COMPUTED_VALUE"""),FALSE)</f>
        <v>0</v>
      </c>
      <c r="BM232" s="32"/>
      <c r="BN232" s="32"/>
      <c r="BO232" s="32"/>
      <c r="BP232" s="32"/>
      <c r="BQ232" s="32"/>
    </row>
    <row r="233">
      <c r="A233" s="32" t="str">
        <f>IFERROR(__xludf.DUMMYFUNCTION("""COMPUTED_VALUE"""),"Spirit Dragon")</f>
        <v>Spirit Dragon</v>
      </c>
      <c r="B233" s="32">
        <f>IFERROR(__xludf.DUMMYFUNCTION("""COMPUTED_VALUE"""),1.0)</f>
        <v>1</v>
      </c>
      <c r="C233" s="32"/>
      <c r="D233" s="32" t="str">
        <f>IFERROR(__xludf.DUMMYFUNCTION("""COMPUTED_VALUE"""),"Draconic")</f>
        <v>Draconic</v>
      </c>
      <c r="E233" s="32">
        <f>IFERROR(__xludf.DUMMYFUNCTION("""COMPUTED_VALUE"""),31010.0)</f>
        <v>31010</v>
      </c>
      <c r="F233" s="33">
        <f>IFERROR(__xludf.DUMMYFUNCTION("""COMPUTED_VALUE"""),31010.0)</f>
        <v>31010</v>
      </c>
      <c r="G233" s="32">
        <f>IFERROR(__xludf.DUMMYFUNCTION("""COMPUTED_VALUE"""),31010.0)</f>
        <v>31010</v>
      </c>
      <c r="H233" s="32">
        <f>IFERROR(__xludf.DUMMYFUNCTION("""COMPUTED_VALUE"""),15.0)</f>
        <v>15</v>
      </c>
      <c r="I233" s="32">
        <f>IFERROR(__xludf.DUMMYFUNCTION("""COMPUTED_VALUE"""),0.0)</f>
        <v>0</v>
      </c>
      <c r="J233" s="32">
        <f>IFERROR(__xludf.DUMMYFUNCTION("""COMPUTED_VALUE"""),0.0)</f>
        <v>0</v>
      </c>
      <c r="K233" s="32">
        <f>IFERROR(__xludf.DUMMYFUNCTION("""COMPUTED_VALUE"""),100.0)</f>
        <v>100</v>
      </c>
      <c r="L233" s="32">
        <f>IFERROR(__xludf.DUMMYFUNCTION("""COMPUTED_VALUE"""),100.0)</f>
        <v>100</v>
      </c>
      <c r="M233" s="32" t="str">
        <f>IFERROR(__xludf.DUMMYFUNCTION("""COMPUTED_VALUE"""),"Dark:Immune, Instant Death:Immune, Banishment:Immune, ")</f>
        <v>Dark:Immune, Instant Death:Immune, Banishment:Immune, </v>
      </c>
      <c r="N233" s="32" t="str">
        <f>IFERROR(__xludf.DUMMYFUNCTION("""COMPUTED_VALUE"""),"Fire:100, Light:100, ")</f>
        <v>Fire:100, Light:100, </v>
      </c>
      <c r="O233" s="32"/>
      <c r="P233" s="32"/>
      <c r="Q233" s="32"/>
      <c r="R233" s="32"/>
      <c r="S233" s="32"/>
      <c r="T233" s="32"/>
      <c r="U233" s="32"/>
      <c r="V233" s="32"/>
      <c r="W233" s="32"/>
      <c r="X233" s="32"/>
      <c r="Y233" s="32"/>
      <c r="Z233" s="32"/>
      <c r="AA233" s="32"/>
      <c r="AB233" s="32"/>
      <c r="AC233" s="32"/>
      <c r="AD233" s="32"/>
      <c r="AE233" s="32"/>
      <c r="AF233" s="32"/>
      <c r="AG233" s="32"/>
      <c r="AH233" s="32"/>
      <c r="AI233" s="32"/>
      <c r="AJ233" s="32" t="str">
        <f>IFERROR(__xludf.DUMMYFUNCTION("""COMPUTED_VALUE"""),"Dragon's Breath")</f>
        <v>Dragon's Breath</v>
      </c>
      <c r="AK233" s="32" t="str">
        <f>IFERROR(__xludf.DUMMYFUNCTION("""COMPUTED_VALUE"""),"Bite")</f>
        <v>Bite</v>
      </c>
      <c r="AL233" s="32" t="str">
        <f>IFERROR(__xludf.DUMMYFUNCTION("""COMPUTED_VALUE"""),"Tail Smash")</f>
        <v>Tail Smash</v>
      </c>
      <c r="AM233" s="32" t="str">
        <f>IFERROR(__xludf.DUMMYFUNCTION("""COMPUTED_VALUE"""),"Claws")</f>
        <v>Claws</v>
      </c>
      <c r="AN233" s="32" t="str">
        <f>IFERROR(__xludf.DUMMYFUNCTION("""COMPUTED_VALUE"""),"Berserk")</f>
        <v>Berserk</v>
      </c>
      <c r="AO233" s="32" t="str">
        <f>IFERROR(__xludf.DUMMYFUNCTION("""COMPUTED_VALUE"""),"Multishot")</f>
        <v>Multishot</v>
      </c>
      <c r="AP233" s="32" t="str">
        <f>IFERROR(__xludf.DUMMYFUNCTION("""COMPUTED_VALUE"""),"Draconic Scream")</f>
        <v>Draconic Scream</v>
      </c>
      <c r="AQ233" s="32" t="str">
        <f>IFERROR(__xludf.DUMMYFUNCTION("""COMPUTED_VALUE"""),"A Deal With The Spirit World")</f>
        <v>A Deal With The Spirit World</v>
      </c>
      <c r="AR233" s="32" t="str">
        <f>IFERROR(__xludf.DUMMYFUNCTION("""COMPUTED_VALUE"""),"Spirit Drain")</f>
        <v>Spirit Drain</v>
      </c>
      <c r="AS233" s="32" t="str">
        <f>IFERROR(__xludf.DUMMYFUNCTION("""COMPUTED_VALUE"""),"Possession")</f>
        <v>Possession</v>
      </c>
      <c r="AT233" s="32" t="str">
        <f>IFERROR(__xludf.DUMMYFUNCTION("""COMPUTED_VALUE"""),"Celestial Wrath")</f>
        <v>Celestial Wrath</v>
      </c>
      <c r="AU233" s="32" t="str">
        <f>IFERROR(__xludf.DUMMYFUNCTION("""COMPUTED_VALUE"""),"Spirit Fog")</f>
        <v>Spirit Fog</v>
      </c>
      <c r="AV233" s="32" t="str">
        <f>IFERROR(__xludf.DUMMYFUNCTION("""COMPUTED_VALUE"""),"Burning Dread")</f>
        <v>Burning Dread</v>
      </c>
      <c r="AW233" s="32"/>
      <c r="AX233" s="32"/>
      <c r="AY233" s="32"/>
      <c r="AZ233" s="32"/>
      <c r="BA233" s="32"/>
      <c r="BB233" s="32"/>
      <c r="BC233" s="32"/>
      <c r="BD233" s="32">
        <f>IFERROR(__xludf.DUMMYFUNCTION("""COMPUTED_VALUE"""),0.0)</f>
        <v>0</v>
      </c>
      <c r="BE233" s="32">
        <f>IFERROR(__xludf.DUMMYFUNCTION("""COMPUTED_VALUE"""),10.0)</f>
        <v>10</v>
      </c>
      <c r="BF233" s="32"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32" t="str">
        <f>IFERROR(__xludf.DUMMYFUNCTION("""COMPUTED_VALUE"""),"All")</f>
        <v>All</v>
      </c>
      <c r="BH233" s="32" t="str">
        <f>IFERROR(__xludf.DUMMYFUNCTION("""COMPUTED_VALUE"""),"Dragonscale Island")</f>
        <v>Dragonscale Island</v>
      </c>
      <c r="BI233" s="32"/>
      <c r="BJ233" s="32"/>
      <c r="BK233" s="32"/>
      <c r="BL233" s="32" t="b">
        <f>IFERROR(__xludf.DUMMYFUNCTION("""COMPUTED_VALUE"""),FALSE)</f>
        <v>0</v>
      </c>
      <c r="BM233" s="32"/>
      <c r="BN233" s="32"/>
      <c r="BO233" s="32"/>
      <c r="BP233" s="32"/>
      <c r="BQ233" s="32"/>
    </row>
    <row r="234">
      <c r="A234" s="32" t="str">
        <f>IFERROR(__xludf.DUMMYFUNCTION("""COMPUTED_VALUE"""),"Spirit Warrior")</f>
        <v>Spirit Warrior</v>
      </c>
      <c r="B234" s="32">
        <f>IFERROR(__xludf.DUMMYFUNCTION("""COMPUTED_VALUE"""),1.0)</f>
        <v>1</v>
      </c>
      <c r="C234" s="32"/>
      <c r="D234" s="33" t="str">
        <f>IFERROR(__xludf.DUMMYFUNCTION("""COMPUTED_VALUE"""),"Spirit")</f>
        <v>Spirit</v>
      </c>
      <c r="E234" s="33">
        <f>IFERROR(__xludf.DUMMYFUNCTION("""COMPUTED_VALUE"""),1010.0)</f>
        <v>1010</v>
      </c>
      <c r="F234" s="33">
        <f>IFERROR(__xludf.DUMMYFUNCTION("""COMPUTED_VALUE"""),1010.0)</f>
        <v>1010</v>
      </c>
      <c r="G234" s="33">
        <f>IFERROR(__xludf.DUMMYFUNCTION("""COMPUTED_VALUE"""),1010.0)</f>
        <v>1010</v>
      </c>
      <c r="H234" s="32">
        <f>IFERROR(__xludf.DUMMYFUNCTION("""COMPUTED_VALUE"""),10.0)</f>
        <v>10</v>
      </c>
      <c r="I234" s="32">
        <f>IFERROR(__xludf.DUMMYFUNCTION("""COMPUTED_VALUE"""),0.0)</f>
        <v>0</v>
      </c>
      <c r="J234" s="32">
        <f>IFERROR(__xludf.DUMMYFUNCTION("""COMPUTED_VALUE"""),0.0)</f>
        <v>0</v>
      </c>
      <c r="K234" s="32">
        <f>IFERROR(__xludf.DUMMYFUNCTION("""COMPUTED_VALUE"""),100.0)</f>
        <v>100</v>
      </c>
      <c r="L234" s="32">
        <f>IFERROR(__xludf.DUMMYFUNCTION("""COMPUTED_VALUE"""),100.0)</f>
        <v>100</v>
      </c>
      <c r="M234" s="32" t="str">
        <f>IFERROR(__xludf.DUMMYFUNCTION("""COMPUTED_VALUE"""),"Dark:Immune, Spirit:Immune, Chaos:Immune, ")</f>
        <v>Dark:Immune, Spirit:Immune, Chaos:Immune, </v>
      </c>
      <c r="N234" s="32" t="str">
        <f>IFERROR(__xludf.DUMMYFUNCTION("""COMPUTED_VALUE"""),"Light:100, ")</f>
        <v>Light:100, </v>
      </c>
      <c r="O234" s="32"/>
      <c r="P234" s="32"/>
      <c r="Q234" s="32"/>
      <c r="R234" s="32"/>
      <c r="S234" s="32"/>
      <c r="T234" s="32"/>
      <c r="U234" s="32"/>
      <c r="V234" s="32" t="str">
        <f>IFERROR(__xludf.DUMMYFUNCTION("""COMPUTED_VALUE"""),"Spirit Shield")</f>
        <v>Spirit Shield</v>
      </c>
      <c r="W234" s="32" t="str">
        <f>IFERROR(__xludf.DUMMYFUNCTION("""COMPUTED_VALUE"""),"Spirit Blade")</f>
        <v>Spirit Blade</v>
      </c>
      <c r="X234" s="32"/>
      <c r="Y234" s="32"/>
      <c r="Z234" s="32"/>
      <c r="AA234" s="32"/>
      <c r="AB234" s="32"/>
      <c r="AC234" s="32"/>
      <c r="AD234" s="32"/>
      <c r="AE234" s="32"/>
      <c r="AF234" s="32"/>
      <c r="AG234" s="32"/>
      <c r="AH234" s="32"/>
      <c r="AI234" s="32"/>
      <c r="AJ234" s="32" t="str">
        <f>IFERROR(__xludf.DUMMYFUNCTION("""COMPUTED_VALUE"""),"Parry")</f>
        <v>Parry</v>
      </c>
      <c r="AK234" s="32" t="str">
        <f>IFERROR(__xludf.DUMMYFUNCTION("""COMPUTED_VALUE"""),"Berserk")</f>
        <v>Berserk</v>
      </c>
      <c r="AL234" s="32" t="str">
        <f>IFERROR(__xludf.DUMMYFUNCTION("""COMPUTED_VALUE"""),"Possession")</f>
        <v>Possession</v>
      </c>
      <c r="AM234" s="32" t="str">
        <f>IFERROR(__xludf.DUMMYFUNCTION("""COMPUTED_VALUE"""),"Degrade")</f>
        <v>Degrade</v>
      </c>
      <c r="AN234" s="32" t="str">
        <f>IFERROR(__xludf.DUMMYFUNCTION("""COMPUTED_VALUE"""),"Distant Warrior")</f>
        <v>Distant Warrior</v>
      </c>
      <c r="AO234" s="32"/>
      <c r="AP234" s="32"/>
      <c r="AQ234" s="32"/>
      <c r="AR234" s="32"/>
      <c r="AS234" s="32"/>
      <c r="AT234" s="32"/>
      <c r="AU234" s="32"/>
      <c r="AV234" s="32"/>
      <c r="AW234" s="32"/>
      <c r="AX234" s="32"/>
      <c r="AY234" s="32"/>
      <c r="AZ234" s="32"/>
      <c r="BA234" s="32"/>
      <c r="BB234" s="32"/>
      <c r="BC234" s="32"/>
      <c r="BD234" s="32">
        <f>IFERROR(__xludf.DUMMYFUNCTION("""COMPUTED_VALUE"""),0.0)</f>
        <v>0</v>
      </c>
      <c r="BE234" s="32">
        <f>IFERROR(__xludf.DUMMYFUNCTION("""COMPUTED_VALUE"""),10.0)</f>
        <v>10</v>
      </c>
      <c r="BF234" s="32"/>
      <c r="BG234" s="32" t="str">
        <f>IFERROR(__xludf.DUMMYFUNCTION("""COMPUTED_VALUE"""),"All")</f>
        <v>All</v>
      </c>
      <c r="BH234" s="32" t="str">
        <f>IFERROR(__xludf.DUMMYFUNCTION("""COMPUTED_VALUE"""),"Land Of Spira")</f>
        <v>Land Of Spira</v>
      </c>
      <c r="BI234" s="32"/>
      <c r="BJ234" s="32"/>
      <c r="BK234" s="32"/>
      <c r="BL234" s="32" t="b">
        <f>IFERROR(__xludf.DUMMYFUNCTION("""COMPUTED_VALUE"""),FALSE)</f>
        <v>0</v>
      </c>
      <c r="BM234" s="32"/>
      <c r="BN234" s="32"/>
      <c r="BO234" s="32"/>
      <c r="BP234" s="32"/>
      <c r="BQ234" s="32"/>
    </row>
    <row r="235">
      <c r="A235" s="32" t="str">
        <f>IFERROR(__xludf.DUMMYFUNCTION("""COMPUTED_VALUE"""),"Squid (WD)")</f>
        <v>Squid (WD)</v>
      </c>
      <c r="B235" s="32">
        <f>IFERROR(__xludf.DUMMYFUNCTION("""COMPUTED_VALUE"""),1.0)</f>
        <v>1</v>
      </c>
      <c r="C235" s="32"/>
      <c r="D235" s="33" t="str">
        <f>IFERROR(__xludf.DUMMYFUNCTION("""COMPUTED_VALUE"""),"Beast")</f>
        <v>Beast</v>
      </c>
      <c r="E235" s="33">
        <f>IFERROR(__xludf.DUMMYFUNCTION("""COMPUTED_VALUE"""),1010.0)</f>
        <v>1010</v>
      </c>
      <c r="F235" s="33">
        <f>IFERROR(__xludf.DUMMYFUNCTION("""COMPUTED_VALUE"""),1010.0)</f>
        <v>1010</v>
      </c>
      <c r="G235" s="33">
        <f>IFERROR(__xludf.DUMMYFUNCTION("""COMPUTED_VALUE"""),1010.0)</f>
        <v>1010</v>
      </c>
      <c r="H235" s="32">
        <f>IFERROR(__xludf.DUMMYFUNCTION("""COMPUTED_VALUE"""),10.0)</f>
        <v>10</v>
      </c>
      <c r="I235" s="32">
        <f>IFERROR(__xludf.DUMMYFUNCTION("""COMPUTED_VALUE"""),0.0)</f>
        <v>0</v>
      </c>
      <c r="J235" s="32">
        <f>IFERROR(__xludf.DUMMYFUNCTION("""COMPUTED_VALUE"""),0.0)</f>
        <v>0</v>
      </c>
      <c r="K235" s="32">
        <f>IFERROR(__xludf.DUMMYFUNCTION("""COMPUTED_VALUE"""),100.0)</f>
        <v>100</v>
      </c>
      <c r="L235" s="32">
        <f>IFERROR(__xludf.DUMMYFUNCTION("""COMPUTED_VALUE"""),100.0)</f>
        <v>100</v>
      </c>
      <c r="M235" s="32" t="str">
        <f>IFERROR(__xludf.DUMMYFUNCTION("""COMPUTED_VALUE"""),"Fire:Immune, Water:Immune, ")</f>
        <v>Fire:Immune, Water:Immune, </v>
      </c>
      <c r="N235" s="32" t="str">
        <f>IFERROR(__xludf.DUMMYFUNCTION("""COMPUTED_VALUE"""),"Nature:100, ")</f>
        <v>Nature:100, </v>
      </c>
      <c r="O235" s="32"/>
      <c r="P235" s="32"/>
      <c r="Q235" s="32"/>
      <c r="R235" s="32"/>
      <c r="S235" s="32"/>
      <c r="T235" s="32"/>
      <c r="U235" s="32"/>
      <c r="V235" s="32"/>
      <c r="W235" s="32"/>
      <c r="X235" s="32"/>
      <c r="Y235" s="32"/>
      <c r="Z235" s="32"/>
      <c r="AA235" s="32"/>
      <c r="AB235" s="32"/>
      <c r="AC235" s="32"/>
      <c r="AD235" s="32"/>
      <c r="AE235" s="32"/>
      <c r="AF235" s="32"/>
      <c r="AG235" s="32"/>
      <c r="AH235" s="32"/>
      <c r="AI235" s="32"/>
      <c r="AJ235" s="32" t="str">
        <f>IFERROR(__xludf.DUMMYFUNCTION("""COMPUTED_VALUE"""),"Ink Shot ")</f>
        <v>Ink Shot </v>
      </c>
      <c r="AK235" s="32" t="str">
        <f>IFERROR(__xludf.DUMMYFUNCTION("""COMPUTED_VALUE"""),"Tentacle Wack ")</f>
        <v>Tentacle Wack </v>
      </c>
      <c r="AL235" s="32"/>
      <c r="AM235" s="32"/>
      <c r="AN235" s="32"/>
      <c r="AO235" s="32"/>
      <c r="AP235" s="32"/>
      <c r="AQ235" s="32"/>
      <c r="AR235" s="32"/>
      <c r="AS235" s="32"/>
      <c r="AT235" s="32"/>
      <c r="AU235" s="32"/>
      <c r="AV235" s="32"/>
      <c r="AW235" s="32"/>
      <c r="AX235" s="32"/>
      <c r="AY235" s="32"/>
      <c r="AZ235" s="32"/>
      <c r="BA235" s="32"/>
      <c r="BB235" s="32"/>
      <c r="BC235" s="32"/>
      <c r="BD235" s="32">
        <f>IFERROR(__xludf.DUMMYFUNCTION("""COMPUTED_VALUE"""),0.0)</f>
        <v>0</v>
      </c>
      <c r="BE235" s="32">
        <f>IFERROR(__xludf.DUMMYFUNCTION("""COMPUTED_VALUE"""),10.0)</f>
        <v>10</v>
      </c>
      <c r="BF235" s="32"/>
      <c r="BG235" s="32" t="str">
        <f>IFERROR(__xludf.DUMMYFUNCTION("""COMPUTED_VALUE"""),"Ocean")</f>
        <v>Ocean</v>
      </c>
      <c r="BH235" s="32" t="str">
        <f>IFERROR(__xludf.DUMMYFUNCTION("""COMPUTED_VALUE"""),"Land Of Spira")</f>
        <v>Land Of Spira</v>
      </c>
      <c r="BI235" s="32"/>
      <c r="BJ235" s="32"/>
      <c r="BK235" s="32"/>
      <c r="BL235" s="32" t="b">
        <f>IFERROR(__xludf.DUMMYFUNCTION("""COMPUTED_VALUE"""),FALSE)</f>
        <v>0</v>
      </c>
      <c r="BM235" s="32"/>
      <c r="BN235" s="32"/>
      <c r="BO235" s="32"/>
      <c r="BP235" s="32"/>
      <c r="BQ235" s="32"/>
    </row>
    <row r="236">
      <c r="A236" s="32" t="str">
        <f>IFERROR(__xludf.DUMMYFUNCTION("""COMPUTED_VALUE"""),"Squid (WD) (Enhanced)")</f>
        <v>Squid (WD) (Enhanced)</v>
      </c>
      <c r="B236" s="32">
        <f>IFERROR(__xludf.DUMMYFUNCTION("""COMPUTED_VALUE"""),1.0)</f>
        <v>1</v>
      </c>
      <c r="C236" s="32"/>
      <c r="D236" s="33" t="str">
        <f>IFERROR(__xludf.DUMMYFUNCTION("""COMPUTED_VALUE"""),"Beast")</f>
        <v>Beast</v>
      </c>
      <c r="E236" s="33">
        <f>IFERROR(__xludf.DUMMYFUNCTION("""COMPUTED_VALUE"""),1010.0)</f>
        <v>1010</v>
      </c>
      <c r="F236" s="33">
        <f>IFERROR(__xludf.DUMMYFUNCTION("""COMPUTED_VALUE"""),1010.0)</f>
        <v>1010</v>
      </c>
      <c r="G236" s="33">
        <f>IFERROR(__xludf.DUMMYFUNCTION("""COMPUTED_VALUE"""),1010.0)</f>
        <v>1010</v>
      </c>
      <c r="H236" s="32">
        <f>IFERROR(__xludf.DUMMYFUNCTION("""COMPUTED_VALUE"""),10.0)</f>
        <v>10</v>
      </c>
      <c r="I236" s="32">
        <f>IFERROR(__xludf.DUMMYFUNCTION("""COMPUTED_VALUE"""),0.0)</f>
        <v>0</v>
      </c>
      <c r="J236" s="32">
        <f>IFERROR(__xludf.DUMMYFUNCTION("""COMPUTED_VALUE"""),0.0)</f>
        <v>0</v>
      </c>
      <c r="K236" s="32">
        <f>IFERROR(__xludf.DUMMYFUNCTION("""COMPUTED_VALUE"""),100.0)</f>
        <v>100</v>
      </c>
      <c r="L236" s="32">
        <f>IFERROR(__xludf.DUMMYFUNCTION("""COMPUTED_VALUE"""),100.0)</f>
        <v>100</v>
      </c>
      <c r="M236" s="32" t="str">
        <f>IFERROR(__xludf.DUMMYFUNCTION("""COMPUTED_VALUE"""),"Fire:Immune, Water:Immune, ")</f>
        <v>Fire:Immune, Water:Immune, </v>
      </c>
      <c r="N236" s="32" t="str">
        <f>IFERROR(__xludf.DUMMYFUNCTION("""COMPUTED_VALUE"""),"Nature:100, ")</f>
        <v>Nature:100, </v>
      </c>
      <c r="O236" s="32"/>
      <c r="P236" s="32"/>
      <c r="Q236" s="32"/>
      <c r="R236" s="32"/>
      <c r="S236" s="32"/>
      <c r="T236" s="32"/>
      <c r="U236" s="32"/>
      <c r="V236" s="32" t="str">
        <f>IFERROR(__xludf.DUMMYFUNCTION("""COMPUTED_VALUE"""),"Tentacle")</f>
        <v>Tentacle</v>
      </c>
      <c r="W236" s="32"/>
      <c r="X236" s="32"/>
      <c r="Y236" s="32"/>
      <c r="Z236" s="32"/>
      <c r="AA236" s="32"/>
      <c r="AB236" s="32"/>
      <c r="AC236" s="32"/>
      <c r="AD236" s="32"/>
      <c r="AE236" s="32"/>
      <c r="AF236" s="32"/>
      <c r="AG236" s="32"/>
      <c r="AH236" s="32"/>
      <c r="AI236" s="32"/>
      <c r="AJ236" s="32" t="str">
        <f>IFERROR(__xludf.DUMMYFUNCTION("""COMPUTED_VALUE"""),"Ink Shot ")</f>
        <v>Ink Shot </v>
      </c>
      <c r="AK236" s="32" t="str">
        <f>IFERROR(__xludf.DUMMYFUNCTION("""COMPUTED_VALUE"""),"Tentacle Wack ")</f>
        <v>Tentacle Wack </v>
      </c>
      <c r="AL236" s="32"/>
      <c r="AM236" s="32"/>
      <c r="AN236" s="32"/>
      <c r="AO236" s="32"/>
      <c r="AP236" s="32"/>
      <c r="AQ236" s="32"/>
      <c r="AR236" s="32"/>
      <c r="AS236" s="32"/>
      <c r="AT236" s="32"/>
      <c r="AU236" s="32"/>
      <c r="AV236" s="32"/>
      <c r="AW236" s="32"/>
      <c r="AX236" s="32"/>
      <c r="AY236" s="32"/>
      <c r="AZ236" s="32"/>
      <c r="BA236" s="32"/>
      <c r="BB236" s="32"/>
      <c r="BC236" s="32"/>
      <c r="BD236" s="32">
        <f>IFERROR(__xludf.DUMMYFUNCTION("""COMPUTED_VALUE"""),0.0)</f>
        <v>0</v>
      </c>
      <c r="BE236" s="32">
        <f>IFERROR(__xludf.DUMMYFUNCTION("""COMPUTED_VALUE"""),10.0)</f>
        <v>10</v>
      </c>
      <c r="BF236" s="32"/>
      <c r="BG236" s="32" t="str">
        <f>IFERROR(__xludf.DUMMYFUNCTION("""COMPUTED_VALUE"""),"Ocean")</f>
        <v>Ocean</v>
      </c>
      <c r="BH236" s="32" t="str">
        <f>IFERROR(__xludf.DUMMYFUNCTION("""COMPUTED_VALUE"""),"Land Of Spira")</f>
        <v>Land Of Spira</v>
      </c>
      <c r="BI236" s="32"/>
      <c r="BJ236" s="32"/>
      <c r="BK236" s="32"/>
      <c r="BL236" s="32" t="b">
        <f>IFERROR(__xludf.DUMMYFUNCTION("""COMPUTED_VALUE"""),FALSE)</f>
        <v>0</v>
      </c>
      <c r="BM236" s="32"/>
      <c r="BN236" s="32"/>
      <c r="BO236" s="32"/>
      <c r="BP236" s="32"/>
      <c r="BQ236" s="32"/>
    </row>
    <row r="237">
      <c r="A237" s="32" t="str">
        <f>IFERROR(__xludf.DUMMYFUNCTION("""COMPUTED_VALUE"""),"Stag")</f>
        <v>Stag</v>
      </c>
      <c r="B237" s="32">
        <f>IFERROR(__xludf.DUMMYFUNCTION("""COMPUTED_VALUE"""),1.0)</f>
        <v>1</v>
      </c>
      <c r="C237" s="32"/>
      <c r="D237" s="32" t="str">
        <f>IFERROR(__xludf.DUMMYFUNCTION("""COMPUTED_VALUE"""),"Beast")</f>
        <v>Beast</v>
      </c>
      <c r="E237" s="32">
        <f>IFERROR(__xludf.DUMMYFUNCTION("""COMPUTED_VALUE"""),1010.0)</f>
        <v>1010</v>
      </c>
      <c r="F237" s="33">
        <f>IFERROR(__xludf.DUMMYFUNCTION("""COMPUTED_VALUE"""),1010.0)</f>
        <v>1010</v>
      </c>
      <c r="G237" s="32">
        <f>IFERROR(__xludf.DUMMYFUNCTION("""COMPUTED_VALUE"""),1010.0)</f>
        <v>1010</v>
      </c>
      <c r="H237" s="32">
        <f>IFERROR(__xludf.DUMMYFUNCTION("""COMPUTED_VALUE"""),25.0)</f>
        <v>25</v>
      </c>
      <c r="I237" s="32">
        <f>IFERROR(__xludf.DUMMYFUNCTION("""COMPUTED_VALUE"""),0.0)</f>
        <v>0</v>
      </c>
      <c r="J237" s="32">
        <f>IFERROR(__xludf.DUMMYFUNCTION("""COMPUTED_VALUE"""),0.0)</f>
        <v>0</v>
      </c>
      <c r="K237" s="32">
        <f>IFERROR(__xludf.DUMMYFUNCTION("""COMPUTED_VALUE"""),100.0)</f>
        <v>100</v>
      </c>
      <c r="L237" s="32">
        <f>IFERROR(__xludf.DUMMYFUNCTION("""COMPUTED_VALUE"""),100.0)</f>
        <v>100</v>
      </c>
      <c r="M237" s="32" t="str">
        <f>IFERROR(__xludf.DUMMYFUNCTION("""COMPUTED_VALUE"""),"")</f>
        <v/>
      </c>
      <c r="N237" s="32" t="str">
        <f>IFERROR(__xludf.DUMMYFUNCTION("""COMPUTED_VALUE"""),"")</f>
        <v/>
      </c>
      <c r="O237" s="32"/>
      <c r="P237" s="32"/>
      <c r="Q237" s="32"/>
      <c r="R237" s="32"/>
      <c r="S237" s="32"/>
      <c r="T237" s="32"/>
      <c r="U237" s="32"/>
      <c r="V237" s="32"/>
      <c r="W237" s="32"/>
      <c r="X237" s="32"/>
      <c r="Y237" s="32"/>
      <c r="Z237" s="32"/>
      <c r="AA237" s="32"/>
      <c r="AB237" s="32"/>
      <c r="AC237" s="32"/>
      <c r="AD237" s="32"/>
      <c r="AE237" s="32"/>
      <c r="AF237" s="32"/>
      <c r="AG237" s="32"/>
      <c r="AH237" s="32"/>
      <c r="AI237" s="32"/>
      <c r="AJ237" s="32" t="str">
        <f>IFERROR(__xludf.DUMMYFUNCTION("""COMPUTED_VALUE"""),"Gore")</f>
        <v>Gore</v>
      </c>
      <c r="AK237" s="32" t="str">
        <f>IFERROR(__xludf.DUMMYFUNCTION("""COMPUTED_VALUE"""),"Antler Stab")</f>
        <v>Antler Stab</v>
      </c>
      <c r="AL237" s="32" t="str">
        <f>IFERROR(__xludf.DUMMYFUNCTION("""COMPUTED_VALUE"""),"Berserk")</f>
        <v>Berserk</v>
      </c>
      <c r="AM237" s="32" t="str">
        <f>IFERROR(__xludf.DUMMYFUNCTION("""COMPUTED_VALUE"""),"Nature Ward")</f>
        <v>Nature Ward</v>
      </c>
      <c r="AN237" s="32"/>
      <c r="AO237" s="32"/>
      <c r="AP237" s="32"/>
      <c r="AQ237" s="32"/>
      <c r="AR237" s="32"/>
      <c r="AS237" s="32"/>
      <c r="AT237" s="32"/>
      <c r="AU237" s="32"/>
      <c r="AV237" s="32"/>
      <c r="AW237" s="32"/>
      <c r="AX237" s="32"/>
      <c r="AY237" s="32"/>
      <c r="AZ237" s="32"/>
      <c r="BA237" s="32"/>
      <c r="BB237" s="32"/>
      <c r="BC237" s="32"/>
      <c r="BD237" s="32">
        <f>IFERROR(__xludf.DUMMYFUNCTION("""COMPUTED_VALUE"""),0.0)</f>
        <v>0</v>
      </c>
      <c r="BE237" s="32">
        <f>IFERROR(__xludf.DUMMYFUNCTION("""COMPUTED_VALUE"""),15.0)</f>
        <v>15</v>
      </c>
      <c r="BF237" s="32"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32" t="str">
        <f>IFERROR(__xludf.DUMMYFUNCTION("""COMPUTED_VALUE"""),"Forest")</f>
        <v>Forest</v>
      </c>
      <c r="BH237" s="32" t="str">
        <f>IFERROR(__xludf.DUMMYFUNCTION("""COMPUTED_VALUE"""),"Land of Spira")</f>
        <v>Land of Spira</v>
      </c>
      <c r="BI237" s="32"/>
      <c r="BJ237" s="32"/>
      <c r="BK237" s="32">
        <f>IFERROR(__xludf.DUMMYFUNCTION("""COMPUTED_VALUE"""),0.0)</f>
        <v>0</v>
      </c>
      <c r="BL237" s="32" t="b">
        <f>IFERROR(__xludf.DUMMYFUNCTION("""COMPUTED_VALUE"""),TRUE)</f>
        <v>1</v>
      </c>
      <c r="BM237" s="32" t="str">
        <f>IFERROR(__xludf.DUMMYFUNCTION("""COMPUTED_VALUE"""),"Animal")</f>
        <v>Animal</v>
      </c>
      <c r="BN237" s="32"/>
      <c r="BO237" s="32"/>
      <c r="BP237" s="32"/>
      <c r="BQ237" s="32"/>
    </row>
    <row r="238">
      <c r="A238" s="32" t="str">
        <f>IFERROR(__xludf.DUMMYFUNCTION("""COMPUTED_VALUE"""),"Steed")</f>
        <v>Steed</v>
      </c>
      <c r="B238" s="32">
        <f>IFERROR(__xludf.DUMMYFUNCTION("""COMPUTED_VALUE"""),1.0)</f>
        <v>1</v>
      </c>
      <c r="C238" s="32" t="str">
        <f>IFERROR(__xludf.DUMMYFUNCTION("""COMPUTED_VALUE"""),"A trusty mount fit for a knight")</f>
        <v>A trusty mount fit for a knight</v>
      </c>
      <c r="D238" s="32" t="str">
        <f>IFERROR(__xludf.DUMMYFUNCTION("""COMPUTED_VALUE"""),"Beast")</f>
        <v>Beast</v>
      </c>
      <c r="E238" s="32">
        <f>IFERROR(__xludf.DUMMYFUNCTION("""COMPUTED_VALUE"""),1010.0)</f>
        <v>1010</v>
      </c>
      <c r="F238" s="33">
        <f>IFERROR(__xludf.DUMMYFUNCTION("""COMPUTED_VALUE"""),1010.0)</f>
        <v>1010</v>
      </c>
      <c r="G238" s="32">
        <f>IFERROR(__xludf.DUMMYFUNCTION("""COMPUTED_VALUE"""),1010.0)</f>
        <v>1010</v>
      </c>
      <c r="H238" s="32">
        <f>IFERROR(__xludf.DUMMYFUNCTION("""COMPUTED_VALUE"""),10.0)</f>
        <v>10</v>
      </c>
      <c r="I238" s="32">
        <f>IFERROR(__xludf.DUMMYFUNCTION("""COMPUTED_VALUE"""),0.0)</f>
        <v>0</v>
      </c>
      <c r="J238" s="32">
        <f>IFERROR(__xludf.DUMMYFUNCTION("""COMPUTED_VALUE"""),0.0)</f>
        <v>0</v>
      </c>
      <c r="K238" s="32">
        <f>IFERROR(__xludf.DUMMYFUNCTION("""COMPUTED_VALUE"""),100.0)</f>
        <v>100</v>
      </c>
      <c r="L238" s="32">
        <f>IFERROR(__xludf.DUMMYFUNCTION("""COMPUTED_VALUE"""),100.0)</f>
        <v>100</v>
      </c>
      <c r="M238" s="32" t="str">
        <f>IFERROR(__xludf.DUMMYFUNCTION("""COMPUTED_VALUE"""),"")</f>
        <v/>
      </c>
      <c r="N238" s="32" t="str">
        <f>IFERROR(__xludf.DUMMYFUNCTION("""COMPUTED_VALUE"""),"")</f>
        <v/>
      </c>
      <c r="O238" s="32"/>
      <c r="P238" s="32"/>
      <c r="Q238" s="32"/>
      <c r="R238" s="32"/>
      <c r="S238" s="32"/>
      <c r="T238" s="32"/>
      <c r="U238" s="32"/>
      <c r="V238" s="32"/>
      <c r="W238" s="32"/>
      <c r="X238" s="32"/>
      <c r="Y238" s="32"/>
      <c r="Z238" s="32"/>
      <c r="AA238" s="32"/>
      <c r="AB238" s="32"/>
      <c r="AC238" s="32"/>
      <c r="AD238" s="32"/>
      <c r="AE238" s="32"/>
      <c r="AF238" s="32"/>
      <c r="AG238" s="32"/>
      <c r="AH238" s="32"/>
      <c r="AI238" s="32"/>
      <c r="AJ238" s="32" t="str">
        <f>IFERROR(__xludf.DUMMYFUNCTION("""COMPUTED_VALUE"""),"Gore")</f>
        <v>Gore</v>
      </c>
      <c r="AK238" s="32" t="str">
        <f>IFERROR(__xludf.DUMMYFUNCTION("""COMPUTED_VALUE"""),"Trample")</f>
        <v>Trample</v>
      </c>
      <c r="AL238" s="32" t="str">
        <f>IFERROR(__xludf.DUMMYFUNCTION("""COMPUTED_VALUE"""),"Berserk")</f>
        <v>Berserk</v>
      </c>
      <c r="AM238" s="32" t="str">
        <f>IFERROR(__xludf.DUMMYFUNCTION("""COMPUTED_VALUE"""),"Nature Ward")</f>
        <v>Nature Ward</v>
      </c>
      <c r="AN238" s="32"/>
      <c r="AO238" s="32"/>
      <c r="AP238" s="32"/>
      <c r="AQ238" s="32"/>
      <c r="AR238" s="32"/>
      <c r="AS238" s="32"/>
      <c r="AT238" s="32"/>
      <c r="AU238" s="32"/>
      <c r="AV238" s="32"/>
      <c r="AW238" s="32"/>
      <c r="AX238" s="32"/>
      <c r="AY238" s="32"/>
      <c r="AZ238" s="32"/>
      <c r="BA238" s="32"/>
      <c r="BB238" s="32"/>
      <c r="BC238" s="32"/>
      <c r="BD238" s="32">
        <f>IFERROR(__xludf.DUMMYFUNCTION("""COMPUTED_VALUE"""),0.0)</f>
        <v>0</v>
      </c>
      <c r="BE238" s="32">
        <f>IFERROR(__xludf.DUMMYFUNCTION("""COMPUTED_VALUE"""),15.0)</f>
        <v>15</v>
      </c>
      <c r="BF238" s="32"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32" t="str">
        <f>IFERROR(__xludf.DUMMYFUNCTION("""COMPUTED_VALUE"""),"Forest")</f>
        <v>Forest</v>
      </c>
      <c r="BH238" s="32" t="str">
        <f>IFERROR(__xludf.DUMMYFUNCTION("""COMPUTED_VALUE"""),"Land of Spira")</f>
        <v>Land of Spira</v>
      </c>
      <c r="BI238" s="32"/>
      <c r="BJ238" s="32"/>
      <c r="BK238" s="32">
        <f>IFERROR(__xludf.DUMMYFUNCTION("""COMPUTED_VALUE"""),0.0)</f>
        <v>0</v>
      </c>
      <c r="BL238" s="32" t="b">
        <f>IFERROR(__xludf.DUMMYFUNCTION("""COMPUTED_VALUE"""),TRUE)</f>
        <v>1</v>
      </c>
      <c r="BM238" s="32" t="str">
        <f>IFERROR(__xludf.DUMMYFUNCTION("""COMPUTED_VALUE"""),"Animal")</f>
        <v>Animal</v>
      </c>
      <c r="BN238" s="32"/>
      <c r="BO238" s="32"/>
      <c r="BP238" s="32"/>
      <c r="BQ238" s="32"/>
    </row>
    <row r="239">
      <c r="A239" s="32" t="str">
        <f>IFERROR(__xludf.DUMMYFUNCTION("""COMPUTED_VALUE"""),"Stone Dragon")</f>
        <v>Stone Dragon</v>
      </c>
      <c r="B239" s="32">
        <f>IFERROR(__xludf.DUMMYFUNCTION("""COMPUTED_VALUE"""),1.0)</f>
        <v>1</v>
      </c>
      <c r="C239" s="32"/>
      <c r="D239" s="32" t="str">
        <f>IFERROR(__xludf.DUMMYFUNCTION("""COMPUTED_VALUE"""),"Draconic")</f>
        <v>Draconic</v>
      </c>
      <c r="E239" s="32">
        <f>IFERROR(__xludf.DUMMYFUNCTION("""COMPUTED_VALUE"""),31010.0)</f>
        <v>31010</v>
      </c>
      <c r="F239" s="33">
        <f>IFERROR(__xludf.DUMMYFUNCTION("""COMPUTED_VALUE"""),31010.0)</f>
        <v>31010</v>
      </c>
      <c r="G239" s="32">
        <f>IFERROR(__xludf.DUMMYFUNCTION("""COMPUTED_VALUE"""),31010.0)</f>
        <v>31010</v>
      </c>
      <c r="H239" s="32">
        <f>IFERROR(__xludf.DUMMYFUNCTION("""COMPUTED_VALUE"""),15.0)</f>
        <v>15</v>
      </c>
      <c r="I239" s="32">
        <f>IFERROR(__xludf.DUMMYFUNCTION("""COMPUTED_VALUE"""),0.0)</f>
        <v>0</v>
      </c>
      <c r="J239" s="32">
        <f>IFERROR(__xludf.DUMMYFUNCTION("""COMPUTED_VALUE"""),0.0)</f>
        <v>0</v>
      </c>
      <c r="K239" s="32">
        <f>IFERROR(__xludf.DUMMYFUNCTION("""COMPUTED_VALUE"""),100.0)</f>
        <v>100</v>
      </c>
      <c r="L239" s="32">
        <f>IFERROR(__xludf.DUMMYFUNCTION("""COMPUTED_VALUE"""),100.0)</f>
        <v>100</v>
      </c>
      <c r="M239" s="32" t="str">
        <f>IFERROR(__xludf.DUMMYFUNCTION("""COMPUTED_VALUE"""),"Storm:Immune, ")</f>
        <v>Storm:Immune, </v>
      </c>
      <c r="N239" s="32" t="str">
        <f>IFERROR(__xludf.DUMMYFUNCTION("""COMPUTED_VALUE"""),"")</f>
        <v/>
      </c>
      <c r="O239" s="32"/>
      <c r="P239" s="32"/>
      <c r="Q239" s="32"/>
      <c r="R239" s="32"/>
      <c r="S239" s="32"/>
      <c r="T239" s="32"/>
      <c r="U239" s="32"/>
      <c r="V239" s="32"/>
      <c r="W239" s="32"/>
      <c r="X239" s="32"/>
      <c r="Y239" s="32"/>
      <c r="Z239" s="32"/>
      <c r="AA239" s="32"/>
      <c r="AB239" s="32"/>
      <c r="AC239" s="32"/>
      <c r="AD239" s="32"/>
      <c r="AE239" s="32"/>
      <c r="AF239" s="32"/>
      <c r="AG239" s="32"/>
      <c r="AH239" s="32"/>
      <c r="AI239" s="32"/>
      <c r="AJ239" s="32" t="str">
        <f>IFERROR(__xludf.DUMMYFUNCTION("""COMPUTED_VALUE"""),"Dragon's Breath")</f>
        <v>Dragon's Breath</v>
      </c>
      <c r="AK239" s="32" t="str">
        <f>IFERROR(__xludf.DUMMYFUNCTION("""COMPUTED_VALUE"""),"Bite")</f>
        <v>Bite</v>
      </c>
      <c r="AL239" s="32" t="str">
        <f>IFERROR(__xludf.DUMMYFUNCTION("""COMPUTED_VALUE"""),"Tail Smash")</f>
        <v>Tail Smash</v>
      </c>
      <c r="AM239" s="32" t="str">
        <f>IFERROR(__xludf.DUMMYFUNCTION("""COMPUTED_VALUE"""),"Claws")</f>
        <v>Claws</v>
      </c>
      <c r="AN239" s="32" t="str">
        <f>IFERROR(__xludf.DUMMYFUNCTION("""COMPUTED_VALUE"""),"Berserk")</f>
        <v>Berserk</v>
      </c>
      <c r="AO239" s="32" t="str">
        <f>IFERROR(__xludf.DUMMYFUNCTION("""COMPUTED_VALUE"""),"Multishot")</f>
        <v>Multishot</v>
      </c>
      <c r="AP239" s="32" t="str">
        <f>IFERROR(__xludf.DUMMYFUNCTION("""COMPUTED_VALUE"""),"Draconic Scream")</f>
        <v>Draconic Scream</v>
      </c>
      <c r="AQ239" s="32" t="str">
        <f>IFERROR(__xludf.DUMMYFUNCTION("""COMPUTED_VALUE"""),"Earthquake")</f>
        <v>Earthquake</v>
      </c>
      <c r="AR239" s="32" t="str">
        <f>IFERROR(__xludf.DUMMYFUNCTION("""COMPUTED_VALUE"""),"Rock Cycle")</f>
        <v>Rock Cycle</v>
      </c>
      <c r="AS239" s="32" t="str">
        <f>IFERROR(__xludf.DUMMYFUNCTION("""COMPUTED_VALUE"""),"Quicksand")</f>
        <v>Quicksand</v>
      </c>
      <c r="AT239" s="32" t="str">
        <f>IFERROR(__xludf.DUMMYFUNCTION("""COMPUTED_VALUE"""),"Celestial Wrath")</f>
        <v>Celestial Wrath</v>
      </c>
      <c r="AU239" s="32"/>
      <c r="AV239" s="32"/>
      <c r="AW239" s="32"/>
      <c r="AX239" s="32"/>
      <c r="AY239" s="32"/>
      <c r="AZ239" s="32"/>
      <c r="BA239" s="32"/>
      <c r="BB239" s="32"/>
      <c r="BC239" s="32"/>
      <c r="BD239" s="32">
        <f>IFERROR(__xludf.DUMMYFUNCTION("""COMPUTED_VALUE"""),0.0)</f>
        <v>0</v>
      </c>
      <c r="BE239" s="32">
        <f>IFERROR(__xludf.DUMMYFUNCTION("""COMPUTED_VALUE"""),10.0)</f>
        <v>10</v>
      </c>
      <c r="BF239" s="32"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32" t="str">
        <f>IFERROR(__xludf.DUMMYFUNCTION("""COMPUTED_VALUE"""),"All")</f>
        <v>All</v>
      </c>
      <c r="BH239" s="32" t="str">
        <f>IFERROR(__xludf.DUMMYFUNCTION("""COMPUTED_VALUE"""),"Dragonscale Island")</f>
        <v>Dragonscale Island</v>
      </c>
      <c r="BI239" s="32"/>
      <c r="BJ239" s="32"/>
      <c r="BK239" s="32"/>
      <c r="BL239" s="32" t="b">
        <f>IFERROR(__xludf.DUMMYFUNCTION("""COMPUTED_VALUE"""),FALSE)</f>
        <v>0</v>
      </c>
      <c r="BM239" s="32"/>
      <c r="BN239" s="32"/>
      <c r="BO239" s="32"/>
      <c r="BP239" s="32"/>
      <c r="BQ239" s="32"/>
    </row>
    <row r="240">
      <c r="A240" s="32"/>
      <c r="B240" s="32">
        <f>IFERROR(__xludf.DUMMYFUNCTION("""COMPUTED_VALUE"""),1.0)</f>
        <v>1</v>
      </c>
      <c r="C240" s="32"/>
      <c r="D240" s="32" t="str">
        <f>IFERROR(__xludf.DUMMYFUNCTION("""COMPUTED_VALUE"""),"Draconic")</f>
        <v>Draconic</v>
      </c>
      <c r="E240" s="32">
        <f>IFERROR(__xludf.DUMMYFUNCTION("""COMPUTED_VALUE"""),31010.0)</f>
        <v>31010</v>
      </c>
      <c r="F240" s="33">
        <f>IFERROR(__xludf.DUMMYFUNCTION("""COMPUTED_VALUE"""),31010.0)</f>
        <v>31010</v>
      </c>
      <c r="G240" s="32">
        <f>IFERROR(__xludf.DUMMYFUNCTION("""COMPUTED_VALUE"""),31010.0)</f>
        <v>31010</v>
      </c>
      <c r="H240" s="32">
        <f>IFERROR(__xludf.DUMMYFUNCTION("""COMPUTED_VALUE"""),15.0)</f>
        <v>15</v>
      </c>
      <c r="I240" s="32">
        <f>IFERROR(__xludf.DUMMYFUNCTION("""COMPUTED_VALUE"""),0.0)</f>
        <v>0</v>
      </c>
      <c r="J240" s="32">
        <f>IFERROR(__xludf.DUMMYFUNCTION("""COMPUTED_VALUE"""),0.0)</f>
        <v>0</v>
      </c>
      <c r="K240" s="32">
        <f>IFERROR(__xludf.DUMMYFUNCTION("""COMPUTED_VALUE"""),100.0)</f>
        <v>100</v>
      </c>
      <c r="L240" s="32">
        <f>IFERROR(__xludf.DUMMYFUNCTION("""COMPUTED_VALUE"""),100.0)</f>
        <v>100</v>
      </c>
      <c r="M240" s="32" t="str">
        <f>IFERROR(__xludf.DUMMYFUNCTION("""COMPUTED_VALUE"""),"#N/A")</f>
        <v>#N/A</v>
      </c>
      <c r="N240" s="32" t="str">
        <f>IFERROR(__xludf.DUMMYFUNCTION("""COMPUTED_VALUE"""),"#N/A")</f>
        <v>#N/A</v>
      </c>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f>IFERROR(__xludf.DUMMYFUNCTION("""COMPUTED_VALUE"""),0.0)</f>
        <v>0</v>
      </c>
      <c r="BE240" s="32">
        <f>IFERROR(__xludf.DUMMYFUNCTION("""COMPUTED_VALUE"""),10.0)</f>
        <v>10</v>
      </c>
      <c r="BF240" s="32"/>
      <c r="BG240" s="32" t="str">
        <f>IFERROR(__xludf.DUMMYFUNCTION("""COMPUTED_VALUE"""),"All")</f>
        <v>All</v>
      </c>
      <c r="BH240" s="32" t="str">
        <f>IFERROR(__xludf.DUMMYFUNCTION("""COMPUTED_VALUE"""),"Land of Spira")</f>
        <v>Land of Spira</v>
      </c>
      <c r="BI240" s="32"/>
      <c r="BJ240" s="32"/>
      <c r="BK240" s="32"/>
      <c r="BL240" s="32" t="b">
        <f>IFERROR(__xludf.DUMMYFUNCTION("""COMPUTED_VALUE"""),FALSE)</f>
        <v>0</v>
      </c>
      <c r="BM240" s="32"/>
      <c r="BN240" s="32"/>
      <c r="BO240" s="32"/>
      <c r="BP240" s="32"/>
      <c r="BQ240" s="32"/>
    </row>
    <row r="241">
      <c r="A241" s="32" t="str">
        <f>IFERROR(__xludf.DUMMYFUNCTION("""COMPUTED_VALUE"""),"Straitzo The Vampire Warrior")</f>
        <v>Straitzo The Vampire Warrior</v>
      </c>
      <c r="B241" s="32">
        <f>IFERROR(__xludf.DUMMYFUNCTION("""COMPUTED_VALUE"""),1.0)</f>
        <v>1</v>
      </c>
      <c r="C241" s="32"/>
      <c r="D241" s="33" t="str">
        <f>IFERROR(__xludf.DUMMYFUNCTION("""COMPUTED_VALUE"""),"Undead")</f>
        <v>Undead</v>
      </c>
      <c r="E241" s="33">
        <f>IFERROR(__xludf.DUMMYFUNCTION("""COMPUTED_VALUE"""),1010.0)</f>
        <v>1010</v>
      </c>
      <c r="F241" s="33">
        <f>IFERROR(__xludf.DUMMYFUNCTION("""COMPUTED_VALUE"""),1010.0)</f>
        <v>1010</v>
      </c>
      <c r="G241" s="33">
        <f>IFERROR(__xludf.DUMMYFUNCTION("""COMPUTED_VALUE"""),1010.0)</f>
        <v>1010</v>
      </c>
      <c r="H241" s="32">
        <f>IFERROR(__xludf.DUMMYFUNCTION("""COMPUTED_VALUE"""),10.0)</f>
        <v>10</v>
      </c>
      <c r="I241" s="32">
        <f>IFERROR(__xludf.DUMMYFUNCTION("""COMPUTED_VALUE"""),0.0)</f>
        <v>0</v>
      </c>
      <c r="J241" s="32">
        <f>IFERROR(__xludf.DUMMYFUNCTION("""COMPUTED_VALUE"""),0.0)</f>
        <v>0</v>
      </c>
      <c r="K241" s="32">
        <f>IFERROR(__xludf.DUMMYFUNCTION("""COMPUTED_VALUE"""),100.0)</f>
        <v>100</v>
      </c>
      <c r="L241" s="32">
        <f>IFERROR(__xludf.DUMMYFUNCTION("""COMPUTED_VALUE"""),100.0)</f>
        <v>100</v>
      </c>
      <c r="M241" s="32" t="str">
        <f>IFERROR(__xludf.DUMMYFUNCTION("""COMPUTED_VALUE"""),"Dark:Immune, Blood:Immune, ")</f>
        <v>Dark:Immune, Blood:Immune, </v>
      </c>
      <c r="N241" s="32" t="str">
        <f>IFERROR(__xludf.DUMMYFUNCTION("""COMPUTED_VALUE"""),"Fire:100, Light:100, ")</f>
        <v>Fire:100, Light:100, </v>
      </c>
      <c r="O241" s="32"/>
      <c r="P241" s="32"/>
      <c r="Q241" s="32"/>
      <c r="R241" s="32"/>
      <c r="S241" s="32"/>
      <c r="T241" s="32"/>
      <c r="U241" s="32"/>
      <c r="V241" s="32" t="str">
        <f>IFERROR(__xludf.DUMMYFUNCTION("""COMPUTED_VALUE"""),"Sword of the Vampire’s Lust")</f>
        <v>Sword of the Vampire’s Lust</v>
      </c>
      <c r="W241" s="32"/>
      <c r="X241" s="32"/>
      <c r="Y241" s="32"/>
      <c r="Z241" s="32"/>
      <c r="AA241" s="32"/>
      <c r="AB241" s="32"/>
      <c r="AC241" s="32"/>
      <c r="AD241" s="32"/>
      <c r="AE241" s="32"/>
      <c r="AF241" s="32"/>
      <c r="AG241" s="32"/>
      <c r="AH241" s="32"/>
      <c r="AI241" s="32"/>
      <c r="AJ241" s="32" t="str">
        <f>IFERROR(__xludf.DUMMYFUNCTION("""COMPUTED_VALUE"""),"Undead Bite")</f>
        <v>Undead Bite</v>
      </c>
      <c r="AK241" s="32" t="str">
        <f>IFERROR(__xludf.DUMMYFUNCTION("""COMPUTED_VALUE"""),"Blood Geyser")</f>
        <v>Blood Geyser</v>
      </c>
      <c r="AL241" s="32" t="str">
        <f>IFERROR(__xludf.DUMMYFUNCTION("""COMPUTED_VALUE"""),"Damage With A Cost.")</f>
        <v>Damage With A Cost.</v>
      </c>
      <c r="AM241" s="32" t="str">
        <f>IFERROR(__xludf.DUMMYFUNCTION("""COMPUTED_VALUE"""),"Berserk")</f>
        <v>Berserk</v>
      </c>
      <c r="AN241" s="32" t="str">
        <f>IFERROR(__xludf.DUMMYFUNCTION("""COMPUTED_VALUE"""),"Celestial Wrath")</f>
        <v>Celestial Wrath</v>
      </c>
      <c r="AO241" s="32"/>
      <c r="AP241" s="32"/>
      <c r="AQ241" s="32"/>
      <c r="AR241" s="32"/>
      <c r="AS241" s="32"/>
      <c r="AT241" s="32"/>
      <c r="AU241" s="32"/>
      <c r="AV241" s="32"/>
      <c r="AW241" s="32"/>
      <c r="AX241" s="32"/>
      <c r="AY241" s="32"/>
      <c r="AZ241" s="32"/>
      <c r="BA241" s="32"/>
      <c r="BB241" s="32"/>
      <c r="BC241" s="32"/>
      <c r="BD241" s="32">
        <f>IFERROR(__xludf.DUMMYFUNCTION("""COMPUTED_VALUE"""),0.0)</f>
        <v>0</v>
      </c>
      <c r="BE241" s="32">
        <f>IFERROR(__xludf.DUMMYFUNCTION("""COMPUTED_VALUE"""),10.0)</f>
        <v>10</v>
      </c>
      <c r="BF241" s="32" t="str">
        <f>IFERROR(__xludf.DUMMYFUNCTION("""COMPUTED_VALUE"""),"A Dark Calling: +5 can be added to this mobs rolls.")</f>
        <v>A Dark Calling: +5 can be added to this mobs rolls.</v>
      </c>
      <c r="BG241" s="32" t="str">
        <f>IFERROR(__xludf.DUMMYFUNCTION("""COMPUTED_VALUE"""),"All")</f>
        <v>All</v>
      </c>
      <c r="BH241" s="32" t="str">
        <f>IFERROR(__xludf.DUMMYFUNCTION("""COMPUTED_VALUE"""),"Abstara")</f>
        <v>Abstara</v>
      </c>
      <c r="BI241" s="32"/>
      <c r="BJ241" s="32"/>
      <c r="BK241" s="32"/>
      <c r="BL241" s="32" t="b">
        <f>IFERROR(__xludf.DUMMYFUNCTION("""COMPUTED_VALUE"""),FALSE)</f>
        <v>0</v>
      </c>
      <c r="BM241" s="32"/>
      <c r="BN241" s="32"/>
      <c r="BO241" s="32"/>
      <c r="BP241" s="32"/>
      <c r="BQ241" s="32"/>
    </row>
    <row r="242">
      <c r="A242" s="32" t="str">
        <f>IFERROR(__xludf.DUMMYFUNCTION("""COMPUTED_VALUE"""),"Sunstone Dragon")</f>
        <v>Sunstone Dragon</v>
      </c>
      <c r="B242" s="32">
        <f>IFERROR(__xludf.DUMMYFUNCTION("""COMPUTED_VALUE"""),1.0)</f>
        <v>1</v>
      </c>
      <c r="C242" s="32"/>
      <c r="D242" s="32" t="str">
        <f>IFERROR(__xludf.DUMMYFUNCTION("""COMPUTED_VALUE"""),"Demonic")</f>
        <v>Demonic</v>
      </c>
      <c r="E242" s="32">
        <f>IFERROR(__xludf.DUMMYFUNCTION("""COMPUTED_VALUE"""),31010.0)</f>
        <v>31010</v>
      </c>
      <c r="F242" s="33">
        <f>IFERROR(__xludf.DUMMYFUNCTION("""COMPUTED_VALUE"""),31010.0)</f>
        <v>31010</v>
      </c>
      <c r="G242" s="32">
        <f>IFERROR(__xludf.DUMMYFUNCTION("""COMPUTED_VALUE"""),31010.0)</f>
        <v>31010</v>
      </c>
      <c r="H242" s="32">
        <f>IFERROR(__xludf.DUMMYFUNCTION("""COMPUTED_VALUE"""),15.0)</f>
        <v>15</v>
      </c>
      <c r="I242" s="32">
        <f>IFERROR(__xludf.DUMMYFUNCTION("""COMPUTED_VALUE"""),0.0)</f>
        <v>0</v>
      </c>
      <c r="J242" s="32">
        <f>IFERROR(__xludf.DUMMYFUNCTION("""COMPUTED_VALUE"""),0.0)</f>
        <v>0</v>
      </c>
      <c r="K242" s="32">
        <f>IFERROR(__xludf.DUMMYFUNCTION("""COMPUTED_VALUE"""),100.0)</f>
        <v>100</v>
      </c>
      <c r="L242" s="32">
        <f>IFERROR(__xludf.DUMMYFUNCTION("""COMPUTED_VALUE"""),100.0)</f>
        <v>100</v>
      </c>
      <c r="M242" s="32" t="str">
        <f>IFERROR(__xludf.DUMMYFUNCTION("""COMPUTED_VALUE"""),"Earth:100, Celestial:Immune, Instant Death:Immune, Banishment:Immune, ")</f>
        <v>Earth:100, Celestial:Immune, Instant Death:Immune, Banishment:Immune, </v>
      </c>
      <c r="N242" s="32" t="str">
        <f>IFERROR(__xludf.DUMMYFUNCTION("""COMPUTED_VALUE"""),"Astral:100, ")</f>
        <v>Astral:100, </v>
      </c>
      <c r="O242" s="32"/>
      <c r="P242" s="32"/>
      <c r="Q242" s="32"/>
      <c r="R242" s="32"/>
      <c r="S242" s="32"/>
      <c r="T242" s="32"/>
      <c r="U242" s="32"/>
      <c r="V242" s="32"/>
      <c r="W242" s="32"/>
      <c r="X242" s="32"/>
      <c r="Y242" s="32"/>
      <c r="Z242" s="32"/>
      <c r="AA242" s="32"/>
      <c r="AB242" s="32"/>
      <c r="AC242" s="32"/>
      <c r="AD242" s="32"/>
      <c r="AE242" s="32"/>
      <c r="AF242" s="32"/>
      <c r="AG242" s="32"/>
      <c r="AH242" s="32"/>
      <c r="AI242" s="32"/>
      <c r="AJ242" s="32" t="str">
        <f>IFERROR(__xludf.DUMMYFUNCTION("""COMPUTED_VALUE"""),"Solar Ward")</f>
        <v>Solar Ward</v>
      </c>
      <c r="AK242" s="32" t="str">
        <f>IFERROR(__xludf.DUMMYFUNCTION("""COMPUTED_VALUE"""),"Dive Bomb")</f>
        <v>Dive Bomb</v>
      </c>
      <c r="AL242" s="32" t="str">
        <f>IFERROR(__xludf.DUMMYFUNCTION("""COMPUTED_VALUE"""),"Dragon's Breath")</f>
        <v>Dragon's Breath</v>
      </c>
      <c r="AM242" s="32" t="str">
        <f>IFERROR(__xludf.DUMMYFUNCTION("""COMPUTED_VALUE"""),"Max Focus")</f>
        <v>Max Focus</v>
      </c>
      <c r="AN242" s="32" t="str">
        <f>IFERROR(__xludf.DUMMYFUNCTION("""COMPUTED_VALUE"""),"Sunny Day")</f>
        <v>Sunny Day</v>
      </c>
      <c r="AO242" s="32" t="str">
        <f>IFERROR(__xludf.DUMMYFUNCTION("""COMPUTED_VALUE"""),"Inferno Sun")</f>
        <v>Inferno Sun</v>
      </c>
      <c r="AP242" s="32" t="str">
        <f>IFERROR(__xludf.DUMMYFUNCTION("""COMPUTED_VALUE"""),"Sunlight Regen")</f>
        <v>Sunlight Regen</v>
      </c>
      <c r="AQ242" s="32" t="str">
        <f>IFERROR(__xludf.DUMMYFUNCTION("""COMPUTED_VALUE"""),"Sun Slam")</f>
        <v>Sun Slam</v>
      </c>
      <c r="AR242" s="32" t="str">
        <f>IFERROR(__xludf.DUMMYFUNCTION("""COMPUTED_VALUE"""),"Obliterating Light of Blindness")</f>
        <v>Obliterating Light of Blindness</v>
      </c>
      <c r="AS242" s="32"/>
      <c r="AT242" s="32"/>
      <c r="AU242" s="32"/>
      <c r="AV242" s="32"/>
      <c r="AW242" s="32"/>
      <c r="AX242" s="32"/>
      <c r="AY242" s="32"/>
      <c r="AZ242" s="32"/>
      <c r="BA242" s="32"/>
      <c r="BB242" s="32"/>
      <c r="BC242" s="32"/>
      <c r="BD242" s="32">
        <f>IFERROR(__xludf.DUMMYFUNCTION("""COMPUTED_VALUE"""),0.0)</f>
        <v>0</v>
      </c>
      <c r="BE242" s="32">
        <f>IFERROR(__xludf.DUMMYFUNCTION("""COMPUTED_VALUE"""),10.0)</f>
        <v>10</v>
      </c>
      <c r="BF242" s="3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32" t="str">
        <f>IFERROR(__xludf.DUMMYFUNCTION("""COMPUTED_VALUE"""),"All")</f>
        <v>All</v>
      </c>
      <c r="BH242" s="32" t="str">
        <f>IFERROR(__xludf.DUMMYFUNCTION("""COMPUTED_VALUE"""),"Dragonscale Island")</f>
        <v>Dragonscale Island</v>
      </c>
      <c r="BI242" s="32"/>
      <c r="BJ242" s="32"/>
      <c r="BK242" s="32"/>
      <c r="BL242" s="32" t="b">
        <f>IFERROR(__xludf.DUMMYFUNCTION("""COMPUTED_VALUE"""),FALSE)</f>
        <v>0</v>
      </c>
      <c r="BM242" s="32"/>
      <c r="BN242" s="32"/>
      <c r="BO242" s="32"/>
      <c r="BP242" s="32"/>
      <c r="BQ242" s="32"/>
    </row>
    <row r="243">
      <c r="A243" s="32"/>
      <c r="B243" s="32">
        <f>IFERROR(__xludf.DUMMYFUNCTION("""COMPUTED_VALUE"""),1.0)</f>
        <v>1</v>
      </c>
      <c r="C243" s="32"/>
      <c r="D243" s="32" t="str">
        <f>IFERROR(__xludf.DUMMYFUNCTION("""COMPUTED_VALUE"""),"Draconic")</f>
        <v>Draconic</v>
      </c>
      <c r="E243" s="32">
        <f>IFERROR(__xludf.DUMMYFUNCTION("""COMPUTED_VALUE"""),1010.0)</f>
        <v>1010</v>
      </c>
      <c r="F243" s="33">
        <f>IFERROR(__xludf.DUMMYFUNCTION("""COMPUTED_VALUE"""),1010.0)</f>
        <v>1010</v>
      </c>
      <c r="G243" s="32">
        <f>IFERROR(__xludf.DUMMYFUNCTION("""COMPUTED_VALUE"""),1010.0)</f>
        <v>1010</v>
      </c>
      <c r="H243" s="32">
        <f>IFERROR(__xludf.DUMMYFUNCTION("""COMPUTED_VALUE"""),10.0)</f>
        <v>10</v>
      </c>
      <c r="I243" s="32">
        <f>IFERROR(__xludf.DUMMYFUNCTION("""COMPUTED_VALUE"""),0.0)</f>
        <v>0</v>
      </c>
      <c r="J243" s="32">
        <f>IFERROR(__xludf.DUMMYFUNCTION("""COMPUTED_VALUE"""),0.0)</f>
        <v>0</v>
      </c>
      <c r="K243" s="32">
        <f>IFERROR(__xludf.DUMMYFUNCTION("""COMPUTED_VALUE"""),100.0)</f>
        <v>100</v>
      </c>
      <c r="L243" s="32">
        <f>IFERROR(__xludf.DUMMYFUNCTION("""COMPUTED_VALUE"""),100.0)</f>
        <v>100</v>
      </c>
      <c r="M243" s="32" t="str">
        <f>IFERROR(__xludf.DUMMYFUNCTION("""COMPUTED_VALUE"""),"")</f>
        <v/>
      </c>
      <c r="N243" s="32" t="str">
        <f>IFERROR(__xludf.DUMMYFUNCTION("""COMPUTED_VALUE"""),"")</f>
        <v/>
      </c>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f>IFERROR(__xludf.DUMMYFUNCTION("""COMPUTED_VALUE"""),0.0)</f>
        <v>0</v>
      </c>
      <c r="BE243" s="32">
        <f>IFERROR(__xludf.DUMMYFUNCTION("""COMPUTED_VALUE"""),10.0)</f>
        <v>10</v>
      </c>
      <c r="BF243" s="32"/>
      <c r="BG243" s="32"/>
      <c r="BH243" s="32"/>
      <c r="BI243" s="32"/>
      <c r="BJ243" s="32"/>
      <c r="BK243" s="32"/>
      <c r="BL243" s="32" t="b">
        <f>IFERROR(__xludf.DUMMYFUNCTION("""COMPUTED_VALUE"""),FALSE)</f>
        <v>0</v>
      </c>
      <c r="BM243" s="32"/>
      <c r="BN243" s="32"/>
      <c r="BO243" s="32"/>
      <c r="BP243" s="32"/>
      <c r="BQ243" s="32"/>
    </row>
    <row r="244">
      <c r="A244" s="32" t="str">
        <f>IFERROR(__xludf.DUMMYFUNCTION("""COMPUTED_VALUE"""),"Swamp Portal Guard")</f>
        <v>Swamp Portal Guard</v>
      </c>
      <c r="B244" s="32">
        <f>IFERROR(__xludf.DUMMYFUNCTION("""COMPUTED_VALUE"""),1.0)</f>
        <v>1</v>
      </c>
      <c r="C244" s="32"/>
      <c r="D244" s="33" t="str">
        <f>IFERROR(__xludf.DUMMYFUNCTION("""COMPUTED_VALUE"""),"Humanoid")</f>
        <v>Humanoid</v>
      </c>
      <c r="E244" s="33">
        <f>IFERROR(__xludf.DUMMYFUNCTION("""COMPUTED_VALUE"""),1010.0)</f>
        <v>1010</v>
      </c>
      <c r="F244" s="33">
        <f>IFERROR(__xludf.DUMMYFUNCTION("""COMPUTED_VALUE"""),1010.0)</f>
        <v>1010</v>
      </c>
      <c r="G244" s="33">
        <f>IFERROR(__xludf.DUMMYFUNCTION("""COMPUTED_VALUE"""),1010.0)</f>
        <v>1010</v>
      </c>
      <c r="H244" s="32">
        <f>IFERROR(__xludf.DUMMYFUNCTION("""COMPUTED_VALUE"""),10.0)</f>
        <v>10</v>
      </c>
      <c r="I244" s="32">
        <f>IFERROR(__xludf.DUMMYFUNCTION("""COMPUTED_VALUE"""),10.0)</f>
        <v>10</v>
      </c>
      <c r="J244" s="32">
        <f>IFERROR(__xludf.DUMMYFUNCTION("""COMPUTED_VALUE"""),10.0)</f>
        <v>10</v>
      </c>
      <c r="K244" s="32">
        <f>IFERROR(__xludf.DUMMYFUNCTION("""COMPUTED_VALUE"""),100.0)</f>
        <v>100</v>
      </c>
      <c r="L244" s="32">
        <f>IFERROR(__xludf.DUMMYFUNCTION("""COMPUTED_VALUE"""),100.0)</f>
        <v>100</v>
      </c>
      <c r="M244" s="32" t="str">
        <f>IFERROR(__xludf.DUMMYFUNCTION("""COMPUTED_VALUE"""),"Water:100, ")</f>
        <v>Water:100, </v>
      </c>
      <c r="N244" s="32" t="str">
        <f>IFERROR(__xludf.DUMMYFUNCTION("""COMPUTED_VALUE"""),"Fire:100, Storm:100, ")</f>
        <v>Fire:100, Storm:100, </v>
      </c>
      <c r="O244" s="32"/>
      <c r="P244" s="32"/>
      <c r="Q244" s="32"/>
      <c r="R244" s="32"/>
      <c r="S244" s="32"/>
      <c r="T244" s="32"/>
      <c r="U244" s="32"/>
      <c r="V244" s="32"/>
      <c r="W244" s="32"/>
      <c r="X244" s="32"/>
      <c r="Y244" s="32"/>
      <c r="Z244" s="32"/>
      <c r="AA244" s="32"/>
      <c r="AB244" s="32"/>
      <c r="AC244" s="32"/>
      <c r="AD244" s="32"/>
      <c r="AE244" s="32"/>
      <c r="AF244" s="32"/>
      <c r="AG244" s="32"/>
      <c r="AH244" s="32"/>
      <c r="AI244" s="32"/>
      <c r="AJ244" s="32" t="str">
        <f>IFERROR(__xludf.DUMMYFUNCTION("""COMPUTED_VALUE"""),"Arrest")</f>
        <v>Arrest</v>
      </c>
      <c r="AK244" s="32" t="str">
        <f>IFERROR(__xludf.DUMMYFUNCTION("""COMPUTED_VALUE"""),"Class 3 Poison")</f>
        <v>Class 3 Poison</v>
      </c>
      <c r="AL244" s="32" t="str">
        <f>IFERROR(__xludf.DUMMYFUNCTION("""COMPUTED_VALUE"""),"Confiscate")</f>
        <v>Confiscate</v>
      </c>
      <c r="AM244" s="32" t="str">
        <f>IFERROR(__xludf.DUMMYFUNCTION("""COMPUTED_VALUE"""),"Entangle")</f>
        <v>Entangle</v>
      </c>
      <c r="AN244" s="32" t="str">
        <f>IFERROR(__xludf.DUMMYFUNCTION("""COMPUTED_VALUE"""),"Celestial Wrath")</f>
        <v>Celestial Wrath</v>
      </c>
      <c r="AO244" s="32"/>
      <c r="AP244" s="32"/>
      <c r="AQ244" s="32"/>
      <c r="AR244" s="32"/>
      <c r="AS244" s="32"/>
      <c r="AT244" s="32"/>
      <c r="AU244" s="32"/>
      <c r="AV244" s="32"/>
      <c r="AW244" s="32"/>
      <c r="AX244" s="32"/>
      <c r="AY244" s="32"/>
      <c r="AZ244" s="32"/>
      <c r="BA244" s="32"/>
      <c r="BB244" s="32"/>
      <c r="BC244" s="32"/>
      <c r="BD244" s="32">
        <f>IFERROR(__xludf.DUMMYFUNCTION("""COMPUTED_VALUE"""),10.0)</f>
        <v>10</v>
      </c>
      <c r="BE244" s="32">
        <f>IFERROR(__xludf.DUMMYFUNCTION("""COMPUTED_VALUE"""),10.0)</f>
        <v>10</v>
      </c>
      <c r="BF244" s="32"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32" t="str">
        <f>IFERROR(__xludf.DUMMYFUNCTION("""COMPUTED_VALUE"""),"Swamp")</f>
        <v>Swamp</v>
      </c>
      <c r="BH244" s="32" t="str">
        <f>IFERROR(__xludf.DUMMYFUNCTION("""COMPUTED_VALUE"""),"Land of Spira")</f>
        <v>Land of Spira</v>
      </c>
      <c r="BI244" s="32"/>
      <c r="BJ244" s="32"/>
      <c r="BK244" s="32"/>
      <c r="BL244" s="32" t="b">
        <f>IFERROR(__xludf.DUMMYFUNCTION("""COMPUTED_VALUE"""),FALSE)</f>
        <v>0</v>
      </c>
      <c r="BM244" s="32"/>
      <c r="BN244" s="32"/>
      <c r="BO244" s="32"/>
      <c r="BP244" s="32"/>
      <c r="BQ244" s="32"/>
    </row>
    <row r="245">
      <c r="A245" s="32" t="str">
        <f>IFERROR(__xludf.DUMMYFUNCTION("""COMPUTED_VALUE"""),"The Ancient Colossal Dragon of Spira")</f>
        <v>The Ancient Colossal Dragon of Spira</v>
      </c>
      <c r="B245" s="32">
        <f>IFERROR(__xludf.DUMMYFUNCTION("""COMPUTED_VALUE"""),1.0)</f>
        <v>1</v>
      </c>
      <c r="C245" s="32"/>
      <c r="D245" s="33" t="str">
        <f>IFERROR(__xludf.DUMMYFUNCTION("""COMPUTED_VALUE"""),"Draconic")</f>
        <v>Draconic</v>
      </c>
      <c r="E245" s="33">
        <f>IFERROR(__xludf.DUMMYFUNCTION("""COMPUTED_VALUE"""),1010.0)</f>
        <v>1010</v>
      </c>
      <c r="F245" s="33">
        <f>IFERROR(__xludf.DUMMYFUNCTION("""COMPUTED_VALUE"""),1010.0)</f>
        <v>1010</v>
      </c>
      <c r="G245" s="33">
        <f>IFERROR(__xludf.DUMMYFUNCTION("""COMPUTED_VALUE"""),1010.0)</f>
        <v>1010</v>
      </c>
      <c r="H245" s="32">
        <f>IFERROR(__xludf.DUMMYFUNCTION("""COMPUTED_VALUE"""),10.0)</f>
        <v>10</v>
      </c>
      <c r="I245" s="32">
        <f>IFERROR(__xludf.DUMMYFUNCTION("""COMPUTED_VALUE"""),0.0)</f>
        <v>0</v>
      </c>
      <c r="J245" s="32">
        <f>IFERROR(__xludf.DUMMYFUNCTION("""COMPUTED_VALUE"""),0.0)</f>
        <v>0</v>
      </c>
      <c r="K245" s="32">
        <f>IFERROR(__xludf.DUMMYFUNCTION("""COMPUTED_VALUE"""),100.0)</f>
        <v>100</v>
      </c>
      <c r="L245" s="32">
        <f>IFERROR(__xludf.DUMMYFUNCTION("""COMPUTED_VALUE"""),100.0)</f>
        <v>100</v>
      </c>
      <c r="M245" s="32" t="str">
        <f>IFERROR(__xludf.DUMMYFUNCTION("""COMPUTED_VALUE"""),"Instant Death:Immune, Banishment:Immune, ")</f>
        <v>Instant Death:Immune, Banishment:Immune, </v>
      </c>
      <c r="N245" s="32" t="str">
        <f>IFERROR(__xludf.DUMMYFUNCTION("""COMPUTED_VALUE"""),"")</f>
        <v/>
      </c>
      <c r="O245" s="32"/>
      <c r="P245" s="32"/>
      <c r="Q245" s="32"/>
      <c r="R245" s="32"/>
      <c r="S245" s="32"/>
      <c r="T245" s="32"/>
      <c r="U245" s="32"/>
      <c r="V245" s="32"/>
      <c r="W245" s="32"/>
      <c r="X245" s="32"/>
      <c r="Y245" s="32"/>
      <c r="Z245" s="32"/>
      <c r="AA245" s="32"/>
      <c r="AB245" s="32"/>
      <c r="AC245" s="32"/>
      <c r="AD245" s="32"/>
      <c r="AE245" s="32"/>
      <c r="AF245" s="32"/>
      <c r="AG245" s="32"/>
      <c r="AH245" s="32"/>
      <c r="AI245" s="32"/>
      <c r="AJ245" s="32" t="str">
        <f>IFERROR(__xludf.DUMMYFUNCTION("""COMPUTED_VALUE"""),"Aggressive Chomp")</f>
        <v>Aggressive Chomp</v>
      </c>
      <c r="AK245" s="32" t="str">
        <f>IFERROR(__xludf.DUMMYFUNCTION("""COMPUTED_VALUE"""),"Mass Destruction")</f>
        <v>Mass Destruction</v>
      </c>
      <c r="AL245" s="32" t="str">
        <f>IFERROR(__xludf.DUMMYFUNCTION("""COMPUTED_VALUE"""),"Celestial Wrath")</f>
        <v>Celestial Wrath</v>
      </c>
      <c r="AM245" s="32" t="str">
        <f>IFERROR(__xludf.DUMMYFUNCTION("""COMPUTED_VALUE"""),"Strong ward")</f>
        <v>Strong ward</v>
      </c>
      <c r="AN245" s="32" t="str">
        <f>IFERROR(__xludf.DUMMYFUNCTION("""COMPUTED_VALUE"""),"Chaincast")</f>
        <v>Chaincast</v>
      </c>
      <c r="AO245" s="32" t="str">
        <f>IFERROR(__xludf.DUMMYFUNCTION("""COMPUTED_VALUE"""),"Multishot")</f>
        <v>Multishot</v>
      </c>
      <c r="AP245" s="32" t="str">
        <f>IFERROR(__xludf.DUMMYFUNCTION("""COMPUTED_VALUE"""),"Dragon's Breath")</f>
        <v>Dragon's Breath</v>
      </c>
      <c r="AQ245" s="32" t="str">
        <f>IFERROR(__xludf.DUMMYFUNCTION("""COMPUTED_VALUE"""),"Max Evade")</f>
        <v>Max Evade</v>
      </c>
      <c r="AR245" s="32"/>
      <c r="AS245" s="32"/>
      <c r="AT245" s="32"/>
      <c r="AU245" s="32"/>
      <c r="AV245" s="32"/>
      <c r="AW245" s="32"/>
      <c r="AX245" s="32"/>
      <c r="AY245" s="32"/>
      <c r="AZ245" s="32"/>
      <c r="BA245" s="32"/>
      <c r="BB245" s="32"/>
      <c r="BC245" s="32"/>
      <c r="BD245" s="32">
        <f>IFERROR(__xludf.DUMMYFUNCTION("""COMPUTED_VALUE"""),0.0)</f>
        <v>0</v>
      </c>
      <c r="BE245" s="32">
        <f>IFERROR(__xludf.DUMMYFUNCTION("""COMPUTED_VALUE"""),10.0)</f>
        <v>10</v>
      </c>
      <c r="BF245" s="32"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32" t="str">
        <f>IFERROR(__xludf.DUMMYFUNCTION("""COMPUTED_VALUE"""),"All")</f>
        <v>All</v>
      </c>
      <c r="BH245" s="32" t="str">
        <f>IFERROR(__xludf.DUMMYFUNCTION("""COMPUTED_VALUE"""),"Land Of Spira")</f>
        <v>Land Of Spira</v>
      </c>
      <c r="BI245" s="32"/>
      <c r="BJ245" s="32"/>
      <c r="BK245" s="32"/>
      <c r="BL245" s="32" t="b">
        <f>IFERROR(__xludf.DUMMYFUNCTION("""COMPUTED_VALUE"""),FALSE)</f>
        <v>0</v>
      </c>
      <c r="BM245" s="32"/>
      <c r="BN245" s="32"/>
      <c r="BO245" s="32"/>
      <c r="BP245" s="32"/>
      <c r="BQ245" s="32"/>
    </row>
    <row r="246">
      <c r="A246" s="32" t="str">
        <f>IFERROR(__xludf.DUMMYFUNCTION("""COMPUTED_VALUE"""),"The Black And White Dragon")</f>
        <v>The Black And White Dragon</v>
      </c>
      <c r="B246" s="32">
        <f>IFERROR(__xludf.DUMMYFUNCTION("""COMPUTED_VALUE"""),1.0)</f>
        <v>1</v>
      </c>
      <c r="C246" s="32"/>
      <c r="D246" s="33" t="str">
        <f>IFERROR(__xludf.DUMMYFUNCTION("""COMPUTED_VALUE"""),"Draconic")</f>
        <v>Draconic</v>
      </c>
      <c r="E246" s="33">
        <f>IFERROR(__xludf.DUMMYFUNCTION("""COMPUTED_VALUE"""),1010.0)</f>
        <v>1010</v>
      </c>
      <c r="F246" s="33">
        <f>IFERROR(__xludf.DUMMYFUNCTION("""COMPUTED_VALUE"""),1010.0)</f>
        <v>1010</v>
      </c>
      <c r="G246" s="33">
        <f>IFERROR(__xludf.DUMMYFUNCTION("""COMPUTED_VALUE"""),1010.0)</f>
        <v>1010</v>
      </c>
      <c r="H246" s="32">
        <f>IFERROR(__xludf.DUMMYFUNCTION("""COMPUTED_VALUE"""),10.0)</f>
        <v>10</v>
      </c>
      <c r="I246" s="32">
        <f>IFERROR(__xludf.DUMMYFUNCTION("""COMPUTED_VALUE"""),0.0)</f>
        <v>0</v>
      </c>
      <c r="J246" s="32">
        <f>IFERROR(__xludf.DUMMYFUNCTION("""COMPUTED_VALUE"""),0.0)</f>
        <v>0</v>
      </c>
      <c r="K246" s="32">
        <f>IFERROR(__xludf.DUMMYFUNCTION("""COMPUTED_VALUE"""),100.0)</f>
        <v>100</v>
      </c>
      <c r="L246" s="32">
        <f>IFERROR(__xludf.DUMMYFUNCTION("""COMPUTED_VALUE"""),100.0)</f>
        <v>100</v>
      </c>
      <c r="M246" s="32" t="str">
        <f>IFERROR(__xludf.DUMMYFUNCTION("""COMPUTED_VALUE"""),"Instant Death:Immune, Banishment:Immune, ")</f>
        <v>Instant Death:Immune, Banishment:Immune, </v>
      </c>
      <c r="N246" s="32" t="str">
        <f>IFERROR(__xludf.DUMMYFUNCTION("""COMPUTED_VALUE"""),"")</f>
        <v/>
      </c>
      <c r="O246" s="32"/>
      <c r="P246" s="32"/>
      <c r="Q246" s="32"/>
      <c r="R246" s="32"/>
      <c r="S246" s="32"/>
      <c r="T246" s="32"/>
      <c r="U246" s="32"/>
      <c r="V246" s="32"/>
      <c r="W246" s="32"/>
      <c r="X246" s="32"/>
      <c r="Y246" s="32"/>
      <c r="Z246" s="32"/>
      <c r="AA246" s="32"/>
      <c r="AB246" s="32"/>
      <c r="AC246" s="32"/>
      <c r="AD246" s="32"/>
      <c r="AE246" s="32"/>
      <c r="AF246" s="32"/>
      <c r="AG246" s="32"/>
      <c r="AH246" s="32"/>
      <c r="AI246" s="32"/>
      <c r="AJ246" s="32" t="str">
        <f>IFERROR(__xludf.DUMMYFUNCTION("""COMPUTED_VALUE"""),"Dive Bomb")</f>
        <v>Dive Bomb</v>
      </c>
      <c r="AK246" s="32" t="str">
        <f>IFERROR(__xludf.DUMMYFUNCTION("""COMPUTED_VALUE"""),"Dragon's Breath")</f>
        <v>Dragon's Breath</v>
      </c>
      <c r="AL246" s="32" t="str">
        <f>IFERROR(__xludf.DUMMYFUNCTION("""COMPUTED_VALUE"""),"Sunny Day")</f>
        <v>Sunny Day</v>
      </c>
      <c r="AM246" s="32" t="str">
        <f>IFERROR(__xludf.DUMMYFUNCTION("""COMPUTED_VALUE"""),"Inferno Sun")</f>
        <v>Inferno Sun</v>
      </c>
      <c r="AN246" s="32" t="str">
        <f>IFERROR(__xludf.DUMMYFUNCTION("""COMPUTED_VALUE"""),"Sunlight Regen")</f>
        <v>Sunlight Regen</v>
      </c>
      <c r="AO246" s="32" t="str">
        <f>IFERROR(__xludf.DUMMYFUNCTION("""COMPUTED_VALUE"""),"Sun Slam")</f>
        <v>Sun Slam</v>
      </c>
      <c r="AP246" s="32" t="str">
        <f>IFERROR(__xludf.DUMMYFUNCTION("""COMPUTED_VALUE"""),"Moon Slam")</f>
        <v>Moon Slam</v>
      </c>
      <c r="AQ246" s="32" t="str">
        <f>IFERROR(__xludf.DUMMYFUNCTION("""COMPUTED_VALUE"""),"Moon Beam")</f>
        <v>Moon Beam</v>
      </c>
      <c r="AR246" s="32" t="str">
        <f>IFERROR(__xludf.DUMMYFUNCTION("""COMPUTED_VALUE"""),"Moonlight")</f>
        <v>Moonlight</v>
      </c>
      <c r="AS246" s="32" t="str">
        <f>IFERROR(__xludf.DUMMYFUNCTION("""COMPUTED_VALUE"""),"Moonlight Regen")</f>
        <v>Moonlight Regen</v>
      </c>
      <c r="AT246" s="32" t="str">
        <f>IFERROR(__xludf.DUMMYFUNCTION("""COMPUTED_VALUE"""),"Solar Eclipse")</f>
        <v>Solar Eclipse</v>
      </c>
      <c r="AU246" s="32"/>
      <c r="AV246" s="32"/>
      <c r="AW246" s="32"/>
      <c r="AX246" s="32"/>
      <c r="AY246" s="32"/>
      <c r="AZ246" s="32"/>
      <c r="BA246" s="32"/>
      <c r="BB246" s="32"/>
      <c r="BC246" s="32"/>
      <c r="BD246" s="32">
        <f>IFERROR(__xludf.DUMMYFUNCTION("""COMPUTED_VALUE"""),0.0)</f>
        <v>0</v>
      </c>
      <c r="BE246" s="32">
        <f>IFERROR(__xludf.DUMMYFUNCTION("""COMPUTED_VALUE"""),10.0)</f>
        <v>10</v>
      </c>
      <c r="BF246" s="32"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32" t="str">
        <f>IFERROR(__xludf.DUMMYFUNCTION("""COMPUTED_VALUE"""),"All")</f>
        <v>All</v>
      </c>
      <c r="BH246" s="32" t="str">
        <f>IFERROR(__xludf.DUMMYFUNCTION("""COMPUTED_VALUE"""),"Solreach")</f>
        <v>Solreach</v>
      </c>
      <c r="BI246" s="32"/>
      <c r="BJ246" s="32"/>
      <c r="BK246" s="32"/>
      <c r="BL246" s="32" t="b">
        <f>IFERROR(__xludf.DUMMYFUNCTION("""COMPUTED_VALUE"""),FALSE)</f>
        <v>0</v>
      </c>
      <c r="BM246" s="32"/>
      <c r="BN246" s="32"/>
      <c r="BO246" s="32"/>
      <c r="BP246" s="32"/>
      <c r="BQ246" s="32"/>
    </row>
    <row r="247">
      <c r="A247" s="32" t="str">
        <f>IFERROR(__xludf.DUMMYFUNCTION("""COMPUTED_VALUE"""),"The Black Demon")</f>
        <v>The Black Demon</v>
      </c>
      <c r="B247" s="32">
        <f>IFERROR(__xludf.DUMMYFUNCTION("""COMPUTED_VALUE"""),1.0)</f>
        <v>1</v>
      </c>
      <c r="C247" s="32"/>
      <c r="D247" s="33" t="str">
        <f>IFERROR(__xludf.DUMMYFUNCTION("""COMPUTED_VALUE"""),"Demonic")</f>
        <v>Demonic</v>
      </c>
      <c r="E247" s="33">
        <f>IFERROR(__xludf.DUMMYFUNCTION("""COMPUTED_VALUE"""),1010.0)</f>
        <v>1010</v>
      </c>
      <c r="F247" s="33">
        <f>IFERROR(__xludf.DUMMYFUNCTION("""COMPUTED_VALUE"""),1010.0)</f>
        <v>1010</v>
      </c>
      <c r="G247" s="33">
        <f>IFERROR(__xludf.DUMMYFUNCTION("""COMPUTED_VALUE"""),1010.0)</f>
        <v>1010</v>
      </c>
      <c r="H247" s="32">
        <f>IFERROR(__xludf.DUMMYFUNCTION("""COMPUTED_VALUE"""),10.0)</f>
        <v>10</v>
      </c>
      <c r="I247" s="32">
        <f>IFERROR(__xludf.DUMMYFUNCTION("""COMPUTED_VALUE"""),0.0)</f>
        <v>0</v>
      </c>
      <c r="J247" s="32">
        <f>IFERROR(__xludf.DUMMYFUNCTION("""COMPUTED_VALUE"""),0.0)</f>
        <v>0</v>
      </c>
      <c r="K247" s="32">
        <f>IFERROR(__xludf.DUMMYFUNCTION("""COMPUTED_VALUE"""),100.0)</f>
        <v>100</v>
      </c>
      <c r="L247" s="32">
        <f>IFERROR(__xludf.DUMMYFUNCTION("""COMPUTED_VALUE"""),100.0)</f>
        <v>100</v>
      </c>
      <c r="M247" s="32" t="str">
        <f>IFERROR(__xludf.DUMMYFUNCTION("""COMPUTED_VALUE"""),"Dark:Immune, Spirit:Immune, Chaos:Immune, Instant Death:Immune, ")</f>
        <v>Dark:Immune, Spirit:Immune, Chaos:Immune, Instant Death:Immune, </v>
      </c>
      <c r="N247" s="32" t="str">
        <f>IFERROR(__xludf.DUMMYFUNCTION("""COMPUTED_VALUE"""),"Fire:100, Light:100, ")</f>
        <v>Fire:100, Light:100, </v>
      </c>
      <c r="O247" s="32"/>
      <c r="P247" s="32"/>
      <c r="Q247" s="32"/>
      <c r="R247" s="32"/>
      <c r="S247" s="32"/>
      <c r="T247" s="32"/>
      <c r="U247" s="32"/>
      <c r="V247" s="32" t="str">
        <f>IFERROR(__xludf.DUMMYFUNCTION("""COMPUTED_VALUE"""),"Chaos Sword")</f>
        <v>Chaos Sword</v>
      </c>
      <c r="W247" s="32"/>
      <c r="X247" s="32"/>
      <c r="Y247" s="32"/>
      <c r="Z247" s="32"/>
      <c r="AA247" s="32"/>
      <c r="AB247" s="32"/>
      <c r="AC247" s="32"/>
      <c r="AD247" s="32"/>
      <c r="AE247" s="32"/>
      <c r="AF247" s="32"/>
      <c r="AG247" s="32"/>
      <c r="AH247" s="32"/>
      <c r="AI247" s="32"/>
      <c r="AJ247" s="32" t="str">
        <f>IFERROR(__xludf.DUMMYFUNCTION("""COMPUTED_VALUE"""),"Dark Curse")</f>
        <v>Dark Curse</v>
      </c>
      <c r="AK247" s="32" t="str">
        <f>IFERROR(__xludf.DUMMYFUNCTION("""COMPUTED_VALUE"""),"Darkest Abyss")</f>
        <v>Darkest Abyss</v>
      </c>
      <c r="AL247" s="32" t="str">
        <f>IFERROR(__xludf.DUMMYFUNCTION("""COMPUTED_VALUE"""),"Last Gamble")</f>
        <v>Last Gamble</v>
      </c>
      <c r="AM247" s="32" t="str">
        <f>IFERROR(__xludf.DUMMYFUNCTION("""COMPUTED_VALUE"""),"Chaotic Shadow Force")</f>
        <v>Chaotic Shadow Force</v>
      </c>
      <c r="AN247" s="32" t="str">
        <f>IFERROR(__xludf.DUMMYFUNCTION("""COMPUTED_VALUE"""),"End The Voodoo Contract")</f>
        <v>End The Voodoo Contract</v>
      </c>
      <c r="AO247" s="32" t="str">
        <f>IFERROR(__xludf.DUMMYFUNCTION("""COMPUTED_VALUE"""),"Enthrall")</f>
        <v>Enthrall</v>
      </c>
      <c r="AP247" s="32" t="str">
        <f>IFERROR(__xludf.DUMMYFUNCTION("""COMPUTED_VALUE"""),"Celestial Wrath")</f>
        <v>Celestial Wrath</v>
      </c>
      <c r="AQ247" s="32"/>
      <c r="AR247" s="32"/>
      <c r="AS247" s="32"/>
      <c r="AT247" s="32"/>
      <c r="AU247" s="32"/>
      <c r="AV247" s="32"/>
      <c r="AW247" s="32"/>
      <c r="AX247" s="32"/>
      <c r="AY247" s="32"/>
      <c r="AZ247" s="32"/>
      <c r="BA247" s="32"/>
      <c r="BB247" s="32"/>
      <c r="BC247" s="32"/>
      <c r="BD247" s="32">
        <f>IFERROR(__xludf.DUMMYFUNCTION("""COMPUTED_VALUE"""),0.0)</f>
        <v>0</v>
      </c>
      <c r="BE247" s="32">
        <f>IFERROR(__xludf.DUMMYFUNCTION("""COMPUTED_VALUE"""),10.0)</f>
        <v>10</v>
      </c>
      <c r="BF247" s="32" t="str">
        <f>IFERROR(__xludf.DUMMYFUNCTION("""COMPUTED_VALUE"""),"A Dark Calling: +5 can be added to this mobs rolls.")</f>
        <v>A Dark Calling: +5 can be added to this mobs rolls.</v>
      </c>
      <c r="BG247" s="32" t="str">
        <f>IFERROR(__xludf.DUMMYFUNCTION("""COMPUTED_VALUE"""),"All")</f>
        <v>All</v>
      </c>
      <c r="BH247" s="32" t="str">
        <f>IFERROR(__xludf.DUMMYFUNCTION("""COMPUTED_VALUE"""),"Abstara")</f>
        <v>Abstara</v>
      </c>
      <c r="BI247" s="32"/>
      <c r="BJ247" s="32"/>
      <c r="BK247" s="32"/>
      <c r="BL247" s="32" t="b">
        <f>IFERROR(__xludf.DUMMYFUNCTION("""COMPUTED_VALUE"""),FALSE)</f>
        <v>0</v>
      </c>
      <c r="BM247" s="32"/>
      <c r="BN247" s="32"/>
      <c r="BO247" s="32"/>
      <c r="BP247" s="32"/>
      <c r="BQ247" s="32"/>
    </row>
    <row r="248">
      <c r="A248" s="32" t="str">
        <f>IFERROR(__xludf.DUMMYFUNCTION("""COMPUTED_VALUE"""),"The Clown King")</f>
        <v>The Clown King</v>
      </c>
      <c r="B248" s="32">
        <f>IFERROR(__xludf.DUMMYFUNCTION("""COMPUTED_VALUE"""),1.0)</f>
        <v>1</v>
      </c>
      <c r="C248" s="32"/>
      <c r="D248" s="32" t="str">
        <f>IFERROR(__xludf.DUMMYFUNCTION("""COMPUTED_VALUE"""),"Humanoid")</f>
        <v>Humanoid</v>
      </c>
      <c r="E248" s="32">
        <f>IFERROR(__xludf.DUMMYFUNCTION("""COMPUTED_VALUE"""),1010.0)</f>
        <v>1010</v>
      </c>
      <c r="F248" s="33">
        <f>IFERROR(__xludf.DUMMYFUNCTION("""COMPUTED_VALUE"""),1010.0)</f>
        <v>1010</v>
      </c>
      <c r="G248" s="32">
        <f>IFERROR(__xludf.DUMMYFUNCTION("""COMPUTED_VALUE"""),1010.0)</f>
        <v>1010</v>
      </c>
      <c r="H248" s="32">
        <f>IFERROR(__xludf.DUMMYFUNCTION("""COMPUTED_VALUE"""),20.0)</f>
        <v>20</v>
      </c>
      <c r="I248" s="32">
        <f>IFERROR(__xludf.DUMMYFUNCTION("""COMPUTED_VALUE"""),0.0)</f>
        <v>0</v>
      </c>
      <c r="J248" s="32">
        <f>IFERROR(__xludf.DUMMYFUNCTION("""COMPUTED_VALUE"""),0.0)</f>
        <v>0</v>
      </c>
      <c r="K248" s="32">
        <f>IFERROR(__xludf.DUMMYFUNCTION("""COMPUTED_VALUE"""),100.0)</f>
        <v>100</v>
      </c>
      <c r="L248" s="32">
        <f>IFERROR(__xludf.DUMMYFUNCTION("""COMPUTED_VALUE"""),100.0)</f>
        <v>100</v>
      </c>
      <c r="M248" s="32" t="str">
        <f>IFERROR(__xludf.DUMMYFUNCTION("""COMPUTED_VALUE"""),"Dark:Immune, Spirit:Immune, Instant Death:Immune, Banishment:immune, ")</f>
        <v>Dark:Immune, Spirit:Immune, Instant Death:Immune, Banishment:immune, </v>
      </c>
      <c r="N248" s="32" t="str">
        <f>IFERROR(__xludf.DUMMYFUNCTION("""COMPUTED_VALUE"""),"Light:100, ")</f>
        <v>Light:100, </v>
      </c>
      <c r="O248" s="32"/>
      <c r="P248" s="32"/>
      <c r="Q248" s="32"/>
      <c r="R248" s="32"/>
      <c r="S248" s="32"/>
      <c r="T248" s="32"/>
      <c r="U248" s="32"/>
      <c r="V248" s="32"/>
      <c r="W248" s="32"/>
      <c r="X248" s="32"/>
      <c r="Y248" s="32"/>
      <c r="Z248" s="32"/>
      <c r="AA248" s="32"/>
      <c r="AB248" s="32"/>
      <c r="AC248" s="32"/>
      <c r="AD248" s="32"/>
      <c r="AE248" s="32"/>
      <c r="AF248" s="32"/>
      <c r="AG248" s="32"/>
      <c r="AH248" s="32"/>
      <c r="AI248" s="32"/>
      <c r="AJ248" s="32" t="str">
        <f>IFERROR(__xludf.DUMMYFUNCTION("""COMPUTED_VALUE"""),"Chaincast")</f>
        <v>Chaincast</v>
      </c>
      <c r="AK248" s="32" t="str">
        <f>IFERROR(__xludf.DUMMYFUNCTION("""COMPUTED_VALUE"""),"Arrest")</f>
        <v>Arrest</v>
      </c>
      <c r="AL248" s="32" t="str">
        <f>IFERROR(__xludf.DUMMYFUNCTION("""COMPUTED_VALUE"""),"Darkest Abyss")</f>
        <v>Darkest Abyss</v>
      </c>
      <c r="AM248" s="32" t="str">
        <f>IFERROR(__xludf.DUMMYFUNCTION("""COMPUTED_VALUE"""),"Dark Curse")</f>
        <v>Dark Curse</v>
      </c>
      <c r="AN248" s="32" t="str">
        <f>IFERROR(__xludf.DUMMYFUNCTION("""COMPUTED_VALUE"""),"Dimensional Quake")</f>
        <v>Dimensional Quake</v>
      </c>
      <c r="AO248" s="32" t="str">
        <f>IFERROR(__xludf.DUMMYFUNCTION("""COMPUTED_VALUE"""),"Dimension Portal")</f>
        <v>Dimension Portal</v>
      </c>
      <c r="AP248" s="32" t="str">
        <f>IFERROR(__xludf.DUMMYFUNCTION("""COMPUTED_VALUE"""),"Voodoo Meteor Shower")</f>
        <v>Voodoo Meteor Shower</v>
      </c>
      <c r="AQ248" s="32" t="str">
        <f>IFERROR(__xludf.DUMMYFUNCTION("""COMPUTED_VALUE"""),"Hex With Bad Luck")</f>
        <v>Hex With Bad Luck</v>
      </c>
      <c r="AR248" s="32" t="str">
        <f>IFERROR(__xludf.DUMMYFUNCTION("""COMPUTED_VALUE"""),"Stand in")</f>
        <v>Stand in</v>
      </c>
      <c r="AS248" s="32" t="str">
        <f>IFERROR(__xludf.DUMMYFUNCTION("""COMPUTED_VALUE"""),"Last Gamble")</f>
        <v>Last Gamble</v>
      </c>
      <c r="AT248" s="32" t="str">
        <f>IFERROR(__xludf.DUMMYFUNCTION("""COMPUTED_VALUE"""),"Mass Destruction")</f>
        <v>Mass Destruction</v>
      </c>
      <c r="AU248" s="32" t="str">
        <f>IFERROR(__xludf.DUMMYFUNCTION("""COMPUTED_VALUE"""),"Celestial Increase II")</f>
        <v>Celestial Increase II</v>
      </c>
      <c r="AV248" s="32"/>
      <c r="AW248" s="32"/>
      <c r="AX248" s="32"/>
      <c r="AY248" s="32"/>
      <c r="AZ248" s="32"/>
      <c r="BA248" s="32"/>
      <c r="BB248" s="32"/>
      <c r="BC248" s="32"/>
      <c r="BD248" s="32">
        <f>IFERROR(__xludf.DUMMYFUNCTION("""COMPUTED_VALUE"""),0.0)</f>
        <v>0</v>
      </c>
      <c r="BE248" s="32">
        <f>IFERROR(__xludf.DUMMYFUNCTION("""COMPUTED_VALUE"""),20.0)</f>
        <v>20</v>
      </c>
      <c r="BF248"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32" t="str">
        <f>IFERROR(__xludf.DUMMYFUNCTION("""COMPUTED_VALUE"""),"All")</f>
        <v>All</v>
      </c>
      <c r="BH248" s="32" t="str">
        <f>IFERROR(__xludf.DUMMYFUNCTION("""COMPUTED_VALUE"""),"Halloween Kingdom")</f>
        <v>Halloween Kingdom</v>
      </c>
      <c r="BI248" s="32"/>
      <c r="BJ248" s="32"/>
      <c r="BK248" s="32"/>
      <c r="BL248" s="32" t="b">
        <f>IFERROR(__xludf.DUMMYFUNCTION("""COMPUTED_VALUE"""),FALSE)</f>
        <v>0</v>
      </c>
      <c r="BM248" s="32"/>
      <c r="BN248" s="32"/>
      <c r="BO248" s="32"/>
      <c r="BP248" s="32"/>
      <c r="BQ248" s="32"/>
    </row>
    <row r="249">
      <c r="A249" s="32" t="str">
        <f>IFERROR(__xludf.DUMMYFUNCTION("""COMPUTED_VALUE"""),"The Cursed Kraken")</f>
        <v>The Cursed Kraken</v>
      </c>
      <c r="B249" s="32">
        <f>IFERROR(__xludf.DUMMYFUNCTION("""COMPUTED_VALUE"""),1.0)</f>
        <v>1</v>
      </c>
      <c r="C249" s="32"/>
      <c r="D249" s="33" t="str">
        <f>IFERROR(__xludf.DUMMYFUNCTION("""COMPUTED_VALUE"""),"Beast")</f>
        <v>Beast</v>
      </c>
      <c r="E249" s="33">
        <f>IFERROR(__xludf.DUMMYFUNCTION("""COMPUTED_VALUE"""),1010.0)</f>
        <v>1010</v>
      </c>
      <c r="F249" s="33">
        <f>IFERROR(__xludf.DUMMYFUNCTION("""COMPUTED_VALUE"""),1010.0)</f>
        <v>1010</v>
      </c>
      <c r="G249" s="33">
        <f>IFERROR(__xludf.DUMMYFUNCTION("""COMPUTED_VALUE"""),1010.0)</f>
        <v>1010</v>
      </c>
      <c r="H249" s="32">
        <f>IFERROR(__xludf.DUMMYFUNCTION("""COMPUTED_VALUE"""),10.0)</f>
        <v>10</v>
      </c>
      <c r="I249" s="32">
        <f>IFERROR(__xludf.DUMMYFUNCTION("""COMPUTED_VALUE"""),0.0)</f>
        <v>0</v>
      </c>
      <c r="J249" s="32">
        <f>IFERROR(__xludf.DUMMYFUNCTION("""COMPUTED_VALUE"""),0.0)</f>
        <v>0</v>
      </c>
      <c r="K249" s="32">
        <f>IFERROR(__xludf.DUMMYFUNCTION("""COMPUTED_VALUE"""),100.0)</f>
        <v>100</v>
      </c>
      <c r="L249" s="32">
        <f>IFERROR(__xludf.DUMMYFUNCTION("""COMPUTED_VALUE"""),100.0)</f>
        <v>100</v>
      </c>
      <c r="M249" s="32" t="str">
        <f>IFERROR(__xludf.DUMMYFUNCTION("""COMPUTED_VALUE"""),"Fire:Immune, Water:Immune, ")</f>
        <v>Fire:Immune, Water:Immune, </v>
      </c>
      <c r="N249" s="32" t="str">
        <f>IFERROR(__xludf.DUMMYFUNCTION("""COMPUTED_VALUE"""),"Nature:100, ")</f>
        <v>Nature:100, </v>
      </c>
      <c r="O249" s="32"/>
      <c r="P249" s="32"/>
      <c r="Q249" s="32"/>
      <c r="R249" s="32"/>
      <c r="S249" s="32"/>
      <c r="T249" s="32"/>
      <c r="U249" s="32"/>
      <c r="V249" s="32"/>
      <c r="W249" s="32"/>
      <c r="X249" s="32"/>
      <c r="Y249" s="32"/>
      <c r="Z249" s="32"/>
      <c r="AA249" s="32"/>
      <c r="AB249" s="32"/>
      <c r="AC249" s="32"/>
      <c r="AD249" s="32"/>
      <c r="AE249" s="32"/>
      <c r="AF249" s="32"/>
      <c r="AG249" s="32"/>
      <c r="AH249" s="32"/>
      <c r="AI249" s="32"/>
      <c r="AJ249" s="32" t="str">
        <f>IFERROR(__xludf.DUMMYFUNCTION("""COMPUTED_VALUE"""),"Strangle")</f>
        <v>Strangle</v>
      </c>
      <c r="AK249" s="32" t="str">
        <f>IFERROR(__xludf.DUMMYFUNCTION("""COMPUTED_VALUE"""),"Call of The Sharks")</f>
        <v>Call of The Sharks</v>
      </c>
      <c r="AL249" s="32"/>
      <c r="AM249" s="32"/>
      <c r="AN249" s="32"/>
      <c r="AO249" s="32"/>
      <c r="AP249" s="32"/>
      <c r="AQ249" s="32"/>
      <c r="AR249" s="32"/>
      <c r="AS249" s="32"/>
      <c r="AT249" s="32"/>
      <c r="AU249" s="32"/>
      <c r="AV249" s="32"/>
      <c r="AW249" s="32"/>
      <c r="AX249" s="32"/>
      <c r="AY249" s="32"/>
      <c r="AZ249" s="32"/>
      <c r="BA249" s="32"/>
      <c r="BB249" s="32"/>
      <c r="BC249" s="32"/>
      <c r="BD249" s="32">
        <f>IFERROR(__xludf.DUMMYFUNCTION("""COMPUTED_VALUE"""),0.0)</f>
        <v>0</v>
      </c>
      <c r="BE249" s="32">
        <f>IFERROR(__xludf.DUMMYFUNCTION("""COMPUTED_VALUE"""),10.0)</f>
        <v>10</v>
      </c>
      <c r="BF249" s="32"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32" t="str">
        <f>IFERROR(__xludf.DUMMYFUNCTION("""COMPUTED_VALUE"""),"Ocean")</f>
        <v>Ocean</v>
      </c>
      <c r="BH249" s="32" t="str">
        <f>IFERROR(__xludf.DUMMYFUNCTION("""COMPUTED_VALUE"""),"Land Of Spira")</f>
        <v>Land Of Spira</v>
      </c>
      <c r="BI249" s="32"/>
      <c r="BJ249" s="32"/>
      <c r="BK249" s="32"/>
      <c r="BL249" s="32" t="b">
        <f>IFERROR(__xludf.DUMMYFUNCTION("""COMPUTED_VALUE"""),FALSE)</f>
        <v>0</v>
      </c>
      <c r="BM249" s="32"/>
      <c r="BN249" s="32"/>
      <c r="BO249" s="32"/>
      <c r="BP249" s="32"/>
      <c r="BQ249" s="32"/>
    </row>
    <row r="250">
      <c r="A250" s="32" t="str">
        <f>IFERROR(__xludf.DUMMYFUNCTION("""COMPUTED_VALUE"""),"Giant Magma Snail")</f>
        <v>Giant Magma Snail</v>
      </c>
      <c r="B250" s="32">
        <f>IFERROR(__xludf.DUMMYFUNCTION("""COMPUTED_VALUE"""),1.0)</f>
        <v>1</v>
      </c>
      <c r="C250" s="32"/>
      <c r="D250" s="33" t="str">
        <f>IFERROR(__xludf.DUMMYFUNCTION("""COMPUTED_VALUE"""),"Beast")</f>
        <v>Beast</v>
      </c>
      <c r="E250" s="33">
        <f>IFERROR(__xludf.DUMMYFUNCTION("""COMPUTED_VALUE"""),1010.0)</f>
        <v>1010</v>
      </c>
      <c r="F250" s="33">
        <f>IFERROR(__xludf.DUMMYFUNCTION("""COMPUTED_VALUE"""),1010.0)</f>
        <v>1010</v>
      </c>
      <c r="G250" s="33">
        <f>IFERROR(__xludf.DUMMYFUNCTION("""COMPUTED_VALUE"""),101010.0)</f>
        <v>101010</v>
      </c>
      <c r="H250" s="32">
        <f>IFERROR(__xludf.DUMMYFUNCTION("""COMPUTED_VALUE"""),10.0)</f>
        <v>10</v>
      </c>
      <c r="I250" s="32">
        <f>IFERROR(__xludf.DUMMYFUNCTION("""COMPUTED_VALUE"""),0.0)</f>
        <v>0</v>
      </c>
      <c r="J250" s="32">
        <f>IFERROR(__xludf.DUMMYFUNCTION("""COMPUTED_VALUE"""),0.0)</f>
        <v>0</v>
      </c>
      <c r="K250" s="32">
        <f>IFERROR(__xludf.DUMMYFUNCTION("""COMPUTED_VALUE"""),100.0)</f>
        <v>100</v>
      </c>
      <c r="L250" s="32">
        <f>IFERROR(__xludf.DUMMYFUNCTION("""COMPUTED_VALUE"""),100.0)</f>
        <v>100</v>
      </c>
      <c r="M250" s="32" t="str">
        <f>IFERROR(__xludf.DUMMYFUNCTION("""COMPUTED_VALUE"""),"Fire:Immune, Nature:Immune, ")</f>
        <v>Fire:Immune, Nature:Immune, </v>
      </c>
      <c r="N250" s="32" t="str">
        <f>IFERROR(__xludf.DUMMYFUNCTION("""COMPUTED_VALUE"""),"Water:100, ")</f>
        <v>Water:100, </v>
      </c>
      <c r="O250" s="32"/>
      <c r="P250" s="32"/>
      <c r="Q250" s="32"/>
      <c r="R250" s="32"/>
      <c r="S250" s="32"/>
      <c r="T250" s="32"/>
      <c r="U250" s="32"/>
      <c r="V250" s="32"/>
      <c r="W250" s="32"/>
      <c r="X250" s="32"/>
      <c r="Y250" s="32"/>
      <c r="Z250" s="32"/>
      <c r="AA250" s="32"/>
      <c r="AB250" s="32"/>
      <c r="AC250" s="32"/>
      <c r="AD250" s="32"/>
      <c r="AE250" s="32"/>
      <c r="AF250" s="32"/>
      <c r="AG250" s="32"/>
      <c r="AH250" s="32"/>
      <c r="AI250" s="32"/>
      <c r="AJ250" s="32" t="str">
        <f>IFERROR(__xludf.DUMMYFUNCTION("""COMPUTED_VALUE"""),"Blade Barrier")</f>
        <v>Blade Barrier</v>
      </c>
      <c r="AK250" s="32" t="str">
        <f>IFERROR(__xludf.DUMMYFUNCTION("""COMPUTED_VALUE"""),"Melee Shield")</f>
        <v>Melee Shield</v>
      </c>
      <c r="AL250" s="32" t="str">
        <f>IFERROR(__xludf.DUMMYFUNCTION("""COMPUTED_VALUE"""),"Deflect")</f>
        <v>Deflect</v>
      </c>
      <c r="AM250" s="32" t="str">
        <f>IFERROR(__xludf.DUMMYFUNCTION("""COMPUTED_VALUE"""),"Reflect")</f>
        <v>Reflect</v>
      </c>
      <c r="AN250" s="32" t="str">
        <f>IFERROR(__xludf.DUMMYFUNCTION("""COMPUTED_VALUE"""),"Chaos Ward")</f>
        <v>Chaos Ward</v>
      </c>
      <c r="AO250" s="32" t="str">
        <f>IFERROR(__xludf.DUMMYFUNCTION("""COMPUTED_VALUE"""),"Full Impact")</f>
        <v>Full Impact</v>
      </c>
      <c r="AP250" s="32"/>
      <c r="AQ250" s="32"/>
      <c r="AR250" s="32"/>
      <c r="AS250" s="32"/>
      <c r="AT250" s="32"/>
      <c r="AU250" s="32"/>
      <c r="AV250" s="32"/>
      <c r="AW250" s="32"/>
      <c r="AX250" s="32"/>
      <c r="AY250" s="32"/>
      <c r="AZ250" s="32"/>
      <c r="BA250" s="32"/>
      <c r="BB250" s="32"/>
      <c r="BC250" s="32"/>
      <c r="BD250" s="32">
        <f>IFERROR(__xludf.DUMMYFUNCTION("""COMPUTED_VALUE"""),0.0)</f>
        <v>0</v>
      </c>
      <c r="BE250" s="32">
        <f>IFERROR(__xludf.DUMMYFUNCTION("""COMPUTED_VALUE"""),10.0)</f>
        <v>10</v>
      </c>
      <c r="BF250" s="32"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32" t="str">
        <f>IFERROR(__xludf.DUMMYFUNCTION("""COMPUTED_VALUE"""),"All")</f>
        <v>All</v>
      </c>
      <c r="BH250" s="32" t="str">
        <f>IFERROR(__xludf.DUMMYFUNCTION("""COMPUTED_VALUE"""),"Abstara")</f>
        <v>Abstara</v>
      </c>
      <c r="BI250" s="32"/>
      <c r="BJ250" s="32"/>
      <c r="BK250" s="32"/>
      <c r="BL250" s="32" t="b">
        <f>IFERROR(__xludf.DUMMYFUNCTION("""COMPUTED_VALUE"""),FALSE)</f>
        <v>0</v>
      </c>
      <c r="BM250" s="32"/>
      <c r="BN250" s="32"/>
      <c r="BO250" s="32"/>
      <c r="BP250" s="32"/>
      <c r="BQ250" s="32"/>
    </row>
    <row r="251">
      <c r="A251" s="32" t="str">
        <f>IFERROR(__xludf.DUMMYFUNCTION("""COMPUTED_VALUE"""),"The God Of Birch")</f>
        <v>The God Of Birch</v>
      </c>
      <c r="B251" s="32">
        <f>IFERROR(__xludf.DUMMYFUNCTION("""COMPUTED_VALUE"""),1.0)</f>
        <v>1</v>
      </c>
      <c r="C251" s="32"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33" t="str">
        <f>IFERROR(__xludf.DUMMYFUNCTION("""COMPUTED_VALUE"""),"Fae")</f>
        <v>Fae</v>
      </c>
      <c r="E251" s="33">
        <f>IFERROR(__xludf.DUMMYFUNCTION("""COMPUTED_VALUE"""),1010.0)</f>
        <v>1010</v>
      </c>
      <c r="F251" s="33">
        <f>IFERROR(__xludf.DUMMYFUNCTION("""COMPUTED_VALUE"""),1010.0)</f>
        <v>1010</v>
      </c>
      <c r="G251" s="33">
        <f>IFERROR(__xludf.DUMMYFUNCTION("""COMPUTED_VALUE"""),1010.0)</f>
        <v>1010</v>
      </c>
      <c r="H251" s="32">
        <f>IFERROR(__xludf.DUMMYFUNCTION("""COMPUTED_VALUE"""),10.0)</f>
        <v>10</v>
      </c>
      <c r="I251" s="32">
        <f>IFERROR(__xludf.DUMMYFUNCTION("""COMPUTED_VALUE"""),0.0)</f>
        <v>0</v>
      </c>
      <c r="J251" s="32">
        <f>IFERROR(__xludf.DUMMYFUNCTION("""COMPUTED_VALUE"""),0.0)</f>
        <v>0</v>
      </c>
      <c r="K251" s="32">
        <f>IFERROR(__xludf.DUMMYFUNCTION("""COMPUTED_VALUE"""),100.0)</f>
        <v>100</v>
      </c>
      <c r="L251" s="32">
        <f>IFERROR(__xludf.DUMMYFUNCTION("""COMPUTED_VALUE"""),100.0)</f>
        <v>100</v>
      </c>
      <c r="M251" s="32" t="str">
        <f>IFERROR(__xludf.DUMMYFUNCTION("""COMPUTED_VALUE"""),"Instant Death:Immune, ")</f>
        <v>Instant Death:Immune, </v>
      </c>
      <c r="N251" s="32" t="str">
        <f>IFERROR(__xludf.DUMMYFUNCTION("""COMPUTED_VALUE"""),"Fire:100, Storm:100, ")</f>
        <v>Fire:100, Storm:100, </v>
      </c>
      <c r="O251" s="32"/>
      <c r="P251" s="32"/>
      <c r="Q251" s="32"/>
      <c r="R251" s="32"/>
      <c r="S251" s="32"/>
      <c r="T251" s="32"/>
      <c r="U251" s="32"/>
      <c r="V251" s="32" t="str">
        <f>IFERROR(__xludf.DUMMYFUNCTION("""COMPUTED_VALUE"""),"World Tree Sword")</f>
        <v>World Tree Sword</v>
      </c>
      <c r="W251" s="32"/>
      <c r="X251" s="32"/>
      <c r="Y251" s="32"/>
      <c r="Z251" s="32"/>
      <c r="AA251" s="32"/>
      <c r="AB251" s="32"/>
      <c r="AC251" s="32"/>
      <c r="AD251" s="32"/>
      <c r="AE251" s="32"/>
      <c r="AF251" s="32"/>
      <c r="AG251" s="32"/>
      <c r="AH251" s="32"/>
      <c r="AI251" s="32"/>
      <c r="AJ251" s="32" t="str">
        <f>IFERROR(__xludf.DUMMYFUNCTION("""COMPUTED_VALUE"""),"Nature ward")</f>
        <v>Nature ward</v>
      </c>
      <c r="AK251" s="32" t="str">
        <f>IFERROR(__xludf.DUMMYFUNCTION("""COMPUTED_VALUE"""),"Vine Whip")</f>
        <v>Vine Whip</v>
      </c>
      <c r="AL251" s="32" t="str">
        <f>IFERROR(__xludf.DUMMYFUNCTION("""COMPUTED_VALUE"""),"Vine Hold")</f>
        <v>Vine Hold</v>
      </c>
      <c r="AM251" s="32" t="str">
        <f>IFERROR(__xludf.DUMMYFUNCTION("""COMPUTED_VALUE"""),"The World Tree")</f>
        <v>The World Tree</v>
      </c>
      <c r="AN251" s="32" t="str">
        <f>IFERROR(__xludf.DUMMYFUNCTION("""COMPUTED_VALUE"""),"Multishot")</f>
        <v>Multishot</v>
      </c>
      <c r="AO251" s="32" t="str">
        <f>IFERROR(__xludf.DUMMYFUNCTION("""COMPUTED_VALUE"""),"Chaincast")</f>
        <v>Chaincast</v>
      </c>
      <c r="AP251" s="32"/>
      <c r="AQ251" s="32"/>
      <c r="AR251" s="32"/>
      <c r="AS251" s="32"/>
      <c r="AT251" s="32"/>
      <c r="AU251" s="32"/>
      <c r="AV251" s="32"/>
      <c r="AW251" s="32"/>
      <c r="AX251" s="32"/>
      <c r="AY251" s="32"/>
      <c r="AZ251" s="32"/>
      <c r="BA251" s="32"/>
      <c r="BB251" s="32"/>
      <c r="BC251" s="32"/>
      <c r="BD251" s="32">
        <f>IFERROR(__xludf.DUMMYFUNCTION("""COMPUTED_VALUE"""),0.0)</f>
        <v>0</v>
      </c>
      <c r="BE251" s="32">
        <f>IFERROR(__xludf.DUMMYFUNCTION("""COMPUTED_VALUE"""),10.0)</f>
        <v>10</v>
      </c>
      <c r="BF251" s="32"/>
      <c r="BG251" s="32" t="str">
        <f>IFERROR(__xludf.DUMMYFUNCTION("""COMPUTED_VALUE"""),"Forest")</f>
        <v>Forest</v>
      </c>
      <c r="BH251" s="32" t="str">
        <f>IFERROR(__xludf.DUMMYFUNCTION("""COMPUTED_VALUE"""),"Land of Spira")</f>
        <v>Land of Spira</v>
      </c>
      <c r="BI251" s="32"/>
      <c r="BJ251" s="32"/>
      <c r="BK251" s="32"/>
      <c r="BL251" s="32" t="b">
        <f>IFERROR(__xludf.DUMMYFUNCTION("""COMPUTED_VALUE"""),FALSE)</f>
        <v>0</v>
      </c>
      <c r="BM251" s="32"/>
      <c r="BN251" s="32"/>
      <c r="BO251" s="32"/>
      <c r="BP251" s="32"/>
      <c r="BQ251" s="32"/>
    </row>
    <row r="252">
      <c r="A252" s="32" t="str">
        <f>IFERROR(__xludf.DUMMYFUNCTION("""COMPUTED_VALUE"""),"The Grim Reaper")</f>
        <v>The Grim Reaper</v>
      </c>
      <c r="B252" s="32">
        <f>IFERROR(__xludf.DUMMYFUNCTION("""COMPUTED_VALUE"""),1.0)</f>
        <v>1</v>
      </c>
      <c r="C252" s="32" t="str">
        <f>IFERROR(__xludf.DUMMYFUNCTION("""COMPUTED_VALUE"""),"5% chance this enemy will appear when you die.")</f>
        <v>5% chance this enemy will appear when you die.</v>
      </c>
      <c r="D252" s="32" t="str">
        <f>IFERROR(__xludf.DUMMYFUNCTION("""COMPUTED_VALUE"""),"Spirit")</f>
        <v>Spirit</v>
      </c>
      <c r="E252" s="32">
        <f>IFERROR(__xludf.DUMMYFUNCTION("""COMPUTED_VALUE"""),1010.0)</f>
        <v>1010</v>
      </c>
      <c r="F252" s="33">
        <f>IFERROR(__xludf.DUMMYFUNCTION("""COMPUTED_VALUE"""),1010.0)</f>
        <v>1010</v>
      </c>
      <c r="G252" s="32">
        <f>IFERROR(__xludf.DUMMYFUNCTION("""COMPUTED_VALUE"""),1010.0)</f>
        <v>1010</v>
      </c>
      <c r="H252" s="32">
        <f>IFERROR(__xludf.DUMMYFUNCTION("""COMPUTED_VALUE"""),10.0)</f>
        <v>10</v>
      </c>
      <c r="I252" s="32">
        <f>IFERROR(__xludf.DUMMYFUNCTION("""COMPUTED_VALUE"""),0.0)</f>
        <v>0</v>
      </c>
      <c r="J252" s="32">
        <f>IFERROR(__xludf.DUMMYFUNCTION("""COMPUTED_VALUE"""),0.0)</f>
        <v>0</v>
      </c>
      <c r="K252" s="32">
        <f>IFERROR(__xludf.DUMMYFUNCTION("""COMPUTED_VALUE"""),100.0)</f>
        <v>100</v>
      </c>
      <c r="L252" s="32">
        <f>IFERROR(__xludf.DUMMYFUNCTION("""COMPUTED_VALUE"""),100.0)</f>
        <v>100</v>
      </c>
      <c r="M252" s="32" t="str">
        <f>IFERROR(__xludf.DUMMYFUNCTION("""COMPUTED_VALUE"""),"")</f>
        <v/>
      </c>
      <c r="N252" s="32" t="str">
        <f>IFERROR(__xludf.DUMMYFUNCTION("""COMPUTED_VALUE"""),"Fire:100, Light:100, ")</f>
        <v>Fire:100, Light:100, </v>
      </c>
      <c r="O252" s="32"/>
      <c r="P252" s="32"/>
      <c r="Q252" s="32"/>
      <c r="R252" s="32"/>
      <c r="S252" s="32"/>
      <c r="T252" s="32"/>
      <c r="U252" s="32"/>
      <c r="V252" s="32"/>
      <c r="W252" s="32"/>
      <c r="X252" s="32"/>
      <c r="Y252" s="32"/>
      <c r="Z252" s="32"/>
      <c r="AA252" s="32"/>
      <c r="AB252" s="32"/>
      <c r="AC252" s="32"/>
      <c r="AD252" s="32"/>
      <c r="AE252" s="32"/>
      <c r="AF252" s="32"/>
      <c r="AG252" s="32"/>
      <c r="AH252" s="32"/>
      <c r="AI252" s="32"/>
      <c r="AJ252" s="32" t="str">
        <f>IFERROR(__xludf.DUMMYFUNCTION("""COMPUTED_VALUE"""),"Reapers Cradle")</f>
        <v>Reapers Cradle</v>
      </c>
      <c r="AK252" s="32" t="str">
        <f>IFERROR(__xludf.DUMMYFUNCTION("""COMPUTED_VALUE"""),"Reapers Curse")</f>
        <v>Reapers Curse</v>
      </c>
      <c r="AL252" s="32" t="str">
        <f>IFERROR(__xludf.DUMMYFUNCTION("""COMPUTED_VALUE"""),"Conceal")</f>
        <v>Conceal</v>
      </c>
      <c r="AM252" s="32" t="str">
        <f>IFERROR(__xludf.DUMMYFUNCTION("""COMPUTED_VALUE"""),"Shadow Vanish")</f>
        <v>Shadow Vanish</v>
      </c>
      <c r="AN252" s="32" t="str">
        <f>IFERROR(__xludf.DUMMYFUNCTION("""COMPUTED_VALUE"""),"Flame Thrower")</f>
        <v>Flame Thrower</v>
      </c>
      <c r="AO252" s="32" t="str">
        <f>IFERROR(__xludf.DUMMYFUNCTION("""COMPUTED_VALUE"""),"Volcanic Rain")</f>
        <v>Volcanic Rain</v>
      </c>
      <c r="AP252" s="32" t="str">
        <f>IFERROR(__xludf.DUMMYFUNCTION("""COMPUTED_VALUE"""),"Multishot")</f>
        <v>Multishot</v>
      </c>
      <c r="AQ252" s="32" t="str">
        <f>IFERROR(__xludf.DUMMYFUNCTION("""COMPUTED_VALUE"""),"Multi Banishment")</f>
        <v>Multi Banishment</v>
      </c>
      <c r="AR252" s="32" t="str">
        <f>IFERROR(__xludf.DUMMYFUNCTION("""COMPUTED_VALUE"""),"Last Gamble")</f>
        <v>Last Gamble</v>
      </c>
      <c r="AS252" s="32"/>
      <c r="AT252" s="32"/>
      <c r="AU252" s="32"/>
      <c r="AV252" s="32"/>
      <c r="AW252" s="32"/>
      <c r="AX252" s="32"/>
      <c r="AY252" s="32"/>
      <c r="AZ252" s="32"/>
      <c r="BA252" s="32"/>
      <c r="BB252" s="32"/>
      <c r="BC252" s="32"/>
      <c r="BD252" s="32">
        <f>IFERROR(__xludf.DUMMYFUNCTION("""COMPUTED_VALUE"""),0.0)</f>
        <v>0</v>
      </c>
      <c r="BE252" s="32">
        <f>IFERROR(__xludf.DUMMYFUNCTION("""COMPUTED_VALUE"""),10.0)</f>
        <v>10</v>
      </c>
      <c r="BF252" s="32" t="str">
        <f>IFERROR(__xludf.DUMMYFUNCTION("""COMPUTED_VALUE"""),"Reapers Last Stand: Will revive after death once.
75% chance to be unaffected by any spells affecting this mob.")</f>
        <v>Reapers Last Stand: Will revive after death once.
75% chance to be unaffected by any spells affecting this mob.</v>
      </c>
      <c r="BG252" s="32" t="str">
        <f>IFERROR(__xludf.DUMMYFUNCTION("""COMPUTED_VALUE"""),"Dungeon")</f>
        <v>Dungeon</v>
      </c>
      <c r="BH252" s="32" t="str">
        <f>IFERROR(__xludf.DUMMYFUNCTION("""COMPUTED_VALUE"""),"Land of Spira")</f>
        <v>Land of Spira</v>
      </c>
      <c r="BI252" s="32"/>
      <c r="BJ252" s="32"/>
      <c r="BK252" s="32"/>
      <c r="BL252" s="32" t="b">
        <f>IFERROR(__xludf.DUMMYFUNCTION("""COMPUTED_VALUE"""),FALSE)</f>
        <v>0</v>
      </c>
      <c r="BM252" s="32"/>
      <c r="BN252" s="32"/>
      <c r="BO252" s="32"/>
      <c r="BP252" s="32"/>
      <c r="BQ252" s="32"/>
    </row>
    <row r="253">
      <c r="A253" s="32" t="str">
        <f>IFERROR(__xludf.DUMMYFUNCTION("""COMPUTED_VALUE"""),"The Guardian Of Death")</f>
        <v>The Guardian Of Death</v>
      </c>
      <c r="B253" s="32">
        <f>IFERROR(__xludf.DUMMYFUNCTION("""COMPUTED_VALUE"""),1.0)</f>
        <v>1</v>
      </c>
      <c r="C253" s="32"/>
      <c r="D253" s="33" t="str">
        <f>IFERROR(__xludf.DUMMYFUNCTION("""COMPUTED_VALUE"""),"Humanoid")</f>
        <v>Humanoid</v>
      </c>
      <c r="E253" s="33">
        <f>IFERROR(__xludf.DUMMYFUNCTION("""COMPUTED_VALUE"""),1010.0)</f>
        <v>1010</v>
      </c>
      <c r="F253" s="33">
        <f>IFERROR(__xludf.DUMMYFUNCTION("""COMPUTED_VALUE"""),1010.0)</f>
        <v>1010</v>
      </c>
      <c r="G253" s="33">
        <f>IFERROR(__xludf.DUMMYFUNCTION("""COMPUTED_VALUE"""),1010.0)</f>
        <v>1010</v>
      </c>
      <c r="H253" s="32">
        <f>IFERROR(__xludf.DUMMYFUNCTION("""COMPUTED_VALUE"""),10.0)</f>
        <v>10</v>
      </c>
      <c r="I253" s="32">
        <f>IFERROR(__xludf.DUMMYFUNCTION("""COMPUTED_VALUE"""),0.0)</f>
        <v>0</v>
      </c>
      <c r="J253" s="32">
        <f>IFERROR(__xludf.DUMMYFUNCTION("""COMPUTED_VALUE"""),0.0)</f>
        <v>0</v>
      </c>
      <c r="K253" s="32">
        <f>IFERROR(__xludf.DUMMYFUNCTION("""COMPUTED_VALUE"""),100.0)</f>
        <v>100</v>
      </c>
      <c r="L253" s="32">
        <f>IFERROR(__xludf.DUMMYFUNCTION("""COMPUTED_VALUE"""),100.0)</f>
        <v>100</v>
      </c>
      <c r="M253" s="32" t="str">
        <f>IFERROR(__xludf.DUMMYFUNCTION("""COMPUTED_VALUE"""),"Dark:Immune, Chaos:Immune, Instant Death:Immune, Banishment:Immune, ")</f>
        <v>Dark:Immune, Chaos:Immune, Instant Death:Immune, Banishment:Immune, </v>
      </c>
      <c r="N253" s="32" t="str">
        <f>IFERROR(__xludf.DUMMYFUNCTION("""COMPUTED_VALUE"""),"Fire:100, Light:100, Nature:100, ")</f>
        <v>Fire:100, Light:100, Nature:100, </v>
      </c>
      <c r="O253" s="32"/>
      <c r="P253" s="32"/>
      <c r="Q253" s="32"/>
      <c r="R253" s="32"/>
      <c r="S253" s="32"/>
      <c r="T253" s="32"/>
      <c r="U253" s="32"/>
      <c r="V253" s="32" t="str">
        <f>IFERROR(__xludf.DUMMYFUNCTION("""COMPUTED_VALUE"""),"The Guardian Of Death's Sword")</f>
        <v>The Guardian Of Death's Sword</v>
      </c>
      <c r="W253" s="32"/>
      <c r="X253" s="32"/>
      <c r="Y253" s="32"/>
      <c r="Z253" s="32"/>
      <c r="AA253" s="32"/>
      <c r="AB253" s="32"/>
      <c r="AC253" s="32"/>
      <c r="AD253" s="32"/>
      <c r="AE253" s="32"/>
      <c r="AF253" s="32"/>
      <c r="AG253" s="32"/>
      <c r="AH253" s="32"/>
      <c r="AI253" s="32"/>
      <c r="AJ253" s="32" t="str">
        <f>IFERROR(__xludf.DUMMYFUNCTION("""COMPUTED_VALUE"""),"Stasis Meteor Shower")</f>
        <v>Stasis Meteor Shower</v>
      </c>
      <c r="AK253" s="32" t="str">
        <f>IFERROR(__xludf.DUMMYFUNCTION("""COMPUTED_VALUE"""),"Hex with bad luck")</f>
        <v>Hex with bad luck</v>
      </c>
      <c r="AL253" s="32" t="str">
        <f>IFERROR(__xludf.DUMMYFUNCTION("""COMPUTED_VALUE"""),"Mass Destruction")</f>
        <v>Mass Destruction</v>
      </c>
      <c r="AM253" s="32" t="str">
        <f>IFERROR(__xludf.DUMMYFUNCTION("""COMPUTED_VALUE"""),"A Deal With The Spirit World")</f>
        <v>A Deal With The Spirit World</v>
      </c>
      <c r="AN253" s="32" t="str">
        <f>IFERROR(__xludf.DUMMYFUNCTION("""COMPUTED_VALUE"""),"Shadow Vanish")</f>
        <v>Shadow Vanish</v>
      </c>
      <c r="AO253" s="32" t="str">
        <f>IFERROR(__xludf.DUMMYFUNCTION("""COMPUTED_VALUE"""),"Dark Curse")</f>
        <v>Dark Curse</v>
      </c>
      <c r="AP253" s="32" t="str">
        <f>IFERROR(__xludf.DUMMYFUNCTION("""COMPUTED_VALUE"""),"Chaincast")</f>
        <v>Chaincast</v>
      </c>
      <c r="AQ253" s="32"/>
      <c r="AR253" s="32"/>
      <c r="AS253" s="32"/>
      <c r="AT253" s="32"/>
      <c r="AU253" s="32"/>
      <c r="AV253" s="32"/>
      <c r="AW253" s="32"/>
      <c r="AX253" s="32"/>
      <c r="AY253" s="32"/>
      <c r="AZ253" s="32"/>
      <c r="BA253" s="32"/>
      <c r="BB253" s="32"/>
      <c r="BC253" s="32"/>
      <c r="BD253" s="32">
        <f>IFERROR(__xludf.DUMMYFUNCTION("""COMPUTED_VALUE"""),0.0)</f>
        <v>0</v>
      </c>
      <c r="BE253" s="32">
        <f>IFERROR(__xludf.DUMMYFUNCTION("""COMPUTED_VALUE"""),10.0)</f>
        <v>10</v>
      </c>
      <c r="BF253" s="32"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32" t="str">
        <f>IFERROR(__xludf.DUMMYFUNCTION("""COMPUTED_VALUE"""),"All")</f>
        <v>All</v>
      </c>
      <c r="BH253" s="32" t="str">
        <f>IFERROR(__xludf.DUMMYFUNCTION("""COMPUTED_VALUE"""),"Land of Spira")</f>
        <v>Land of Spira</v>
      </c>
      <c r="BI253" s="32"/>
      <c r="BJ253" s="32"/>
      <c r="BK253" s="32"/>
      <c r="BL253" s="32" t="b">
        <f>IFERROR(__xludf.DUMMYFUNCTION("""COMPUTED_VALUE"""),FALSE)</f>
        <v>0</v>
      </c>
      <c r="BM253" s="32"/>
      <c r="BN253" s="32"/>
      <c r="BO253" s="32"/>
      <c r="BP253" s="32"/>
      <c r="BQ253" s="32"/>
    </row>
    <row r="254">
      <c r="A254" s="32" t="str">
        <f>IFERROR(__xludf.DUMMYFUNCTION("""COMPUTED_VALUE"""),"The Guardian Of The Mystic Well")</f>
        <v>The Guardian Of The Mystic Well</v>
      </c>
      <c r="B254" s="32">
        <f>IFERROR(__xludf.DUMMYFUNCTION("""COMPUTED_VALUE"""),1.0)</f>
        <v>1</v>
      </c>
      <c r="C254" s="32" t="str">
        <f>IFERROR(__xludf.DUMMYFUNCTION("""COMPUTED_VALUE"""),"the guardian of the wells")</f>
        <v>the guardian of the wells</v>
      </c>
      <c r="D254" s="33" t="str">
        <f>IFERROR(__xludf.DUMMYFUNCTION("""COMPUTED_VALUE"""),"Fae")</f>
        <v>Fae</v>
      </c>
      <c r="E254" s="33">
        <f>IFERROR(__xludf.DUMMYFUNCTION("""COMPUTED_VALUE"""),1010.0)</f>
        <v>1010</v>
      </c>
      <c r="F254" s="33">
        <f>IFERROR(__xludf.DUMMYFUNCTION("""COMPUTED_VALUE"""),1010.0)</f>
        <v>1010</v>
      </c>
      <c r="G254" s="33">
        <f>IFERROR(__xludf.DUMMYFUNCTION("""COMPUTED_VALUE"""),1010.0)</f>
        <v>1010</v>
      </c>
      <c r="H254" s="32">
        <f>IFERROR(__xludf.DUMMYFUNCTION("""COMPUTED_VALUE"""),10.0)</f>
        <v>10</v>
      </c>
      <c r="I254" s="32">
        <f>IFERROR(__xludf.DUMMYFUNCTION("""COMPUTED_VALUE"""),0.0)</f>
        <v>0</v>
      </c>
      <c r="J254" s="32">
        <f>IFERROR(__xludf.DUMMYFUNCTION("""COMPUTED_VALUE"""),0.0)</f>
        <v>0</v>
      </c>
      <c r="K254" s="32">
        <f>IFERROR(__xludf.DUMMYFUNCTION("""COMPUTED_VALUE"""),100.0)</f>
        <v>100</v>
      </c>
      <c r="L254" s="32">
        <f>IFERROR(__xludf.DUMMYFUNCTION("""COMPUTED_VALUE"""),100.0)</f>
        <v>100</v>
      </c>
      <c r="M254" s="32" t="str">
        <f>IFERROR(__xludf.DUMMYFUNCTION("""COMPUTED_VALUE"""),"Fire:Immune, Water:Immune, Storm:100, ")</f>
        <v>Fire:Immune, Water:Immune, Storm:100, </v>
      </c>
      <c r="N254" s="32" t="str">
        <f>IFERROR(__xludf.DUMMYFUNCTION("""COMPUTED_VALUE"""),"Nature:100, ")</f>
        <v>Nature:100, </v>
      </c>
      <c r="O254" s="32"/>
      <c r="P254" s="32"/>
      <c r="Q254" s="32"/>
      <c r="R254" s="32"/>
      <c r="S254" s="32"/>
      <c r="T254" s="32"/>
      <c r="U254" s="32"/>
      <c r="V254" s="32"/>
      <c r="W254" s="32"/>
      <c r="X254" s="32"/>
      <c r="Y254" s="32"/>
      <c r="Z254" s="32"/>
      <c r="AA254" s="32"/>
      <c r="AB254" s="32"/>
      <c r="AC254" s="32"/>
      <c r="AD254" s="32"/>
      <c r="AE254" s="32"/>
      <c r="AF254" s="32"/>
      <c r="AG254" s="32"/>
      <c r="AH254" s="32"/>
      <c r="AI254" s="32"/>
      <c r="AJ254" s="32" t="str">
        <f>IFERROR(__xludf.DUMMYFUNCTION("""COMPUTED_VALUE"""),"Tower Of Atlantis")</f>
        <v>Tower Of Atlantis</v>
      </c>
      <c r="AK254" s="32" t="str">
        <f>IFERROR(__xludf.DUMMYFUNCTION("""COMPUTED_VALUE"""),"Avalanche")</f>
        <v>Avalanche</v>
      </c>
      <c r="AL254" s="32" t="str">
        <f>IFERROR(__xludf.DUMMYFUNCTION("""COMPUTED_VALUE"""),"Stun wave")</f>
        <v>Stun wave</v>
      </c>
      <c r="AM254" s="32" t="str">
        <f>IFERROR(__xludf.DUMMYFUNCTION("""COMPUTED_VALUE"""),"Elemental Storm")</f>
        <v>Elemental Storm</v>
      </c>
      <c r="AN254" s="32" t="str">
        <f>IFERROR(__xludf.DUMMYFUNCTION("""COMPUTED_VALUE"""),"Thunderstorm")</f>
        <v>Thunderstorm</v>
      </c>
      <c r="AO254" s="32" t="str">
        <f>IFERROR(__xludf.DUMMYFUNCTION("""COMPUTED_VALUE"""),"Water Ward")</f>
        <v>Water Ward</v>
      </c>
      <c r="AP254" s="32" t="str">
        <f>IFERROR(__xludf.DUMMYFUNCTION("""COMPUTED_VALUE"""),"Torrential Downpour")</f>
        <v>Torrential Downpour</v>
      </c>
      <c r="AQ254" s="32"/>
      <c r="AR254" s="32"/>
      <c r="AS254" s="32"/>
      <c r="AT254" s="32"/>
      <c r="AU254" s="32"/>
      <c r="AV254" s="32"/>
      <c r="AW254" s="32"/>
      <c r="AX254" s="32"/>
      <c r="AY254" s="32"/>
      <c r="AZ254" s="32"/>
      <c r="BA254" s="32"/>
      <c r="BB254" s="32"/>
      <c r="BC254" s="32"/>
      <c r="BD254" s="32">
        <f>IFERROR(__xludf.DUMMYFUNCTION("""COMPUTED_VALUE"""),0.0)</f>
        <v>0</v>
      </c>
      <c r="BE254" s="32">
        <f>IFERROR(__xludf.DUMMYFUNCTION("""COMPUTED_VALUE"""),10.0)</f>
        <v>10</v>
      </c>
      <c r="BF254" s="32"/>
      <c r="BG254" s="32" t="str">
        <f>IFERROR(__xludf.DUMMYFUNCTION("""COMPUTED_VALUE"""),"City/Town")</f>
        <v>City/Town</v>
      </c>
      <c r="BH254" s="32" t="str">
        <f>IFERROR(__xludf.DUMMYFUNCTION("""COMPUTED_VALUE"""),"Land of Spira")</f>
        <v>Land of Spira</v>
      </c>
      <c r="BI254" s="32"/>
      <c r="BJ254" s="32"/>
      <c r="BK254" s="32"/>
      <c r="BL254" s="32" t="b">
        <f>IFERROR(__xludf.DUMMYFUNCTION("""COMPUTED_VALUE"""),FALSE)</f>
        <v>0</v>
      </c>
      <c r="BM254" s="32"/>
      <c r="BN254" s="32"/>
      <c r="BO254" s="32"/>
      <c r="BP254" s="32"/>
      <c r="BQ254" s="32"/>
    </row>
    <row r="255">
      <c r="A255" s="3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32">
        <f>IFERROR(__xludf.DUMMYFUNCTION("""COMPUTED_VALUE"""),1.0)</f>
        <v>1</v>
      </c>
      <c r="C255" s="32"/>
      <c r="D255" s="33" t="str">
        <f>IFERROR(__xludf.DUMMYFUNCTION("""COMPUTED_VALUE"""),"Demonic")</f>
        <v>Demonic</v>
      </c>
      <c r="E255" s="33">
        <f>IFERROR(__xludf.DUMMYFUNCTION("""COMPUTED_VALUE"""),1010.0)</f>
        <v>1010</v>
      </c>
      <c r="F255" s="33">
        <f>IFERROR(__xludf.DUMMYFUNCTION("""COMPUTED_VALUE"""),1010.0)</f>
        <v>1010</v>
      </c>
      <c r="G255" s="33">
        <f>IFERROR(__xludf.DUMMYFUNCTION("""COMPUTED_VALUE"""),1010.0)</f>
        <v>1010</v>
      </c>
      <c r="H255" s="32">
        <f>IFERROR(__xludf.DUMMYFUNCTION("""COMPUTED_VALUE"""),10.0)</f>
        <v>10</v>
      </c>
      <c r="I255" s="32">
        <f>IFERROR(__xludf.DUMMYFUNCTION("""COMPUTED_VALUE"""),0.0)</f>
        <v>0</v>
      </c>
      <c r="J255" s="32">
        <f>IFERROR(__xludf.DUMMYFUNCTION("""COMPUTED_VALUE"""),0.0)</f>
        <v>0</v>
      </c>
      <c r="K255" s="32">
        <f>IFERROR(__xludf.DUMMYFUNCTION("""COMPUTED_VALUE"""),100.0)</f>
        <v>100</v>
      </c>
      <c r="L255" s="32">
        <f>IFERROR(__xludf.DUMMYFUNCTION("""COMPUTED_VALUE"""),100.0)</f>
        <v>100</v>
      </c>
      <c r="M255" s="32" t="str">
        <f>IFERROR(__xludf.DUMMYFUNCTION("""COMPUTED_VALUE"""),"")</f>
        <v/>
      </c>
      <c r="N255" s="32" t="str">
        <f>IFERROR(__xludf.DUMMYFUNCTION("""COMPUTED_VALUE"""),"")</f>
        <v/>
      </c>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f>IFERROR(__xludf.DUMMYFUNCTION("""COMPUTED_VALUE"""),0.0)</f>
        <v>0</v>
      </c>
      <c r="BE255" s="32">
        <f>IFERROR(__xludf.DUMMYFUNCTION("""COMPUTED_VALUE"""),10.0)</f>
        <v>10</v>
      </c>
      <c r="BF255" s="32" t="str">
        <f>IFERROR(__xludf.DUMMYFUNCTION("""COMPUTED_VALUE"""),"will live on 1 hp unless hit with light, fire, or celestial.")</f>
        <v>will live on 1 hp unless hit with light, fire, or celestial.</v>
      </c>
      <c r="BG255" s="32" t="str">
        <f>IFERROR(__xludf.DUMMYFUNCTION("""COMPUTED_VALUE"""),"All")</f>
        <v>All</v>
      </c>
      <c r="BH255" s="32" t="str">
        <f>IFERROR(__xludf.DUMMYFUNCTION("""COMPUTED_VALUE"""),"Land Of Spira")</f>
        <v>Land Of Spira</v>
      </c>
      <c r="BI255" s="32"/>
      <c r="BJ255" s="32"/>
      <c r="BK255" s="32"/>
      <c r="BL255" s="32" t="b">
        <f>IFERROR(__xludf.DUMMYFUNCTION("""COMPUTED_VALUE"""),FALSE)</f>
        <v>0</v>
      </c>
      <c r="BM255" s="32"/>
      <c r="BN255" s="32"/>
      <c r="BO255" s="32"/>
      <c r="BP255" s="32"/>
      <c r="BQ255" s="32"/>
    </row>
    <row r="256">
      <c r="A256" s="32" t="str">
        <f>IFERROR(__xludf.DUMMYFUNCTION("""COMPUTED_VALUE"""),"The Horseman Of Lord Dreadful No. 2 This enemy will appear alongside The Horseman Of Lord Dreadful No. 1")</f>
        <v>The Horseman Of Lord Dreadful No. 2 This enemy will appear alongside The Horseman Of Lord Dreadful No. 1</v>
      </c>
      <c r="B256" s="32">
        <f>IFERROR(__xludf.DUMMYFUNCTION("""COMPUTED_VALUE"""),1.0)</f>
        <v>1</v>
      </c>
      <c r="C256" s="32"/>
      <c r="D256" s="33" t="str">
        <f>IFERROR(__xludf.DUMMYFUNCTION("""COMPUTED_VALUE"""),"Demonic")</f>
        <v>Demonic</v>
      </c>
      <c r="E256" s="33">
        <f>IFERROR(__xludf.DUMMYFUNCTION("""COMPUTED_VALUE"""),1010.0)</f>
        <v>1010</v>
      </c>
      <c r="F256" s="33">
        <f>IFERROR(__xludf.DUMMYFUNCTION("""COMPUTED_VALUE"""),1010.0)</f>
        <v>1010</v>
      </c>
      <c r="G256" s="33">
        <f>IFERROR(__xludf.DUMMYFUNCTION("""COMPUTED_VALUE"""),1010.0)</f>
        <v>1010</v>
      </c>
      <c r="H256" s="32">
        <f>IFERROR(__xludf.DUMMYFUNCTION("""COMPUTED_VALUE"""),10.0)</f>
        <v>10</v>
      </c>
      <c r="I256" s="32">
        <f>IFERROR(__xludf.DUMMYFUNCTION("""COMPUTED_VALUE"""),0.0)</f>
        <v>0</v>
      </c>
      <c r="J256" s="32">
        <f>IFERROR(__xludf.DUMMYFUNCTION("""COMPUTED_VALUE"""),0.0)</f>
        <v>0</v>
      </c>
      <c r="K256" s="32">
        <f>IFERROR(__xludf.DUMMYFUNCTION("""COMPUTED_VALUE"""),100.0)</f>
        <v>100</v>
      </c>
      <c r="L256" s="32">
        <f>IFERROR(__xludf.DUMMYFUNCTION("""COMPUTED_VALUE"""),100.0)</f>
        <v>100</v>
      </c>
      <c r="M256" s="32" t="str">
        <f>IFERROR(__xludf.DUMMYFUNCTION("""COMPUTED_VALUE"""),"")</f>
        <v/>
      </c>
      <c r="N256" s="32" t="str">
        <f>IFERROR(__xludf.DUMMYFUNCTION("""COMPUTED_VALUE"""),"")</f>
        <v/>
      </c>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f>IFERROR(__xludf.DUMMYFUNCTION("""COMPUTED_VALUE"""),0.0)</f>
        <v>0</v>
      </c>
      <c r="BE256" s="32">
        <f>IFERROR(__xludf.DUMMYFUNCTION("""COMPUTED_VALUE"""),10.0)</f>
        <v>10</v>
      </c>
      <c r="BF256" s="32" t="str">
        <f>IFERROR(__xludf.DUMMYFUNCTION("""COMPUTED_VALUE"""),"will live on 1 hp unless hit with light, fire, or celestial.")</f>
        <v>will live on 1 hp unless hit with light, fire, or celestial.</v>
      </c>
      <c r="BG256" s="32" t="str">
        <f>IFERROR(__xludf.DUMMYFUNCTION("""COMPUTED_VALUE"""),"All")</f>
        <v>All</v>
      </c>
      <c r="BH256" s="32" t="str">
        <f>IFERROR(__xludf.DUMMYFUNCTION("""COMPUTED_VALUE"""),"Land Of Spira")</f>
        <v>Land Of Spira</v>
      </c>
      <c r="BI256" s="32"/>
      <c r="BJ256" s="32"/>
      <c r="BK256" s="32"/>
      <c r="BL256" s="32" t="b">
        <f>IFERROR(__xludf.DUMMYFUNCTION("""COMPUTED_VALUE"""),FALSE)</f>
        <v>0</v>
      </c>
      <c r="BM256" s="32"/>
      <c r="BN256" s="32"/>
      <c r="BO256" s="32"/>
      <c r="BP256" s="32"/>
      <c r="BQ256" s="32"/>
    </row>
    <row r="257">
      <c r="A257" s="32" t="str">
        <f>IFERROR(__xludf.DUMMYFUNCTION("""COMPUTED_VALUE"""),"The Kraken")</f>
        <v>The Kraken</v>
      </c>
      <c r="B257" s="32">
        <f>IFERROR(__xludf.DUMMYFUNCTION("""COMPUTED_VALUE"""),1.0)</f>
        <v>1</v>
      </c>
      <c r="C257" s="32" t="str">
        <f>IFERROR(__xludf.DUMMYFUNCTION("""COMPUTED_VALUE"""),"The modifier to water damage from all his equipment is X90 water damage")</f>
        <v>The modifier to water damage from all his equipment is X90 water damage</v>
      </c>
      <c r="D257" s="33" t="str">
        <f>IFERROR(__xludf.DUMMYFUNCTION("""COMPUTED_VALUE"""),"Beast")</f>
        <v>Beast</v>
      </c>
      <c r="E257" s="33">
        <f>IFERROR(__xludf.DUMMYFUNCTION("""COMPUTED_VALUE"""),1010.0)</f>
        <v>1010</v>
      </c>
      <c r="F257" s="33">
        <f>IFERROR(__xludf.DUMMYFUNCTION("""COMPUTED_VALUE"""),1010.0)</f>
        <v>1010</v>
      </c>
      <c r="G257" s="33">
        <f>IFERROR(__xludf.DUMMYFUNCTION("""COMPUTED_VALUE"""),81010.0)</f>
        <v>81010</v>
      </c>
      <c r="H257" s="32">
        <f>IFERROR(__xludf.DUMMYFUNCTION("""COMPUTED_VALUE"""),10.0)</f>
        <v>10</v>
      </c>
      <c r="I257" s="32">
        <f>IFERROR(__xludf.DUMMYFUNCTION("""COMPUTED_VALUE"""),0.0)</f>
        <v>0</v>
      </c>
      <c r="J257" s="32">
        <f>IFERROR(__xludf.DUMMYFUNCTION("""COMPUTED_VALUE"""),0.0)</f>
        <v>0</v>
      </c>
      <c r="K257" s="32">
        <f>IFERROR(__xludf.DUMMYFUNCTION("""COMPUTED_VALUE"""),100.0)</f>
        <v>100</v>
      </c>
      <c r="L257" s="32">
        <f>IFERROR(__xludf.DUMMYFUNCTION("""COMPUTED_VALUE"""),100.0)</f>
        <v>100</v>
      </c>
      <c r="M257" s="32" t="str">
        <f>IFERROR(__xludf.DUMMYFUNCTION("""COMPUTED_VALUE"""),"Fire:Immune, Water:Immune, Instant Death:Immune, Banishment:Immune, ")</f>
        <v>Fire:Immune, Water:Immune, Instant Death:Immune, Banishment:Immune, </v>
      </c>
      <c r="N257" s="32" t="str">
        <f>IFERROR(__xludf.DUMMYFUNCTION("""COMPUTED_VALUE"""),"Nature:100, ")</f>
        <v>Nature:100, </v>
      </c>
      <c r="O257" s="32" t="str">
        <f>IFERROR(__xludf.DUMMYFUNCTION("""COMPUTED_VALUE"""),"Poseidon's Helmet")</f>
        <v>Poseidon's Helmet</v>
      </c>
      <c r="P257" s="32"/>
      <c r="Q257" s="32"/>
      <c r="R257" s="32"/>
      <c r="S257" s="32" t="str">
        <f>IFERROR(__xludf.DUMMYFUNCTION("""COMPUTED_VALUE"""),"Poseidon's Pauldrons")</f>
        <v>Poseidon's Pauldrons</v>
      </c>
      <c r="T257" s="32" t="str">
        <f>IFERROR(__xludf.DUMMYFUNCTION("""COMPUTED_VALUE"""),"Poseidon's Chestplate")</f>
        <v>Poseidon's Chestplate</v>
      </c>
      <c r="U257" s="32" t="str">
        <f>IFERROR(__xludf.DUMMYFUNCTION("""COMPUTED_VALUE"""),"Poseidon's Vambraces")</f>
        <v>Poseidon's Vambraces</v>
      </c>
      <c r="V257" s="32" t="str">
        <f>IFERROR(__xludf.DUMMYFUNCTION("""COMPUTED_VALUE"""),"Poseidon's Sword")</f>
        <v>Poseidon's Sword</v>
      </c>
      <c r="W257" s="32" t="str">
        <f>IFERROR(__xludf.DUMMYFUNCTION("""COMPUTED_VALUE"""),"Poseidon's Trident")</f>
        <v>Poseidon's Trident</v>
      </c>
      <c r="X257" s="32" t="str">
        <f>IFERROR(__xludf.DUMMYFUNCTION("""COMPUTED_VALUE"""),"Poseidon's Ring")</f>
        <v>Poseidon's Ring</v>
      </c>
      <c r="Y257" s="32" t="str">
        <f>IFERROR(__xludf.DUMMYFUNCTION("""COMPUTED_VALUE"""),"Poseidon's Ring")</f>
        <v>Poseidon's Ring</v>
      </c>
      <c r="Z257" s="32" t="str">
        <f>IFERROR(__xludf.DUMMYFUNCTION("""COMPUTED_VALUE"""),"Poseidon's Ring")</f>
        <v>Poseidon's Ring</v>
      </c>
      <c r="AA257" s="32" t="str">
        <f>IFERROR(__xludf.DUMMYFUNCTION("""COMPUTED_VALUE"""),"Poseidon's Ring")</f>
        <v>Poseidon's Ring</v>
      </c>
      <c r="AB257" s="32" t="str">
        <f>IFERROR(__xludf.DUMMYFUNCTION("""COMPUTED_VALUE"""),"Poseidon's Ring")</f>
        <v>Poseidon's Ring</v>
      </c>
      <c r="AC257" s="32" t="str">
        <f>IFERROR(__xludf.DUMMYFUNCTION("""COMPUTED_VALUE"""),"Poseidon's Ring")</f>
        <v>Poseidon's Ring</v>
      </c>
      <c r="AD257" s="32" t="str">
        <f>IFERROR(__xludf.DUMMYFUNCTION("""COMPUTED_VALUE"""),"Poseidon's Ring")</f>
        <v>Poseidon's Ring</v>
      </c>
      <c r="AE257" s="32" t="str">
        <f>IFERROR(__xludf.DUMMYFUNCTION("""COMPUTED_VALUE"""),"Poseidon's Ring")</f>
        <v>Poseidon's Ring</v>
      </c>
      <c r="AF257" s="32" t="str">
        <f>IFERROR(__xludf.DUMMYFUNCTION("""COMPUTED_VALUE"""),"Poseidon's Ring")</f>
        <v>Poseidon's Ring</v>
      </c>
      <c r="AG257" s="32" t="str">
        <f>IFERROR(__xludf.DUMMYFUNCTION("""COMPUTED_VALUE"""),"Poseidon's Ring")</f>
        <v>Poseidon's Ring</v>
      </c>
      <c r="AH257" s="32" t="str">
        <f>IFERROR(__xludf.DUMMYFUNCTION("""COMPUTED_VALUE"""),"Poseidon's Greaves")</f>
        <v>Poseidon's Greaves</v>
      </c>
      <c r="AI257" s="32" t="str">
        <f>IFERROR(__xludf.DUMMYFUNCTION("""COMPUTED_VALUE"""),"Poseidon's Boots")</f>
        <v>Poseidon's Boots</v>
      </c>
      <c r="AJ257" s="32" t="str">
        <f>IFERROR(__xludf.DUMMYFUNCTION("""COMPUTED_VALUE"""),"Krakoken")</f>
        <v>Krakoken</v>
      </c>
      <c r="AK257" s="32" t="str">
        <f>IFERROR(__xludf.DUMMYFUNCTION("""COMPUTED_VALUE"""),"Kraken Smarts")</f>
        <v>Kraken Smarts</v>
      </c>
      <c r="AL257" s="32" t="str">
        <f>IFERROR(__xludf.DUMMYFUNCTION("""COMPUTED_VALUE"""),"Krakens Roar")</f>
        <v>Krakens Roar</v>
      </c>
      <c r="AM257" s="32" t="str">
        <f>IFERROR(__xludf.DUMMYFUNCTION("""COMPUTED_VALUE"""),"Bite")</f>
        <v>Bite</v>
      </c>
      <c r="AN257" s="32" t="str">
        <f>IFERROR(__xludf.DUMMYFUNCTION("""COMPUTED_VALUE"""),"Mass Destruction")</f>
        <v>Mass Destruction</v>
      </c>
      <c r="AO257" s="32" t="str">
        <f>IFERROR(__xludf.DUMMYFUNCTION("""COMPUTED_VALUE"""),"Torrential Downpour")</f>
        <v>Torrential Downpour</v>
      </c>
      <c r="AP257" s="32" t="str">
        <f>IFERROR(__xludf.DUMMYFUNCTION("""COMPUTED_VALUE"""),"Multishot")</f>
        <v>Multishot</v>
      </c>
      <c r="AQ257" s="32" t="str">
        <f>IFERROR(__xludf.DUMMYFUNCTION("""COMPUTED_VALUE"""),"Water Ward")</f>
        <v>Water Ward</v>
      </c>
      <c r="AR257" s="32" t="str">
        <f>IFERROR(__xludf.DUMMYFUNCTION("""COMPUTED_VALUE"""),"Cancel")</f>
        <v>Cancel</v>
      </c>
      <c r="AS257" s="32"/>
      <c r="AT257" s="32"/>
      <c r="AU257" s="32"/>
      <c r="AV257" s="32"/>
      <c r="AW257" s="32"/>
      <c r="AX257" s="32"/>
      <c r="AY257" s="32"/>
      <c r="AZ257" s="32"/>
      <c r="BA257" s="32"/>
      <c r="BB257" s="32"/>
      <c r="BC257" s="32"/>
      <c r="BD257" s="32">
        <f>IFERROR(__xludf.DUMMYFUNCTION("""COMPUTED_VALUE"""),0.0)</f>
        <v>0</v>
      </c>
      <c r="BE257" s="32">
        <f>IFERROR(__xludf.DUMMYFUNCTION("""COMPUTED_VALUE"""),10.0)</f>
        <v>10</v>
      </c>
      <c r="BF257" s="32"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32" t="str">
        <f>IFERROR(__xludf.DUMMYFUNCTION("""COMPUTED_VALUE"""),"Ocean")</f>
        <v>Ocean</v>
      </c>
      <c r="BH257" s="32" t="str">
        <f>IFERROR(__xludf.DUMMYFUNCTION("""COMPUTED_VALUE"""),"Land of Spira")</f>
        <v>Land of Spira</v>
      </c>
      <c r="BI257" s="32"/>
      <c r="BJ257" s="32"/>
      <c r="BK257" s="32"/>
      <c r="BL257" s="32" t="b">
        <f>IFERROR(__xludf.DUMMYFUNCTION("""COMPUTED_VALUE"""),FALSE)</f>
        <v>0</v>
      </c>
      <c r="BM257" s="32"/>
      <c r="BN257" s="32"/>
      <c r="BO257" s="32"/>
      <c r="BP257" s="32"/>
      <c r="BQ257" s="32"/>
    </row>
    <row r="258">
      <c r="A258" s="32" t="str">
        <f>IFERROR(__xludf.DUMMYFUNCTION("""COMPUTED_VALUE"""),"The Puppet Master")</f>
        <v>The Puppet Master</v>
      </c>
      <c r="B258" s="32">
        <f>IFERROR(__xludf.DUMMYFUNCTION("""COMPUTED_VALUE"""),1.0)</f>
        <v>1</v>
      </c>
      <c r="C258" s="32" t="str">
        <f>IFERROR(__xludf.DUMMYFUNCTION("""COMPUTED_VALUE"""),"A new opponent which seeks power. Controller of Minds, which happens to be deathblade's Best friend.")</f>
        <v>A new opponent which seeks power. Controller of Minds, which happens to be deathblade's Best friend.</v>
      </c>
      <c r="D258" s="32" t="str">
        <f>IFERROR(__xludf.DUMMYFUNCTION("""COMPUTED_VALUE"""),"Humanoid")</f>
        <v>Humanoid</v>
      </c>
      <c r="E258" s="32">
        <f>IFERROR(__xludf.DUMMYFUNCTION("""COMPUTED_VALUE"""),1010.0)</f>
        <v>1010</v>
      </c>
      <c r="F258" s="33">
        <f>IFERROR(__xludf.DUMMYFUNCTION("""COMPUTED_VALUE"""),1010.0)</f>
        <v>1010</v>
      </c>
      <c r="G258" s="32">
        <f>IFERROR(__xludf.DUMMYFUNCTION("""COMPUTED_VALUE"""),1010.0)</f>
        <v>1010</v>
      </c>
      <c r="H258" s="32">
        <f>IFERROR(__xludf.DUMMYFUNCTION("""COMPUTED_VALUE"""),10.0)</f>
        <v>10</v>
      </c>
      <c r="I258" s="32">
        <f>IFERROR(__xludf.DUMMYFUNCTION("""COMPUTED_VALUE"""),0.0)</f>
        <v>0</v>
      </c>
      <c r="J258" s="32">
        <f>IFERROR(__xludf.DUMMYFUNCTION("""COMPUTED_VALUE"""),0.0)</f>
        <v>0</v>
      </c>
      <c r="K258" s="32">
        <f>IFERROR(__xludf.DUMMYFUNCTION("""COMPUTED_VALUE"""),100.0)</f>
        <v>100</v>
      </c>
      <c r="L258" s="32">
        <f>IFERROR(__xludf.DUMMYFUNCTION("""COMPUTED_VALUE"""),100.0)</f>
        <v>100</v>
      </c>
      <c r="M258" s="32" t="str">
        <f>IFERROR(__xludf.DUMMYFUNCTION("""COMPUTED_VALUE"""),"Dark:Immune, Spirit:immune, Chaos:immune, Stasis:Immune, Voodoo:immune, Instant Death:Immune, Banishment:Immune, ")</f>
        <v>Dark:Immune, Spirit:immune, Chaos:immune, Stasis:Immune, Voodoo:immune, Instant Death:Immune, Banishment:Immune, </v>
      </c>
      <c r="N258" s="32" t="str">
        <f>IFERROR(__xludf.DUMMYFUNCTION("""COMPUTED_VALUE"""),"Fire:100, Light:100, Order:100, ")</f>
        <v>Fire:100, Light:100, Order:100, </v>
      </c>
      <c r="O258" s="32"/>
      <c r="P258" s="32"/>
      <c r="Q258" s="32"/>
      <c r="R258" s="32"/>
      <c r="S258" s="32"/>
      <c r="T258" s="32"/>
      <c r="U258" s="32"/>
      <c r="V258" s="32"/>
      <c r="W258" s="32"/>
      <c r="X258" s="32"/>
      <c r="Y258" s="32"/>
      <c r="Z258" s="32"/>
      <c r="AA258" s="32"/>
      <c r="AB258" s="32"/>
      <c r="AC258" s="32"/>
      <c r="AD258" s="32"/>
      <c r="AE258" s="32"/>
      <c r="AF258" s="32"/>
      <c r="AG258" s="32"/>
      <c r="AH258" s="32"/>
      <c r="AI258" s="32"/>
      <c r="AJ258" s="32" t="str">
        <f>IFERROR(__xludf.DUMMYFUNCTION("""COMPUTED_VALUE"""),"Conceal")</f>
        <v>Conceal</v>
      </c>
      <c r="AK258" s="32" t="str">
        <f>IFERROR(__xludf.DUMMYFUNCTION("""COMPUTED_VALUE"""),"Last Gamble")</f>
        <v>Last Gamble</v>
      </c>
      <c r="AL258" s="32" t="str">
        <f>IFERROR(__xludf.DUMMYFUNCTION("""COMPUTED_VALUE"""),"Chaotic Shadow Force")</f>
        <v>Chaotic Shadow Force</v>
      </c>
      <c r="AM258" s="32" t="str">
        <f>IFERROR(__xludf.DUMMYFUNCTION("""COMPUTED_VALUE"""),"Celestial blast")</f>
        <v>Celestial blast</v>
      </c>
      <c r="AN258" s="32" t="str">
        <f>IFERROR(__xludf.DUMMYFUNCTION("""COMPUTED_VALUE"""),"Mass Destruction")</f>
        <v>Mass Destruction</v>
      </c>
      <c r="AO258" s="32" t="str">
        <f>IFERROR(__xludf.DUMMYFUNCTION("""COMPUTED_VALUE"""),"Celestial Summon")</f>
        <v>Celestial Summon</v>
      </c>
      <c r="AP258" s="32" t="str">
        <f>IFERROR(__xludf.DUMMYFUNCTION("""COMPUTED_VALUE"""),"Chaos Ward")</f>
        <v>Chaos Ward</v>
      </c>
      <c r="AQ258" s="32" t="str">
        <f>IFERROR(__xludf.DUMMYFUNCTION("""COMPUTED_VALUE"""),"Stun Negation")</f>
        <v>Stun Negation</v>
      </c>
      <c r="AR258" s="32" t="str">
        <f>IFERROR(__xludf.DUMMYFUNCTION("""COMPUTED_VALUE"""),"Enthrall")</f>
        <v>Enthrall</v>
      </c>
      <c r="AS258" s="32" t="str">
        <f>IFERROR(__xludf.DUMMYFUNCTION("""COMPUTED_VALUE"""),"Multishot")</f>
        <v>Multishot</v>
      </c>
      <c r="AT258" s="32"/>
      <c r="AU258" s="32"/>
      <c r="AV258" s="32"/>
      <c r="AW258" s="32"/>
      <c r="AX258" s="32"/>
      <c r="AY258" s="32"/>
      <c r="AZ258" s="32"/>
      <c r="BA258" s="32"/>
      <c r="BB258" s="32"/>
      <c r="BC258" s="32"/>
      <c r="BD258" s="32">
        <f>IFERROR(__xludf.DUMMYFUNCTION("""COMPUTED_VALUE"""),0.0)</f>
        <v>0</v>
      </c>
      <c r="BE258" s="32">
        <f>IFERROR(__xludf.DUMMYFUNCTION("""COMPUTED_VALUE"""),10.0)</f>
        <v>10</v>
      </c>
      <c r="BF258" s="32"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32" t="str">
        <f>IFERROR(__xludf.DUMMYFUNCTION("""COMPUTED_VALUE"""),"All")</f>
        <v>All</v>
      </c>
      <c r="BH258" s="32" t="str">
        <f>IFERROR(__xludf.DUMMYFUNCTION("""COMPUTED_VALUE"""),"Land of The Forgotten")</f>
        <v>Land of The Forgotten</v>
      </c>
      <c r="BI258" s="32"/>
      <c r="BJ258" s="32"/>
      <c r="BK258" s="32"/>
      <c r="BL258" s="32" t="b">
        <f>IFERROR(__xludf.DUMMYFUNCTION("""COMPUTED_VALUE"""),FALSE)</f>
        <v>0</v>
      </c>
      <c r="BM258" s="32"/>
      <c r="BN258" s="32"/>
      <c r="BO258" s="32"/>
      <c r="BP258" s="32"/>
      <c r="BQ258" s="32"/>
    </row>
    <row r="259">
      <c r="A259" s="32" t="str">
        <f>IFERROR(__xludf.DUMMYFUNCTION("""COMPUTED_VALUE"""),"The Purple Necromancer")</f>
        <v>The Purple Necromancer</v>
      </c>
      <c r="B259" s="32">
        <f>IFERROR(__xludf.DUMMYFUNCTION("""COMPUTED_VALUE"""),1.0)</f>
        <v>1</v>
      </c>
      <c r="C259" s="32"/>
      <c r="D259" s="33" t="str">
        <f>IFERROR(__xludf.DUMMYFUNCTION("""COMPUTED_VALUE"""),"Humanoid")</f>
        <v>Humanoid</v>
      </c>
      <c r="E259" s="33">
        <f>IFERROR(__xludf.DUMMYFUNCTION("""COMPUTED_VALUE"""),1010.0)</f>
        <v>1010</v>
      </c>
      <c r="F259" s="33">
        <f>IFERROR(__xludf.DUMMYFUNCTION("""COMPUTED_VALUE"""),1010.0)</f>
        <v>1010</v>
      </c>
      <c r="G259" s="33">
        <f>IFERROR(__xludf.DUMMYFUNCTION("""COMPUTED_VALUE"""),1010.0)</f>
        <v>1010</v>
      </c>
      <c r="H259" s="32">
        <f>IFERROR(__xludf.DUMMYFUNCTION("""COMPUTED_VALUE"""),10.0)</f>
        <v>10</v>
      </c>
      <c r="I259" s="32">
        <f>IFERROR(__xludf.DUMMYFUNCTION("""COMPUTED_VALUE"""),0.0)</f>
        <v>0</v>
      </c>
      <c r="J259" s="32">
        <f>IFERROR(__xludf.DUMMYFUNCTION("""COMPUTED_VALUE"""),0.0)</f>
        <v>0</v>
      </c>
      <c r="K259" s="32">
        <f>IFERROR(__xludf.DUMMYFUNCTION("""COMPUTED_VALUE"""),100.0)</f>
        <v>100</v>
      </c>
      <c r="L259" s="32">
        <f>IFERROR(__xludf.DUMMYFUNCTION("""COMPUTED_VALUE"""),100.0)</f>
        <v>100</v>
      </c>
      <c r="M259" s="32" t="str">
        <f>IFERROR(__xludf.DUMMYFUNCTION("""COMPUTED_VALUE"""),"Storm:Immune, Dark:Immune, Chaos:Immune, Instant Death:Immune, ")</f>
        <v>Storm:Immune, Dark:Immune, Chaos:Immune, Instant Death:Immune, </v>
      </c>
      <c r="N259" s="32" t="str">
        <f>IFERROR(__xludf.DUMMYFUNCTION("""COMPUTED_VALUE"""),"")</f>
        <v/>
      </c>
      <c r="O259" s="32"/>
      <c r="P259" s="32"/>
      <c r="Q259" s="32"/>
      <c r="R259" s="32"/>
      <c r="S259" s="32"/>
      <c r="T259" s="32"/>
      <c r="U259" s="32"/>
      <c r="V259" s="32" t="str">
        <f>IFERROR(__xludf.DUMMYFUNCTION("""COMPUTED_VALUE"""),"Staff of Chaotic Shadows")</f>
        <v>Staff of Chaotic Shadows</v>
      </c>
      <c r="W259" s="32"/>
      <c r="X259" s="32"/>
      <c r="Y259" s="32"/>
      <c r="Z259" s="32"/>
      <c r="AA259" s="32"/>
      <c r="AB259" s="32"/>
      <c r="AC259" s="32"/>
      <c r="AD259" s="32"/>
      <c r="AE259" s="32"/>
      <c r="AF259" s="32"/>
      <c r="AG259" s="32"/>
      <c r="AH259" s="32"/>
      <c r="AI259" s="32"/>
      <c r="AJ259" s="32" t="str">
        <f>IFERROR(__xludf.DUMMYFUNCTION("""COMPUTED_VALUE"""),"Chaincast")</f>
        <v>Chaincast</v>
      </c>
      <c r="AK259" s="32" t="str">
        <f>IFERROR(__xludf.DUMMYFUNCTION("""COMPUTED_VALUE"""),"Raise Dead")</f>
        <v>Raise Dead</v>
      </c>
      <c r="AL259" s="32" t="str">
        <f>IFERROR(__xludf.DUMMYFUNCTION("""COMPUTED_VALUE"""),"Darkest Abyss")</f>
        <v>Darkest Abyss</v>
      </c>
      <c r="AM259" s="32" t="str">
        <f>IFERROR(__xludf.DUMMYFUNCTION("""COMPUTED_VALUE"""),"Darkness Ablaze")</f>
        <v>Darkness Ablaze</v>
      </c>
      <c r="AN259" s="32" t="str">
        <f>IFERROR(__xludf.DUMMYFUNCTION("""COMPUTED_VALUE"""),"Dimensional Quake")</f>
        <v>Dimensional Quake</v>
      </c>
      <c r="AO259" s="32" t="str">
        <f>IFERROR(__xludf.DUMMYFUNCTION("""COMPUTED_VALUE"""),"Voodoo Ritual of Raise The Dead")</f>
        <v>Voodoo Ritual of Raise The Dead</v>
      </c>
      <c r="AP259" s="32" t="str">
        <f>IFERROR(__xludf.DUMMYFUNCTION("""COMPUTED_VALUE"""),"End The Voodoo Contract")</f>
        <v>End The Voodoo Contract</v>
      </c>
      <c r="AQ259" s="32" t="str">
        <f>IFERROR(__xludf.DUMMYFUNCTION("""COMPUTED_VALUE"""),"Dreading Storm")</f>
        <v>Dreading Storm</v>
      </c>
      <c r="AR259" s="32" t="str">
        <f>IFERROR(__xludf.DUMMYFUNCTION("""COMPUTED_VALUE"""),"Tornado")</f>
        <v>Tornado</v>
      </c>
      <c r="AS259" s="32" t="str">
        <f>IFERROR(__xludf.DUMMYFUNCTION("""COMPUTED_VALUE"""),"Celestial Wrath")</f>
        <v>Celestial Wrath</v>
      </c>
      <c r="AT259" s="32"/>
      <c r="AU259" s="32"/>
      <c r="AV259" s="32"/>
      <c r="AW259" s="32"/>
      <c r="AX259" s="32"/>
      <c r="AY259" s="32"/>
      <c r="AZ259" s="32"/>
      <c r="BA259" s="32"/>
      <c r="BB259" s="32"/>
      <c r="BC259" s="32"/>
      <c r="BD259" s="32">
        <f>IFERROR(__xludf.DUMMYFUNCTION("""COMPUTED_VALUE"""),0.0)</f>
        <v>0</v>
      </c>
      <c r="BE259" s="32">
        <f>IFERROR(__xludf.DUMMYFUNCTION("""COMPUTED_VALUE"""),10.0)</f>
        <v>10</v>
      </c>
      <c r="BF259" s="32"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32" t="str">
        <f>IFERROR(__xludf.DUMMYFUNCTION("""COMPUTED_VALUE"""),"All")</f>
        <v>All</v>
      </c>
      <c r="BH259" s="32" t="str">
        <f>IFERROR(__xludf.DUMMYFUNCTION("""COMPUTED_VALUE"""),"Abstara")</f>
        <v>Abstara</v>
      </c>
      <c r="BI259" s="32"/>
      <c r="BJ259" s="32"/>
      <c r="BK259" s="32"/>
      <c r="BL259" s="32" t="b">
        <f>IFERROR(__xludf.DUMMYFUNCTION("""COMPUTED_VALUE"""),FALSE)</f>
        <v>0</v>
      </c>
      <c r="BM259" s="32"/>
      <c r="BN259" s="32"/>
      <c r="BO259" s="32"/>
      <c r="BP259" s="32"/>
      <c r="BQ259" s="32"/>
    </row>
    <row r="260">
      <c r="A260" s="32" t="str">
        <f>IFERROR(__xludf.DUMMYFUNCTION("""COMPUTED_VALUE"""),"The Ring King")</f>
        <v>The Ring King</v>
      </c>
      <c r="B260" s="32">
        <f>IFERROR(__xludf.DUMMYFUNCTION("""COMPUTED_VALUE"""),1.0)</f>
        <v>1</v>
      </c>
      <c r="C260" s="32"/>
      <c r="D260" s="33" t="str">
        <f>IFERROR(__xludf.DUMMYFUNCTION("""COMPUTED_VALUE"""),"Beast")</f>
        <v>Beast</v>
      </c>
      <c r="E260" s="33">
        <f>IFERROR(__xludf.DUMMYFUNCTION("""COMPUTED_VALUE"""),1010.0)</f>
        <v>1010</v>
      </c>
      <c r="F260" s="33">
        <f>IFERROR(__xludf.DUMMYFUNCTION("""COMPUTED_VALUE"""),1010.0)</f>
        <v>1010</v>
      </c>
      <c r="G260" s="33">
        <f>IFERROR(__xludf.DUMMYFUNCTION("""COMPUTED_VALUE"""),1010.0)</f>
        <v>1010</v>
      </c>
      <c r="H260" s="32">
        <f>IFERROR(__xludf.DUMMYFUNCTION("""COMPUTED_VALUE"""),10.0)</f>
        <v>10</v>
      </c>
      <c r="I260" s="32">
        <f>IFERROR(__xludf.DUMMYFUNCTION("""COMPUTED_VALUE"""),0.0)</f>
        <v>0</v>
      </c>
      <c r="J260" s="32">
        <f>IFERROR(__xludf.DUMMYFUNCTION("""COMPUTED_VALUE"""),0.0)</f>
        <v>0</v>
      </c>
      <c r="K260" s="32">
        <f>IFERROR(__xludf.DUMMYFUNCTION("""COMPUTED_VALUE"""),100.0)</f>
        <v>100</v>
      </c>
      <c r="L260" s="32">
        <f>IFERROR(__xludf.DUMMYFUNCTION("""COMPUTED_VALUE"""),100.0)</f>
        <v>100</v>
      </c>
      <c r="M260" s="32" t="str">
        <f>IFERROR(__xludf.DUMMYFUNCTION("""COMPUTED_VALUE"""),"Dark:100, Chaos:100, Instant Death:Immune, Banishment:Immune, ")</f>
        <v>Dark:100, Chaos:100, Instant Death:Immune, Banishment:Immune, </v>
      </c>
      <c r="N260" s="32" t="str">
        <f>IFERROR(__xludf.DUMMYFUNCTION("""COMPUTED_VALUE"""),"Fire:100, Light:100, Order:100, ")</f>
        <v>Fire:100, Light:100, Order:100, </v>
      </c>
      <c r="O260" s="32"/>
      <c r="P260" s="32"/>
      <c r="Q260" s="32"/>
      <c r="R260" s="32"/>
      <c r="S260" s="32"/>
      <c r="T260" s="32"/>
      <c r="U260" s="32"/>
      <c r="V260" s="32"/>
      <c r="W260" s="32"/>
      <c r="X260" s="32" t="str">
        <f>IFERROR(__xludf.DUMMYFUNCTION("""COMPUTED_VALUE"""),"Ring of the Bonded Undead")</f>
        <v>Ring of the Bonded Undead</v>
      </c>
      <c r="Y260" s="32" t="str">
        <f>IFERROR(__xludf.DUMMYFUNCTION("""COMPUTED_VALUE"""),"Ring o’ Luck and Nature")</f>
        <v>Ring o’ Luck and Nature</v>
      </c>
      <c r="Z260" s="32" t="str">
        <f>IFERROR(__xludf.DUMMYFUNCTION("""COMPUTED_VALUE"""),"Ring of Death")</f>
        <v>Ring of Death</v>
      </c>
      <c r="AA260" s="32" t="str">
        <f>IFERROR(__xludf.DUMMYFUNCTION("""COMPUTED_VALUE"""),"Ring of Pure Chaos")</f>
        <v>Ring of Pure Chaos</v>
      </c>
      <c r="AB260" s="32" t="str">
        <f>IFERROR(__xludf.DUMMYFUNCTION("""COMPUTED_VALUE"""),"Skull Ring")</f>
        <v>Skull Ring</v>
      </c>
      <c r="AC260" s="32" t="str">
        <f>IFERROR(__xludf.DUMMYFUNCTION("""COMPUTED_VALUE"""),"Fire Ring")</f>
        <v>Fire Ring</v>
      </c>
      <c r="AD260" s="32" t="str">
        <f>IFERROR(__xludf.DUMMYFUNCTION("""COMPUTED_VALUE"""),"Ring of Darkness")</f>
        <v>Ring of Darkness</v>
      </c>
      <c r="AE260" s="32" t="str">
        <f>IFERROR(__xludf.DUMMYFUNCTION("""COMPUTED_VALUE"""),"Ring of Pure Chaos")</f>
        <v>Ring of Pure Chaos</v>
      </c>
      <c r="AF260" s="32" t="str">
        <f>IFERROR(__xludf.DUMMYFUNCTION("""COMPUTED_VALUE"""),"Spooky Branch Ring")</f>
        <v>Spooky Branch Ring</v>
      </c>
      <c r="AG260" s="32"/>
      <c r="AH260" s="32"/>
      <c r="AI260" s="32"/>
      <c r="AJ260" s="32" t="str">
        <f>IFERROR(__xludf.DUMMYFUNCTION("""COMPUTED_VALUE"""),"Chaincast")</f>
        <v>Chaincast</v>
      </c>
      <c r="AK260" s="32" t="str">
        <f>IFERROR(__xludf.DUMMYFUNCTION("""COMPUTED_VALUE"""),"Raise Dead")</f>
        <v>Raise Dead</v>
      </c>
      <c r="AL260" s="32" t="str">
        <f>IFERROR(__xludf.DUMMYFUNCTION("""COMPUTED_VALUE"""),"Darkest Abyss")</f>
        <v>Darkest Abyss</v>
      </c>
      <c r="AM260" s="32" t="str">
        <f>IFERROR(__xludf.DUMMYFUNCTION("""COMPUTED_VALUE"""),"Dimensional Quake")</f>
        <v>Dimensional Quake</v>
      </c>
      <c r="AN260" s="32" t="str">
        <f>IFERROR(__xludf.DUMMYFUNCTION("""COMPUTED_VALUE"""),"Devolve")</f>
        <v>Devolve</v>
      </c>
      <c r="AO260" s="32" t="str">
        <f>IFERROR(__xludf.DUMMYFUNCTION("""COMPUTED_VALUE"""),"Dark Force")</f>
        <v>Dark Force</v>
      </c>
      <c r="AP260" s="32" t="str">
        <f>IFERROR(__xludf.DUMMYFUNCTION("""COMPUTED_VALUE"""),"Mass Destruction")</f>
        <v>Mass Destruction</v>
      </c>
      <c r="AQ260" s="32" t="str">
        <f>IFERROR(__xludf.DUMMYFUNCTION("""COMPUTED_VALUE"""),"Last Gamble")</f>
        <v>Last Gamble</v>
      </c>
      <c r="AR260" s="32" t="str">
        <f>IFERROR(__xludf.DUMMYFUNCTION("""COMPUTED_VALUE"""),"Cancel")</f>
        <v>Cancel</v>
      </c>
      <c r="AS260" s="32"/>
      <c r="AT260" s="32"/>
      <c r="AU260" s="32"/>
      <c r="AV260" s="32"/>
      <c r="AW260" s="32"/>
      <c r="AX260" s="32"/>
      <c r="AY260" s="32"/>
      <c r="AZ260" s="32"/>
      <c r="BA260" s="32"/>
      <c r="BB260" s="32"/>
      <c r="BC260" s="32"/>
      <c r="BD260" s="32">
        <f>IFERROR(__xludf.DUMMYFUNCTION("""COMPUTED_VALUE"""),0.0)</f>
        <v>0</v>
      </c>
      <c r="BE260" s="32">
        <f>IFERROR(__xludf.DUMMYFUNCTION("""COMPUTED_VALUE"""),10.0)</f>
        <v>10</v>
      </c>
      <c r="BF260" s="32"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32" t="str">
        <f>IFERROR(__xludf.DUMMYFUNCTION("""COMPUTED_VALUE"""),"Jungle")</f>
        <v>Jungle</v>
      </c>
      <c r="BH260" s="32" t="str">
        <f>IFERROR(__xludf.DUMMYFUNCTION("""COMPUTED_VALUE"""),"Land Of Spira")</f>
        <v>Land Of Spira</v>
      </c>
      <c r="BI260" s="32"/>
      <c r="BJ260" s="32"/>
      <c r="BK260" s="32"/>
      <c r="BL260" s="32" t="b">
        <f>IFERROR(__xludf.DUMMYFUNCTION("""COMPUTED_VALUE"""),FALSE)</f>
        <v>0</v>
      </c>
      <c r="BM260" s="32"/>
      <c r="BN260" s="32"/>
      <c r="BO260" s="32"/>
      <c r="BP260" s="32"/>
      <c r="BQ260" s="32"/>
    </row>
    <row r="261">
      <c r="A261" s="32" t="str">
        <f>IFERROR(__xludf.DUMMYFUNCTION("""COMPUTED_VALUE"""),"The Undead King")</f>
        <v>The Undead King</v>
      </c>
      <c r="B261" s="32">
        <f>IFERROR(__xludf.DUMMYFUNCTION("""COMPUTED_VALUE"""),1.0)</f>
        <v>1</v>
      </c>
      <c r="C261" s="32" t="str">
        <f>IFERROR(__xludf.DUMMYFUNCTION("""COMPUTED_VALUE"""),"Lord Dreadfuls brother")</f>
        <v>Lord Dreadfuls brother</v>
      </c>
      <c r="D261" s="33" t="str">
        <f>IFERROR(__xludf.DUMMYFUNCTION("""COMPUTED_VALUE"""),"Undead")</f>
        <v>Undead</v>
      </c>
      <c r="E261" s="33">
        <f>IFERROR(__xludf.DUMMYFUNCTION("""COMPUTED_VALUE"""),1010.0)</f>
        <v>1010</v>
      </c>
      <c r="F261" s="33">
        <f>IFERROR(__xludf.DUMMYFUNCTION("""COMPUTED_VALUE"""),1010.0)</f>
        <v>1010</v>
      </c>
      <c r="G261" s="33">
        <f>IFERROR(__xludf.DUMMYFUNCTION("""COMPUTED_VALUE"""),1010.0)</f>
        <v>1010</v>
      </c>
      <c r="H261" s="32">
        <f>IFERROR(__xludf.DUMMYFUNCTION("""COMPUTED_VALUE"""),20.0)</f>
        <v>20</v>
      </c>
      <c r="I261" s="32">
        <f>IFERROR(__xludf.DUMMYFUNCTION("""COMPUTED_VALUE"""),0.0)</f>
        <v>0</v>
      </c>
      <c r="J261" s="32">
        <f>IFERROR(__xludf.DUMMYFUNCTION("""COMPUTED_VALUE"""),0.0)</f>
        <v>0</v>
      </c>
      <c r="K261" s="32">
        <f>IFERROR(__xludf.DUMMYFUNCTION("""COMPUTED_VALUE"""),100.0)</f>
        <v>100</v>
      </c>
      <c r="L261" s="32">
        <f>IFERROR(__xludf.DUMMYFUNCTION("""COMPUTED_VALUE"""),100.0)</f>
        <v>100</v>
      </c>
      <c r="M261" s="32" t="str">
        <f>IFERROR(__xludf.DUMMYFUNCTION("""COMPUTED_VALUE"""),"Dark:Immune, Instant Death:Immune, Banishment:Immune, ")</f>
        <v>Dark:Immune, Instant Death:Immune, Banishment:Immune, </v>
      </c>
      <c r="N261" s="32" t="str">
        <f>IFERROR(__xludf.DUMMYFUNCTION("""COMPUTED_VALUE"""),"Light:100, ")</f>
        <v>Light:100, </v>
      </c>
      <c r="O261" s="32"/>
      <c r="P261" s="32"/>
      <c r="Q261" s="32"/>
      <c r="R261" s="32"/>
      <c r="S261" s="32"/>
      <c r="T261" s="32"/>
      <c r="U261" s="32"/>
      <c r="V261" s="32"/>
      <c r="W261" s="32"/>
      <c r="X261" s="32"/>
      <c r="Y261" s="32"/>
      <c r="Z261" s="32"/>
      <c r="AA261" s="32"/>
      <c r="AB261" s="32"/>
      <c r="AC261" s="32"/>
      <c r="AD261" s="32"/>
      <c r="AE261" s="32"/>
      <c r="AF261" s="32"/>
      <c r="AG261" s="32"/>
      <c r="AH261" s="32"/>
      <c r="AI261" s="32"/>
      <c r="AJ261" s="32" t="str">
        <f>IFERROR(__xludf.DUMMYFUNCTION("""COMPUTED_VALUE"""),"Dark Boost")</f>
        <v>Dark Boost</v>
      </c>
      <c r="AK261" s="32" t="str">
        <f>IFERROR(__xludf.DUMMYFUNCTION("""COMPUTED_VALUE"""),"Darkest Abyss")</f>
        <v>Darkest Abyss</v>
      </c>
      <c r="AL261" s="32" t="str">
        <f>IFERROR(__xludf.DUMMYFUNCTION("""COMPUTED_VALUE"""),"Chaos Ward")</f>
        <v>Chaos Ward</v>
      </c>
      <c r="AM261" s="32" t="str">
        <f>IFERROR(__xludf.DUMMYFUNCTION("""COMPUTED_VALUE"""),"Conceal")</f>
        <v>Conceal</v>
      </c>
      <c r="AN261" s="32" t="str">
        <f>IFERROR(__xludf.DUMMYFUNCTION("""COMPUTED_VALUE"""),"Contradiction")</f>
        <v>Contradiction</v>
      </c>
      <c r="AO261" s="32" t="str">
        <f>IFERROR(__xludf.DUMMYFUNCTION("""COMPUTED_VALUE"""),"Celestial Summon")</f>
        <v>Celestial Summon</v>
      </c>
      <c r="AP261" s="32" t="str">
        <f>IFERROR(__xludf.DUMMYFUNCTION("""COMPUTED_VALUE"""),"Mass Destruction")</f>
        <v>Mass Destruction</v>
      </c>
      <c r="AQ261" s="32"/>
      <c r="AR261" s="32"/>
      <c r="AS261" s="32"/>
      <c r="AT261" s="32"/>
      <c r="AU261" s="32"/>
      <c r="AV261" s="32"/>
      <c r="AW261" s="32"/>
      <c r="AX261" s="32"/>
      <c r="AY261" s="32"/>
      <c r="AZ261" s="32"/>
      <c r="BA261" s="32"/>
      <c r="BB261" s="32"/>
      <c r="BC261" s="32"/>
      <c r="BD261" s="32">
        <f>IFERROR(__xludf.DUMMYFUNCTION("""COMPUTED_VALUE"""),0.0)</f>
        <v>0</v>
      </c>
      <c r="BE261" s="32">
        <f>IFERROR(__xludf.DUMMYFUNCTION("""COMPUTED_VALUE"""),20.0)</f>
        <v>20</v>
      </c>
      <c r="BF261" s="32"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32" t="str">
        <f>IFERROR(__xludf.DUMMYFUNCTION("""COMPUTED_VALUE"""),"All")</f>
        <v>All</v>
      </c>
      <c r="BH261" s="32" t="str">
        <f>IFERROR(__xludf.DUMMYFUNCTION("""COMPUTED_VALUE"""),"Land of Spira")</f>
        <v>Land of Spira</v>
      </c>
      <c r="BI261" s="32"/>
      <c r="BJ261" s="32"/>
      <c r="BK261" s="32"/>
      <c r="BL261" s="32" t="b">
        <f>IFERROR(__xludf.DUMMYFUNCTION("""COMPUTED_VALUE"""),FALSE)</f>
        <v>0</v>
      </c>
      <c r="BM261" s="32"/>
      <c r="BN261" s="32"/>
      <c r="BO261" s="32"/>
      <c r="BP261" s="32"/>
      <c r="BQ261" s="32"/>
    </row>
    <row r="262">
      <c r="A262" s="32" t="str">
        <f>IFERROR(__xludf.DUMMYFUNCTION("""COMPUTED_VALUE"""),"Titonium The Destroyer")</f>
        <v>Titonium The Destroyer</v>
      </c>
      <c r="B262" s="32">
        <f>IFERROR(__xludf.DUMMYFUNCTION("""COMPUTED_VALUE"""),1.0)</f>
        <v>1</v>
      </c>
      <c r="C262" s="32"/>
      <c r="D262" s="32" t="str">
        <f>IFERROR(__xludf.DUMMYFUNCTION("""COMPUTED_VALUE"""),"Construct")</f>
        <v>Construct</v>
      </c>
      <c r="E262" s="32">
        <f>IFERROR(__xludf.DUMMYFUNCTION("""COMPUTED_VALUE"""),1010.0)</f>
        <v>1010</v>
      </c>
      <c r="F262" s="33">
        <f>IFERROR(__xludf.DUMMYFUNCTION("""COMPUTED_VALUE"""),1010.0)</f>
        <v>1010</v>
      </c>
      <c r="G262" s="32">
        <f>IFERROR(__xludf.DUMMYFUNCTION("""COMPUTED_VALUE"""),1010.0)</f>
        <v>1010</v>
      </c>
      <c r="H262" s="32">
        <f>IFERROR(__xludf.DUMMYFUNCTION("""COMPUTED_VALUE"""),10.0)</f>
        <v>10</v>
      </c>
      <c r="I262" s="32">
        <f>IFERROR(__xludf.DUMMYFUNCTION("""COMPUTED_VALUE"""),0.0)</f>
        <v>0</v>
      </c>
      <c r="J262" s="32">
        <f>IFERROR(__xludf.DUMMYFUNCTION("""COMPUTED_VALUE"""),0.0)</f>
        <v>0</v>
      </c>
      <c r="K262" s="32">
        <f>IFERROR(__xludf.DUMMYFUNCTION("""COMPUTED_VALUE"""),100.0)</f>
        <v>100</v>
      </c>
      <c r="L262" s="32">
        <f>IFERROR(__xludf.DUMMYFUNCTION("""COMPUTED_VALUE"""),100.0)</f>
        <v>100</v>
      </c>
      <c r="M262" s="32" t="str">
        <f>IFERROR(__xludf.DUMMYFUNCTION("""COMPUTED_VALUE"""),"Instant Death:Immune, ")</f>
        <v>Instant Death:Immune, </v>
      </c>
      <c r="N262" s="32" t="str">
        <f>IFERROR(__xludf.DUMMYFUNCTION("""COMPUTED_VALUE"""),"Fire:100, Water:100, ")</f>
        <v>Fire:100, Water:100, </v>
      </c>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f>IFERROR(__xludf.DUMMYFUNCTION("""COMPUTED_VALUE"""),0.0)</f>
        <v>0</v>
      </c>
      <c r="BE262" s="32">
        <f>IFERROR(__xludf.DUMMYFUNCTION("""COMPUTED_VALUE"""),10.0)</f>
        <v>10</v>
      </c>
      <c r="BF262" s="32"/>
      <c r="BG262" s="32"/>
      <c r="BH262" s="32" t="str">
        <f>IFERROR(__xludf.DUMMYFUNCTION("""COMPUTED_VALUE"""),"Land of Spira")</f>
        <v>Land of Spira</v>
      </c>
      <c r="BI262" s="32"/>
      <c r="BJ262" s="32"/>
      <c r="BK262" s="32"/>
      <c r="BL262" s="32" t="b">
        <f>IFERROR(__xludf.DUMMYFUNCTION("""COMPUTED_VALUE"""),FALSE)</f>
        <v>0</v>
      </c>
      <c r="BM262" s="32"/>
      <c r="BN262" s="32"/>
      <c r="BO262" s="32"/>
      <c r="BP262" s="32"/>
      <c r="BQ262" s="32"/>
    </row>
    <row r="263">
      <c r="A263" s="32" t="str">
        <f>IFERROR(__xludf.DUMMYFUNCTION("""COMPUTED_VALUE"""),"Turkey Hydra")</f>
        <v>Turkey Hydra</v>
      </c>
      <c r="B263" s="32">
        <f>IFERROR(__xludf.DUMMYFUNCTION("""COMPUTED_VALUE"""),1.0)</f>
        <v>1</v>
      </c>
      <c r="C263" s="32"/>
      <c r="D263" s="33" t="str">
        <f>IFERROR(__xludf.DUMMYFUNCTION("""COMPUTED_VALUE"""),"Beast")</f>
        <v>Beast</v>
      </c>
      <c r="E263" s="33">
        <f>IFERROR(__xludf.DUMMYFUNCTION("""COMPUTED_VALUE"""),51010.0)</f>
        <v>51010</v>
      </c>
      <c r="F263" s="33">
        <f>IFERROR(__xludf.DUMMYFUNCTION("""COMPUTED_VALUE"""),1010.0)</f>
        <v>1010</v>
      </c>
      <c r="G263" s="33">
        <f>IFERROR(__xludf.DUMMYFUNCTION("""COMPUTED_VALUE"""),1010.0)</f>
        <v>1010</v>
      </c>
      <c r="H263" s="32">
        <f>IFERROR(__xludf.DUMMYFUNCTION("""COMPUTED_VALUE"""),10.0)</f>
        <v>10</v>
      </c>
      <c r="I263" s="32">
        <f>IFERROR(__xludf.DUMMYFUNCTION("""COMPUTED_VALUE"""),0.0)</f>
        <v>0</v>
      </c>
      <c r="J263" s="32">
        <f>IFERROR(__xludf.DUMMYFUNCTION("""COMPUTED_VALUE"""),0.0)</f>
        <v>0</v>
      </c>
      <c r="K263" s="32">
        <f>IFERROR(__xludf.DUMMYFUNCTION("""COMPUTED_VALUE"""),100.0)</f>
        <v>100</v>
      </c>
      <c r="L263" s="32">
        <f>IFERROR(__xludf.DUMMYFUNCTION("""COMPUTED_VALUE"""),100.0)</f>
        <v>100</v>
      </c>
      <c r="M263" s="32" t="str">
        <f>IFERROR(__xludf.DUMMYFUNCTION("""COMPUTED_VALUE"""),"Instant Death:Immune, Banishment:Immune, ")</f>
        <v>Instant Death:Immune, Banishment:Immune, </v>
      </c>
      <c r="N263" s="32" t="str">
        <f>IFERROR(__xludf.DUMMYFUNCTION("""COMPUTED_VALUE"""),"")</f>
        <v/>
      </c>
      <c r="O263" s="32"/>
      <c r="P263" s="32"/>
      <c r="Q263" s="32"/>
      <c r="R263" s="32"/>
      <c r="S263" s="32"/>
      <c r="T263" s="32"/>
      <c r="U263" s="32"/>
      <c r="V263" s="32"/>
      <c r="W263" s="32"/>
      <c r="X263" s="32"/>
      <c r="Y263" s="32"/>
      <c r="Z263" s="32"/>
      <c r="AA263" s="32"/>
      <c r="AB263" s="32"/>
      <c r="AC263" s="32"/>
      <c r="AD263" s="32"/>
      <c r="AE263" s="32"/>
      <c r="AF263" s="32"/>
      <c r="AG263" s="32"/>
      <c r="AH263" s="32"/>
      <c r="AI263" s="32"/>
      <c r="AJ263" s="32" t="str">
        <f>IFERROR(__xludf.DUMMYFUNCTION("""COMPUTED_VALUE"""),"Dive Bomb")</f>
        <v>Dive Bomb</v>
      </c>
      <c r="AK263" s="32" t="str">
        <f>IFERROR(__xludf.DUMMYFUNCTION("""COMPUTED_VALUE"""),"Multishot")</f>
        <v>Multishot</v>
      </c>
      <c r="AL263" s="32" t="str">
        <f>IFERROR(__xludf.DUMMYFUNCTION("""COMPUTED_VALUE"""),"Berserk")</f>
        <v>Berserk</v>
      </c>
      <c r="AM263" s="32" t="str">
        <f>IFERROR(__xludf.DUMMYFUNCTION("""COMPUTED_VALUE"""),"Tri-Blast")</f>
        <v>Tri-Blast</v>
      </c>
      <c r="AN263" s="32" t="str">
        <f>IFERROR(__xludf.DUMMYFUNCTION("""COMPUTED_VALUE"""),"Mass Destruction")</f>
        <v>Mass Destruction</v>
      </c>
      <c r="AO263" s="32" t="str">
        <f>IFERROR(__xludf.DUMMYFUNCTION("""COMPUTED_VALUE"""),"Elemental Storm")</f>
        <v>Elemental Storm</v>
      </c>
      <c r="AP263" s="32"/>
      <c r="AQ263" s="32"/>
      <c r="AR263" s="32"/>
      <c r="AS263" s="32"/>
      <c r="AT263" s="32"/>
      <c r="AU263" s="32"/>
      <c r="AV263" s="32"/>
      <c r="AW263" s="32"/>
      <c r="AX263" s="32"/>
      <c r="AY263" s="32"/>
      <c r="AZ263" s="32"/>
      <c r="BA263" s="32"/>
      <c r="BB263" s="32"/>
      <c r="BC263" s="32"/>
      <c r="BD263" s="32">
        <f>IFERROR(__xludf.DUMMYFUNCTION("""COMPUTED_VALUE"""),0.0)</f>
        <v>0</v>
      </c>
      <c r="BE263" s="32">
        <f>IFERROR(__xludf.DUMMYFUNCTION("""COMPUTED_VALUE"""),10.0)</f>
        <v>10</v>
      </c>
      <c r="BF263" s="32"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32" t="str">
        <f>IFERROR(__xludf.DUMMYFUNCTION("""COMPUTED_VALUE"""),"All")</f>
        <v>All</v>
      </c>
      <c r="BH263" s="32" t="str">
        <f>IFERROR(__xludf.DUMMYFUNCTION("""COMPUTED_VALUE"""),"Land Of Spira")</f>
        <v>Land Of Spira</v>
      </c>
      <c r="BI263" s="32"/>
      <c r="BJ263" s="32" t="str">
        <f>IFERROR(__xludf.DUMMYFUNCTION("""COMPUTED_VALUE"""),"Thanksgiving Event")</f>
        <v>Thanksgiving Event</v>
      </c>
      <c r="BK263" s="32"/>
      <c r="BL263" s="32" t="b">
        <f>IFERROR(__xludf.DUMMYFUNCTION("""COMPUTED_VALUE"""),FALSE)</f>
        <v>0</v>
      </c>
      <c r="BM263" s="32"/>
      <c r="BN263" s="32"/>
      <c r="BO263" s="32"/>
      <c r="BP263" s="32"/>
      <c r="BQ263" s="32"/>
    </row>
    <row r="264">
      <c r="A264" s="32" t="str">
        <f>IFERROR(__xludf.DUMMYFUNCTION("""COMPUTED_VALUE"""),"Twilight Cultist")</f>
        <v>Twilight Cultist</v>
      </c>
      <c r="B264" s="32">
        <f>IFERROR(__xludf.DUMMYFUNCTION("""COMPUTED_VALUE"""),1.0)</f>
        <v>1</v>
      </c>
      <c r="C264" s="32"/>
      <c r="D264" s="33" t="str">
        <f>IFERROR(__xludf.DUMMYFUNCTION("""COMPUTED_VALUE"""),"Humanoid")</f>
        <v>Humanoid</v>
      </c>
      <c r="E264" s="33">
        <f>IFERROR(__xludf.DUMMYFUNCTION("""COMPUTED_VALUE"""),1010.0)</f>
        <v>1010</v>
      </c>
      <c r="F264" s="33">
        <f>IFERROR(__xludf.DUMMYFUNCTION("""COMPUTED_VALUE"""),1010.0)</f>
        <v>1010</v>
      </c>
      <c r="G264" s="33">
        <f>IFERROR(__xludf.DUMMYFUNCTION("""COMPUTED_VALUE"""),1010.0)</f>
        <v>1010</v>
      </c>
      <c r="H264" s="32">
        <f>IFERROR(__xludf.DUMMYFUNCTION("""COMPUTED_VALUE"""),10.0)</f>
        <v>10</v>
      </c>
      <c r="I264" s="32">
        <f>IFERROR(__xludf.DUMMYFUNCTION("""COMPUTED_VALUE"""),0.0)</f>
        <v>0</v>
      </c>
      <c r="J264" s="32">
        <f>IFERROR(__xludf.DUMMYFUNCTION("""COMPUTED_VALUE"""),0.0)</f>
        <v>0</v>
      </c>
      <c r="K264" s="32">
        <f>IFERROR(__xludf.DUMMYFUNCTION("""COMPUTED_VALUE"""),100.0)</f>
        <v>100</v>
      </c>
      <c r="L264" s="32">
        <f>IFERROR(__xludf.DUMMYFUNCTION("""COMPUTED_VALUE"""),100.0)</f>
        <v>100</v>
      </c>
      <c r="M264" s="32" t="str">
        <f>IFERROR(__xludf.DUMMYFUNCTION("""COMPUTED_VALUE"""),"Twilight:100, ")</f>
        <v>Twilight:100, </v>
      </c>
      <c r="N264" s="32" t="str">
        <f>IFERROR(__xludf.DUMMYFUNCTION("""COMPUTED_VALUE"""),"")</f>
        <v/>
      </c>
      <c r="O264" s="32"/>
      <c r="P264" s="32"/>
      <c r="Q264" s="32"/>
      <c r="R264" s="32"/>
      <c r="S264" s="32"/>
      <c r="T264" s="32"/>
      <c r="U264" s="32"/>
      <c r="V264" s="32"/>
      <c r="W264" s="32"/>
      <c r="X264" s="32"/>
      <c r="Y264" s="32"/>
      <c r="Z264" s="32"/>
      <c r="AA264" s="32"/>
      <c r="AB264" s="32"/>
      <c r="AC264" s="32"/>
      <c r="AD264" s="32"/>
      <c r="AE264" s="32"/>
      <c r="AF264" s="32"/>
      <c r="AG264" s="32"/>
      <c r="AH264" s="32"/>
      <c r="AI264" s="32"/>
      <c r="AJ264" s="32" t="str">
        <f>IFERROR(__xludf.DUMMYFUNCTION("""COMPUTED_VALUE"""),"Twilight Masquerade")</f>
        <v>Twilight Masquerade</v>
      </c>
      <c r="AK264" s="32" t="str">
        <f>IFERROR(__xludf.DUMMYFUNCTION("""COMPUTED_VALUE"""),"Choir of 1000 Voices")</f>
        <v>Choir of 1000 Voices</v>
      </c>
      <c r="AL264" s="32" t="str">
        <f>IFERROR(__xludf.DUMMYFUNCTION("""COMPUTED_VALUE"""),"Darkest Abyss")</f>
        <v>Darkest Abyss</v>
      </c>
      <c r="AM264" s="32" t="str">
        <f>IFERROR(__xludf.DUMMYFUNCTION("""COMPUTED_VALUE"""),"Conceal")</f>
        <v>Conceal</v>
      </c>
      <c r="AN264" s="32" t="str">
        <f>IFERROR(__xludf.DUMMYFUNCTION("""COMPUTED_VALUE"""),"Obliterating Light of Blindness")</f>
        <v>Obliterating Light of Blindness</v>
      </c>
      <c r="AO264" s="32" t="str">
        <f>IFERROR(__xludf.DUMMYFUNCTION("""COMPUTED_VALUE"""),"Revive")</f>
        <v>Revive</v>
      </c>
      <c r="AP264" s="32" t="str">
        <f>IFERROR(__xludf.DUMMYFUNCTION("""COMPUTED_VALUE"""),"Multishot")</f>
        <v>Multishot</v>
      </c>
      <c r="AQ264" s="32" t="str">
        <f>IFERROR(__xludf.DUMMYFUNCTION("""COMPUTED_VALUE"""),"Chaincast")</f>
        <v>Chaincast</v>
      </c>
      <c r="AR264" s="32" t="str">
        <f>IFERROR(__xludf.DUMMYFUNCTION("""COMPUTED_VALUE"""),"Cancel")</f>
        <v>Cancel</v>
      </c>
      <c r="AS264" s="32"/>
      <c r="AT264" s="32"/>
      <c r="AU264" s="32"/>
      <c r="AV264" s="32"/>
      <c r="AW264" s="32"/>
      <c r="AX264" s="32"/>
      <c r="AY264" s="32"/>
      <c r="AZ264" s="32"/>
      <c r="BA264" s="32"/>
      <c r="BB264" s="32"/>
      <c r="BC264" s="32"/>
      <c r="BD264" s="32">
        <f>IFERROR(__xludf.DUMMYFUNCTION("""COMPUTED_VALUE"""),0.0)</f>
        <v>0</v>
      </c>
      <c r="BE264" s="32">
        <f>IFERROR(__xludf.DUMMYFUNCTION("""COMPUTED_VALUE"""),10.0)</f>
        <v>10</v>
      </c>
      <c r="BF264" s="32"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32" t="str">
        <f>IFERROR(__xludf.DUMMYFUNCTION("""COMPUTED_VALUE"""),"All")</f>
        <v>All</v>
      </c>
      <c r="BH264" s="32" t="str">
        <f>IFERROR(__xludf.DUMMYFUNCTION("""COMPUTED_VALUE"""),"Halloween Kingdom")</f>
        <v>Halloween Kingdom</v>
      </c>
      <c r="BI264" s="32"/>
      <c r="BJ264" s="32"/>
      <c r="BK264" s="32"/>
      <c r="BL264" s="32" t="b">
        <f>IFERROR(__xludf.DUMMYFUNCTION("""COMPUTED_VALUE"""),FALSE)</f>
        <v>0</v>
      </c>
      <c r="BM264" s="32"/>
      <c r="BN264" s="32"/>
      <c r="BO264" s="32"/>
      <c r="BP264" s="32"/>
      <c r="BQ264" s="32"/>
    </row>
    <row r="265">
      <c r="A265" s="32" t="str">
        <f>IFERROR(__xludf.DUMMYFUNCTION("""COMPUTED_VALUE"""),"Twilight Lord")</f>
        <v>Twilight Lord</v>
      </c>
      <c r="B265" s="32">
        <f>IFERROR(__xludf.DUMMYFUNCTION("""COMPUTED_VALUE"""),1.0)</f>
        <v>1</v>
      </c>
      <c r="C265" s="32"/>
      <c r="D265" s="33" t="str">
        <f>IFERROR(__xludf.DUMMYFUNCTION("""COMPUTED_VALUE"""),"Heavenly")</f>
        <v>Heavenly</v>
      </c>
      <c r="E265" s="33">
        <f>IFERROR(__xludf.DUMMYFUNCTION("""COMPUTED_VALUE"""),1010.0)</f>
        <v>1010</v>
      </c>
      <c r="F265" s="33">
        <f>IFERROR(__xludf.DUMMYFUNCTION("""COMPUTED_VALUE"""),1010.0)</f>
        <v>1010</v>
      </c>
      <c r="G265" s="33">
        <f>IFERROR(__xludf.DUMMYFUNCTION("""COMPUTED_VALUE"""),1010.0)</f>
        <v>1010</v>
      </c>
      <c r="H265" s="32">
        <f>IFERROR(__xludf.DUMMYFUNCTION("""COMPUTED_VALUE"""),10.0)</f>
        <v>10</v>
      </c>
      <c r="I265" s="32">
        <f>IFERROR(__xludf.DUMMYFUNCTION("""COMPUTED_VALUE"""),0.0)</f>
        <v>0</v>
      </c>
      <c r="J265" s="32">
        <f>IFERROR(__xludf.DUMMYFUNCTION("""COMPUTED_VALUE"""),0.0)</f>
        <v>0</v>
      </c>
      <c r="K265" s="32">
        <f>IFERROR(__xludf.DUMMYFUNCTION("""COMPUTED_VALUE"""),100.0)</f>
        <v>100</v>
      </c>
      <c r="L265" s="32">
        <f>IFERROR(__xludf.DUMMYFUNCTION("""COMPUTED_VALUE"""),100.0)</f>
        <v>100</v>
      </c>
      <c r="M265" s="32" t="str">
        <f>IFERROR(__xludf.DUMMYFUNCTION("""COMPUTED_VALUE"""),"Instant Death:Immune, Banishment:Immune, ")</f>
        <v>Instant Death:Immune, Banishment:Immune, </v>
      </c>
      <c r="N265" s="32" t="str">
        <f>IFERROR(__xludf.DUMMYFUNCTION("""COMPUTED_VALUE"""),"")</f>
        <v/>
      </c>
      <c r="O265" s="32"/>
      <c r="P265" s="32"/>
      <c r="Q265" s="32"/>
      <c r="R265" s="32"/>
      <c r="S265" s="32"/>
      <c r="T265" s="32"/>
      <c r="U265" s="32"/>
      <c r="V265" s="32"/>
      <c r="W265" s="32"/>
      <c r="X265" s="32"/>
      <c r="Y265" s="32"/>
      <c r="Z265" s="32"/>
      <c r="AA265" s="32"/>
      <c r="AB265" s="32"/>
      <c r="AC265" s="32"/>
      <c r="AD265" s="32"/>
      <c r="AE265" s="32"/>
      <c r="AF265" s="32"/>
      <c r="AG265" s="32"/>
      <c r="AH265" s="32"/>
      <c r="AI265" s="32"/>
      <c r="AJ265" s="32" t="str">
        <f>IFERROR(__xludf.DUMMYFUNCTION("""COMPUTED_VALUE"""),"Chaincast")</f>
        <v>Chaincast</v>
      </c>
      <c r="AK265" s="32" t="str">
        <f>IFERROR(__xludf.DUMMYFUNCTION("""COMPUTED_VALUE"""),"Twilight Masquerade")</f>
        <v>Twilight Masquerade</v>
      </c>
      <c r="AL265" s="32" t="str">
        <f>IFERROR(__xludf.DUMMYFUNCTION("""COMPUTED_VALUE"""),"Danse Macabre")</f>
        <v>Danse Macabre</v>
      </c>
      <c r="AM265" s="32" t="str">
        <f>IFERROR(__xludf.DUMMYFUNCTION("""COMPUTED_VALUE"""),"Stasis Madness")</f>
        <v>Stasis Madness</v>
      </c>
      <c r="AN265" s="32" t="str">
        <f>IFERROR(__xludf.DUMMYFUNCTION("""COMPUTED_VALUE"""),"Stasis Tsunami")</f>
        <v>Stasis Tsunami</v>
      </c>
      <c r="AO265" s="32" t="str">
        <f>IFERROR(__xludf.DUMMYFUNCTION("""COMPUTED_VALUE"""),"Darkest Abyss")</f>
        <v>Darkest Abyss</v>
      </c>
      <c r="AP265" s="32" t="str">
        <f>IFERROR(__xludf.DUMMYFUNCTION("""COMPUTED_VALUE"""),"Dark Curse")</f>
        <v>Dark Curse</v>
      </c>
      <c r="AQ265" s="32" t="str">
        <f>IFERROR(__xludf.DUMMYFUNCTION("""COMPUTED_VALUE"""),"Dimensional Quake")</f>
        <v>Dimensional Quake</v>
      </c>
      <c r="AR265" s="32" t="str">
        <f>IFERROR(__xludf.DUMMYFUNCTION("""COMPUTED_VALUE"""),"Dimension Portal")</f>
        <v>Dimension Portal</v>
      </c>
      <c r="AS265" s="32" t="str">
        <f>IFERROR(__xludf.DUMMYFUNCTION("""COMPUTED_VALUE"""),"Countdown")</f>
        <v>Countdown</v>
      </c>
      <c r="AT265" s="32" t="str">
        <f>IFERROR(__xludf.DUMMYFUNCTION("""COMPUTED_VALUE"""),"Mass Destruction")</f>
        <v>Mass Destruction</v>
      </c>
      <c r="AU265" s="32" t="str">
        <f>IFERROR(__xludf.DUMMYFUNCTION("""COMPUTED_VALUE"""),"Celestial Increase II")</f>
        <v>Celestial Increase II</v>
      </c>
      <c r="AV265" s="32" t="str">
        <f>IFERROR(__xludf.DUMMYFUNCTION("""COMPUTED_VALUE"""),"Multishot")</f>
        <v>Multishot</v>
      </c>
      <c r="AW265" s="32"/>
      <c r="AX265" s="32"/>
      <c r="AY265" s="32"/>
      <c r="AZ265" s="32"/>
      <c r="BA265" s="32"/>
      <c r="BB265" s="32"/>
      <c r="BC265" s="32"/>
      <c r="BD265" s="32">
        <f>IFERROR(__xludf.DUMMYFUNCTION("""COMPUTED_VALUE"""),0.0)</f>
        <v>0</v>
      </c>
      <c r="BE265" s="32">
        <f>IFERROR(__xludf.DUMMYFUNCTION("""COMPUTED_VALUE"""),10.0)</f>
        <v>10</v>
      </c>
      <c r="BF265" s="32"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32" t="str">
        <f>IFERROR(__xludf.DUMMYFUNCTION("""COMPUTED_VALUE"""),"All")</f>
        <v>All</v>
      </c>
      <c r="BH265" s="32" t="str">
        <f>IFERROR(__xludf.DUMMYFUNCTION("""COMPUTED_VALUE"""),"Halloween Kingdom")</f>
        <v>Halloween Kingdom</v>
      </c>
      <c r="BI265" s="32"/>
      <c r="BJ265" s="32"/>
      <c r="BK265" s="32"/>
      <c r="BL265" s="32" t="b">
        <f>IFERROR(__xludf.DUMMYFUNCTION("""COMPUTED_VALUE"""),FALSE)</f>
        <v>0</v>
      </c>
      <c r="BM265" s="32"/>
      <c r="BN265" s="32"/>
      <c r="BO265" s="32"/>
      <c r="BP265" s="32"/>
      <c r="BQ265" s="32"/>
    </row>
    <row r="266">
      <c r="A266" s="32" t="str">
        <f>IFERROR(__xludf.DUMMYFUNCTION("""COMPUTED_VALUE"""),"Twilight Priest")</f>
        <v>Twilight Priest</v>
      </c>
      <c r="B266" s="32">
        <f>IFERROR(__xludf.DUMMYFUNCTION("""COMPUTED_VALUE"""),1.0)</f>
        <v>1</v>
      </c>
      <c r="C266" s="32"/>
      <c r="D266" s="33" t="str">
        <f>IFERROR(__xludf.DUMMYFUNCTION("""COMPUTED_VALUE"""),"Humanoid")</f>
        <v>Humanoid</v>
      </c>
      <c r="E266" s="33">
        <f>IFERROR(__xludf.DUMMYFUNCTION("""COMPUTED_VALUE"""),1010.0)</f>
        <v>1010</v>
      </c>
      <c r="F266" s="33">
        <f>IFERROR(__xludf.DUMMYFUNCTION("""COMPUTED_VALUE"""),1010.0)</f>
        <v>1010</v>
      </c>
      <c r="G266" s="33">
        <f>IFERROR(__xludf.DUMMYFUNCTION("""COMPUTED_VALUE"""),1010.0)</f>
        <v>1010</v>
      </c>
      <c r="H266" s="32">
        <f>IFERROR(__xludf.DUMMYFUNCTION("""COMPUTED_VALUE"""),10.0)</f>
        <v>10</v>
      </c>
      <c r="I266" s="32">
        <f>IFERROR(__xludf.DUMMYFUNCTION("""COMPUTED_VALUE"""),0.0)</f>
        <v>0</v>
      </c>
      <c r="J266" s="32">
        <f>IFERROR(__xludf.DUMMYFUNCTION("""COMPUTED_VALUE"""),0.0)</f>
        <v>0</v>
      </c>
      <c r="K266" s="32">
        <f>IFERROR(__xludf.DUMMYFUNCTION("""COMPUTED_VALUE"""),100.0)</f>
        <v>100</v>
      </c>
      <c r="L266" s="32">
        <f>IFERROR(__xludf.DUMMYFUNCTION("""COMPUTED_VALUE"""),100.0)</f>
        <v>100</v>
      </c>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t="str">
        <f>IFERROR(__xludf.DUMMYFUNCTION("""COMPUTED_VALUE"""),"Twilight Masquerade")</f>
        <v>Twilight Masquerade</v>
      </c>
      <c r="AK266" s="32" t="str">
        <f>IFERROR(__xludf.DUMMYFUNCTION("""COMPUTED_VALUE"""),"The Setting Sun")</f>
        <v>The Setting Sun</v>
      </c>
      <c r="AL266" s="32" t="str">
        <f>IFERROR(__xludf.DUMMYFUNCTION("""COMPUTED_VALUE"""),"Stasis Madness")</f>
        <v>Stasis Madness</v>
      </c>
      <c r="AM266" s="32" t="str">
        <f>IFERROR(__xludf.DUMMYFUNCTION("""COMPUTED_VALUE"""),"Stasis Tsunami")</f>
        <v>Stasis Tsunami</v>
      </c>
      <c r="AN266" s="32" t="str">
        <f>IFERROR(__xludf.DUMMYFUNCTION("""COMPUTED_VALUE"""),"Darkest Abyss")</f>
        <v>Darkest Abyss</v>
      </c>
      <c r="AO266" s="32" t="str">
        <f>IFERROR(__xludf.DUMMYFUNCTION("""COMPUTED_VALUE"""),"Conceal")</f>
        <v>Conceal</v>
      </c>
      <c r="AP266" s="32" t="str">
        <f>IFERROR(__xludf.DUMMYFUNCTION("""COMPUTED_VALUE"""),"Obliterating Light of Blindness")</f>
        <v>Obliterating Light of Blindness</v>
      </c>
      <c r="AQ266" s="32" t="str">
        <f>IFERROR(__xludf.DUMMYFUNCTION("""COMPUTED_VALUE"""),"Revive")</f>
        <v>Revive</v>
      </c>
      <c r="AR266" s="32" t="str">
        <f>IFERROR(__xludf.DUMMYFUNCTION("""COMPUTED_VALUE"""),"Celestial Wrath")</f>
        <v>Celestial Wrath</v>
      </c>
      <c r="AS266" s="32" t="str">
        <f>IFERROR(__xludf.DUMMYFUNCTION("""COMPUTED_VALUE"""),"Countdown")</f>
        <v>Countdown</v>
      </c>
      <c r="AT266" s="32" t="str">
        <f>IFERROR(__xludf.DUMMYFUNCTION("""COMPUTED_VALUE"""),"Multishot")</f>
        <v>Multishot</v>
      </c>
      <c r="AU266" s="32" t="str">
        <f>IFERROR(__xludf.DUMMYFUNCTION("""COMPUTED_VALUE"""),"Cancel")</f>
        <v>Cancel</v>
      </c>
      <c r="AV266" s="32" t="str">
        <f>IFERROR(__xludf.DUMMYFUNCTION("""COMPUTED_VALUE"""),"Choir of 1000 Voices")</f>
        <v>Choir of 1000 Voices</v>
      </c>
      <c r="AW266" s="32"/>
      <c r="AX266" s="32"/>
      <c r="AY266" s="32"/>
      <c r="AZ266" s="32"/>
      <c r="BA266" s="32"/>
      <c r="BB266" s="32"/>
      <c r="BC266" s="32"/>
      <c r="BD266" s="32">
        <f>IFERROR(__xludf.DUMMYFUNCTION("""COMPUTED_VALUE"""),0.0)</f>
        <v>0</v>
      </c>
      <c r="BE266" s="32">
        <f>IFERROR(__xludf.DUMMYFUNCTION("""COMPUTED_VALUE"""),10.0)</f>
        <v>10</v>
      </c>
      <c r="BF266" s="32"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32" t="str">
        <f>IFERROR(__xludf.DUMMYFUNCTION("""COMPUTED_VALUE"""),"All")</f>
        <v>All</v>
      </c>
      <c r="BH266" s="32" t="str">
        <f>IFERROR(__xludf.DUMMYFUNCTION("""COMPUTED_VALUE"""),"Halloween Kingdom")</f>
        <v>Halloween Kingdom</v>
      </c>
      <c r="BI266" s="32"/>
      <c r="BJ266" s="32"/>
      <c r="BK266" s="32"/>
      <c r="BL266" s="32" t="b">
        <f>IFERROR(__xludf.DUMMYFUNCTION("""COMPUTED_VALUE"""),FALSE)</f>
        <v>0</v>
      </c>
      <c r="BM266" s="32"/>
      <c r="BN266" s="32"/>
      <c r="BO266" s="32"/>
      <c r="BP266" s="32"/>
      <c r="BQ266" s="32"/>
    </row>
    <row r="267">
      <c r="A267" s="32" t="str">
        <f>IFERROR(__xludf.DUMMYFUNCTION("""COMPUTED_VALUE"""),"Twilight Shadow")</f>
        <v>Twilight Shadow</v>
      </c>
      <c r="B267" s="32">
        <f>IFERROR(__xludf.DUMMYFUNCTION("""COMPUTED_VALUE"""),1.0)</f>
        <v>1</v>
      </c>
      <c r="C267" s="32"/>
      <c r="D267" s="33" t="str">
        <f>IFERROR(__xludf.DUMMYFUNCTION("""COMPUTED_VALUE"""),"Spirit")</f>
        <v>Spirit</v>
      </c>
      <c r="E267" s="33">
        <f>IFERROR(__xludf.DUMMYFUNCTION("""COMPUTED_VALUE"""),1010.0)</f>
        <v>1010</v>
      </c>
      <c r="F267" s="33">
        <f>IFERROR(__xludf.DUMMYFUNCTION("""COMPUTED_VALUE"""),1010.0)</f>
        <v>1010</v>
      </c>
      <c r="G267" s="33">
        <f>IFERROR(__xludf.DUMMYFUNCTION("""COMPUTED_VALUE"""),1010.0)</f>
        <v>1010</v>
      </c>
      <c r="H267" s="32">
        <f>IFERROR(__xludf.DUMMYFUNCTION("""COMPUTED_VALUE"""),10.0)</f>
        <v>10</v>
      </c>
      <c r="I267" s="32">
        <f>IFERROR(__xludf.DUMMYFUNCTION("""COMPUTED_VALUE"""),0.0)</f>
        <v>0</v>
      </c>
      <c r="J267" s="32">
        <f>IFERROR(__xludf.DUMMYFUNCTION("""COMPUTED_VALUE"""),0.0)</f>
        <v>0</v>
      </c>
      <c r="K267" s="32">
        <f>IFERROR(__xludf.DUMMYFUNCTION("""COMPUTED_VALUE"""),100.0)</f>
        <v>100</v>
      </c>
      <c r="L267" s="32">
        <f>IFERROR(__xludf.DUMMYFUNCTION("""COMPUTED_VALUE"""),100.0)</f>
        <v>100</v>
      </c>
      <c r="M267" s="32" t="str">
        <f>IFERROR(__xludf.DUMMYFUNCTION("""COMPUTED_VALUE"""),"Dark:Immune, Twilight:Immune, ")</f>
        <v>Dark:Immune, Twilight:Immune, </v>
      </c>
      <c r="N267" s="32" t="str">
        <f>IFERROR(__xludf.DUMMYFUNCTION("""COMPUTED_VALUE"""),"Light:100, ")</f>
        <v>Light:100, </v>
      </c>
      <c r="O267" s="32"/>
      <c r="P267" s="32"/>
      <c r="Q267" s="32"/>
      <c r="R267" s="32"/>
      <c r="S267" s="32"/>
      <c r="T267" s="32"/>
      <c r="U267" s="32"/>
      <c r="V267" s="32"/>
      <c r="W267" s="32"/>
      <c r="X267" s="32"/>
      <c r="Y267" s="32"/>
      <c r="Z267" s="32"/>
      <c r="AA267" s="32"/>
      <c r="AB267" s="32"/>
      <c r="AC267" s="32"/>
      <c r="AD267" s="32"/>
      <c r="AE267" s="32"/>
      <c r="AF267" s="32"/>
      <c r="AG267" s="32"/>
      <c r="AH267" s="32"/>
      <c r="AI267" s="32"/>
      <c r="AJ267" s="32" t="str">
        <f>IFERROR(__xludf.DUMMYFUNCTION("""COMPUTED_VALUE"""),"Lash of Twilight")</f>
        <v>Lash of Twilight</v>
      </c>
      <c r="AK267" s="32" t="str">
        <f>IFERROR(__xludf.DUMMYFUNCTION("""COMPUTED_VALUE"""),"Searing Twilight")</f>
        <v>Searing Twilight</v>
      </c>
      <c r="AL267" s="32" t="str">
        <f>IFERROR(__xludf.DUMMYFUNCTION("""COMPUTED_VALUE"""),"The Setting Sun")</f>
        <v>The Setting Sun</v>
      </c>
      <c r="AM267" s="32" t="str">
        <f>IFERROR(__xludf.DUMMYFUNCTION("""COMPUTED_VALUE"""),"Danse Macabre")</f>
        <v>Danse Macabre</v>
      </c>
      <c r="AN267" s="32"/>
      <c r="AO267" s="32"/>
      <c r="AP267" s="32"/>
      <c r="AQ267" s="32"/>
      <c r="AR267" s="32"/>
      <c r="AS267" s="32"/>
      <c r="AT267" s="32"/>
      <c r="AU267" s="32"/>
      <c r="AV267" s="32"/>
      <c r="AW267" s="32"/>
      <c r="AX267" s="32"/>
      <c r="AY267" s="32"/>
      <c r="AZ267" s="32"/>
      <c r="BA267" s="32"/>
      <c r="BB267" s="32"/>
      <c r="BC267" s="32"/>
      <c r="BD267" s="32">
        <f>IFERROR(__xludf.DUMMYFUNCTION("""COMPUTED_VALUE"""),0.0)</f>
        <v>0</v>
      </c>
      <c r="BE267" s="32">
        <f>IFERROR(__xludf.DUMMYFUNCTION("""COMPUTED_VALUE"""),10.0)</f>
        <v>10</v>
      </c>
      <c r="BF267" s="32"/>
      <c r="BG267" s="32" t="str">
        <f>IFERROR(__xludf.DUMMYFUNCTION("""COMPUTED_VALUE"""),"All")</f>
        <v>All</v>
      </c>
      <c r="BH267" s="32" t="str">
        <f>IFERROR(__xludf.DUMMYFUNCTION("""COMPUTED_VALUE"""),"Land Of Spira")</f>
        <v>Land Of Spira</v>
      </c>
      <c r="BI267" s="32"/>
      <c r="BJ267" s="32"/>
      <c r="BK267" s="32"/>
      <c r="BL267" s="32" t="b">
        <f>IFERROR(__xludf.DUMMYFUNCTION("""COMPUTED_VALUE"""),FALSE)</f>
        <v>0</v>
      </c>
      <c r="BM267" s="32"/>
      <c r="BN267" s="32"/>
      <c r="BO267" s="32"/>
      <c r="BP267" s="32"/>
      <c r="BQ267" s="32"/>
    </row>
    <row r="268">
      <c r="A268" s="32" t="str">
        <f>IFERROR(__xludf.DUMMYFUNCTION("""COMPUTED_VALUE"""),"Twilight Soldier")</f>
        <v>Twilight Soldier</v>
      </c>
      <c r="B268" s="32">
        <f>IFERROR(__xludf.DUMMYFUNCTION("""COMPUTED_VALUE"""),1.0)</f>
        <v>1</v>
      </c>
      <c r="C268" s="32"/>
      <c r="D268" s="33" t="str">
        <f>IFERROR(__xludf.DUMMYFUNCTION("""COMPUTED_VALUE"""),"Humanoid")</f>
        <v>Humanoid</v>
      </c>
      <c r="E268" s="33">
        <f>IFERROR(__xludf.DUMMYFUNCTION("""COMPUTED_VALUE"""),1010.0)</f>
        <v>1010</v>
      </c>
      <c r="F268" s="33">
        <f>IFERROR(__xludf.DUMMYFUNCTION("""COMPUTED_VALUE"""),1010.0)</f>
        <v>1010</v>
      </c>
      <c r="G268" s="33">
        <f>IFERROR(__xludf.DUMMYFUNCTION("""COMPUTED_VALUE"""),1010.0)</f>
        <v>1010</v>
      </c>
      <c r="H268" s="32">
        <f>IFERROR(__xludf.DUMMYFUNCTION("""COMPUTED_VALUE"""),10.0)</f>
        <v>10</v>
      </c>
      <c r="I268" s="32">
        <f>IFERROR(__xludf.DUMMYFUNCTION("""COMPUTED_VALUE"""),0.0)</f>
        <v>0</v>
      </c>
      <c r="J268" s="32">
        <f>IFERROR(__xludf.DUMMYFUNCTION("""COMPUTED_VALUE"""),0.0)</f>
        <v>0</v>
      </c>
      <c r="K268" s="32">
        <f>IFERROR(__xludf.DUMMYFUNCTION("""COMPUTED_VALUE"""),100.0)</f>
        <v>100</v>
      </c>
      <c r="L268" s="32">
        <f>IFERROR(__xludf.DUMMYFUNCTION("""COMPUTED_VALUE"""),100.0)</f>
        <v>100</v>
      </c>
      <c r="M268" s="32" t="str">
        <f>IFERROR(__xludf.DUMMYFUNCTION("""COMPUTED_VALUE"""),"Twilight:Immune, ")</f>
        <v>Twilight:Immune, </v>
      </c>
      <c r="N268" s="32" t="str">
        <f>IFERROR(__xludf.DUMMYFUNCTION("""COMPUTED_VALUE"""),"")</f>
        <v/>
      </c>
      <c r="O268" s="32"/>
      <c r="P268" s="32"/>
      <c r="Q268" s="32"/>
      <c r="R268" s="32"/>
      <c r="S268" s="32"/>
      <c r="T268" s="32"/>
      <c r="U268" s="32"/>
      <c r="V268" s="32"/>
      <c r="W268" s="32"/>
      <c r="X268" s="32"/>
      <c r="Y268" s="32"/>
      <c r="Z268" s="32"/>
      <c r="AA268" s="32"/>
      <c r="AB268" s="32"/>
      <c r="AC268" s="32"/>
      <c r="AD268" s="32"/>
      <c r="AE268" s="32"/>
      <c r="AF268" s="32"/>
      <c r="AG268" s="32"/>
      <c r="AH268" s="32"/>
      <c r="AI268" s="32"/>
      <c r="AJ268" s="32" t="str">
        <f>IFERROR(__xludf.DUMMYFUNCTION("""COMPUTED_VALUE"""),"The Setting Sun")</f>
        <v>The Setting Sun</v>
      </c>
      <c r="AK268" s="32" t="str">
        <f>IFERROR(__xludf.DUMMYFUNCTION("""COMPUTED_VALUE"""),"Twilight Masquerade")</f>
        <v>Twilight Masquerade</v>
      </c>
      <c r="AL268" s="32" t="str">
        <f>IFERROR(__xludf.DUMMYFUNCTION("""COMPUTED_VALUE"""),"Danse Macabre")</f>
        <v>Danse Macabre</v>
      </c>
      <c r="AM268" s="32" t="str">
        <f>IFERROR(__xludf.DUMMYFUNCTION("""COMPUTED_VALUE"""),"Arrest")</f>
        <v>Arrest</v>
      </c>
      <c r="AN268" s="32"/>
      <c r="AO268" s="32"/>
      <c r="AP268" s="32"/>
      <c r="AQ268" s="32"/>
      <c r="AR268" s="32"/>
      <c r="AS268" s="32"/>
      <c r="AT268" s="32"/>
      <c r="AU268" s="32"/>
      <c r="AV268" s="32"/>
      <c r="AW268" s="32"/>
      <c r="AX268" s="32"/>
      <c r="AY268" s="32"/>
      <c r="AZ268" s="32"/>
      <c r="BA268" s="32"/>
      <c r="BB268" s="32"/>
      <c r="BC268" s="32"/>
      <c r="BD268" s="32">
        <f>IFERROR(__xludf.DUMMYFUNCTION("""COMPUTED_VALUE"""),0.0)</f>
        <v>0</v>
      </c>
      <c r="BE268" s="32">
        <f>IFERROR(__xludf.DUMMYFUNCTION("""COMPUTED_VALUE"""),10.0)</f>
        <v>10</v>
      </c>
      <c r="BF268" s="32"/>
      <c r="BG268" s="32" t="str">
        <f>IFERROR(__xludf.DUMMYFUNCTION("""COMPUTED_VALUE"""),"All")</f>
        <v>All</v>
      </c>
      <c r="BH268" s="32" t="str">
        <f>IFERROR(__xludf.DUMMYFUNCTION("""COMPUTED_VALUE"""),"Halloween Kingdom")</f>
        <v>Halloween Kingdom</v>
      </c>
      <c r="BI268" s="32"/>
      <c r="BJ268" s="32"/>
      <c r="BK268" s="32"/>
      <c r="BL268" s="32" t="b">
        <f>IFERROR(__xludf.DUMMYFUNCTION("""COMPUTED_VALUE"""),FALSE)</f>
        <v>0</v>
      </c>
      <c r="BM268" s="32"/>
      <c r="BN268" s="32"/>
      <c r="BO268" s="32"/>
      <c r="BP268" s="32"/>
      <c r="BQ268" s="32"/>
    </row>
    <row r="269">
      <c r="A269" s="32" t="str">
        <f>IFERROR(__xludf.DUMMYFUNCTION("""COMPUTED_VALUE"""),"Undead Dragon")</f>
        <v>Undead Dragon</v>
      </c>
      <c r="B269" s="32">
        <f>IFERROR(__xludf.DUMMYFUNCTION("""COMPUTED_VALUE"""),1.0)</f>
        <v>1</v>
      </c>
      <c r="C269" s="32"/>
      <c r="D269" s="33" t="str">
        <f>IFERROR(__xludf.DUMMYFUNCTION("""COMPUTED_VALUE"""),"Draconic")</f>
        <v>Draconic</v>
      </c>
      <c r="E269" s="33">
        <f>IFERROR(__xludf.DUMMYFUNCTION("""COMPUTED_VALUE"""),31010.0)</f>
        <v>31010</v>
      </c>
      <c r="F269" s="33">
        <f>IFERROR(__xludf.DUMMYFUNCTION("""COMPUTED_VALUE"""),31010.0)</f>
        <v>31010</v>
      </c>
      <c r="G269" s="33">
        <f>IFERROR(__xludf.DUMMYFUNCTION("""COMPUTED_VALUE"""),31010.0)</f>
        <v>31010</v>
      </c>
      <c r="H269" s="32">
        <f>IFERROR(__xludf.DUMMYFUNCTION("""COMPUTED_VALUE"""),10.0)</f>
        <v>10</v>
      </c>
      <c r="I269" s="32">
        <f>IFERROR(__xludf.DUMMYFUNCTION("""COMPUTED_VALUE"""),0.0)</f>
        <v>0</v>
      </c>
      <c r="J269" s="32">
        <f>IFERROR(__xludf.DUMMYFUNCTION("""COMPUTED_VALUE"""),0.0)</f>
        <v>0</v>
      </c>
      <c r="K269" s="32">
        <f>IFERROR(__xludf.DUMMYFUNCTION("""COMPUTED_VALUE"""),100.0)</f>
        <v>100</v>
      </c>
      <c r="L269" s="32">
        <f>IFERROR(__xludf.DUMMYFUNCTION("""COMPUTED_VALUE"""),100.0)</f>
        <v>100</v>
      </c>
      <c r="M269" s="32" t="str">
        <f>IFERROR(__xludf.DUMMYFUNCTION("""COMPUTED_VALUE"""),"Dark:Immune, Instant Death:Immune, Banishment:Immune, ")</f>
        <v>Dark:Immune, Instant Death:Immune, Banishment:Immune, </v>
      </c>
      <c r="N269" s="32" t="str">
        <f>IFERROR(__xludf.DUMMYFUNCTION("""COMPUTED_VALUE"""),"Fire:100, Light:100, ")</f>
        <v>Fire:100, Light:100, </v>
      </c>
      <c r="O269" s="32"/>
      <c r="P269" s="32"/>
      <c r="Q269" s="32"/>
      <c r="R269" s="32"/>
      <c r="S269" s="32"/>
      <c r="T269" s="32"/>
      <c r="U269" s="32"/>
      <c r="V269" s="32"/>
      <c r="W269" s="32"/>
      <c r="X269" s="32"/>
      <c r="Y269" s="32"/>
      <c r="Z269" s="32"/>
      <c r="AA269" s="32"/>
      <c r="AB269" s="32"/>
      <c r="AC269" s="32"/>
      <c r="AD269" s="32"/>
      <c r="AE269" s="32"/>
      <c r="AF269" s="32"/>
      <c r="AG269" s="32"/>
      <c r="AH269" s="32"/>
      <c r="AI269" s="32"/>
      <c r="AJ269" s="32" t="str">
        <f>IFERROR(__xludf.DUMMYFUNCTION("""COMPUTED_VALUE"""),"Dragon's Breath")</f>
        <v>Dragon's Breath</v>
      </c>
      <c r="AK269" s="32" t="str">
        <f>IFERROR(__xludf.DUMMYFUNCTION("""COMPUTED_VALUE"""),"Bite")</f>
        <v>Bite</v>
      </c>
      <c r="AL269" s="32" t="str">
        <f>IFERROR(__xludf.DUMMYFUNCTION("""COMPUTED_VALUE"""),"Tail Smash")</f>
        <v>Tail Smash</v>
      </c>
      <c r="AM269" s="32" t="str">
        <f>IFERROR(__xludf.DUMMYFUNCTION("""COMPUTED_VALUE"""),"Claws")</f>
        <v>Claws</v>
      </c>
      <c r="AN269" s="32" t="str">
        <f>IFERROR(__xludf.DUMMYFUNCTION("""COMPUTED_VALUE"""),"Berserk")</f>
        <v>Berserk</v>
      </c>
      <c r="AO269" s="32" t="str">
        <f>IFERROR(__xludf.DUMMYFUNCTION("""COMPUTED_VALUE"""),"Multishot")</f>
        <v>Multishot</v>
      </c>
      <c r="AP269" s="32" t="str">
        <f>IFERROR(__xludf.DUMMYFUNCTION("""COMPUTED_VALUE"""),"Draconic Scream")</f>
        <v>Draconic Scream</v>
      </c>
      <c r="AQ269" s="32" t="str">
        <f>IFERROR(__xludf.DUMMYFUNCTION("""COMPUTED_VALUE"""),"Dark Curse")</f>
        <v>Dark Curse</v>
      </c>
      <c r="AR269" s="32" t="str">
        <f>IFERROR(__xludf.DUMMYFUNCTION("""COMPUTED_VALUE"""),"Dark Bolt")</f>
        <v>Dark Bolt</v>
      </c>
      <c r="AS269" s="32" t="str">
        <f>IFERROR(__xludf.DUMMYFUNCTION("""COMPUTED_VALUE"""),"Darkest Abyss")</f>
        <v>Darkest Abyss</v>
      </c>
      <c r="AT269" s="32" t="str">
        <f>IFERROR(__xludf.DUMMYFUNCTION("""COMPUTED_VALUE"""),"Celestial Wrath")</f>
        <v>Celestial Wrath</v>
      </c>
      <c r="AU269" s="32"/>
      <c r="AV269" s="32"/>
      <c r="AW269" s="32"/>
      <c r="AX269" s="32"/>
      <c r="AY269" s="32"/>
      <c r="AZ269" s="32"/>
      <c r="BA269" s="32"/>
      <c r="BB269" s="32"/>
      <c r="BC269" s="32"/>
      <c r="BD269" s="32">
        <f>IFERROR(__xludf.DUMMYFUNCTION("""COMPUTED_VALUE"""),0.0)</f>
        <v>0</v>
      </c>
      <c r="BE269" s="32">
        <f>IFERROR(__xludf.DUMMYFUNCTION("""COMPUTED_VALUE"""),10.0)</f>
        <v>10</v>
      </c>
      <c r="BF269" s="32"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32" t="str">
        <f>IFERROR(__xludf.DUMMYFUNCTION("""COMPUTED_VALUE"""),"All")</f>
        <v>All</v>
      </c>
      <c r="BH269" s="32" t="str">
        <f>IFERROR(__xludf.DUMMYFUNCTION("""COMPUTED_VALUE"""),"Dragonscale Island")</f>
        <v>Dragonscale Island</v>
      </c>
      <c r="BI269" s="32"/>
      <c r="BJ269" s="32"/>
      <c r="BK269" s="32"/>
      <c r="BL269" s="32" t="b">
        <f>IFERROR(__xludf.DUMMYFUNCTION("""COMPUTED_VALUE"""),FALSE)</f>
        <v>0</v>
      </c>
      <c r="BM269" s="32"/>
      <c r="BN269" s="32"/>
      <c r="BO269" s="32"/>
      <c r="BP269" s="32"/>
      <c r="BQ269" s="32"/>
    </row>
    <row r="270">
      <c r="A270" s="32" t="str">
        <f>IFERROR(__xludf.DUMMYFUNCTION("""COMPUTED_VALUE"""),"Vampire")</f>
        <v>Vampire</v>
      </c>
      <c r="B270" s="32">
        <f>IFERROR(__xludf.DUMMYFUNCTION("""COMPUTED_VALUE"""),1.0)</f>
        <v>1</v>
      </c>
      <c r="C270" s="32"/>
      <c r="D270" s="33" t="str">
        <f>IFERROR(__xludf.DUMMYFUNCTION("""COMPUTED_VALUE"""),"Undead")</f>
        <v>Undead</v>
      </c>
      <c r="E270" s="33">
        <f>IFERROR(__xludf.DUMMYFUNCTION("""COMPUTED_VALUE"""),1010.0)</f>
        <v>1010</v>
      </c>
      <c r="F270" s="33">
        <f>IFERROR(__xludf.DUMMYFUNCTION("""COMPUTED_VALUE"""),1010.0)</f>
        <v>1010</v>
      </c>
      <c r="G270" s="33">
        <f>IFERROR(__xludf.DUMMYFUNCTION("""COMPUTED_VALUE"""),1010.0)</f>
        <v>1010</v>
      </c>
      <c r="H270" s="32">
        <f>IFERROR(__xludf.DUMMYFUNCTION("""COMPUTED_VALUE"""),10.0)</f>
        <v>10</v>
      </c>
      <c r="I270" s="32">
        <f>IFERROR(__xludf.DUMMYFUNCTION("""COMPUTED_VALUE"""),0.0)</f>
        <v>0</v>
      </c>
      <c r="J270" s="32">
        <f>IFERROR(__xludf.DUMMYFUNCTION("""COMPUTED_VALUE"""),0.0)</f>
        <v>0</v>
      </c>
      <c r="K270" s="32">
        <f>IFERROR(__xludf.DUMMYFUNCTION("""COMPUTED_VALUE"""),100.0)</f>
        <v>100</v>
      </c>
      <c r="L270" s="32">
        <f>IFERROR(__xludf.DUMMYFUNCTION("""COMPUTED_VALUE"""),100.0)</f>
        <v>100</v>
      </c>
      <c r="M270" s="32" t="str">
        <f>IFERROR(__xludf.DUMMYFUNCTION("""COMPUTED_VALUE"""),"Dark:Immune, Blood:Immune, ")</f>
        <v>Dark:Immune, Blood:Immune, </v>
      </c>
      <c r="N270" s="32" t="str">
        <f>IFERROR(__xludf.DUMMYFUNCTION("""COMPUTED_VALUE"""),"Fire:100, Light:100, ")</f>
        <v>Fire:100, Light:100, </v>
      </c>
      <c r="O270" s="32"/>
      <c r="P270" s="32"/>
      <c r="Q270" s="32"/>
      <c r="R270" s="32"/>
      <c r="S270" s="32"/>
      <c r="T270" s="32"/>
      <c r="U270" s="32"/>
      <c r="V270" s="32"/>
      <c r="W270" s="32" t="str">
        <f>IFERROR(__xludf.DUMMYFUNCTION("""COMPUTED_VALUE"""),"Sword of the Vampire’s Lust")</f>
        <v>Sword of the Vampire’s Lust</v>
      </c>
      <c r="X270" s="32"/>
      <c r="Y270" s="32"/>
      <c r="Z270" s="32"/>
      <c r="AA270" s="32"/>
      <c r="AB270" s="32"/>
      <c r="AC270" s="32"/>
      <c r="AD270" s="32"/>
      <c r="AE270" s="32"/>
      <c r="AF270" s="32"/>
      <c r="AG270" s="32"/>
      <c r="AH270" s="32"/>
      <c r="AI270" s="32"/>
      <c r="AJ270" s="32" t="str">
        <f>IFERROR(__xludf.DUMMYFUNCTION("""COMPUTED_VALUE"""),"Dark Boost")</f>
        <v>Dark Boost</v>
      </c>
      <c r="AK270" s="32" t="str">
        <f>IFERROR(__xludf.DUMMYFUNCTION("""COMPUTED_VALUE"""),"Chaotic Shadow Force")</f>
        <v>Chaotic Shadow Force</v>
      </c>
      <c r="AL270" s="32" t="str">
        <f>IFERROR(__xludf.DUMMYFUNCTION("""COMPUTED_VALUE"""),"Creeping Darkness")</f>
        <v>Creeping Darkness</v>
      </c>
      <c r="AM270" s="32" t="str">
        <f>IFERROR(__xludf.DUMMYFUNCTION("""COMPUTED_VALUE"""),"Dark Curse")</f>
        <v>Dark Curse</v>
      </c>
      <c r="AN270" s="32" t="str">
        <f>IFERROR(__xludf.DUMMYFUNCTION("""COMPUTED_VALUE"""),"Blood Geyser")</f>
        <v>Blood Geyser</v>
      </c>
      <c r="AO270" s="32" t="str">
        <f>IFERROR(__xludf.DUMMYFUNCTION("""COMPUTED_VALUE"""),"Blood Siphon")</f>
        <v>Blood Siphon</v>
      </c>
      <c r="AP270" s="32" t="str">
        <f>IFERROR(__xludf.DUMMYFUNCTION("""COMPUTED_VALUE"""),"Undead Bite")</f>
        <v>Undead Bite</v>
      </c>
      <c r="AQ270" s="32"/>
      <c r="AR270" s="32"/>
      <c r="AS270" s="32"/>
      <c r="AT270" s="32"/>
      <c r="AU270" s="32"/>
      <c r="AV270" s="32"/>
      <c r="AW270" s="32"/>
      <c r="AX270" s="32"/>
      <c r="AY270" s="32"/>
      <c r="AZ270" s="32"/>
      <c r="BA270" s="32"/>
      <c r="BB270" s="32"/>
      <c r="BC270" s="32"/>
      <c r="BD270" s="32">
        <f>IFERROR(__xludf.DUMMYFUNCTION("""COMPUTED_VALUE"""),0.0)</f>
        <v>0</v>
      </c>
      <c r="BE270" s="32">
        <f>IFERROR(__xludf.DUMMYFUNCTION("""COMPUTED_VALUE"""),10.0)</f>
        <v>10</v>
      </c>
      <c r="BF270" s="32"/>
      <c r="BG270" s="32" t="str">
        <f>IFERROR(__xludf.DUMMYFUNCTION("""COMPUTED_VALUE"""),"All")</f>
        <v>All</v>
      </c>
      <c r="BH270" s="32" t="str">
        <f>IFERROR(__xludf.DUMMYFUNCTION("""COMPUTED_VALUE"""),"Land of Spira")</f>
        <v>Land of Spira</v>
      </c>
      <c r="BI270" s="32"/>
      <c r="BJ270" s="32"/>
      <c r="BK270" s="32"/>
      <c r="BL270" s="32" t="b">
        <f>IFERROR(__xludf.DUMMYFUNCTION("""COMPUTED_VALUE"""),FALSE)</f>
        <v>0</v>
      </c>
      <c r="BM270" s="32"/>
      <c r="BN270" s="32"/>
      <c r="BO270" s="32"/>
      <c r="BP270" s="32"/>
      <c r="BQ270" s="32"/>
    </row>
    <row r="271">
      <c r="A271" s="32" t="str">
        <f>IFERROR(__xludf.DUMMYFUNCTION("""COMPUTED_VALUE"""),"Vampire King")</f>
        <v>Vampire King</v>
      </c>
      <c r="B271" s="32">
        <f>IFERROR(__xludf.DUMMYFUNCTION("""COMPUTED_VALUE"""),1.0)</f>
        <v>1</v>
      </c>
      <c r="C271" s="32"/>
      <c r="D271" s="33" t="str">
        <f>IFERROR(__xludf.DUMMYFUNCTION("""COMPUTED_VALUE"""),"Undead")</f>
        <v>Undead</v>
      </c>
      <c r="E271" s="33">
        <f>IFERROR(__xludf.DUMMYFUNCTION("""COMPUTED_VALUE"""),1010.0)</f>
        <v>1010</v>
      </c>
      <c r="F271" s="33">
        <f>IFERROR(__xludf.DUMMYFUNCTION("""COMPUTED_VALUE"""),1010.0)</f>
        <v>1010</v>
      </c>
      <c r="G271" s="33">
        <f>IFERROR(__xludf.DUMMYFUNCTION("""COMPUTED_VALUE"""),1010.0)</f>
        <v>1010</v>
      </c>
      <c r="H271" s="32">
        <f>IFERROR(__xludf.DUMMYFUNCTION("""COMPUTED_VALUE"""),10.0)</f>
        <v>10</v>
      </c>
      <c r="I271" s="32">
        <f>IFERROR(__xludf.DUMMYFUNCTION("""COMPUTED_VALUE"""),0.0)</f>
        <v>0</v>
      </c>
      <c r="J271" s="32">
        <f>IFERROR(__xludf.DUMMYFUNCTION("""COMPUTED_VALUE"""),0.0)</f>
        <v>0</v>
      </c>
      <c r="K271" s="32">
        <f>IFERROR(__xludf.DUMMYFUNCTION("""COMPUTED_VALUE"""),100.0)</f>
        <v>100</v>
      </c>
      <c r="L271" s="32">
        <f>IFERROR(__xludf.DUMMYFUNCTION("""COMPUTED_VALUE"""),100.0)</f>
        <v>100</v>
      </c>
      <c r="M271" s="32" t="str">
        <f>IFERROR(__xludf.DUMMYFUNCTION("""COMPUTED_VALUE"""),"Dark:Immune, Blood:Immune, Instant Death:Immune, Banishment:Immune, ")</f>
        <v>Dark:Immune, Blood:Immune, Instant Death:Immune, Banishment:Immune, </v>
      </c>
      <c r="N271" s="32" t="str">
        <f>IFERROR(__xludf.DUMMYFUNCTION("""COMPUTED_VALUE"""),"Fire:100, Light:100, ")</f>
        <v>Fire:100, Light:100, </v>
      </c>
      <c r="O271" s="32"/>
      <c r="P271" s="32"/>
      <c r="Q271" s="32"/>
      <c r="R271" s="32"/>
      <c r="S271" s="32"/>
      <c r="T271" s="32"/>
      <c r="U271" s="32"/>
      <c r="V271" s="32"/>
      <c r="W271" s="32" t="str">
        <f>IFERROR(__xludf.DUMMYFUNCTION("""COMPUTED_VALUE"""),"Sword of the Vampire’s Lust")</f>
        <v>Sword of the Vampire’s Lust</v>
      </c>
      <c r="X271" s="32"/>
      <c r="Y271" s="32"/>
      <c r="Z271" s="32"/>
      <c r="AA271" s="32"/>
      <c r="AB271" s="32"/>
      <c r="AC271" s="32"/>
      <c r="AD271" s="32"/>
      <c r="AE271" s="32"/>
      <c r="AF271" s="32"/>
      <c r="AG271" s="32"/>
      <c r="AH271" s="32"/>
      <c r="AI271" s="32"/>
      <c r="AJ271" s="32" t="str">
        <f>IFERROR(__xludf.DUMMYFUNCTION("""COMPUTED_VALUE"""),"Chaincast")</f>
        <v>Chaincast</v>
      </c>
      <c r="AK271" s="32" t="str">
        <f>IFERROR(__xludf.DUMMYFUNCTION("""COMPUTED_VALUE"""),"Arrest")</f>
        <v>Arrest</v>
      </c>
      <c r="AL271" s="32" t="str">
        <f>IFERROR(__xludf.DUMMYFUNCTION("""COMPUTED_VALUE"""),"Damage With A Cost.")</f>
        <v>Damage With A Cost.</v>
      </c>
      <c r="AM271" s="32" t="str">
        <f>IFERROR(__xludf.DUMMYFUNCTION("""COMPUTED_VALUE"""),"Swallow")</f>
        <v>Swallow</v>
      </c>
      <c r="AN271" s="32" t="str">
        <f>IFERROR(__xludf.DUMMYFUNCTION("""COMPUTED_VALUE"""),"Blood Geyser")</f>
        <v>Blood Geyser</v>
      </c>
      <c r="AO271" s="32" t="str">
        <f>IFERROR(__xludf.DUMMYFUNCTION("""COMPUTED_VALUE"""),"Dimensional Quake")</f>
        <v>Dimensional Quake</v>
      </c>
      <c r="AP271" s="32" t="str">
        <f>IFERROR(__xludf.DUMMYFUNCTION("""COMPUTED_VALUE"""),"Chaotic Implosion")</f>
        <v>Chaotic Implosion</v>
      </c>
      <c r="AQ271" s="32" t="str">
        <f>IFERROR(__xludf.DUMMYFUNCTION("""COMPUTED_VALUE"""),"Darkest Abyss")</f>
        <v>Darkest Abyss</v>
      </c>
      <c r="AR271" s="32" t="str">
        <f>IFERROR(__xludf.DUMMYFUNCTION("""COMPUTED_VALUE"""),"Dark Curse")</f>
        <v>Dark Curse</v>
      </c>
      <c r="AS271" s="32" t="str">
        <f>IFERROR(__xludf.DUMMYFUNCTION("""COMPUTED_VALUE"""),"Undead Bite")</f>
        <v>Undead Bite</v>
      </c>
      <c r="AT271" s="32" t="str">
        <f>IFERROR(__xludf.DUMMYFUNCTION("""COMPUTED_VALUE"""),"Mass Destruction")</f>
        <v>Mass Destruction</v>
      </c>
      <c r="AU271" s="32" t="str">
        <f>IFERROR(__xludf.DUMMYFUNCTION("""COMPUTED_VALUE"""),"Celestial Increase II")</f>
        <v>Celestial Increase II</v>
      </c>
      <c r="AV271" s="32"/>
      <c r="AW271" s="32"/>
      <c r="AX271" s="32"/>
      <c r="AY271" s="32"/>
      <c r="AZ271" s="32"/>
      <c r="BA271" s="32"/>
      <c r="BB271" s="32"/>
      <c r="BC271" s="32"/>
      <c r="BD271" s="32">
        <f>IFERROR(__xludf.DUMMYFUNCTION("""COMPUTED_VALUE"""),0.0)</f>
        <v>0</v>
      </c>
      <c r="BE271" s="32">
        <f>IFERROR(__xludf.DUMMYFUNCTION("""COMPUTED_VALUE"""),10.0)</f>
        <v>10</v>
      </c>
      <c r="BF271"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32" t="str">
        <f>IFERROR(__xludf.DUMMYFUNCTION("""COMPUTED_VALUE"""),"Dungeon")</f>
        <v>Dungeon</v>
      </c>
      <c r="BH271" s="32" t="str">
        <f>IFERROR(__xludf.DUMMYFUNCTION("""COMPUTED_VALUE"""),"Land Of Spira")</f>
        <v>Land Of Spira</v>
      </c>
      <c r="BI271" s="32"/>
      <c r="BJ271" s="32"/>
      <c r="BK271" s="32"/>
      <c r="BL271" s="32" t="b">
        <f>IFERROR(__xludf.DUMMYFUNCTION("""COMPUTED_VALUE"""),FALSE)</f>
        <v>0</v>
      </c>
      <c r="BM271" s="32"/>
      <c r="BN271" s="32"/>
      <c r="BO271" s="32"/>
      <c r="BP271" s="32"/>
      <c r="BQ271" s="32"/>
    </row>
    <row r="272">
      <c r="A272" s="32" t="str">
        <f>IFERROR(__xludf.DUMMYFUNCTION("""COMPUTED_VALUE"""),"Vampire Lord")</f>
        <v>Vampire Lord</v>
      </c>
      <c r="B272" s="32">
        <f>IFERROR(__xludf.DUMMYFUNCTION("""COMPUTED_VALUE"""),1.0)</f>
        <v>1</v>
      </c>
      <c r="C272" s="32"/>
      <c r="D272" s="33" t="str">
        <f>IFERROR(__xludf.DUMMYFUNCTION("""COMPUTED_VALUE"""),"Undead")</f>
        <v>Undead</v>
      </c>
      <c r="E272" s="33">
        <f>IFERROR(__xludf.DUMMYFUNCTION("""COMPUTED_VALUE"""),1010.0)</f>
        <v>1010</v>
      </c>
      <c r="F272" s="33">
        <f>IFERROR(__xludf.DUMMYFUNCTION("""COMPUTED_VALUE"""),1010.0)</f>
        <v>1010</v>
      </c>
      <c r="G272" s="33">
        <f>IFERROR(__xludf.DUMMYFUNCTION("""COMPUTED_VALUE"""),1010.0)</f>
        <v>1010</v>
      </c>
      <c r="H272" s="32">
        <f>IFERROR(__xludf.DUMMYFUNCTION("""COMPUTED_VALUE"""),10.0)</f>
        <v>10</v>
      </c>
      <c r="I272" s="32">
        <f>IFERROR(__xludf.DUMMYFUNCTION("""COMPUTED_VALUE"""),0.0)</f>
        <v>0</v>
      </c>
      <c r="J272" s="32">
        <f>IFERROR(__xludf.DUMMYFUNCTION("""COMPUTED_VALUE"""),0.0)</f>
        <v>0</v>
      </c>
      <c r="K272" s="32">
        <f>IFERROR(__xludf.DUMMYFUNCTION("""COMPUTED_VALUE"""),100.0)</f>
        <v>100</v>
      </c>
      <c r="L272" s="32"/>
      <c r="M272" s="32"/>
      <c r="N272" s="32"/>
      <c r="O272" s="32"/>
      <c r="P272" s="32"/>
      <c r="Q272" s="32"/>
      <c r="R272" s="32"/>
      <c r="S272" s="32"/>
      <c r="T272" s="32"/>
      <c r="U272" s="32"/>
      <c r="V272" s="32"/>
      <c r="W272" s="32" t="str">
        <f>IFERROR(__xludf.DUMMYFUNCTION("""COMPUTED_VALUE"""),"Sword of the Vampire’s Lust")</f>
        <v>Sword of the Vampire’s Lust</v>
      </c>
      <c r="X272" s="32"/>
      <c r="Y272" s="32"/>
      <c r="Z272" s="32"/>
      <c r="AA272" s="32"/>
      <c r="AB272" s="32"/>
      <c r="AC272" s="32"/>
      <c r="AD272" s="32"/>
      <c r="AE272" s="32"/>
      <c r="AF272" s="32"/>
      <c r="AG272" s="32"/>
      <c r="AH272" s="32"/>
      <c r="AI272" s="32"/>
      <c r="AJ272" s="32" t="str">
        <f>IFERROR(__xludf.DUMMYFUNCTION("""COMPUTED_VALUE"""),"Arrest")</f>
        <v>Arrest</v>
      </c>
      <c r="AK272" s="32" t="str">
        <f>IFERROR(__xludf.DUMMYFUNCTION("""COMPUTED_VALUE"""),"Damage With A Cost.")</f>
        <v>Damage With A Cost.</v>
      </c>
      <c r="AL272" s="32" t="str">
        <f>IFERROR(__xludf.DUMMYFUNCTION("""COMPUTED_VALUE"""),"Swallow")</f>
        <v>Swallow</v>
      </c>
      <c r="AM272" s="32" t="str">
        <f>IFERROR(__xludf.DUMMYFUNCTION("""COMPUTED_VALUE"""),"Blood Geyser")</f>
        <v>Blood Geyser</v>
      </c>
      <c r="AN272" s="32" t="str">
        <f>IFERROR(__xludf.DUMMYFUNCTION("""COMPUTED_VALUE"""),"Darkest Abyss")</f>
        <v>Darkest Abyss</v>
      </c>
      <c r="AO272" s="32" t="str">
        <f>IFERROR(__xludf.DUMMYFUNCTION("""COMPUTED_VALUE"""),"Dark Curse")</f>
        <v>Dark Curse</v>
      </c>
      <c r="AP272" s="32" t="str">
        <f>IFERROR(__xludf.DUMMYFUNCTION("""COMPUTED_VALUE"""),"Undead Bite")</f>
        <v>Undead Bite</v>
      </c>
      <c r="AQ272" s="32" t="str">
        <f>IFERROR(__xludf.DUMMYFUNCTION("""COMPUTED_VALUE"""),"Celestial Wrath")</f>
        <v>Celestial Wrath</v>
      </c>
      <c r="AR272" s="32"/>
      <c r="AS272" s="32"/>
      <c r="AT272" s="32"/>
      <c r="AU272" s="32"/>
      <c r="AV272" s="32"/>
      <c r="AW272" s="32"/>
      <c r="AX272" s="32"/>
      <c r="AY272" s="32"/>
      <c r="AZ272" s="32"/>
      <c r="BA272" s="32"/>
      <c r="BB272" s="32"/>
      <c r="BC272" s="32"/>
      <c r="BD272" s="32">
        <f>IFERROR(__xludf.DUMMYFUNCTION("""COMPUTED_VALUE"""),0.0)</f>
        <v>0</v>
      </c>
      <c r="BE272" s="32">
        <f>IFERROR(__xludf.DUMMYFUNCTION("""COMPUTED_VALUE"""),10.0)</f>
        <v>10</v>
      </c>
      <c r="BF272" s="3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32" t="str">
        <f>IFERROR(__xludf.DUMMYFUNCTION("""COMPUTED_VALUE"""),"All")</f>
        <v>All</v>
      </c>
      <c r="BH272" s="32" t="str">
        <f>IFERROR(__xludf.DUMMYFUNCTION("""COMPUTED_VALUE"""),"Land of Spira")</f>
        <v>Land of Spira</v>
      </c>
      <c r="BI272" s="32"/>
      <c r="BJ272" s="32"/>
      <c r="BK272" s="32"/>
      <c r="BL272" s="32" t="b">
        <f>IFERROR(__xludf.DUMMYFUNCTION("""COMPUTED_VALUE"""),FALSE)</f>
        <v>0</v>
      </c>
      <c r="BM272" s="32"/>
      <c r="BN272" s="32"/>
      <c r="BO272" s="32"/>
      <c r="BP272" s="32"/>
      <c r="BQ272" s="32"/>
    </row>
    <row r="273">
      <c r="A273" s="32" t="str">
        <f>IFERROR(__xludf.DUMMYFUNCTION("""COMPUTED_VALUE"""),"Vampire Soldier")</f>
        <v>Vampire Soldier</v>
      </c>
      <c r="B273" s="32">
        <f>IFERROR(__xludf.DUMMYFUNCTION("""COMPUTED_VALUE"""),1.0)</f>
        <v>1</v>
      </c>
      <c r="C273" s="32"/>
      <c r="D273" s="33" t="str">
        <f>IFERROR(__xludf.DUMMYFUNCTION("""COMPUTED_VALUE"""),"Undead")</f>
        <v>Undead</v>
      </c>
      <c r="E273" s="33">
        <f>IFERROR(__xludf.DUMMYFUNCTION("""COMPUTED_VALUE"""),1010.0)</f>
        <v>1010</v>
      </c>
      <c r="F273" s="33">
        <f>IFERROR(__xludf.DUMMYFUNCTION("""COMPUTED_VALUE"""),1010.0)</f>
        <v>1010</v>
      </c>
      <c r="G273" s="33">
        <f>IFERROR(__xludf.DUMMYFUNCTION("""COMPUTED_VALUE"""),1010.0)</f>
        <v>1010</v>
      </c>
      <c r="H273" s="32">
        <f>IFERROR(__xludf.DUMMYFUNCTION("""COMPUTED_VALUE"""),10.0)</f>
        <v>10</v>
      </c>
      <c r="I273" s="32">
        <f>IFERROR(__xludf.DUMMYFUNCTION("""COMPUTED_VALUE"""),0.0)</f>
        <v>0</v>
      </c>
      <c r="J273" s="32">
        <f>IFERROR(__xludf.DUMMYFUNCTION("""COMPUTED_VALUE"""),0.0)</f>
        <v>0</v>
      </c>
      <c r="K273" s="32">
        <f>IFERROR(__xludf.DUMMYFUNCTION("""COMPUTED_VALUE"""),100.0)</f>
        <v>100</v>
      </c>
      <c r="L273" s="32">
        <f>IFERROR(__xludf.DUMMYFUNCTION("""COMPUTED_VALUE"""),100.0)</f>
        <v>100</v>
      </c>
      <c r="M273" s="32" t="str">
        <f>IFERROR(__xludf.DUMMYFUNCTION("""COMPUTED_VALUE"""),"Dark:Immune, Chaos:Immune, Blood:Immune, ")</f>
        <v>Dark:Immune, Chaos:Immune, Blood:Immune, </v>
      </c>
      <c r="N273" s="32" t="str">
        <f>IFERROR(__xludf.DUMMYFUNCTION("""COMPUTED_VALUE"""),"Fire:100, Light:100, ")</f>
        <v>Fire:100, Light:100, </v>
      </c>
      <c r="O273" s="32"/>
      <c r="P273" s="32"/>
      <c r="Q273" s="32"/>
      <c r="R273" s="32"/>
      <c r="S273" s="32"/>
      <c r="T273" s="32"/>
      <c r="U273" s="32"/>
      <c r="V273" s="32"/>
      <c r="W273" s="32" t="str">
        <f>IFERROR(__xludf.DUMMYFUNCTION("""COMPUTED_VALUE"""),"Sword of the Vampire’s Lust")</f>
        <v>Sword of the Vampire’s Lust</v>
      </c>
      <c r="X273" s="32"/>
      <c r="Y273" s="32"/>
      <c r="Z273" s="32"/>
      <c r="AA273" s="32"/>
      <c r="AB273" s="32"/>
      <c r="AC273" s="32"/>
      <c r="AD273" s="32"/>
      <c r="AE273" s="32"/>
      <c r="AF273" s="32"/>
      <c r="AG273" s="32"/>
      <c r="AH273" s="32"/>
      <c r="AI273" s="32"/>
      <c r="AJ273" s="32" t="str">
        <f>IFERROR(__xludf.DUMMYFUNCTION("""COMPUTED_VALUE"""),"Undead Bite")</f>
        <v>Undead Bite</v>
      </c>
      <c r="AK273" s="32" t="str">
        <f>IFERROR(__xludf.DUMMYFUNCTION("""COMPUTED_VALUE"""),"Blood Geyser")</f>
        <v>Blood Geyser</v>
      </c>
      <c r="AL273" s="32" t="str">
        <f>IFERROR(__xludf.DUMMYFUNCTION("""COMPUTED_VALUE"""),"Damage With A Cost.")</f>
        <v>Damage With A Cost.</v>
      </c>
      <c r="AM273" s="32" t="str">
        <f>IFERROR(__xludf.DUMMYFUNCTION("""COMPUTED_VALUE"""),"Berserk")</f>
        <v>Berserk</v>
      </c>
      <c r="AN273" s="32" t="str">
        <f>IFERROR(__xludf.DUMMYFUNCTION("""COMPUTED_VALUE"""),"Celestial Wrath")</f>
        <v>Celestial Wrath</v>
      </c>
      <c r="AO273" s="32"/>
      <c r="AP273" s="32"/>
      <c r="AQ273" s="32"/>
      <c r="AR273" s="32"/>
      <c r="AS273" s="32"/>
      <c r="AT273" s="32"/>
      <c r="AU273" s="32"/>
      <c r="AV273" s="32"/>
      <c r="AW273" s="32"/>
      <c r="AX273" s="32"/>
      <c r="AY273" s="32"/>
      <c r="AZ273" s="32"/>
      <c r="BA273" s="32"/>
      <c r="BB273" s="32"/>
      <c r="BC273" s="32"/>
      <c r="BD273" s="32">
        <f>IFERROR(__xludf.DUMMYFUNCTION("""COMPUTED_VALUE"""),0.0)</f>
        <v>0</v>
      </c>
      <c r="BE273" s="32">
        <f>IFERROR(__xludf.DUMMYFUNCTION("""COMPUTED_VALUE"""),10.0)</f>
        <v>10</v>
      </c>
      <c r="BF273" s="32" t="str">
        <f>IFERROR(__xludf.DUMMYFUNCTION("""COMPUTED_VALUE"""),"A Dark Calling: +5 can be added to this mobs rolls.
Undead- Can only be killed by light,fire, or celestial")</f>
        <v>A Dark Calling: +5 can be added to this mobs rolls.
Undead- Can only be killed by light,fire, or celestial</v>
      </c>
      <c r="BG273" s="32" t="str">
        <f>IFERROR(__xludf.DUMMYFUNCTION("""COMPUTED_VALUE"""),"All")</f>
        <v>All</v>
      </c>
      <c r="BH273" s="32" t="str">
        <f>IFERROR(__xludf.DUMMYFUNCTION("""COMPUTED_VALUE"""),"Abstara")</f>
        <v>Abstara</v>
      </c>
      <c r="BI273" s="32"/>
      <c r="BJ273" s="32"/>
      <c r="BK273" s="32"/>
      <c r="BL273" s="32" t="b">
        <f>IFERROR(__xludf.DUMMYFUNCTION("""COMPUTED_VALUE"""),FALSE)</f>
        <v>0</v>
      </c>
      <c r="BM273" s="32"/>
      <c r="BN273" s="32"/>
      <c r="BO273" s="32"/>
      <c r="BP273" s="32"/>
      <c r="BQ273" s="32"/>
    </row>
    <row r="274">
      <c r="A274" s="32" t="str">
        <f>IFERROR(__xludf.DUMMYFUNCTION("""COMPUTED_VALUE"""),"Volcanic Lava Dragon")</f>
        <v>Volcanic Lava Dragon</v>
      </c>
      <c r="B274" s="32">
        <f>IFERROR(__xludf.DUMMYFUNCTION("""COMPUTED_VALUE"""),1.0)</f>
        <v>1</v>
      </c>
      <c r="C274" s="32"/>
      <c r="D274" s="33" t="str">
        <f>IFERROR(__xludf.DUMMYFUNCTION("""COMPUTED_VALUE"""),"Draconic")</f>
        <v>Draconic</v>
      </c>
      <c r="E274" s="33">
        <f>IFERROR(__xludf.DUMMYFUNCTION("""COMPUTED_VALUE"""),1010.0)</f>
        <v>1010</v>
      </c>
      <c r="F274" s="33">
        <f>IFERROR(__xludf.DUMMYFUNCTION("""COMPUTED_VALUE"""),1010.0)</f>
        <v>1010</v>
      </c>
      <c r="G274" s="33">
        <f>IFERROR(__xludf.DUMMYFUNCTION("""COMPUTED_VALUE"""),1010.0)</f>
        <v>1010</v>
      </c>
      <c r="H274" s="32">
        <f>IFERROR(__xludf.DUMMYFUNCTION("""COMPUTED_VALUE"""),10.0)</f>
        <v>10</v>
      </c>
      <c r="I274" s="32">
        <f>IFERROR(__xludf.DUMMYFUNCTION("""COMPUTED_VALUE"""),0.0)</f>
        <v>0</v>
      </c>
      <c r="J274" s="32">
        <f>IFERROR(__xludf.DUMMYFUNCTION("""COMPUTED_VALUE"""),0.0)</f>
        <v>0</v>
      </c>
      <c r="K274" s="32">
        <f>IFERROR(__xludf.DUMMYFUNCTION("""COMPUTED_VALUE"""),100.0)</f>
        <v>100</v>
      </c>
      <c r="L274" s="32">
        <f>IFERROR(__xludf.DUMMYFUNCTION("""COMPUTED_VALUE"""),100.0)</f>
        <v>100</v>
      </c>
      <c r="M274" s="32" t="str">
        <f>IFERROR(__xludf.DUMMYFUNCTION("""COMPUTED_VALUE"""),"Fire:Immune, Instant Death:Immune, Banishment:Immune, ")</f>
        <v>Fire:Immune, Instant Death:Immune, Banishment:Immune, </v>
      </c>
      <c r="N274" s="32" t="str">
        <f>IFERROR(__xludf.DUMMYFUNCTION("""COMPUTED_VALUE"""),"Water:100, ")</f>
        <v>Water:100, </v>
      </c>
      <c r="O274" s="32"/>
      <c r="P274" s="32"/>
      <c r="Q274" s="32"/>
      <c r="R274" s="32"/>
      <c r="S274" s="32"/>
      <c r="T274" s="32"/>
      <c r="U274" s="32"/>
      <c r="V274" s="32"/>
      <c r="W274" s="32"/>
      <c r="X274" s="32"/>
      <c r="Y274" s="32"/>
      <c r="Z274" s="32"/>
      <c r="AA274" s="32"/>
      <c r="AB274" s="32"/>
      <c r="AC274" s="32"/>
      <c r="AD274" s="32"/>
      <c r="AE274" s="32"/>
      <c r="AF274" s="32"/>
      <c r="AG274" s="32"/>
      <c r="AH274" s="32"/>
      <c r="AI274" s="32"/>
      <c r="AJ274" s="32" t="str">
        <f>IFERROR(__xludf.DUMMYFUNCTION("""COMPUTED_VALUE"""),"Volcanic Rain")</f>
        <v>Volcanic Rain</v>
      </c>
      <c r="AK274" s="32" t="str">
        <f>IFERROR(__xludf.DUMMYFUNCTION("""COMPUTED_VALUE"""),"Mass Ignition")</f>
        <v>Mass Ignition</v>
      </c>
      <c r="AL274" s="32" t="str">
        <f>IFERROR(__xludf.DUMMYFUNCTION("""COMPUTED_VALUE"""),"Flame Sanctuary")</f>
        <v>Flame Sanctuary</v>
      </c>
      <c r="AM274" s="32" t="str">
        <f>IFERROR(__xludf.DUMMYFUNCTION("""COMPUTED_VALUE"""),"Claws")</f>
        <v>Claws</v>
      </c>
      <c r="AN274" s="32" t="str">
        <f>IFERROR(__xludf.DUMMYFUNCTION("""COMPUTED_VALUE"""),"Darkness Ablaze")</f>
        <v>Darkness Ablaze</v>
      </c>
      <c r="AO274" s="32" t="str">
        <f>IFERROR(__xludf.DUMMYFUNCTION("""COMPUTED_VALUE"""),"Darkest Abyss")</f>
        <v>Darkest Abyss</v>
      </c>
      <c r="AP274" s="32" t="str">
        <f>IFERROR(__xludf.DUMMYFUNCTION("""COMPUTED_VALUE"""),"Celestial Wrath")</f>
        <v>Celestial Wrath</v>
      </c>
      <c r="AQ274" s="32" t="str">
        <f>IFERROR(__xludf.DUMMYFUNCTION("""COMPUTED_VALUE"""),"Max Focus")</f>
        <v>Max Focus</v>
      </c>
      <c r="AR274" s="32" t="str">
        <f>IFERROR(__xludf.DUMMYFUNCTION("""COMPUTED_VALUE"""),"Dragon's Breath")</f>
        <v>Dragon's Breath</v>
      </c>
      <c r="AS274" s="32" t="str">
        <f>IFERROR(__xludf.DUMMYFUNCTION("""COMPUTED_VALUE"""),"Dive Bomb")</f>
        <v>Dive Bomb</v>
      </c>
      <c r="AT274" s="32"/>
      <c r="AU274" s="32"/>
      <c r="AV274" s="32"/>
      <c r="AW274" s="32"/>
      <c r="AX274" s="32"/>
      <c r="AY274" s="32"/>
      <c r="AZ274" s="32"/>
      <c r="BA274" s="32"/>
      <c r="BB274" s="32"/>
      <c r="BC274" s="32"/>
      <c r="BD274" s="32">
        <f>IFERROR(__xludf.DUMMYFUNCTION("""COMPUTED_VALUE"""),0.0)</f>
        <v>0</v>
      </c>
      <c r="BE274" s="32">
        <f>IFERROR(__xludf.DUMMYFUNCTION("""COMPUTED_VALUE"""),10.0)</f>
        <v>10</v>
      </c>
      <c r="BF274" s="32"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32" t="str">
        <f>IFERROR(__xludf.DUMMYFUNCTION("""COMPUTED_VALUE"""),"All")</f>
        <v>All</v>
      </c>
      <c r="BH274" s="32" t="str">
        <f>IFERROR(__xludf.DUMMYFUNCTION("""COMPUTED_VALUE"""),"Abstara")</f>
        <v>Abstara</v>
      </c>
      <c r="BI274" s="32"/>
      <c r="BJ274" s="32"/>
      <c r="BK274" s="32"/>
      <c r="BL274" s="32" t="b">
        <f>IFERROR(__xludf.DUMMYFUNCTION("""COMPUTED_VALUE"""),FALSE)</f>
        <v>0</v>
      </c>
      <c r="BM274" s="32"/>
      <c r="BN274" s="32"/>
      <c r="BO274" s="32"/>
      <c r="BP274" s="32"/>
      <c r="BQ274" s="32"/>
    </row>
    <row r="275">
      <c r="A275" s="32" t="str">
        <f>IFERROR(__xludf.DUMMYFUNCTION("""COMPUTED_VALUE"""),"Volcanic Serpent")</f>
        <v>Volcanic Serpent</v>
      </c>
      <c r="B275" s="32">
        <f>IFERROR(__xludf.DUMMYFUNCTION("""COMPUTED_VALUE"""),1.0)</f>
        <v>1</v>
      </c>
      <c r="C275" s="32"/>
      <c r="D275" s="33" t="str">
        <f>IFERROR(__xludf.DUMMYFUNCTION("""COMPUTED_VALUE"""),"Beast")</f>
        <v>Beast</v>
      </c>
      <c r="E275" s="33">
        <f>IFERROR(__xludf.DUMMYFUNCTION("""COMPUTED_VALUE"""),1010.0)</f>
        <v>1010</v>
      </c>
      <c r="F275" s="33">
        <f>IFERROR(__xludf.DUMMYFUNCTION("""COMPUTED_VALUE"""),1010.0)</f>
        <v>1010</v>
      </c>
      <c r="G275" s="33">
        <f>IFERROR(__xludf.DUMMYFUNCTION("""COMPUTED_VALUE"""),1010.0)</f>
        <v>1010</v>
      </c>
      <c r="H275" s="32">
        <f>IFERROR(__xludf.DUMMYFUNCTION("""COMPUTED_VALUE"""),10.0)</f>
        <v>10</v>
      </c>
      <c r="I275" s="32">
        <f>IFERROR(__xludf.DUMMYFUNCTION("""COMPUTED_VALUE"""),0.0)</f>
        <v>0</v>
      </c>
      <c r="J275" s="32">
        <f>IFERROR(__xludf.DUMMYFUNCTION("""COMPUTED_VALUE"""),0.0)</f>
        <v>0</v>
      </c>
      <c r="K275" s="32">
        <f>IFERROR(__xludf.DUMMYFUNCTION("""COMPUTED_VALUE"""),100.0)</f>
        <v>100</v>
      </c>
      <c r="L275" s="32">
        <f>IFERROR(__xludf.DUMMYFUNCTION("""COMPUTED_VALUE"""),100.0)</f>
        <v>100</v>
      </c>
      <c r="M275" s="32" t="str">
        <f>IFERROR(__xludf.DUMMYFUNCTION("""COMPUTED_VALUE"""),"Fire:Immune, Instant Death:Immune, Banishment:Immune, ")</f>
        <v>Fire:Immune, Instant Death:Immune, Banishment:Immune, </v>
      </c>
      <c r="N275" s="32" t="str">
        <f>IFERROR(__xludf.DUMMYFUNCTION("""COMPUTED_VALUE"""),"Water:100, ")</f>
        <v>Water:100, </v>
      </c>
      <c r="O275" s="32"/>
      <c r="P275" s="32"/>
      <c r="Q275" s="32"/>
      <c r="R275" s="32"/>
      <c r="S275" s="32"/>
      <c r="T275" s="32"/>
      <c r="U275" s="32"/>
      <c r="V275" s="32"/>
      <c r="W275" s="32"/>
      <c r="X275" s="32"/>
      <c r="Y275" s="32"/>
      <c r="Z275" s="32"/>
      <c r="AA275" s="32"/>
      <c r="AB275" s="32"/>
      <c r="AC275" s="32"/>
      <c r="AD275" s="32"/>
      <c r="AE275" s="32"/>
      <c r="AF275" s="32"/>
      <c r="AG275" s="32"/>
      <c r="AH275" s="32"/>
      <c r="AI275" s="32"/>
      <c r="AJ275" s="32" t="str">
        <f>IFERROR(__xludf.DUMMYFUNCTION("""COMPUTED_VALUE"""),"Volcanic Rain")</f>
        <v>Volcanic Rain</v>
      </c>
      <c r="AK275" s="32" t="str">
        <f>IFERROR(__xludf.DUMMYFUNCTION("""COMPUTED_VALUE"""),"Mass Ignition")</f>
        <v>Mass Ignition</v>
      </c>
      <c r="AL275" s="32" t="str">
        <f>IFERROR(__xludf.DUMMYFUNCTION("""COMPUTED_VALUE"""),"Disruption")</f>
        <v>Disruption</v>
      </c>
      <c r="AM275" s="32" t="str">
        <f>IFERROR(__xludf.DUMMYFUNCTION("""COMPUTED_VALUE"""),"Dimensional Quake")</f>
        <v>Dimensional Quake</v>
      </c>
      <c r="AN275" s="32" t="str">
        <f>IFERROR(__xludf.DUMMYFUNCTION("""COMPUTED_VALUE"""),"Darkest Abyss")</f>
        <v>Darkest Abyss</v>
      </c>
      <c r="AO275" s="32" t="str">
        <f>IFERROR(__xludf.DUMMYFUNCTION("""COMPUTED_VALUE"""),"Conceal")</f>
        <v>Conceal</v>
      </c>
      <c r="AP275" s="32" t="str">
        <f>IFERROR(__xludf.DUMMYFUNCTION("""COMPUTED_VALUE"""),"Chaincast")</f>
        <v>Chaincast</v>
      </c>
      <c r="AQ275" s="32" t="str">
        <f>IFERROR(__xludf.DUMMYFUNCTION("""COMPUTED_VALUE"""),"Mass Destruction")</f>
        <v>Mass Destruction</v>
      </c>
      <c r="AR275" s="32"/>
      <c r="AS275" s="32"/>
      <c r="AT275" s="32"/>
      <c r="AU275" s="32"/>
      <c r="AV275" s="32"/>
      <c r="AW275" s="32"/>
      <c r="AX275" s="32"/>
      <c r="AY275" s="32"/>
      <c r="AZ275" s="32"/>
      <c r="BA275" s="32"/>
      <c r="BB275" s="32"/>
      <c r="BC275" s="32"/>
      <c r="BD275" s="32">
        <f>IFERROR(__xludf.DUMMYFUNCTION("""COMPUTED_VALUE"""),0.0)</f>
        <v>0</v>
      </c>
      <c r="BE275" s="32">
        <f>IFERROR(__xludf.DUMMYFUNCTION("""COMPUTED_VALUE"""),10.0)</f>
        <v>10</v>
      </c>
      <c r="BF275" s="32"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32" t="str">
        <f>IFERROR(__xludf.DUMMYFUNCTION("""COMPUTED_VALUE"""),"All")</f>
        <v>All</v>
      </c>
      <c r="BH275" s="32" t="str">
        <f>IFERROR(__xludf.DUMMYFUNCTION("""COMPUTED_VALUE"""),"Abstara")</f>
        <v>Abstara</v>
      </c>
      <c r="BI275" s="32"/>
      <c r="BJ275" s="32"/>
      <c r="BK275" s="32"/>
      <c r="BL275" s="32" t="b">
        <f>IFERROR(__xludf.DUMMYFUNCTION("""COMPUTED_VALUE"""),FALSE)</f>
        <v>0</v>
      </c>
      <c r="BM275" s="32"/>
      <c r="BN275" s="32"/>
      <c r="BO275" s="32"/>
      <c r="BP275" s="32"/>
      <c r="BQ275" s="32"/>
    </row>
    <row r="276">
      <c r="A276" s="32"/>
      <c r="B276" s="32">
        <f>IFERROR(__xludf.DUMMYFUNCTION("""COMPUTED_VALUE"""),1.0)</f>
        <v>1</v>
      </c>
      <c r="C276" s="32"/>
      <c r="D276" s="32" t="str">
        <f>IFERROR(__xludf.DUMMYFUNCTION("""COMPUTED_VALUE"""),"Draconic")</f>
        <v>Draconic</v>
      </c>
      <c r="E276" s="32">
        <f>IFERROR(__xludf.DUMMYFUNCTION("""COMPUTED_VALUE"""),1010.0)</f>
        <v>1010</v>
      </c>
      <c r="F276" s="33">
        <f>IFERROR(__xludf.DUMMYFUNCTION("""COMPUTED_VALUE"""),1010.0)</f>
        <v>1010</v>
      </c>
      <c r="G276" s="32">
        <f>IFERROR(__xludf.DUMMYFUNCTION("""COMPUTED_VALUE"""),1010.0)</f>
        <v>1010</v>
      </c>
      <c r="H276" s="32">
        <f>IFERROR(__xludf.DUMMYFUNCTION("""COMPUTED_VALUE"""),10.0)</f>
        <v>10</v>
      </c>
      <c r="I276" s="32">
        <f>IFERROR(__xludf.DUMMYFUNCTION("""COMPUTED_VALUE"""),0.0)</f>
        <v>0</v>
      </c>
      <c r="J276" s="32">
        <f>IFERROR(__xludf.DUMMYFUNCTION("""COMPUTED_VALUE"""),0.0)</f>
        <v>0</v>
      </c>
      <c r="K276" s="32">
        <f>IFERROR(__xludf.DUMMYFUNCTION("""COMPUTED_VALUE"""),100.0)</f>
        <v>100</v>
      </c>
      <c r="L276" s="32">
        <f>IFERROR(__xludf.DUMMYFUNCTION("""COMPUTED_VALUE"""),100.0)</f>
        <v>100</v>
      </c>
      <c r="M276" s="32" t="str">
        <f>IFERROR(__xludf.DUMMYFUNCTION("""COMPUTED_VALUE"""),"Fire:100, Nature:Immune, Instant Death:Immune, ")</f>
        <v>Fire:100, Nature:Immune, Instant Death:Immune, </v>
      </c>
      <c r="N276" s="32" t="str">
        <f>IFERROR(__xludf.DUMMYFUNCTION("""COMPUTED_VALUE"""),"Water:100, ")</f>
        <v>Water:100, </v>
      </c>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f>IFERROR(__xludf.DUMMYFUNCTION("""COMPUTED_VALUE"""),0.0)</f>
        <v>0</v>
      </c>
      <c r="BE276" s="32">
        <f>IFERROR(__xludf.DUMMYFUNCTION("""COMPUTED_VALUE"""),10.0)</f>
        <v>10</v>
      </c>
      <c r="BF276" s="32"/>
      <c r="BG276" s="32"/>
      <c r="BH276" s="32"/>
      <c r="BI276" s="32"/>
      <c r="BJ276" s="32"/>
      <c r="BK276" s="32"/>
      <c r="BL276" s="32" t="b">
        <f>IFERROR(__xludf.DUMMYFUNCTION("""COMPUTED_VALUE"""),FALSE)</f>
        <v>0</v>
      </c>
      <c r="BM276" s="32"/>
      <c r="BN276" s="32"/>
      <c r="BO276" s="32"/>
      <c r="BP276" s="32"/>
      <c r="BQ276" s="32"/>
    </row>
    <row r="277">
      <c r="A277" s="32" t="str">
        <f>IFERROR(__xludf.DUMMYFUNCTION("""COMPUTED_VALUE"""),"Voodoo Shameness")</f>
        <v>Voodoo Shameness</v>
      </c>
      <c r="B277" s="32">
        <f>IFERROR(__xludf.DUMMYFUNCTION("""COMPUTED_VALUE"""),1.0)</f>
        <v>1</v>
      </c>
      <c r="C277" s="32"/>
      <c r="D277" s="33" t="str">
        <f>IFERROR(__xludf.DUMMYFUNCTION("""COMPUTED_VALUE"""),"Humanoid")</f>
        <v>Humanoid</v>
      </c>
      <c r="E277" s="33">
        <f>IFERROR(__xludf.DUMMYFUNCTION("""COMPUTED_VALUE"""),1010.0)</f>
        <v>1010</v>
      </c>
      <c r="F277" s="33">
        <f>IFERROR(__xludf.DUMMYFUNCTION("""COMPUTED_VALUE"""),1010.0)</f>
        <v>1010</v>
      </c>
      <c r="G277" s="33">
        <f>IFERROR(__xludf.DUMMYFUNCTION("""COMPUTED_VALUE"""),1010.0)</f>
        <v>1010</v>
      </c>
      <c r="H277" s="32">
        <f>IFERROR(__xludf.DUMMYFUNCTION("""COMPUTED_VALUE"""),10.0)</f>
        <v>10</v>
      </c>
      <c r="I277" s="32">
        <f>IFERROR(__xludf.DUMMYFUNCTION("""COMPUTED_VALUE"""),0.0)</f>
        <v>0</v>
      </c>
      <c r="J277" s="32">
        <f>IFERROR(__xludf.DUMMYFUNCTION("""COMPUTED_VALUE"""),0.0)</f>
        <v>0</v>
      </c>
      <c r="K277" s="32">
        <f>IFERROR(__xludf.DUMMYFUNCTION("""COMPUTED_VALUE"""),100.0)</f>
        <v>100</v>
      </c>
      <c r="L277" s="32">
        <f>IFERROR(__xludf.DUMMYFUNCTION("""COMPUTED_VALUE"""),100.0)</f>
        <v>100</v>
      </c>
      <c r="M277" s="32" t="str">
        <f>IFERROR(__xludf.DUMMYFUNCTION("""COMPUTED_VALUE"""),"Light:100, Order:100, Zen:100, ")</f>
        <v>Light:100, Order:100, Zen:100, </v>
      </c>
      <c r="N277" s="32" t="str">
        <f>IFERROR(__xludf.DUMMYFUNCTION("""COMPUTED_VALUE"""),"Light:100, Order:100, Zen:100, ")</f>
        <v>Light:100, Order:100, Zen:100, </v>
      </c>
      <c r="O277" s="32"/>
      <c r="P277" s="32"/>
      <c r="Q277" s="32"/>
      <c r="R277" s="32"/>
      <c r="S277" s="32"/>
      <c r="T277" s="32"/>
      <c r="U277" s="32"/>
      <c r="V277" s="32"/>
      <c r="W277" s="32"/>
      <c r="X277" s="32"/>
      <c r="Y277" s="32"/>
      <c r="Z277" s="32"/>
      <c r="AA277" s="32"/>
      <c r="AB277" s="32"/>
      <c r="AC277" s="32"/>
      <c r="AD277" s="32"/>
      <c r="AE277" s="32"/>
      <c r="AF277" s="32"/>
      <c r="AG277" s="32"/>
      <c r="AH277" s="32"/>
      <c r="AI277" s="32"/>
      <c r="AJ277" s="32" t="str">
        <f>IFERROR(__xludf.DUMMYFUNCTION("""COMPUTED_VALUE"""),"Hex with bad luck")</f>
        <v>Hex with bad luck</v>
      </c>
      <c r="AK277" s="32" t="str">
        <f>IFERROR(__xludf.DUMMYFUNCTION("""COMPUTED_VALUE"""),"End the voodoo contract")</f>
        <v>End the voodoo contract</v>
      </c>
      <c r="AL277" s="32" t="str">
        <f>IFERROR(__xludf.DUMMYFUNCTION("""COMPUTED_VALUE"""),"Chaos Beam")</f>
        <v>Chaos Beam</v>
      </c>
      <c r="AM277" s="32"/>
      <c r="AN277" s="32"/>
      <c r="AO277" s="32"/>
      <c r="AP277" s="32"/>
      <c r="AQ277" s="32"/>
      <c r="AR277" s="32"/>
      <c r="AS277" s="32"/>
      <c r="AT277" s="32"/>
      <c r="AU277" s="32"/>
      <c r="AV277" s="32"/>
      <c r="AW277" s="32"/>
      <c r="AX277" s="32"/>
      <c r="AY277" s="32"/>
      <c r="AZ277" s="32"/>
      <c r="BA277" s="32"/>
      <c r="BB277" s="32"/>
      <c r="BC277" s="32"/>
      <c r="BD277" s="32">
        <f>IFERROR(__xludf.DUMMYFUNCTION("""COMPUTED_VALUE"""),0.0)</f>
        <v>0</v>
      </c>
      <c r="BE277" s="32">
        <f>IFERROR(__xludf.DUMMYFUNCTION("""COMPUTED_VALUE"""),10.0)</f>
        <v>10</v>
      </c>
      <c r="BF277" s="32"/>
      <c r="BG277" s="32" t="str">
        <f>IFERROR(__xludf.DUMMYFUNCTION("""COMPUTED_VALUE"""),"All")</f>
        <v>All</v>
      </c>
      <c r="BH277" s="32" t="str">
        <f>IFERROR(__xludf.DUMMYFUNCTION("""COMPUTED_VALUE"""),"Land of Spira")</f>
        <v>Land of Spira</v>
      </c>
      <c r="BI277" s="32"/>
      <c r="BJ277" s="32"/>
      <c r="BK277" s="32"/>
      <c r="BL277" s="32" t="b">
        <f>IFERROR(__xludf.DUMMYFUNCTION("""COMPUTED_VALUE"""),FALSE)</f>
        <v>0</v>
      </c>
      <c r="BM277" s="32"/>
      <c r="BN277" s="32"/>
      <c r="BO277" s="32"/>
      <c r="BP277" s="32"/>
      <c r="BQ277" s="32"/>
    </row>
    <row r="278">
      <c r="A278" s="32" t="str">
        <f>IFERROR(__xludf.DUMMYFUNCTION("""COMPUTED_VALUE"""),"Wandering Pumpkin")</f>
        <v>Wandering Pumpkin</v>
      </c>
      <c r="B278" s="32">
        <f>IFERROR(__xludf.DUMMYFUNCTION("""COMPUTED_VALUE"""),1.0)</f>
        <v>1</v>
      </c>
      <c r="C278" s="32"/>
      <c r="D278" s="32" t="str">
        <f>IFERROR(__xludf.DUMMYFUNCTION("""COMPUTED_VALUE"""),"Spirit")</f>
        <v>Spirit</v>
      </c>
      <c r="E278" s="32">
        <f>IFERROR(__xludf.DUMMYFUNCTION("""COMPUTED_VALUE"""),1010.0)</f>
        <v>1010</v>
      </c>
      <c r="F278" s="33">
        <f>IFERROR(__xludf.DUMMYFUNCTION("""COMPUTED_VALUE"""),1010.0)</f>
        <v>1010</v>
      </c>
      <c r="G278" s="32">
        <f>IFERROR(__xludf.DUMMYFUNCTION("""COMPUTED_VALUE"""),1010.0)</f>
        <v>1010</v>
      </c>
      <c r="H278" s="32">
        <f>IFERROR(__xludf.DUMMYFUNCTION("""COMPUTED_VALUE"""),10.0)</f>
        <v>10</v>
      </c>
      <c r="I278" s="32">
        <f>IFERROR(__xludf.DUMMYFUNCTION("""COMPUTED_VALUE"""),0.0)</f>
        <v>0</v>
      </c>
      <c r="J278" s="32">
        <f>IFERROR(__xludf.DUMMYFUNCTION("""COMPUTED_VALUE"""),0.0)</f>
        <v>0</v>
      </c>
      <c r="K278" s="32">
        <f>IFERROR(__xludf.DUMMYFUNCTION("""COMPUTED_VALUE"""),100.0)</f>
        <v>100</v>
      </c>
      <c r="L278" s="32">
        <f>IFERROR(__xludf.DUMMYFUNCTION("""COMPUTED_VALUE"""),100.0)</f>
        <v>100</v>
      </c>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t="str">
        <f>IFERROR(__xludf.DUMMYFUNCTION("""COMPUTED_VALUE"""),"Conceal")</f>
        <v>Conceal</v>
      </c>
      <c r="AK278" s="32" t="str">
        <f>IFERROR(__xludf.DUMMYFUNCTION("""COMPUTED_VALUE"""),"Darkest Abyss")</f>
        <v>Darkest Abyss</v>
      </c>
      <c r="AL278" s="32" t="str">
        <f>IFERROR(__xludf.DUMMYFUNCTION("""COMPUTED_VALUE"""),"Possession")</f>
        <v>Possession</v>
      </c>
      <c r="AM278" s="32" t="str">
        <f>IFERROR(__xludf.DUMMYFUNCTION("""COMPUTED_VALUE"""),"Soul Trap")</f>
        <v>Soul Trap</v>
      </c>
      <c r="AN278" s="32" t="str">
        <f>IFERROR(__xludf.DUMMYFUNCTION("""COMPUTED_VALUE"""),"Meteor Shower")</f>
        <v>Meteor Shower</v>
      </c>
      <c r="AO278" s="32" t="str">
        <f>IFERROR(__xludf.DUMMYFUNCTION("""COMPUTED_VALUE"""),"Flame Thrower")</f>
        <v>Flame Thrower</v>
      </c>
      <c r="AP278" s="32"/>
      <c r="AQ278" s="32"/>
      <c r="AR278" s="32"/>
      <c r="AS278" s="32"/>
      <c r="AT278" s="32"/>
      <c r="AU278" s="32"/>
      <c r="AV278" s="32"/>
      <c r="AW278" s="32"/>
      <c r="AX278" s="32"/>
      <c r="AY278" s="32"/>
      <c r="AZ278" s="32"/>
      <c r="BA278" s="32"/>
      <c r="BB278" s="32"/>
      <c r="BC278" s="32"/>
      <c r="BD278" s="32">
        <f>IFERROR(__xludf.DUMMYFUNCTION("""COMPUTED_VALUE"""),0.0)</f>
        <v>0</v>
      </c>
      <c r="BE278" s="32">
        <f>IFERROR(__xludf.DUMMYFUNCTION("""COMPUTED_VALUE"""),10.0)</f>
        <v>10</v>
      </c>
      <c r="BF278" s="32"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32" t="str">
        <f>IFERROR(__xludf.DUMMYFUNCTION("""COMPUTED_VALUE"""),"All")</f>
        <v>All</v>
      </c>
      <c r="BH278" s="32" t="str">
        <f>IFERROR(__xludf.DUMMYFUNCTION("""COMPUTED_VALUE"""),"Halloween Kingdom")</f>
        <v>Halloween Kingdom</v>
      </c>
      <c r="BI278" s="32"/>
      <c r="BJ278" s="32"/>
      <c r="BK278" s="32"/>
      <c r="BL278" s="32" t="b">
        <f>IFERROR(__xludf.DUMMYFUNCTION("""COMPUTED_VALUE"""),FALSE)</f>
        <v>0</v>
      </c>
      <c r="BM278" s="32"/>
      <c r="BN278" s="32"/>
      <c r="BO278" s="32"/>
      <c r="BP278" s="32"/>
      <c r="BQ278" s="32"/>
    </row>
    <row r="279">
      <c r="A279" s="32" t="str">
        <f>IFERROR(__xludf.DUMMYFUNCTION("""COMPUTED_VALUE"""),"Werewolf")</f>
        <v>Werewolf</v>
      </c>
      <c r="B279" s="32">
        <f>IFERROR(__xludf.DUMMYFUNCTION("""COMPUTED_VALUE"""),1.0)</f>
        <v>1</v>
      </c>
      <c r="C279" s="32"/>
      <c r="D279" s="33" t="str">
        <f>IFERROR(__xludf.DUMMYFUNCTION("""COMPUTED_VALUE"""),"Humanoid")</f>
        <v>Humanoid</v>
      </c>
      <c r="E279" s="33">
        <f>IFERROR(__xludf.DUMMYFUNCTION("""COMPUTED_VALUE"""),1010.0)</f>
        <v>1010</v>
      </c>
      <c r="F279" s="33">
        <f>IFERROR(__xludf.DUMMYFUNCTION("""COMPUTED_VALUE"""),1010.0)</f>
        <v>1010</v>
      </c>
      <c r="G279" s="33">
        <f>IFERROR(__xludf.DUMMYFUNCTION("""COMPUTED_VALUE"""),1010.0)</f>
        <v>1010</v>
      </c>
      <c r="H279" s="32">
        <f>IFERROR(__xludf.DUMMYFUNCTION("""COMPUTED_VALUE"""),10.0)</f>
        <v>10</v>
      </c>
      <c r="I279" s="32">
        <f>IFERROR(__xludf.DUMMYFUNCTION("""COMPUTED_VALUE"""),0.0)</f>
        <v>0</v>
      </c>
      <c r="J279" s="32">
        <f>IFERROR(__xludf.DUMMYFUNCTION("""COMPUTED_VALUE"""),0.0)</f>
        <v>0</v>
      </c>
      <c r="K279" s="32">
        <f>IFERROR(__xludf.DUMMYFUNCTION("""COMPUTED_VALUE"""),100.0)</f>
        <v>100</v>
      </c>
      <c r="L279" s="32">
        <f>IFERROR(__xludf.DUMMYFUNCTION("""COMPUTED_VALUE"""),100.0)</f>
        <v>100</v>
      </c>
      <c r="M279" s="32" t="str">
        <f>IFERROR(__xludf.DUMMYFUNCTION("""COMPUTED_VALUE"""),"Dark:Immune, Blood:Immune, ")</f>
        <v>Dark:Immune, Blood:Immune, </v>
      </c>
      <c r="N279" s="32" t="str">
        <f>IFERROR(__xludf.DUMMYFUNCTION("""COMPUTED_VALUE"""),"Fire:100, Light:100, ")</f>
        <v>Fire:100, Light:100, </v>
      </c>
      <c r="O279" s="32"/>
      <c r="P279" s="32"/>
      <c r="Q279" s="32"/>
      <c r="R279" s="32"/>
      <c r="S279" s="32"/>
      <c r="T279" s="32"/>
      <c r="U279" s="32"/>
      <c r="V279" s="32"/>
      <c r="W279" s="32"/>
      <c r="X279" s="32"/>
      <c r="Y279" s="32"/>
      <c r="Z279" s="32"/>
      <c r="AA279" s="32"/>
      <c r="AB279" s="32"/>
      <c r="AC279" s="32"/>
      <c r="AD279" s="32"/>
      <c r="AE279" s="32"/>
      <c r="AF279" s="32"/>
      <c r="AG279" s="32"/>
      <c r="AH279" s="32"/>
      <c r="AI279" s="32"/>
      <c r="AJ279" s="32" t="str">
        <f>IFERROR(__xludf.DUMMYFUNCTION("""COMPUTED_VALUE"""),"Werewolf Bite")</f>
        <v>Werewolf Bite</v>
      </c>
      <c r="AK279" s="32" t="str">
        <f>IFERROR(__xludf.DUMMYFUNCTION("""COMPUTED_VALUE"""),"Darkest Abyss")</f>
        <v>Darkest Abyss</v>
      </c>
      <c r="AL279" s="32" t="str">
        <f>IFERROR(__xludf.DUMMYFUNCTION("""COMPUTED_VALUE"""),"Dark Curse")</f>
        <v>Dark Curse</v>
      </c>
      <c r="AM279" s="32" t="str">
        <f>IFERROR(__xludf.DUMMYFUNCTION("""COMPUTED_VALUE"""),"Blood Geyser")</f>
        <v>Blood Geyser</v>
      </c>
      <c r="AN279" s="32" t="str">
        <f>IFERROR(__xludf.DUMMYFUNCTION("""COMPUTED_VALUE"""),"Swallow")</f>
        <v>Swallow</v>
      </c>
      <c r="AO279" s="32"/>
      <c r="AP279" s="32"/>
      <c r="AQ279" s="32"/>
      <c r="AR279" s="32"/>
      <c r="AS279" s="32"/>
      <c r="AT279" s="32"/>
      <c r="AU279" s="32"/>
      <c r="AV279" s="32"/>
      <c r="AW279" s="32"/>
      <c r="AX279" s="32"/>
      <c r="AY279" s="32"/>
      <c r="AZ279" s="32"/>
      <c r="BA279" s="32"/>
      <c r="BB279" s="32"/>
      <c r="BC279" s="32"/>
      <c r="BD279" s="32">
        <f>IFERROR(__xludf.DUMMYFUNCTION("""COMPUTED_VALUE"""),0.0)</f>
        <v>0</v>
      </c>
      <c r="BE279" s="32">
        <f>IFERROR(__xludf.DUMMYFUNCTION("""COMPUTED_VALUE"""),10.0)</f>
        <v>10</v>
      </c>
      <c r="BF279" s="32"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32" t="str">
        <f>IFERROR(__xludf.DUMMYFUNCTION("""COMPUTED_VALUE"""),"All")</f>
        <v>All</v>
      </c>
      <c r="BH279" s="32" t="str">
        <f>IFERROR(__xludf.DUMMYFUNCTION("""COMPUTED_VALUE"""),"Land Of Spira")</f>
        <v>Land Of Spira</v>
      </c>
      <c r="BI279" s="32"/>
      <c r="BJ279" s="32"/>
      <c r="BK279" s="32"/>
      <c r="BL279" s="32" t="b">
        <f>IFERROR(__xludf.DUMMYFUNCTION("""COMPUTED_VALUE"""),FALSE)</f>
        <v>0</v>
      </c>
      <c r="BM279" s="32"/>
      <c r="BN279" s="32"/>
      <c r="BO279" s="32"/>
      <c r="BP279" s="32"/>
      <c r="BQ279" s="32"/>
    </row>
    <row r="280">
      <c r="A280" s="32" t="str">
        <f>IFERROR(__xludf.DUMMYFUNCTION("""COMPUTED_VALUE"""),"Werewolf King")</f>
        <v>Werewolf King</v>
      </c>
      <c r="B280" s="32">
        <f>IFERROR(__xludf.DUMMYFUNCTION("""COMPUTED_VALUE"""),1.0)</f>
        <v>1</v>
      </c>
      <c r="C280" s="32"/>
      <c r="D280" s="33" t="str">
        <f>IFERROR(__xludf.DUMMYFUNCTION("""COMPUTED_VALUE"""),"Humanoid")</f>
        <v>Humanoid</v>
      </c>
      <c r="E280" s="33">
        <f>IFERROR(__xludf.DUMMYFUNCTION("""COMPUTED_VALUE"""),1010.0)</f>
        <v>1010</v>
      </c>
      <c r="F280" s="33">
        <f>IFERROR(__xludf.DUMMYFUNCTION("""COMPUTED_VALUE"""),1010.0)</f>
        <v>1010</v>
      </c>
      <c r="G280" s="33">
        <f>IFERROR(__xludf.DUMMYFUNCTION("""COMPUTED_VALUE"""),1010.0)</f>
        <v>1010</v>
      </c>
      <c r="H280" s="32">
        <f>IFERROR(__xludf.DUMMYFUNCTION("""COMPUTED_VALUE"""),20.0)</f>
        <v>20</v>
      </c>
      <c r="I280" s="32">
        <f>IFERROR(__xludf.DUMMYFUNCTION("""COMPUTED_VALUE"""),0.0)</f>
        <v>0</v>
      </c>
      <c r="J280" s="32">
        <f>IFERROR(__xludf.DUMMYFUNCTION("""COMPUTED_VALUE"""),0.0)</f>
        <v>0</v>
      </c>
      <c r="K280" s="32">
        <f>IFERROR(__xludf.DUMMYFUNCTION("""COMPUTED_VALUE"""),100.0)</f>
        <v>100</v>
      </c>
      <c r="L280" s="32">
        <f>IFERROR(__xludf.DUMMYFUNCTION("""COMPUTED_VALUE"""),100.0)</f>
        <v>100</v>
      </c>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t="str">
        <f>IFERROR(__xludf.DUMMYFUNCTION("""COMPUTED_VALUE"""),"Chaincast")</f>
        <v>Chaincast</v>
      </c>
      <c r="AK280" s="32" t="str">
        <f>IFERROR(__xludf.DUMMYFUNCTION("""COMPUTED_VALUE"""),"Arrest")</f>
        <v>Arrest</v>
      </c>
      <c r="AL280" s="32" t="str">
        <f>IFERROR(__xludf.DUMMYFUNCTION("""COMPUTED_VALUE"""),"Werewolf Bite")</f>
        <v>Werewolf Bite</v>
      </c>
      <c r="AM280" s="32" t="str">
        <f>IFERROR(__xludf.DUMMYFUNCTION("""COMPUTED_VALUE"""),"Darkest Abyss")</f>
        <v>Darkest Abyss</v>
      </c>
      <c r="AN280" s="32" t="str">
        <f>IFERROR(__xludf.DUMMYFUNCTION("""COMPUTED_VALUE"""),"Dark Curse")</f>
        <v>Dark Curse</v>
      </c>
      <c r="AO280" s="32" t="str">
        <f>IFERROR(__xludf.DUMMYFUNCTION("""COMPUTED_VALUE"""),"Blood Geyser")</f>
        <v>Blood Geyser</v>
      </c>
      <c r="AP280" s="32" t="str">
        <f>IFERROR(__xludf.DUMMYFUNCTION("""COMPUTED_VALUE"""),"Swallow")</f>
        <v>Swallow</v>
      </c>
      <c r="AQ280" s="32" t="str">
        <f>IFERROR(__xludf.DUMMYFUNCTION("""COMPUTED_VALUE"""),"Mass Destruction")</f>
        <v>Mass Destruction</v>
      </c>
      <c r="AR280" s="32"/>
      <c r="AS280" s="32"/>
      <c r="AT280" s="32"/>
      <c r="AU280" s="32"/>
      <c r="AV280" s="32"/>
      <c r="AW280" s="32"/>
      <c r="AX280" s="32"/>
      <c r="AY280" s="32"/>
      <c r="AZ280" s="32"/>
      <c r="BA280" s="32"/>
      <c r="BB280" s="32"/>
      <c r="BC280" s="32"/>
      <c r="BD280" s="32">
        <f>IFERROR(__xludf.DUMMYFUNCTION("""COMPUTED_VALUE"""),0.0)</f>
        <v>0</v>
      </c>
      <c r="BE280" s="32">
        <f>IFERROR(__xludf.DUMMYFUNCTION("""COMPUTED_VALUE"""),20.0)</f>
        <v>20</v>
      </c>
      <c r="BF280" s="3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32" t="str">
        <f>IFERROR(__xludf.DUMMYFUNCTION("""COMPUTED_VALUE"""),"All")</f>
        <v>All</v>
      </c>
      <c r="BH280" s="32" t="str">
        <f>IFERROR(__xludf.DUMMYFUNCTION("""COMPUTED_VALUE"""),"Halloween Kingdom")</f>
        <v>Halloween Kingdom</v>
      </c>
      <c r="BI280" s="32"/>
      <c r="BJ280" s="32"/>
      <c r="BK280" s="32"/>
      <c r="BL280" s="32" t="b">
        <f>IFERROR(__xludf.DUMMYFUNCTION("""COMPUTED_VALUE"""),FALSE)</f>
        <v>0</v>
      </c>
      <c r="BM280" s="32"/>
      <c r="BN280" s="32"/>
      <c r="BO280" s="32"/>
      <c r="BP280" s="32"/>
      <c r="BQ280" s="32"/>
    </row>
    <row r="281">
      <c r="A281" s="32" t="str">
        <f>IFERROR(__xludf.DUMMYFUNCTION("""COMPUTED_VALUE"""),"White Soul")</f>
        <v>White Soul</v>
      </c>
      <c r="B281" s="32">
        <f>IFERROR(__xludf.DUMMYFUNCTION("""COMPUTED_VALUE"""),1.0)</f>
        <v>1</v>
      </c>
      <c r="C281" s="32"/>
      <c r="D281" s="33" t="str">
        <f>IFERROR(__xludf.DUMMYFUNCTION("""COMPUTED_VALUE"""),"Spirit")</f>
        <v>Spirit</v>
      </c>
      <c r="E281" s="33">
        <f>IFERROR(__xludf.DUMMYFUNCTION("""COMPUTED_VALUE"""),1010.0)</f>
        <v>1010</v>
      </c>
      <c r="F281" s="33">
        <f>IFERROR(__xludf.DUMMYFUNCTION("""COMPUTED_VALUE"""),1010.0)</f>
        <v>1010</v>
      </c>
      <c r="G281" s="33">
        <f>IFERROR(__xludf.DUMMYFUNCTION("""COMPUTED_VALUE"""),1010.0)</f>
        <v>1010</v>
      </c>
      <c r="H281" s="32">
        <f>IFERROR(__xludf.DUMMYFUNCTION("""COMPUTED_VALUE"""),10.0)</f>
        <v>10</v>
      </c>
      <c r="I281" s="32">
        <f>IFERROR(__xludf.DUMMYFUNCTION("""COMPUTED_VALUE"""),0.0)</f>
        <v>0</v>
      </c>
      <c r="J281" s="32">
        <f>IFERROR(__xludf.DUMMYFUNCTION("""COMPUTED_VALUE"""),0.0)</f>
        <v>0</v>
      </c>
      <c r="K281" s="32">
        <f>IFERROR(__xludf.DUMMYFUNCTION("""COMPUTED_VALUE"""),100.0)</f>
        <v>100</v>
      </c>
      <c r="L281" s="32">
        <f>IFERROR(__xludf.DUMMYFUNCTION("""COMPUTED_VALUE"""),100.0)</f>
        <v>100</v>
      </c>
      <c r="M281" s="32" t="str">
        <f>IFERROR(__xludf.DUMMYFUNCTION("""COMPUTED_VALUE"""),"Light:100, Spirit:Immune, ")</f>
        <v>Light:100, Spirit:Immune, </v>
      </c>
      <c r="N281" s="32" t="str">
        <f>IFERROR(__xludf.DUMMYFUNCTION("""COMPUTED_VALUE"""),"")</f>
        <v/>
      </c>
      <c r="O281" s="32"/>
      <c r="P281" s="32"/>
      <c r="Q281" s="32"/>
      <c r="R281" s="32"/>
      <c r="S281" s="32"/>
      <c r="T281" s="32"/>
      <c r="U281" s="32"/>
      <c r="V281" s="32"/>
      <c r="W281" s="32"/>
      <c r="X281" s="32"/>
      <c r="Y281" s="32"/>
      <c r="Z281" s="32"/>
      <c r="AA281" s="32"/>
      <c r="AB281" s="32"/>
      <c r="AC281" s="32"/>
      <c r="AD281" s="32"/>
      <c r="AE281" s="32"/>
      <c r="AF281" s="32"/>
      <c r="AG281" s="32"/>
      <c r="AH281" s="32"/>
      <c r="AI281" s="32"/>
      <c r="AJ281" s="32" t="str">
        <f>IFERROR(__xludf.DUMMYFUNCTION("""COMPUTED_VALUE"""),"A Deal With The Spirit World")</f>
        <v>A Deal With The Spirit World</v>
      </c>
      <c r="AK281" s="32" t="str">
        <f>IFERROR(__xludf.DUMMYFUNCTION("""COMPUTED_VALUE"""),"Final Blast")</f>
        <v>Final Blast</v>
      </c>
      <c r="AL281" s="32" t="str">
        <f>IFERROR(__xludf.DUMMYFUNCTION("""COMPUTED_VALUE"""),"Soul Shot")</f>
        <v>Soul Shot</v>
      </c>
      <c r="AM281" s="32" t="str">
        <f>IFERROR(__xludf.DUMMYFUNCTION("""COMPUTED_VALUE"""),"Final Rest")</f>
        <v>Final Rest</v>
      </c>
      <c r="AN281" s="32" t="str">
        <f>IFERROR(__xludf.DUMMYFUNCTION("""COMPUTED_VALUE"""),"Soul Trap")</f>
        <v>Soul Trap</v>
      </c>
      <c r="AO281" s="32" t="str">
        <f>IFERROR(__xludf.DUMMYFUNCTION("""COMPUTED_VALUE"""),"Possession")</f>
        <v>Possession</v>
      </c>
      <c r="AP281" s="32" t="str">
        <f>IFERROR(__xludf.DUMMYFUNCTION("""COMPUTED_VALUE"""),"Confuse")</f>
        <v>Confuse</v>
      </c>
      <c r="AQ281" s="32"/>
      <c r="AR281" s="32"/>
      <c r="AS281" s="32"/>
      <c r="AT281" s="32"/>
      <c r="AU281" s="32"/>
      <c r="AV281" s="32"/>
      <c r="AW281" s="32"/>
      <c r="AX281" s="32"/>
      <c r="AY281" s="32"/>
      <c r="AZ281" s="32"/>
      <c r="BA281" s="32"/>
      <c r="BB281" s="32"/>
      <c r="BC281" s="32"/>
      <c r="BD281" s="32">
        <f>IFERROR(__xludf.DUMMYFUNCTION("""COMPUTED_VALUE"""),0.0)</f>
        <v>0</v>
      </c>
      <c r="BE281" s="32">
        <f>IFERROR(__xludf.DUMMYFUNCTION("""COMPUTED_VALUE"""),10.0)</f>
        <v>10</v>
      </c>
      <c r="BF281" s="3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32" t="str">
        <f>IFERROR(__xludf.DUMMYFUNCTION("""COMPUTED_VALUE"""),"All")</f>
        <v>All</v>
      </c>
      <c r="BH281" s="32" t="str">
        <f>IFERROR(__xludf.DUMMYFUNCTION("""COMPUTED_VALUE"""),"Abstara")</f>
        <v>Abstara</v>
      </c>
      <c r="BI281" s="32"/>
      <c r="BJ281" s="32"/>
      <c r="BK281" s="32"/>
      <c r="BL281" s="32" t="b">
        <f>IFERROR(__xludf.DUMMYFUNCTION("""COMPUTED_VALUE"""),FALSE)</f>
        <v>0</v>
      </c>
      <c r="BM281" s="32"/>
      <c r="BN281" s="32"/>
      <c r="BO281" s="32"/>
      <c r="BP281" s="32"/>
      <c r="BQ281" s="32"/>
    </row>
    <row r="282">
      <c r="A282" s="32" t="str">
        <f>IFERROR(__xludf.DUMMYFUNCTION("""COMPUTED_VALUE"""),"Witch")</f>
        <v>Witch</v>
      </c>
      <c r="B282" s="32">
        <f>IFERROR(__xludf.DUMMYFUNCTION("""COMPUTED_VALUE"""),1.0)</f>
        <v>1</v>
      </c>
      <c r="C282" s="32"/>
      <c r="D282" s="33" t="str">
        <f>IFERROR(__xludf.DUMMYFUNCTION("""COMPUTED_VALUE"""),"Humanoid")</f>
        <v>Humanoid</v>
      </c>
      <c r="E282" s="33">
        <f>IFERROR(__xludf.DUMMYFUNCTION("""COMPUTED_VALUE"""),1010.0)</f>
        <v>1010</v>
      </c>
      <c r="F282" s="33">
        <f>IFERROR(__xludf.DUMMYFUNCTION("""COMPUTED_VALUE"""),1010.0)</f>
        <v>1010</v>
      </c>
      <c r="G282" s="33">
        <f>IFERROR(__xludf.DUMMYFUNCTION("""COMPUTED_VALUE"""),1010.0)</f>
        <v>1010</v>
      </c>
      <c r="H282" s="32">
        <f>IFERROR(__xludf.DUMMYFUNCTION("""COMPUTED_VALUE"""),10.0)</f>
        <v>10</v>
      </c>
      <c r="I282" s="32">
        <f>IFERROR(__xludf.DUMMYFUNCTION("""COMPUTED_VALUE"""),0.0)</f>
        <v>0</v>
      </c>
      <c r="J282" s="32">
        <f>IFERROR(__xludf.DUMMYFUNCTION("""COMPUTED_VALUE"""),0.0)</f>
        <v>0</v>
      </c>
      <c r="K282" s="32">
        <f>IFERROR(__xludf.DUMMYFUNCTION("""COMPUTED_VALUE"""),100.0)</f>
        <v>100</v>
      </c>
      <c r="L282" s="32">
        <f>IFERROR(__xludf.DUMMYFUNCTION("""COMPUTED_VALUE"""),100.0)</f>
        <v>100</v>
      </c>
      <c r="M282" s="32" t="str">
        <f>IFERROR(__xludf.DUMMYFUNCTION("""COMPUTED_VALUE"""),"Dark:100, Chaos:100, ")</f>
        <v>Dark:100, Chaos:100, </v>
      </c>
      <c r="N282" s="32" t="str">
        <f>IFERROR(__xludf.DUMMYFUNCTION("""COMPUTED_VALUE"""),"Light:100, Order:100, ")</f>
        <v>Light:100, Order:100, </v>
      </c>
      <c r="O282" s="32"/>
      <c r="P282" s="32"/>
      <c r="Q282" s="32"/>
      <c r="R282" s="32"/>
      <c r="S282" s="32"/>
      <c r="T282" s="32"/>
      <c r="U282" s="32"/>
      <c r="V282" s="32"/>
      <c r="W282" s="32"/>
      <c r="X282" s="32"/>
      <c r="Y282" s="32"/>
      <c r="Z282" s="32"/>
      <c r="AA282" s="32"/>
      <c r="AB282" s="32"/>
      <c r="AC282" s="32"/>
      <c r="AD282" s="32"/>
      <c r="AE282" s="32"/>
      <c r="AF282" s="32"/>
      <c r="AG282" s="32"/>
      <c r="AH282" s="32"/>
      <c r="AI282" s="32"/>
      <c r="AJ282" s="32" t="str">
        <f>IFERROR(__xludf.DUMMYFUNCTION("""COMPUTED_VALUE"""),"Nature ward")</f>
        <v>Nature ward</v>
      </c>
      <c r="AK282" s="32" t="str">
        <f>IFERROR(__xludf.DUMMYFUNCTION("""COMPUTED_VALUE"""),"Vine Hold")</f>
        <v>Vine Hold</v>
      </c>
      <c r="AL282" s="32" t="str">
        <f>IFERROR(__xludf.DUMMYFUNCTION("""COMPUTED_VALUE"""),"Hex with bad luck")</f>
        <v>Hex with bad luck</v>
      </c>
      <c r="AM282" s="32" t="str">
        <f>IFERROR(__xludf.DUMMYFUNCTION("""COMPUTED_VALUE"""),"Shadow")</f>
        <v>Shadow</v>
      </c>
      <c r="AN282" s="32" t="str">
        <f>IFERROR(__xludf.DUMMYFUNCTION("""COMPUTED_VALUE"""),"Chaos Beam")</f>
        <v>Chaos Beam</v>
      </c>
      <c r="AO282" s="32"/>
      <c r="AP282" s="32"/>
      <c r="AQ282" s="32"/>
      <c r="AR282" s="32"/>
      <c r="AS282" s="32"/>
      <c r="AT282" s="32"/>
      <c r="AU282" s="32"/>
      <c r="AV282" s="32"/>
      <c r="AW282" s="32"/>
      <c r="AX282" s="32"/>
      <c r="AY282" s="32"/>
      <c r="AZ282" s="32"/>
      <c r="BA282" s="32"/>
      <c r="BB282" s="32"/>
      <c r="BC282" s="32"/>
      <c r="BD282" s="32">
        <f>IFERROR(__xludf.DUMMYFUNCTION("""COMPUTED_VALUE"""),0.0)</f>
        <v>0</v>
      </c>
      <c r="BE282" s="32">
        <f>IFERROR(__xludf.DUMMYFUNCTION("""COMPUTED_VALUE"""),10.0)</f>
        <v>10</v>
      </c>
      <c r="BF282" s="32" t="str">
        <f>IFERROR(__xludf.DUMMYFUNCTION("""COMPUTED_VALUE"""),"25% chance to inflict the target that killed this mob with a random non-permanent disease.")</f>
        <v>25% chance to inflict the target that killed this mob with a random non-permanent disease.</v>
      </c>
      <c r="BG282" s="32" t="str">
        <f>IFERROR(__xludf.DUMMYFUNCTION("""COMPUTED_VALUE"""),"All")</f>
        <v>All</v>
      </c>
      <c r="BH282" s="32" t="str">
        <f>IFERROR(__xludf.DUMMYFUNCTION("""COMPUTED_VALUE"""),"Land of Spira")</f>
        <v>Land of Spira</v>
      </c>
      <c r="BI282" s="32"/>
      <c r="BJ282" s="32"/>
      <c r="BK282" s="32"/>
      <c r="BL282" s="32" t="b">
        <f>IFERROR(__xludf.DUMMYFUNCTION("""COMPUTED_VALUE"""),FALSE)</f>
        <v>0</v>
      </c>
      <c r="BM282" s="32"/>
      <c r="BN282" s="32"/>
      <c r="BO282" s="32"/>
      <c r="BP282" s="32"/>
      <c r="BQ282" s="32"/>
    </row>
    <row r="283">
      <c r="A283" s="32" t="str">
        <f>IFERROR(__xludf.DUMMYFUNCTION("""COMPUTED_VALUE"""),"Yellow Soul")</f>
        <v>Yellow Soul</v>
      </c>
      <c r="B283" s="32">
        <f>IFERROR(__xludf.DUMMYFUNCTION("""COMPUTED_VALUE"""),1.0)</f>
        <v>1</v>
      </c>
      <c r="C283" s="32"/>
      <c r="D283" s="33" t="str">
        <f>IFERROR(__xludf.DUMMYFUNCTION("""COMPUTED_VALUE"""),"Spirit")</f>
        <v>Spirit</v>
      </c>
      <c r="E283" s="33">
        <f>IFERROR(__xludf.DUMMYFUNCTION("""COMPUTED_VALUE"""),1010.0)</f>
        <v>1010</v>
      </c>
      <c r="F283" s="33">
        <f>IFERROR(__xludf.DUMMYFUNCTION("""COMPUTED_VALUE"""),1010.0)</f>
        <v>1010</v>
      </c>
      <c r="G283" s="33">
        <f>IFERROR(__xludf.DUMMYFUNCTION("""COMPUTED_VALUE"""),1010.0)</f>
        <v>1010</v>
      </c>
      <c r="H283" s="32">
        <f>IFERROR(__xludf.DUMMYFUNCTION("""COMPUTED_VALUE"""),10.0)</f>
        <v>10</v>
      </c>
      <c r="I283" s="32">
        <f>IFERROR(__xludf.DUMMYFUNCTION("""COMPUTED_VALUE"""),0.0)</f>
        <v>0</v>
      </c>
      <c r="J283" s="32">
        <f>IFERROR(__xludf.DUMMYFUNCTION("""COMPUTED_VALUE"""),0.0)</f>
        <v>0</v>
      </c>
      <c r="K283" s="32">
        <f>IFERROR(__xludf.DUMMYFUNCTION("""COMPUTED_VALUE"""),100.0)</f>
        <v>100</v>
      </c>
      <c r="L283" s="32">
        <f>IFERROR(__xludf.DUMMYFUNCTION("""COMPUTED_VALUE"""),100.0)</f>
        <v>100</v>
      </c>
      <c r="M283" s="32" t="str">
        <f>IFERROR(__xludf.DUMMYFUNCTION("""COMPUTED_VALUE"""),"Light:Immune, Spirit:Immune, Order:Immune, ")</f>
        <v>Light:Immune, Spirit:Immune, Order:Immune, </v>
      </c>
      <c r="N283" s="32" t="str">
        <f>IFERROR(__xludf.DUMMYFUNCTION("""COMPUTED_VALUE"""),"")</f>
        <v/>
      </c>
      <c r="O283" s="32"/>
      <c r="P283" s="32"/>
      <c r="Q283" s="32"/>
      <c r="R283" s="32"/>
      <c r="S283" s="32"/>
      <c r="T283" s="32"/>
      <c r="U283" s="32"/>
      <c r="V283" s="32"/>
      <c r="W283" s="32"/>
      <c r="X283" s="32"/>
      <c r="Y283" s="32"/>
      <c r="Z283" s="32"/>
      <c r="AA283" s="32"/>
      <c r="AB283" s="32"/>
      <c r="AC283" s="32"/>
      <c r="AD283" s="32"/>
      <c r="AE283" s="32"/>
      <c r="AF283" s="32"/>
      <c r="AG283" s="32"/>
      <c r="AH283" s="32"/>
      <c r="AI283" s="32"/>
      <c r="AJ283" s="32" t="str">
        <f>IFERROR(__xludf.DUMMYFUNCTION("""COMPUTED_VALUE"""),"A Deal With The Spirit World")</f>
        <v>A Deal With The Spirit World</v>
      </c>
      <c r="AK283" s="32" t="str">
        <f>IFERROR(__xludf.DUMMYFUNCTION("""COMPUTED_VALUE"""),"Final Blast")</f>
        <v>Final Blast</v>
      </c>
      <c r="AL283" s="32" t="str">
        <f>IFERROR(__xludf.DUMMYFUNCTION("""COMPUTED_VALUE"""),"Soul Shot")</f>
        <v>Soul Shot</v>
      </c>
      <c r="AM283" s="32" t="str">
        <f>IFERROR(__xludf.DUMMYFUNCTION("""COMPUTED_VALUE"""),"Final Rest")</f>
        <v>Final Rest</v>
      </c>
      <c r="AN283" s="32" t="str">
        <f>IFERROR(__xludf.DUMMYFUNCTION("""COMPUTED_VALUE"""),"Soul Trap")</f>
        <v>Soul Trap</v>
      </c>
      <c r="AO283" s="32" t="str">
        <f>IFERROR(__xludf.DUMMYFUNCTION("""COMPUTED_VALUE"""),"Possession")</f>
        <v>Possession</v>
      </c>
      <c r="AP283" s="32" t="str">
        <f>IFERROR(__xludf.DUMMYFUNCTION("""COMPUTED_VALUE"""),"Confuse")</f>
        <v>Confuse</v>
      </c>
      <c r="AQ283" s="32"/>
      <c r="AR283" s="32"/>
      <c r="AS283" s="32"/>
      <c r="AT283" s="32"/>
      <c r="AU283" s="32"/>
      <c r="AV283" s="32"/>
      <c r="AW283" s="32"/>
      <c r="AX283" s="32"/>
      <c r="AY283" s="32"/>
      <c r="AZ283" s="32"/>
      <c r="BA283" s="32"/>
      <c r="BB283" s="32"/>
      <c r="BC283" s="32"/>
      <c r="BD283" s="32">
        <f>IFERROR(__xludf.DUMMYFUNCTION("""COMPUTED_VALUE"""),0.0)</f>
        <v>0</v>
      </c>
      <c r="BE283" s="32">
        <f>IFERROR(__xludf.DUMMYFUNCTION("""COMPUTED_VALUE"""),10.0)</f>
        <v>10</v>
      </c>
      <c r="BF283" s="3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32" t="str">
        <f>IFERROR(__xludf.DUMMYFUNCTION("""COMPUTED_VALUE"""),"All")</f>
        <v>All</v>
      </c>
      <c r="BH283" s="32" t="str">
        <f>IFERROR(__xludf.DUMMYFUNCTION("""COMPUTED_VALUE"""),"Abstara")</f>
        <v>Abstara</v>
      </c>
      <c r="BI283" s="32"/>
      <c r="BJ283" s="32"/>
      <c r="BK283" s="32"/>
      <c r="BL283" s="32" t="b">
        <f>IFERROR(__xludf.DUMMYFUNCTION("""COMPUTED_VALUE"""),FALSE)</f>
        <v>0</v>
      </c>
      <c r="BM283" s="32"/>
      <c r="BN283" s="32"/>
      <c r="BO283" s="32"/>
      <c r="BP283" s="32"/>
      <c r="BQ283" s="32"/>
    </row>
    <row r="284">
      <c r="A284" s="32" t="str">
        <f>IFERROR(__xludf.DUMMYFUNCTION("""COMPUTED_VALUE"""),"Zombie")</f>
        <v>Zombie</v>
      </c>
      <c r="B284" s="32">
        <f>IFERROR(__xludf.DUMMYFUNCTION("""COMPUTED_VALUE"""),1.0)</f>
        <v>1</v>
      </c>
      <c r="C284" s="32"/>
      <c r="D284" s="33" t="str">
        <f>IFERROR(__xludf.DUMMYFUNCTION("""COMPUTED_VALUE"""),"Undead")</f>
        <v>Undead</v>
      </c>
      <c r="E284" s="33">
        <f>IFERROR(__xludf.DUMMYFUNCTION("""COMPUTED_VALUE"""),1010.0)</f>
        <v>1010</v>
      </c>
      <c r="F284" s="33">
        <f>IFERROR(__xludf.DUMMYFUNCTION("""COMPUTED_VALUE"""),1010.0)</f>
        <v>1010</v>
      </c>
      <c r="G284" s="33">
        <f>IFERROR(__xludf.DUMMYFUNCTION("""COMPUTED_VALUE"""),1010.0)</f>
        <v>1010</v>
      </c>
      <c r="H284" s="32">
        <f>IFERROR(__xludf.DUMMYFUNCTION("""COMPUTED_VALUE"""),10.0)</f>
        <v>10</v>
      </c>
      <c r="I284" s="32">
        <f>IFERROR(__xludf.DUMMYFUNCTION("""COMPUTED_VALUE"""),0.0)</f>
        <v>0</v>
      </c>
      <c r="J284" s="32">
        <f>IFERROR(__xludf.DUMMYFUNCTION("""COMPUTED_VALUE"""),0.0)</f>
        <v>0</v>
      </c>
      <c r="K284" s="32">
        <f>IFERROR(__xludf.DUMMYFUNCTION("""COMPUTED_VALUE"""),100.0)</f>
        <v>100</v>
      </c>
      <c r="L284" s="32">
        <f>IFERROR(__xludf.DUMMYFUNCTION("""COMPUTED_VALUE"""),100.0)</f>
        <v>100</v>
      </c>
      <c r="M284" s="32" t="str">
        <f>IFERROR(__xludf.DUMMYFUNCTION("""COMPUTED_VALUE"""),"Dark:100, ")</f>
        <v>Dark:100, </v>
      </c>
      <c r="N284" s="32" t="str">
        <f>IFERROR(__xludf.DUMMYFUNCTION("""COMPUTED_VALUE"""),"Light:100, ")</f>
        <v>Light:100, </v>
      </c>
      <c r="O284" s="32"/>
      <c r="P284" s="32"/>
      <c r="Q284" s="32"/>
      <c r="R284" s="32"/>
      <c r="S284" s="32"/>
      <c r="T284" s="32"/>
      <c r="U284" s="32"/>
      <c r="V284" s="32" t="str">
        <f>IFERROR(__xludf.DUMMYFUNCTION("""COMPUTED_VALUE"""),"Diseased Rapier")</f>
        <v>Diseased Rapier</v>
      </c>
      <c r="W284" s="32" t="str">
        <f>IFERROR(__xludf.DUMMYFUNCTION("""COMPUTED_VALUE"""),"Rusted Halberd")</f>
        <v>Rusted Halberd</v>
      </c>
      <c r="X284" s="32"/>
      <c r="Y284" s="32"/>
      <c r="Z284" s="32"/>
      <c r="AA284" s="32"/>
      <c r="AB284" s="32"/>
      <c r="AC284" s="32"/>
      <c r="AD284" s="32"/>
      <c r="AE284" s="32"/>
      <c r="AF284" s="32"/>
      <c r="AG284" s="32"/>
      <c r="AH284" s="32"/>
      <c r="AI284" s="32"/>
      <c r="AJ284" s="32" t="str">
        <f>IFERROR(__xludf.DUMMYFUNCTION("""COMPUTED_VALUE"""),"Dark Curse")</f>
        <v>Dark Curse</v>
      </c>
      <c r="AK284" s="32" t="str">
        <f>IFERROR(__xludf.DUMMYFUNCTION("""COMPUTED_VALUE"""),"Dark Bolt")</f>
        <v>Dark Bolt</v>
      </c>
      <c r="AL284" s="32" t="str">
        <f>IFERROR(__xludf.DUMMYFUNCTION("""COMPUTED_VALUE"""),"Undead Bite")</f>
        <v>Undead Bite</v>
      </c>
      <c r="AM284" s="32" t="str">
        <f>IFERROR(__xludf.DUMMYFUNCTION("""COMPUTED_VALUE"""),"Berserk")</f>
        <v>Berserk</v>
      </c>
      <c r="AN284" s="32"/>
      <c r="AO284" s="32"/>
      <c r="AP284" s="32"/>
      <c r="AQ284" s="32"/>
      <c r="AR284" s="32"/>
      <c r="AS284" s="32"/>
      <c r="AT284" s="32"/>
      <c r="AU284" s="32"/>
      <c r="AV284" s="32"/>
      <c r="AW284" s="32"/>
      <c r="AX284" s="32"/>
      <c r="AY284" s="32"/>
      <c r="AZ284" s="32"/>
      <c r="BA284" s="32"/>
      <c r="BB284" s="32"/>
      <c r="BC284" s="32"/>
      <c r="BD284" s="32">
        <f>IFERROR(__xludf.DUMMYFUNCTION("""COMPUTED_VALUE"""),0.0)</f>
        <v>0</v>
      </c>
      <c r="BE284" s="32">
        <f>IFERROR(__xludf.DUMMYFUNCTION("""COMPUTED_VALUE"""),10.0)</f>
        <v>10</v>
      </c>
      <c r="BF284" s="32"/>
      <c r="BG284" s="32" t="str">
        <f>IFERROR(__xludf.DUMMYFUNCTION("""COMPUTED_VALUE"""),"All")</f>
        <v>All</v>
      </c>
      <c r="BH284" s="32" t="str">
        <f>IFERROR(__xludf.DUMMYFUNCTION("""COMPUTED_VALUE"""),"Land of Spira")</f>
        <v>Land of Spira</v>
      </c>
      <c r="BI284" s="32"/>
      <c r="BJ284" s="32"/>
      <c r="BK284" s="32"/>
      <c r="BL284" s="32" t="b">
        <f>IFERROR(__xludf.DUMMYFUNCTION("""COMPUTED_VALUE"""),FALSE)</f>
        <v>0</v>
      </c>
      <c r="BM284" s="32"/>
      <c r="BN284" s="32"/>
      <c r="BO284" s="32"/>
      <c r="BP284" s="32"/>
      <c r="BQ284" s="32"/>
    </row>
    <row r="285">
      <c r="A285" s="32" t="str">
        <f>IFERROR(__xludf.DUMMYFUNCTION("""COMPUTED_VALUE"""),"Zombie Whale Shark")</f>
        <v>Zombie Whale Shark</v>
      </c>
      <c r="B285" s="32">
        <f>IFERROR(__xludf.DUMMYFUNCTION("""COMPUTED_VALUE"""),1.0)</f>
        <v>1</v>
      </c>
      <c r="C285" s="32"/>
      <c r="D285" s="33" t="str">
        <f>IFERROR(__xludf.DUMMYFUNCTION("""COMPUTED_VALUE"""),"Undead")</f>
        <v>Undead</v>
      </c>
      <c r="E285" s="33">
        <f>IFERROR(__xludf.DUMMYFUNCTION("""COMPUTED_VALUE"""),1010.0)</f>
        <v>1010</v>
      </c>
      <c r="F285" s="33">
        <f>IFERROR(__xludf.DUMMYFUNCTION("""COMPUTED_VALUE"""),1010.0)</f>
        <v>1010</v>
      </c>
      <c r="G285" s="33">
        <f>IFERROR(__xludf.DUMMYFUNCTION("""COMPUTED_VALUE"""),1010.0)</f>
        <v>1010</v>
      </c>
      <c r="H285" s="32">
        <f>IFERROR(__xludf.DUMMYFUNCTION("""COMPUTED_VALUE"""),10.0)</f>
        <v>10</v>
      </c>
      <c r="I285" s="32">
        <f>IFERROR(__xludf.DUMMYFUNCTION("""COMPUTED_VALUE"""),0.0)</f>
        <v>0</v>
      </c>
      <c r="J285" s="32">
        <f>IFERROR(__xludf.DUMMYFUNCTION("""COMPUTED_VALUE"""),0.0)</f>
        <v>0</v>
      </c>
      <c r="K285" s="32">
        <f>IFERROR(__xludf.DUMMYFUNCTION("""COMPUTED_VALUE"""),100.0)</f>
        <v>100</v>
      </c>
      <c r="L285" s="32">
        <f>IFERROR(__xludf.DUMMYFUNCTION("""COMPUTED_VALUE"""),100.0)</f>
        <v>100</v>
      </c>
      <c r="M285" s="32" t="str">
        <f>IFERROR(__xludf.DUMMYFUNCTION("""COMPUTED_VALUE"""),"Fire:Immune, Water:Immune, Dark:Immune, ")</f>
        <v>Fire:Immune, Water:Immune, Dark:Immune, </v>
      </c>
      <c r="N285" s="32" t="str">
        <f>IFERROR(__xludf.DUMMYFUNCTION("""COMPUTED_VALUE"""),"Light:100, ")</f>
        <v>Light:100, </v>
      </c>
      <c r="O285" s="32"/>
      <c r="P285" s="32"/>
      <c r="Q285" s="32"/>
      <c r="R285" s="32"/>
      <c r="S285" s="32"/>
      <c r="T285" s="32"/>
      <c r="U285" s="32"/>
      <c r="V285" s="32"/>
      <c r="W285" s="32"/>
      <c r="X285" s="32"/>
      <c r="Y285" s="32"/>
      <c r="Z285" s="32"/>
      <c r="AA285" s="32"/>
      <c r="AB285" s="32"/>
      <c r="AC285" s="32"/>
      <c r="AD285" s="32"/>
      <c r="AE285" s="32"/>
      <c r="AF285" s="32"/>
      <c r="AG285" s="32"/>
      <c r="AH285" s="32"/>
      <c r="AI285" s="32"/>
      <c r="AJ285" s="32" t="str">
        <f>IFERROR(__xludf.DUMMYFUNCTION("""COMPUTED_VALUE"""),"Crashing Waves")</f>
        <v>Crashing Waves</v>
      </c>
      <c r="AK285" s="32" t="str">
        <f>IFERROR(__xludf.DUMMYFUNCTION("""COMPUTED_VALUE"""),"Undead Bite")</f>
        <v>Undead Bite</v>
      </c>
      <c r="AL285" s="32" t="str">
        <f>IFERROR(__xludf.DUMMYFUNCTION("""COMPUTED_VALUE"""),"Quench")</f>
        <v>Quench</v>
      </c>
      <c r="AM285" s="32" t="str">
        <f>IFERROR(__xludf.DUMMYFUNCTION("""COMPUTED_VALUE"""),"Torrential Downpour")</f>
        <v>Torrential Downpour</v>
      </c>
      <c r="AN285" s="32" t="str">
        <f>IFERROR(__xludf.DUMMYFUNCTION("""COMPUTED_VALUE"""),"Geyser")</f>
        <v>Geyser</v>
      </c>
      <c r="AO285" s="32"/>
      <c r="AP285" s="32"/>
      <c r="AQ285" s="32"/>
      <c r="AR285" s="32"/>
      <c r="AS285" s="32"/>
      <c r="AT285" s="32"/>
      <c r="AU285" s="32"/>
      <c r="AV285" s="32"/>
      <c r="AW285" s="32"/>
      <c r="AX285" s="32"/>
      <c r="AY285" s="32"/>
      <c r="AZ285" s="32"/>
      <c r="BA285" s="32"/>
      <c r="BB285" s="32"/>
      <c r="BC285" s="32"/>
      <c r="BD285" s="32">
        <f>IFERROR(__xludf.DUMMYFUNCTION("""COMPUTED_VALUE"""),0.0)</f>
        <v>0</v>
      </c>
      <c r="BE285" s="32">
        <f>IFERROR(__xludf.DUMMYFUNCTION("""COMPUTED_VALUE"""),10.0)</f>
        <v>10</v>
      </c>
      <c r="BF285" s="32"/>
      <c r="BG285" s="32" t="str">
        <f>IFERROR(__xludf.DUMMYFUNCTION("""COMPUTED_VALUE"""),"Ocean")</f>
        <v>Ocean</v>
      </c>
      <c r="BH285" s="32" t="str">
        <f>IFERROR(__xludf.DUMMYFUNCTION("""COMPUTED_VALUE"""),"Land of Spira")</f>
        <v>Land of Spira</v>
      </c>
      <c r="BI285" s="32"/>
      <c r="BJ285" s="32"/>
      <c r="BK285" s="32"/>
      <c r="BL285" s="32" t="b">
        <f>IFERROR(__xludf.DUMMYFUNCTION("""COMPUTED_VALUE"""),FALSE)</f>
        <v>0</v>
      </c>
      <c r="BM285" s="32"/>
      <c r="BN285" s="32"/>
      <c r="BO285" s="32"/>
      <c r="BP285" s="32"/>
      <c r="BQ285" s="32"/>
    </row>
    <row r="286">
      <c r="A286" s="32" t="str">
        <f>IFERROR(__xludf.DUMMYFUNCTION("""COMPUTED_VALUE"""),"Pirate")</f>
        <v>Pirate</v>
      </c>
      <c r="B286" s="32">
        <f>IFERROR(__xludf.DUMMYFUNCTION("""COMPUTED_VALUE"""),1.0)</f>
        <v>1</v>
      </c>
      <c r="C286" s="32"/>
      <c r="D286" s="32" t="str">
        <f>IFERROR(__xludf.DUMMYFUNCTION("""COMPUTED_VALUE"""),"Humanoid")</f>
        <v>Humanoid</v>
      </c>
      <c r="E286" s="32">
        <f>IFERROR(__xludf.DUMMYFUNCTION("""COMPUTED_VALUE"""),1010.0)</f>
        <v>1010</v>
      </c>
      <c r="F286" s="33">
        <f>IFERROR(__xludf.DUMMYFUNCTION("""COMPUTED_VALUE"""),1010.0)</f>
        <v>1010</v>
      </c>
      <c r="G286" s="33">
        <f>IFERROR(__xludf.DUMMYFUNCTION("""COMPUTED_VALUE"""),71010.0)</f>
        <v>71010</v>
      </c>
      <c r="H286" s="32">
        <f>IFERROR(__xludf.DUMMYFUNCTION("""COMPUTED_VALUE"""),10.0)</f>
        <v>10</v>
      </c>
      <c r="I286" s="32">
        <f>IFERROR(__xludf.DUMMYFUNCTION("""COMPUTED_VALUE"""),0.0)</f>
        <v>0</v>
      </c>
      <c r="J286" s="32">
        <f>IFERROR(__xludf.DUMMYFUNCTION("""COMPUTED_VALUE"""),0.0)</f>
        <v>0</v>
      </c>
      <c r="K286" s="32">
        <f>IFERROR(__xludf.DUMMYFUNCTION("""COMPUTED_VALUE"""),100.0)</f>
        <v>100</v>
      </c>
      <c r="L286" s="32">
        <f>IFERROR(__xludf.DUMMYFUNCTION("""COMPUTED_VALUE"""),100.0)</f>
        <v>100</v>
      </c>
      <c r="M286" s="32" t="str">
        <f>IFERROR(__xludf.DUMMYFUNCTION("""COMPUTED_VALUE"""),"Physical:Immune, ")</f>
        <v>Physical:Immune, </v>
      </c>
      <c r="N286" s="32" t="str">
        <f>IFERROR(__xludf.DUMMYFUNCTION("""COMPUTED_VALUE"""),"")</f>
        <v/>
      </c>
      <c r="O286" s="32" t="str">
        <f>IFERROR(__xludf.DUMMYFUNCTION("""COMPUTED_VALUE"""),"Feathered Hat of Roguish ""Justice""")</f>
        <v>Feathered Hat of Roguish "Justice"</v>
      </c>
      <c r="P286" s="32" t="str">
        <f>IFERROR(__xludf.DUMMYFUNCTION("""COMPUTED_VALUE"""),"Amulet of the Goddess of Theft")</f>
        <v>Amulet of the Goddess of Theft</v>
      </c>
      <c r="Q286" s="32"/>
      <c r="R286" s="32"/>
      <c r="S286" s="32" t="str">
        <f>IFERROR(__xludf.DUMMYFUNCTION("""COMPUTED_VALUE"""),"Cape of Misdeed")</f>
        <v>Cape of Misdeed</v>
      </c>
      <c r="T286" s="32" t="str">
        <f>IFERROR(__xludf.DUMMYFUNCTION("""COMPUTED_VALUE"""),"Doublet of Debauchery")</f>
        <v>Doublet of Debauchery</v>
      </c>
      <c r="U286" s="32" t="str">
        <f>IFERROR(__xludf.DUMMYFUNCTION("""COMPUTED_VALUE"""),"Bracers of Dastardly Deflection")</f>
        <v>Bracers of Dastardly Deflection</v>
      </c>
      <c r="V286" s="32" t="str">
        <f>IFERROR(__xludf.DUMMYFUNCTION("""COMPUTED_VALUE"""),"Fingerless Glove of Anonymity")</f>
        <v>Fingerless Glove of Anonymity</v>
      </c>
      <c r="W286" s="32" t="str">
        <f>IFERROR(__xludf.DUMMYFUNCTION("""COMPUTED_VALUE"""),"Revolver")</f>
        <v>Revolver</v>
      </c>
      <c r="X286" s="32"/>
      <c r="Y286" s="32"/>
      <c r="Z286" s="32"/>
      <c r="AA286" s="32"/>
      <c r="AB286" s="32"/>
      <c r="AC286" s="32"/>
      <c r="AD286" s="32"/>
      <c r="AE286" s="32"/>
      <c r="AF286" s="32"/>
      <c r="AG286" s="32"/>
      <c r="AH286" s="32" t="str">
        <f>IFERROR(__xludf.DUMMYFUNCTION("""COMPUTED_VALUE"""),"Tights of Fabulous Thievery")</f>
        <v>Tights of Fabulous Thievery</v>
      </c>
      <c r="AI286" s="32" t="str">
        <f>IFERROR(__xludf.DUMMYFUNCTION("""COMPUTED_VALUE"""),"Leather Boots of Softstep")</f>
        <v>Leather Boots of Softstep</v>
      </c>
      <c r="AJ286" s="32" t="str">
        <f>IFERROR(__xludf.DUMMYFUNCTION("""COMPUTED_VALUE"""),"Crashing Waves")</f>
        <v>Crashing Waves</v>
      </c>
      <c r="AK286" s="32" t="str">
        <f>IFERROR(__xludf.DUMMYFUNCTION("""COMPUTED_VALUE"""),"Punch")</f>
        <v>Punch</v>
      </c>
      <c r="AL286" s="32" t="str">
        <f>IFERROR(__xludf.DUMMYFUNCTION("""COMPUTED_VALUE"""),"Confiscate")</f>
        <v>Confiscate</v>
      </c>
      <c r="AM286" s="32" t="str">
        <f>IFERROR(__xludf.DUMMYFUNCTION("""COMPUTED_VALUE"""),"Berserk")</f>
        <v>Berserk</v>
      </c>
      <c r="AN286" s="32" t="str">
        <f>IFERROR(__xludf.DUMMYFUNCTION("""COMPUTED_VALUE"""),"Geyser")</f>
        <v>Geyser</v>
      </c>
      <c r="AO286" s="32"/>
      <c r="AP286" s="32"/>
      <c r="AQ286" s="32"/>
      <c r="AR286" s="32"/>
      <c r="AS286" s="32"/>
      <c r="AT286" s="32"/>
      <c r="AU286" s="32"/>
      <c r="AV286" s="32"/>
      <c r="AW286" s="32"/>
      <c r="AX286" s="32"/>
      <c r="AY286" s="32"/>
      <c r="AZ286" s="32"/>
      <c r="BA286" s="32"/>
      <c r="BB286" s="32"/>
      <c r="BC286" s="32"/>
      <c r="BD286" s="32">
        <f>IFERROR(__xludf.DUMMYFUNCTION("""COMPUTED_VALUE"""),0.0)</f>
        <v>0</v>
      </c>
      <c r="BE286" s="32">
        <f>IFERROR(__xludf.DUMMYFUNCTION("""COMPUTED_VALUE"""),10.0)</f>
        <v>10</v>
      </c>
      <c r="BF286" s="32" t="str">
        <f>IFERROR(__xludf.DUMMYFUNCTION("""COMPUTED_VALUE"""),"Pirates Luck I: +5 can be added to this mobs d20 rolls.")</f>
        <v>Pirates Luck I: +5 can be added to this mobs d20 rolls.</v>
      </c>
      <c r="BG286" s="32" t="str">
        <f>IFERROR(__xludf.DUMMYFUNCTION("""COMPUTED_VALUE"""),"All")</f>
        <v>All</v>
      </c>
      <c r="BH286" s="32" t="str">
        <f>IFERROR(__xludf.DUMMYFUNCTION("""COMPUTED_VALUE"""),"Land of Spira")</f>
        <v>Land of Spira</v>
      </c>
      <c r="BI286" s="32"/>
      <c r="BJ286" s="32"/>
      <c r="BK286" s="32"/>
      <c r="BL286" s="32" t="b">
        <f>IFERROR(__xludf.DUMMYFUNCTION("""COMPUTED_VALUE"""),FALSE)</f>
        <v>0</v>
      </c>
      <c r="BM286" s="32"/>
      <c r="BN286" s="32"/>
      <c r="BO286" s="32"/>
      <c r="BP286" s="32"/>
      <c r="BQ286" s="32"/>
    </row>
    <row r="287">
      <c r="A287" s="32" t="str">
        <f>IFERROR(__xludf.DUMMYFUNCTION("""COMPUTED_VALUE"""),"Pirate Captain")</f>
        <v>Pirate Captain</v>
      </c>
      <c r="B287" s="32">
        <f>IFERROR(__xludf.DUMMYFUNCTION("""COMPUTED_VALUE"""),1.0)</f>
        <v>1</v>
      </c>
      <c r="C287" s="32"/>
      <c r="D287" s="32" t="str">
        <f>IFERROR(__xludf.DUMMYFUNCTION("""COMPUTED_VALUE"""),"Humanoid")</f>
        <v>Humanoid</v>
      </c>
      <c r="E287" s="33">
        <f>IFERROR(__xludf.DUMMYFUNCTION("""COMPUTED_VALUE"""),1010.0)</f>
        <v>1010</v>
      </c>
      <c r="F287" s="33">
        <f>IFERROR(__xludf.DUMMYFUNCTION("""COMPUTED_VALUE"""),1010.0)</f>
        <v>1010</v>
      </c>
      <c r="G287" s="33">
        <f>IFERROR(__xludf.DUMMYFUNCTION("""COMPUTED_VALUE"""),1010.0)</f>
        <v>1010</v>
      </c>
      <c r="H287" s="32">
        <f>IFERROR(__xludf.DUMMYFUNCTION("""COMPUTED_VALUE"""),10.0)</f>
        <v>10</v>
      </c>
      <c r="I287" s="32">
        <f>IFERROR(__xludf.DUMMYFUNCTION("""COMPUTED_VALUE"""),0.0)</f>
        <v>0</v>
      </c>
      <c r="J287" s="32">
        <f>IFERROR(__xludf.DUMMYFUNCTION("""COMPUTED_VALUE"""),0.0)</f>
        <v>0</v>
      </c>
      <c r="K287" s="32">
        <f>IFERROR(__xludf.DUMMYFUNCTION("""COMPUTED_VALUE"""),100.0)</f>
        <v>100</v>
      </c>
      <c r="L287" s="32">
        <f>IFERROR(__xludf.DUMMYFUNCTION("""COMPUTED_VALUE"""),100.0)</f>
        <v>100</v>
      </c>
      <c r="M287" s="32" t="str">
        <f>IFERROR(__xludf.DUMMYFUNCTION("""COMPUTED_VALUE"""),"Water:Immune, Storm:Immune, Physical:Immune, Instant Death:Immune, Banishment:Immune, ")</f>
        <v>Water:Immune, Storm:Immune, Physical:Immune, Instant Death:Immune, Banishment:Immune, </v>
      </c>
      <c r="N287" s="32" t="str">
        <f>IFERROR(__xludf.DUMMYFUNCTION("""COMPUTED_VALUE"""),"Order:100, Nature:100, ")</f>
        <v>Order:100, Nature:100, </v>
      </c>
      <c r="O287" s="32" t="str">
        <f>IFERROR(__xludf.DUMMYFUNCTION("""COMPUTED_VALUE"""),"Feathered Hat of Roguish ""Justice""")</f>
        <v>Feathered Hat of Roguish "Justice"</v>
      </c>
      <c r="P287" s="32" t="str">
        <f>IFERROR(__xludf.DUMMYFUNCTION("""COMPUTED_VALUE"""),"Black Crystal Necklace of Luck")</f>
        <v>Black Crystal Necklace of Luck</v>
      </c>
      <c r="Q287" s="32"/>
      <c r="R287" s="32"/>
      <c r="S287" s="32" t="str">
        <f>IFERROR(__xludf.DUMMYFUNCTION("""COMPUTED_VALUE"""),"Cape of Misdeed")</f>
        <v>Cape of Misdeed</v>
      </c>
      <c r="T287" s="32" t="str">
        <f>IFERROR(__xludf.DUMMYFUNCTION("""COMPUTED_VALUE"""),"Doublet of Debauchery")</f>
        <v>Doublet of Debauchery</v>
      </c>
      <c r="U287" s="32" t="str">
        <f>IFERROR(__xludf.DUMMYFUNCTION("""COMPUTED_VALUE"""),"Bracers of Dastardly Deflection")</f>
        <v>Bracers of Dastardly Deflection</v>
      </c>
      <c r="V287" s="32" t="str">
        <f>IFERROR(__xludf.DUMMYFUNCTION("""COMPUTED_VALUE"""),"Fingerless Glove of Anonymity")</f>
        <v>Fingerless Glove of Anonymity</v>
      </c>
      <c r="W287" s="32" t="str">
        <f>IFERROR(__xludf.DUMMYFUNCTION("""COMPUTED_VALUE"""),"Sword of Bad Luck")</f>
        <v>Sword of Bad Luck</v>
      </c>
      <c r="X287" s="32"/>
      <c r="Y287" s="32"/>
      <c r="Z287" s="32"/>
      <c r="AA287" s="32"/>
      <c r="AB287" s="32"/>
      <c r="AC287" s="32"/>
      <c r="AD287" s="32"/>
      <c r="AE287" s="32"/>
      <c r="AF287" s="32"/>
      <c r="AG287" s="32"/>
      <c r="AH287" s="32" t="str">
        <f>IFERROR(__xludf.DUMMYFUNCTION("""COMPUTED_VALUE"""),"Tights of Fabulous Thievery")</f>
        <v>Tights of Fabulous Thievery</v>
      </c>
      <c r="AI287" s="32" t="str">
        <f>IFERROR(__xludf.DUMMYFUNCTION("""COMPUTED_VALUE"""),"Shoes of Water Walking")</f>
        <v>Shoes of Water Walking</v>
      </c>
      <c r="AJ287" s="32" t="str">
        <f>IFERROR(__xludf.DUMMYFUNCTION("""COMPUTED_VALUE"""),"Chaincast")</f>
        <v>Chaincast</v>
      </c>
      <c r="AK287" s="32" t="str">
        <f>IFERROR(__xludf.DUMMYFUNCTION("""COMPUTED_VALUE"""),"Arrest")</f>
        <v>Arrest</v>
      </c>
      <c r="AL287" s="32" t="str">
        <f>IFERROR(__xludf.DUMMYFUNCTION("""COMPUTED_VALUE"""),"Berserk")</f>
        <v>Berserk</v>
      </c>
      <c r="AM287" s="32" t="str">
        <f>IFERROR(__xludf.DUMMYFUNCTION("""COMPUTED_VALUE"""),"Gust of Wind")</f>
        <v>Gust of Wind</v>
      </c>
      <c r="AN287" s="32" t="str">
        <f>IFERROR(__xludf.DUMMYFUNCTION("""COMPUTED_VALUE"""),"Tornado")</f>
        <v>Tornado</v>
      </c>
      <c r="AO287" s="32" t="str">
        <f>IFERROR(__xludf.DUMMYFUNCTION("""COMPUTED_VALUE"""),"Freezing Fog")</f>
        <v>Freezing Fog</v>
      </c>
      <c r="AP287" s="32" t="str">
        <f>IFERROR(__xludf.DUMMYFUNCTION("""COMPUTED_VALUE"""),"Thunderstorm")</f>
        <v>Thunderstorm</v>
      </c>
      <c r="AQ287" s="32" t="str">
        <f>IFERROR(__xludf.DUMMYFUNCTION("""COMPUTED_VALUE"""),"Crashing Waves")</f>
        <v>Crashing Waves</v>
      </c>
      <c r="AR287" s="32" t="str">
        <f>IFERROR(__xludf.DUMMYFUNCTION("""COMPUTED_VALUE"""),"Geyser (Enhanced)")</f>
        <v>Geyser (Enhanced)</v>
      </c>
      <c r="AS287" s="32" t="str">
        <f>IFERROR(__xludf.DUMMYFUNCTION("""COMPUTED_VALUE"""),"Go For The Vitals")</f>
        <v>Go For The Vitals</v>
      </c>
      <c r="AT287" s="32" t="str">
        <f>IFERROR(__xludf.DUMMYFUNCTION("""COMPUTED_VALUE"""),"Multishot")</f>
        <v>Multishot</v>
      </c>
      <c r="AU287" s="32" t="str">
        <f>IFERROR(__xludf.DUMMYFUNCTION("""COMPUTED_VALUE"""),"Cannon Bombardment")</f>
        <v>Cannon Bombardment</v>
      </c>
      <c r="AV287" s="32" t="str">
        <f>IFERROR(__xludf.DUMMYFUNCTION("""COMPUTED_VALUE"""),"Cancel")</f>
        <v>Cancel</v>
      </c>
      <c r="AW287" s="32" t="str">
        <f>IFERROR(__xludf.DUMMYFUNCTION("""COMPUTED_VALUE"""),"Conceal")</f>
        <v>Conceal</v>
      </c>
      <c r="AX287" s="32" t="str">
        <f>IFERROR(__xludf.DUMMYFUNCTION("""COMPUTED_VALUE"""),"Chains of Shadow")</f>
        <v>Chains of Shadow</v>
      </c>
      <c r="AY287" s="32" t="str">
        <f>IFERROR(__xludf.DUMMYFUNCTION("""COMPUTED_VALUE"""),"Mass Destruction")</f>
        <v>Mass Destruction</v>
      </c>
      <c r="AZ287" s="32"/>
      <c r="BA287" s="32"/>
      <c r="BB287" s="32"/>
      <c r="BC287" s="32"/>
      <c r="BD287" s="32">
        <f>IFERROR(__xludf.DUMMYFUNCTION("""COMPUTED_VALUE"""),0.0)</f>
        <v>0</v>
      </c>
      <c r="BE287" s="32">
        <f>IFERROR(__xludf.DUMMYFUNCTION("""COMPUTED_VALUE"""),10.0)</f>
        <v>10</v>
      </c>
      <c r="BF287" s="32"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32" t="str">
        <f>IFERROR(__xludf.DUMMYFUNCTION("""COMPUTED_VALUE"""),"All")</f>
        <v>All</v>
      </c>
      <c r="BH287" s="32" t="str">
        <f>IFERROR(__xludf.DUMMYFUNCTION("""COMPUTED_VALUE"""),"Land of Spira")</f>
        <v>Land of Spira</v>
      </c>
      <c r="BI287" s="32"/>
      <c r="BJ287" s="32"/>
      <c r="BK287" s="32"/>
      <c r="BL287" s="32" t="b">
        <f>IFERROR(__xludf.DUMMYFUNCTION("""COMPUTED_VALUE"""),FALSE)</f>
        <v>0</v>
      </c>
      <c r="BM287" s="32"/>
      <c r="BN287" s="32"/>
      <c r="BO287" s="32"/>
      <c r="BP287" s="32"/>
      <c r="BQ287" s="32"/>
    </row>
    <row r="288">
      <c r="A288" s="32" t="str">
        <f>IFERROR(__xludf.DUMMYFUNCTION("""COMPUTED_VALUE"""),"The Crystal King")</f>
        <v>The Crystal King</v>
      </c>
      <c r="B288" s="32">
        <f>IFERROR(__xludf.DUMMYFUNCTION("""COMPUTED_VALUE"""),1.0)</f>
        <v>1</v>
      </c>
      <c r="C288" s="32"/>
      <c r="D288" s="32" t="str">
        <f>IFERROR(__xludf.DUMMYFUNCTION("""COMPUTED_VALUE"""),"Construct")</f>
        <v>Construct</v>
      </c>
      <c r="E288" s="32">
        <f>IFERROR(__xludf.DUMMYFUNCTION("""COMPUTED_VALUE"""),1010.0)</f>
        <v>1010</v>
      </c>
      <c r="F288" s="33">
        <f>IFERROR(__xludf.DUMMYFUNCTION("""COMPUTED_VALUE"""),1010.0)</f>
        <v>1010</v>
      </c>
      <c r="G288" s="32">
        <f>IFERROR(__xludf.DUMMYFUNCTION("""COMPUTED_VALUE"""),1010.0)</f>
        <v>1010</v>
      </c>
      <c r="H288" s="32">
        <f>IFERROR(__xludf.DUMMYFUNCTION("""COMPUTED_VALUE"""),20.0)</f>
        <v>20</v>
      </c>
      <c r="I288" s="32">
        <f>IFERROR(__xludf.DUMMYFUNCTION("""COMPUTED_VALUE"""),0.0)</f>
        <v>0</v>
      </c>
      <c r="J288" s="32">
        <f>IFERROR(__xludf.DUMMYFUNCTION("""COMPUTED_VALUE"""),0.0)</f>
        <v>0</v>
      </c>
      <c r="K288" s="32">
        <f>IFERROR(__xludf.DUMMYFUNCTION("""COMPUTED_VALUE"""),100.0)</f>
        <v>100</v>
      </c>
      <c r="L288" s="32">
        <f>IFERROR(__xludf.DUMMYFUNCTION("""COMPUTED_VALUE"""),100.0)</f>
        <v>100</v>
      </c>
      <c r="M288" s="32" t="str">
        <f>IFERROR(__xludf.DUMMYFUNCTION("""COMPUTED_VALUE"""),"Fire:100, Earth:Immune, Instant Death:Immune, Banishment:Immune, Natural:100, ")</f>
        <v>Fire:100, Earth:Immune, Instant Death:Immune, Banishment:Immune, Natural:100, </v>
      </c>
      <c r="N288" s="32" t="str">
        <f>IFERROR(__xludf.DUMMYFUNCTION("""COMPUTED_VALUE"""),"Storm:100, ")</f>
        <v>Storm:100, </v>
      </c>
      <c r="O288" s="32" t="str">
        <f>IFERROR(__xludf.DUMMYFUNCTION("""COMPUTED_VALUE"""),"Crystal Forged Helmet")</f>
        <v>Crystal Forged Helmet</v>
      </c>
      <c r="P288" s="32" t="str">
        <f>IFERROR(__xludf.DUMMYFUNCTION("""COMPUTED_VALUE"""),"Black Crystal Necklace of Luck")</f>
        <v>Black Crystal Necklace of Luck</v>
      </c>
      <c r="Q288" s="32" t="str">
        <f>IFERROR(__xludf.DUMMYFUNCTION("""COMPUTED_VALUE"""),"Crystal Healing Amulet")</f>
        <v>Crystal Healing Amulet</v>
      </c>
      <c r="R288" s="32"/>
      <c r="S288" s="32" t="str">
        <f>IFERROR(__xludf.DUMMYFUNCTION("""COMPUTED_VALUE"""),"Crystal Forged Pauldrons")</f>
        <v>Crystal Forged Pauldrons</v>
      </c>
      <c r="T288" s="32" t="str">
        <f>IFERROR(__xludf.DUMMYFUNCTION("""COMPUTED_VALUE"""),"Crystal Forged Chestplate")</f>
        <v>Crystal Forged Chestplate</v>
      </c>
      <c r="U288" s="32" t="str">
        <f>IFERROR(__xludf.DUMMYFUNCTION("""COMPUTED_VALUE"""),"Crystal Forged Vambraces")</f>
        <v>Crystal Forged Vambraces</v>
      </c>
      <c r="V288" s="32" t="str">
        <f>IFERROR(__xludf.DUMMYFUNCTION("""COMPUTED_VALUE"""),"Crystal Longsword")</f>
        <v>Crystal Longsword</v>
      </c>
      <c r="W288" s="32" t="str">
        <f>IFERROR(__xludf.DUMMYFUNCTION("""COMPUTED_VALUE"""),"Sword of The Crystal King")</f>
        <v>Sword of The Crystal King</v>
      </c>
      <c r="X288" s="32" t="str">
        <f>IFERROR(__xludf.DUMMYFUNCTION("""COMPUTED_VALUE"""),"Crystal Ring")</f>
        <v>Crystal Ring</v>
      </c>
      <c r="Y288" s="32"/>
      <c r="Z288" s="32"/>
      <c r="AA288" s="32"/>
      <c r="AB288" s="32"/>
      <c r="AC288" s="32"/>
      <c r="AD288" s="32"/>
      <c r="AE288" s="32"/>
      <c r="AF288" s="32"/>
      <c r="AG288" s="32"/>
      <c r="AH288" s="32" t="str">
        <f>IFERROR(__xludf.DUMMYFUNCTION("""COMPUTED_VALUE"""),"Crystal Forged Greaves")</f>
        <v>Crystal Forged Greaves</v>
      </c>
      <c r="AI288" s="32" t="str">
        <f>IFERROR(__xludf.DUMMYFUNCTION("""COMPUTED_VALUE"""),"Crystal Forged Boots")</f>
        <v>Crystal Forged Boots</v>
      </c>
      <c r="AJ288" s="32" t="str">
        <f>IFERROR(__xludf.DUMMYFUNCTION("""COMPUTED_VALUE"""),"Arrest")</f>
        <v>Arrest</v>
      </c>
      <c r="AK288" s="32" t="str">
        <f>IFERROR(__xludf.DUMMYFUNCTION("""COMPUTED_VALUE"""),"Mass Destruction")</f>
        <v>Mass Destruction</v>
      </c>
      <c r="AL288" s="32" t="str">
        <f>IFERROR(__xludf.DUMMYFUNCTION("""COMPUTED_VALUE"""),"Molten Ruby Spikes")</f>
        <v>Molten Ruby Spikes</v>
      </c>
      <c r="AM288" s="32" t="str">
        <f>IFERROR(__xludf.DUMMYFUNCTION("""COMPUTED_VALUE"""),"Energizing Emerald Pulse")</f>
        <v>Energizing Emerald Pulse</v>
      </c>
      <c r="AN288" s="32" t="str">
        <f>IFERROR(__xludf.DUMMYFUNCTION("""COMPUTED_VALUE"""),"Searing Saphire Strike")</f>
        <v>Searing Saphire Strike</v>
      </c>
      <c r="AO288" s="32" t="str">
        <f>IFERROR(__xludf.DUMMYFUNCTION("""COMPUTED_VALUE"""),"Lunar Ward")</f>
        <v>Lunar Ward</v>
      </c>
      <c r="AP288" s="32" t="str">
        <f>IFERROR(__xludf.DUMMYFUNCTION("""COMPUTED_VALUE"""),"Solar Ward")</f>
        <v>Solar Ward</v>
      </c>
      <c r="AQ288" s="32"/>
      <c r="AR288" s="32"/>
      <c r="AS288" s="32"/>
      <c r="AT288" s="32"/>
      <c r="AU288" s="32"/>
      <c r="AV288" s="32"/>
      <c r="AW288" s="32"/>
      <c r="AX288" s="32"/>
      <c r="AY288" s="32"/>
      <c r="AZ288" s="32"/>
      <c r="BA288" s="32"/>
      <c r="BB288" s="32"/>
      <c r="BC288" s="32"/>
      <c r="BD288" s="32">
        <f>IFERROR(__xludf.DUMMYFUNCTION("""COMPUTED_VALUE"""),0.0)</f>
        <v>0</v>
      </c>
      <c r="BE288" s="32">
        <f>IFERROR(__xludf.DUMMYFUNCTION("""COMPUTED_VALUE"""),20.0)</f>
        <v>20</v>
      </c>
      <c r="BF288" s="32"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32" t="str">
        <f>IFERROR(__xludf.DUMMYFUNCTION("""COMPUTED_VALUE"""),"City/Town")</f>
        <v>City/Town</v>
      </c>
      <c r="BH288" s="32" t="str">
        <f>IFERROR(__xludf.DUMMYFUNCTION("""COMPUTED_VALUE"""),"Land of Spira")</f>
        <v>Land of Spira</v>
      </c>
      <c r="BI288" s="32"/>
      <c r="BJ288" s="32"/>
      <c r="BK288" s="32"/>
      <c r="BL288" s="32" t="b">
        <f>IFERROR(__xludf.DUMMYFUNCTION("""COMPUTED_VALUE"""),FALSE)</f>
        <v>0</v>
      </c>
      <c r="BM288" s="32"/>
      <c r="BN288" s="32"/>
      <c r="BO288" s="32"/>
      <c r="BP288" s="32"/>
      <c r="BQ288" s="32"/>
    </row>
    <row r="289">
      <c r="A289" s="32" t="str">
        <f>IFERROR(__xludf.DUMMYFUNCTION("""COMPUTED_VALUE"""),"Mekanian Soldier")</f>
        <v>Mekanian Soldier</v>
      </c>
      <c r="B289" s="32">
        <f>IFERROR(__xludf.DUMMYFUNCTION("""COMPUTED_VALUE"""),1.0)</f>
        <v>1</v>
      </c>
      <c r="C289" s="32"/>
      <c r="D289" s="32" t="str">
        <f>IFERROR(__xludf.DUMMYFUNCTION("""COMPUTED_VALUE"""),"Construct")</f>
        <v>Construct</v>
      </c>
      <c r="E289" s="32">
        <f>IFERROR(__xludf.DUMMYFUNCTION("""COMPUTED_VALUE"""),1010.0)</f>
        <v>1010</v>
      </c>
      <c r="F289" s="33">
        <f>IFERROR(__xludf.DUMMYFUNCTION("""COMPUTED_VALUE"""),1010.0)</f>
        <v>1010</v>
      </c>
      <c r="G289" s="32">
        <f>IFERROR(__xludf.DUMMYFUNCTION("""COMPUTED_VALUE"""),1010.0)</f>
        <v>1010</v>
      </c>
      <c r="H289" s="32">
        <f>IFERROR(__xludf.DUMMYFUNCTION("""COMPUTED_VALUE"""),10.0)</f>
        <v>10</v>
      </c>
      <c r="I289" s="32">
        <f>IFERROR(__xludf.DUMMYFUNCTION("""COMPUTED_VALUE"""),0.0)</f>
        <v>0</v>
      </c>
      <c r="J289" s="32">
        <f>IFERROR(__xludf.DUMMYFUNCTION("""COMPUTED_VALUE"""),0.0)</f>
        <v>0</v>
      </c>
      <c r="K289" s="32">
        <f>IFERROR(__xludf.DUMMYFUNCTION("""COMPUTED_VALUE"""),100.0)</f>
        <v>100</v>
      </c>
      <c r="L289" s="32">
        <f>IFERROR(__xludf.DUMMYFUNCTION("""COMPUTED_VALUE"""),100.0)</f>
        <v>100</v>
      </c>
      <c r="M289" s="32" t="str">
        <f>IFERROR(__xludf.DUMMYFUNCTION("""COMPUTED_VALUE"""),"Fire:Immune, ")</f>
        <v>Fire:Immune, </v>
      </c>
      <c r="N289" s="32" t="str">
        <f>IFERROR(__xludf.DUMMYFUNCTION("""COMPUTED_VALUE"""),"Water:100, Storm:100, ")</f>
        <v>Water:100, Storm:100, </v>
      </c>
      <c r="O289" s="32"/>
      <c r="P289" s="32"/>
      <c r="Q289" s="32"/>
      <c r="R289" s="32"/>
      <c r="S289" s="32"/>
      <c r="T289" s="32"/>
      <c r="U289" s="32"/>
      <c r="V289" s="32"/>
      <c r="W289" s="32" t="str">
        <f>IFERROR(__xludf.DUMMYFUNCTION("""COMPUTED_VALUE"""),"Lazer Infused Railgun")</f>
        <v>Lazer Infused Railgun</v>
      </c>
      <c r="X289" s="32"/>
      <c r="Y289" s="32"/>
      <c r="Z289" s="32"/>
      <c r="AA289" s="32"/>
      <c r="AB289" s="32"/>
      <c r="AC289" s="32"/>
      <c r="AD289" s="32"/>
      <c r="AE289" s="32"/>
      <c r="AF289" s="32"/>
      <c r="AG289" s="32"/>
      <c r="AH289" s="32"/>
      <c r="AI289" s="32"/>
      <c r="AJ289" s="32" t="str">
        <f>IFERROR(__xludf.DUMMYFUNCTION("""COMPUTED_VALUE"""),"Arrest")</f>
        <v>Arrest</v>
      </c>
      <c r="AK289" s="32" t="str">
        <f>IFERROR(__xludf.DUMMYFUNCTION("""COMPUTED_VALUE"""),"Fire Bolt")</f>
        <v>Fire Bolt</v>
      </c>
      <c r="AL289" s="32" t="str">
        <f>IFERROR(__xludf.DUMMYFUNCTION("""COMPUTED_VALUE"""),"Flame Thrower")</f>
        <v>Flame Thrower</v>
      </c>
      <c r="AM289" s="32" t="str">
        <f>IFERROR(__xludf.DUMMYFUNCTION("""COMPUTED_VALUE"""),"Go for the vitals")</f>
        <v>Go for the vitals</v>
      </c>
      <c r="AN289" s="32" t="str">
        <f>IFERROR(__xludf.DUMMYFUNCTION("""COMPUTED_VALUE"""),"Double Strike")</f>
        <v>Double Strike</v>
      </c>
      <c r="AO289" s="32" t="str">
        <f>IFERROR(__xludf.DUMMYFUNCTION("""COMPUTED_VALUE"""),"Berserk")</f>
        <v>Berserk</v>
      </c>
      <c r="AP289" s="32" t="str">
        <f>IFERROR(__xludf.DUMMYFUNCTION("""COMPUTED_VALUE"""),"Overcharge")</f>
        <v>Overcharge</v>
      </c>
      <c r="AQ289" s="32" t="str">
        <f>IFERROR(__xludf.DUMMYFUNCTION("""COMPUTED_VALUE"""),"Recharge")</f>
        <v>Recharge</v>
      </c>
      <c r="AR289" s="32" t="str">
        <f>IFERROR(__xludf.DUMMYFUNCTION("""COMPUTED_VALUE"""),"Cooldown")</f>
        <v>Cooldown</v>
      </c>
      <c r="AS289" s="32"/>
      <c r="AT289" s="32"/>
      <c r="AU289" s="32"/>
      <c r="AV289" s="32"/>
      <c r="AW289" s="32"/>
      <c r="AX289" s="32"/>
      <c r="AY289" s="32"/>
      <c r="AZ289" s="32"/>
      <c r="BA289" s="32"/>
      <c r="BB289" s="32"/>
      <c r="BC289" s="32"/>
      <c r="BD289" s="32">
        <f>IFERROR(__xludf.DUMMYFUNCTION("""COMPUTED_VALUE"""),0.0)</f>
        <v>0</v>
      </c>
      <c r="BE289" s="32">
        <f>IFERROR(__xludf.DUMMYFUNCTION("""COMPUTED_VALUE"""),10.0)</f>
        <v>10</v>
      </c>
      <c r="BF289" s="32" t="str">
        <f>IFERROR(__xludf.DUMMYFUNCTION("""COMPUTED_VALUE"""),"X4 damage towards weapons. ")</f>
        <v>X4 damage towards weapons. </v>
      </c>
      <c r="BG289" s="32" t="str">
        <f>IFERROR(__xludf.DUMMYFUNCTION("""COMPUTED_VALUE"""),"All")</f>
        <v>All</v>
      </c>
      <c r="BH289" s="32" t="str">
        <f>IFERROR(__xludf.DUMMYFUNCTION("""COMPUTED_VALUE"""),"Land of Spira")</f>
        <v>Land of Spira</v>
      </c>
      <c r="BI289" s="32"/>
      <c r="BJ289" s="32"/>
      <c r="BK289" s="32"/>
      <c r="BL289" s="32" t="b">
        <f>IFERROR(__xludf.DUMMYFUNCTION("""COMPUTED_VALUE"""),FALSE)</f>
        <v>0</v>
      </c>
      <c r="BM289" s="32"/>
      <c r="BN289" s="32"/>
      <c r="BO289" s="32"/>
      <c r="BP289" s="32"/>
      <c r="BQ289" s="32"/>
    </row>
    <row r="290">
      <c r="A290" s="32" t="str">
        <f>IFERROR(__xludf.DUMMYFUNCTION("""COMPUTED_VALUE"""),"Mekanian Knight")</f>
        <v>Mekanian Knight</v>
      </c>
      <c r="B290" s="32">
        <f>IFERROR(__xludf.DUMMYFUNCTION("""COMPUTED_VALUE"""),1.0)</f>
        <v>1</v>
      </c>
      <c r="C290" s="32"/>
      <c r="D290" s="32" t="str">
        <f>IFERROR(__xludf.DUMMYFUNCTION("""COMPUTED_VALUE"""),"Construct")</f>
        <v>Construct</v>
      </c>
      <c r="E290" s="32">
        <f>IFERROR(__xludf.DUMMYFUNCTION("""COMPUTED_VALUE"""),1010.0)</f>
        <v>1010</v>
      </c>
      <c r="F290" s="33">
        <f>IFERROR(__xludf.DUMMYFUNCTION("""COMPUTED_VALUE"""),1010.0)</f>
        <v>1010</v>
      </c>
      <c r="G290" s="32">
        <f>IFERROR(__xludf.DUMMYFUNCTION("""COMPUTED_VALUE"""),1010.0)</f>
        <v>1010</v>
      </c>
      <c r="H290" s="32">
        <f>IFERROR(__xludf.DUMMYFUNCTION("""COMPUTED_VALUE"""),10.0)</f>
        <v>10</v>
      </c>
      <c r="I290" s="32">
        <f>IFERROR(__xludf.DUMMYFUNCTION("""COMPUTED_VALUE"""),0.0)</f>
        <v>0</v>
      </c>
      <c r="J290" s="32">
        <f>IFERROR(__xludf.DUMMYFUNCTION("""COMPUTED_VALUE"""),0.0)</f>
        <v>0</v>
      </c>
      <c r="K290" s="32">
        <f>IFERROR(__xludf.DUMMYFUNCTION("""COMPUTED_VALUE"""),100.0)</f>
        <v>100</v>
      </c>
      <c r="L290" s="32">
        <f>IFERROR(__xludf.DUMMYFUNCTION("""COMPUTED_VALUE"""),100.0)</f>
        <v>100</v>
      </c>
      <c r="M290" s="32" t="str">
        <f>IFERROR(__xludf.DUMMYFUNCTION("""COMPUTED_VALUE"""),"Storm:Immune, Spirit:Immune, Blood:Immune, Instant Death:Immune, ")</f>
        <v>Storm:Immune, Spirit:Immune, Blood:Immune, Instant Death:Immune, </v>
      </c>
      <c r="N290" s="32" t="str">
        <f>IFERROR(__xludf.DUMMYFUNCTION("""COMPUTED_VALUE"""),"Fire:100, Water:100, Nature:100, ")</f>
        <v>Fire:100, Water:100, Nature:100, </v>
      </c>
      <c r="O290" s="32"/>
      <c r="P290" s="32"/>
      <c r="Q290" s="32"/>
      <c r="R290" s="32"/>
      <c r="S290" s="32"/>
      <c r="T290" s="32"/>
      <c r="U290" s="32"/>
      <c r="V290" s="32"/>
      <c r="W290" s="32" t="str">
        <f>IFERROR(__xludf.DUMMYFUNCTION("""COMPUTED_VALUE"""),"Lazer Infused Railgun")</f>
        <v>Lazer Infused Railgun</v>
      </c>
      <c r="X290" s="32"/>
      <c r="Y290" s="32"/>
      <c r="Z290" s="32"/>
      <c r="AA290" s="32"/>
      <c r="AB290" s="32"/>
      <c r="AC290" s="32"/>
      <c r="AD290" s="32"/>
      <c r="AE290" s="32"/>
      <c r="AF290" s="32"/>
      <c r="AG290" s="32"/>
      <c r="AH290" s="32"/>
      <c r="AI290" s="32"/>
      <c r="AJ290" s="32" t="str">
        <f>IFERROR(__xludf.DUMMYFUNCTION("""COMPUTED_VALUE"""),"Arrest")</f>
        <v>Arrest</v>
      </c>
      <c r="AK290" s="32" t="str">
        <f>IFERROR(__xludf.DUMMYFUNCTION("""COMPUTED_VALUE"""),"Fire Bolt")</f>
        <v>Fire Bolt</v>
      </c>
      <c r="AL290" s="32" t="str">
        <f>IFERROR(__xludf.DUMMYFUNCTION("""COMPUTED_VALUE"""),"Flame Thrower")</f>
        <v>Flame Thrower</v>
      </c>
      <c r="AM290" s="32" t="str">
        <f>IFERROR(__xludf.DUMMYFUNCTION("""COMPUTED_VALUE"""),"Go for the vitals")</f>
        <v>Go for the vitals</v>
      </c>
      <c r="AN290" s="32" t="str">
        <f>IFERROR(__xludf.DUMMYFUNCTION("""COMPUTED_VALUE"""),"Double Strike")</f>
        <v>Double Strike</v>
      </c>
      <c r="AO290" s="32" t="str">
        <f>IFERROR(__xludf.DUMMYFUNCTION("""COMPUTED_VALUE"""),"Berserk")</f>
        <v>Berserk</v>
      </c>
      <c r="AP290" s="32" t="str">
        <f>IFERROR(__xludf.DUMMYFUNCTION("""COMPUTED_VALUE"""),"Celestial Wave")</f>
        <v>Celestial Wave</v>
      </c>
      <c r="AQ290" s="32" t="str">
        <f>IFERROR(__xludf.DUMMYFUNCTION("""COMPUTED_VALUE"""),"Overcharge")</f>
        <v>Overcharge</v>
      </c>
      <c r="AR290" s="32" t="str">
        <f>IFERROR(__xludf.DUMMYFUNCTION("""COMPUTED_VALUE"""),"Recharge")</f>
        <v>Recharge</v>
      </c>
      <c r="AS290" s="32" t="str">
        <f>IFERROR(__xludf.DUMMYFUNCTION("""COMPUTED_VALUE"""),"Cooldown")</f>
        <v>Cooldown</v>
      </c>
      <c r="AT290" s="32"/>
      <c r="AU290" s="32"/>
      <c r="AV290" s="32"/>
      <c r="AW290" s="32"/>
      <c r="AX290" s="32"/>
      <c r="AY290" s="32"/>
      <c r="AZ290" s="32"/>
      <c r="BA290" s="32"/>
      <c r="BB290" s="32"/>
      <c r="BC290" s="32"/>
      <c r="BD290" s="32">
        <f>IFERROR(__xludf.DUMMYFUNCTION("""COMPUTED_VALUE"""),0.0)</f>
        <v>0</v>
      </c>
      <c r="BE290" s="32">
        <f>IFERROR(__xludf.DUMMYFUNCTION("""COMPUTED_VALUE"""),10.0)</f>
        <v>10</v>
      </c>
      <c r="BF290" s="32" t="str">
        <f>IFERROR(__xludf.DUMMYFUNCTION("""COMPUTED_VALUE"""),"X6 damage towards weapons. ")</f>
        <v>X6 damage towards weapons. </v>
      </c>
      <c r="BG290" s="32" t="str">
        <f>IFERROR(__xludf.DUMMYFUNCTION("""COMPUTED_VALUE"""),"All")</f>
        <v>All</v>
      </c>
      <c r="BH290" s="32" t="str">
        <f>IFERROR(__xludf.DUMMYFUNCTION("""COMPUTED_VALUE"""),"Land of Spira")</f>
        <v>Land of Spira</v>
      </c>
      <c r="BI290" s="32"/>
      <c r="BJ290" s="32"/>
      <c r="BK290" s="32"/>
      <c r="BL290" s="32" t="b">
        <f>IFERROR(__xludf.DUMMYFUNCTION("""COMPUTED_VALUE"""),FALSE)</f>
        <v>0</v>
      </c>
      <c r="BM290" s="32"/>
      <c r="BN290" s="32"/>
      <c r="BO290" s="32"/>
      <c r="BP290" s="32"/>
      <c r="BQ290" s="32"/>
    </row>
    <row r="291">
      <c r="A291" s="32" t="str">
        <f>IFERROR(__xludf.DUMMYFUNCTION("""COMPUTED_VALUE"""),"Mekanian ")</f>
        <v>Mekanian </v>
      </c>
      <c r="B291" s="32">
        <f>IFERROR(__xludf.DUMMYFUNCTION("""COMPUTED_VALUE"""),1.0)</f>
        <v>1</v>
      </c>
      <c r="C291" s="32"/>
      <c r="D291" s="32" t="str">
        <f>IFERROR(__xludf.DUMMYFUNCTION("""COMPUTED_VALUE"""),"Construct")</f>
        <v>Construct</v>
      </c>
      <c r="E291" s="32">
        <f>IFERROR(__xludf.DUMMYFUNCTION("""COMPUTED_VALUE"""),1010.0)</f>
        <v>1010</v>
      </c>
      <c r="F291" s="33">
        <f>IFERROR(__xludf.DUMMYFUNCTION("""COMPUTED_VALUE"""),1010.0)</f>
        <v>1010</v>
      </c>
      <c r="G291" s="32">
        <f>IFERROR(__xludf.DUMMYFUNCTION("""COMPUTED_VALUE"""),1010.0)</f>
        <v>1010</v>
      </c>
      <c r="H291" s="32">
        <f>IFERROR(__xludf.DUMMYFUNCTION("""COMPUTED_VALUE"""),10.0)</f>
        <v>10</v>
      </c>
      <c r="I291" s="32">
        <f>IFERROR(__xludf.DUMMYFUNCTION("""COMPUTED_VALUE"""),0.0)</f>
        <v>0</v>
      </c>
      <c r="J291" s="32">
        <f>IFERROR(__xludf.DUMMYFUNCTION("""COMPUTED_VALUE"""),0.0)</f>
        <v>0</v>
      </c>
      <c r="K291" s="32">
        <f>IFERROR(__xludf.DUMMYFUNCTION("""COMPUTED_VALUE"""),100.0)</f>
        <v>100</v>
      </c>
      <c r="L291" s="32">
        <f>IFERROR(__xludf.DUMMYFUNCTION("""COMPUTED_VALUE"""),100.0)</f>
        <v>100</v>
      </c>
      <c r="M291" s="32" t="str">
        <f>IFERROR(__xludf.DUMMYFUNCTION("""COMPUTED_VALUE"""),"Fire:Immune, ")</f>
        <v>Fire:Immune, </v>
      </c>
      <c r="N291" s="32" t="str">
        <f>IFERROR(__xludf.DUMMYFUNCTION("""COMPUTED_VALUE"""),"Water:100, Storm:100, ")</f>
        <v>Water:100, Storm:100, </v>
      </c>
      <c r="O291" s="32"/>
      <c r="P291" s="32"/>
      <c r="Q291" s="32"/>
      <c r="R291" s="32"/>
      <c r="S291" s="32"/>
      <c r="T291" s="32"/>
      <c r="U291" s="32"/>
      <c r="V291" s="32"/>
      <c r="W291" s="32" t="str">
        <f>IFERROR(__xludf.DUMMYFUNCTION("""COMPUTED_VALUE"""),"Lazer Infused Sword")</f>
        <v>Lazer Infused Sword</v>
      </c>
      <c r="X291" s="32"/>
      <c r="Y291" s="32"/>
      <c r="Z291" s="32"/>
      <c r="AA291" s="32"/>
      <c r="AB291" s="32"/>
      <c r="AC291" s="32"/>
      <c r="AD291" s="32"/>
      <c r="AE291" s="32"/>
      <c r="AF291" s="32"/>
      <c r="AG291" s="32"/>
      <c r="AH291" s="32"/>
      <c r="AI291" s="32"/>
      <c r="AJ291" s="32" t="str">
        <f>IFERROR(__xludf.DUMMYFUNCTION("""COMPUTED_VALUE"""),"Fire Bolt")</f>
        <v>Fire Bolt</v>
      </c>
      <c r="AK291" s="32" t="str">
        <f>IFERROR(__xludf.DUMMYFUNCTION("""COMPUTED_VALUE"""),"Flame Thrower")</f>
        <v>Flame Thrower</v>
      </c>
      <c r="AL291" s="32" t="str">
        <f>IFERROR(__xludf.DUMMYFUNCTION("""COMPUTED_VALUE"""),"Go for the vitals")</f>
        <v>Go for the vitals</v>
      </c>
      <c r="AM291" s="32" t="str">
        <f>IFERROR(__xludf.DUMMYFUNCTION("""COMPUTED_VALUE"""),"Double Strike")</f>
        <v>Double Strike</v>
      </c>
      <c r="AN291" s="32" t="str">
        <f>IFERROR(__xludf.DUMMYFUNCTION("""COMPUTED_VALUE"""),"Berserk")</f>
        <v>Berserk</v>
      </c>
      <c r="AO291" s="32" t="str">
        <f>IFERROR(__xludf.DUMMYFUNCTION("""COMPUTED_VALUE"""),"Overcharge")</f>
        <v>Overcharge</v>
      </c>
      <c r="AP291" s="32" t="str">
        <f>IFERROR(__xludf.DUMMYFUNCTION("""COMPUTED_VALUE"""),"Recharge")</f>
        <v>Recharge</v>
      </c>
      <c r="AQ291" s="32" t="str">
        <f>IFERROR(__xludf.DUMMYFUNCTION("""COMPUTED_VALUE"""),"Cooldown")</f>
        <v>Cooldown</v>
      </c>
      <c r="AR291" s="32"/>
      <c r="AS291" s="32"/>
      <c r="AT291" s="32"/>
      <c r="AU291" s="32"/>
      <c r="AV291" s="32"/>
      <c r="AW291" s="32"/>
      <c r="AX291" s="32"/>
      <c r="AY291" s="32"/>
      <c r="AZ291" s="32"/>
      <c r="BA291" s="32"/>
      <c r="BB291" s="32"/>
      <c r="BC291" s="32"/>
      <c r="BD291" s="32">
        <f>IFERROR(__xludf.DUMMYFUNCTION("""COMPUTED_VALUE"""),0.0)</f>
        <v>0</v>
      </c>
      <c r="BE291" s="32">
        <f>IFERROR(__xludf.DUMMYFUNCTION("""COMPUTED_VALUE"""),10.0)</f>
        <v>10</v>
      </c>
      <c r="BF291" s="32" t="str">
        <f>IFERROR(__xludf.DUMMYFUNCTION("""COMPUTED_VALUE"""),"X2 damage towards weapons. ")</f>
        <v>X2 damage towards weapons. </v>
      </c>
      <c r="BG291" s="32" t="str">
        <f>IFERROR(__xludf.DUMMYFUNCTION("""COMPUTED_VALUE"""),"All")</f>
        <v>All</v>
      </c>
      <c r="BH291" s="32" t="str">
        <f>IFERROR(__xludf.DUMMYFUNCTION("""COMPUTED_VALUE"""),"Land of Spira")</f>
        <v>Land of Spira</v>
      </c>
      <c r="BI291" s="32"/>
      <c r="BJ291" s="32"/>
      <c r="BK291" s="32"/>
      <c r="BL291" s="32" t="b">
        <f>IFERROR(__xludf.DUMMYFUNCTION("""COMPUTED_VALUE"""),FALSE)</f>
        <v>0</v>
      </c>
      <c r="BM291" s="32"/>
      <c r="BN291" s="32"/>
      <c r="BO291" s="32"/>
      <c r="BP291" s="32"/>
      <c r="BQ291" s="32"/>
    </row>
    <row r="292">
      <c r="A292" s="32" t="str">
        <f>IFERROR(__xludf.DUMMYFUNCTION("""COMPUTED_VALUE"""),"Water Elemental")</f>
        <v>Water Elemental</v>
      </c>
      <c r="B292" s="32">
        <f>IFERROR(__xludf.DUMMYFUNCTION("""COMPUTED_VALUE"""),1.0)</f>
        <v>1</v>
      </c>
      <c r="C292" s="32"/>
      <c r="D292" s="32" t="str">
        <f>IFERROR(__xludf.DUMMYFUNCTION("""COMPUTED_VALUE"""),"Spirit")</f>
        <v>Spirit</v>
      </c>
      <c r="E292" s="32">
        <f>IFERROR(__xludf.DUMMYFUNCTION("""COMPUTED_VALUE"""),1010.0)</f>
        <v>1010</v>
      </c>
      <c r="F292" s="33">
        <f>IFERROR(__xludf.DUMMYFUNCTION("""COMPUTED_VALUE"""),1010.0)</f>
        <v>1010</v>
      </c>
      <c r="G292" s="32">
        <f>IFERROR(__xludf.DUMMYFUNCTION("""COMPUTED_VALUE"""),1010.0)</f>
        <v>1010</v>
      </c>
      <c r="H292" s="32">
        <f>IFERROR(__xludf.DUMMYFUNCTION("""COMPUTED_VALUE"""),10.0)</f>
        <v>10</v>
      </c>
      <c r="I292" s="32">
        <f>IFERROR(__xludf.DUMMYFUNCTION("""COMPUTED_VALUE"""),0.0)</f>
        <v>0</v>
      </c>
      <c r="J292" s="32">
        <f>IFERROR(__xludf.DUMMYFUNCTION("""COMPUTED_VALUE"""),0.0)</f>
        <v>0</v>
      </c>
      <c r="K292" s="32">
        <f>IFERROR(__xludf.DUMMYFUNCTION("""COMPUTED_VALUE"""),100.0)</f>
        <v>100</v>
      </c>
      <c r="L292" s="32">
        <f>IFERROR(__xludf.DUMMYFUNCTION("""COMPUTED_VALUE"""),100.0)</f>
        <v>100</v>
      </c>
      <c r="M292" s="32" t="str">
        <f>IFERROR(__xludf.DUMMYFUNCTION("""COMPUTED_VALUE"""),"Fire:100, Water:Immune, Blood:Immune, Instant Death:Immune, ")</f>
        <v>Fire:100, Water:Immune, Blood:Immune, Instant Death:Immune, </v>
      </c>
      <c r="N292" s="32" t="str">
        <f>IFERROR(__xludf.DUMMYFUNCTION("""COMPUTED_VALUE"""),"Nature:100, ")</f>
        <v>Nature:100, </v>
      </c>
      <c r="O292" s="32"/>
      <c r="P292" s="32"/>
      <c r="Q292" s="32"/>
      <c r="R292" s="32"/>
      <c r="S292" s="32"/>
      <c r="T292" s="32"/>
      <c r="U292" s="32"/>
      <c r="V292" s="32"/>
      <c r="W292" s="32"/>
      <c r="X292" s="32"/>
      <c r="Y292" s="32"/>
      <c r="Z292" s="32"/>
      <c r="AA292" s="32"/>
      <c r="AB292" s="32"/>
      <c r="AC292" s="32"/>
      <c r="AD292" s="32"/>
      <c r="AE292" s="32"/>
      <c r="AF292" s="32"/>
      <c r="AG292" s="32"/>
      <c r="AH292" s="32"/>
      <c r="AI292" s="32"/>
      <c r="AJ292" s="32" t="str">
        <f>IFERROR(__xludf.DUMMYFUNCTION("""COMPUTED_VALUE"""),"Freezing Fog")</f>
        <v>Freezing Fog</v>
      </c>
      <c r="AK292" s="32" t="str">
        <f>IFERROR(__xludf.DUMMYFUNCTION("""COMPUTED_VALUE"""),"Crashing Waves (Enhanced)")</f>
        <v>Crashing Waves (Enhanced)</v>
      </c>
      <c r="AL292" s="32" t="str">
        <f>IFERROR(__xludf.DUMMYFUNCTION("""COMPUTED_VALUE"""),"Torrential Downpour")</f>
        <v>Torrential Downpour</v>
      </c>
      <c r="AM292" s="32" t="str">
        <f>IFERROR(__xludf.DUMMYFUNCTION("""COMPUTED_VALUE"""),"Rain Storm")</f>
        <v>Rain Storm</v>
      </c>
      <c r="AN292" s="32" t="str">
        <f>IFERROR(__xludf.DUMMYFUNCTION("""COMPUTED_VALUE"""),"Stun Wave")</f>
        <v>Stun Wave</v>
      </c>
      <c r="AO292" s="32" t="str">
        <f>IFERROR(__xludf.DUMMYFUNCTION("""COMPUTED_VALUE"""),"Mass Destruction")</f>
        <v>Mass Destruction</v>
      </c>
      <c r="AP292" s="32"/>
      <c r="AQ292" s="32"/>
      <c r="AR292" s="32"/>
      <c r="AS292" s="32"/>
      <c r="AT292" s="32"/>
      <c r="AU292" s="32"/>
      <c r="AV292" s="32"/>
      <c r="AW292" s="32"/>
      <c r="AX292" s="32"/>
      <c r="AY292" s="32"/>
      <c r="AZ292" s="32"/>
      <c r="BA292" s="32"/>
      <c r="BB292" s="32"/>
      <c r="BC292" s="32"/>
      <c r="BD292" s="32">
        <f>IFERROR(__xludf.DUMMYFUNCTION("""COMPUTED_VALUE"""),0.0)</f>
        <v>0</v>
      </c>
      <c r="BE292" s="32">
        <f>IFERROR(__xludf.DUMMYFUNCTION("""COMPUTED_VALUE"""),10.0)</f>
        <v>10</v>
      </c>
      <c r="BF292" s="32"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32" t="str">
        <f>IFERROR(__xludf.DUMMYFUNCTION("""COMPUTED_VALUE"""),"All")</f>
        <v>All</v>
      </c>
      <c r="BH292" s="32" t="str">
        <f>IFERROR(__xludf.DUMMYFUNCTION("""COMPUTED_VALUE"""),"Dragonscale Island")</f>
        <v>Dragonscale Island</v>
      </c>
      <c r="BI292" s="32"/>
      <c r="BJ292" s="32"/>
      <c r="BK292" s="32"/>
      <c r="BL292" s="32" t="b">
        <f>IFERROR(__xludf.DUMMYFUNCTION("""COMPUTED_VALUE"""),FALSE)</f>
        <v>0</v>
      </c>
      <c r="BM292" s="32"/>
      <c r="BN292" s="32"/>
      <c r="BO292" s="32"/>
      <c r="BP292" s="32"/>
      <c r="BQ292" s="32"/>
    </row>
    <row r="293">
      <c r="A293" s="32" t="str">
        <f>IFERROR(__xludf.DUMMYFUNCTION("""COMPUTED_VALUE"""),"Armored Car")</f>
        <v>Armored Car</v>
      </c>
      <c r="B293" s="32">
        <f>IFERROR(__xludf.DUMMYFUNCTION("""COMPUTED_VALUE"""),1.0)</f>
        <v>1</v>
      </c>
      <c r="C293" s="32"/>
      <c r="D293" s="32" t="str">
        <f>IFERROR(__xludf.DUMMYFUNCTION("""COMPUTED_VALUE"""),"Construct")</f>
        <v>Construct</v>
      </c>
      <c r="E293" s="32">
        <f>IFERROR(__xludf.DUMMYFUNCTION("""COMPUTED_VALUE"""),1010.0)</f>
        <v>1010</v>
      </c>
      <c r="F293" s="33">
        <f>IFERROR(__xludf.DUMMYFUNCTION("""COMPUTED_VALUE"""),1010.0)</f>
        <v>1010</v>
      </c>
      <c r="G293" s="32">
        <f>IFERROR(__xludf.DUMMYFUNCTION("""COMPUTED_VALUE"""),1010.0)</f>
        <v>1010</v>
      </c>
      <c r="H293" s="32">
        <f>IFERROR(__xludf.DUMMYFUNCTION("""COMPUTED_VALUE"""),10.0)</f>
        <v>10</v>
      </c>
      <c r="I293" s="32">
        <f>IFERROR(__xludf.DUMMYFUNCTION("""COMPUTED_VALUE"""),0.0)</f>
        <v>0</v>
      </c>
      <c r="J293" s="32">
        <f>IFERROR(__xludf.DUMMYFUNCTION("""COMPUTED_VALUE"""),0.0)</f>
        <v>0</v>
      </c>
      <c r="K293" s="32">
        <f>IFERROR(__xludf.DUMMYFUNCTION("""COMPUTED_VALUE"""),100.0)</f>
        <v>100</v>
      </c>
      <c r="L293" s="32">
        <f>IFERROR(__xludf.DUMMYFUNCTION("""COMPUTED_VALUE"""),100.0)</f>
        <v>100</v>
      </c>
      <c r="M293" s="32" t="str">
        <f>IFERROR(__xludf.DUMMYFUNCTION("""COMPUTED_VALUE"""),"Natural:Immune, ")</f>
        <v>Natural:Immune, </v>
      </c>
      <c r="N293" s="32" t="str">
        <f>IFERROR(__xludf.DUMMYFUNCTION("""COMPUTED_VALUE"""),"Spirit:100, ")</f>
        <v>Spirit:100, </v>
      </c>
      <c r="O293" s="32" t="str">
        <f>IFERROR(__xludf.DUMMYFUNCTION("""COMPUTED_VALUE"""),"Roof Mounted Turret")</f>
        <v>Roof Mounted Turret</v>
      </c>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f>IFERROR(__xludf.DUMMYFUNCTION("""COMPUTED_VALUE"""),0.0)</f>
        <v>0</v>
      </c>
      <c r="BE293" s="32">
        <f>IFERROR(__xludf.DUMMYFUNCTION("""COMPUTED_VALUE"""),10.0)</f>
        <v>10</v>
      </c>
      <c r="BF293" s="32"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32" t="str">
        <f>IFERROR(__xludf.DUMMYFUNCTION("""COMPUTED_VALUE"""),"All")</f>
        <v>All</v>
      </c>
      <c r="BH293" s="32" t="str">
        <f>IFERROR(__xludf.DUMMYFUNCTION("""COMPUTED_VALUE"""),"Land of Spira")</f>
        <v>Land of Spira</v>
      </c>
      <c r="BI293" s="32"/>
      <c r="BJ293" s="32"/>
      <c r="BK293" s="32">
        <f>IFERROR(__xludf.DUMMYFUNCTION("""COMPUTED_VALUE"""),1000.0)</f>
        <v>1000</v>
      </c>
      <c r="BL293" s="32" t="b">
        <f>IFERROR(__xludf.DUMMYFUNCTION("""COMPUTED_VALUE"""),TRUE)</f>
        <v>1</v>
      </c>
      <c r="BM293" s="32" t="str">
        <f>IFERROR(__xludf.DUMMYFUNCTION("""COMPUTED_VALUE"""),"Car")</f>
        <v>Car</v>
      </c>
      <c r="BN293" s="32"/>
      <c r="BO293" s="32"/>
      <c r="BP293" s="32"/>
      <c r="BQ293" s="32"/>
    </row>
    <row r="294">
      <c r="A294" s="32" t="str">
        <f>IFERROR(__xludf.DUMMYFUNCTION("""COMPUTED_VALUE"""),"Tank")</f>
        <v>Tank</v>
      </c>
      <c r="B294" s="32">
        <f>IFERROR(__xludf.DUMMYFUNCTION("""COMPUTED_VALUE"""),1.0)</f>
        <v>1</v>
      </c>
      <c r="C294" s="32"/>
      <c r="D294" s="32" t="str">
        <f>IFERROR(__xludf.DUMMYFUNCTION("""COMPUTED_VALUE"""),"Construct")</f>
        <v>Construct</v>
      </c>
      <c r="E294" s="32">
        <f>IFERROR(__xludf.DUMMYFUNCTION("""COMPUTED_VALUE"""),1010.0)</f>
        <v>1010</v>
      </c>
      <c r="F294" s="33">
        <f>IFERROR(__xludf.DUMMYFUNCTION("""COMPUTED_VALUE"""),1010.0)</f>
        <v>1010</v>
      </c>
      <c r="G294" s="32">
        <f>IFERROR(__xludf.DUMMYFUNCTION("""COMPUTED_VALUE"""),1010.0)</f>
        <v>1010</v>
      </c>
      <c r="H294" s="32">
        <f>IFERROR(__xludf.DUMMYFUNCTION("""COMPUTED_VALUE"""),10.0)</f>
        <v>10</v>
      </c>
      <c r="I294" s="32">
        <f>IFERROR(__xludf.DUMMYFUNCTION("""COMPUTED_VALUE"""),0.0)</f>
        <v>0</v>
      </c>
      <c r="J294" s="32">
        <f>IFERROR(__xludf.DUMMYFUNCTION("""COMPUTED_VALUE"""),0.0)</f>
        <v>0</v>
      </c>
      <c r="K294" s="32">
        <f>IFERROR(__xludf.DUMMYFUNCTION("""COMPUTED_VALUE"""),100.0)</f>
        <v>100</v>
      </c>
      <c r="L294" s="32">
        <f>IFERROR(__xludf.DUMMYFUNCTION("""COMPUTED_VALUE"""),100.0)</f>
        <v>100</v>
      </c>
      <c r="M294" s="32" t="str">
        <f>IFERROR(__xludf.DUMMYFUNCTION("""COMPUTED_VALUE"""),"Natural:Immune, ")</f>
        <v>Natural:Immune, </v>
      </c>
      <c r="N294" s="32" t="str">
        <f>IFERROR(__xludf.DUMMYFUNCTION("""COMPUTED_VALUE"""),"Spirit:100, ")</f>
        <v>Spirit:100, </v>
      </c>
      <c r="O294" s="32" t="str">
        <f>IFERROR(__xludf.DUMMYFUNCTION("""COMPUTED_VALUE"""),"Missile Turret (car)")</f>
        <v>Missile Turret (car)</v>
      </c>
      <c r="P294" s="32"/>
      <c r="Q294" s="32"/>
      <c r="R294" s="32"/>
      <c r="S294" s="32"/>
      <c r="T294" s="32"/>
      <c r="U294" s="32"/>
      <c r="V294" s="32"/>
      <c r="W294" s="32"/>
      <c r="X294" s="32"/>
      <c r="Y294" s="32"/>
      <c r="Z294" s="32"/>
      <c r="AA294" s="32"/>
      <c r="AB294" s="32"/>
      <c r="AC294" s="32"/>
      <c r="AD294" s="32"/>
      <c r="AE294" s="32"/>
      <c r="AF294" s="32"/>
      <c r="AG294" s="32"/>
      <c r="AH294" s="32"/>
      <c r="AI294" s="32"/>
      <c r="AJ294" s="32" t="str">
        <f>IFERROR(__xludf.DUMMYFUNCTION("""COMPUTED_VALUE"""),"Vehicular Ward")</f>
        <v>Vehicular Ward</v>
      </c>
      <c r="AK294" s="32"/>
      <c r="AL294" s="32"/>
      <c r="AM294" s="32"/>
      <c r="AN294" s="32"/>
      <c r="AO294" s="32"/>
      <c r="AP294" s="32"/>
      <c r="AQ294" s="32"/>
      <c r="AR294" s="32"/>
      <c r="AS294" s="32"/>
      <c r="AT294" s="32"/>
      <c r="AU294" s="32"/>
      <c r="AV294" s="32"/>
      <c r="AW294" s="32"/>
      <c r="AX294" s="32"/>
      <c r="AY294" s="32"/>
      <c r="AZ294" s="32"/>
      <c r="BA294" s="32"/>
      <c r="BB294" s="32"/>
      <c r="BC294" s="32"/>
      <c r="BD294" s="32">
        <f>IFERROR(__xludf.DUMMYFUNCTION("""COMPUTED_VALUE"""),0.0)</f>
        <v>0</v>
      </c>
      <c r="BE294" s="32">
        <f>IFERROR(__xludf.DUMMYFUNCTION("""COMPUTED_VALUE"""),10.0)</f>
        <v>10</v>
      </c>
      <c r="BF294" s="32" t="str">
        <f>IFERROR(__xludf.DUMMYFUNCTION("""COMPUTED_VALUE"""),"Energy Savior I: Deduct d10 days from your current journey.
Up to 3 party members can travel in this mount.")</f>
        <v>Energy Savior I: Deduct d10 days from your current journey.
Up to 3 party members can travel in this mount.</v>
      </c>
      <c r="BG294" s="32" t="str">
        <f>IFERROR(__xludf.DUMMYFUNCTION("""COMPUTED_VALUE"""),"All")</f>
        <v>All</v>
      </c>
      <c r="BH294" s="32" t="str">
        <f>IFERROR(__xludf.DUMMYFUNCTION("""COMPUTED_VALUE"""),"Land of Spira")</f>
        <v>Land of Spira</v>
      </c>
      <c r="BI294" s="32"/>
      <c r="BJ294" s="32"/>
      <c r="BK294" s="32">
        <f>IFERROR(__xludf.DUMMYFUNCTION("""COMPUTED_VALUE"""),500.0)</f>
        <v>500</v>
      </c>
      <c r="BL294" s="32" t="b">
        <f>IFERROR(__xludf.DUMMYFUNCTION("""COMPUTED_VALUE"""),TRUE)</f>
        <v>1</v>
      </c>
      <c r="BM294" s="32" t="str">
        <f>IFERROR(__xludf.DUMMYFUNCTION("""COMPUTED_VALUE"""),"Car")</f>
        <v>Car</v>
      </c>
      <c r="BN294" s="32"/>
      <c r="BO294" s="32"/>
      <c r="BP294" s="32"/>
      <c r="BQ294" s="32"/>
    </row>
    <row r="295">
      <c r="A295" s="32" t="str">
        <f>IFERROR(__xludf.DUMMYFUNCTION("""COMPUTED_VALUE"""),"ATV")</f>
        <v>ATV</v>
      </c>
      <c r="B295" s="32">
        <f>IFERROR(__xludf.DUMMYFUNCTION("""COMPUTED_VALUE"""),1.0)</f>
        <v>1</v>
      </c>
      <c r="C295" s="32"/>
      <c r="D295" s="32" t="str">
        <f>IFERROR(__xludf.DUMMYFUNCTION("""COMPUTED_VALUE"""),"Construct")</f>
        <v>Construct</v>
      </c>
      <c r="E295" s="32">
        <f>IFERROR(__xludf.DUMMYFUNCTION("""COMPUTED_VALUE"""),1010.0)</f>
        <v>1010</v>
      </c>
      <c r="F295" s="33">
        <f>IFERROR(__xludf.DUMMYFUNCTION("""COMPUTED_VALUE"""),1010.0)</f>
        <v>1010</v>
      </c>
      <c r="G295" s="32">
        <f>IFERROR(__xludf.DUMMYFUNCTION("""COMPUTED_VALUE"""),1010.0)</f>
        <v>1010</v>
      </c>
      <c r="H295" s="32">
        <f>IFERROR(__xludf.DUMMYFUNCTION("""COMPUTED_VALUE"""),10.0)</f>
        <v>10</v>
      </c>
      <c r="I295" s="32">
        <f>IFERROR(__xludf.DUMMYFUNCTION("""COMPUTED_VALUE"""),0.0)</f>
        <v>0</v>
      </c>
      <c r="J295" s="32">
        <f>IFERROR(__xludf.DUMMYFUNCTION("""COMPUTED_VALUE"""),0.0)</f>
        <v>0</v>
      </c>
      <c r="K295" s="32">
        <f>IFERROR(__xludf.DUMMYFUNCTION("""COMPUTED_VALUE"""),100.0)</f>
        <v>100</v>
      </c>
      <c r="L295" s="32">
        <f>IFERROR(__xludf.DUMMYFUNCTION("""COMPUTED_VALUE"""),100.0)</f>
        <v>100</v>
      </c>
      <c r="M295" s="32" t="str">
        <f>IFERROR(__xludf.DUMMYFUNCTION("""COMPUTED_VALUE"""),"Natural:Immune, ")</f>
        <v>Natural:Immune, </v>
      </c>
      <c r="N295" s="32" t="str">
        <f>IFERROR(__xludf.DUMMYFUNCTION("""COMPUTED_VALUE"""),"Spirit:100, ")</f>
        <v>Spirit:100, </v>
      </c>
      <c r="O295" s="32"/>
      <c r="P295" s="32"/>
      <c r="Q295" s="32"/>
      <c r="R295" s="32"/>
      <c r="S295" s="32"/>
      <c r="T295" s="32"/>
      <c r="U295" s="32"/>
      <c r="V295" s="32"/>
      <c r="W295" s="32"/>
      <c r="X295" s="32"/>
      <c r="Y295" s="32"/>
      <c r="Z295" s="32"/>
      <c r="AA295" s="32"/>
      <c r="AB295" s="32"/>
      <c r="AC295" s="32"/>
      <c r="AD295" s="32"/>
      <c r="AE295" s="32"/>
      <c r="AF295" s="32"/>
      <c r="AG295" s="32"/>
      <c r="AH295" s="32"/>
      <c r="AI295" s="32"/>
      <c r="AJ295" s="32" t="str">
        <f>IFERROR(__xludf.DUMMYFUNCTION("""COMPUTED_VALUE"""),"Hit and Run")</f>
        <v>Hit and Run</v>
      </c>
      <c r="AK295" s="32"/>
      <c r="AL295" s="32"/>
      <c r="AM295" s="32"/>
      <c r="AN295" s="32"/>
      <c r="AO295" s="32"/>
      <c r="AP295" s="32"/>
      <c r="AQ295" s="32"/>
      <c r="AR295" s="32"/>
      <c r="AS295" s="32"/>
      <c r="AT295" s="32"/>
      <c r="AU295" s="32"/>
      <c r="AV295" s="32"/>
      <c r="AW295" s="32"/>
      <c r="AX295" s="32"/>
      <c r="AY295" s="32"/>
      <c r="AZ295" s="32"/>
      <c r="BA295" s="32"/>
      <c r="BB295" s="32"/>
      <c r="BC295" s="32"/>
      <c r="BD295" s="32">
        <f>IFERROR(__xludf.DUMMYFUNCTION("""COMPUTED_VALUE"""),0.0)</f>
        <v>0</v>
      </c>
      <c r="BE295" s="32">
        <f>IFERROR(__xludf.DUMMYFUNCTION("""COMPUTED_VALUE"""),10.0)</f>
        <v>10</v>
      </c>
      <c r="BF295" s="32"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32" t="str">
        <f>IFERROR(__xludf.DUMMYFUNCTION("""COMPUTED_VALUE"""),"City/Town")</f>
        <v>City/Town</v>
      </c>
      <c r="BH295" s="32" t="str">
        <f>IFERROR(__xludf.DUMMYFUNCTION("""COMPUTED_VALUE"""),"Land of Spira")</f>
        <v>Land of Spira</v>
      </c>
      <c r="BI295" s="32"/>
      <c r="BJ295" s="32"/>
      <c r="BK295" s="32">
        <f>IFERROR(__xludf.DUMMYFUNCTION("""COMPUTED_VALUE"""),200.0)</f>
        <v>200</v>
      </c>
      <c r="BL295" s="32" t="b">
        <f>IFERROR(__xludf.DUMMYFUNCTION("""COMPUTED_VALUE"""),TRUE)</f>
        <v>1</v>
      </c>
      <c r="BM295" s="32" t="str">
        <f>IFERROR(__xludf.DUMMYFUNCTION("""COMPUTED_VALUE"""),"Car")</f>
        <v>Car</v>
      </c>
      <c r="BN295" s="32"/>
      <c r="BO295" s="32"/>
      <c r="BP295" s="32"/>
      <c r="BQ295" s="32"/>
    </row>
    <row r="296">
      <c r="A296" s="32" t="str">
        <f>IFERROR(__xludf.DUMMYFUNCTION("""COMPUTED_VALUE"""),"Battleship")</f>
        <v>Battleship</v>
      </c>
      <c r="B296" s="32">
        <f>IFERROR(__xludf.DUMMYFUNCTION("""COMPUTED_VALUE"""),1.0)</f>
        <v>1</v>
      </c>
      <c r="C296" s="32"/>
      <c r="D296" s="32" t="str">
        <f>IFERROR(__xludf.DUMMYFUNCTION("""COMPUTED_VALUE"""),"Construct")</f>
        <v>Construct</v>
      </c>
      <c r="E296" s="32">
        <f>IFERROR(__xludf.DUMMYFUNCTION("""COMPUTED_VALUE"""),1010.0)</f>
        <v>1010</v>
      </c>
      <c r="F296" s="33">
        <f>IFERROR(__xludf.DUMMYFUNCTION("""COMPUTED_VALUE"""),1010.0)</f>
        <v>1010</v>
      </c>
      <c r="G296" s="32">
        <f>IFERROR(__xludf.DUMMYFUNCTION("""COMPUTED_VALUE"""),1010.0)</f>
        <v>1010</v>
      </c>
      <c r="H296" s="32">
        <f>IFERROR(__xludf.DUMMYFUNCTION("""COMPUTED_VALUE"""),10.0)</f>
        <v>10</v>
      </c>
      <c r="I296" s="32">
        <f>IFERROR(__xludf.DUMMYFUNCTION("""COMPUTED_VALUE"""),0.0)</f>
        <v>0</v>
      </c>
      <c r="J296" s="32">
        <f>IFERROR(__xludf.DUMMYFUNCTION("""COMPUTED_VALUE"""),0.0)</f>
        <v>0</v>
      </c>
      <c r="K296" s="32">
        <f>IFERROR(__xludf.DUMMYFUNCTION("""COMPUTED_VALUE"""),100.0)</f>
        <v>100</v>
      </c>
      <c r="L296" s="32">
        <f>IFERROR(__xludf.DUMMYFUNCTION("""COMPUTED_VALUE"""),100.0)</f>
        <v>100</v>
      </c>
      <c r="M296" s="32" t="str">
        <f>IFERROR(__xludf.DUMMYFUNCTION("""COMPUTED_VALUE"""),"Natural:Immune, ")</f>
        <v>Natural:Immune, </v>
      </c>
      <c r="N296" s="32" t="str">
        <f>IFERROR(__xludf.DUMMYFUNCTION("""COMPUTED_VALUE"""),"Spirit:100, ")</f>
        <v>Spirit:100, </v>
      </c>
      <c r="O296" s="32" t="str">
        <f>IFERROR(__xludf.DUMMYFUNCTION("""COMPUTED_VALUE"""),"Lazer Infused Cannon")</f>
        <v>Lazer Infused Cannon</v>
      </c>
      <c r="P296" s="32" t="str">
        <f>IFERROR(__xludf.DUMMYFUNCTION("""COMPUTED_VALUE"""),".50 Caliber Machine Gun (car)")</f>
        <v>.50 Caliber Machine Gun (car)</v>
      </c>
      <c r="Q296" s="32" t="str">
        <f>IFERROR(__xludf.DUMMYFUNCTION("""COMPUTED_VALUE"""),"Missile Turret (boat)")</f>
        <v>Missile Turret (boat)</v>
      </c>
      <c r="R296" s="32"/>
      <c r="S296" s="32"/>
      <c r="T296" s="32"/>
      <c r="U296" s="32"/>
      <c r="V296" s="32"/>
      <c r="W296" s="32"/>
      <c r="X296" s="32"/>
      <c r="Y296" s="32"/>
      <c r="Z296" s="32"/>
      <c r="AA296" s="32"/>
      <c r="AB296" s="32"/>
      <c r="AC296" s="32"/>
      <c r="AD296" s="32"/>
      <c r="AE296" s="32"/>
      <c r="AF296" s="32"/>
      <c r="AG296" s="32"/>
      <c r="AH296" s="32"/>
      <c r="AI296" s="32"/>
      <c r="AJ296" s="32" t="str">
        <f>IFERROR(__xludf.DUMMYFUNCTION("""COMPUTED_VALUE"""),"Radar")</f>
        <v>Radar</v>
      </c>
      <c r="AK296" s="32" t="str">
        <f>IFERROR(__xludf.DUMMYFUNCTION("""COMPUTED_VALUE"""),"Sonar")</f>
        <v>Sonar</v>
      </c>
      <c r="AL296" s="32" t="str">
        <f>IFERROR(__xludf.DUMMYFUNCTION("""COMPUTED_VALUE"""),"Vehicular Ward")</f>
        <v>Vehicular Ward</v>
      </c>
      <c r="AM296" s="32"/>
      <c r="AN296" s="32"/>
      <c r="AO296" s="32"/>
      <c r="AP296" s="32"/>
      <c r="AQ296" s="32"/>
      <c r="AR296" s="32"/>
      <c r="AS296" s="32"/>
      <c r="AT296" s="32"/>
      <c r="AU296" s="32"/>
      <c r="AV296" s="32"/>
      <c r="AW296" s="32"/>
      <c r="AX296" s="32"/>
      <c r="AY296" s="32"/>
      <c r="AZ296" s="32"/>
      <c r="BA296" s="32"/>
      <c r="BB296" s="32"/>
      <c r="BC296" s="32"/>
      <c r="BD296" s="32">
        <f>IFERROR(__xludf.DUMMYFUNCTION("""COMPUTED_VALUE"""),0.0)</f>
        <v>0</v>
      </c>
      <c r="BE296" s="32">
        <f>IFERROR(__xludf.DUMMYFUNCTION("""COMPUTED_VALUE"""),10.0)</f>
        <v>10</v>
      </c>
      <c r="BF296" s="32"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32" t="str">
        <f>IFERROR(__xludf.DUMMYFUNCTION("""COMPUTED_VALUE"""),"Ocean")</f>
        <v>Ocean</v>
      </c>
      <c r="BH296" s="32" t="str">
        <f>IFERROR(__xludf.DUMMYFUNCTION("""COMPUTED_VALUE"""),"Land of Spira")</f>
        <v>Land of Spira</v>
      </c>
      <c r="BI296" s="32"/>
      <c r="BJ296" s="32"/>
      <c r="BK296" s="32">
        <f>IFERROR(__xludf.DUMMYFUNCTION("""COMPUTED_VALUE"""),5000.0)</f>
        <v>5000</v>
      </c>
      <c r="BL296" s="32" t="b">
        <f>IFERROR(__xludf.DUMMYFUNCTION("""COMPUTED_VALUE"""),TRUE)</f>
        <v>1</v>
      </c>
      <c r="BM296" s="32" t="str">
        <f>IFERROR(__xludf.DUMMYFUNCTION("""COMPUTED_VALUE"""),"Boat")</f>
        <v>Boat</v>
      </c>
      <c r="BN296" s="32"/>
      <c r="BO296" s="32"/>
      <c r="BP296" s="32"/>
      <c r="BQ296" s="32"/>
    </row>
    <row r="297">
      <c r="A297" s="32" t="str">
        <f>IFERROR(__xludf.DUMMYFUNCTION("""COMPUTED_VALUE"""),"Galleon")</f>
        <v>Galleon</v>
      </c>
      <c r="B297" s="32">
        <f>IFERROR(__xludf.DUMMYFUNCTION("""COMPUTED_VALUE"""),1.0)</f>
        <v>1</v>
      </c>
      <c r="C297" s="32"/>
      <c r="D297" s="32" t="str">
        <f>IFERROR(__xludf.DUMMYFUNCTION("""COMPUTED_VALUE"""),"Construct")</f>
        <v>Construct</v>
      </c>
      <c r="E297" s="32">
        <f>IFERROR(__xludf.DUMMYFUNCTION("""COMPUTED_VALUE"""),1010.0)</f>
        <v>1010</v>
      </c>
      <c r="F297" s="33">
        <f>IFERROR(__xludf.DUMMYFUNCTION("""COMPUTED_VALUE"""),1010.0)</f>
        <v>1010</v>
      </c>
      <c r="G297" s="32">
        <f>IFERROR(__xludf.DUMMYFUNCTION("""COMPUTED_VALUE"""),1010.0)</f>
        <v>1010</v>
      </c>
      <c r="H297" s="32">
        <f>IFERROR(__xludf.DUMMYFUNCTION("""COMPUTED_VALUE"""),10.0)</f>
        <v>10</v>
      </c>
      <c r="I297" s="32">
        <f>IFERROR(__xludf.DUMMYFUNCTION("""COMPUTED_VALUE"""),0.0)</f>
        <v>0</v>
      </c>
      <c r="J297" s="32">
        <f>IFERROR(__xludf.DUMMYFUNCTION("""COMPUTED_VALUE"""),0.0)</f>
        <v>0</v>
      </c>
      <c r="K297" s="32">
        <f>IFERROR(__xludf.DUMMYFUNCTION("""COMPUTED_VALUE"""),100.0)</f>
        <v>100</v>
      </c>
      <c r="L297" s="32">
        <f>IFERROR(__xludf.DUMMYFUNCTION("""COMPUTED_VALUE"""),100.0)</f>
        <v>100</v>
      </c>
      <c r="M297" s="32" t="str">
        <f>IFERROR(__xludf.DUMMYFUNCTION("""COMPUTED_VALUE"""),"Natural:Immune, ")</f>
        <v>Natural:Immune, </v>
      </c>
      <c r="N297" s="32" t="str">
        <f>IFERROR(__xludf.DUMMYFUNCTION("""COMPUTED_VALUE"""),"Spirit:100, ")</f>
        <v>Spirit:100, </v>
      </c>
      <c r="O297" s="32" t="str">
        <f>IFERROR(__xludf.DUMMYFUNCTION("""COMPUTED_VALUE"""),"Fireball Cannon")</f>
        <v>Fireball Cannon</v>
      </c>
      <c r="P297" s="32" t="str">
        <f>IFERROR(__xludf.DUMMYFUNCTION("""COMPUTED_VALUE"""),"Fireball Cannon")</f>
        <v>Fireball Cannon</v>
      </c>
      <c r="Q297" s="32" t="str">
        <f>IFERROR(__xludf.DUMMYFUNCTION("""COMPUTED_VALUE"""),"Harpoon Gun")</f>
        <v>Harpoon Gun</v>
      </c>
      <c r="R297" s="32" t="str">
        <f>IFERROR(__xludf.DUMMYFUNCTION("""COMPUTED_VALUE"""),"Harpoon Gun")</f>
        <v>Harpoon Gun</v>
      </c>
      <c r="S297" s="32"/>
      <c r="T297" s="32"/>
      <c r="U297" s="32"/>
      <c r="V297" s="32"/>
      <c r="W297" s="32"/>
      <c r="X297" s="32"/>
      <c r="Y297" s="32"/>
      <c r="Z297" s="32"/>
      <c r="AA297" s="32"/>
      <c r="AB297" s="32"/>
      <c r="AC297" s="32"/>
      <c r="AD297" s="32"/>
      <c r="AE297" s="32"/>
      <c r="AF297" s="32"/>
      <c r="AG297" s="32"/>
      <c r="AH297" s="32"/>
      <c r="AI297" s="32"/>
      <c r="AJ297" s="32" t="str">
        <f>IFERROR(__xludf.DUMMYFUNCTION("""COMPUTED_VALUE"""),"Cannon Bombardment")</f>
        <v>Cannon Bombardment</v>
      </c>
      <c r="AK297" s="32"/>
      <c r="AL297" s="32"/>
      <c r="AM297" s="32"/>
      <c r="AN297" s="32"/>
      <c r="AO297" s="32"/>
      <c r="AP297" s="32"/>
      <c r="AQ297" s="32"/>
      <c r="AR297" s="32"/>
      <c r="AS297" s="32"/>
      <c r="AT297" s="32"/>
      <c r="AU297" s="32"/>
      <c r="AV297" s="32"/>
      <c r="AW297" s="32"/>
      <c r="AX297" s="32"/>
      <c r="AY297" s="32"/>
      <c r="AZ297" s="32"/>
      <c r="BA297" s="32"/>
      <c r="BB297" s="32"/>
      <c r="BC297" s="32"/>
      <c r="BD297" s="32">
        <f>IFERROR(__xludf.DUMMYFUNCTION("""COMPUTED_VALUE"""),0.0)</f>
        <v>0</v>
      </c>
      <c r="BE297" s="32">
        <f>IFERROR(__xludf.DUMMYFUNCTION("""COMPUTED_VALUE"""),10.0)</f>
        <v>10</v>
      </c>
      <c r="BF297" s="32"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32" t="str">
        <f>IFERROR(__xludf.DUMMYFUNCTION("""COMPUTED_VALUE"""),"Ocean")</f>
        <v>Ocean</v>
      </c>
      <c r="BH297" s="32" t="str">
        <f>IFERROR(__xludf.DUMMYFUNCTION("""COMPUTED_VALUE"""),"Land of Spira")</f>
        <v>Land of Spira</v>
      </c>
      <c r="BI297" s="32"/>
      <c r="BJ297" s="32"/>
      <c r="BK297" s="32">
        <f>IFERROR(__xludf.DUMMYFUNCTION("""COMPUTED_VALUE"""),0.0)</f>
        <v>0</v>
      </c>
      <c r="BL297" s="32" t="b">
        <f>IFERROR(__xludf.DUMMYFUNCTION("""COMPUTED_VALUE"""),TRUE)</f>
        <v>1</v>
      </c>
      <c r="BM297" s="32" t="str">
        <f>IFERROR(__xludf.DUMMYFUNCTION("""COMPUTED_VALUE"""),"Boat")</f>
        <v>Boat</v>
      </c>
      <c r="BN297" s="32"/>
      <c r="BO297" s="32"/>
      <c r="BP297" s="32"/>
      <c r="BQ297" s="32"/>
    </row>
    <row r="298">
      <c r="A298" s="32" t="str">
        <f>IFERROR(__xludf.DUMMYFUNCTION("""COMPUTED_VALUE"""),"Submarine")</f>
        <v>Submarine</v>
      </c>
      <c r="B298" s="32">
        <f>IFERROR(__xludf.DUMMYFUNCTION("""COMPUTED_VALUE"""),1.0)</f>
        <v>1</v>
      </c>
      <c r="C298" s="32"/>
      <c r="D298" s="32" t="str">
        <f>IFERROR(__xludf.DUMMYFUNCTION("""COMPUTED_VALUE"""),"Construct")</f>
        <v>Construct</v>
      </c>
      <c r="E298" s="32">
        <f>IFERROR(__xludf.DUMMYFUNCTION("""COMPUTED_VALUE"""),1010.0)</f>
        <v>1010</v>
      </c>
      <c r="F298" s="33">
        <f>IFERROR(__xludf.DUMMYFUNCTION("""COMPUTED_VALUE"""),1010.0)</f>
        <v>1010</v>
      </c>
      <c r="G298" s="32">
        <f>IFERROR(__xludf.DUMMYFUNCTION("""COMPUTED_VALUE"""),1010.0)</f>
        <v>1010</v>
      </c>
      <c r="H298" s="32">
        <f>IFERROR(__xludf.DUMMYFUNCTION("""COMPUTED_VALUE"""),10.0)</f>
        <v>10</v>
      </c>
      <c r="I298" s="32">
        <f>IFERROR(__xludf.DUMMYFUNCTION("""COMPUTED_VALUE"""),0.0)</f>
        <v>0</v>
      </c>
      <c r="J298" s="32">
        <f>IFERROR(__xludf.DUMMYFUNCTION("""COMPUTED_VALUE"""),0.0)</f>
        <v>0</v>
      </c>
      <c r="K298" s="32">
        <f>IFERROR(__xludf.DUMMYFUNCTION("""COMPUTED_VALUE"""),100.0)</f>
        <v>100</v>
      </c>
      <c r="L298" s="32">
        <f>IFERROR(__xludf.DUMMYFUNCTION("""COMPUTED_VALUE"""),100.0)</f>
        <v>100</v>
      </c>
      <c r="M298" s="32" t="str">
        <f>IFERROR(__xludf.DUMMYFUNCTION("""COMPUTED_VALUE"""),"Natural:Immune, ")</f>
        <v>Natural:Immune, </v>
      </c>
      <c r="N298" s="32" t="str">
        <f>IFERROR(__xludf.DUMMYFUNCTION("""COMPUTED_VALUE"""),"Spirit:100, ")</f>
        <v>Spirit:100, </v>
      </c>
      <c r="O298" s="32" t="str">
        <f>IFERROR(__xludf.DUMMYFUNCTION("""COMPUTED_VALUE"""),"Torpedo Launcher")</f>
        <v>Torpedo Launcher</v>
      </c>
      <c r="P298" s="32" t="str">
        <f>IFERROR(__xludf.DUMMYFUNCTION("""COMPUTED_VALUE"""),"Torpedo Launcher")</f>
        <v>Torpedo Launcher</v>
      </c>
      <c r="Q298" s="32"/>
      <c r="R298" s="32"/>
      <c r="S298" s="32"/>
      <c r="T298" s="32"/>
      <c r="U298" s="32"/>
      <c r="V298" s="32"/>
      <c r="W298" s="32"/>
      <c r="X298" s="32"/>
      <c r="Y298" s="32"/>
      <c r="Z298" s="32"/>
      <c r="AA298" s="32"/>
      <c r="AB298" s="32"/>
      <c r="AC298" s="32"/>
      <c r="AD298" s="32"/>
      <c r="AE298" s="32"/>
      <c r="AF298" s="32"/>
      <c r="AG298" s="32"/>
      <c r="AH298" s="32"/>
      <c r="AI298" s="32"/>
      <c r="AJ298" s="32" t="str">
        <f>IFERROR(__xludf.DUMMYFUNCTION("""COMPUTED_VALUE"""),"Sonar")</f>
        <v>Sonar</v>
      </c>
      <c r="AK298" s="32" t="str">
        <f>IFERROR(__xludf.DUMMYFUNCTION("""COMPUTED_VALUE"""),"Radar")</f>
        <v>Radar</v>
      </c>
      <c r="AL298" s="32" t="str">
        <f>IFERROR(__xludf.DUMMYFUNCTION("""COMPUTED_VALUE"""),"Vehicular Cloak")</f>
        <v>Vehicular Cloak</v>
      </c>
      <c r="AM298" s="32"/>
      <c r="AN298" s="32"/>
      <c r="AO298" s="32"/>
      <c r="AP298" s="32"/>
      <c r="AQ298" s="32"/>
      <c r="AR298" s="32"/>
      <c r="AS298" s="32"/>
      <c r="AT298" s="32"/>
      <c r="AU298" s="32"/>
      <c r="AV298" s="32"/>
      <c r="AW298" s="32"/>
      <c r="AX298" s="32"/>
      <c r="AY298" s="32"/>
      <c r="AZ298" s="32"/>
      <c r="BA298" s="32"/>
      <c r="BB298" s="32"/>
      <c r="BC298" s="32"/>
      <c r="BD298" s="32">
        <f>IFERROR(__xludf.DUMMYFUNCTION("""COMPUTED_VALUE"""),0.0)</f>
        <v>0</v>
      </c>
      <c r="BE298" s="32">
        <f>IFERROR(__xludf.DUMMYFUNCTION("""COMPUTED_VALUE"""),10.0)</f>
        <v>10</v>
      </c>
      <c r="BF298" s="32" t="str">
        <f>IFERROR(__xludf.DUMMYFUNCTION("""COMPUTED_VALUE"""),"Energy Savior II: Deduct d20 days from your current journey.
Up to 4 party members can travel in this mount.")</f>
        <v>Energy Savior II: Deduct d20 days from your current journey.
Up to 4 party members can travel in this mount.</v>
      </c>
      <c r="BG298" s="32" t="str">
        <f>IFERROR(__xludf.DUMMYFUNCTION("""COMPUTED_VALUE"""),"Ocean")</f>
        <v>Ocean</v>
      </c>
      <c r="BH298" s="32" t="str">
        <f>IFERROR(__xludf.DUMMYFUNCTION("""COMPUTED_VALUE"""),"Land of Spira")</f>
        <v>Land of Spira</v>
      </c>
      <c r="BI298" s="32"/>
      <c r="BJ298" s="32"/>
      <c r="BK298" s="32">
        <f>IFERROR(__xludf.DUMMYFUNCTION("""COMPUTED_VALUE"""),1000.0)</f>
        <v>1000</v>
      </c>
      <c r="BL298" s="32" t="b">
        <f>IFERROR(__xludf.DUMMYFUNCTION("""COMPUTED_VALUE"""),TRUE)</f>
        <v>1</v>
      </c>
      <c r="BM298" s="32" t="str">
        <f>IFERROR(__xludf.DUMMYFUNCTION("""COMPUTED_VALUE"""),"Boat")</f>
        <v>Boat</v>
      </c>
      <c r="BN298" s="32"/>
      <c r="BO298" s="32"/>
      <c r="BP298" s="32"/>
      <c r="BQ298" s="32"/>
    </row>
    <row r="299">
      <c r="A299" s="32" t="str">
        <f>IFERROR(__xludf.DUMMYFUNCTION("""COMPUTED_VALUE"""),"Scarecrow Lord")</f>
        <v>Scarecrow Lord</v>
      </c>
      <c r="B299" s="32">
        <f>IFERROR(__xludf.DUMMYFUNCTION("""COMPUTED_VALUE"""),1.0)</f>
        <v>1</v>
      </c>
      <c r="C299" s="32"/>
      <c r="D299" s="32" t="str">
        <f>IFERROR(__xludf.DUMMYFUNCTION("""COMPUTED_VALUE"""),"Undead")</f>
        <v>Undead</v>
      </c>
      <c r="E299" s="32">
        <f>IFERROR(__xludf.DUMMYFUNCTION("""COMPUTED_VALUE"""),1010.0)</f>
        <v>1010</v>
      </c>
      <c r="F299" s="33">
        <f>IFERROR(__xludf.DUMMYFUNCTION("""COMPUTED_VALUE"""),1010.0)</f>
        <v>1010</v>
      </c>
      <c r="G299" s="32">
        <f>IFERROR(__xludf.DUMMYFUNCTION("""COMPUTED_VALUE"""),1010.0)</f>
        <v>1010</v>
      </c>
      <c r="H299" s="32">
        <f>IFERROR(__xludf.DUMMYFUNCTION("""COMPUTED_VALUE"""),20.0)</f>
        <v>20</v>
      </c>
      <c r="I299" s="32">
        <f>IFERROR(__xludf.DUMMYFUNCTION("""COMPUTED_VALUE"""),0.0)</f>
        <v>0</v>
      </c>
      <c r="J299" s="32">
        <f>IFERROR(__xludf.DUMMYFUNCTION("""COMPUTED_VALUE"""),0.0)</f>
        <v>0</v>
      </c>
      <c r="K299" s="32">
        <f>IFERROR(__xludf.DUMMYFUNCTION("""COMPUTED_VALUE"""),100.0)</f>
        <v>100</v>
      </c>
      <c r="L299" s="32">
        <f>IFERROR(__xludf.DUMMYFUNCTION("""COMPUTED_VALUE"""),100.0)</f>
        <v>100</v>
      </c>
      <c r="M299" s="32" t="str">
        <f>IFERROR(__xludf.DUMMYFUNCTION("""COMPUTED_VALUE"""),"Dark:Immune, Spirit:Immune, Instant Death:Immune, ")</f>
        <v>Dark:Immune, Spirit:Immune, Instant Death:Immune, </v>
      </c>
      <c r="N299" s="32" t="str">
        <f>IFERROR(__xludf.DUMMYFUNCTION("""COMPUTED_VALUE"""),"")</f>
        <v/>
      </c>
      <c r="O299" s="32"/>
      <c r="P299" s="32"/>
      <c r="Q299" s="32"/>
      <c r="R299" s="32"/>
      <c r="S299" s="32"/>
      <c r="T299" s="32"/>
      <c r="U299" s="32"/>
      <c r="V299" s="32"/>
      <c r="W299" s="32"/>
      <c r="X299" s="32"/>
      <c r="Y299" s="32"/>
      <c r="Z299" s="32"/>
      <c r="AA299" s="32"/>
      <c r="AB299" s="32"/>
      <c r="AC299" s="32"/>
      <c r="AD299" s="32"/>
      <c r="AE299" s="32"/>
      <c r="AF299" s="32"/>
      <c r="AG299" s="32"/>
      <c r="AH299" s="32"/>
      <c r="AI299" s="32"/>
      <c r="AJ299" s="32" t="str">
        <f>IFERROR(__xludf.DUMMYFUNCTION("""COMPUTED_VALUE"""),"Chaincast")</f>
        <v>Chaincast</v>
      </c>
      <c r="AK299" s="32" t="str">
        <f>IFERROR(__xludf.DUMMYFUNCTION("""COMPUTED_VALUE"""),"Taunt")</f>
        <v>Taunt</v>
      </c>
      <c r="AL299" s="32" t="str">
        <f>IFERROR(__xludf.DUMMYFUNCTION("""COMPUTED_VALUE"""),"Flame Thrower")</f>
        <v>Flame Thrower</v>
      </c>
      <c r="AM299" s="32" t="str">
        <f>IFERROR(__xludf.DUMMYFUNCTION("""COMPUTED_VALUE"""),"Solar Storm")</f>
        <v>Solar Storm</v>
      </c>
      <c r="AN299" s="32" t="str">
        <f>IFERROR(__xludf.DUMMYFUNCTION("""COMPUTED_VALUE"""),"Devolve")</f>
        <v>Devolve</v>
      </c>
      <c r="AO299" s="32" t="str">
        <f>IFERROR(__xludf.DUMMYFUNCTION("""COMPUTED_VALUE"""),"Dark Curse")</f>
        <v>Dark Curse</v>
      </c>
      <c r="AP299" s="32" t="str">
        <f>IFERROR(__xludf.DUMMYFUNCTION("""COMPUTED_VALUE"""),"Chaos Ward")</f>
        <v>Chaos Ward</v>
      </c>
      <c r="AQ299" s="32" t="str">
        <f>IFERROR(__xludf.DUMMYFUNCTION("""COMPUTED_VALUE"""),"Dimensional Quake")</f>
        <v>Dimensional Quake</v>
      </c>
      <c r="AR299" s="32" t="str">
        <f>IFERROR(__xludf.DUMMYFUNCTION("""COMPUTED_VALUE"""),"Dimension Portal")</f>
        <v>Dimension Portal</v>
      </c>
      <c r="AS299" s="32" t="str">
        <f>IFERROR(__xludf.DUMMYFUNCTION("""COMPUTED_VALUE"""),"Multishot")</f>
        <v>Multishot</v>
      </c>
      <c r="AT299" s="32" t="str">
        <f>IFERROR(__xludf.DUMMYFUNCTION("""COMPUTED_VALUE"""),"Berserk")</f>
        <v>Berserk</v>
      </c>
      <c r="AU299" s="32" t="str">
        <f>IFERROR(__xludf.DUMMYFUNCTION("""COMPUTED_VALUE"""),"Mass Destruction")</f>
        <v>Mass Destruction</v>
      </c>
      <c r="AV299" s="32"/>
      <c r="AW299" s="32"/>
      <c r="AX299" s="32"/>
      <c r="AY299" s="32"/>
      <c r="AZ299" s="32"/>
      <c r="BA299" s="32"/>
      <c r="BB299" s="32"/>
      <c r="BC299" s="32"/>
      <c r="BD299" s="32">
        <f>IFERROR(__xludf.DUMMYFUNCTION("""COMPUTED_VALUE"""),0.0)</f>
        <v>0</v>
      </c>
      <c r="BE299" s="32">
        <f>IFERROR(__xludf.DUMMYFUNCTION("""COMPUTED_VALUE"""),20.0)</f>
        <v>20</v>
      </c>
      <c r="BF299" s="3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32" t="str">
        <f>IFERROR(__xludf.DUMMYFUNCTION("""COMPUTED_VALUE"""),"All")</f>
        <v>All</v>
      </c>
      <c r="BH299" s="32" t="str">
        <f>IFERROR(__xludf.DUMMYFUNCTION("""COMPUTED_VALUE"""),"Halloween Kingdom")</f>
        <v>Halloween Kingdom</v>
      </c>
      <c r="BI299" s="32"/>
      <c r="BJ299" s="32" t="str">
        <f>IFERROR(__xludf.DUMMYFUNCTION("""COMPUTED_VALUE"""),"Halloween Kingdom")</f>
        <v>Halloween Kingdom</v>
      </c>
      <c r="BK299" s="32"/>
      <c r="BL299" s="32" t="b">
        <f>IFERROR(__xludf.DUMMYFUNCTION("""COMPUTED_VALUE"""),FALSE)</f>
        <v>0</v>
      </c>
      <c r="BM299" s="32"/>
      <c r="BN299" s="32"/>
      <c r="BO299" s="32"/>
      <c r="BP299" s="32"/>
      <c r="BQ299" s="32"/>
    </row>
    <row r="300">
      <c r="A300" s="32" t="str">
        <f>IFERROR(__xludf.DUMMYFUNCTION("""COMPUTED_VALUE"""),"Corrupted King Zorgod")</f>
        <v>Corrupted King Zorgod</v>
      </c>
      <c r="B300" s="32">
        <f>IFERROR(__xludf.DUMMYFUNCTION("""COMPUTED_VALUE"""),1.0)</f>
        <v>1</v>
      </c>
      <c r="C300" s="32"/>
      <c r="D300" s="32" t="str">
        <f>IFERROR(__xludf.DUMMYFUNCTION("""COMPUTED_VALUE"""),"Humanoid")</f>
        <v>Humanoid</v>
      </c>
      <c r="E300" s="32">
        <f>IFERROR(__xludf.DUMMYFUNCTION("""COMPUTED_VALUE"""),1010.0)</f>
        <v>1010</v>
      </c>
      <c r="F300" s="33">
        <f>IFERROR(__xludf.DUMMYFUNCTION("""COMPUTED_VALUE"""),1010.0)</f>
        <v>1010</v>
      </c>
      <c r="G300" s="32">
        <f>IFERROR(__xludf.DUMMYFUNCTION("""COMPUTED_VALUE"""),1010.0)</f>
        <v>1010</v>
      </c>
      <c r="H300" s="32">
        <f>IFERROR(__xludf.DUMMYFUNCTION("""COMPUTED_VALUE"""),10.0)</f>
        <v>10</v>
      </c>
      <c r="I300" s="32">
        <f>IFERROR(__xludf.DUMMYFUNCTION("""COMPUTED_VALUE"""),0.0)</f>
        <v>0</v>
      </c>
      <c r="J300" s="32">
        <f>IFERROR(__xludf.DUMMYFUNCTION("""COMPUTED_VALUE"""),0.0)</f>
        <v>0</v>
      </c>
      <c r="K300" s="32">
        <f>IFERROR(__xludf.DUMMYFUNCTION("""COMPUTED_VALUE"""),100.0)</f>
        <v>100</v>
      </c>
      <c r="L300" s="32">
        <f>IFERROR(__xludf.DUMMYFUNCTION("""COMPUTED_VALUE"""),100.0)</f>
        <v>100</v>
      </c>
      <c r="M300" s="32" t="str">
        <f>IFERROR(__xludf.DUMMYFUNCTION("""COMPUTED_VALUE"""),"Dark:Immune, Instant Death:Immune, ")</f>
        <v>Dark:Immune, Instant Death:Immune, </v>
      </c>
      <c r="N300" s="32" t="str">
        <f>IFERROR(__xludf.DUMMYFUNCTION("""COMPUTED_VALUE"""),"Light:100, ")</f>
        <v>Light:100, </v>
      </c>
      <c r="O300" s="32"/>
      <c r="P300" s="32"/>
      <c r="Q300" s="32"/>
      <c r="R300" s="32"/>
      <c r="S300" s="32"/>
      <c r="T300" s="32"/>
      <c r="U300" s="32"/>
      <c r="V300" s="32"/>
      <c r="W300" s="32" t="str">
        <f>IFERROR(__xludf.DUMMYFUNCTION("""COMPUTED_VALUE"""),"Twilight Sword")</f>
        <v>Twilight Sword</v>
      </c>
      <c r="X300" s="32"/>
      <c r="Y300" s="32"/>
      <c r="Z300" s="32"/>
      <c r="AA300" s="32"/>
      <c r="AB300" s="32"/>
      <c r="AC300" s="32"/>
      <c r="AD300" s="32"/>
      <c r="AE300" s="32"/>
      <c r="AF300" s="32"/>
      <c r="AG300" s="32"/>
      <c r="AH300" s="32"/>
      <c r="AI300" s="32"/>
      <c r="AJ300" s="32" t="str">
        <f>IFERROR(__xludf.DUMMYFUNCTION("""COMPUTED_VALUE"""),"Chaincast")</f>
        <v>Chaincast</v>
      </c>
      <c r="AK300" s="32" t="str">
        <f>IFERROR(__xludf.DUMMYFUNCTION("""COMPUTED_VALUE"""),"Chanting Destruction")</f>
        <v>Chanting Destruction</v>
      </c>
      <c r="AL300" s="32" t="str">
        <f>IFERROR(__xludf.DUMMYFUNCTION("""COMPUTED_VALUE"""),"Berserk")</f>
        <v>Berserk</v>
      </c>
      <c r="AM300" s="32" t="str">
        <f>IFERROR(__xludf.DUMMYFUNCTION("""COMPUTED_VALUE"""),"Twilight Masquerade")</f>
        <v>Twilight Masquerade</v>
      </c>
      <c r="AN300" s="32" t="str">
        <f>IFERROR(__xludf.DUMMYFUNCTION("""COMPUTED_VALUE"""),"Mass Ignition")</f>
        <v>Mass Ignition</v>
      </c>
      <c r="AO300" s="32" t="str">
        <f>IFERROR(__xludf.DUMMYFUNCTION("""COMPUTED_VALUE"""),"Stasis Madness")</f>
        <v>Stasis Madness</v>
      </c>
      <c r="AP300" s="32" t="str">
        <f>IFERROR(__xludf.DUMMYFUNCTION("""COMPUTED_VALUE"""),"Stasis Tsunami")</f>
        <v>Stasis Tsunami</v>
      </c>
      <c r="AQ300" s="32" t="str">
        <f>IFERROR(__xludf.DUMMYFUNCTION("""COMPUTED_VALUE"""),"Stasis Meteor Shower")</f>
        <v>Stasis Meteor Shower</v>
      </c>
      <c r="AR300" s="32" t="str">
        <f>IFERROR(__xludf.DUMMYFUNCTION("""COMPUTED_VALUE"""),"Obliterating Light of Blindness")</f>
        <v>Obliterating Light of Blindness</v>
      </c>
      <c r="AS300" s="32" t="str">
        <f>IFERROR(__xludf.DUMMYFUNCTION("""COMPUTED_VALUE"""),"Mass Destruction")</f>
        <v>Mass Destruction</v>
      </c>
      <c r="AT300" s="32" t="str">
        <f>IFERROR(__xludf.DUMMYFUNCTION("""COMPUTED_VALUE"""),"Cancel")</f>
        <v>Cancel</v>
      </c>
      <c r="AU300" s="32"/>
      <c r="AV300" s="32"/>
      <c r="AW300" s="32"/>
      <c r="AX300" s="32"/>
      <c r="AY300" s="32"/>
      <c r="AZ300" s="32"/>
      <c r="BA300" s="32"/>
      <c r="BB300" s="32"/>
      <c r="BC300" s="32"/>
      <c r="BD300" s="32">
        <f>IFERROR(__xludf.DUMMYFUNCTION("""COMPUTED_VALUE"""),0.0)</f>
        <v>0</v>
      </c>
      <c r="BE300" s="32">
        <f>IFERROR(__xludf.DUMMYFUNCTION("""COMPUTED_VALUE"""),10.0)</f>
        <v>10</v>
      </c>
      <c r="BF300" s="32"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32" t="str">
        <f>IFERROR(__xludf.DUMMYFUNCTION("""COMPUTED_VALUE"""),"All")</f>
        <v>All</v>
      </c>
      <c r="BH300" s="32" t="str">
        <f>IFERROR(__xludf.DUMMYFUNCTION("""COMPUTED_VALUE"""),"Halloween Kingdom")</f>
        <v>Halloween Kingdom</v>
      </c>
      <c r="BI300" s="32"/>
      <c r="BJ300" s="32" t="str">
        <f>IFERROR(__xludf.DUMMYFUNCTION("""COMPUTED_VALUE"""),"Halloween Kingdom")</f>
        <v>Halloween Kingdom</v>
      </c>
      <c r="BK300" s="32"/>
      <c r="BL300" s="32" t="b">
        <f>IFERROR(__xludf.DUMMYFUNCTION("""COMPUTED_VALUE"""),FALSE)</f>
        <v>0</v>
      </c>
      <c r="BM300" s="32"/>
      <c r="BN300" s="32"/>
      <c r="BO300" s="32"/>
      <c r="BP300" s="32"/>
      <c r="BQ300" s="32"/>
    </row>
    <row r="301">
      <c r="A301" s="32" t="str">
        <f>IFERROR(__xludf.DUMMYFUNCTION("""COMPUTED_VALUE"""),"Vermouth The Sea Monkey King")</f>
        <v>Vermouth The Sea Monkey King</v>
      </c>
      <c r="B301" s="32">
        <f>IFERROR(__xludf.DUMMYFUNCTION("""COMPUTED_VALUE"""),1.0)</f>
        <v>1</v>
      </c>
      <c r="C301" s="32"/>
      <c r="D301" s="32" t="str">
        <f>IFERROR(__xludf.DUMMYFUNCTION("""COMPUTED_VALUE"""),"Humanoid")</f>
        <v>Humanoid</v>
      </c>
      <c r="E301" s="32">
        <f>IFERROR(__xludf.DUMMYFUNCTION("""COMPUTED_VALUE"""),1010.0)</f>
        <v>1010</v>
      </c>
      <c r="F301" s="33">
        <f>IFERROR(__xludf.DUMMYFUNCTION("""COMPUTED_VALUE"""),1010.0)</f>
        <v>1010</v>
      </c>
      <c r="G301" s="32">
        <f>IFERROR(__xludf.DUMMYFUNCTION("""COMPUTED_VALUE"""),1010.0)</f>
        <v>1010</v>
      </c>
      <c r="H301" s="32">
        <f>IFERROR(__xludf.DUMMYFUNCTION("""COMPUTED_VALUE"""),10.0)</f>
        <v>10</v>
      </c>
      <c r="I301" s="32">
        <f>IFERROR(__xludf.DUMMYFUNCTION("""COMPUTED_VALUE"""),0.0)</f>
        <v>0</v>
      </c>
      <c r="J301" s="32">
        <f>IFERROR(__xludf.DUMMYFUNCTION("""COMPUTED_VALUE"""),0.0)</f>
        <v>0</v>
      </c>
      <c r="K301" s="32">
        <f>IFERROR(__xludf.DUMMYFUNCTION("""COMPUTED_VALUE"""),100.0)</f>
        <v>100</v>
      </c>
      <c r="L301" s="32">
        <f>IFERROR(__xludf.DUMMYFUNCTION("""COMPUTED_VALUE"""),100.0)</f>
        <v>100</v>
      </c>
      <c r="M301" s="32" t="str">
        <f>IFERROR(__xludf.DUMMYFUNCTION("""COMPUTED_VALUE"""),"Fire:Immune, Water:Immune, Instant Death:Immune, Banishment:Immune, ")</f>
        <v>Fire:Immune, Water:Immune, Instant Death:Immune, Banishment:Immune, </v>
      </c>
      <c r="N301" s="32" t="str">
        <f>IFERROR(__xludf.DUMMYFUNCTION("""COMPUTED_VALUE"""),"Nature:100, ")</f>
        <v>Nature:100, </v>
      </c>
      <c r="O301" s="32" t="str">
        <f>IFERROR(__xludf.DUMMYFUNCTION("""COMPUTED_VALUE"""),"Vermouth's Crown of Tides")</f>
        <v>Vermouth's Crown of Tides</v>
      </c>
      <c r="P301" s="32"/>
      <c r="Q301" s="32"/>
      <c r="R301" s="32"/>
      <c r="S301" s="32"/>
      <c r="T301" s="32"/>
      <c r="U301" s="32"/>
      <c r="V301" s="32"/>
      <c r="W301" s="32"/>
      <c r="X301" s="32"/>
      <c r="Y301" s="32"/>
      <c r="Z301" s="32"/>
      <c r="AA301" s="32"/>
      <c r="AB301" s="32"/>
      <c r="AC301" s="32"/>
      <c r="AD301" s="32"/>
      <c r="AE301" s="32"/>
      <c r="AF301" s="32"/>
      <c r="AG301" s="32"/>
      <c r="AH301" s="32"/>
      <c r="AI301" s="32"/>
      <c r="AJ301" s="32" t="str">
        <f>IFERROR(__xludf.DUMMYFUNCTION("""COMPUTED_VALUE"""),"Chaincast")</f>
        <v>Chaincast</v>
      </c>
      <c r="AK301" s="32" t="str">
        <f>IFERROR(__xludf.DUMMYFUNCTION("""COMPUTED_VALUE"""),"Crashing Waves")</f>
        <v>Crashing Waves</v>
      </c>
      <c r="AL301" s="32" t="str">
        <f>IFERROR(__xludf.DUMMYFUNCTION("""COMPUTED_VALUE"""),"Torrential Downpour")</f>
        <v>Torrential Downpour</v>
      </c>
      <c r="AM301" s="32" t="str">
        <f>IFERROR(__xludf.DUMMYFUNCTION("""COMPUTED_VALUE"""),"Geyser (Enhanced)")</f>
        <v>Geyser (Enhanced)</v>
      </c>
      <c r="AN301" s="32" t="str">
        <f>IFERROR(__xludf.DUMMYFUNCTION("""COMPUTED_VALUE"""),"Multishot")</f>
        <v>Multishot</v>
      </c>
      <c r="AO301" s="32" t="str">
        <f>IFERROR(__xludf.DUMMYFUNCTION("""COMPUTED_VALUE"""),"Berserk")</f>
        <v>Berserk</v>
      </c>
      <c r="AP301" s="32" t="str">
        <f>IFERROR(__xludf.DUMMYFUNCTION("""COMPUTED_VALUE"""),"Mass Destruction")</f>
        <v>Mass Destruction</v>
      </c>
      <c r="AQ301" s="32"/>
      <c r="AR301" s="32"/>
      <c r="AS301" s="32"/>
      <c r="AT301" s="32"/>
      <c r="AU301" s="32"/>
      <c r="AV301" s="32"/>
      <c r="AW301" s="32"/>
      <c r="AX301" s="32"/>
      <c r="AY301" s="32"/>
      <c r="AZ301" s="32"/>
      <c r="BA301" s="32"/>
      <c r="BB301" s="32"/>
      <c r="BC301" s="32"/>
      <c r="BD301" s="32">
        <f>IFERROR(__xludf.DUMMYFUNCTION("""COMPUTED_VALUE"""),0.0)</f>
        <v>0</v>
      </c>
      <c r="BE301" s="32">
        <f>IFERROR(__xludf.DUMMYFUNCTION("""COMPUTED_VALUE"""),10.0)</f>
        <v>10</v>
      </c>
      <c r="BF301" s="3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32" t="str">
        <f>IFERROR(__xludf.DUMMYFUNCTION("""COMPUTED_VALUE"""),"Dungeon")</f>
        <v>Dungeon</v>
      </c>
      <c r="BH301" s="32" t="str">
        <f>IFERROR(__xludf.DUMMYFUNCTION("""COMPUTED_VALUE"""),"Land of Spira")</f>
        <v>Land of Spira</v>
      </c>
      <c r="BI301" s="32"/>
      <c r="BJ301" s="32"/>
      <c r="BK301" s="32"/>
      <c r="BL301" s="32" t="b">
        <f>IFERROR(__xludf.DUMMYFUNCTION("""COMPUTED_VALUE"""),FALSE)</f>
        <v>0</v>
      </c>
      <c r="BM301" s="32"/>
      <c r="BN301" s="32"/>
      <c r="BO301" s="32"/>
      <c r="BP301" s="32"/>
      <c r="BQ301" s="32"/>
    </row>
    <row r="302">
      <c r="A302" s="32" t="str">
        <f>IFERROR(__xludf.DUMMYFUNCTION("""COMPUTED_VALUE"""),"Vermouth's Guard")</f>
        <v>Vermouth's Guard</v>
      </c>
      <c r="B302" s="32">
        <f>IFERROR(__xludf.DUMMYFUNCTION("""COMPUTED_VALUE"""),1.0)</f>
        <v>1</v>
      </c>
      <c r="C302" s="32"/>
      <c r="D302" s="32" t="str">
        <f>IFERROR(__xludf.DUMMYFUNCTION("""COMPUTED_VALUE"""),"Beast")</f>
        <v>Beast</v>
      </c>
      <c r="E302" s="32">
        <f>IFERROR(__xludf.DUMMYFUNCTION("""COMPUTED_VALUE"""),1010.0)</f>
        <v>1010</v>
      </c>
      <c r="F302" s="33">
        <f>IFERROR(__xludf.DUMMYFUNCTION("""COMPUTED_VALUE"""),1010.0)</f>
        <v>1010</v>
      </c>
      <c r="G302" s="32">
        <f>IFERROR(__xludf.DUMMYFUNCTION("""COMPUTED_VALUE"""),1010.0)</f>
        <v>1010</v>
      </c>
      <c r="H302" s="32">
        <f>IFERROR(__xludf.DUMMYFUNCTION("""COMPUTED_VALUE"""),15.0)</f>
        <v>15</v>
      </c>
      <c r="I302" s="32">
        <f>IFERROR(__xludf.DUMMYFUNCTION("""COMPUTED_VALUE"""),15.0)</f>
        <v>15</v>
      </c>
      <c r="J302" s="32">
        <f>IFERROR(__xludf.DUMMYFUNCTION("""COMPUTED_VALUE"""),0.0)</f>
        <v>0</v>
      </c>
      <c r="K302" s="32">
        <f>IFERROR(__xludf.DUMMYFUNCTION("""COMPUTED_VALUE"""),100.0)</f>
        <v>100</v>
      </c>
      <c r="L302" s="32">
        <f>IFERROR(__xludf.DUMMYFUNCTION("""COMPUTED_VALUE"""),100.0)</f>
        <v>100</v>
      </c>
      <c r="M302" s="32" t="str">
        <f>IFERROR(__xludf.DUMMYFUNCTION("""COMPUTED_VALUE"""),"#REF!")</f>
        <v>#REF!</v>
      </c>
      <c r="N302" s="32" t="str">
        <f>IFERROR(__xludf.DUMMYFUNCTION("""COMPUTED_VALUE"""),"#REF!")</f>
        <v>#REF!</v>
      </c>
      <c r="O302" s="32"/>
      <c r="P302" s="32"/>
      <c r="Q302" s="32"/>
      <c r="R302" s="32"/>
      <c r="S302" s="32"/>
      <c r="T302" s="32"/>
      <c r="U302" s="32"/>
      <c r="V302" s="32"/>
      <c r="W302" s="32"/>
      <c r="X302" s="32"/>
      <c r="Y302" s="32"/>
      <c r="Z302" s="32"/>
      <c r="AA302" s="32"/>
      <c r="AB302" s="32"/>
      <c r="AC302" s="32"/>
      <c r="AD302" s="32"/>
      <c r="AE302" s="32"/>
      <c r="AF302" s="32"/>
      <c r="AG302" s="32"/>
      <c r="AH302" s="32"/>
      <c r="AI302" s="32"/>
      <c r="AJ302" s="32" t="str">
        <f>IFERROR(__xludf.DUMMYFUNCTION("""COMPUTED_VALUE"""),"Water Beam")</f>
        <v>Water Beam</v>
      </c>
      <c r="AK302" s="32" t="str">
        <f>IFERROR(__xludf.DUMMYFUNCTION("""COMPUTED_VALUE"""),"Arrest")</f>
        <v>Arrest</v>
      </c>
      <c r="AL302" s="32" t="str">
        <f>IFERROR(__xludf.DUMMYFUNCTION("""COMPUTED_VALUE"""),"Crashing Waves")</f>
        <v>Crashing Waves</v>
      </c>
      <c r="AM302" s="32" t="str">
        <f>IFERROR(__xludf.DUMMYFUNCTION("""COMPUTED_VALUE"""),"Torrential Downpour")</f>
        <v>Torrential Downpour</v>
      </c>
      <c r="AN302" s="32" t="str">
        <f>IFERROR(__xludf.DUMMYFUNCTION("""COMPUTED_VALUE"""),"Waveless Echo")</f>
        <v>Waveless Echo</v>
      </c>
      <c r="AO302" s="32" t="str">
        <f>IFERROR(__xludf.DUMMYFUNCTION("""COMPUTED_VALUE"""),"Celestial Wrath")</f>
        <v>Celestial Wrath</v>
      </c>
      <c r="AP302" s="32"/>
      <c r="AQ302" s="32"/>
      <c r="AR302" s="32"/>
      <c r="AS302" s="32"/>
      <c r="AT302" s="32"/>
      <c r="AU302" s="32"/>
      <c r="AV302" s="32"/>
      <c r="AW302" s="32"/>
      <c r="AX302" s="32"/>
      <c r="AY302" s="32"/>
      <c r="AZ302" s="32"/>
      <c r="BA302" s="32"/>
      <c r="BB302" s="32"/>
      <c r="BC302" s="32"/>
      <c r="BD302" s="32">
        <f>IFERROR(__xludf.DUMMYFUNCTION("""COMPUTED_VALUE"""),15.0)</f>
        <v>15</v>
      </c>
      <c r="BE302" s="32">
        <f>IFERROR(__xludf.DUMMYFUNCTION("""COMPUTED_VALUE"""),15.0)</f>
        <v>15</v>
      </c>
      <c r="BF302" s="32"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32" t="str">
        <f>IFERROR(__xludf.DUMMYFUNCTION("""COMPUTED_VALUE"""),"Dungeon")</f>
        <v>Dungeon</v>
      </c>
      <c r="BH302" s="32" t="str">
        <f>IFERROR(__xludf.DUMMYFUNCTION("""COMPUTED_VALUE"""),"Land of Spira")</f>
        <v>Land of Spira</v>
      </c>
      <c r="BI302" s="32"/>
      <c r="BJ302" s="32"/>
      <c r="BK302" s="32"/>
      <c r="BL302" s="32" t="b">
        <f>IFERROR(__xludf.DUMMYFUNCTION("""COMPUTED_VALUE"""),FALSE)</f>
        <v>0</v>
      </c>
      <c r="BM302" s="32"/>
      <c r="BN302" s="32"/>
      <c r="BO302" s="32"/>
      <c r="BP302" s="32"/>
      <c r="BQ302" s="32"/>
    </row>
    <row r="303">
      <c r="A303" s="32" t="str">
        <f>IFERROR(__xludf.DUMMYFUNCTION("""COMPUTED_VALUE"""),"Bashe The Cursed Sepent")</f>
        <v>Bashe The Cursed Sepent</v>
      </c>
      <c r="B303" s="32">
        <f>IFERROR(__xludf.DUMMYFUNCTION("""COMPUTED_VALUE"""),1.0)</f>
        <v>1</v>
      </c>
      <c r="C303" s="32"/>
      <c r="D303" s="32" t="str">
        <f>IFERROR(__xludf.DUMMYFUNCTION("""COMPUTED_VALUE"""),"Demonic")</f>
        <v>Demonic</v>
      </c>
      <c r="E303" s="32">
        <f>IFERROR(__xludf.DUMMYFUNCTION("""COMPUTED_VALUE"""),1010.0)</f>
        <v>1010</v>
      </c>
      <c r="F303" s="33">
        <f>IFERROR(__xludf.DUMMYFUNCTION("""COMPUTED_VALUE"""),1010.0)</f>
        <v>1010</v>
      </c>
      <c r="G303" s="32">
        <f>IFERROR(__xludf.DUMMYFUNCTION("""COMPUTED_VALUE"""),1010.0)</f>
        <v>1010</v>
      </c>
      <c r="H303" s="32">
        <f>IFERROR(__xludf.DUMMYFUNCTION("""COMPUTED_VALUE"""),20.0)</f>
        <v>20</v>
      </c>
      <c r="I303" s="32">
        <f>IFERROR(__xludf.DUMMYFUNCTION("""COMPUTED_VALUE"""),0.0)</f>
        <v>0</v>
      </c>
      <c r="J303" s="32">
        <f>IFERROR(__xludf.DUMMYFUNCTION("""COMPUTED_VALUE"""),0.0)</f>
        <v>0</v>
      </c>
      <c r="K303" s="32">
        <f>IFERROR(__xludf.DUMMYFUNCTION("""COMPUTED_VALUE"""),100.0)</f>
        <v>100</v>
      </c>
      <c r="L303" s="32">
        <f>IFERROR(__xludf.DUMMYFUNCTION("""COMPUTED_VALUE"""),100.0)</f>
        <v>100</v>
      </c>
      <c r="M303" s="32" t="str">
        <f>IFERROR(__xludf.DUMMYFUNCTION("""COMPUTED_VALUE"""),"Fire:Immune, Water:Immune, ")</f>
        <v>Fire:Immune, Water:Immune, </v>
      </c>
      <c r="N303" s="32" t="str">
        <f>IFERROR(__xludf.DUMMYFUNCTION("""COMPUTED_VALUE"""),"Nature:100, ")</f>
        <v>Nature:100, </v>
      </c>
      <c r="O303" s="32"/>
      <c r="P303" s="32"/>
      <c r="Q303" s="32"/>
      <c r="R303" s="32"/>
      <c r="S303" s="32"/>
      <c r="T303" s="32"/>
      <c r="U303" s="32"/>
      <c r="V303" s="32"/>
      <c r="W303" s="32"/>
      <c r="X303" s="32"/>
      <c r="Y303" s="32"/>
      <c r="Z303" s="32"/>
      <c r="AA303" s="32"/>
      <c r="AB303" s="32"/>
      <c r="AC303" s="32"/>
      <c r="AD303" s="32"/>
      <c r="AE303" s="32"/>
      <c r="AF303" s="32"/>
      <c r="AG303" s="32"/>
      <c r="AH303" s="32"/>
      <c r="AI303" s="32"/>
      <c r="AJ303" s="32" t="str">
        <f>IFERROR(__xludf.DUMMYFUNCTION("""COMPUTED_VALUE"""),"The World Tree")</f>
        <v>The World Tree</v>
      </c>
      <c r="AK303" s="32" t="str">
        <f>IFERROR(__xludf.DUMMYFUNCTION("""COMPUTED_VALUE"""),"Vine Hold")</f>
        <v>Vine Hold</v>
      </c>
      <c r="AL303" s="32" t="str">
        <f>IFERROR(__xludf.DUMMYFUNCTION("""COMPUTED_VALUE"""),"Thorn Bush")</f>
        <v>Thorn Bush</v>
      </c>
      <c r="AM303" s="32" t="str">
        <f>IFERROR(__xludf.DUMMYFUNCTION("""COMPUTED_VALUE"""),"Voodoo Meteor Shower")</f>
        <v>Voodoo Meteor Shower</v>
      </c>
      <c r="AN303" s="32" t="str">
        <f>IFERROR(__xludf.DUMMYFUNCTION("""COMPUTED_VALUE"""),"Last Gamble")</f>
        <v>Last Gamble</v>
      </c>
      <c r="AO303" s="32" t="str">
        <f>IFERROR(__xludf.DUMMYFUNCTION("""COMPUTED_VALUE"""),"Darkest Abyss")</f>
        <v>Darkest Abyss</v>
      </c>
      <c r="AP303" s="32" t="str">
        <f>IFERROR(__xludf.DUMMYFUNCTION("""COMPUTED_VALUE"""),"Dark Force")</f>
        <v>Dark Force</v>
      </c>
      <c r="AQ303" s="32" t="str">
        <f>IFERROR(__xludf.DUMMYFUNCTION("""COMPUTED_VALUE"""),"Chaincast")</f>
        <v>Chaincast</v>
      </c>
      <c r="AR303" s="32" t="str">
        <f>IFERROR(__xludf.DUMMYFUNCTION("""COMPUTED_VALUE"""),"Multishot")</f>
        <v>Multishot</v>
      </c>
      <c r="AS303" s="32" t="str">
        <f>IFERROR(__xludf.DUMMYFUNCTION("""COMPUTED_VALUE"""),"Mass Destruction")</f>
        <v>Mass Destruction</v>
      </c>
      <c r="AT303" s="32" t="str">
        <f>IFERROR(__xludf.DUMMYFUNCTION("""COMPUTED_VALUE"""),"Cancel")</f>
        <v>Cancel</v>
      </c>
      <c r="AU303" s="32" t="str">
        <f>IFERROR(__xludf.DUMMYFUNCTION("""COMPUTED_VALUE"""),"Berserk")</f>
        <v>Berserk</v>
      </c>
      <c r="AV303" s="32"/>
      <c r="AW303" s="32"/>
      <c r="AX303" s="32"/>
      <c r="AY303" s="32"/>
      <c r="AZ303" s="32"/>
      <c r="BA303" s="32"/>
      <c r="BB303" s="32"/>
      <c r="BC303" s="32"/>
      <c r="BD303" s="32">
        <f>IFERROR(__xludf.DUMMYFUNCTION("""COMPUTED_VALUE"""),0.0)</f>
        <v>0</v>
      </c>
      <c r="BE303" s="32">
        <f>IFERROR(__xludf.DUMMYFUNCTION("""COMPUTED_VALUE"""),20.0)</f>
        <v>20</v>
      </c>
      <c r="BF303" s="32"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32" t="str">
        <f>IFERROR(__xludf.DUMMYFUNCTION("""COMPUTED_VALUE"""),"Dungeon")</f>
        <v>Dungeon</v>
      </c>
      <c r="BH303" s="32" t="str">
        <f>IFERROR(__xludf.DUMMYFUNCTION("""COMPUTED_VALUE"""),"Land of Spira")</f>
        <v>Land of Spira</v>
      </c>
      <c r="BI303" s="32"/>
      <c r="BJ303" s="32"/>
      <c r="BK303" s="32"/>
      <c r="BL303" s="32" t="b">
        <f>IFERROR(__xludf.DUMMYFUNCTION("""COMPUTED_VALUE"""),FALSE)</f>
        <v>0</v>
      </c>
      <c r="BM303" s="32"/>
      <c r="BN303" s="32"/>
      <c r="BO303" s="32"/>
      <c r="BP303" s="32"/>
      <c r="BQ303" s="32"/>
    </row>
    <row r="304">
      <c r="A304" s="32" t="str">
        <f>IFERROR(__xludf.DUMMYFUNCTION("""COMPUTED_VALUE"""),"Grash, The Oni of Fiji")</f>
        <v>Grash, The Oni of Fiji</v>
      </c>
      <c r="B304" s="32">
        <f>IFERROR(__xludf.DUMMYFUNCTION("""COMPUTED_VALUE"""),1.0)</f>
        <v>1</v>
      </c>
      <c r="C304" s="32" t="str">
        <f>IFERROR(__xludf.DUMMYFUNCTION("""COMPUTED_VALUE"""),"A demon guardian of Fiji, Eternally pissed off at nothing in particular")</f>
        <v>A demon guardian of Fiji, Eternally pissed off at nothing in particular</v>
      </c>
      <c r="D304" s="32" t="str">
        <f>IFERROR(__xludf.DUMMYFUNCTION("""COMPUTED_VALUE"""),"Demonic")</f>
        <v>Demonic</v>
      </c>
      <c r="E304" s="32">
        <f>IFERROR(__xludf.DUMMYFUNCTION("""COMPUTED_VALUE"""),1010.0)</f>
        <v>1010</v>
      </c>
      <c r="F304" s="33">
        <f>IFERROR(__xludf.DUMMYFUNCTION("""COMPUTED_VALUE"""),1010.0)</f>
        <v>1010</v>
      </c>
      <c r="G304" s="32">
        <f>IFERROR(__xludf.DUMMYFUNCTION("""COMPUTED_VALUE"""),1010.0)</f>
        <v>1010</v>
      </c>
      <c r="H304" s="32">
        <f>IFERROR(__xludf.DUMMYFUNCTION("""COMPUTED_VALUE"""),15.0)</f>
        <v>15</v>
      </c>
      <c r="I304" s="32">
        <f>IFERROR(__xludf.DUMMYFUNCTION("""COMPUTED_VALUE"""),0.0)</f>
        <v>0</v>
      </c>
      <c r="J304" s="32">
        <f>IFERROR(__xludf.DUMMYFUNCTION("""COMPUTED_VALUE"""),0.0)</f>
        <v>0</v>
      </c>
      <c r="K304" s="32">
        <f>IFERROR(__xludf.DUMMYFUNCTION("""COMPUTED_VALUE"""),100.0)</f>
        <v>100</v>
      </c>
      <c r="L304" s="32">
        <f>IFERROR(__xludf.DUMMYFUNCTION("""COMPUTED_VALUE"""),100.0)</f>
        <v>100</v>
      </c>
      <c r="M304" s="32" t="str">
        <f>IFERROR(__xludf.DUMMYFUNCTION("""COMPUTED_VALUE"""),"Fire:Immune, Dark:100, Ranged:Immune, Voodoo:Immune, Zen:Immune, Instant Death:Immune, Banishment:Immune, ")</f>
        <v>Fire:Immune, Dark:100, Ranged:Immune, Voodoo:Immune, Zen:Immune, Instant Death:Immune, Banishment:Immune, </v>
      </c>
      <c r="N304" s="32" t="str">
        <f>IFERROR(__xludf.DUMMYFUNCTION("""COMPUTED_VALUE"""),"Light:100, Order:100, Physical:100, ")</f>
        <v>Light:100, Order:100, Physical:100, </v>
      </c>
      <c r="O304" s="32" t="str">
        <f>IFERROR(__xludf.DUMMYFUNCTION("""COMPUTED_VALUE"""),"Ancient Oni Mask")</f>
        <v>Ancient Oni Mask</v>
      </c>
      <c r="P304" s="32" t="str">
        <f>IFERROR(__xludf.DUMMYFUNCTION("""COMPUTED_VALUE"""),"Black Crystal Necklace of Luck")</f>
        <v>Black Crystal Necklace of Luck</v>
      </c>
      <c r="Q304" s="32"/>
      <c r="R304" s="32"/>
      <c r="S304" s="32" t="str">
        <f>IFERROR(__xludf.DUMMYFUNCTION("""COMPUTED_VALUE"""),"Ancient Oni Pauldrons")</f>
        <v>Ancient Oni Pauldrons</v>
      </c>
      <c r="T304" s="32" t="str">
        <f>IFERROR(__xludf.DUMMYFUNCTION("""COMPUTED_VALUE"""),"Ancient Oni Chestplate")</f>
        <v>Ancient Oni Chestplate</v>
      </c>
      <c r="U304" s="32" t="str">
        <f>IFERROR(__xludf.DUMMYFUNCTION("""COMPUTED_VALUE"""),"Ancient Oni Vambraces")</f>
        <v>Ancient Oni Vambraces</v>
      </c>
      <c r="V304" s="32" t="str">
        <f>IFERROR(__xludf.DUMMYFUNCTION("""COMPUTED_VALUE"""),"Ancient Oni Katana")</f>
        <v>Ancient Oni Katana</v>
      </c>
      <c r="W304" s="32" t="str">
        <f>IFERROR(__xludf.DUMMYFUNCTION("""COMPUTED_VALUE"""),"Shining Katana")</f>
        <v>Shining Katana</v>
      </c>
      <c r="X304" s="32"/>
      <c r="Y304" s="32"/>
      <c r="Z304" s="32"/>
      <c r="AA304" s="32"/>
      <c r="AB304" s="32"/>
      <c r="AC304" s="32"/>
      <c r="AD304" s="32"/>
      <c r="AE304" s="32"/>
      <c r="AF304" s="32"/>
      <c r="AG304" s="32"/>
      <c r="AH304" s="32" t="str">
        <f>IFERROR(__xludf.DUMMYFUNCTION("""COMPUTED_VALUE"""),"Ancient Oni Greaves")</f>
        <v>Ancient Oni Greaves</v>
      </c>
      <c r="AI304" s="32" t="str">
        <f>IFERROR(__xludf.DUMMYFUNCTION("""COMPUTED_VALUE"""),"Ancient Oni Boots")</f>
        <v>Ancient Oni Boots</v>
      </c>
      <c r="AJ304" s="32" t="str">
        <f>IFERROR(__xludf.DUMMYFUNCTION("""COMPUTED_VALUE"""),"Berserk")</f>
        <v>Berserk</v>
      </c>
      <c r="AK304" s="32" t="str">
        <f>IFERROR(__xludf.DUMMYFUNCTION("""COMPUTED_VALUE"""),"The All Knowing Eye")</f>
        <v>The All Knowing Eye</v>
      </c>
      <c r="AL304" s="32" t="str">
        <f>IFERROR(__xludf.DUMMYFUNCTION("""COMPUTED_VALUE"""),"Max Focus")</f>
        <v>Max Focus</v>
      </c>
      <c r="AM304" s="32" t="str">
        <f>IFERROR(__xludf.DUMMYFUNCTION("""COMPUTED_VALUE"""),"FlashStep")</f>
        <v>FlashStep</v>
      </c>
      <c r="AN304" s="32" t="str">
        <f>IFERROR(__xludf.DUMMYFUNCTION("""COMPUTED_VALUE"""),"End The Voodoo Contract")</f>
        <v>End The Voodoo Contract</v>
      </c>
      <c r="AO304" s="32" t="str">
        <f>IFERROR(__xludf.DUMMYFUNCTION("""COMPUTED_VALUE"""),"Voodoo Meteor Shower")</f>
        <v>Voodoo Meteor Shower</v>
      </c>
      <c r="AP304" s="32" t="str">
        <f>IFERROR(__xludf.DUMMYFUNCTION("""COMPUTED_VALUE"""),"Multi-Magic")</f>
        <v>Multi-Magic</v>
      </c>
      <c r="AQ304" s="32" t="str">
        <f>IFERROR(__xludf.DUMMYFUNCTION("""COMPUTED_VALUE"""),"Stand in")</f>
        <v>Stand in</v>
      </c>
      <c r="AR304" s="32" t="str">
        <f>IFERROR(__xludf.DUMMYFUNCTION("""COMPUTED_VALUE"""),"Chaincast")</f>
        <v>Chaincast</v>
      </c>
      <c r="AS304" s="32" t="str">
        <f>IFERROR(__xludf.DUMMYFUNCTION("""COMPUTED_VALUE"""),"Mass Destruction")</f>
        <v>Mass Destruction</v>
      </c>
      <c r="AT304" s="32" t="str">
        <f>IFERROR(__xludf.DUMMYFUNCTION("""COMPUTED_VALUE"""),"Grash's Smashing Success")</f>
        <v>Grash's Smashing Success</v>
      </c>
      <c r="AU304" s="32"/>
      <c r="AV304" s="32"/>
      <c r="AW304" s="32"/>
      <c r="AX304" s="32"/>
      <c r="AY304" s="32"/>
      <c r="AZ304" s="32"/>
      <c r="BA304" s="32"/>
      <c r="BB304" s="32"/>
      <c r="BC304" s="32"/>
      <c r="BD304" s="32">
        <f>IFERROR(__xludf.DUMMYFUNCTION("""COMPUTED_VALUE"""),0.0)</f>
        <v>0</v>
      </c>
      <c r="BE304" s="32">
        <f>IFERROR(__xludf.DUMMYFUNCTION("""COMPUTED_VALUE"""),15.0)</f>
        <v>15</v>
      </c>
      <c r="BF304" s="32"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32" t="str">
        <f>IFERROR(__xludf.DUMMYFUNCTION("""COMPUTED_VALUE"""),"Dungeon")</f>
        <v>Dungeon</v>
      </c>
      <c r="BH304" s="32" t="str">
        <f>IFERROR(__xludf.DUMMYFUNCTION("""COMPUTED_VALUE"""),"Land of Spira")</f>
        <v>Land of Spira</v>
      </c>
      <c r="BI304" s="32"/>
      <c r="BJ304" s="32"/>
      <c r="BK304" s="32"/>
      <c r="BL304" s="32" t="b">
        <f>IFERROR(__xludf.DUMMYFUNCTION("""COMPUTED_VALUE"""),FALSE)</f>
        <v>0</v>
      </c>
      <c r="BM304" s="32"/>
      <c r="BN304" s="32"/>
      <c r="BO304" s="32"/>
      <c r="BP304" s="32"/>
      <c r="BQ304" s="32"/>
    </row>
    <row r="305">
      <c r="A305" s="32" t="str">
        <f>IFERROR(__xludf.DUMMYFUNCTION("""COMPUTED_VALUE"""),"The Black Tortoise ")</f>
        <v>The Black Tortoise </v>
      </c>
      <c r="B305" s="32">
        <f>IFERROR(__xludf.DUMMYFUNCTION("""COMPUTED_VALUE"""),1.0)</f>
        <v>1</v>
      </c>
      <c r="C305" s="32" t="str">
        <f>IFERROR(__xludf.DUMMYFUNCTION("""COMPUTED_VALUE"""),"A mythological creature, usually depicted as a turtle-and-snake.")</f>
        <v>A mythological creature, usually depicted as a turtle-and-snake.</v>
      </c>
      <c r="D305" s="32" t="str">
        <f>IFERROR(__xludf.DUMMYFUNCTION("""COMPUTED_VALUE"""),"Beast")</f>
        <v>Beast</v>
      </c>
      <c r="E305" s="32">
        <f>IFERROR(__xludf.DUMMYFUNCTION("""COMPUTED_VALUE"""),1010.0)</f>
        <v>1010</v>
      </c>
      <c r="F305" s="33">
        <f>IFERROR(__xludf.DUMMYFUNCTION("""COMPUTED_VALUE"""),1010.0)</f>
        <v>1010</v>
      </c>
      <c r="G305" s="32">
        <f>IFERROR(__xludf.DUMMYFUNCTION("""COMPUTED_VALUE"""),1010.0)</f>
        <v>1010</v>
      </c>
      <c r="H305" s="32">
        <f>IFERROR(__xludf.DUMMYFUNCTION("""COMPUTED_VALUE"""),10.0)</f>
        <v>10</v>
      </c>
      <c r="I305" s="32">
        <f>IFERROR(__xludf.DUMMYFUNCTION("""COMPUTED_VALUE"""),0.0)</f>
        <v>0</v>
      </c>
      <c r="J305" s="32">
        <f>IFERROR(__xludf.DUMMYFUNCTION("""COMPUTED_VALUE"""),0.0)</f>
        <v>0</v>
      </c>
      <c r="K305" s="32">
        <f>IFERROR(__xludf.DUMMYFUNCTION("""COMPUTED_VALUE"""),100.0)</f>
        <v>100</v>
      </c>
      <c r="L305" s="32">
        <f>IFERROR(__xludf.DUMMYFUNCTION("""COMPUTED_VALUE"""),100.0)</f>
        <v>100</v>
      </c>
      <c r="M305" s="32" t="str">
        <f>IFERROR(__xludf.DUMMYFUNCTION("""COMPUTED_VALUE"""),"Dark:Immune, Voodoo:Immune, Instant Death:Immune, Banishment:Immune, ")</f>
        <v>Dark:Immune, Voodoo:Immune, Instant Death:Immune, Banishment:Immune, </v>
      </c>
      <c r="N305" s="32" t="str">
        <f>IFERROR(__xludf.DUMMYFUNCTION("""COMPUTED_VALUE"""),"Light:100, Order:100, ")</f>
        <v>Light:100, Order:100, </v>
      </c>
      <c r="O305" s="32"/>
      <c r="P305" s="32"/>
      <c r="Q305" s="32"/>
      <c r="R305" s="32"/>
      <c r="S305" s="32"/>
      <c r="T305" s="32" t="str">
        <f>IFERROR(__xludf.DUMMYFUNCTION("""COMPUTED_VALUE"""),"Reinforced Tortoise Shell")</f>
        <v>Reinforced Tortoise Shell</v>
      </c>
      <c r="U305" s="32"/>
      <c r="V305" s="32"/>
      <c r="W305" s="32" t="str">
        <f>IFERROR(__xludf.DUMMYFUNCTION("""COMPUTED_VALUE"""),"Tortoise Shell Shield")</f>
        <v>Tortoise Shell Shield</v>
      </c>
      <c r="X305" s="32"/>
      <c r="Y305" s="32"/>
      <c r="Z305" s="32"/>
      <c r="AA305" s="32"/>
      <c r="AB305" s="32"/>
      <c r="AC305" s="32"/>
      <c r="AD305" s="32"/>
      <c r="AE305" s="32"/>
      <c r="AF305" s="32"/>
      <c r="AG305" s="32"/>
      <c r="AH305" s="32"/>
      <c r="AI305" s="32"/>
      <c r="AJ305" s="32" t="str">
        <f>IFERROR(__xludf.DUMMYFUNCTION("""COMPUTED_VALUE"""),"Bite")</f>
        <v>Bite</v>
      </c>
      <c r="AK305" s="32" t="str">
        <f>IFERROR(__xludf.DUMMYFUNCTION("""COMPUTED_VALUE"""),"Darkest Abyss")</f>
        <v>Darkest Abyss</v>
      </c>
      <c r="AL305" s="32" t="str">
        <f>IFERROR(__xludf.DUMMYFUNCTION("""COMPUTED_VALUE"""),"Dark Curse")</f>
        <v>Dark Curse</v>
      </c>
      <c r="AM305" s="32" t="str">
        <f>IFERROR(__xludf.DUMMYFUNCTION("""COMPUTED_VALUE"""),"Voodoo Meteor Shower")</f>
        <v>Voodoo Meteor Shower</v>
      </c>
      <c r="AN305" s="32" t="str">
        <f>IFERROR(__xludf.DUMMYFUNCTION("""COMPUTED_VALUE"""),"Last Gamble")</f>
        <v>Last Gamble</v>
      </c>
      <c r="AO305" s="32" t="str">
        <f>IFERROR(__xludf.DUMMYFUNCTION("""COMPUTED_VALUE"""),"Multi-Magic")</f>
        <v>Multi-Magic</v>
      </c>
      <c r="AP305" s="32" t="str">
        <f>IFERROR(__xludf.DUMMYFUNCTION("""COMPUTED_VALUE"""),"Berserk")</f>
        <v>Berserk</v>
      </c>
      <c r="AQ305" s="32" t="str">
        <f>IFERROR(__xludf.DUMMYFUNCTION("""COMPUTED_VALUE"""),"Celestial Wrath")</f>
        <v>Celestial Wrath</v>
      </c>
      <c r="AR305" s="32"/>
      <c r="AS305" s="32"/>
      <c r="AT305" s="32"/>
      <c r="AU305" s="32"/>
      <c r="AV305" s="32"/>
      <c r="AW305" s="32"/>
      <c r="AX305" s="32"/>
      <c r="AY305" s="32"/>
      <c r="AZ305" s="32"/>
      <c r="BA305" s="32"/>
      <c r="BB305" s="32"/>
      <c r="BC305" s="32"/>
      <c r="BD305" s="32">
        <f>IFERROR(__xludf.DUMMYFUNCTION("""COMPUTED_VALUE"""),0.0)</f>
        <v>0</v>
      </c>
      <c r="BE305" s="32">
        <f>IFERROR(__xludf.DUMMYFUNCTION("""COMPUTED_VALUE"""),10.0)</f>
        <v>10</v>
      </c>
      <c r="BF305" s="32"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32" t="str">
        <f>IFERROR(__xludf.DUMMYFUNCTION("""COMPUTED_VALUE"""),"Dungeon")</f>
        <v>Dungeon</v>
      </c>
      <c r="BH305" s="32" t="str">
        <f>IFERROR(__xludf.DUMMYFUNCTION("""COMPUTED_VALUE"""),"Land of Spira")</f>
        <v>Land of Spira</v>
      </c>
      <c r="BI305" s="32"/>
      <c r="BJ305" s="32"/>
      <c r="BK305" s="32"/>
      <c r="BL305" s="32" t="b">
        <f>IFERROR(__xludf.DUMMYFUNCTION("""COMPUTED_VALUE"""),FALSE)</f>
        <v>0</v>
      </c>
      <c r="BM305" s="32"/>
      <c r="BN305" s="32"/>
      <c r="BO305" s="32"/>
      <c r="BP305" s="32"/>
      <c r="BQ305" s="32"/>
    </row>
    <row r="306">
      <c r="A306" s="32" t="str">
        <f>IFERROR(__xludf.DUMMYFUNCTION("""COMPUTED_VALUE"""),"Ninja of Bashe")</f>
        <v>Ninja of Bashe</v>
      </c>
      <c r="B306" s="32">
        <f>IFERROR(__xludf.DUMMYFUNCTION("""COMPUTED_VALUE"""),1.0)</f>
        <v>1</v>
      </c>
      <c r="C306" s="32"/>
      <c r="D306" s="32" t="str">
        <f>IFERROR(__xludf.DUMMYFUNCTION("""COMPUTED_VALUE"""),"Humanoid")</f>
        <v>Humanoid</v>
      </c>
      <c r="E306" s="32">
        <f>IFERROR(__xludf.DUMMYFUNCTION("""COMPUTED_VALUE"""),1010.0)</f>
        <v>1010</v>
      </c>
      <c r="F306" s="33">
        <f>IFERROR(__xludf.DUMMYFUNCTION("""COMPUTED_VALUE"""),1010.0)</f>
        <v>1010</v>
      </c>
      <c r="G306" s="32">
        <f>IFERROR(__xludf.DUMMYFUNCTION("""COMPUTED_VALUE"""),1010.0)</f>
        <v>1010</v>
      </c>
      <c r="H306" s="32">
        <f>IFERROR(__xludf.DUMMYFUNCTION("""COMPUTED_VALUE"""),20.0)</f>
        <v>20</v>
      </c>
      <c r="I306" s="32">
        <f>IFERROR(__xludf.DUMMYFUNCTION("""COMPUTED_VALUE"""),0.0)</f>
        <v>0</v>
      </c>
      <c r="J306" s="32">
        <f>IFERROR(__xludf.DUMMYFUNCTION("""COMPUTED_VALUE"""),0.0)</f>
        <v>0</v>
      </c>
      <c r="K306" s="32">
        <f>IFERROR(__xludf.DUMMYFUNCTION("""COMPUTED_VALUE"""),100.0)</f>
        <v>100</v>
      </c>
      <c r="L306" s="32">
        <f>IFERROR(__xludf.DUMMYFUNCTION("""COMPUTED_VALUE"""),100.0)</f>
        <v>100</v>
      </c>
      <c r="M306" s="32" t="str">
        <f>IFERROR(__xludf.DUMMYFUNCTION("""COMPUTED_VALUE"""),"Dark:100, Chaos:100, Voodoo:Immune, Instant Death:Immune, ")</f>
        <v>Dark:100, Chaos:100, Voodoo:Immune, Instant Death:Immune, </v>
      </c>
      <c r="N306" s="32" t="str">
        <f>IFERROR(__xludf.DUMMYFUNCTION("""COMPUTED_VALUE"""),"")</f>
        <v/>
      </c>
      <c r="O306" s="32"/>
      <c r="P306" s="32"/>
      <c r="Q306" s="32"/>
      <c r="R306" s="32"/>
      <c r="S306" s="32"/>
      <c r="T306" s="32" t="str">
        <f>IFERROR(__xludf.DUMMYFUNCTION("""COMPUTED_VALUE"""),"Masking Cloak")</f>
        <v>Masking Cloak</v>
      </c>
      <c r="U306" s="32"/>
      <c r="V306" s="32" t="str">
        <f>IFERROR(__xludf.DUMMYFUNCTION("""COMPUTED_VALUE"""),"Blood Katana")</f>
        <v>Blood Katana</v>
      </c>
      <c r="W306" s="32" t="str">
        <f>IFERROR(__xludf.DUMMYFUNCTION("""COMPUTED_VALUE"""),"Shuriken")</f>
        <v>Shuriken</v>
      </c>
      <c r="X306" s="32" t="str">
        <f>IFERROR(__xludf.DUMMYFUNCTION("""COMPUTED_VALUE"""),"Ring of Darkness")</f>
        <v>Ring of Darkness</v>
      </c>
      <c r="Y306" s="32"/>
      <c r="Z306" s="32"/>
      <c r="AA306" s="32"/>
      <c r="AB306" s="32"/>
      <c r="AC306" s="32"/>
      <c r="AD306" s="32"/>
      <c r="AE306" s="32"/>
      <c r="AF306" s="32"/>
      <c r="AG306" s="32"/>
      <c r="AH306" s="32"/>
      <c r="AI306" s="32"/>
      <c r="AJ306" s="32" t="str">
        <f>IFERROR(__xludf.DUMMYFUNCTION("""COMPUTED_VALUE"""),"Dark Curse")</f>
        <v>Dark Curse</v>
      </c>
      <c r="AK306" s="32" t="str">
        <f>IFERROR(__xludf.DUMMYFUNCTION("""COMPUTED_VALUE"""),"Dark Force")</f>
        <v>Dark Force</v>
      </c>
      <c r="AL306" s="32" t="str">
        <f>IFERROR(__xludf.DUMMYFUNCTION("""COMPUTED_VALUE"""),"Devolve")</f>
        <v>Devolve</v>
      </c>
      <c r="AM306" s="32" t="str">
        <f>IFERROR(__xludf.DUMMYFUNCTION("""COMPUTED_VALUE"""),"Bloody Alliance")</f>
        <v>Bloody Alliance</v>
      </c>
      <c r="AN306" s="32" t="str">
        <f>IFERROR(__xludf.DUMMYFUNCTION("""COMPUTED_VALUE"""),"Damage With A Cost.")</f>
        <v>Damage With A Cost.</v>
      </c>
      <c r="AO306" s="32" t="str">
        <f>IFERROR(__xludf.DUMMYFUNCTION("""COMPUTED_VALUE"""),"Pick Pocket")</f>
        <v>Pick Pocket</v>
      </c>
      <c r="AP306" s="32" t="str">
        <f>IFERROR(__xludf.DUMMYFUNCTION("""COMPUTED_VALUE"""),"Conceal")</f>
        <v>Conceal</v>
      </c>
      <c r="AQ306" s="32"/>
      <c r="AR306" s="32"/>
      <c r="AS306" s="32"/>
      <c r="AT306" s="32"/>
      <c r="AU306" s="32"/>
      <c r="AV306" s="32"/>
      <c r="AW306" s="32"/>
      <c r="AX306" s="32"/>
      <c r="AY306" s="32"/>
      <c r="AZ306" s="32"/>
      <c r="BA306" s="32"/>
      <c r="BB306" s="32"/>
      <c r="BC306" s="32"/>
      <c r="BD306" s="32">
        <f>IFERROR(__xludf.DUMMYFUNCTION("""COMPUTED_VALUE"""),0.0)</f>
        <v>0</v>
      </c>
      <c r="BE306" s="32">
        <f>IFERROR(__xludf.DUMMYFUNCTION("""COMPUTED_VALUE"""),20.0)</f>
        <v>20</v>
      </c>
      <c r="BF306" s="32"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32" t="str">
        <f>IFERROR(__xludf.DUMMYFUNCTION("""COMPUTED_VALUE"""),"All")</f>
        <v>All</v>
      </c>
      <c r="BH306" s="32" t="str">
        <f>IFERROR(__xludf.DUMMYFUNCTION("""COMPUTED_VALUE"""),"Land of Spira")</f>
        <v>Land of Spira</v>
      </c>
      <c r="BI306" s="32"/>
      <c r="BJ306" s="32"/>
      <c r="BK306" s="32"/>
      <c r="BL306" s="32" t="b">
        <f>IFERROR(__xludf.DUMMYFUNCTION("""COMPUTED_VALUE"""),FALSE)</f>
        <v>0</v>
      </c>
      <c r="BM306" s="32"/>
      <c r="BN306" s="32"/>
      <c r="BO306" s="32"/>
      <c r="BP306" s="32"/>
      <c r="BQ306" s="32"/>
    </row>
    <row r="307">
      <c r="A307" s="32" t="str">
        <f>IFERROR(__xludf.DUMMYFUNCTION("""COMPUTED_VALUE"""),"PyroShell")</f>
        <v>PyroShell</v>
      </c>
      <c r="B307" s="32">
        <f>IFERROR(__xludf.DUMMYFUNCTION("""COMPUTED_VALUE"""),1.0)</f>
        <v>1</v>
      </c>
      <c r="C307" s="32"/>
      <c r="D307" s="32" t="str">
        <f>IFERROR(__xludf.DUMMYFUNCTION("""COMPUTED_VALUE"""),"Beast")</f>
        <v>Beast</v>
      </c>
      <c r="E307" s="32">
        <f>IFERROR(__xludf.DUMMYFUNCTION("""COMPUTED_VALUE"""),1010.0)</f>
        <v>1010</v>
      </c>
      <c r="F307" s="33">
        <f>IFERROR(__xludf.DUMMYFUNCTION("""COMPUTED_VALUE"""),1010.0)</f>
        <v>1010</v>
      </c>
      <c r="G307" s="32">
        <f>IFERROR(__xludf.DUMMYFUNCTION("""COMPUTED_VALUE"""),1010.0)</f>
        <v>1010</v>
      </c>
      <c r="H307" s="32">
        <f>IFERROR(__xludf.DUMMYFUNCTION("""COMPUTED_VALUE"""),10.0)</f>
        <v>10</v>
      </c>
      <c r="I307" s="32">
        <f>IFERROR(__xludf.DUMMYFUNCTION("""COMPUTED_VALUE"""),0.0)</f>
        <v>0</v>
      </c>
      <c r="J307" s="32">
        <f>IFERROR(__xludf.DUMMYFUNCTION("""COMPUTED_VALUE"""),0.0)</f>
        <v>0</v>
      </c>
      <c r="K307" s="32">
        <f>IFERROR(__xludf.DUMMYFUNCTION("""COMPUTED_VALUE"""),100.0)</f>
        <v>100</v>
      </c>
      <c r="L307" s="32">
        <f>IFERROR(__xludf.DUMMYFUNCTION("""COMPUTED_VALUE"""),100.0)</f>
        <v>100</v>
      </c>
      <c r="M307" s="32" t="str">
        <f>IFERROR(__xludf.DUMMYFUNCTION("""COMPUTED_VALUE"""),"Fire:Immune, Instant Death:Immune, Banishment:Immune, ")</f>
        <v>Fire:Immune, Instant Death:Immune, Banishment:Immune, </v>
      </c>
      <c r="N307" s="32" t="str">
        <f>IFERROR(__xludf.DUMMYFUNCTION("""COMPUTED_VALUE"""),"Water:100, Earth:100, ")</f>
        <v>Water:100, Earth:100, </v>
      </c>
      <c r="O307" s="32"/>
      <c r="P307" s="32"/>
      <c r="Q307" s="32"/>
      <c r="R307" s="32"/>
      <c r="S307" s="32"/>
      <c r="T307" s="32"/>
      <c r="U307" s="32"/>
      <c r="V307" s="32"/>
      <c r="W307" s="32"/>
      <c r="X307" s="32"/>
      <c r="Y307" s="32"/>
      <c r="Z307" s="32"/>
      <c r="AA307" s="32"/>
      <c r="AB307" s="32"/>
      <c r="AC307" s="32"/>
      <c r="AD307" s="32"/>
      <c r="AE307" s="32"/>
      <c r="AF307" s="32"/>
      <c r="AG307" s="32"/>
      <c r="AH307" s="32"/>
      <c r="AI307" s="32"/>
      <c r="AJ307" s="32" t="str">
        <f>IFERROR(__xludf.DUMMYFUNCTION("""COMPUTED_VALUE"""),"Volcanic Rain")</f>
        <v>Volcanic Rain</v>
      </c>
      <c r="AK307" s="32" t="str">
        <f>IFERROR(__xludf.DUMMYFUNCTION("""COMPUTED_VALUE"""),"Mass Ignition")</f>
        <v>Mass Ignition</v>
      </c>
      <c r="AL307" s="32" t="str">
        <f>IFERROR(__xludf.DUMMYFUNCTION("""COMPUTED_VALUE"""),"Flame Sanctuary")</f>
        <v>Flame Sanctuary</v>
      </c>
      <c r="AM307" s="32" t="str">
        <f>IFERROR(__xludf.DUMMYFUNCTION("""COMPUTED_VALUE"""),"Solar Storm")</f>
        <v>Solar Storm</v>
      </c>
      <c r="AN307" s="32" t="str">
        <f>IFERROR(__xludf.DUMMYFUNCTION("""COMPUTED_VALUE"""),"Solar Ward")</f>
        <v>Solar Ward</v>
      </c>
      <c r="AO307" s="32" t="str">
        <f>IFERROR(__xludf.DUMMYFUNCTION("""COMPUTED_VALUE"""),"Mass Destruction")</f>
        <v>Mass Destruction</v>
      </c>
      <c r="AP307" s="32" t="str">
        <f>IFERROR(__xludf.DUMMYFUNCTION("""COMPUTED_VALUE"""),"Berserk")</f>
        <v>Berserk</v>
      </c>
      <c r="AQ307" s="32"/>
      <c r="AR307" s="32"/>
      <c r="AS307" s="32"/>
      <c r="AT307" s="32"/>
      <c r="AU307" s="32"/>
      <c r="AV307" s="32"/>
      <c r="AW307" s="32"/>
      <c r="AX307" s="32"/>
      <c r="AY307" s="32"/>
      <c r="AZ307" s="32"/>
      <c r="BA307" s="32"/>
      <c r="BB307" s="32"/>
      <c r="BC307" s="32"/>
      <c r="BD307" s="32">
        <f>IFERROR(__xludf.DUMMYFUNCTION("""COMPUTED_VALUE"""),0.0)</f>
        <v>0</v>
      </c>
      <c r="BE307" s="32">
        <f>IFERROR(__xludf.DUMMYFUNCTION("""COMPUTED_VALUE"""),10.0)</f>
        <v>10</v>
      </c>
      <c r="BF307" s="32"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32" t="str">
        <f>IFERROR(__xludf.DUMMYFUNCTION("""COMPUTED_VALUE"""),"Dungeon")</f>
        <v>Dungeon</v>
      </c>
      <c r="BH307" s="32" t="str">
        <f>IFERROR(__xludf.DUMMYFUNCTION("""COMPUTED_VALUE"""),"Abstara")</f>
        <v>Abstara</v>
      </c>
      <c r="BI307" s="32"/>
      <c r="BJ307" s="32"/>
      <c r="BK307" s="32"/>
      <c r="BL307" s="32" t="b">
        <f>IFERROR(__xludf.DUMMYFUNCTION("""COMPUTED_VALUE"""),FALSE)</f>
        <v>0</v>
      </c>
      <c r="BM307" s="32"/>
      <c r="BN307" s="32"/>
      <c r="BO307" s="32"/>
      <c r="BP307" s="32"/>
      <c r="BQ307" s="32"/>
    </row>
    <row r="308">
      <c r="A308" s="32" t="str">
        <f>IFERROR(__xludf.DUMMYFUNCTION("""COMPUTED_VALUE"""),"Dragonscale Guard (Tier III)")</f>
        <v>Dragonscale Guard (Tier III)</v>
      </c>
      <c r="B308" s="32">
        <f>IFERROR(__xludf.DUMMYFUNCTION("""COMPUTED_VALUE"""),1.0)</f>
        <v>1</v>
      </c>
      <c r="C308" s="3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33" t="str">
        <f>IFERROR(__xludf.DUMMYFUNCTION("""COMPUTED_VALUE"""),"Draconic")</f>
        <v>Draconic</v>
      </c>
      <c r="E308" s="33">
        <f>IFERROR(__xludf.DUMMYFUNCTION("""COMPUTED_VALUE"""),1010.0)</f>
        <v>1010</v>
      </c>
      <c r="F308" s="33">
        <f>IFERROR(__xludf.DUMMYFUNCTION("""COMPUTED_VALUE"""),1010.0)</f>
        <v>1010</v>
      </c>
      <c r="G308" s="33">
        <f>IFERROR(__xludf.DUMMYFUNCTION("""COMPUTED_VALUE"""),123010.0)</f>
        <v>123010</v>
      </c>
      <c r="H308" s="32">
        <f>IFERROR(__xludf.DUMMYFUNCTION("""COMPUTED_VALUE"""),20.0)</f>
        <v>20</v>
      </c>
      <c r="I308" s="32">
        <f>IFERROR(__xludf.DUMMYFUNCTION("""COMPUTED_VALUE"""),20.0)</f>
        <v>20</v>
      </c>
      <c r="J308" s="32">
        <f>IFERROR(__xludf.DUMMYFUNCTION("""COMPUTED_VALUE"""),0.0)</f>
        <v>0</v>
      </c>
      <c r="K308" s="32">
        <f>IFERROR(__xludf.DUMMYFUNCTION("""COMPUTED_VALUE"""),100.0)</f>
        <v>100</v>
      </c>
      <c r="L308" s="32">
        <f>IFERROR(__xludf.DUMMYFUNCTION("""COMPUTED_VALUE"""),100.0)</f>
        <v>100</v>
      </c>
      <c r="M308" s="32" t="str">
        <f>IFERROR(__xludf.DUMMYFUNCTION("""COMPUTED_VALUE"""),"Light:Immune, Dark:100, Order:Immune, Celestial:Immune, Instant Death:Immune, Banishment:Immune, ")</f>
        <v>Light:Immune, Dark:100, Order:Immune, Celestial:Immune, Instant Death:Immune, Banishment:Immune, </v>
      </c>
      <c r="N308" s="32" t="str">
        <f>IFERROR(__xludf.DUMMYFUNCTION("""COMPUTED_VALUE"""),"")</f>
        <v/>
      </c>
      <c r="O308" s="32" t="str">
        <f>IFERROR(__xludf.DUMMYFUNCTION("""COMPUTED_VALUE"""),"DragonScale Royal Helm")</f>
        <v>DragonScale Royal Helm</v>
      </c>
      <c r="P308" s="32" t="str">
        <f>IFERROR(__xludf.DUMMYFUNCTION("""COMPUTED_VALUE"""),"WyvernTail Pendent")</f>
        <v>WyvernTail Pendent</v>
      </c>
      <c r="Q308" s="32"/>
      <c r="R308" s="32"/>
      <c r="S308" s="32" t="str">
        <f>IFERROR(__xludf.DUMMYFUNCTION("""COMPUTED_VALUE"""),"DragonScale Royal Pauldrons")</f>
        <v>DragonScale Royal Pauldrons</v>
      </c>
      <c r="T308" s="32" t="str">
        <f>IFERROR(__xludf.DUMMYFUNCTION("""COMPUTED_VALUE"""),"DragonScale Royal Chestplate")</f>
        <v>DragonScale Royal Chestplate</v>
      </c>
      <c r="U308" s="32" t="str">
        <f>IFERROR(__xludf.DUMMYFUNCTION("""COMPUTED_VALUE"""),"DragonScale Royal Vambraces")</f>
        <v>DragonScale Royal Vambraces</v>
      </c>
      <c r="V308" s="32"/>
      <c r="W308" s="32" t="str">
        <f>IFERROR(__xludf.DUMMYFUNCTION("""COMPUTED_VALUE"""),"BLADE! OF! JUSTICE!!!!")</f>
        <v>BLADE! OF! JUSTICE!!!!</v>
      </c>
      <c r="X308" s="32" t="str">
        <f>IFERROR(__xludf.DUMMYFUNCTION("""COMPUTED_VALUE"""),"WyvernTail Ring")</f>
        <v>WyvernTail Ring</v>
      </c>
      <c r="Y308" s="32"/>
      <c r="Z308" s="32"/>
      <c r="AA308" s="32"/>
      <c r="AB308" s="32"/>
      <c r="AC308" s="32"/>
      <c r="AD308" s="32"/>
      <c r="AE308" s="32"/>
      <c r="AF308" s="32"/>
      <c r="AG308" s="32"/>
      <c r="AH308" s="32" t="str">
        <f>IFERROR(__xludf.DUMMYFUNCTION("""COMPUTED_VALUE"""),"DragonScale Royal Greaves")</f>
        <v>DragonScale Royal Greaves</v>
      </c>
      <c r="AI308" s="32" t="str">
        <f>IFERROR(__xludf.DUMMYFUNCTION("""COMPUTED_VALUE"""),"DragonScale Royal Boots")</f>
        <v>DragonScale Royal Boots</v>
      </c>
      <c r="AJ308" s="32" t="str">
        <f>IFERROR(__xludf.DUMMYFUNCTION("""COMPUTED_VALUE"""),"Guard Call (Mob)")</f>
        <v>Guard Call (Mob)</v>
      </c>
      <c r="AK308" s="32" t="str">
        <f>IFERROR(__xludf.DUMMYFUNCTION("""COMPUTED_VALUE"""),"Arrest")</f>
        <v>Arrest</v>
      </c>
      <c r="AL308" s="32" t="str">
        <f>IFERROR(__xludf.DUMMYFUNCTION("""COMPUTED_VALUE"""),"Obliterating Light of Blindness")</f>
        <v>Obliterating Light of Blindness</v>
      </c>
      <c r="AM308" s="32" t="str">
        <f>IFERROR(__xludf.DUMMYFUNCTION("""COMPUTED_VALUE"""),"Aggressive Chomp")</f>
        <v>Aggressive Chomp</v>
      </c>
      <c r="AN308" s="32" t="str">
        <f>IFERROR(__xludf.DUMMYFUNCTION("""COMPUTED_VALUE"""),"Lock On")</f>
        <v>Lock On</v>
      </c>
      <c r="AO308" s="32" t="str">
        <f>IFERROR(__xludf.DUMMYFUNCTION("""COMPUTED_VALUE"""),"Neutralize")</f>
        <v>Neutralize</v>
      </c>
      <c r="AP308" s="32" t="str">
        <f>IFERROR(__xludf.DUMMYFUNCTION("""COMPUTED_VALUE"""),"Claws")</f>
        <v>Claws</v>
      </c>
      <c r="AQ308" s="32" t="str">
        <f>IFERROR(__xludf.DUMMYFUNCTION("""COMPUTED_VALUE"""),"Cancel")</f>
        <v>Cancel</v>
      </c>
      <c r="AR308" s="32" t="str">
        <f>IFERROR(__xludf.DUMMYFUNCTION("""COMPUTED_VALUE"""),"Confiscate")</f>
        <v>Confiscate</v>
      </c>
      <c r="AS308" s="32" t="str">
        <f>IFERROR(__xludf.DUMMYFUNCTION("""COMPUTED_VALUE"""),"Instant Regeneration")</f>
        <v>Instant Regeneration</v>
      </c>
      <c r="AT308" s="32" t="str">
        <f>IFERROR(__xludf.DUMMYFUNCTION("""COMPUTED_VALUE"""),"Berserk")</f>
        <v>Berserk</v>
      </c>
      <c r="AU308" s="32" t="str">
        <f>IFERROR(__xludf.DUMMYFUNCTION("""COMPUTED_VALUE"""),"Multi Ward")</f>
        <v>Multi Ward</v>
      </c>
      <c r="AV308" s="32" t="str">
        <f>IFERROR(__xludf.DUMMYFUNCTION("""COMPUTED_VALUE"""),"Teleport")</f>
        <v>Teleport</v>
      </c>
      <c r="AW308" s="32" t="str">
        <f>IFERROR(__xludf.DUMMYFUNCTION("""COMPUTED_VALUE"""),"Mass Destruction")</f>
        <v>Mass Destruction</v>
      </c>
      <c r="AX308" s="32" t="str">
        <f>IFERROR(__xludf.DUMMYFUNCTION("""COMPUTED_VALUE"""),"Chaincast")</f>
        <v>Chaincast</v>
      </c>
      <c r="AY308" s="32" t="str">
        <f>IFERROR(__xludf.DUMMYFUNCTION("""COMPUTED_VALUE"""),"Dragon's Breath")</f>
        <v>Dragon's Breath</v>
      </c>
      <c r="AZ308" s="32"/>
      <c r="BA308" s="32"/>
      <c r="BB308" s="32"/>
      <c r="BC308" s="32"/>
      <c r="BD308" s="32">
        <f>IFERROR(__xludf.DUMMYFUNCTION("""COMPUTED_VALUE"""),20.0)</f>
        <v>20</v>
      </c>
      <c r="BE308" s="32">
        <f>IFERROR(__xludf.DUMMYFUNCTION("""COMPUTED_VALUE"""),20.0)</f>
        <v>20</v>
      </c>
      <c r="BF308" s="32"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32" t="str">
        <f>IFERROR(__xludf.DUMMYFUNCTION("""COMPUTED_VALUE"""),"All")</f>
        <v>All</v>
      </c>
      <c r="BH308" s="32" t="str">
        <f>IFERROR(__xludf.DUMMYFUNCTION("""COMPUTED_VALUE"""),"Dragonscale Island")</f>
        <v>Dragonscale Island</v>
      </c>
      <c r="BI308" s="32"/>
      <c r="BJ308" s="32"/>
      <c r="BK308" s="32"/>
      <c r="BL308" s="32" t="b">
        <f>IFERROR(__xludf.DUMMYFUNCTION("""COMPUTED_VALUE"""),FALSE)</f>
        <v>0</v>
      </c>
      <c r="BM308" s="32"/>
      <c r="BN308" s="32"/>
      <c r="BO308" s="32"/>
      <c r="BP308" s="32"/>
      <c r="BQ308" s="32"/>
    </row>
    <row r="309">
      <c r="A309" s="32" t="str">
        <f>IFERROR(__xludf.DUMMYFUNCTION("""COMPUTED_VALUE"""),"Dragonscale Guard (Tier II)")</f>
        <v>Dragonscale Guard (Tier II)</v>
      </c>
      <c r="B309" s="32">
        <f>IFERROR(__xludf.DUMMYFUNCTION("""COMPUTED_VALUE"""),1.0)</f>
        <v>1</v>
      </c>
      <c r="C309" s="3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33" t="str">
        <f>IFERROR(__xludf.DUMMYFUNCTION("""COMPUTED_VALUE"""),"Draconic")</f>
        <v>Draconic</v>
      </c>
      <c r="E309" s="33">
        <f>IFERROR(__xludf.DUMMYFUNCTION("""COMPUTED_VALUE"""),1010.0)</f>
        <v>1010</v>
      </c>
      <c r="F309" s="33">
        <f>IFERROR(__xludf.DUMMYFUNCTION("""COMPUTED_VALUE"""),1010.0)</f>
        <v>1010</v>
      </c>
      <c r="G309" s="33">
        <f>IFERROR(__xludf.DUMMYFUNCTION("""COMPUTED_VALUE"""),123010.0)</f>
        <v>123010</v>
      </c>
      <c r="H309" s="32">
        <f>IFERROR(__xludf.DUMMYFUNCTION("""COMPUTED_VALUE"""),15.0)</f>
        <v>15</v>
      </c>
      <c r="I309" s="32">
        <f>IFERROR(__xludf.DUMMYFUNCTION("""COMPUTED_VALUE"""),15.0)</f>
        <v>15</v>
      </c>
      <c r="J309" s="32">
        <f>IFERROR(__xludf.DUMMYFUNCTION("""COMPUTED_VALUE"""),0.0)</f>
        <v>0</v>
      </c>
      <c r="K309" s="32">
        <f>IFERROR(__xludf.DUMMYFUNCTION("""COMPUTED_VALUE"""),100.0)</f>
        <v>100</v>
      </c>
      <c r="L309" s="32">
        <f>IFERROR(__xludf.DUMMYFUNCTION("""COMPUTED_VALUE"""),100.0)</f>
        <v>100</v>
      </c>
      <c r="M309" s="32" t="str">
        <f>IFERROR(__xludf.DUMMYFUNCTION("""COMPUTED_VALUE"""),"Light:Immune, Dark:100, Order:Immune, Instant Death:Immune, ")</f>
        <v>Light:Immune, Dark:100, Order:Immune, Instant Death:Immune, </v>
      </c>
      <c r="N309" s="32" t="str">
        <f>IFERROR(__xludf.DUMMYFUNCTION("""COMPUTED_VALUE"""),"")</f>
        <v/>
      </c>
      <c r="O309" s="32" t="str">
        <f>IFERROR(__xludf.DUMMYFUNCTION("""COMPUTED_VALUE"""),"DragonScale Royal Helm")</f>
        <v>DragonScale Royal Helm</v>
      </c>
      <c r="P309" s="32" t="str">
        <f>IFERROR(__xludf.DUMMYFUNCTION("""COMPUTED_VALUE"""),"WyvernTail Pendent")</f>
        <v>WyvernTail Pendent</v>
      </c>
      <c r="Q309" s="32"/>
      <c r="R309" s="32"/>
      <c r="S309" s="32" t="str">
        <f>IFERROR(__xludf.DUMMYFUNCTION("""COMPUTED_VALUE"""),"DragonScale Royal Pauldrons")</f>
        <v>DragonScale Royal Pauldrons</v>
      </c>
      <c r="T309" s="32" t="str">
        <f>IFERROR(__xludf.DUMMYFUNCTION("""COMPUTED_VALUE"""),"DragonScale Royal Chestplate")</f>
        <v>DragonScale Royal Chestplate</v>
      </c>
      <c r="U309" s="32" t="str">
        <f>IFERROR(__xludf.DUMMYFUNCTION("""COMPUTED_VALUE"""),"DragonScale Royal Vambraces")</f>
        <v>DragonScale Royal Vambraces</v>
      </c>
      <c r="V309" s="32"/>
      <c r="W309" s="32" t="str">
        <f>IFERROR(__xludf.DUMMYFUNCTION("""COMPUTED_VALUE"""),"BLADE! OF! JUSTICE!!!!")</f>
        <v>BLADE! OF! JUSTICE!!!!</v>
      </c>
      <c r="X309" s="32" t="str">
        <f>IFERROR(__xludf.DUMMYFUNCTION("""COMPUTED_VALUE"""),"WyvernTail Ring")</f>
        <v>WyvernTail Ring</v>
      </c>
      <c r="Y309" s="32"/>
      <c r="Z309" s="32"/>
      <c r="AA309" s="32"/>
      <c r="AB309" s="32"/>
      <c r="AC309" s="32"/>
      <c r="AD309" s="32"/>
      <c r="AE309" s="32"/>
      <c r="AF309" s="32"/>
      <c r="AG309" s="32"/>
      <c r="AH309" s="32" t="str">
        <f>IFERROR(__xludf.DUMMYFUNCTION("""COMPUTED_VALUE"""),"DragonScale Royal Greaves")</f>
        <v>DragonScale Royal Greaves</v>
      </c>
      <c r="AI309" s="32" t="str">
        <f>IFERROR(__xludf.DUMMYFUNCTION("""COMPUTED_VALUE"""),"DragonScale Royal Boots")</f>
        <v>DragonScale Royal Boots</v>
      </c>
      <c r="AJ309" s="32" t="str">
        <f>IFERROR(__xludf.DUMMYFUNCTION("""COMPUTED_VALUE"""),"Guard Call (Mob)")</f>
        <v>Guard Call (Mob)</v>
      </c>
      <c r="AK309" s="32" t="str">
        <f>IFERROR(__xludf.DUMMYFUNCTION("""COMPUTED_VALUE"""),"Arrest")</f>
        <v>Arrest</v>
      </c>
      <c r="AL309" s="32" t="str">
        <f>IFERROR(__xludf.DUMMYFUNCTION("""COMPUTED_VALUE"""),"Obliterating Light of Blindness")</f>
        <v>Obliterating Light of Blindness</v>
      </c>
      <c r="AM309" s="32" t="str">
        <f>IFERROR(__xludf.DUMMYFUNCTION("""COMPUTED_VALUE"""),"Aggressive Chomp")</f>
        <v>Aggressive Chomp</v>
      </c>
      <c r="AN309" s="32" t="str">
        <f>IFERROR(__xludf.DUMMYFUNCTION("""COMPUTED_VALUE"""),"Lock On")</f>
        <v>Lock On</v>
      </c>
      <c r="AO309" s="32" t="str">
        <f>IFERROR(__xludf.DUMMYFUNCTION("""COMPUTED_VALUE"""),"Neutralize")</f>
        <v>Neutralize</v>
      </c>
      <c r="AP309" s="32" t="str">
        <f>IFERROR(__xludf.DUMMYFUNCTION("""COMPUTED_VALUE"""),"Claws")</f>
        <v>Claws</v>
      </c>
      <c r="AQ309" s="32" t="str">
        <f>IFERROR(__xludf.DUMMYFUNCTION("""COMPUTED_VALUE"""),"Cancel")</f>
        <v>Cancel</v>
      </c>
      <c r="AR309" s="32" t="str">
        <f>IFERROR(__xludf.DUMMYFUNCTION("""COMPUTED_VALUE"""),"Confiscate")</f>
        <v>Confiscate</v>
      </c>
      <c r="AS309" s="32" t="str">
        <f>IFERROR(__xludf.DUMMYFUNCTION("""COMPUTED_VALUE"""),"Instant Regeneration")</f>
        <v>Instant Regeneration</v>
      </c>
      <c r="AT309" s="32" t="str">
        <f>IFERROR(__xludf.DUMMYFUNCTION("""COMPUTED_VALUE"""),"Berserk")</f>
        <v>Berserk</v>
      </c>
      <c r="AU309" s="32" t="str">
        <f>IFERROR(__xludf.DUMMYFUNCTION("""COMPUTED_VALUE"""),"Multi Ward")</f>
        <v>Multi Ward</v>
      </c>
      <c r="AV309" s="32" t="str">
        <f>IFERROR(__xludf.DUMMYFUNCTION("""COMPUTED_VALUE"""),"Teleport")</f>
        <v>Teleport</v>
      </c>
      <c r="AW309" s="32" t="str">
        <f>IFERROR(__xludf.DUMMYFUNCTION("""COMPUTED_VALUE"""),"Mass Destruction")</f>
        <v>Mass Destruction</v>
      </c>
      <c r="AX309" s="32" t="str">
        <f>IFERROR(__xludf.DUMMYFUNCTION("""COMPUTED_VALUE"""),"Chaincast")</f>
        <v>Chaincast</v>
      </c>
      <c r="AY309" s="32" t="str">
        <f>IFERROR(__xludf.DUMMYFUNCTION("""COMPUTED_VALUE"""),"Dragon's Breath")</f>
        <v>Dragon's Breath</v>
      </c>
      <c r="AZ309" s="32"/>
      <c r="BA309" s="32"/>
      <c r="BB309" s="32"/>
      <c r="BC309" s="32"/>
      <c r="BD309" s="32">
        <f>IFERROR(__xludf.DUMMYFUNCTION("""COMPUTED_VALUE"""),15.0)</f>
        <v>15</v>
      </c>
      <c r="BE309" s="32">
        <f>IFERROR(__xludf.DUMMYFUNCTION("""COMPUTED_VALUE"""),15.0)</f>
        <v>15</v>
      </c>
      <c r="BF309" s="32"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32" t="str">
        <f>IFERROR(__xludf.DUMMYFUNCTION("""COMPUTED_VALUE"""),"All")</f>
        <v>All</v>
      </c>
      <c r="BH309" s="32" t="str">
        <f>IFERROR(__xludf.DUMMYFUNCTION("""COMPUTED_VALUE"""),"Dragonscale Island")</f>
        <v>Dragonscale Island</v>
      </c>
      <c r="BI309" s="32"/>
      <c r="BJ309" s="32"/>
      <c r="BK309" s="32"/>
      <c r="BL309" s="32" t="b">
        <f>IFERROR(__xludf.DUMMYFUNCTION("""COMPUTED_VALUE"""),FALSE)</f>
        <v>0</v>
      </c>
      <c r="BM309" s="32"/>
      <c r="BN309" s="32"/>
      <c r="BO309" s="32"/>
      <c r="BP309" s="32"/>
      <c r="BQ309" s="32"/>
    </row>
    <row r="310">
      <c r="A310" s="32" t="str">
        <f>IFERROR(__xludf.DUMMYFUNCTION("""COMPUTED_VALUE"""),"Dragonscale Guard (Tier I)")</f>
        <v>Dragonscale Guard (Tier I)</v>
      </c>
      <c r="B310" s="32">
        <f>IFERROR(__xludf.DUMMYFUNCTION("""COMPUTED_VALUE"""),1.0)</f>
        <v>1</v>
      </c>
      <c r="C310" s="3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33" t="str">
        <f>IFERROR(__xludf.DUMMYFUNCTION("""COMPUTED_VALUE"""),"Draconic")</f>
        <v>Draconic</v>
      </c>
      <c r="E310" s="33">
        <f>IFERROR(__xludf.DUMMYFUNCTION("""COMPUTED_VALUE"""),1010.0)</f>
        <v>1010</v>
      </c>
      <c r="F310" s="33">
        <f>IFERROR(__xludf.DUMMYFUNCTION("""COMPUTED_VALUE"""),1010.0)</f>
        <v>1010</v>
      </c>
      <c r="G310" s="33">
        <f>IFERROR(__xludf.DUMMYFUNCTION("""COMPUTED_VALUE"""),123010.0)</f>
        <v>123010</v>
      </c>
      <c r="H310" s="32">
        <f>IFERROR(__xludf.DUMMYFUNCTION("""COMPUTED_VALUE"""),10.0)</f>
        <v>10</v>
      </c>
      <c r="I310" s="32">
        <f>IFERROR(__xludf.DUMMYFUNCTION("""COMPUTED_VALUE"""),10.0)</f>
        <v>10</v>
      </c>
      <c r="J310" s="32">
        <f>IFERROR(__xludf.DUMMYFUNCTION("""COMPUTED_VALUE"""),0.0)</f>
        <v>0</v>
      </c>
      <c r="K310" s="32">
        <f>IFERROR(__xludf.DUMMYFUNCTION("""COMPUTED_VALUE"""),100.0)</f>
        <v>100</v>
      </c>
      <c r="L310" s="32">
        <f>IFERROR(__xludf.DUMMYFUNCTION("""COMPUTED_VALUE"""),100.0)</f>
        <v>100</v>
      </c>
      <c r="M310" s="32" t="str">
        <f>IFERROR(__xludf.DUMMYFUNCTION("""COMPUTED_VALUE"""),"Light:Immune, Dark:100, Order:Immune, Instant Death:Immune, ")</f>
        <v>Light:Immune, Dark:100, Order:Immune, Instant Death:Immune, </v>
      </c>
      <c r="N310" s="32" t="str">
        <f>IFERROR(__xludf.DUMMYFUNCTION("""COMPUTED_VALUE"""),"")</f>
        <v/>
      </c>
      <c r="O310" s="32" t="str">
        <f>IFERROR(__xludf.DUMMYFUNCTION("""COMPUTED_VALUE"""),"DragonScale Royal Helm")</f>
        <v>DragonScale Royal Helm</v>
      </c>
      <c r="P310" s="32" t="str">
        <f>IFERROR(__xludf.DUMMYFUNCTION("""COMPUTED_VALUE"""),"WyvernTail Pendent")</f>
        <v>WyvernTail Pendent</v>
      </c>
      <c r="Q310" s="32"/>
      <c r="R310" s="32"/>
      <c r="S310" s="32" t="str">
        <f>IFERROR(__xludf.DUMMYFUNCTION("""COMPUTED_VALUE"""),"DragonScale Royal Pauldrons")</f>
        <v>DragonScale Royal Pauldrons</v>
      </c>
      <c r="T310" s="32" t="str">
        <f>IFERROR(__xludf.DUMMYFUNCTION("""COMPUTED_VALUE"""),"DragonScale Royal Chestplate")</f>
        <v>DragonScale Royal Chestplate</v>
      </c>
      <c r="U310" s="32" t="str">
        <f>IFERROR(__xludf.DUMMYFUNCTION("""COMPUTED_VALUE"""),"DragonScale Royal Vambraces")</f>
        <v>DragonScale Royal Vambraces</v>
      </c>
      <c r="V310" s="32"/>
      <c r="W310" s="32" t="str">
        <f>IFERROR(__xludf.DUMMYFUNCTION("""COMPUTED_VALUE"""),"BLADE! OF! JUSTICE!!!!")</f>
        <v>BLADE! OF! JUSTICE!!!!</v>
      </c>
      <c r="X310" s="32" t="str">
        <f>IFERROR(__xludf.DUMMYFUNCTION("""COMPUTED_VALUE"""),"WyvernTail Ring")</f>
        <v>WyvernTail Ring</v>
      </c>
      <c r="Y310" s="32"/>
      <c r="Z310" s="32"/>
      <c r="AA310" s="32"/>
      <c r="AB310" s="32"/>
      <c r="AC310" s="32"/>
      <c r="AD310" s="32"/>
      <c r="AE310" s="32"/>
      <c r="AF310" s="32"/>
      <c r="AG310" s="32"/>
      <c r="AH310" s="32" t="str">
        <f>IFERROR(__xludf.DUMMYFUNCTION("""COMPUTED_VALUE"""),"DragonScale Royal Greaves")</f>
        <v>DragonScale Royal Greaves</v>
      </c>
      <c r="AI310" s="32" t="str">
        <f>IFERROR(__xludf.DUMMYFUNCTION("""COMPUTED_VALUE"""),"DragonScale Royal Boots")</f>
        <v>DragonScale Royal Boots</v>
      </c>
      <c r="AJ310" s="32" t="str">
        <f>IFERROR(__xludf.DUMMYFUNCTION("""COMPUTED_VALUE"""),"Guard Call (Mob)")</f>
        <v>Guard Call (Mob)</v>
      </c>
      <c r="AK310" s="32" t="str">
        <f>IFERROR(__xludf.DUMMYFUNCTION("""COMPUTED_VALUE"""),"Arrest")</f>
        <v>Arrest</v>
      </c>
      <c r="AL310" s="32" t="str">
        <f>IFERROR(__xludf.DUMMYFUNCTION("""COMPUTED_VALUE"""),"Obliterating Light of Blindness")</f>
        <v>Obliterating Light of Blindness</v>
      </c>
      <c r="AM310" s="32" t="str">
        <f>IFERROR(__xludf.DUMMYFUNCTION("""COMPUTED_VALUE"""),"Aggressive Chomp")</f>
        <v>Aggressive Chomp</v>
      </c>
      <c r="AN310" s="32" t="str">
        <f>IFERROR(__xludf.DUMMYFUNCTION("""COMPUTED_VALUE"""),"Lock On")</f>
        <v>Lock On</v>
      </c>
      <c r="AO310" s="32" t="str">
        <f>IFERROR(__xludf.DUMMYFUNCTION("""COMPUTED_VALUE"""),"Neutralize")</f>
        <v>Neutralize</v>
      </c>
      <c r="AP310" s="32" t="str">
        <f>IFERROR(__xludf.DUMMYFUNCTION("""COMPUTED_VALUE"""),"Claws")</f>
        <v>Claws</v>
      </c>
      <c r="AQ310" s="32" t="str">
        <f>IFERROR(__xludf.DUMMYFUNCTION("""COMPUTED_VALUE"""),"Cancel")</f>
        <v>Cancel</v>
      </c>
      <c r="AR310" s="32" t="str">
        <f>IFERROR(__xludf.DUMMYFUNCTION("""COMPUTED_VALUE"""),"Confiscate")</f>
        <v>Confiscate</v>
      </c>
      <c r="AS310" s="32" t="str">
        <f>IFERROR(__xludf.DUMMYFUNCTION("""COMPUTED_VALUE"""),"Instant Regeneration")</f>
        <v>Instant Regeneration</v>
      </c>
      <c r="AT310" s="32" t="str">
        <f>IFERROR(__xludf.DUMMYFUNCTION("""COMPUTED_VALUE"""),"Berserk")</f>
        <v>Berserk</v>
      </c>
      <c r="AU310" s="32" t="str">
        <f>IFERROR(__xludf.DUMMYFUNCTION("""COMPUTED_VALUE"""),"Multi Ward")</f>
        <v>Multi Ward</v>
      </c>
      <c r="AV310" s="32" t="str">
        <f>IFERROR(__xludf.DUMMYFUNCTION("""COMPUTED_VALUE"""),"Teleport")</f>
        <v>Teleport</v>
      </c>
      <c r="AW310" s="32" t="str">
        <f>IFERROR(__xludf.DUMMYFUNCTION("""COMPUTED_VALUE"""),"Mass Destruction")</f>
        <v>Mass Destruction</v>
      </c>
      <c r="AX310" s="32" t="str">
        <f>IFERROR(__xludf.DUMMYFUNCTION("""COMPUTED_VALUE"""),"Chaincast")</f>
        <v>Chaincast</v>
      </c>
      <c r="AY310" s="32" t="str">
        <f>IFERROR(__xludf.DUMMYFUNCTION("""COMPUTED_VALUE"""),"Dragon's Breath")</f>
        <v>Dragon's Breath</v>
      </c>
      <c r="AZ310" s="32"/>
      <c r="BA310" s="32"/>
      <c r="BB310" s="32"/>
      <c r="BC310" s="32"/>
      <c r="BD310" s="32">
        <f>IFERROR(__xludf.DUMMYFUNCTION("""COMPUTED_VALUE"""),10.0)</f>
        <v>10</v>
      </c>
      <c r="BE310" s="32">
        <f>IFERROR(__xludf.DUMMYFUNCTION("""COMPUTED_VALUE"""),10.0)</f>
        <v>10</v>
      </c>
      <c r="BF310" s="32"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32" t="str">
        <f>IFERROR(__xludf.DUMMYFUNCTION("""COMPUTED_VALUE"""),"All")</f>
        <v>All</v>
      </c>
      <c r="BH310" s="32" t="str">
        <f>IFERROR(__xludf.DUMMYFUNCTION("""COMPUTED_VALUE"""),"Dragonscale Island")</f>
        <v>Dragonscale Island</v>
      </c>
      <c r="BI310" s="32"/>
      <c r="BJ310" s="32"/>
      <c r="BK310" s="32"/>
      <c r="BL310" s="32" t="b">
        <f>IFERROR(__xludf.DUMMYFUNCTION("""COMPUTED_VALUE"""),FALSE)</f>
        <v>0</v>
      </c>
      <c r="BM310" s="32"/>
      <c r="BN310" s="32"/>
      <c r="BO310" s="32"/>
      <c r="BP310" s="32"/>
      <c r="BQ310" s="32"/>
    </row>
    <row r="311">
      <c r="A311" s="32" t="str">
        <f>IFERROR(__xludf.DUMMYFUNCTION("""COMPUTED_VALUE"""),"Abstara Guard (Tier IIl)")</f>
        <v>Abstara Guard (Tier IIl)</v>
      </c>
      <c r="B311" s="32">
        <f>IFERROR(__xludf.DUMMYFUNCTION("""COMPUTED_VALUE"""),1.0)</f>
        <v>1</v>
      </c>
      <c r="C311" s="32"/>
      <c r="D311" s="32" t="str">
        <f>IFERROR(__xludf.DUMMYFUNCTION("""COMPUTED_VALUE"""),"Demonic")</f>
        <v>Demonic</v>
      </c>
      <c r="E311" s="32">
        <f>IFERROR(__xludf.DUMMYFUNCTION("""COMPUTED_VALUE"""),1010.0)</f>
        <v>1010</v>
      </c>
      <c r="F311" s="33">
        <f>IFERROR(__xludf.DUMMYFUNCTION("""COMPUTED_VALUE"""),1010.0)</f>
        <v>1010</v>
      </c>
      <c r="G311" s="32">
        <f>IFERROR(__xludf.DUMMYFUNCTION("""COMPUTED_VALUE"""),1010.0)</f>
        <v>1010</v>
      </c>
      <c r="H311" s="32">
        <f>IFERROR(__xludf.DUMMYFUNCTION("""COMPUTED_VALUE"""),20.0)</f>
        <v>20</v>
      </c>
      <c r="I311" s="32">
        <f>IFERROR(__xludf.DUMMYFUNCTION("""COMPUTED_VALUE"""),20.0)</f>
        <v>20</v>
      </c>
      <c r="J311" s="32">
        <f>IFERROR(__xludf.DUMMYFUNCTION("""COMPUTED_VALUE"""),0.0)</f>
        <v>0</v>
      </c>
      <c r="K311" s="32">
        <f>IFERROR(__xludf.DUMMYFUNCTION("""COMPUTED_VALUE"""),100.0)</f>
        <v>100</v>
      </c>
      <c r="L311" s="32">
        <f>IFERROR(__xludf.DUMMYFUNCTION("""COMPUTED_VALUE"""),100.0)</f>
        <v>100</v>
      </c>
      <c r="M311" s="32" t="str">
        <f>IFERROR(__xludf.DUMMYFUNCTION("""COMPUTED_VALUE"""),"Fire:100, Dark:Immune, Chaos:Immune, Voodoo:Immune, Blood:Immune, Instant Death:Immune, Banishment:Immune, ")</f>
        <v>Fire:100, Dark:Immune, Chaos:Immune, Voodoo:Immune, Blood:Immune, Instant Death:Immune, Banishment:Immune, </v>
      </c>
      <c r="N311" s="32" t="str">
        <f>IFERROR(__xludf.DUMMYFUNCTION("""COMPUTED_VALUE"""),"Light:100, Order:100, ")</f>
        <v>Light:100, Order:100, </v>
      </c>
      <c r="O311" s="32" t="str">
        <f>IFERROR(__xludf.DUMMYFUNCTION("""COMPUTED_VALUE"""),"Abstara Royal Helm")</f>
        <v>Abstara Royal Helm</v>
      </c>
      <c r="P311" s="32" t="str">
        <f>IFERROR(__xludf.DUMMYFUNCTION("""COMPUTED_VALUE"""),"Necklace Of Shards")</f>
        <v>Necklace Of Shards</v>
      </c>
      <c r="Q311" s="32"/>
      <c r="R311" s="32"/>
      <c r="S311" s="32" t="str">
        <f>IFERROR(__xludf.DUMMYFUNCTION("""COMPUTED_VALUE"""),"Abstara Royal Pauldrons")</f>
        <v>Abstara Royal Pauldrons</v>
      </c>
      <c r="T311" s="32" t="str">
        <f>IFERROR(__xludf.DUMMYFUNCTION("""COMPUTED_VALUE"""),"Abstara Royal Chestplate")</f>
        <v>Abstara Royal Chestplate</v>
      </c>
      <c r="U311" s="32" t="str">
        <f>IFERROR(__xludf.DUMMYFUNCTION("""COMPUTED_VALUE"""),"Abstara Royal Vambraces")</f>
        <v>Abstara Royal Vambraces</v>
      </c>
      <c r="V311" s="32"/>
      <c r="W311" s="32" t="str">
        <f>IFERROR(__xludf.DUMMYFUNCTION("""COMPUTED_VALUE"""),"Grand Hellfire Sword")</f>
        <v>Grand Hellfire Sword</v>
      </c>
      <c r="X311" s="32" t="str">
        <f>IFERROR(__xludf.DUMMYFUNCTION("""COMPUTED_VALUE"""),"Ring of Darkness")</f>
        <v>Ring of Darkness</v>
      </c>
      <c r="Y311" s="32" t="str">
        <f>IFERROR(__xludf.DUMMYFUNCTION("""COMPUTED_VALUE"""),"Ring of Pure Chaos")</f>
        <v>Ring of Pure Chaos</v>
      </c>
      <c r="Z311" s="32"/>
      <c r="AA311" s="32"/>
      <c r="AB311" s="32"/>
      <c r="AC311" s="32"/>
      <c r="AD311" s="32"/>
      <c r="AE311" s="32"/>
      <c r="AF311" s="32"/>
      <c r="AG311" s="32"/>
      <c r="AH311" s="32" t="str">
        <f>IFERROR(__xludf.DUMMYFUNCTION("""COMPUTED_VALUE"""),"Abstara Royal Greaves")</f>
        <v>Abstara Royal Greaves</v>
      </c>
      <c r="AI311" s="32" t="str">
        <f>IFERROR(__xludf.DUMMYFUNCTION("""COMPUTED_VALUE"""),"Abstara Royal Boots")</f>
        <v>Abstara Royal Boots</v>
      </c>
      <c r="AJ311" s="32" t="str">
        <f>IFERROR(__xludf.DUMMYFUNCTION("""COMPUTED_VALUE"""),"Chaincast")</f>
        <v>Chaincast</v>
      </c>
      <c r="AK311" s="32" t="str">
        <f>IFERROR(__xludf.DUMMYFUNCTION("""COMPUTED_VALUE"""),"Guard Call (Mob)")</f>
        <v>Guard Call (Mob)</v>
      </c>
      <c r="AL311" s="32" t="str">
        <f>IFERROR(__xludf.DUMMYFUNCTION("""COMPUTED_VALUE"""),"Arrest II")</f>
        <v>Arrest II</v>
      </c>
      <c r="AM311" s="32" t="str">
        <f>IFERROR(__xludf.DUMMYFUNCTION("""COMPUTED_VALUE"""),"Meteor Shower")</f>
        <v>Meteor Shower</v>
      </c>
      <c r="AN311" s="32" t="str">
        <f>IFERROR(__xludf.DUMMYFUNCTION("""COMPUTED_VALUE"""),"Volcanic Rain")</f>
        <v>Volcanic Rain</v>
      </c>
      <c r="AO311" s="32" t="str">
        <f>IFERROR(__xludf.DUMMYFUNCTION("""COMPUTED_VALUE"""),"Solar Storm")</f>
        <v>Solar Storm</v>
      </c>
      <c r="AP311" s="32" t="str">
        <f>IFERROR(__xludf.DUMMYFUNCTION("""COMPUTED_VALUE"""),"Sunny Day")</f>
        <v>Sunny Day</v>
      </c>
      <c r="AQ311" s="32" t="str">
        <f>IFERROR(__xludf.DUMMYFUNCTION("""COMPUTED_VALUE"""),"Doom Impulse")</f>
        <v>Doom Impulse</v>
      </c>
      <c r="AR311" s="32" t="str">
        <f>IFERROR(__xludf.DUMMYFUNCTION("""COMPUTED_VALUE"""),"Shatter")</f>
        <v>Shatter</v>
      </c>
      <c r="AS311" s="32" t="str">
        <f>IFERROR(__xludf.DUMMYFUNCTION("""COMPUTED_VALUE"""),"Dimensional Quake")</f>
        <v>Dimensional Quake</v>
      </c>
      <c r="AT311" s="32" t="str">
        <f>IFERROR(__xludf.DUMMYFUNCTION("""COMPUTED_VALUE"""),"Darkest Abyss")</f>
        <v>Darkest Abyss</v>
      </c>
      <c r="AU311" s="32" t="str">
        <f>IFERROR(__xludf.DUMMYFUNCTION("""COMPUTED_VALUE"""),"Raise Dead")</f>
        <v>Raise Dead</v>
      </c>
      <c r="AV311" s="32" t="str">
        <f>IFERROR(__xludf.DUMMYFUNCTION("""COMPUTED_VALUE"""),"Last Gamble")</f>
        <v>Last Gamble</v>
      </c>
      <c r="AW311" s="32" t="str">
        <f>IFERROR(__xludf.DUMMYFUNCTION("""COMPUTED_VALUE"""),"Voodoo Meteor Shower")</f>
        <v>Voodoo Meteor Shower</v>
      </c>
      <c r="AX311" s="32" t="str">
        <f>IFERROR(__xludf.DUMMYFUNCTION("""COMPUTED_VALUE"""),"Multi-Magic")</f>
        <v>Multi-Magic</v>
      </c>
      <c r="AY311" s="32" t="str">
        <f>IFERROR(__xludf.DUMMYFUNCTION("""COMPUTED_VALUE"""),"Berserk")</f>
        <v>Berserk</v>
      </c>
      <c r="AZ311" s="32" t="str">
        <f>IFERROR(__xludf.DUMMYFUNCTION("""COMPUTED_VALUE"""),"Confiscate (Enhanced)")</f>
        <v>Confiscate (Enhanced)</v>
      </c>
      <c r="BA311" s="32" t="str">
        <f>IFERROR(__xludf.DUMMYFUNCTION("""COMPUTED_VALUE"""),"Enrage")</f>
        <v>Enrage</v>
      </c>
      <c r="BB311" s="32" t="str">
        <f>IFERROR(__xludf.DUMMYFUNCTION("""COMPUTED_VALUE"""),"Mass Destruction")</f>
        <v>Mass Destruction</v>
      </c>
      <c r="BC311" s="32" t="str">
        <f>IFERROR(__xludf.DUMMYFUNCTION("""COMPUTED_VALUE"""),"Vaporize")</f>
        <v>Vaporize</v>
      </c>
      <c r="BD311" s="32">
        <f>IFERROR(__xludf.DUMMYFUNCTION("""COMPUTED_VALUE"""),20.0)</f>
        <v>20</v>
      </c>
      <c r="BE311" s="32">
        <f>IFERROR(__xludf.DUMMYFUNCTION("""COMPUTED_VALUE"""),20.0)</f>
        <v>20</v>
      </c>
      <c r="BF311" s="32"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32" t="str">
        <f>IFERROR(__xludf.DUMMYFUNCTION("""COMPUTED_VALUE"""),"All")</f>
        <v>All</v>
      </c>
      <c r="BH311" s="32" t="str">
        <f>IFERROR(__xludf.DUMMYFUNCTION("""COMPUTED_VALUE"""),"Abstara")</f>
        <v>Abstara</v>
      </c>
      <c r="BI311" s="32"/>
      <c r="BJ311" s="32"/>
      <c r="BK311" s="32"/>
      <c r="BL311" s="32" t="b">
        <f>IFERROR(__xludf.DUMMYFUNCTION("""COMPUTED_VALUE"""),FALSE)</f>
        <v>0</v>
      </c>
      <c r="BM311" s="32"/>
      <c r="BN311" s="32"/>
      <c r="BO311" s="32"/>
      <c r="BP311" s="32"/>
      <c r="BQ311" s="32"/>
    </row>
    <row r="312">
      <c r="A312" s="32" t="str">
        <f>IFERROR(__xludf.DUMMYFUNCTION("""COMPUTED_VALUE"""),"Abstara Guard (Tier II)")</f>
        <v>Abstara Guard (Tier II)</v>
      </c>
      <c r="B312" s="32">
        <f>IFERROR(__xludf.DUMMYFUNCTION("""COMPUTED_VALUE"""),1.0)</f>
        <v>1</v>
      </c>
      <c r="C312" s="32"/>
      <c r="D312" s="32" t="str">
        <f>IFERROR(__xludf.DUMMYFUNCTION("""COMPUTED_VALUE"""),"Demonic")</f>
        <v>Demonic</v>
      </c>
      <c r="E312" s="32">
        <f>IFERROR(__xludf.DUMMYFUNCTION("""COMPUTED_VALUE"""),1010.0)</f>
        <v>1010</v>
      </c>
      <c r="F312" s="33">
        <f>IFERROR(__xludf.DUMMYFUNCTION("""COMPUTED_VALUE"""),1010.0)</f>
        <v>1010</v>
      </c>
      <c r="G312" s="32">
        <f>IFERROR(__xludf.DUMMYFUNCTION("""COMPUTED_VALUE"""),1010.0)</f>
        <v>1010</v>
      </c>
      <c r="H312" s="32">
        <f>IFERROR(__xludf.DUMMYFUNCTION("""COMPUTED_VALUE"""),15.0)</f>
        <v>15</v>
      </c>
      <c r="I312" s="32">
        <f>IFERROR(__xludf.DUMMYFUNCTION("""COMPUTED_VALUE"""),15.0)</f>
        <v>15</v>
      </c>
      <c r="J312" s="32">
        <f>IFERROR(__xludf.DUMMYFUNCTION("""COMPUTED_VALUE"""),0.0)</f>
        <v>0</v>
      </c>
      <c r="K312" s="32">
        <f>IFERROR(__xludf.DUMMYFUNCTION("""COMPUTED_VALUE"""),100.0)</f>
        <v>100</v>
      </c>
      <c r="L312" s="32">
        <f>IFERROR(__xludf.DUMMYFUNCTION("""COMPUTED_VALUE"""),100.0)</f>
        <v>100</v>
      </c>
      <c r="M312" s="32" t="str">
        <f>IFERROR(__xludf.DUMMYFUNCTION("""COMPUTED_VALUE"""),"Fire:100, Dark:Immune, Chaos:Immune, Voodoo:Immune, Blood:Immune, Instant Death:Immune, Banishment:Immune, ")</f>
        <v>Fire:100, Dark:Immune, Chaos:Immune, Voodoo:Immune, Blood:Immune, Instant Death:Immune, Banishment:Immune, </v>
      </c>
      <c r="N312" s="32" t="str">
        <f>IFERROR(__xludf.DUMMYFUNCTION("""COMPUTED_VALUE"""),"Light:100, Order:100, ")</f>
        <v>Light:100, Order:100, </v>
      </c>
      <c r="O312" s="32" t="str">
        <f>IFERROR(__xludf.DUMMYFUNCTION("""COMPUTED_VALUE"""),"Abstara Royal Helm")</f>
        <v>Abstara Royal Helm</v>
      </c>
      <c r="P312" s="32" t="str">
        <f>IFERROR(__xludf.DUMMYFUNCTION("""COMPUTED_VALUE"""),"Necklace Of Shards")</f>
        <v>Necklace Of Shards</v>
      </c>
      <c r="Q312" s="32"/>
      <c r="R312" s="32"/>
      <c r="S312" s="32" t="str">
        <f>IFERROR(__xludf.DUMMYFUNCTION("""COMPUTED_VALUE"""),"Abstara Royal Pauldrons")</f>
        <v>Abstara Royal Pauldrons</v>
      </c>
      <c r="T312" s="32" t="str">
        <f>IFERROR(__xludf.DUMMYFUNCTION("""COMPUTED_VALUE"""),"Abstara Royal Chestplate")</f>
        <v>Abstara Royal Chestplate</v>
      </c>
      <c r="U312" s="32" t="str">
        <f>IFERROR(__xludf.DUMMYFUNCTION("""COMPUTED_VALUE"""),"Abstara Royal Vambraces")</f>
        <v>Abstara Royal Vambraces</v>
      </c>
      <c r="V312" s="32"/>
      <c r="W312" s="32" t="str">
        <f>IFERROR(__xludf.DUMMYFUNCTION("""COMPUTED_VALUE"""),"Grand Hellfire Sword")</f>
        <v>Grand Hellfire Sword</v>
      </c>
      <c r="X312" s="32" t="str">
        <f>IFERROR(__xludf.DUMMYFUNCTION("""COMPUTED_VALUE"""),"Ring of Darkness")</f>
        <v>Ring of Darkness</v>
      </c>
      <c r="Y312" s="32" t="str">
        <f>IFERROR(__xludf.DUMMYFUNCTION("""COMPUTED_VALUE"""),"Ring of Pure Chaos")</f>
        <v>Ring of Pure Chaos</v>
      </c>
      <c r="Z312" s="32"/>
      <c r="AA312" s="32"/>
      <c r="AB312" s="32"/>
      <c r="AC312" s="32"/>
      <c r="AD312" s="32"/>
      <c r="AE312" s="32"/>
      <c r="AF312" s="32"/>
      <c r="AG312" s="32"/>
      <c r="AH312" s="32" t="str">
        <f>IFERROR(__xludf.DUMMYFUNCTION("""COMPUTED_VALUE"""),"Abstara Royal Greaves")</f>
        <v>Abstara Royal Greaves</v>
      </c>
      <c r="AI312" s="32" t="str">
        <f>IFERROR(__xludf.DUMMYFUNCTION("""COMPUTED_VALUE"""),"Abstara Royal Boots")</f>
        <v>Abstara Royal Boots</v>
      </c>
      <c r="AJ312" s="32" t="str">
        <f>IFERROR(__xludf.DUMMYFUNCTION("""COMPUTED_VALUE"""),"Chaincast")</f>
        <v>Chaincast</v>
      </c>
      <c r="AK312" s="32" t="str">
        <f>IFERROR(__xludf.DUMMYFUNCTION("""COMPUTED_VALUE"""),"Guard Call (Mob)")</f>
        <v>Guard Call (Mob)</v>
      </c>
      <c r="AL312" s="32" t="str">
        <f>IFERROR(__xludf.DUMMYFUNCTION("""COMPUTED_VALUE"""),"Arrest II")</f>
        <v>Arrest II</v>
      </c>
      <c r="AM312" s="32" t="str">
        <f>IFERROR(__xludf.DUMMYFUNCTION("""COMPUTED_VALUE"""),"Meteor Shower")</f>
        <v>Meteor Shower</v>
      </c>
      <c r="AN312" s="32" t="str">
        <f>IFERROR(__xludf.DUMMYFUNCTION("""COMPUTED_VALUE"""),"Volcanic Rain")</f>
        <v>Volcanic Rain</v>
      </c>
      <c r="AO312" s="32" t="str">
        <f>IFERROR(__xludf.DUMMYFUNCTION("""COMPUTED_VALUE"""),"Solar Storm")</f>
        <v>Solar Storm</v>
      </c>
      <c r="AP312" s="32" t="str">
        <f>IFERROR(__xludf.DUMMYFUNCTION("""COMPUTED_VALUE"""),"Sunny Day")</f>
        <v>Sunny Day</v>
      </c>
      <c r="AQ312" s="32" t="str">
        <f>IFERROR(__xludf.DUMMYFUNCTION("""COMPUTED_VALUE"""),"Doom Impulse")</f>
        <v>Doom Impulse</v>
      </c>
      <c r="AR312" s="32" t="str">
        <f>IFERROR(__xludf.DUMMYFUNCTION("""COMPUTED_VALUE"""),"Shatter")</f>
        <v>Shatter</v>
      </c>
      <c r="AS312" s="32" t="str">
        <f>IFERROR(__xludf.DUMMYFUNCTION("""COMPUTED_VALUE"""),"Dimensional Quake")</f>
        <v>Dimensional Quake</v>
      </c>
      <c r="AT312" s="32" t="str">
        <f>IFERROR(__xludf.DUMMYFUNCTION("""COMPUTED_VALUE"""),"Darkest Abyss")</f>
        <v>Darkest Abyss</v>
      </c>
      <c r="AU312" s="32" t="str">
        <f>IFERROR(__xludf.DUMMYFUNCTION("""COMPUTED_VALUE"""),"Raise Dead")</f>
        <v>Raise Dead</v>
      </c>
      <c r="AV312" s="32" t="str">
        <f>IFERROR(__xludf.DUMMYFUNCTION("""COMPUTED_VALUE"""),"Last Gamble")</f>
        <v>Last Gamble</v>
      </c>
      <c r="AW312" s="32" t="str">
        <f>IFERROR(__xludf.DUMMYFUNCTION("""COMPUTED_VALUE"""),"Voodoo Meteor Shower")</f>
        <v>Voodoo Meteor Shower</v>
      </c>
      <c r="AX312" s="32" t="str">
        <f>IFERROR(__xludf.DUMMYFUNCTION("""COMPUTED_VALUE"""),"Multi-Magic")</f>
        <v>Multi-Magic</v>
      </c>
      <c r="AY312" s="32" t="str">
        <f>IFERROR(__xludf.DUMMYFUNCTION("""COMPUTED_VALUE"""),"Berserk")</f>
        <v>Berserk</v>
      </c>
      <c r="AZ312" s="32" t="str">
        <f>IFERROR(__xludf.DUMMYFUNCTION("""COMPUTED_VALUE"""),"Confiscate (Enhanced)")</f>
        <v>Confiscate (Enhanced)</v>
      </c>
      <c r="BA312" s="32" t="str">
        <f>IFERROR(__xludf.DUMMYFUNCTION("""COMPUTED_VALUE"""),"Enrage")</f>
        <v>Enrage</v>
      </c>
      <c r="BB312" s="32" t="str">
        <f>IFERROR(__xludf.DUMMYFUNCTION("""COMPUTED_VALUE"""),"Mass Destruction")</f>
        <v>Mass Destruction</v>
      </c>
      <c r="BC312" s="32" t="str">
        <f>IFERROR(__xludf.DUMMYFUNCTION("""COMPUTED_VALUE"""),"Vaporize")</f>
        <v>Vaporize</v>
      </c>
      <c r="BD312" s="32">
        <f>IFERROR(__xludf.DUMMYFUNCTION("""COMPUTED_VALUE"""),15.0)</f>
        <v>15</v>
      </c>
      <c r="BE312" s="32">
        <f>IFERROR(__xludf.DUMMYFUNCTION("""COMPUTED_VALUE"""),15.0)</f>
        <v>15</v>
      </c>
      <c r="BF312" s="32"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32" t="str">
        <f>IFERROR(__xludf.DUMMYFUNCTION("""COMPUTED_VALUE"""),"All")</f>
        <v>All</v>
      </c>
      <c r="BH312" s="32" t="str">
        <f>IFERROR(__xludf.DUMMYFUNCTION("""COMPUTED_VALUE"""),"Abstara")</f>
        <v>Abstara</v>
      </c>
      <c r="BI312" s="32"/>
      <c r="BJ312" s="32"/>
      <c r="BK312" s="32"/>
      <c r="BL312" s="32" t="b">
        <f>IFERROR(__xludf.DUMMYFUNCTION("""COMPUTED_VALUE"""),FALSE)</f>
        <v>0</v>
      </c>
      <c r="BM312" s="32"/>
      <c r="BN312" s="32"/>
      <c r="BO312" s="32"/>
      <c r="BP312" s="32"/>
      <c r="BQ312" s="32"/>
    </row>
    <row r="313">
      <c r="A313" s="32" t="str">
        <f>IFERROR(__xludf.DUMMYFUNCTION("""COMPUTED_VALUE"""),"Abstara  Guard (Tier l)")</f>
        <v>Abstara  Guard (Tier l)</v>
      </c>
      <c r="B313" s="32">
        <f>IFERROR(__xludf.DUMMYFUNCTION("""COMPUTED_VALUE"""),1.0)</f>
        <v>1</v>
      </c>
      <c r="C313" s="32"/>
      <c r="D313" s="32" t="str">
        <f>IFERROR(__xludf.DUMMYFUNCTION("""COMPUTED_VALUE"""),"Demonic")</f>
        <v>Demonic</v>
      </c>
      <c r="E313" s="32">
        <f>IFERROR(__xludf.DUMMYFUNCTION("""COMPUTED_VALUE"""),1010.0)</f>
        <v>1010</v>
      </c>
      <c r="F313" s="33">
        <f>IFERROR(__xludf.DUMMYFUNCTION("""COMPUTED_VALUE"""),1010.0)</f>
        <v>1010</v>
      </c>
      <c r="G313" s="32">
        <f>IFERROR(__xludf.DUMMYFUNCTION("""COMPUTED_VALUE"""),1010.0)</f>
        <v>1010</v>
      </c>
      <c r="H313" s="32">
        <f>IFERROR(__xludf.DUMMYFUNCTION("""COMPUTED_VALUE"""),15.0)</f>
        <v>15</v>
      </c>
      <c r="I313" s="32">
        <f>IFERROR(__xludf.DUMMYFUNCTION("""COMPUTED_VALUE"""),10.0)</f>
        <v>10</v>
      </c>
      <c r="J313" s="32">
        <f>IFERROR(__xludf.DUMMYFUNCTION("""COMPUTED_VALUE"""),0.0)</f>
        <v>0</v>
      </c>
      <c r="K313" s="32">
        <f>IFERROR(__xludf.DUMMYFUNCTION("""COMPUTED_VALUE"""),100.0)</f>
        <v>100</v>
      </c>
      <c r="L313" s="32">
        <f>IFERROR(__xludf.DUMMYFUNCTION("""COMPUTED_VALUE"""),100.0)</f>
        <v>100</v>
      </c>
      <c r="M313" s="32" t="str">
        <f>IFERROR(__xludf.DUMMYFUNCTION("""COMPUTED_VALUE"""),"Fire:100, Dark:Immune, Chaos:Immune, Voodoo:Immune, Blood:Immune, Instant Death:Immune, Banishment:Immune, ")</f>
        <v>Fire:100, Dark:Immune, Chaos:Immune, Voodoo:Immune, Blood:Immune, Instant Death:Immune, Banishment:Immune, </v>
      </c>
      <c r="N313" s="32" t="str">
        <f>IFERROR(__xludf.DUMMYFUNCTION("""COMPUTED_VALUE"""),"Light:100, Order:100, ")</f>
        <v>Light:100, Order:100, </v>
      </c>
      <c r="O313" s="32" t="str">
        <f>IFERROR(__xludf.DUMMYFUNCTION("""COMPUTED_VALUE"""),"Abstara Royal Helm")</f>
        <v>Abstara Royal Helm</v>
      </c>
      <c r="P313" s="32" t="str">
        <f>IFERROR(__xludf.DUMMYFUNCTION("""COMPUTED_VALUE"""),"Necklace Of Shards")</f>
        <v>Necklace Of Shards</v>
      </c>
      <c r="Q313" s="32"/>
      <c r="R313" s="32"/>
      <c r="S313" s="32" t="str">
        <f>IFERROR(__xludf.DUMMYFUNCTION("""COMPUTED_VALUE"""),"Abstara Royal Pauldrons")</f>
        <v>Abstara Royal Pauldrons</v>
      </c>
      <c r="T313" s="32" t="str">
        <f>IFERROR(__xludf.DUMMYFUNCTION("""COMPUTED_VALUE"""),"Abstara Royal Chestplate")</f>
        <v>Abstara Royal Chestplate</v>
      </c>
      <c r="U313" s="32" t="str">
        <f>IFERROR(__xludf.DUMMYFUNCTION("""COMPUTED_VALUE"""),"Abstara Royal Vambraces")</f>
        <v>Abstara Royal Vambraces</v>
      </c>
      <c r="V313" s="32"/>
      <c r="W313" s="32" t="str">
        <f>IFERROR(__xludf.DUMMYFUNCTION("""COMPUTED_VALUE"""),"Grand Hellfire Sword")</f>
        <v>Grand Hellfire Sword</v>
      </c>
      <c r="X313" s="32" t="str">
        <f>IFERROR(__xludf.DUMMYFUNCTION("""COMPUTED_VALUE"""),"Ring of Darkness")</f>
        <v>Ring of Darkness</v>
      </c>
      <c r="Y313" s="32" t="str">
        <f>IFERROR(__xludf.DUMMYFUNCTION("""COMPUTED_VALUE"""),"Ring of Pure Chaos")</f>
        <v>Ring of Pure Chaos</v>
      </c>
      <c r="Z313" s="32"/>
      <c r="AA313" s="32"/>
      <c r="AB313" s="32"/>
      <c r="AC313" s="32"/>
      <c r="AD313" s="32"/>
      <c r="AE313" s="32"/>
      <c r="AF313" s="32"/>
      <c r="AG313" s="32"/>
      <c r="AH313" s="32" t="str">
        <f>IFERROR(__xludf.DUMMYFUNCTION("""COMPUTED_VALUE"""),"Abstara Royal Greaves")</f>
        <v>Abstara Royal Greaves</v>
      </c>
      <c r="AI313" s="32" t="str">
        <f>IFERROR(__xludf.DUMMYFUNCTION("""COMPUTED_VALUE"""),"Abstara Royal Boots")</f>
        <v>Abstara Royal Boots</v>
      </c>
      <c r="AJ313" s="32" t="str">
        <f>IFERROR(__xludf.DUMMYFUNCTION("""COMPUTED_VALUE"""),"Chaincast")</f>
        <v>Chaincast</v>
      </c>
      <c r="AK313" s="32" t="str">
        <f>IFERROR(__xludf.DUMMYFUNCTION("""COMPUTED_VALUE"""),"Guard Call (Mob)")</f>
        <v>Guard Call (Mob)</v>
      </c>
      <c r="AL313" s="32" t="str">
        <f>IFERROR(__xludf.DUMMYFUNCTION("""COMPUTED_VALUE"""),"Arrest II")</f>
        <v>Arrest II</v>
      </c>
      <c r="AM313" s="32" t="str">
        <f>IFERROR(__xludf.DUMMYFUNCTION("""COMPUTED_VALUE"""),"Meteor Shower")</f>
        <v>Meteor Shower</v>
      </c>
      <c r="AN313" s="32" t="str">
        <f>IFERROR(__xludf.DUMMYFUNCTION("""COMPUTED_VALUE"""),"Volcanic Rain")</f>
        <v>Volcanic Rain</v>
      </c>
      <c r="AO313" s="32" t="str">
        <f>IFERROR(__xludf.DUMMYFUNCTION("""COMPUTED_VALUE"""),"Solar Storm")</f>
        <v>Solar Storm</v>
      </c>
      <c r="AP313" s="32" t="str">
        <f>IFERROR(__xludf.DUMMYFUNCTION("""COMPUTED_VALUE"""),"Sunny Day")</f>
        <v>Sunny Day</v>
      </c>
      <c r="AQ313" s="32" t="str">
        <f>IFERROR(__xludf.DUMMYFUNCTION("""COMPUTED_VALUE"""),"Doom Impulse")</f>
        <v>Doom Impulse</v>
      </c>
      <c r="AR313" s="32" t="str">
        <f>IFERROR(__xludf.DUMMYFUNCTION("""COMPUTED_VALUE"""),"Shatter")</f>
        <v>Shatter</v>
      </c>
      <c r="AS313" s="32" t="str">
        <f>IFERROR(__xludf.DUMMYFUNCTION("""COMPUTED_VALUE"""),"Dimensional Quake")</f>
        <v>Dimensional Quake</v>
      </c>
      <c r="AT313" s="32" t="str">
        <f>IFERROR(__xludf.DUMMYFUNCTION("""COMPUTED_VALUE"""),"Darkest Abyss")</f>
        <v>Darkest Abyss</v>
      </c>
      <c r="AU313" s="32" t="str">
        <f>IFERROR(__xludf.DUMMYFUNCTION("""COMPUTED_VALUE"""),"Raise Dead")</f>
        <v>Raise Dead</v>
      </c>
      <c r="AV313" s="32" t="str">
        <f>IFERROR(__xludf.DUMMYFUNCTION("""COMPUTED_VALUE"""),"Last Gamble")</f>
        <v>Last Gamble</v>
      </c>
      <c r="AW313" s="32" t="str">
        <f>IFERROR(__xludf.DUMMYFUNCTION("""COMPUTED_VALUE"""),"Voodoo Meteor Shower")</f>
        <v>Voodoo Meteor Shower</v>
      </c>
      <c r="AX313" s="32" t="str">
        <f>IFERROR(__xludf.DUMMYFUNCTION("""COMPUTED_VALUE"""),"Multi-Magic")</f>
        <v>Multi-Magic</v>
      </c>
      <c r="AY313" s="32" t="str">
        <f>IFERROR(__xludf.DUMMYFUNCTION("""COMPUTED_VALUE"""),"Berserk")</f>
        <v>Berserk</v>
      </c>
      <c r="AZ313" s="32" t="str">
        <f>IFERROR(__xludf.DUMMYFUNCTION("""COMPUTED_VALUE"""),"Confiscate (Enhanced)")</f>
        <v>Confiscate (Enhanced)</v>
      </c>
      <c r="BA313" s="32" t="str">
        <f>IFERROR(__xludf.DUMMYFUNCTION("""COMPUTED_VALUE"""),"Enrage")</f>
        <v>Enrage</v>
      </c>
      <c r="BB313" s="32" t="str">
        <f>IFERROR(__xludf.DUMMYFUNCTION("""COMPUTED_VALUE"""),"Mass Destruction")</f>
        <v>Mass Destruction</v>
      </c>
      <c r="BC313" s="32" t="str">
        <f>IFERROR(__xludf.DUMMYFUNCTION("""COMPUTED_VALUE"""),"Vaporize")</f>
        <v>Vaporize</v>
      </c>
      <c r="BD313" s="32">
        <f>IFERROR(__xludf.DUMMYFUNCTION("""COMPUTED_VALUE"""),10.0)</f>
        <v>10</v>
      </c>
      <c r="BE313" s="32">
        <f>IFERROR(__xludf.DUMMYFUNCTION("""COMPUTED_VALUE"""),15.0)</f>
        <v>15</v>
      </c>
      <c r="BF313" s="32"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32" t="str">
        <f>IFERROR(__xludf.DUMMYFUNCTION("""COMPUTED_VALUE"""),"All")</f>
        <v>All</v>
      </c>
      <c r="BH313" s="32" t="str">
        <f>IFERROR(__xludf.DUMMYFUNCTION("""COMPUTED_VALUE"""),"Abstara")</f>
        <v>Abstara</v>
      </c>
      <c r="BI313" s="32"/>
      <c r="BJ313" s="32"/>
      <c r="BK313" s="32"/>
      <c r="BL313" s="32" t="b">
        <f>IFERROR(__xludf.DUMMYFUNCTION("""COMPUTED_VALUE"""),FALSE)</f>
        <v>0</v>
      </c>
      <c r="BM313" s="32"/>
      <c r="BN313" s="32"/>
      <c r="BO313" s="32"/>
      <c r="BP313" s="32"/>
      <c r="BQ313" s="32"/>
    </row>
    <row r="314">
      <c r="A314" s="32" t="str">
        <f>IFERROR(__xludf.DUMMYFUNCTION("""COMPUTED_VALUE"""),"Crystal Colossus")</f>
        <v>Crystal Colossus</v>
      </c>
      <c r="B314" s="32">
        <f>IFERROR(__xludf.DUMMYFUNCTION("""COMPUTED_VALUE"""),1.0)</f>
        <v>1</v>
      </c>
      <c r="C314" s="32"/>
      <c r="D314" s="32" t="str">
        <f>IFERROR(__xludf.DUMMYFUNCTION("""COMPUTED_VALUE"""),"Construct")</f>
        <v>Construct</v>
      </c>
      <c r="E314" s="32">
        <f>IFERROR(__xludf.DUMMYFUNCTION("""COMPUTED_VALUE"""),1010.0)</f>
        <v>1010</v>
      </c>
      <c r="F314" s="33">
        <f>IFERROR(__xludf.DUMMYFUNCTION("""COMPUTED_VALUE"""),1010.0)</f>
        <v>1010</v>
      </c>
      <c r="G314" s="32">
        <f>IFERROR(__xludf.DUMMYFUNCTION("""COMPUTED_VALUE"""),1010.0)</f>
        <v>1010</v>
      </c>
      <c r="H314" s="32">
        <f>IFERROR(__xludf.DUMMYFUNCTION("""COMPUTED_VALUE"""),10.0)</f>
        <v>10</v>
      </c>
      <c r="I314" s="32">
        <f>IFERROR(__xludf.DUMMYFUNCTION("""COMPUTED_VALUE"""),0.0)</f>
        <v>0</v>
      </c>
      <c r="J314" s="32">
        <f>IFERROR(__xludf.DUMMYFUNCTION("""COMPUTED_VALUE"""),0.0)</f>
        <v>0</v>
      </c>
      <c r="K314" s="32">
        <f>IFERROR(__xludf.DUMMYFUNCTION("""COMPUTED_VALUE"""),100.0)</f>
        <v>100</v>
      </c>
      <c r="L314" s="32">
        <f>IFERROR(__xludf.DUMMYFUNCTION("""COMPUTED_VALUE"""),100.0)</f>
        <v>100</v>
      </c>
      <c r="M314" s="32" t="str">
        <f>IFERROR(__xludf.DUMMYFUNCTION("""COMPUTED_VALUE"""),"Instant Death:Immune, Banishment:Immune, ")</f>
        <v>Instant Death:Immune, Banishment:Immune, </v>
      </c>
      <c r="N314" s="32" t="str">
        <f>IFERROR(__xludf.DUMMYFUNCTION("""COMPUTED_VALUE"""),"")</f>
        <v/>
      </c>
      <c r="O314" s="32" t="str">
        <f>IFERROR(__xludf.DUMMYFUNCTION("""COMPUTED_VALUE"""),"Crystal Forged Helmet")</f>
        <v>Crystal Forged Helmet</v>
      </c>
      <c r="P314" s="32" t="str">
        <f>IFERROR(__xludf.DUMMYFUNCTION("""COMPUTED_VALUE"""),"Black Crystal Necklace of Luck")</f>
        <v>Black Crystal Necklace of Luck</v>
      </c>
      <c r="Q314" s="32" t="str">
        <f>IFERROR(__xludf.DUMMYFUNCTION("""COMPUTED_VALUE"""),"Crystal Healing Amulet")</f>
        <v>Crystal Healing Amulet</v>
      </c>
      <c r="R314" s="32"/>
      <c r="S314" s="32" t="str">
        <f>IFERROR(__xludf.DUMMYFUNCTION("""COMPUTED_VALUE"""),"Crystal Forged Pauldrons")</f>
        <v>Crystal Forged Pauldrons</v>
      </c>
      <c r="T314" s="32" t="str">
        <f>IFERROR(__xludf.DUMMYFUNCTION("""COMPUTED_VALUE"""),"Crystal Forged Chestplate")</f>
        <v>Crystal Forged Chestplate</v>
      </c>
      <c r="U314" s="32" t="str">
        <f>IFERROR(__xludf.DUMMYFUNCTION("""COMPUTED_VALUE"""),"Crystal Forged Vambraces")</f>
        <v>Crystal Forged Vambraces</v>
      </c>
      <c r="V314" s="32" t="str">
        <f>IFERROR(__xludf.DUMMYFUNCTION("""COMPUTED_VALUE"""),"Crystal Longsword")</f>
        <v>Crystal Longsword</v>
      </c>
      <c r="W314" s="32"/>
      <c r="X314" s="32" t="str">
        <f>IFERROR(__xludf.DUMMYFUNCTION("""COMPUTED_VALUE"""),"Crystal Ring")</f>
        <v>Crystal Ring</v>
      </c>
      <c r="Y314" s="32"/>
      <c r="Z314" s="32"/>
      <c r="AA314" s="32"/>
      <c r="AB314" s="32"/>
      <c r="AC314" s="32"/>
      <c r="AD314" s="32"/>
      <c r="AE314" s="32"/>
      <c r="AF314" s="32"/>
      <c r="AG314" s="32"/>
      <c r="AH314" s="32"/>
      <c r="AI314" s="32"/>
      <c r="AJ314" s="32" t="str">
        <f>IFERROR(__xludf.DUMMYFUNCTION("""COMPUTED_VALUE"""),"Energizing Emerald Pulse")</f>
        <v>Energizing Emerald Pulse</v>
      </c>
      <c r="AK314" s="32" t="str">
        <f>IFERROR(__xludf.DUMMYFUNCTION("""COMPUTED_VALUE"""),"Searing Saphire Strike")</f>
        <v>Searing Saphire Strike</v>
      </c>
      <c r="AL314" s="32" t="str">
        <f>IFERROR(__xludf.DUMMYFUNCTION("""COMPUTED_VALUE"""),"Molten Ruby Spikes")</f>
        <v>Molten Ruby Spikes</v>
      </c>
      <c r="AM314" s="32" t="str">
        <f>IFERROR(__xludf.DUMMYFUNCTION("""COMPUTED_VALUE"""),"Chaincast")</f>
        <v>Chaincast</v>
      </c>
      <c r="AN314" s="32" t="str">
        <f>IFERROR(__xludf.DUMMYFUNCTION("""COMPUTED_VALUE"""),"Berserk")</f>
        <v>Berserk</v>
      </c>
      <c r="AO314" s="32" t="str">
        <f>IFERROR(__xludf.DUMMYFUNCTION("""COMPUTED_VALUE"""),"Mass Destruction")</f>
        <v>Mass Destruction</v>
      </c>
      <c r="AP314" s="32" t="str">
        <f>IFERROR(__xludf.DUMMYFUNCTION("""COMPUTED_VALUE"""),"Cancel")</f>
        <v>Cancel</v>
      </c>
      <c r="AQ314" s="32"/>
      <c r="AR314" s="32"/>
      <c r="AS314" s="32"/>
      <c r="AT314" s="32"/>
      <c r="AU314" s="32"/>
      <c r="AV314" s="32"/>
      <c r="AW314" s="32"/>
      <c r="AX314" s="32"/>
      <c r="AY314" s="32"/>
      <c r="AZ314" s="32"/>
      <c r="BA314" s="32"/>
      <c r="BB314" s="32"/>
      <c r="BC314" s="32"/>
      <c r="BD314" s="32">
        <f>IFERROR(__xludf.DUMMYFUNCTION("""COMPUTED_VALUE"""),0.0)</f>
        <v>0</v>
      </c>
      <c r="BE314" s="32">
        <f>IFERROR(__xludf.DUMMYFUNCTION("""COMPUTED_VALUE"""),10.0)</f>
        <v>10</v>
      </c>
      <c r="BF314" s="32"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32" t="str">
        <f>IFERROR(__xludf.DUMMYFUNCTION("""COMPUTED_VALUE"""),"City/Town")</f>
        <v>City/Town</v>
      </c>
      <c r="BH314" s="32" t="str">
        <f>IFERROR(__xludf.DUMMYFUNCTION("""COMPUTED_VALUE"""),"Land of Spira")</f>
        <v>Land of Spira</v>
      </c>
      <c r="BI314" s="32"/>
      <c r="BJ314" s="32"/>
      <c r="BK314" s="32"/>
      <c r="BL314" s="32" t="b">
        <f>IFERROR(__xludf.DUMMYFUNCTION("""COMPUTED_VALUE"""),FALSE)</f>
        <v>0</v>
      </c>
      <c r="BM314" s="32"/>
      <c r="BN314" s="32"/>
      <c r="BO314" s="32"/>
      <c r="BP314" s="32"/>
      <c r="BQ314" s="32"/>
    </row>
    <row r="315">
      <c r="A315" s="32" t="str">
        <f>IFERROR(__xludf.DUMMYFUNCTION("""COMPUTED_VALUE"""),"The Great Storm Kaiju")</f>
        <v>The Great Storm Kaiju</v>
      </c>
      <c r="B315" s="32">
        <f>IFERROR(__xludf.DUMMYFUNCTION("""COMPUTED_VALUE"""),1.0)</f>
        <v>1</v>
      </c>
      <c r="C315" s="32"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32" t="str">
        <f>IFERROR(__xludf.DUMMYFUNCTION("""COMPUTED_VALUE"""),"Giant")</f>
        <v>Giant</v>
      </c>
      <c r="E315" s="32">
        <f>IFERROR(__xludf.DUMMYFUNCTION("""COMPUTED_VALUE"""),1010.0)</f>
        <v>1010</v>
      </c>
      <c r="F315" s="33">
        <f>IFERROR(__xludf.DUMMYFUNCTION("""COMPUTED_VALUE"""),1010.0)</f>
        <v>1010</v>
      </c>
      <c r="G315" s="32">
        <f>IFERROR(__xludf.DUMMYFUNCTION("""COMPUTED_VALUE"""),50010.0)</f>
        <v>50010</v>
      </c>
      <c r="H315" s="32">
        <f>IFERROR(__xludf.DUMMYFUNCTION("""COMPUTED_VALUE"""),10.0)</f>
        <v>10</v>
      </c>
      <c r="I315" s="32">
        <f>IFERROR(__xludf.DUMMYFUNCTION("""COMPUTED_VALUE"""),0.0)</f>
        <v>0</v>
      </c>
      <c r="J315" s="32">
        <f>IFERROR(__xludf.DUMMYFUNCTION("""COMPUTED_VALUE"""),0.0)</f>
        <v>0</v>
      </c>
      <c r="K315" s="32">
        <f>IFERROR(__xludf.DUMMYFUNCTION("""COMPUTED_VALUE"""),100.0)</f>
        <v>100</v>
      </c>
      <c r="L315" s="32">
        <f>IFERROR(__xludf.DUMMYFUNCTION("""COMPUTED_VALUE"""),100.0)</f>
        <v>100</v>
      </c>
      <c r="M315" s="32" t="str">
        <f>IFERROR(__xludf.DUMMYFUNCTION("""COMPUTED_VALUE"""),"Fire:Immune, Water:Immune, Storm:Immune, Earth:Immune, Nature:Immune, Instant Death:Immune, Banishment:Immune, ")</f>
        <v>Fire:Immune, Water:Immune, Storm:Immune, Earth:Immune, Nature:Immune, Instant Death:Immune, Banishment:Immune, </v>
      </c>
      <c r="N315" s="32" t="str">
        <f>IFERROR(__xludf.DUMMYFUNCTION("""COMPUTED_VALUE"""),"")</f>
        <v/>
      </c>
      <c r="O315" s="32"/>
      <c r="P315" s="32"/>
      <c r="Q315" s="32"/>
      <c r="R315" s="32"/>
      <c r="S315" s="32"/>
      <c r="T315" s="32" t="str">
        <f>IFERROR(__xludf.DUMMYFUNCTION("""COMPUTED_VALUE"""),"Reinforced Tortoise Shell")</f>
        <v>Reinforced Tortoise Shell</v>
      </c>
      <c r="U315" s="32"/>
      <c r="V315" s="32"/>
      <c r="W315" s="32" t="str">
        <f>IFERROR(__xludf.DUMMYFUNCTION("""COMPUTED_VALUE"""),"Tortoise Shell Shield")</f>
        <v>Tortoise Shell Shield</v>
      </c>
      <c r="X315" s="32"/>
      <c r="Y315" s="32"/>
      <c r="Z315" s="32"/>
      <c r="AA315" s="32"/>
      <c r="AB315" s="32"/>
      <c r="AC315" s="32"/>
      <c r="AD315" s="32"/>
      <c r="AE315" s="32"/>
      <c r="AF315" s="32"/>
      <c r="AG315" s="32"/>
      <c r="AH315" s="32"/>
      <c r="AI315" s="32"/>
      <c r="AJ315" s="32" t="str">
        <f>IFERROR(__xludf.DUMMYFUNCTION("""COMPUTED_VALUE"""),"Roaring Frost Winds")</f>
        <v>Roaring Frost Winds</v>
      </c>
      <c r="AK315" s="32" t="str">
        <f>IFERROR(__xludf.DUMMYFUNCTION("""COMPUTED_VALUE"""),"Torrential Downpour")</f>
        <v>Torrential Downpour</v>
      </c>
      <c r="AL315" s="32" t="str">
        <f>IFERROR(__xludf.DUMMYFUNCTION("""COMPUTED_VALUE"""),"Vaporize")</f>
        <v>Vaporize</v>
      </c>
      <c r="AM315" s="32" t="str">
        <f>IFERROR(__xludf.DUMMYFUNCTION("""COMPUTED_VALUE"""),"Earthquake")</f>
        <v>Earthquake</v>
      </c>
      <c r="AN315" s="32" t="str">
        <f>IFERROR(__xludf.DUMMYFUNCTION("""COMPUTED_VALUE"""),"Hurricane")</f>
        <v>Hurricane</v>
      </c>
      <c r="AO315" s="32" t="str">
        <f>IFERROR(__xludf.DUMMYFUNCTION("""COMPUTED_VALUE"""),"Crashing Waves")</f>
        <v>Crashing Waves</v>
      </c>
      <c r="AP315" s="32" t="str">
        <f>IFERROR(__xludf.DUMMYFUNCTION("""COMPUTED_VALUE"""),"Freezing Fog")</f>
        <v>Freezing Fog</v>
      </c>
      <c r="AQ315" s="32" t="str">
        <f>IFERROR(__xludf.DUMMYFUNCTION("""COMPUTED_VALUE"""),"Sandstorm")</f>
        <v>Sandstorm</v>
      </c>
      <c r="AR315" s="32" t="str">
        <f>IFERROR(__xludf.DUMMYFUNCTION("""COMPUTED_VALUE"""),"Elemental Storm")</f>
        <v>Elemental Storm</v>
      </c>
      <c r="AS315" s="32" t="str">
        <f>IFERROR(__xludf.DUMMYFUNCTION("""COMPUTED_VALUE"""),"Multishot")</f>
        <v>Multishot</v>
      </c>
      <c r="AT315" s="32" t="str">
        <f>IFERROR(__xludf.DUMMYFUNCTION("""COMPUTED_VALUE"""),"Berserk")</f>
        <v>Berserk</v>
      </c>
      <c r="AU315" s="32" t="str">
        <f>IFERROR(__xludf.DUMMYFUNCTION("""COMPUTED_VALUE"""),"Chaincast")</f>
        <v>Chaincast</v>
      </c>
      <c r="AV315" s="32" t="str">
        <f>IFERROR(__xludf.DUMMYFUNCTION("""COMPUTED_VALUE"""),"Volcanic Rain")</f>
        <v>Volcanic Rain</v>
      </c>
      <c r="AW315" s="32" t="str">
        <f>IFERROR(__xludf.DUMMYFUNCTION("""COMPUTED_VALUE"""),"Meteor Shower")</f>
        <v>Meteor Shower</v>
      </c>
      <c r="AX315" s="32" t="str">
        <f>IFERROR(__xludf.DUMMYFUNCTION("""COMPUTED_VALUE"""),"Sunny Day")</f>
        <v>Sunny Day</v>
      </c>
      <c r="AY315" s="32" t="str">
        <f>IFERROR(__xludf.DUMMYFUNCTION("""COMPUTED_VALUE"""),"Black Hole")</f>
        <v>Black Hole</v>
      </c>
      <c r="AZ315" s="32" t="str">
        <f>IFERROR(__xludf.DUMMYFUNCTION("""COMPUTED_VALUE"""),"Full Impact")</f>
        <v>Full Impact</v>
      </c>
      <c r="BA315" s="32" t="str">
        <f>IFERROR(__xludf.DUMMYFUNCTION("""COMPUTED_VALUE"""),"Aggressive Chomp")</f>
        <v>Aggressive Chomp</v>
      </c>
      <c r="BB315" s="32"/>
      <c r="BC315" s="32"/>
      <c r="BD315" s="32">
        <f>IFERROR(__xludf.DUMMYFUNCTION("""COMPUTED_VALUE"""),0.0)</f>
        <v>0</v>
      </c>
      <c r="BE315" s="32">
        <f>IFERROR(__xludf.DUMMYFUNCTION("""COMPUTED_VALUE"""),10.0)</f>
        <v>10</v>
      </c>
      <c r="BF315" s="32"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32" t="str">
        <f>IFERROR(__xludf.DUMMYFUNCTION("""COMPUTED_VALUE"""),"All")</f>
        <v>All</v>
      </c>
      <c r="BH315" s="32" t="str">
        <f>IFERROR(__xludf.DUMMYFUNCTION("""COMPUTED_VALUE"""),"Land of Spira")</f>
        <v>Land of Spira</v>
      </c>
      <c r="BI315" s="32"/>
      <c r="BJ315" s="32"/>
      <c r="BK315" s="32"/>
      <c r="BL315" s="32" t="b">
        <f>IFERROR(__xludf.DUMMYFUNCTION("""COMPUTED_VALUE"""),FALSE)</f>
        <v>0</v>
      </c>
      <c r="BM315" s="32"/>
      <c r="BN315" s="32"/>
      <c r="BO315" s="32"/>
      <c r="BP315" s="32"/>
      <c r="BQ315" s="32"/>
    </row>
    <row r="316">
      <c r="A316" s="32" t="str">
        <f>IFERROR(__xludf.DUMMYFUNCTION("""COMPUTED_VALUE"""),"Gaia, Goddess of Earth")</f>
        <v>Gaia, Goddess of Earth</v>
      </c>
      <c r="B316" s="32">
        <f>IFERROR(__xludf.DUMMYFUNCTION("""COMPUTED_VALUE"""),1.0)</f>
        <v>1</v>
      </c>
      <c r="C316" s="32"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32" t="str">
        <f>IFERROR(__xludf.DUMMYFUNCTION("""COMPUTED_VALUE"""),"God")</f>
        <v>God</v>
      </c>
      <c r="E316" s="32">
        <f>IFERROR(__xludf.DUMMYFUNCTION("""COMPUTED_VALUE"""),1010.0)</f>
        <v>1010</v>
      </c>
      <c r="F316" s="33">
        <f>IFERROR(__xludf.DUMMYFUNCTION("""COMPUTED_VALUE"""),1010.0)</f>
        <v>1010</v>
      </c>
      <c r="G316" s="32">
        <f>IFERROR(__xludf.DUMMYFUNCTION("""COMPUTED_VALUE"""),201010.0)</f>
        <v>201010</v>
      </c>
      <c r="H316" s="32">
        <f>IFERROR(__xludf.DUMMYFUNCTION("""COMPUTED_VALUE"""),10.0)</f>
        <v>10</v>
      </c>
      <c r="I316" s="32">
        <f>IFERROR(__xludf.DUMMYFUNCTION("""COMPUTED_VALUE"""),0.0)</f>
        <v>0</v>
      </c>
      <c r="J316" s="32">
        <f>IFERROR(__xludf.DUMMYFUNCTION("""COMPUTED_VALUE"""),0.0)</f>
        <v>0</v>
      </c>
      <c r="K316" s="32">
        <f>IFERROR(__xludf.DUMMYFUNCTION("""COMPUTED_VALUE"""),100.0)</f>
        <v>100</v>
      </c>
      <c r="L316" s="32">
        <f>IFERROR(__xludf.DUMMYFUNCTION("""COMPUTED_VALUE"""),100.0)</f>
        <v>100</v>
      </c>
      <c r="M316" s="32" t="str">
        <f>IFERROR(__xludf.DUMMYFUNCTION("""COMPUTED_VALUE"""),"Fire:Immune, Earth:Immune, Dark:100, Chaos:100, Nature:Immune, Celestial:100, Instant Death:Immune, Banishment:Immune, ")</f>
        <v>Fire:Immune, Earth:Immune, Dark:100, Chaos:100, Nature:Immune, Celestial:100, Instant Death:Immune, Banishment:Immune, </v>
      </c>
      <c r="N316" s="32" t="str">
        <f>IFERROR(__xludf.DUMMYFUNCTION("""COMPUTED_VALUE"""),"Water:100, Storm:100, Dark:100, Chaos:100, Time:100, ")</f>
        <v>Water:100, Storm:100, Dark:100, Chaos:100, Time:100, </v>
      </c>
      <c r="O316" s="32" t="str">
        <f>IFERROR(__xludf.DUMMYFUNCTION("""COMPUTED_VALUE"""),"Gaia's Helmet of Earthen Fortitude")</f>
        <v>Gaia's Helmet of Earthen Fortitude</v>
      </c>
      <c r="P316" s="32" t="str">
        <f>IFERROR(__xludf.DUMMYFUNCTION("""COMPUTED_VALUE"""),"Gaia's Pendant")</f>
        <v>Gaia's Pendant</v>
      </c>
      <c r="Q316" s="32"/>
      <c r="R316" s="32"/>
      <c r="S316" s="32"/>
      <c r="T316" s="32" t="str">
        <f>IFERROR(__xludf.DUMMYFUNCTION("""COMPUTED_VALUE"""),"Gaia's Chestpiece")</f>
        <v>Gaia's Chestpiece</v>
      </c>
      <c r="U316" s="32" t="str">
        <f>IFERROR(__xludf.DUMMYFUNCTION("""COMPUTED_VALUE"""),"Gaia's Gloves")</f>
        <v>Gaia's Gloves</v>
      </c>
      <c r="V316" s="32"/>
      <c r="W316" s="32" t="str">
        <f>IFERROR(__xludf.DUMMYFUNCTION("""COMPUTED_VALUE"""),"Gaia's Rock Hammer")</f>
        <v>Gaia's Rock Hammer</v>
      </c>
      <c r="X316" s="32" t="str">
        <f>IFERROR(__xludf.DUMMYFUNCTION("""COMPUTED_VALUE"""),"Gaia's Ring")</f>
        <v>Gaia's Ring</v>
      </c>
      <c r="Y316" s="32"/>
      <c r="Z316" s="32"/>
      <c r="AA316" s="32"/>
      <c r="AB316" s="32"/>
      <c r="AC316" s="32"/>
      <c r="AD316" s="32"/>
      <c r="AE316" s="32"/>
      <c r="AF316" s="32"/>
      <c r="AG316" s="32"/>
      <c r="AH316" s="32" t="str">
        <f>IFERROR(__xludf.DUMMYFUNCTION("""COMPUTED_VALUE"""),"Gaia's Gaiters")</f>
        <v>Gaia's Gaiters</v>
      </c>
      <c r="AI316" s="32" t="str">
        <f>IFERROR(__xludf.DUMMYFUNCTION("""COMPUTED_VALUE"""),"Gaia's Sandals of Earthen Fortitude")</f>
        <v>Gaia's Sandals of Earthen Fortitude</v>
      </c>
      <c r="AJ316" s="32" t="str">
        <f>IFERROR(__xludf.DUMMYFUNCTION("""COMPUTED_VALUE"""),"Earthquake")</f>
        <v>Earthquake</v>
      </c>
      <c r="AK316" s="32" t="str">
        <f>IFERROR(__xludf.DUMMYFUNCTION("""COMPUTED_VALUE"""),"Breaking Earth")</f>
        <v>Breaking Earth</v>
      </c>
      <c r="AL316" s="32" t="str">
        <f>IFERROR(__xludf.DUMMYFUNCTION("""COMPUTED_VALUE"""),"Landslide")</f>
        <v>Landslide</v>
      </c>
      <c r="AM316" s="32" t="str">
        <f>IFERROR(__xludf.DUMMYFUNCTION("""COMPUTED_VALUE"""),"Mountain Formation")</f>
        <v>Mountain Formation</v>
      </c>
      <c r="AN316" s="32" t="str">
        <f>IFERROR(__xludf.DUMMYFUNCTION("""COMPUTED_VALUE"""),"Rock Cycle")</f>
        <v>Rock Cycle</v>
      </c>
      <c r="AO316" s="32" t="str">
        <f>IFERROR(__xludf.DUMMYFUNCTION("""COMPUTED_VALUE"""),"Sandstorm")</f>
        <v>Sandstorm</v>
      </c>
      <c r="AP316" s="32" t="str">
        <f>IFERROR(__xludf.DUMMYFUNCTION("""COMPUTED_VALUE"""),"Call of Gaia")</f>
        <v>Call of Gaia</v>
      </c>
      <c r="AQ316" s="32" t="str">
        <f>IFERROR(__xludf.DUMMYFUNCTION("""COMPUTED_VALUE"""),"The World Tree")</f>
        <v>The World Tree</v>
      </c>
      <c r="AR316" s="32" t="str">
        <f>IFERROR(__xludf.DUMMYFUNCTION("""COMPUTED_VALUE"""),"Tower Of The Forest")</f>
        <v>Tower Of The Forest</v>
      </c>
      <c r="AS316" s="32" t="str">
        <f>IFERROR(__xludf.DUMMYFUNCTION("""COMPUTED_VALUE"""),"Alliance Guard")</f>
        <v>Alliance Guard</v>
      </c>
      <c r="AT316" s="32" t="str">
        <f>IFERROR(__xludf.DUMMYFUNCTION("""COMPUTED_VALUE"""),"Mass Destruction")</f>
        <v>Mass Destruction</v>
      </c>
      <c r="AU316" s="32" t="str">
        <f>IFERROR(__xludf.DUMMYFUNCTION("""COMPUTED_VALUE"""),"Cancel")</f>
        <v>Cancel</v>
      </c>
      <c r="AV316" s="32" t="str">
        <f>IFERROR(__xludf.DUMMYFUNCTION("""COMPUTED_VALUE"""),"Neutralize")</f>
        <v>Neutralize</v>
      </c>
      <c r="AW316" s="32" t="str">
        <f>IFERROR(__xludf.DUMMYFUNCTION("""COMPUTED_VALUE"""),"[Element] Swing")</f>
        <v>[Element] Swing</v>
      </c>
      <c r="AX316" s="32" t="str">
        <f>IFERROR(__xludf.DUMMYFUNCTION("""COMPUTED_VALUE"""),"Multishot")</f>
        <v>Multishot</v>
      </c>
      <c r="AY316" s="32" t="str">
        <f>IFERROR(__xludf.DUMMYFUNCTION("""COMPUTED_VALUE"""),"Chaincast")</f>
        <v>Chaincast</v>
      </c>
      <c r="AZ316" s="32" t="str">
        <f>IFERROR(__xludf.DUMMYFUNCTION("""COMPUTED_VALUE"""),"Tower Of Gods")</f>
        <v>Tower Of Gods</v>
      </c>
      <c r="BA316" s="32" t="str">
        <f>IFERROR(__xludf.DUMMYFUNCTION("""COMPUTED_VALUE"""),"Arrest")</f>
        <v>Arrest</v>
      </c>
      <c r="BB316" s="32"/>
      <c r="BC316" s="32"/>
      <c r="BD316" s="32">
        <f>IFERROR(__xludf.DUMMYFUNCTION("""COMPUTED_VALUE"""),0.0)</f>
        <v>0</v>
      </c>
      <c r="BE316" s="32">
        <f>IFERROR(__xludf.DUMMYFUNCTION("""COMPUTED_VALUE"""),10.0)</f>
        <v>10</v>
      </c>
      <c r="BF316" s="32"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32" t="str">
        <f>IFERROR(__xludf.DUMMYFUNCTION("""COMPUTED_VALUE"""),"Dungeon")</f>
        <v>Dungeon</v>
      </c>
      <c r="BH316" s="32" t="str">
        <f>IFERROR(__xludf.DUMMYFUNCTION("""COMPUTED_VALUE"""),"Land of Spira")</f>
        <v>Land of Spira</v>
      </c>
      <c r="BI316" s="32"/>
      <c r="BJ316" s="32"/>
      <c r="BK316" s="32"/>
      <c r="BL316" s="32" t="b">
        <f>IFERROR(__xludf.DUMMYFUNCTION("""COMPUTED_VALUE"""),FALSE)</f>
        <v>0</v>
      </c>
      <c r="BM316" s="32"/>
      <c r="BN316" s="32"/>
      <c r="BO316" s="32"/>
      <c r="BP316" s="32"/>
      <c r="BQ316" s="32"/>
    </row>
    <row r="317">
      <c r="A317" s="32" t="str">
        <f>IFERROR(__xludf.DUMMYFUNCTION("""COMPUTED_VALUE"""),"Bahamut, Beast of the Endless Void (First Phase)")</f>
        <v>Bahamut, Beast of the Endless Void (First Phase)</v>
      </c>
      <c r="B317" s="32">
        <f>IFERROR(__xludf.DUMMYFUNCTION("""COMPUTED_VALUE"""),1.0)</f>
        <v>1</v>
      </c>
      <c r="C317" s="32" t="str">
        <f>IFERROR(__xludf.DUMMYFUNCTION("""COMPUTED_VALUE"""),"The beast sealed within the void, a being of uncontrolled power and rage never to be unleashed.")</f>
        <v>The beast sealed within the void, a being of uncontrolled power and rage never to be unleashed.</v>
      </c>
      <c r="D317" s="33" t="str">
        <f>IFERROR(__xludf.DUMMYFUNCTION("""COMPUTED_VALUE"""),"God")</f>
        <v>God</v>
      </c>
      <c r="E317" s="33">
        <f>IFERROR(__xludf.DUMMYFUNCTION("""COMPUTED_VALUE"""),220010.0)</f>
        <v>220010</v>
      </c>
      <c r="F317" s="33">
        <f>IFERROR(__xludf.DUMMYFUNCTION("""COMPUTED_VALUE"""),1010.0)</f>
        <v>1010</v>
      </c>
      <c r="G317" s="32">
        <f>IFERROR(__xludf.DUMMYFUNCTION("""COMPUTED_VALUE"""),100010.0)</f>
        <v>100010</v>
      </c>
      <c r="H317" s="32">
        <f>IFERROR(__xludf.DUMMYFUNCTION("""COMPUTED_VALUE"""),10.0)</f>
        <v>10</v>
      </c>
      <c r="I317" s="32">
        <f>IFERROR(__xludf.DUMMYFUNCTION("""COMPUTED_VALUE"""),0.0)</f>
        <v>0</v>
      </c>
      <c r="J317" s="32">
        <f>IFERROR(__xludf.DUMMYFUNCTION("""COMPUTED_VALUE"""),0.0)</f>
        <v>0</v>
      </c>
      <c r="K317" s="32">
        <f>IFERROR(__xludf.DUMMYFUNCTION("""COMPUTED_VALUE"""),1800100.0)</f>
        <v>1800100</v>
      </c>
      <c r="L317" s="32">
        <f>IFERROR(__xludf.DUMMYFUNCTION("""COMPUTED_VALUE"""),100.0)</f>
        <v>100</v>
      </c>
      <c r="M317" s="32"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32" t="str">
        <f>IFERROR(__xludf.DUMMYFUNCTION("""COMPUTED_VALUE"""),"Order:50, Zen:50, Time:50, ")</f>
        <v>Order:50, Zen:50, Time:50, </v>
      </c>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f>IFERROR(__xludf.DUMMYFUNCTION("""COMPUTED_VALUE"""),0.0)</f>
        <v>0</v>
      </c>
      <c r="BE317" s="32">
        <f>IFERROR(__xludf.DUMMYFUNCTION("""COMPUTED_VALUE"""),10.0)</f>
        <v>10</v>
      </c>
      <c r="BF317" s="32"/>
      <c r="BG317" s="32" t="str">
        <f>IFERROR(__xludf.DUMMYFUNCTION("""COMPUTED_VALUE"""),"Void")</f>
        <v>Void</v>
      </c>
      <c r="BH317" s="32" t="str">
        <f>IFERROR(__xludf.DUMMYFUNCTION("""COMPUTED_VALUE"""),"Solreach")</f>
        <v>Solreach</v>
      </c>
      <c r="BI317" s="32"/>
      <c r="BJ317" s="32"/>
      <c r="BK317" s="32"/>
      <c r="BL317" s="32" t="b">
        <f>IFERROR(__xludf.DUMMYFUNCTION("""COMPUTED_VALUE"""),FALSE)</f>
        <v>0</v>
      </c>
      <c r="BM317" s="32"/>
      <c r="BN317" s="32"/>
      <c r="BO317" s="32"/>
      <c r="BP317" s="32"/>
      <c r="BQ317" s="32"/>
    </row>
    <row r="318">
      <c r="A318" s="32" t="str">
        <f>IFERROR(__xludf.DUMMYFUNCTION("""COMPUTED_VALUE"""),"Orgroth - The Volcanic Guardian of Fire Tiki Mountain")</f>
        <v>Orgroth - The Volcanic Guardian of Fire Tiki Mountain</v>
      </c>
      <c r="B318" s="32">
        <f>IFERROR(__xludf.DUMMYFUNCTION("""COMPUTED_VALUE"""),1.0)</f>
        <v>1</v>
      </c>
      <c r="C318" s="32"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32" t="str">
        <f>IFERROR(__xludf.DUMMYFUNCTION("""COMPUTED_VALUE"""),"Giant")</f>
        <v>Giant</v>
      </c>
      <c r="E318" s="32">
        <f>IFERROR(__xludf.DUMMYFUNCTION("""COMPUTED_VALUE"""),1010.0)</f>
        <v>1010</v>
      </c>
      <c r="F318" s="33">
        <f>IFERROR(__xludf.DUMMYFUNCTION("""COMPUTED_VALUE"""),1010.0)</f>
        <v>1010</v>
      </c>
      <c r="G318" s="32">
        <f>IFERROR(__xludf.DUMMYFUNCTION("""COMPUTED_VALUE"""),1010.0)</f>
        <v>1010</v>
      </c>
      <c r="H318" s="32">
        <f>IFERROR(__xludf.DUMMYFUNCTION("""COMPUTED_VALUE"""),10.0)</f>
        <v>10</v>
      </c>
      <c r="I318" s="32">
        <f>IFERROR(__xludf.DUMMYFUNCTION("""COMPUTED_VALUE"""),0.0)</f>
        <v>0</v>
      </c>
      <c r="J318" s="32">
        <f>IFERROR(__xludf.DUMMYFUNCTION("""COMPUTED_VALUE"""),0.0)</f>
        <v>0</v>
      </c>
      <c r="K318" s="32">
        <f>IFERROR(__xludf.DUMMYFUNCTION("""COMPUTED_VALUE"""),100.0)</f>
        <v>100</v>
      </c>
      <c r="L318" s="32">
        <f>IFERROR(__xludf.DUMMYFUNCTION("""COMPUTED_VALUE"""),100.0)</f>
        <v>100</v>
      </c>
      <c r="M318" s="32" t="str">
        <f>IFERROR(__xludf.DUMMYFUNCTION("""COMPUTED_VALUE"""),"Fire:Immune, Earth:Immune, Chaos:250, Instant Death:Immune, Banishment:Immune, ")</f>
        <v>Fire:Immune, Earth:Immune, Chaos:250, Instant Death:Immune, Banishment:Immune, </v>
      </c>
      <c r="N318" s="32" t="str">
        <f>IFERROR(__xludf.DUMMYFUNCTION("""COMPUTED_VALUE"""),"Water:100, Storm:100, ")</f>
        <v>Water:100, Storm:100, </v>
      </c>
      <c r="O318" s="32"/>
      <c r="P318" s="32"/>
      <c r="Q318" s="32"/>
      <c r="R318" s="32"/>
      <c r="S318" s="32"/>
      <c r="T318" s="32"/>
      <c r="U318" s="32"/>
      <c r="V318" s="32"/>
      <c r="W318" s="32"/>
      <c r="X318" s="32"/>
      <c r="Y318" s="32"/>
      <c r="Z318" s="32"/>
      <c r="AA318" s="32"/>
      <c r="AB318" s="32"/>
      <c r="AC318" s="32"/>
      <c r="AD318" s="32"/>
      <c r="AE318" s="32"/>
      <c r="AF318" s="32"/>
      <c r="AG318" s="32"/>
      <c r="AH318" s="32"/>
      <c r="AI318" s="32"/>
      <c r="AJ318" s="32" t="str">
        <f>IFERROR(__xludf.DUMMYFUNCTION("""COMPUTED_VALUE"""),"Volcanic Rain")</f>
        <v>Volcanic Rain</v>
      </c>
      <c r="AK318" s="32" t="str">
        <f>IFERROR(__xludf.DUMMYFUNCTION("""COMPUTED_VALUE"""),"Meteor Shower")</f>
        <v>Meteor Shower</v>
      </c>
      <c r="AL318" s="32" t="str">
        <f>IFERROR(__xludf.DUMMYFUNCTION("""COMPUTED_VALUE"""),"Flame Thrower")</f>
        <v>Flame Thrower</v>
      </c>
      <c r="AM318" s="32" t="str">
        <f>IFERROR(__xludf.DUMMYFUNCTION("""COMPUTED_VALUE"""),"Flame Sanctuary")</f>
        <v>Flame Sanctuary</v>
      </c>
      <c r="AN318" s="32" t="str">
        <f>IFERROR(__xludf.DUMMYFUNCTION("""COMPUTED_VALUE"""),"Earthquake")</f>
        <v>Earthquake</v>
      </c>
      <c r="AO318" s="32" t="str">
        <f>IFERROR(__xludf.DUMMYFUNCTION("""COMPUTED_VALUE"""),"Sandstorm")</f>
        <v>Sandstorm</v>
      </c>
      <c r="AP318" s="32" t="str">
        <f>IFERROR(__xludf.DUMMYFUNCTION("""COMPUTED_VALUE"""),"Berserk")</f>
        <v>Berserk</v>
      </c>
      <c r="AQ318" s="32" t="str">
        <f>IFERROR(__xludf.DUMMYFUNCTION("""COMPUTED_VALUE"""),"Multishot")</f>
        <v>Multishot</v>
      </c>
      <c r="AR318" s="32" t="str">
        <f>IFERROR(__xludf.DUMMYFUNCTION("""COMPUTED_VALUE"""),"Mass Destruction")</f>
        <v>Mass Destruction</v>
      </c>
      <c r="AS318" s="32" t="str">
        <f>IFERROR(__xludf.DUMMYFUNCTION("""COMPUTED_VALUE"""),"Chaincast")</f>
        <v>Chaincast</v>
      </c>
      <c r="AT318" s="32" t="str">
        <f>IFERROR(__xludf.DUMMYFUNCTION("""COMPUTED_VALUE"""),"Earth Punch")</f>
        <v>Earth Punch</v>
      </c>
      <c r="AU318" s="32" t="str">
        <f>IFERROR(__xludf.DUMMYFUNCTION("""COMPUTED_VALUE"""),"Bite")</f>
        <v>Bite</v>
      </c>
      <c r="AV318" s="32" t="str">
        <f>IFERROR(__xludf.DUMMYFUNCTION("""COMPUTED_VALUE"""),"Volcanic Claws")</f>
        <v>Volcanic Claws</v>
      </c>
      <c r="AW318" s="32"/>
      <c r="AX318" s="32"/>
      <c r="AY318" s="32"/>
      <c r="AZ318" s="32"/>
      <c r="BA318" s="32"/>
      <c r="BB318" s="32"/>
      <c r="BC318" s="32"/>
      <c r="BD318" s="32">
        <f>IFERROR(__xludf.DUMMYFUNCTION("""COMPUTED_VALUE"""),0.0)</f>
        <v>0</v>
      </c>
      <c r="BE318" s="32">
        <f>IFERROR(__xludf.DUMMYFUNCTION("""COMPUTED_VALUE"""),10.0)</f>
        <v>10</v>
      </c>
      <c r="BF318" s="32"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32" t="str">
        <f>IFERROR(__xludf.DUMMYFUNCTION("""COMPUTED_VALUE"""),"Dungeon")</f>
        <v>Dungeon</v>
      </c>
      <c r="BH318" s="32" t="str">
        <f>IFERROR(__xludf.DUMMYFUNCTION("""COMPUTED_VALUE"""),"Land of Spira")</f>
        <v>Land of Spira</v>
      </c>
      <c r="BI318" s="32"/>
      <c r="BJ318" s="32"/>
      <c r="BK318" s="32"/>
      <c r="BL318" s="32" t="b">
        <f>IFERROR(__xludf.DUMMYFUNCTION("""COMPUTED_VALUE"""),FALSE)</f>
        <v>0</v>
      </c>
      <c r="BM318" s="32"/>
      <c r="BN318" s="32"/>
      <c r="BO318" s="32"/>
      <c r="BP318" s="32"/>
      <c r="BQ318" s="32"/>
    </row>
    <row r="319">
      <c r="A319" s="32" t="str">
        <f>IFERROR(__xludf.DUMMYFUNCTION("""COMPUTED_VALUE"""),"Zor - The Volcanic Golem")</f>
        <v>Zor - The Volcanic Golem</v>
      </c>
      <c r="B319" s="32">
        <f>IFERROR(__xludf.DUMMYFUNCTION("""COMPUTED_VALUE"""),1.0)</f>
        <v>1</v>
      </c>
      <c r="C319" s="32"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32" t="str">
        <f>IFERROR(__xludf.DUMMYFUNCTION("""COMPUTED_VALUE"""),"Construct")</f>
        <v>Construct</v>
      </c>
      <c r="E319" s="32">
        <f>IFERROR(__xludf.DUMMYFUNCTION("""COMPUTED_VALUE"""),1010.0)</f>
        <v>1010</v>
      </c>
      <c r="F319" s="33">
        <f>IFERROR(__xludf.DUMMYFUNCTION("""COMPUTED_VALUE"""),1010.0)</f>
        <v>1010</v>
      </c>
      <c r="G319" s="32">
        <f>IFERROR(__xludf.DUMMYFUNCTION("""COMPUTED_VALUE"""),1010.0)</f>
        <v>1010</v>
      </c>
      <c r="H319" s="32">
        <f>IFERROR(__xludf.DUMMYFUNCTION("""COMPUTED_VALUE"""),10.0)</f>
        <v>10</v>
      </c>
      <c r="I319" s="32">
        <f>IFERROR(__xludf.DUMMYFUNCTION("""COMPUTED_VALUE"""),0.0)</f>
        <v>0</v>
      </c>
      <c r="J319" s="32">
        <f>IFERROR(__xludf.DUMMYFUNCTION("""COMPUTED_VALUE"""),0.0)</f>
        <v>0</v>
      </c>
      <c r="K319" s="32">
        <f>IFERROR(__xludf.DUMMYFUNCTION("""COMPUTED_VALUE"""),100.0)</f>
        <v>100</v>
      </c>
      <c r="L319" s="32">
        <f>IFERROR(__xludf.DUMMYFUNCTION("""COMPUTED_VALUE"""),100.0)</f>
        <v>100</v>
      </c>
      <c r="M319" s="32" t="str">
        <f>IFERROR(__xludf.DUMMYFUNCTION("""COMPUTED_VALUE"""),"Fire:Immune, Earth:Immune, Instant Death:Immune, Banishment:Immune, ")</f>
        <v>Fire:Immune, Earth:Immune, Instant Death:Immune, Banishment:Immune, </v>
      </c>
      <c r="N319" s="32" t="str">
        <f>IFERROR(__xludf.DUMMYFUNCTION("""COMPUTED_VALUE"""),"Water:100, Storm:100, ")</f>
        <v>Water:100, Storm:100, </v>
      </c>
      <c r="O319" s="32"/>
      <c r="P319" s="32"/>
      <c r="Q319" s="32"/>
      <c r="R319" s="32"/>
      <c r="S319" s="32"/>
      <c r="T319" s="32"/>
      <c r="U319" s="32"/>
      <c r="V319" s="32"/>
      <c r="W319" s="32"/>
      <c r="X319" s="32"/>
      <c r="Y319" s="32"/>
      <c r="Z319" s="32"/>
      <c r="AA319" s="32"/>
      <c r="AB319" s="32"/>
      <c r="AC319" s="32"/>
      <c r="AD319" s="32"/>
      <c r="AE319" s="32"/>
      <c r="AF319" s="32"/>
      <c r="AG319" s="32"/>
      <c r="AH319" s="32"/>
      <c r="AI319" s="32"/>
      <c r="AJ319" s="32" t="str">
        <f>IFERROR(__xludf.DUMMYFUNCTION("""COMPUTED_VALUE"""),"Earth Punch")</f>
        <v>Earth Punch</v>
      </c>
      <c r="AK319" s="32" t="str">
        <f>IFERROR(__xludf.DUMMYFUNCTION("""COMPUTED_VALUE"""),"Earthquake")</f>
        <v>Earthquake</v>
      </c>
      <c r="AL319" s="32" t="str">
        <f>IFERROR(__xludf.DUMMYFUNCTION("""COMPUTED_VALUE"""),"Ancient Monolith Of Earth")</f>
        <v>Ancient Monolith Of Earth</v>
      </c>
      <c r="AM319" s="32" t="str">
        <f>IFERROR(__xludf.DUMMYFUNCTION("""COMPUTED_VALUE"""),"Mountain Formation")</f>
        <v>Mountain Formation</v>
      </c>
      <c r="AN319" s="32" t="str">
        <f>IFERROR(__xludf.DUMMYFUNCTION("""COMPUTED_VALUE"""),"Flame Sanctuary")</f>
        <v>Flame Sanctuary</v>
      </c>
      <c r="AO319" s="32" t="str">
        <f>IFERROR(__xludf.DUMMYFUNCTION("""COMPUTED_VALUE"""),"Meteor Shower")</f>
        <v>Meteor Shower</v>
      </c>
      <c r="AP319" s="32" t="str">
        <f>IFERROR(__xludf.DUMMYFUNCTION("""COMPUTED_VALUE"""),"Volcanic Rain")</f>
        <v>Volcanic Rain</v>
      </c>
      <c r="AQ319" s="32" t="str">
        <f>IFERROR(__xludf.DUMMYFUNCTION("""COMPUTED_VALUE"""),"Berserk")</f>
        <v>Berserk</v>
      </c>
      <c r="AR319" s="32" t="str">
        <f>IFERROR(__xludf.DUMMYFUNCTION("""COMPUTED_VALUE"""),"Multishot")</f>
        <v>Multishot</v>
      </c>
      <c r="AS319" s="32"/>
      <c r="AT319" s="32"/>
      <c r="AU319" s="32"/>
      <c r="AV319" s="32"/>
      <c r="AW319" s="32"/>
      <c r="AX319" s="32"/>
      <c r="AY319" s="32"/>
      <c r="AZ319" s="32"/>
      <c r="BA319" s="32"/>
      <c r="BB319" s="32"/>
      <c r="BC319" s="32"/>
      <c r="BD319" s="32">
        <f>IFERROR(__xludf.DUMMYFUNCTION("""COMPUTED_VALUE"""),0.0)</f>
        <v>0</v>
      </c>
      <c r="BE319" s="32">
        <f>IFERROR(__xludf.DUMMYFUNCTION("""COMPUTED_VALUE"""),10.0)</f>
        <v>10</v>
      </c>
      <c r="BF319" s="32"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32" t="str">
        <f>IFERROR(__xludf.DUMMYFUNCTION("""COMPUTED_VALUE"""),"Dungeon")</f>
        <v>Dungeon</v>
      </c>
      <c r="BH319" s="32" t="str">
        <f>IFERROR(__xludf.DUMMYFUNCTION("""COMPUTED_VALUE"""),"Land of Spira")</f>
        <v>Land of Spira</v>
      </c>
      <c r="BI319" s="32"/>
      <c r="BJ319" s="32"/>
      <c r="BK319" s="32"/>
      <c r="BL319" s="32" t="b">
        <f>IFERROR(__xludf.DUMMYFUNCTION("""COMPUTED_VALUE"""),FALSE)</f>
        <v>0</v>
      </c>
      <c r="BM319" s="32"/>
      <c r="BN319" s="32"/>
      <c r="BO319" s="32"/>
      <c r="BP319" s="32"/>
      <c r="BQ319" s="32"/>
    </row>
    <row r="320">
      <c r="A320" s="32" t="str">
        <f>IFERROR(__xludf.DUMMYFUNCTION("""COMPUTED_VALUE"""),"Gaia's Paladins")</f>
        <v>Gaia's Paladins</v>
      </c>
      <c r="B320" s="32">
        <f>IFERROR(__xludf.DUMMYFUNCTION("""COMPUTED_VALUE"""),1.0)</f>
        <v>1</v>
      </c>
      <c r="C320" s="32"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32" t="str">
        <f>IFERROR(__xludf.DUMMYFUNCTION("""COMPUTED_VALUE"""),"Humanoid")</f>
        <v>Humanoid</v>
      </c>
      <c r="E320" s="32">
        <f>IFERROR(__xludf.DUMMYFUNCTION("""COMPUTED_VALUE"""),510.0)</f>
        <v>510</v>
      </c>
      <c r="F320" s="33">
        <f>IFERROR(__xludf.DUMMYFUNCTION("""COMPUTED_VALUE"""),510.0)</f>
        <v>510</v>
      </c>
      <c r="G320" s="32">
        <f>IFERROR(__xludf.DUMMYFUNCTION("""COMPUTED_VALUE"""),151010.0)</f>
        <v>151010</v>
      </c>
      <c r="H320" s="32">
        <f>IFERROR(__xludf.DUMMYFUNCTION("""COMPUTED_VALUE"""),15.0)</f>
        <v>15</v>
      </c>
      <c r="I320" s="32">
        <f>IFERROR(__xludf.DUMMYFUNCTION("""COMPUTED_VALUE"""),0.0)</f>
        <v>0</v>
      </c>
      <c r="J320" s="32">
        <f>IFERROR(__xludf.DUMMYFUNCTION("""COMPUTED_VALUE"""),0.0)</f>
        <v>0</v>
      </c>
      <c r="K320" s="32">
        <f>IFERROR(__xludf.DUMMYFUNCTION("""COMPUTED_VALUE"""),100.0)</f>
        <v>100</v>
      </c>
      <c r="L320" s="32">
        <f>IFERROR(__xludf.DUMMYFUNCTION("""COMPUTED_VALUE"""),100.0)</f>
        <v>100</v>
      </c>
      <c r="M320" s="32" t="str">
        <f>IFERROR(__xludf.DUMMYFUNCTION("""COMPUTED_VALUE"""),"Earth:Immune, Dark:250, Nature:100, Celestial:100, Instant Death:Immune, ")</f>
        <v>Earth:Immune, Dark:250, Nature:100, Celestial:100, Instant Death:Immune, </v>
      </c>
      <c r="N320" s="32" t="str">
        <f>IFERROR(__xludf.DUMMYFUNCTION("""COMPUTED_VALUE"""),"Fire:100, Water:100, ")</f>
        <v>Fire:100, Water:100, </v>
      </c>
      <c r="O320" s="32" t="str">
        <f>IFERROR(__xludf.DUMMYFUNCTION("""COMPUTED_VALUE"""),"Paladin of Gaia's Bucket helm of Tenacity")</f>
        <v>Paladin of Gaia's Bucket helm of Tenacity</v>
      </c>
      <c r="P320" s="32" t="str">
        <f>IFERROR(__xludf.DUMMYFUNCTION("""COMPUTED_VALUE"""),"Paladin of Gaia's Emerald Pendant")</f>
        <v>Paladin of Gaia's Emerald Pendant</v>
      </c>
      <c r="Q320" s="32"/>
      <c r="R320" s="32"/>
      <c r="S320" s="32" t="str">
        <f>IFERROR(__xludf.DUMMYFUNCTION("""COMPUTED_VALUE"""),"Paladin of Gaia's Stone Pauldrons")</f>
        <v>Paladin of Gaia's Stone Pauldrons</v>
      </c>
      <c r="T320" s="32" t="str">
        <f>IFERROR(__xludf.DUMMYFUNCTION("""COMPUTED_VALUE"""),"Paladin of Gaia's Emblazoned Chestpiece")</f>
        <v>Paladin of Gaia's Emblazoned Chestpiece</v>
      </c>
      <c r="U320" s="32" t="str">
        <f>IFERROR(__xludf.DUMMYFUNCTION("""COMPUTED_VALUE"""),"Paladin of Gaia's Vambraces")</f>
        <v>Paladin of Gaia's Vambraces</v>
      </c>
      <c r="V320" s="32" t="str">
        <f>IFERROR(__xludf.DUMMYFUNCTION("""COMPUTED_VALUE"""),"Gaia's Rock Hammer")</f>
        <v>Gaia's Rock Hammer</v>
      </c>
      <c r="W320" s="32" t="str">
        <f>IFERROR(__xludf.DUMMYFUNCTION("""COMPUTED_VALUE"""),"Gaian Champion's Shield")</f>
        <v>Gaian Champion's Shield</v>
      </c>
      <c r="X320" s="32" t="str">
        <f>IFERROR(__xludf.DUMMYFUNCTION("""COMPUTED_VALUE"""),"Paladin of Gaia's Ruby Ring")</f>
        <v>Paladin of Gaia's Ruby Ring</v>
      </c>
      <c r="Y320" s="32"/>
      <c r="Z320" s="32"/>
      <c r="AA320" s="32"/>
      <c r="AB320" s="32"/>
      <c r="AC320" s="32"/>
      <c r="AD320" s="32"/>
      <c r="AE320" s="32"/>
      <c r="AF320" s="32"/>
      <c r="AG320" s="32"/>
      <c r="AH320" s="32" t="str">
        <f>IFERROR(__xludf.DUMMYFUNCTION("""COMPUTED_VALUE"""),"Paladin of Gaia's Plate Chausses")</f>
        <v>Paladin of Gaia's Plate Chausses</v>
      </c>
      <c r="AI320" s="32" t="str">
        <f>IFERROR(__xludf.DUMMYFUNCTION("""COMPUTED_VALUE"""),"Paladin of Gaia's Sabatons")</f>
        <v>Paladin of Gaia's Sabatons</v>
      </c>
      <c r="AJ320" s="32" t="str">
        <f>IFERROR(__xludf.DUMMYFUNCTION("""COMPUTED_VALUE"""),"Alliance Guard")</f>
        <v>Alliance Guard</v>
      </c>
      <c r="AK320" s="32" t="str">
        <f>IFERROR(__xludf.DUMMYFUNCTION("""COMPUTED_VALUE"""),"Protection")</f>
        <v>Protection</v>
      </c>
      <c r="AL320" s="32" t="str">
        <f>IFERROR(__xludf.DUMMYFUNCTION("""COMPUTED_VALUE"""),"Strong Ward")</f>
        <v>Strong Ward</v>
      </c>
      <c r="AM320" s="32" t="str">
        <f>IFERROR(__xludf.DUMMYFUNCTION("""COMPUTED_VALUE"""),"[Element] Swing")</f>
        <v>[Element] Swing</v>
      </c>
      <c r="AN320" s="32" t="str">
        <f>IFERROR(__xludf.DUMMYFUNCTION("""COMPUTED_VALUE"""),"Disease Control")</f>
        <v>Disease Control</v>
      </c>
      <c r="AO320" s="32" t="str">
        <f>IFERROR(__xludf.DUMMYFUNCTION("""COMPUTED_VALUE"""),"Light Ray")</f>
        <v>Light Ray</v>
      </c>
      <c r="AP320" s="32" t="str">
        <f>IFERROR(__xludf.DUMMYFUNCTION("""COMPUTED_VALUE"""),"Taunt")</f>
        <v>Taunt</v>
      </c>
      <c r="AQ320" s="32" t="str">
        <f>IFERROR(__xludf.DUMMYFUNCTION("""COMPUTED_VALUE"""),"Parry")</f>
        <v>Parry</v>
      </c>
      <c r="AR320" s="32" t="str">
        <f>IFERROR(__xludf.DUMMYFUNCTION("""COMPUTED_VALUE"""),"Arrest")</f>
        <v>Arrest</v>
      </c>
      <c r="AS320" s="32" t="str">
        <f>IFERROR(__xludf.DUMMYFUNCTION("""COMPUTED_VALUE"""),"Cancel")</f>
        <v>Cancel</v>
      </c>
      <c r="AT320" s="32"/>
      <c r="AU320" s="32"/>
      <c r="AV320" s="32"/>
      <c r="AW320" s="32"/>
      <c r="AX320" s="32"/>
      <c r="AY320" s="32"/>
      <c r="AZ320" s="32"/>
      <c r="BA320" s="32"/>
      <c r="BB320" s="32"/>
      <c r="BC320" s="32"/>
      <c r="BD320" s="32">
        <f>IFERROR(__xludf.DUMMYFUNCTION("""COMPUTED_VALUE"""),0.0)</f>
        <v>0</v>
      </c>
      <c r="BE320" s="32">
        <f>IFERROR(__xludf.DUMMYFUNCTION("""COMPUTED_VALUE"""),15.0)</f>
        <v>15</v>
      </c>
      <c r="BF320" s="32"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32" t="str">
        <f>IFERROR(__xludf.DUMMYFUNCTION("""COMPUTED_VALUE"""),"Desert")</f>
        <v>Desert</v>
      </c>
      <c r="BH320" s="32" t="str">
        <f>IFERROR(__xludf.DUMMYFUNCTION("""COMPUTED_VALUE"""),"Land of Spira")</f>
        <v>Land of Spira</v>
      </c>
      <c r="BI320" s="32"/>
      <c r="BJ320" s="32"/>
      <c r="BK320" s="32"/>
      <c r="BL320" s="32" t="b">
        <f>IFERROR(__xludf.DUMMYFUNCTION("""COMPUTED_VALUE"""),FALSE)</f>
        <v>0</v>
      </c>
      <c r="BM320" s="32"/>
      <c r="BN320" s="32"/>
      <c r="BO320" s="32"/>
      <c r="BP320" s="32"/>
      <c r="BQ320" s="32"/>
    </row>
    <row r="321">
      <c r="A321" s="32" t="str">
        <f>IFERROR(__xludf.DUMMYFUNCTION("""COMPUTED_VALUE"""),"Talthos - The Towering Kaiju")</f>
        <v>Talthos - The Towering Kaiju</v>
      </c>
      <c r="B321" s="32">
        <f>IFERROR(__xludf.DUMMYFUNCTION("""COMPUTED_VALUE"""),1.0)</f>
        <v>1</v>
      </c>
      <c r="C321" s="32"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32" t="str">
        <f>IFERROR(__xludf.DUMMYFUNCTION("""COMPUTED_VALUE"""),"Giant")</f>
        <v>Giant</v>
      </c>
      <c r="E321" s="32">
        <f>IFERROR(__xludf.DUMMYFUNCTION("""COMPUTED_VALUE"""),1010.0)</f>
        <v>1010</v>
      </c>
      <c r="F321" s="33">
        <f>IFERROR(__xludf.DUMMYFUNCTION("""COMPUTED_VALUE"""),1010.0)</f>
        <v>1010</v>
      </c>
      <c r="G321" s="32">
        <f>IFERROR(__xludf.DUMMYFUNCTION("""COMPUTED_VALUE"""),1010.0)</f>
        <v>1010</v>
      </c>
      <c r="H321" s="32">
        <f>IFERROR(__xludf.DUMMYFUNCTION("""COMPUTED_VALUE"""),10.0)</f>
        <v>10</v>
      </c>
      <c r="I321" s="32">
        <f>IFERROR(__xludf.DUMMYFUNCTION("""COMPUTED_VALUE"""),0.0)</f>
        <v>0</v>
      </c>
      <c r="J321" s="32">
        <f>IFERROR(__xludf.DUMMYFUNCTION("""COMPUTED_VALUE"""),0.0)</f>
        <v>0</v>
      </c>
      <c r="K321" s="32">
        <f>IFERROR(__xludf.DUMMYFUNCTION("""COMPUTED_VALUE"""),100.0)</f>
        <v>100</v>
      </c>
      <c r="L321" s="32">
        <f>IFERROR(__xludf.DUMMYFUNCTION("""COMPUTED_VALUE"""),100.0)</f>
        <v>100</v>
      </c>
      <c r="M321" s="32" t="str">
        <f>IFERROR(__xludf.DUMMYFUNCTION("""COMPUTED_VALUE"""),"Fire:Immune, Earth:Immune, Instant Death:Immune, Banishment:Immune, ")</f>
        <v>Fire:Immune, Earth:Immune, Instant Death:Immune, Banishment:Immune, </v>
      </c>
      <c r="N321" s="32" t="str">
        <f>IFERROR(__xludf.DUMMYFUNCTION("""COMPUTED_VALUE"""),"Water:100, Storm:100, ")</f>
        <v>Water:100, Storm:100, </v>
      </c>
      <c r="O321" s="32"/>
      <c r="P321" s="32"/>
      <c r="Q321" s="32"/>
      <c r="R321" s="32"/>
      <c r="S321" s="32"/>
      <c r="T321" s="32"/>
      <c r="U321" s="32"/>
      <c r="V321" s="32"/>
      <c r="W321" s="32"/>
      <c r="X321" s="32"/>
      <c r="Y321" s="32"/>
      <c r="Z321" s="32"/>
      <c r="AA321" s="32"/>
      <c r="AB321" s="32"/>
      <c r="AC321" s="32"/>
      <c r="AD321" s="32"/>
      <c r="AE321" s="32"/>
      <c r="AF321" s="32"/>
      <c r="AG321" s="32"/>
      <c r="AH321" s="32"/>
      <c r="AI321" s="32"/>
      <c r="AJ321" s="32" t="str">
        <f>IFERROR(__xludf.DUMMYFUNCTION("""COMPUTED_VALUE"""),"Meteor Shower")</f>
        <v>Meteor Shower</v>
      </c>
      <c r="AK321" s="32" t="str">
        <f>IFERROR(__xludf.DUMMYFUNCTION("""COMPUTED_VALUE"""),"Volcanic Rain")</f>
        <v>Volcanic Rain</v>
      </c>
      <c r="AL321" s="32" t="str">
        <f>IFERROR(__xludf.DUMMYFUNCTION("""COMPUTED_VALUE"""),"Solar Storm")</f>
        <v>Solar Storm</v>
      </c>
      <c r="AM321" s="32" t="str">
        <f>IFERROR(__xludf.DUMMYFUNCTION("""COMPUTED_VALUE"""),"Flame Sanctuary")</f>
        <v>Flame Sanctuary</v>
      </c>
      <c r="AN321" s="32" t="str">
        <f>IFERROR(__xludf.DUMMYFUNCTION("""COMPUTED_VALUE"""),"Earthquake")</f>
        <v>Earthquake</v>
      </c>
      <c r="AO321" s="32" t="str">
        <f>IFERROR(__xludf.DUMMYFUNCTION("""COMPUTED_VALUE"""),"Mud Wave")</f>
        <v>Mud Wave</v>
      </c>
      <c r="AP321" s="32" t="str">
        <f>IFERROR(__xludf.DUMMYFUNCTION("""COMPUTED_VALUE"""),"Earth Punch")</f>
        <v>Earth Punch</v>
      </c>
      <c r="AQ321" s="32" t="str">
        <f>IFERROR(__xludf.DUMMYFUNCTION("""COMPUTED_VALUE"""),"Mass Destruction")</f>
        <v>Mass Destruction</v>
      </c>
      <c r="AR321" s="32" t="str">
        <f>IFERROR(__xludf.DUMMYFUNCTION("""COMPUTED_VALUE"""),"Berserk")</f>
        <v>Berserk</v>
      </c>
      <c r="AS321" s="32" t="str">
        <f>IFERROR(__xludf.DUMMYFUNCTION("""COMPUTED_VALUE"""),"Multishot")</f>
        <v>Multishot</v>
      </c>
      <c r="AT321" s="32" t="str">
        <f>IFERROR(__xludf.DUMMYFUNCTION("""COMPUTED_VALUE"""),"Chaincast")</f>
        <v>Chaincast</v>
      </c>
      <c r="AU321" s="32" t="str">
        <f>IFERROR(__xludf.DUMMYFUNCTION("""COMPUTED_VALUE"""),"Cancel")</f>
        <v>Cancel</v>
      </c>
      <c r="AV321" s="32"/>
      <c r="AW321" s="32"/>
      <c r="AX321" s="32"/>
      <c r="AY321" s="32"/>
      <c r="AZ321" s="32"/>
      <c r="BA321" s="32"/>
      <c r="BB321" s="32"/>
      <c r="BC321" s="32"/>
      <c r="BD321" s="32">
        <f>IFERROR(__xludf.DUMMYFUNCTION("""COMPUTED_VALUE"""),0.0)</f>
        <v>0</v>
      </c>
      <c r="BE321" s="32">
        <f>IFERROR(__xludf.DUMMYFUNCTION("""COMPUTED_VALUE"""),10.0)</f>
        <v>10</v>
      </c>
      <c r="BF321" s="32"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32" t="str">
        <f>IFERROR(__xludf.DUMMYFUNCTION("""COMPUTED_VALUE"""),"Dungeon")</f>
        <v>Dungeon</v>
      </c>
      <c r="BH321" s="32" t="str">
        <f>IFERROR(__xludf.DUMMYFUNCTION("""COMPUTED_VALUE"""),"Land of Spira")</f>
        <v>Land of Spira</v>
      </c>
      <c r="BI321" s="32"/>
      <c r="BJ321" s="32"/>
      <c r="BK321" s="32"/>
      <c r="BL321" s="32" t="b">
        <f>IFERROR(__xludf.DUMMYFUNCTION("""COMPUTED_VALUE"""),FALSE)</f>
        <v>0</v>
      </c>
      <c r="BM321" s="32"/>
      <c r="BN321" s="32"/>
      <c r="BO321" s="32"/>
      <c r="BP321" s="32"/>
      <c r="BQ321" s="32"/>
    </row>
    <row r="322">
      <c r="A322" s="32" t="str">
        <f>IFERROR(__xludf.DUMMYFUNCTION("""COMPUTED_VALUE"""),"Cloudius - The Smoke Elemental")</f>
        <v>Cloudius - The Smoke Elemental</v>
      </c>
      <c r="B322" s="32">
        <f>IFERROR(__xludf.DUMMYFUNCTION("""COMPUTED_VALUE"""),1.0)</f>
        <v>1</v>
      </c>
      <c r="C322" s="32"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32" t="str">
        <f>IFERROR(__xludf.DUMMYFUNCTION("""COMPUTED_VALUE"""),"Spirit")</f>
        <v>Spirit</v>
      </c>
      <c r="E322" s="32">
        <f>IFERROR(__xludf.DUMMYFUNCTION("""COMPUTED_VALUE"""),1010.0)</f>
        <v>1010</v>
      </c>
      <c r="F322" s="33">
        <f>IFERROR(__xludf.DUMMYFUNCTION("""COMPUTED_VALUE"""),1010.0)</f>
        <v>1010</v>
      </c>
      <c r="G322" s="32">
        <f>IFERROR(__xludf.DUMMYFUNCTION("""COMPUTED_VALUE"""),1010.0)</f>
        <v>1010</v>
      </c>
      <c r="H322" s="32">
        <f>IFERROR(__xludf.DUMMYFUNCTION("""COMPUTED_VALUE"""),10.0)</f>
        <v>10</v>
      </c>
      <c r="I322" s="32">
        <f>IFERROR(__xludf.DUMMYFUNCTION("""COMPUTED_VALUE"""),0.0)</f>
        <v>0</v>
      </c>
      <c r="J322" s="32">
        <f>IFERROR(__xludf.DUMMYFUNCTION("""COMPUTED_VALUE"""),0.0)</f>
        <v>0</v>
      </c>
      <c r="K322" s="32">
        <f>IFERROR(__xludf.DUMMYFUNCTION("""COMPUTED_VALUE"""),100.0)</f>
        <v>100</v>
      </c>
      <c r="L322" s="32">
        <f>IFERROR(__xludf.DUMMYFUNCTION("""COMPUTED_VALUE"""),100.0)</f>
        <v>100</v>
      </c>
      <c r="M322" s="32" t="str">
        <f>IFERROR(__xludf.DUMMYFUNCTION("""COMPUTED_VALUE"""),"Fire:Immune, Earth:Immune, Blood:Immune, Celestial:100, Instant Death:Immune, Banishment:Immune, ")</f>
        <v>Fire:Immune, Earth:Immune, Blood:Immune, Celestial:100, Instant Death:Immune, Banishment:Immune, </v>
      </c>
      <c r="N322" s="32" t="str">
        <f>IFERROR(__xludf.DUMMYFUNCTION("""COMPUTED_VALUE"""),"Water:100, Storm:100, ")</f>
        <v>Water:100, Storm:100, </v>
      </c>
      <c r="O322" s="32"/>
      <c r="P322" s="32"/>
      <c r="Q322" s="32"/>
      <c r="R322" s="32"/>
      <c r="S322" s="32"/>
      <c r="T322" s="32"/>
      <c r="U322" s="32"/>
      <c r="V322" s="32"/>
      <c r="W322" s="32"/>
      <c r="X322" s="32"/>
      <c r="Y322" s="32"/>
      <c r="Z322" s="32"/>
      <c r="AA322" s="32"/>
      <c r="AB322" s="32"/>
      <c r="AC322" s="32"/>
      <c r="AD322" s="32"/>
      <c r="AE322" s="32"/>
      <c r="AF322" s="32"/>
      <c r="AG322" s="32"/>
      <c r="AH322" s="32"/>
      <c r="AI322" s="32"/>
      <c r="AJ322" s="32" t="str">
        <f>IFERROR(__xludf.DUMMYFUNCTION("""COMPUTED_VALUE"""),"Meteor Shower")</f>
        <v>Meteor Shower</v>
      </c>
      <c r="AK322" s="32" t="str">
        <f>IFERROR(__xludf.DUMMYFUNCTION("""COMPUTED_VALUE"""),"Volcanic Rain")</f>
        <v>Volcanic Rain</v>
      </c>
      <c r="AL322" s="32" t="str">
        <f>IFERROR(__xludf.DUMMYFUNCTION("""COMPUTED_VALUE"""),"Flame Sanctuary")</f>
        <v>Flame Sanctuary</v>
      </c>
      <c r="AM322" s="32" t="str">
        <f>IFERROR(__xludf.DUMMYFUNCTION("""COMPUTED_VALUE"""),"Sandstorm")</f>
        <v>Sandstorm</v>
      </c>
      <c r="AN322" s="32" t="str">
        <f>IFERROR(__xludf.DUMMYFUNCTION("""COMPUTED_VALUE"""),"Earthquake")</f>
        <v>Earthquake</v>
      </c>
      <c r="AO322" s="32" t="str">
        <f>IFERROR(__xludf.DUMMYFUNCTION("""COMPUTED_VALUE"""),"Devolve")</f>
        <v>Devolve</v>
      </c>
      <c r="AP322" s="32" t="str">
        <f>IFERROR(__xludf.DUMMYFUNCTION("""COMPUTED_VALUE"""),"Darkness Ablaze")</f>
        <v>Darkness Ablaze</v>
      </c>
      <c r="AQ322" s="32" t="str">
        <f>IFERROR(__xludf.DUMMYFUNCTION("""COMPUTED_VALUE"""),"Mass Destruction")</f>
        <v>Mass Destruction</v>
      </c>
      <c r="AR322" s="32" t="str">
        <f>IFERROR(__xludf.DUMMYFUNCTION("""COMPUTED_VALUE"""),"Berserk")</f>
        <v>Berserk</v>
      </c>
      <c r="AS322" s="32" t="str">
        <f>IFERROR(__xludf.DUMMYFUNCTION("""COMPUTED_VALUE"""),"Multishot")</f>
        <v>Multishot</v>
      </c>
      <c r="AT322" s="32" t="str">
        <f>IFERROR(__xludf.DUMMYFUNCTION("""COMPUTED_VALUE"""),"Chaincast")</f>
        <v>Chaincast</v>
      </c>
      <c r="AU322" s="32" t="str">
        <f>IFERROR(__xludf.DUMMYFUNCTION("""COMPUTED_VALUE"""),"Cancel")</f>
        <v>Cancel</v>
      </c>
      <c r="AV322" s="32" t="str">
        <f>IFERROR(__xludf.DUMMYFUNCTION("""COMPUTED_VALUE"""),"Light Ray")</f>
        <v>Light Ray</v>
      </c>
      <c r="AW322" s="32"/>
      <c r="AX322" s="32"/>
      <c r="AY322" s="32"/>
      <c r="AZ322" s="32"/>
      <c r="BA322" s="32"/>
      <c r="BB322" s="32"/>
      <c r="BC322" s="32"/>
      <c r="BD322" s="32">
        <f>IFERROR(__xludf.DUMMYFUNCTION("""COMPUTED_VALUE"""),0.0)</f>
        <v>0</v>
      </c>
      <c r="BE322" s="32">
        <f>IFERROR(__xludf.DUMMYFUNCTION("""COMPUTED_VALUE"""),10.0)</f>
        <v>10</v>
      </c>
      <c r="BF322" s="32"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32" t="str">
        <f>IFERROR(__xludf.DUMMYFUNCTION("""COMPUTED_VALUE"""),"Dungeon")</f>
        <v>Dungeon</v>
      </c>
      <c r="BH322" s="32" t="str">
        <f>IFERROR(__xludf.DUMMYFUNCTION("""COMPUTED_VALUE"""),"Land of Spira")</f>
        <v>Land of Spira</v>
      </c>
      <c r="BI322" s="32"/>
      <c r="BJ322" s="32"/>
      <c r="BK322" s="32"/>
      <c r="BL322" s="32" t="b">
        <f>IFERROR(__xludf.DUMMYFUNCTION("""COMPUTED_VALUE"""),FALSE)</f>
        <v>0</v>
      </c>
      <c r="BM322" s="32"/>
      <c r="BN322" s="32"/>
      <c r="BO322" s="32"/>
      <c r="BP322" s="32"/>
      <c r="BQ322" s="32"/>
    </row>
    <row r="323">
      <c r="A323" s="32" t="str">
        <f>IFERROR(__xludf.DUMMYFUNCTION("""COMPUTED_VALUE"""),"Grisaia - The Head Paladin of Gaia")</f>
        <v>Grisaia - The Head Paladin of Gaia</v>
      </c>
      <c r="B323" s="32">
        <f>IFERROR(__xludf.DUMMYFUNCTION("""COMPUTED_VALUE"""),1.0)</f>
        <v>1</v>
      </c>
      <c r="C323" s="32" t="str">
        <f>IFERROR(__xludf.DUMMYFUNCTION("""COMPUTED_VALUE"""),"The head paladin of Gaia who gave his soul to stand by his goddess for all time to come.")</f>
        <v>The head paladin of Gaia who gave his soul to stand by his goddess for all time to come.</v>
      </c>
      <c r="D323" s="32" t="str">
        <f>IFERROR(__xludf.DUMMYFUNCTION("""COMPUTED_VALUE"""),"Heavenly")</f>
        <v>Heavenly</v>
      </c>
      <c r="E323" s="32">
        <f>IFERROR(__xludf.DUMMYFUNCTION("""COMPUTED_VALUE"""),1010.0)</f>
        <v>1010</v>
      </c>
      <c r="F323" s="33">
        <f>IFERROR(__xludf.DUMMYFUNCTION("""COMPUTED_VALUE"""),1010.0)</f>
        <v>1010</v>
      </c>
      <c r="G323" s="32">
        <f>IFERROR(__xludf.DUMMYFUNCTION("""COMPUTED_VALUE"""),151010.0)</f>
        <v>151010</v>
      </c>
      <c r="H323" s="32">
        <f>IFERROR(__xludf.DUMMYFUNCTION("""COMPUTED_VALUE"""),15.0)</f>
        <v>15</v>
      </c>
      <c r="I323" s="32">
        <f>IFERROR(__xludf.DUMMYFUNCTION("""COMPUTED_VALUE"""),0.0)</f>
        <v>0</v>
      </c>
      <c r="J323" s="32">
        <f>IFERROR(__xludf.DUMMYFUNCTION("""COMPUTED_VALUE"""),0.0)</f>
        <v>0</v>
      </c>
      <c r="K323" s="32">
        <f>IFERROR(__xludf.DUMMYFUNCTION("""COMPUTED_VALUE"""),100.0)</f>
        <v>100</v>
      </c>
      <c r="L323" s="32">
        <f>IFERROR(__xludf.DUMMYFUNCTION("""COMPUTED_VALUE"""),100.0)</f>
        <v>100</v>
      </c>
      <c r="M323" s="32"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32" t="str">
        <f>IFERROR(__xludf.DUMMYFUNCTION("""COMPUTED_VALUE"""),"Fire:50, Water:50, ")</f>
        <v>Fire:50, Water:50, </v>
      </c>
      <c r="O323" s="32" t="str">
        <f>IFERROR(__xludf.DUMMYFUNCTION("""COMPUTED_VALUE"""),"Paladin of Gaia's Bucket helm of Tenacity")</f>
        <v>Paladin of Gaia's Bucket helm of Tenacity</v>
      </c>
      <c r="P323" s="32" t="str">
        <f>IFERROR(__xludf.DUMMYFUNCTION("""COMPUTED_VALUE"""),"Paladin of Gaia's Emerald Pendant")</f>
        <v>Paladin of Gaia's Emerald Pendant</v>
      </c>
      <c r="Q323" s="32"/>
      <c r="R323" s="32"/>
      <c r="S323" s="32" t="str">
        <f>IFERROR(__xludf.DUMMYFUNCTION("""COMPUTED_VALUE"""),"Paladin of Gaia's Stone Pauldrons")</f>
        <v>Paladin of Gaia's Stone Pauldrons</v>
      </c>
      <c r="T323" s="32" t="str">
        <f>IFERROR(__xludf.DUMMYFUNCTION("""COMPUTED_VALUE"""),"Paladin of Gaia's Emblazoned Chestpiece")</f>
        <v>Paladin of Gaia's Emblazoned Chestpiece</v>
      </c>
      <c r="U323" s="32" t="str">
        <f>IFERROR(__xludf.DUMMYFUNCTION("""COMPUTED_VALUE"""),"Paladin of Gaia's Vambraces")</f>
        <v>Paladin of Gaia's Vambraces</v>
      </c>
      <c r="V323" s="32" t="str">
        <f>IFERROR(__xludf.DUMMYFUNCTION("""COMPUTED_VALUE"""),"Gaian Champion's Shield")</f>
        <v>Gaian Champion's Shield</v>
      </c>
      <c r="W323" s="32" t="str">
        <f>IFERROR(__xludf.DUMMYFUNCTION("""COMPUTED_VALUE"""),"Great Stone Gargoyle Sword")</f>
        <v>Great Stone Gargoyle Sword</v>
      </c>
      <c r="X323" s="32" t="str">
        <f>IFERROR(__xludf.DUMMYFUNCTION("""COMPUTED_VALUE"""),"Paladin of Gaia's Ruby Ring")</f>
        <v>Paladin of Gaia's Ruby Ring</v>
      </c>
      <c r="Y323" s="32"/>
      <c r="Z323" s="32"/>
      <c r="AA323" s="32"/>
      <c r="AB323" s="32"/>
      <c r="AC323" s="32"/>
      <c r="AD323" s="32"/>
      <c r="AE323" s="32"/>
      <c r="AF323" s="32"/>
      <c r="AG323" s="32"/>
      <c r="AH323" s="32" t="str">
        <f>IFERROR(__xludf.DUMMYFUNCTION("""COMPUTED_VALUE"""),"Paladin of Gaia's Plate Chausses")</f>
        <v>Paladin of Gaia's Plate Chausses</v>
      </c>
      <c r="AI323" s="32" t="str">
        <f>IFERROR(__xludf.DUMMYFUNCTION("""COMPUTED_VALUE"""),"Paladin of Gaia's Sabatons")</f>
        <v>Paladin of Gaia's Sabatons</v>
      </c>
      <c r="AJ323" s="32" t="str">
        <f>IFERROR(__xludf.DUMMYFUNCTION("""COMPUTED_VALUE"""),"Call of Gaia")</f>
        <v>Call of Gaia</v>
      </c>
      <c r="AK323" s="32" t="str">
        <f>IFERROR(__xludf.DUMMYFUNCTION("""COMPUTED_VALUE"""),"Earth Punch")</f>
        <v>Earth Punch</v>
      </c>
      <c r="AL323" s="32" t="str">
        <f>IFERROR(__xludf.DUMMYFUNCTION("""COMPUTED_VALUE"""),"Ancient Monolith Of Earth")</f>
        <v>Ancient Monolith Of Earth</v>
      </c>
      <c r="AM323" s="32" t="str">
        <f>IFERROR(__xludf.DUMMYFUNCTION("""COMPUTED_VALUE"""),"Alliance Guard")</f>
        <v>Alliance Guard</v>
      </c>
      <c r="AN323" s="32" t="str">
        <f>IFERROR(__xludf.DUMMYFUNCTION("""COMPUTED_VALUE"""),"Landslide")</f>
        <v>Landslide</v>
      </c>
      <c r="AO323" s="32" t="str">
        <f>IFERROR(__xludf.DUMMYFUNCTION("""COMPUTED_VALUE"""),"Mud Wave")</f>
        <v>Mud Wave</v>
      </c>
      <c r="AP323" s="32" t="str">
        <f>IFERROR(__xludf.DUMMYFUNCTION("""COMPUTED_VALUE"""),"Sandstorm")</f>
        <v>Sandstorm</v>
      </c>
      <c r="AQ323" s="32" t="str">
        <f>IFERROR(__xludf.DUMMYFUNCTION("""COMPUTED_VALUE"""),"Neutralize")</f>
        <v>Neutralize</v>
      </c>
      <c r="AR323" s="32" t="str">
        <f>IFERROR(__xludf.DUMMYFUNCTION("""COMPUTED_VALUE"""),"Protection")</f>
        <v>Protection</v>
      </c>
      <c r="AS323" s="32" t="str">
        <f>IFERROR(__xludf.DUMMYFUNCTION("""COMPUTED_VALUE"""),"Strong Ward")</f>
        <v>Strong Ward</v>
      </c>
      <c r="AT323" s="32" t="str">
        <f>IFERROR(__xludf.DUMMYFUNCTION("""COMPUTED_VALUE"""),"[Element] Swing")</f>
        <v>[Element] Swing</v>
      </c>
      <c r="AU323" s="32" t="str">
        <f>IFERROR(__xludf.DUMMYFUNCTION("""COMPUTED_VALUE"""),"Celestial Wrath")</f>
        <v>Celestial Wrath</v>
      </c>
      <c r="AV323" s="32" t="str">
        <f>IFERROR(__xludf.DUMMYFUNCTION("""COMPUTED_VALUE"""),"Berserk")</f>
        <v>Berserk</v>
      </c>
      <c r="AW323" s="32" t="str">
        <f>IFERROR(__xludf.DUMMYFUNCTION("""COMPUTED_VALUE"""),"Parry")</f>
        <v>Parry</v>
      </c>
      <c r="AX323" s="32" t="str">
        <f>IFERROR(__xludf.DUMMYFUNCTION("""COMPUTED_VALUE"""),"Taunt")</f>
        <v>Taunt</v>
      </c>
      <c r="AY323" s="32" t="str">
        <f>IFERROR(__xludf.DUMMYFUNCTION("""COMPUTED_VALUE"""),"Arrest")</f>
        <v>Arrest</v>
      </c>
      <c r="AZ323" s="32" t="str">
        <f>IFERROR(__xludf.DUMMYFUNCTION("""COMPUTED_VALUE"""),"Cancel")</f>
        <v>Cancel</v>
      </c>
      <c r="BA323" s="32"/>
      <c r="BB323" s="32"/>
      <c r="BC323" s="32"/>
      <c r="BD323" s="32">
        <f>IFERROR(__xludf.DUMMYFUNCTION("""COMPUTED_VALUE"""),0.0)</f>
        <v>0</v>
      </c>
      <c r="BE323" s="32">
        <f>IFERROR(__xludf.DUMMYFUNCTION("""COMPUTED_VALUE"""),15.0)</f>
        <v>15</v>
      </c>
      <c r="BF323" s="32"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32" t="str">
        <f>IFERROR(__xludf.DUMMYFUNCTION("""COMPUTED_VALUE"""),"Dungeon")</f>
        <v>Dungeon</v>
      </c>
      <c r="BH323" s="32" t="str">
        <f>IFERROR(__xludf.DUMMYFUNCTION("""COMPUTED_VALUE"""),"Land of Spira")</f>
        <v>Land of Spira</v>
      </c>
      <c r="BI323" s="32"/>
      <c r="BJ323" s="32"/>
      <c r="BK323" s="32"/>
      <c r="BL323" s="32" t="b">
        <f>IFERROR(__xludf.DUMMYFUNCTION("""COMPUTED_VALUE"""),FALSE)</f>
        <v>0</v>
      </c>
      <c r="BM323" s="32"/>
      <c r="BN323" s="32"/>
      <c r="BO323" s="32"/>
      <c r="BP323" s="32"/>
      <c r="BQ323" s="32"/>
    </row>
    <row r="324">
      <c r="A324" s="32" t="str">
        <f>IFERROR(__xludf.DUMMYFUNCTION("""COMPUTED_VALUE"""),"Earth Golem")</f>
        <v>Earth Golem</v>
      </c>
      <c r="B324" s="32">
        <f>IFERROR(__xludf.DUMMYFUNCTION("""COMPUTED_VALUE"""),1.0)</f>
        <v>1</v>
      </c>
      <c r="C324" s="32" t="str">
        <f>IFERROR(__xludf.DUMMYFUNCTION("""COMPUTED_VALUE"""),"a simple formation of Earth formed into a humanoid shape with a focus on defense.")</f>
        <v>a simple formation of Earth formed into a humanoid shape with a focus on defense.</v>
      </c>
      <c r="D324" s="32" t="str">
        <f>IFERROR(__xludf.DUMMYFUNCTION("""COMPUTED_VALUE"""),"Construct")</f>
        <v>Construct</v>
      </c>
      <c r="E324" s="32">
        <f>IFERROR(__xludf.DUMMYFUNCTION("""COMPUTED_VALUE"""),1010.0)</f>
        <v>1010</v>
      </c>
      <c r="F324" s="33">
        <f>IFERROR(__xludf.DUMMYFUNCTION("""COMPUTED_VALUE"""),1010.0)</f>
        <v>1010</v>
      </c>
      <c r="G324" s="32">
        <f>IFERROR(__xludf.DUMMYFUNCTION("""COMPUTED_VALUE"""),126010.0)</f>
        <v>126010</v>
      </c>
      <c r="H324" s="32">
        <f>IFERROR(__xludf.DUMMYFUNCTION("""COMPUTED_VALUE"""),10.0)</f>
        <v>10</v>
      </c>
      <c r="I324" s="32">
        <f>IFERROR(__xludf.DUMMYFUNCTION("""COMPUTED_VALUE"""),0.0)</f>
        <v>0</v>
      </c>
      <c r="J324" s="32">
        <f>IFERROR(__xludf.DUMMYFUNCTION("""COMPUTED_VALUE"""),0.0)</f>
        <v>0</v>
      </c>
      <c r="K324" s="32">
        <f>IFERROR(__xludf.DUMMYFUNCTION("""COMPUTED_VALUE"""),100.0)</f>
        <v>100</v>
      </c>
      <c r="L324" s="32">
        <f>IFERROR(__xludf.DUMMYFUNCTION("""COMPUTED_VALUE"""),100.0)</f>
        <v>100</v>
      </c>
      <c r="M324" s="32" t="str">
        <f>IFERROR(__xludf.DUMMYFUNCTION("""COMPUTED_VALUE"""),"Earth:Immune, Nature:100, Instant Death:Immune, Banishment:Immune, ")</f>
        <v>Earth:Immune, Nature:100, Instant Death:Immune, Banishment:Immune, </v>
      </c>
      <c r="N324" s="32" t="str">
        <f>IFERROR(__xludf.DUMMYFUNCTION("""COMPUTED_VALUE"""),"Fire:100, Water:100, Delta:100, ")</f>
        <v>Fire:100, Water:100, Delta:100, </v>
      </c>
      <c r="O324" s="32"/>
      <c r="P324" s="32"/>
      <c r="Q324" s="32"/>
      <c r="R324" s="32"/>
      <c r="S324" s="32"/>
      <c r="T324" s="32"/>
      <c r="U324" s="32"/>
      <c r="V324" s="32"/>
      <c r="W324" s="32"/>
      <c r="X324" s="32"/>
      <c r="Y324" s="32"/>
      <c r="Z324" s="32"/>
      <c r="AA324" s="32"/>
      <c r="AB324" s="32"/>
      <c r="AC324" s="32"/>
      <c r="AD324" s="32"/>
      <c r="AE324" s="32"/>
      <c r="AF324" s="32"/>
      <c r="AG324" s="32"/>
      <c r="AH324" s="32"/>
      <c r="AI324" s="32"/>
      <c r="AJ324" s="32" t="str">
        <f>IFERROR(__xludf.DUMMYFUNCTION("""COMPUTED_VALUE"""),"Rock Cycle")</f>
        <v>Rock Cycle</v>
      </c>
      <c r="AK324" s="32" t="str">
        <f>IFERROR(__xludf.DUMMYFUNCTION("""COMPUTED_VALUE"""),"Rock Missiles")</f>
        <v>Rock Missiles</v>
      </c>
      <c r="AL324" s="32" t="str">
        <f>IFERROR(__xludf.DUMMYFUNCTION("""COMPUTED_VALUE"""),"Mountain Formation")</f>
        <v>Mountain Formation</v>
      </c>
      <c r="AM324" s="32"/>
      <c r="AN324" s="32" t="str">
        <f>IFERROR(__xludf.DUMMYFUNCTION("""COMPUTED_VALUE"""),"Sling Stone")</f>
        <v>Sling Stone</v>
      </c>
      <c r="AO324" s="32" t="str">
        <f>IFERROR(__xludf.DUMMYFUNCTION("""COMPUTED_VALUE"""),"Mud Sling")</f>
        <v>Mud Sling</v>
      </c>
      <c r="AP324" s="32" t="str">
        <f>IFERROR(__xludf.DUMMYFUNCTION("""COMPUTED_VALUE"""),"Mud Wave")</f>
        <v>Mud Wave</v>
      </c>
      <c r="AQ324" s="32" t="str">
        <f>IFERROR(__xludf.DUMMYFUNCTION("""COMPUTED_VALUE"""),"Celestial Wrath")</f>
        <v>Celestial Wrath</v>
      </c>
      <c r="AR324" s="32" t="str">
        <f>IFERROR(__xludf.DUMMYFUNCTION("""COMPUTED_VALUE"""),"Multishot")</f>
        <v>Multishot</v>
      </c>
      <c r="AS324" s="32"/>
      <c r="AT324" s="32"/>
      <c r="AU324" s="32"/>
      <c r="AV324" s="32"/>
      <c r="AW324" s="32"/>
      <c r="AX324" s="32"/>
      <c r="AY324" s="32"/>
      <c r="AZ324" s="32"/>
      <c r="BA324" s="32"/>
      <c r="BB324" s="32"/>
      <c r="BC324" s="32"/>
      <c r="BD324" s="32">
        <f>IFERROR(__xludf.DUMMYFUNCTION("""COMPUTED_VALUE"""),0.0)</f>
        <v>0</v>
      </c>
      <c r="BE324" s="32">
        <f>IFERROR(__xludf.DUMMYFUNCTION("""COMPUTED_VALUE"""),10.0)</f>
        <v>10</v>
      </c>
      <c r="BF324" s="32"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32" t="str">
        <f>IFERROR(__xludf.DUMMYFUNCTION("""COMPUTED_VALUE"""),"All")</f>
        <v>All</v>
      </c>
      <c r="BH324" s="32" t="str">
        <f>IFERROR(__xludf.DUMMYFUNCTION("""COMPUTED_VALUE"""),"Land of Spira")</f>
        <v>Land of Spira</v>
      </c>
      <c r="BI324" s="32"/>
      <c r="BJ324" s="32"/>
      <c r="BK324" s="33">
        <f>IFERROR(__xludf.DUMMYFUNCTION("""COMPUTED_VALUE"""),500000.0)</f>
        <v>500000</v>
      </c>
      <c r="BL324" s="32" t="b">
        <f>IFERROR(__xludf.DUMMYFUNCTION("""COMPUTED_VALUE"""),FALSE)</f>
        <v>0</v>
      </c>
      <c r="BM324" s="32"/>
      <c r="BN324" s="32"/>
      <c r="BO324" s="32"/>
      <c r="BP324" s="32"/>
      <c r="BQ324" s="32"/>
    </row>
    <row r="325">
      <c r="A325" s="32" t="str">
        <f>IFERROR(__xludf.DUMMYFUNCTION("""COMPUTED_VALUE"""),"Crystal Spider")</f>
        <v>Crystal Spider</v>
      </c>
      <c r="B325" s="32">
        <f>IFERROR(__xludf.DUMMYFUNCTION("""COMPUTED_VALUE"""),1.0)</f>
        <v>1</v>
      </c>
      <c r="C325" s="32"/>
      <c r="D325" s="32" t="str">
        <f>IFERROR(__xludf.DUMMYFUNCTION("""COMPUTED_VALUE"""),"Construct")</f>
        <v>Construct</v>
      </c>
      <c r="E325" s="32">
        <f>IFERROR(__xludf.DUMMYFUNCTION("""COMPUTED_VALUE"""),1010.0)</f>
        <v>1010</v>
      </c>
      <c r="F325" s="33">
        <f>IFERROR(__xludf.DUMMYFUNCTION("""COMPUTED_VALUE"""),1010.0)</f>
        <v>1010</v>
      </c>
      <c r="G325" s="32">
        <f>IFERROR(__xludf.DUMMYFUNCTION("""COMPUTED_VALUE"""),1010.0)</f>
        <v>1010</v>
      </c>
      <c r="H325" s="32">
        <f>IFERROR(__xludf.DUMMYFUNCTION("""COMPUTED_VALUE"""),10.0)</f>
        <v>10</v>
      </c>
      <c r="I325" s="32">
        <f>IFERROR(__xludf.DUMMYFUNCTION("""COMPUTED_VALUE"""),0.0)</f>
        <v>0</v>
      </c>
      <c r="J325" s="32">
        <f>IFERROR(__xludf.DUMMYFUNCTION("""COMPUTED_VALUE"""),0.0)</f>
        <v>0</v>
      </c>
      <c r="K325" s="32">
        <f>IFERROR(__xludf.DUMMYFUNCTION("""COMPUTED_VALUE"""),100.0)</f>
        <v>100</v>
      </c>
      <c r="L325" s="32">
        <f>IFERROR(__xludf.DUMMYFUNCTION("""COMPUTED_VALUE"""),100.0)</f>
        <v>100</v>
      </c>
      <c r="M325" s="32" t="str">
        <f>IFERROR(__xludf.DUMMYFUNCTION("""COMPUTED_VALUE"""),"")</f>
        <v/>
      </c>
      <c r="N325" s="32" t="str">
        <f>IFERROR(__xludf.DUMMYFUNCTION("""COMPUTED_VALUE"""),"")</f>
        <v/>
      </c>
      <c r="O325" s="32"/>
      <c r="P325" s="32"/>
      <c r="Q325" s="32"/>
      <c r="R325" s="32"/>
      <c r="S325" s="32"/>
      <c r="T325" s="32"/>
      <c r="U325" s="32"/>
      <c r="V325" s="32"/>
      <c r="W325" s="32"/>
      <c r="X325" s="32"/>
      <c r="Y325" s="32"/>
      <c r="Z325" s="32"/>
      <c r="AA325" s="32"/>
      <c r="AB325" s="32"/>
      <c r="AC325" s="32"/>
      <c r="AD325" s="32"/>
      <c r="AE325" s="32"/>
      <c r="AF325" s="32"/>
      <c r="AG325" s="32"/>
      <c r="AH325" s="32"/>
      <c r="AI325" s="32"/>
      <c r="AJ325" s="32" t="str">
        <f>IFERROR(__xludf.DUMMYFUNCTION("""COMPUTED_VALUE"""),"Energizing Emerald Pulse")</f>
        <v>Energizing Emerald Pulse</v>
      </c>
      <c r="AK325" s="32" t="str">
        <f>IFERROR(__xludf.DUMMYFUNCTION("""COMPUTED_VALUE"""),"Searing Saphire Strike")</f>
        <v>Searing Saphire Strike</v>
      </c>
      <c r="AL325" s="32" t="str">
        <f>IFERROR(__xludf.DUMMYFUNCTION("""COMPUTED_VALUE"""),"Molten Ruby Spikes")</f>
        <v>Molten Ruby Spikes</v>
      </c>
      <c r="AM325" s="32" t="str">
        <f>IFERROR(__xludf.DUMMYFUNCTION("""COMPUTED_VALUE"""),"Berserk")</f>
        <v>Berserk</v>
      </c>
      <c r="AN325" s="32"/>
      <c r="AO325" s="32"/>
      <c r="AP325" s="32"/>
      <c r="AQ325" s="32"/>
      <c r="AR325" s="32"/>
      <c r="AS325" s="32"/>
      <c r="AT325" s="32"/>
      <c r="AU325" s="32"/>
      <c r="AV325" s="32"/>
      <c r="AW325" s="32"/>
      <c r="AX325" s="32"/>
      <c r="AY325" s="32"/>
      <c r="AZ325" s="32"/>
      <c r="BA325" s="32"/>
      <c r="BB325" s="32"/>
      <c r="BC325" s="32"/>
      <c r="BD325" s="32">
        <f>IFERROR(__xludf.DUMMYFUNCTION("""COMPUTED_VALUE"""),0.0)</f>
        <v>0</v>
      </c>
      <c r="BE325" s="32">
        <f>IFERROR(__xludf.DUMMYFUNCTION("""COMPUTED_VALUE"""),10.0)</f>
        <v>10</v>
      </c>
      <c r="BF325" s="32" t="str">
        <f>IFERROR(__xludf.DUMMYFUNCTION("""COMPUTED_VALUE"""),"Spider Senses: +5 to mobility and evasion, +5 can be added to this mobs d20 rolls.")</f>
        <v>Spider Senses: +5 to mobility and evasion, +5 can be added to this mobs d20 rolls.</v>
      </c>
      <c r="BG325" s="32" t="str">
        <f>IFERROR(__xludf.DUMMYFUNCTION("""COMPUTED_VALUE"""),"City/Town")</f>
        <v>City/Town</v>
      </c>
      <c r="BH325" s="32" t="str">
        <f>IFERROR(__xludf.DUMMYFUNCTION("""COMPUTED_VALUE"""),"Land of Spira")</f>
        <v>Land of Spira</v>
      </c>
      <c r="BI325" s="32"/>
      <c r="BJ325" s="32"/>
      <c r="BK325" s="32"/>
      <c r="BL325" s="32" t="b">
        <f>IFERROR(__xludf.DUMMYFUNCTION("""COMPUTED_VALUE"""),FALSE)</f>
        <v>0</v>
      </c>
      <c r="BM325" s="32"/>
      <c r="BN325" s="32"/>
      <c r="BO325" s="32"/>
      <c r="BP325" s="32"/>
      <c r="BQ325" s="32"/>
    </row>
    <row r="326">
      <c r="A326" s="32" t="str">
        <f>IFERROR(__xludf.DUMMYFUNCTION("""COMPUTED_VALUE"""),"Hephaestus, The God of The Forge")</f>
        <v>Hephaestus, The God of The Forge</v>
      </c>
      <c r="B326" s="32">
        <f>IFERROR(__xludf.DUMMYFUNCTION("""COMPUTED_VALUE"""),1.0)</f>
        <v>1</v>
      </c>
      <c r="C326" s="32"/>
      <c r="D326" s="32" t="str">
        <f>IFERROR(__xludf.DUMMYFUNCTION("""COMPUTED_VALUE"""),"God")</f>
        <v>God</v>
      </c>
      <c r="E326" s="32">
        <f>IFERROR(__xludf.DUMMYFUNCTION("""COMPUTED_VALUE"""),1010.0)</f>
        <v>1010</v>
      </c>
      <c r="F326" s="33">
        <f>IFERROR(__xludf.DUMMYFUNCTION("""COMPUTED_VALUE"""),1010.0)</f>
        <v>1010</v>
      </c>
      <c r="G326" s="32">
        <f>IFERROR(__xludf.DUMMYFUNCTION("""COMPUTED_VALUE"""),1001010.0)</f>
        <v>1001010</v>
      </c>
      <c r="H326" s="32">
        <f>IFERROR(__xludf.DUMMYFUNCTION("""COMPUTED_VALUE"""),20.0)</f>
        <v>20</v>
      </c>
      <c r="I326" s="32">
        <f>IFERROR(__xludf.DUMMYFUNCTION("""COMPUTED_VALUE"""),0.0)</f>
        <v>0</v>
      </c>
      <c r="J326" s="32">
        <f>IFERROR(__xludf.DUMMYFUNCTION("""COMPUTED_VALUE"""),0.0)</f>
        <v>0</v>
      </c>
      <c r="K326" s="32">
        <f>IFERROR(__xludf.DUMMYFUNCTION("""COMPUTED_VALUE"""),100.0)</f>
        <v>100</v>
      </c>
      <c r="L326" s="32">
        <f>IFERROR(__xludf.DUMMYFUNCTION("""COMPUTED_VALUE"""),100.0)</f>
        <v>100</v>
      </c>
      <c r="M326" s="32" t="str">
        <f>IFERROR(__xludf.DUMMYFUNCTION("""COMPUTED_VALUE"""),"Fire:Immune, Order:250, Chaos:250, Nature:Immune, Celestial:500, Instant Death:Immune, Banishment:Immune, ")</f>
        <v>Fire:Immune, Order:250, Chaos:250, Nature:Immune, Celestial:500, Instant Death:Immune, Banishment:Immune, </v>
      </c>
      <c r="N326" s="32" t="str">
        <f>IFERROR(__xludf.DUMMYFUNCTION("""COMPUTED_VALUE"""),"Water:500, Order:500, ")</f>
        <v>Water:500, Order:500, </v>
      </c>
      <c r="O326" s="32" t="str">
        <f>IFERROR(__xludf.DUMMYFUNCTION("""COMPUTED_VALUE"""),"The Blacksmith's Forged Helmet")</f>
        <v>The Blacksmith's Forged Helmet</v>
      </c>
      <c r="P326" s="32" t="str">
        <f>IFERROR(__xludf.DUMMYFUNCTION("""COMPUTED_VALUE"""),"The Blacksmith's Forged Pendant")</f>
        <v>The Blacksmith's Forged Pendant</v>
      </c>
      <c r="Q326" s="32" t="str">
        <f>IFERROR(__xludf.DUMMYFUNCTION("""COMPUTED_VALUE"""),"Necklace Of Ancient Mountains")</f>
        <v>Necklace Of Ancient Mountains</v>
      </c>
      <c r="R326" s="32"/>
      <c r="S326" s="32" t="str">
        <f>IFERROR(__xludf.DUMMYFUNCTION("""COMPUTED_VALUE"""),"The Blacksmith's Forged Pauldrons")</f>
        <v>The Blacksmith's Forged Pauldrons</v>
      </c>
      <c r="T326" s="32" t="str">
        <f>IFERROR(__xludf.DUMMYFUNCTION("""COMPUTED_VALUE"""),"The Blacksmith's Forged Cuirasses")</f>
        <v>The Blacksmith's Forged Cuirasses</v>
      </c>
      <c r="U326" s="32" t="str">
        <f>IFERROR(__xludf.DUMMYFUNCTION("""COMPUTED_VALUE"""),"The Blacksmith's Forged Vambraces")</f>
        <v>The Blacksmith's Forged Vambraces</v>
      </c>
      <c r="V326" s="32" t="str">
        <f>IFERROR(__xludf.DUMMYFUNCTION("""COMPUTED_VALUE"""),"The Blacksmith's Forged Sword")</f>
        <v>The Blacksmith's Forged Sword</v>
      </c>
      <c r="W326" s="32" t="str">
        <f>IFERROR(__xludf.DUMMYFUNCTION("""COMPUTED_VALUE"""),"The Blacksmith's Forged Battleaxe ")</f>
        <v>The Blacksmith's Forged Battleaxe </v>
      </c>
      <c r="X326" s="32" t="str">
        <f>IFERROR(__xludf.DUMMYFUNCTION("""COMPUTED_VALUE"""),"The Blacksmith's Ring of Green Hatred")</f>
        <v>The Blacksmith's Ring of Green Hatred</v>
      </c>
      <c r="Y326" s="32" t="str">
        <f>IFERROR(__xludf.DUMMYFUNCTION("""COMPUTED_VALUE"""),"The Blacksmith's Forged Ring")</f>
        <v>The Blacksmith's Forged Ring</v>
      </c>
      <c r="Z326" s="32"/>
      <c r="AA326" s="32"/>
      <c r="AB326" s="32"/>
      <c r="AC326" s="32"/>
      <c r="AD326" s="32"/>
      <c r="AE326" s="32"/>
      <c r="AF326" s="32"/>
      <c r="AG326" s="32"/>
      <c r="AH326" s="32" t="str">
        <f>IFERROR(__xludf.DUMMYFUNCTION("""COMPUTED_VALUE"""),"The Blacksmith's Forged Greaves")</f>
        <v>The Blacksmith's Forged Greaves</v>
      </c>
      <c r="AI326" s="32" t="str">
        <f>IFERROR(__xludf.DUMMYFUNCTION("""COMPUTED_VALUE"""),"The Blacksmith's Forged Sabatons")</f>
        <v>The Blacksmith's Forged Sabatons</v>
      </c>
      <c r="AJ326" s="32" t="str">
        <f>IFERROR(__xludf.DUMMYFUNCTION("""COMPUTED_VALUE"""),"Berserk")</f>
        <v>Berserk</v>
      </c>
      <c r="AK326" s="32" t="str">
        <f>IFERROR(__xludf.DUMMYFUNCTION("""COMPUTED_VALUE"""),"Double Strike")</f>
        <v>Double Strike</v>
      </c>
      <c r="AL326" s="32" t="str">
        <f>IFERROR(__xludf.DUMMYFUNCTION("""COMPUTED_VALUE"""),"Melee Shield")</f>
        <v>Melee Shield</v>
      </c>
      <c r="AM326" s="32" t="str">
        <f>IFERROR(__xludf.DUMMYFUNCTION("""COMPUTED_VALUE"""),"Go For The Vitals")</f>
        <v>Go For The Vitals</v>
      </c>
      <c r="AN326" s="32" t="str">
        <f>IFERROR(__xludf.DUMMYFUNCTION("""COMPUTED_VALUE"""),"Enrage")</f>
        <v>Enrage</v>
      </c>
      <c r="AO326" s="32" t="str">
        <f>IFERROR(__xludf.DUMMYFUNCTION("""COMPUTED_VALUE"""),"Hard punch")</f>
        <v>Hard punch</v>
      </c>
      <c r="AP326" s="32" t="str">
        <f>IFERROR(__xludf.DUMMYFUNCTION("""COMPUTED_VALUE"""),"Heighten reflexes")</f>
        <v>Heighten reflexes</v>
      </c>
      <c r="AQ326" s="32" t="str">
        <f>IFERROR(__xludf.DUMMYFUNCTION("""COMPUTED_VALUE"""),"Increase")</f>
        <v>Increase</v>
      </c>
      <c r="AR326" s="32" t="str">
        <f>IFERROR(__xludf.DUMMYFUNCTION("""COMPUTED_VALUE"""),"Lock On")</f>
        <v>Lock On</v>
      </c>
      <c r="AS326" s="32" t="str">
        <f>IFERROR(__xludf.DUMMYFUNCTION("""COMPUTED_VALUE"""),"Multishot")</f>
        <v>Multishot</v>
      </c>
      <c r="AT326" s="32" t="str">
        <f>IFERROR(__xludf.DUMMYFUNCTION("""COMPUTED_VALUE"""),"Bullseye")</f>
        <v>Bullseye</v>
      </c>
      <c r="AU326" s="32" t="str">
        <f>IFERROR(__xludf.DUMMYFUNCTION("""COMPUTED_VALUE"""),"Alliance Guard")</f>
        <v>Alliance Guard</v>
      </c>
      <c r="AV326" s="32" t="str">
        <f>IFERROR(__xludf.DUMMYFUNCTION("""COMPUTED_VALUE"""),"Protection")</f>
        <v>Protection</v>
      </c>
      <c r="AW326" s="32" t="str">
        <f>IFERROR(__xludf.DUMMYFUNCTION("""COMPUTED_VALUE"""),"Cancel")</f>
        <v>Cancel</v>
      </c>
      <c r="AX326" s="32" t="str">
        <f>IFERROR(__xludf.DUMMYFUNCTION("""COMPUTED_VALUE"""),"Parry")</f>
        <v>Parry</v>
      </c>
      <c r="AY326" s="32"/>
      <c r="AZ326" s="32"/>
      <c r="BA326" s="32"/>
      <c r="BB326" s="32"/>
      <c r="BC326" s="32"/>
      <c r="BD326" s="32">
        <f>IFERROR(__xludf.DUMMYFUNCTION("""COMPUTED_VALUE"""),0.0)</f>
        <v>0</v>
      </c>
      <c r="BE326" s="32">
        <f>IFERROR(__xludf.DUMMYFUNCTION("""COMPUTED_VALUE"""),20.0)</f>
        <v>20</v>
      </c>
      <c r="BF326" s="32"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32" t="str">
        <f>IFERROR(__xludf.DUMMYFUNCTION("""COMPUTED_VALUE"""),"City/Town")</f>
        <v>City/Town</v>
      </c>
      <c r="BH326" s="32" t="str">
        <f>IFERROR(__xludf.DUMMYFUNCTION("""COMPUTED_VALUE"""),"Land of Spira")</f>
        <v>Land of Spira</v>
      </c>
      <c r="BI326" s="32"/>
      <c r="BJ326" s="32"/>
      <c r="BK326" s="33">
        <f>IFERROR(__xludf.DUMMYFUNCTION("""COMPUTED_VALUE"""),1.0E9)</f>
        <v>1000000000</v>
      </c>
      <c r="BL326" s="32" t="b">
        <f>IFERROR(__xludf.DUMMYFUNCTION("""COMPUTED_VALUE"""),FALSE)</f>
        <v>0</v>
      </c>
      <c r="BM326" s="32"/>
      <c r="BN326" s="32"/>
      <c r="BO326" s="32"/>
      <c r="BP326" s="32"/>
      <c r="BQ326" s="32"/>
    </row>
    <row r="327">
      <c r="A327" s="32" t="str">
        <f>IFERROR(__xludf.DUMMYFUNCTION("""COMPUTED_VALUE"""),"Hades The god of the Underworld")</f>
        <v>Hades The god of the Underworld</v>
      </c>
      <c r="B327" s="32">
        <f>IFERROR(__xludf.DUMMYFUNCTION("""COMPUTED_VALUE"""),1.0)</f>
        <v>1</v>
      </c>
      <c r="C327" s="32"/>
      <c r="D327" s="32" t="str">
        <f>IFERROR(__xludf.DUMMYFUNCTION("""COMPUTED_VALUE"""),"God")</f>
        <v>God</v>
      </c>
      <c r="E327" s="32">
        <f>IFERROR(__xludf.DUMMYFUNCTION("""COMPUTED_VALUE"""),1010.0)</f>
        <v>1010</v>
      </c>
      <c r="F327" s="33">
        <f>IFERROR(__xludf.DUMMYFUNCTION("""COMPUTED_VALUE"""),1010.0)</f>
        <v>1010</v>
      </c>
      <c r="G327" s="32">
        <f>IFERROR(__xludf.DUMMYFUNCTION("""COMPUTED_VALUE"""),1010.0)</f>
        <v>1010</v>
      </c>
      <c r="H327" s="32">
        <f>IFERROR(__xludf.DUMMYFUNCTION("""COMPUTED_VALUE"""),10.0)</f>
        <v>10</v>
      </c>
      <c r="I327" s="32">
        <f>IFERROR(__xludf.DUMMYFUNCTION("""COMPUTED_VALUE"""),0.0)</f>
        <v>0</v>
      </c>
      <c r="J327" s="32">
        <f>IFERROR(__xludf.DUMMYFUNCTION("""COMPUTED_VALUE"""),0.0)</f>
        <v>0</v>
      </c>
      <c r="K327" s="32">
        <f>IFERROR(__xludf.DUMMYFUNCTION("""COMPUTED_VALUE"""),100.0)</f>
        <v>100</v>
      </c>
      <c r="L327" s="32">
        <f>IFERROR(__xludf.DUMMYFUNCTION("""COMPUTED_VALUE"""),100.0)</f>
        <v>100</v>
      </c>
      <c r="M327" s="32" t="str">
        <f>IFERROR(__xludf.DUMMYFUNCTION("""COMPUTED_VALUE"""),"")</f>
        <v/>
      </c>
      <c r="N327" s="32" t="str">
        <f>IFERROR(__xludf.DUMMYFUNCTION("""COMPUTED_VALUE"""),"")</f>
        <v/>
      </c>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f>IFERROR(__xludf.DUMMYFUNCTION("""COMPUTED_VALUE"""),0.0)</f>
        <v>0</v>
      </c>
      <c r="BE327" s="32">
        <f>IFERROR(__xludf.DUMMYFUNCTION("""COMPUTED_VALUE"""),10.0)</f>
        <v>10</v>
      </c>
      <c r="BF327" s="32"/>
      <c r="BG327" s="32" t="str">
        <f>IFERROR(__xludf.DUMMYFUNCTION("""COMPUTED_VALUE"""),"Abstara")</f>
        <v>Abstara</v>
      </c>
      <c r="BH327" s="32" t="str">
        <f>IFERROR(__xludf.DUMMYFUNCTION("""COMPUTED_VALUE"""),"Abstara")</f>
        <v>Abstara</v>
      </c>
      <c r="BI327" s="32"/>
      <c r="BJ327" s="32"/>
      <c r="BK327" s="32"/>
      <c r="BL327" s="32" t="b">
        <f>IFERROR(__xludf.DUMMYFUNCTION("""COMPUTED_VALUE"""),FALSE)</f>
        <v>0</v>
      </c>
      <c r="BM327" s="32"/>
      <c r="BN327" s="32"/>
      <c r="BO327" s="32"/>
      <c r="BP327" s="32"/>
      <c r="BQ327" s="32"/>
    </row>
    <row r="328">
      <c r="A328" s="32" t="str">
        <f>IFERROR(__xludf.DUMMYFUNCTION("""COMPUTED_VALUE"""),"Sataniel - Keeper of The Banished")</f>
        <v>Sataniel - Keeper of The Banished</v>
      </c>
      <c r="B328" s="32">
        <f>IFERROR(__xludf.DUMMYFUNCTION("""COMPUTED_VALUE"""),1.0)</f>
        <v>1</v>
      </c>
      <c r="C328" s="32"/>
      <c r="D328" s="32" t="str">
        <f>IFERROR(__xludf.DUMMYFUNCTION("""COMPUTED_VALUE"""),"God")</f>
        <v>God</v>
      </c>
      <c r="E328" s="32">
        <f>IFERROR(__xludf.DUMMYFUNCTION("""COMPUTED_VALUE"""),1010.0)</f>
        <v>1010</v>
      </c>
      <c r="F328" s="33">
        <f>IFERROR(__xludf.DUMMYFUNCTION("""COMPUTED_VALUE"""),1010.0)</f>
        <v>1010</v>
      </c>
      <c r="G328" s="32">
        <f>IFERROR(__xludf.DUMMYFUNCTION("""COMPUTED_VALUE"""),1010.0)</f>
        <v>1010</v>
      </c>
      <c r="H328" s="32">
        <f>IFERROR(__xludf.DUMMYFUNCTION("""COMPUTED_VALUE"""),10.0)</f>
        <v>10</v>
      </c>
      <c r="I328" s="32">
        <f>IFERROR(__xludf.DUMMYFUNCTION("""COMPUTED_VALUE"""),0.0)</f>
        <v>0</v>
      </c>
      <c r="J328" s="32">
        <f>IFERROR(__xludf.DUMMYFUNCTION("""COMPUTED_VALUE"""),0.0)</f>
        <v>0</v>
      </c>
      <c r="K328" s="32">
        <f>IFERROR(__xludf.DUMMYFUNCTION("""COMPUTED_VALUE"""),100.0)</f>
        <v>100</v>
      </c>
      <c r="L328" s="32">
        <f>IFERROR(__xludf.DUMMYFUNCTION("""COMPUTED_VALUE"""),100.0)</f>
        <v>100</v>
      </c>
      <c r="M328" s="32" t="str">
        <f>IFERROR(__xludf.DUMMYFUNCTION("""COMPUTED_VALUE"""),"")</f>
        <v/>
      </c>
      <c r="N328" s="32" t="str">
        <f>IFERROR(__xludf.DUMMYFUNCTION("""COMPUTED_VALUE"""),"")</f>
        <v/>
      </c>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f>IFERROR(__xludf.DUMMYFUNCTION("""COMPUTED_VALUE"""),0.0)</f>
        <v>0</v>
      </c>
      <c r="BE328" s="32">
        <f>IFERROR(__xludf.DUMMYFUNCTION("""COMPUTED_VALUE"""),10.0)</f>
        <v>10</v>
      </c>
      <c r="BF328" s="32"/>
      <c r="BG328" s="32" t="str">
        <f>IFERROR(__xludf.DUMMYFUNCTION("""COMPUTED_VALUE"""),"Abstara")</f>
        <v>Abstara</v>
      </c>
      <c r="BH328" s="32" t="str">
        <f>IFERROR(__xludf.DUMMYFUNCTION("""COMPUTED_VALUE"""),"Abstara")</f>
        <v>Abstara</v>
      </c>
      <c r="BI328" s="32"/>
      <c r="BJ328" s="32"/>
      <c r="BK328" s="32"/>
      <c r="BL328" s="32" t="b">
        <f>IFERROR(__xludf.DUMMYFUNCTION("""COMPUTED_VALUE"""),FALSE)</f>
        <v>0</v>
      </c>
      <c r="BM328" s="32"/>
      <c r="BN328" s="32"/>
      <c r="BO328" s="32"/>
      <c r="BP328" s="32"/>
      <c r="BQ328" s="32"/>
    </row>
    <row r="329">
      <c r="A329" s="32" t="str">
        <f>IFERROR(__xludf.DUMMYFUNCTION("""COMPUTED_VALUE"""),"Artemis, Goddess of the Forest (First Phase)")</f>
        <v>Artemis, Goddess of the Forest (First Phase)</v>
      </c>
      <c r="B329" s="32">
        <f>IFERROR(__xludf.DUMMYFUNCTION("""COMPUTED_VALUE"""),1.0)</f>
        <v>1</v>
      </c>
      <c r="C329" s="32" t="str">
        <f>IFERROR(__xludf.DUMMYFUNCTION("""COMPUTED_VALUE"""),"The goddess of Nature and the Guardian of the Forests of Spira.")</f>
        <v>The goddess of Nature and the Guardian of the Forests of Spira.</v>
      </c>
      <c r="D329" s="32" t="str">
        <f>IFERROR(__xludf.DUMMYFUNCTION("""COMPUTED_VALUE"""),"God")</f>
        <v>God</v>
      </c>
      <c r="E329" s="32">
        <f>IFERROR(__xludf.DUMMYFUNCTION("""COMPUTED_VALUE"""),1010.0)</f>
        <v>1010</v>
      </c>
      <c r="F329" s="33">
        <f>IFERROR(__xludf.DUMMYFUNCTION("""COMPUTED_VALUE"""),101010.0)</f>
        <v>101010</v>
      </c>
      <c r="G329" s="32">
        <f>IFERROR(__xludf.DUMMYFUNCTION("""COMPUTED_VALUE"""),651010.0)</f>
        <v>651010</v>
      </c>
      <c r="H329" s="32">
        <f>IFERROR(__xludf.DUMMYFUNCTION("""COMPUTED_VALUE"""),25.0)</f>
        <v>25</v>
      </c>
      <c r="I329" s="32">
        <f>IFERROR(__xludf.DUMMYFUNCTION("""COMPUTED_VALUE"""),0.0)</f>
        <v>0</v>
      </c>
      <c r="J329" s="32">
        <f>IFERROR(__xludf.DUMMYFUNCTION("""COMPUTED_VALUE"""),0.0)</f>
        <v>0</v>
      </c>
      <c r="K329" s="32">
        <f>IFERROR(__xludf.DUMMYFUNCTION("""COMPUTED_VALUE"""),600100.0)</f>
        <v>600100</v>
      </c>
      <c r="L329" s="32">
        <f>IFERROR(__xludf.DUMMYFUNCTION("""COMPUTED_VALUE"""),600100.0)</f>
        <v>600100</v>
      </c>
      <c r="M329" s="32"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32" t="str">
        <f>IFERROR(__xludf.DUMMYFUNCTION("""COMPUTED_VALUE"""),"Fire:500, Order:500, Delta:100, ")</f>
        <v>Fire:500, Order:500, Delta:100, </v>
      </c>
      <c r="O329" s="32" t="str">
        <f>IFERROR(__xludf.DUMMYFUNCTION("""COMPUTED_VALUE"""),"Artemis' Crown of The Forest")</f>
        <v>Artemis' Crown of The Forest</v>
      </c>
      <c r="P329" s="32" t="str">
        <f>IFERROR(__xludf.DUMMYFUNCTION("""COMPUTED_VALUE"""),"Artemis' Fang Necklace")</f>
        <v>Artemis' Fang Necklace</v>
      </c>
      <c r="Q329" s="32"/>
      <c r="R329" s="32"/>
      <c r="S329" s="32" t="str">
        <f>IFERROR(__xludf.DUMMYFUNCTION("""COMPUTED_VALUE"""),"Artemis' Divine Quiver")</f>
        <v>Artemis' Divine Quiver</v>
      </c>
      <c r="T329" s="32" t="str">
        <f>IFERROR(__xludf.DUMMYFUNCTION("""COMPUTED_VALUE"""),"Artemis' Toga of Divine Beauty")</f>
        <v>Artemis' Toga of Divine Beauty</v>
      </c>
      <c r="U329" s="32" t="str">
        <f>IFERROR(__xludf.DUMMYFUNCTION("""COMPUTED_VALUE"""),"Artemis' Bracer of The Archer Goddess")</f>
        <v>Artemis' Bracer of The Archer Goddess</v>
      </c>
      <c r="V329" s="32" t="str">
        <f>IFERROR(__xludf.DUMMYFUNCTION("""COMPUTED_VALUE"""),"Artemis' Shield of Divine Grace")</f>
        <v>Artemis' Shield of Divine Grace</v>
      </c>
      <c r="W329" s="32" t="str">
        <f>IFERROR(__xludf.DUMMYFUNCTION("""COMPUTED_VALUE"""),"Artemis' Bow of Divine Wrath")</f>
        <v>Artemis' Bow of Divine Wrath</v>
      </c>
      <c r="X329" s="32" t="str">
        <f>IFERROR(__xludf.DUMMYFUNCTION("""COMPUTED_VALUE"""),"Artemis' Ring")</f>
        <v>Artemis' Ring</v>
      </c>
      <c r="Y329" s="32"/>
      <c r="Z329" s="32"/>
      <c r="AA329" s="32"/>
      <c r="AB329" s="32"/>
      <c r="AC329" s="32"/>
      <c r="AD329" s="32"/>
      <c r="AE329" s="32"/>
      <c r="AF329" s="32"/>
      <c r="AG329" s="32"/>
      <c r="AH329" s="32" t="str">
        <f>IFERROR(__xludf.DUMMYFUNCTION("""COMPUTED_VALUE"""),"Artemis' Leggings of Divine Agility")</f>
        <v>Artemis' Leggings of Divine Agility</v>
      </c>
      <c r="AI329" s="32" t="str">
        <f>IFERROR(__xludf.DUMMYFUNCTION("""COMPUTED_VALUE"""),"Artemis' Sandals of Divine Speed")</f>
        <v>Artemis' Sandals of Divine Speed</v>
      </c>
      <c r="AJ329" s="32" t="str">
        <f>IFERROR(__xludf.DUMMYFUNCTION("""COMPUTED_VALUE"""),"Artemis' Wave")</f>
        <v>Artemis' Wave</v>
      </c>
      <c r="AK329" s="32" t="str">
        <f>IFERROR(__xludf.DUMMYFUNCTION("""COMPUTED_VALUE"""),"Artemis' Godly Grace")</f>
        <v>Artemis' Godly Grace</v>
      </c>
      <c r="AL329" s="32" t="str">
        <f>IFERROR(__xludf.DUMMYFUNCTION("""COMPUTED_VALUE"""),"Artemis'  Force of Nature")</f>
        <v>Artemis'  Force of Nature</v>
      </c>
      <c r="AM329" s="32" t="str">
        <f>IFERROR(__xludf.DUMMYFUNCTION("""COMPUTED_VALUE"""),"The World Tree")</f>
        <v>The World Tree</v>
      </c>
      <c r="AN329" s="32" t="str">
        <f>IFERROR(__xludf.DUMMYFUNCTION("""COMPUTED_VALUE"""),"Entangle")</f>
        <v>Entangle</v>
      </c>
      <c r="AO329" s="32" t="str">
        <f>IFERROR(__xludf.DUMMYFUNCTION("""COMPUTED_VALUE"""),"Call of the Paladin")</f>
        <v>Call of the Paladin</v>
      </c>
      <c r="AP329" s="32" t="str">
        <f>IFERROR(__xludf.DUMMYFUNCTION("""COMPUTED_VALUE"""),"Nature's Light")</f>
        <v>Nature's Light</v>
      </c>
      <c r="AQ329" s="32" t="str">
        <f>IFERROR(__xludf.DUMMYFUNCTION("""COMPUTED_VALUE"""),"Nature's Embrace")</f>
        <v>Nature's Embrace</v>
      </c>
      <c r="AR329" s="32" t="str">
        <f>IFERROR(__xludf.DUMMYFUNCTION("""COMPUTED_VALUE"""),"Barkskin")</f>
        <v>Barkskin</v>
      </c>
      <c r="AS329" s="32" t="str">
        <f>IFERROR(__xludf.DUMMYFUNCTION("""COMPUTED_VALUE"""),"Grace of the Forest")</f>
        <v>Grace of the Forest</v>
      </c>
      <c r="AT329" s="32" t="str">
        <f>IFERROR(__xludf.DUMMYFUNCTION("""COMPUTED_VALUE"""),"Grounds")</f>
        <v>Grounds</v>
      </c>
      <c r="AU329" s="32" t="str">
        <f>IFERROR(__xludf.DUMMYFUNCTION("""COMPUTED_VALUE"""),"Chaincast")</f>
        <v>Chaincast</v>
      </c>
      <c r="AV329" s="32" t="str">
        <f>IFERROR(__xludf.DUMMYFUNCTION("""COMPUTED_VALUE"""),"Multishot")</f>
        <v>Multishot</v>
      </c>
      <c r="AW329" s="32" t="str">
        <f>IFERROR(__xludf.DUMMYFUNCTION("""COMPUTED_VALUE"""),"Mass Destruction")</f>
        <v>Mass Destruction</v>
      </c>
      <c r="AX329" s="32" t="str">
        <f>IFERROR(__xludf.DUMMYFUNCTION("""COMPUTED_VALUE"""),"Tower Of Gods")</f>
        <v>Tower Of Gods</v>
      </c>
      <c r="AY329" s="32" t="str">
        <f>IFERROR(__xludf.DUMMYFUNCTION("""COMPUTED_VALUE"""),"Tower Of The Forest")</f>
        <v>Tower Of The Forest</v>
      </c>
      <c r="AZ329" s="32" t="str">
        <f>IFERROR(__xludf.DUMMYFUNCTION("""COMPUTED_VALUE"""),"Cancel")</f>
        <v>Cancel</v>
      </c>
      <c r="BA329" s="32"/>
      <c r="BB329" s="32"/>
      <c r="BC329" s="32"/>
      <c r="BD329" s="32">
        <f>IFERROR(__xludf.DUMMYFUNCTION("""COMPUTED_VALUE"""),0.0)</f>
        <v>0</v>
      </c>
      <c r="BE329" s="32">
        <f>IFERROR(__xludf.DUMMYFUNCTION("""COMPUTED_VALUE"""),25.0)</f>
        <v>25</v>
      </c>
      <c r="BF329" s="32"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32" t="str">
        <f>IFERROR(__xludf.DUMMYFUNCTION("""COMPUTED_VALUE"""),"Dungeon")</f>
        <v>Dungeon</v>
      </c>
      <c r="BH329" s="32" t="str">
        <f>IFERROR(__xludf.DUMMYFUNCTION("""COMPUTED_VALUE"""),"Land of Spira")</f>
        <v>Land of Spira</v>
      </c>
      <c r="BI329" s="32"/>
      <c r="BJ329" s="32"/>
      <c r="BK329" s="32"/>
      <c r="BL329" s="32" t="b">
        <f>IFERROR(__xludf.DUMMYFUNCTION("""COMPUTED_VALUE"""),FALSE)</f>
        <v>0</v>
      </c>
      <c r="BM329" s="32"/>
      <c r="BN329" s="32"/>
      <c r="BO329" s="32"/>
      <c r="BP329" s="32"/>
      <c r="BQ329" s="32"/>
    </row>
    <row r="330">
      <c r="A330" s="32" t="str">
        <f>IFERROR(__xludf.DUMMYFUNCTION("""COMPUTED_VALUE"""),"Artemis, Nature's Wrathful Avatar (Second Phase)")</f>
        <v>Artemis, Nature's Wrathful Avatar (Second Phase)</v>
      </c>
      <c r="B330" s="32">
        <f>IFERROR(__xludf.DUMMYFUNCTION("""COMPUTED_VALUE"""),1.0)</f>
        <v>1</v>
      </c>
      <c r="C330" s="32" t="str">
        <f>IFERROR(__xludf.DUMMYFUNCTION("""COMPUTED_VALUE"""),"The goddess of Nature and the Guardian of the Forests of Spira's second phase, a being of chaos.")</f>
        <v>The goddess of Nature and the Guardian of the Forests of Spira's second phase, a being of chaos.</v>
      </c>
      <c r="D330" s="32" t="str">
        <f>IFERROR(__xludf.DUMMYFUNCTION("""COMPUTED_VALUE"""),"God")</f>
        <v>God</v>
      </c>
      <c r="E330" s="32">
        <f>IFERROR(__xludf.DUMMYFUNCTION("""COMPUTED_VALUE"""),1010.0)</f>
        <v>1010</v>
      </c>
      <c r="F330" s="33">
        <f>IFERROR(__xludf.DUMMYFUNCTION("""COMPUTED_VALUE"""),101010.0)</f>
        <v>101010</v>
      </c>
      <c r="G330" s="32">
        <f>IFERROR(__xludf.DUMMYFUNCTION("""COMPUTED_VALUE"""),651010.0)</f>
        <v>651010</v>
      </c>
      <c r="H330" s="32">
        <f>IFERROR(__xludf.DUMMYFUNCTION("""COMPUTED_VALUE"""),25.0)</f>
        <v>25</v>
      </c>
      <c r="I330" s="32">
        <f>IFERROR(__xludf.DUMMYFUNCTION("""COMPUTED_VALUE"""),0.0)</f>
        <v>0</v>
      </c>
      <c r="J330" s="32">
        <f>IFERROR(__xludf.DUMMYFUNCTION("""COMPUTED_VALUE"""),0.0)</f>
        <v>0</v>
      </c>
      <c r="K330" s="32">
        <f>IFERROR(__xludf.DUMMYFUNCTION("""COMPUTED_VALUE"""),600100.0)</f>
        <v>600100</v>
      </c>
      <c r="L330" s="32">
        <f>IFERROR(__xludf.DUMMYFUNCTION("""COMPUTED_VALUE"""),600100.0)</f>
        <v>600100</v>
      </c>
      <c r="M330" s="32"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32" t="str">
        <f>IFERROR(__xludf.DUMMYFUNCTION("""COMPUTED_VALUE"""),"Fire:500, Order:500, Delta:100, ")</f>
        <v>Fire:500, Order:500, Delta:100, </v>
      </c>
      <c r="O330" s="32" t="str">
        <f>IFERROR(__xludf.DUMMYFUNCTION("""COMPUTED_VALUE"""),"Artemis' Crown of The Forest")</f>
        <v>Artemis' Crown of The Forest</v>
      </c>
      <c r="P330" s="32" t="str">
        <f>IFERROR(__xludf.DUMMYFUNCTION("""COMPUTED_VALUE"""),"Artemis' Fang Necklace")</f>
        <v>Artemis' Fang Necklace</v>
      </c>
      <c r="Q330" s="32"/>
      <c r="R330" s="32"/>
      <c r="S330" s="32" t="str">
        <f>IFERROR(__xludf.DUMMYFUNCTION("""COMPUTED_VALUE"""),"Artemis' Divine Quiver")</f>
        <v>Artemis' Divine Quiver</v>
      </c>
      <c r="T330" s="32" t="str">
        <f>IFERROR(__xludf.DUMMYFUNCTION("""COMPUTED_VALUE"""),"Artemis' Toga of Divine Beauty")</f>
        <v>Artemis' Toga of Divine Beauty</v>
      </c>
      <c r="U330" s="32" t="str">
        <f>IFERROR(__xludf.DUMMYFUNCTION("""COMPUTED_VALUE"""),"Artemis' Bracer of The Archer Goddess")</f>
        <v>Artemis' Bracer of The Archer Goddess</v>
      </c>
      <c r="V330" s="32" t="str">
        <f>IFERROR(__xludf.DUMMYFUNCTION("""COMPUTED_VALUE"""),"Artemis' Shield of Divine Grace")</f>
        <v>Artemis' Shield of Divine Grace</v>
      </c>
      <c r="W330" s="32" t="str">
        <f>IFERROR(__xludf.DUMMYFUNCTION("""COMPUTED_VALUE"""),"Artemis' Bow of Divine Wrath")</f>
        <v>Artemis' Bow of Divine Wrath</v>
      </c>
      <c r="X330" s="32" t="str">
        <f>IFERROR(__xludf.DUMMYFUNCTION("""COMPUTED_VALUE"""),"Artemis' Ring")</f>
        <v>Artemis' Ring</v>
      </c>
      <c r="Y330" s="32"/>
      <c r="Z330" s="32"/>
      <c r="AA330" s="32"/>
      <c r="AB330" s="32"/>
      <c r="AC330" s="32"/>
      <c r="AD330" s="32"/>
      <c r="AE330" s="32"/>
      <c r="AF330" s="32"/>
      <c r="AG330" s="32"/>
      <c r="AH330" s="32" t="str">
        <f>IFERROR(__xludf.DUMMYFUNCTION("""COMPUTED_VALUE"""),"Artemis' Leggings of Divine Agility")</f>
        <v>Artemis' Leggings of Divine Agility</v>
      </c>
      <c r="AI330" s="32" t="str">
        <f>IFERROR(__xludf.DUMMYFUNCTION("""COMPUTED_VALUE"""),"Artemis' Sandals of Divine Speed")</f>
        <v>Artemis' Sandals of Divine Speed</v>
      </c>
      <c r="AJ330" s="32" t="str">
        <f>IFERROR(__xludf.DUMMYFUNCTION("""COMPUTED_VALUE"""),"Artemis' Wave")</f>
        <v>Artemis' Wave</v>
      </c>
      <c r="AK330" s="32" t="str">
        <f>IFERROR(__xludf.DUMMYFUNCTION("""COMPUTED_VALUE"""),"Artemis' Godly Grace")</f>
        <v>Artemis' Godly Grace</v>
      </c>
      <c r="AL330" s="32" t="str">
        <f>IFERROR(__xludf.DUMMYFUNCTION("""COMPUTED_VALUE"""),"Artemis'  Force of Nature")</f>
        <v>Artemis'  Force of Nature</v>
      </c>
      <c r="AM330" s="32" t="str">
        <f>IFERROR(__xludf.DUMMYFUNCTION("""COMPUTED_VALUE"""),"World Tree's Unbridled Rage")</f>
        <v>World Tree's Unbridled Rage</v>
      </c>
      <c r="AN330" s="32" t="str">
        <f>IFERROR(__xludf.DUMMYFUNCTION("""COMPUTED_VALUE"""),"The World Tree")</f>
        <v>The World Tree</v>
      </c>
      <c r="AO330" s="32" t="str">
        <f>IFERROR(__xludf.DUMMYFUNCTION("""COMPUTED_VALUE"""),"Entangle")</f>
        <v>Entangle</v>
      </c>
      <c r="AP330" s="32" t="str">
        <f>IFERROR(__xludf.DUMMYFUNCTION("""COMPUTED_VALUE"""),"Call of the Paladin")</f>
        <v>Call of the Paladin</v>
      </c>
      <c r="AQ330" s="32" t="str">
        <f>IFERROR(__xludf.DUMMYFUNCTION("""COMPUTED_VALUE"""),"Nature's Light")</f>
        <v>Nature's Light</v>
      </c>
      <c r="AR330" s="32" t="str">
        <f>IFERROR(__xludf.DUMMYFUNCTION("""COMPUTED_VALUE"""),"Nature's Embrace")</f>
        <v>Nature's Embrace</v>
      </c>
      <c r="AS330" s="32" t="str">
        <f>IFERROR(__xludf.DUMMYFUNCTION("""COMPUTED_VALUE"""),"Barkskin")</f>
        <v>Barkskin</v>
      </c>
      <c r="AT330" s="32" t="str">
        <f>IFERROR(__xludf.DUMMYFUNCTION("""COMPUTED_VALUE"""),"Grace of the Forest")</f>
        <v>Grace of the Forest</v>
      </c>
      <c r="AU330" s="32" t="str">
        <f>IFERROR(__xludf.DUMMYFUNCTION("""COMPUTED_VALUE"""),"Grounds")</f>
        <v>Grounds</v>
      </c>
      <c r="AV330" s="32" t="str">
        <f>IFERROR(__xludf.DUMMYFUNCTION("""COMPUTED_VALUE"""),"Chaincast")</f>
        <v>Chaincast</v>
      </c>
      <c r="AW330" s="32" t="str">
        <f>IFERROR(__xludf.DUMMYFUNCTION("""COMPUTED_VALUE"""),"Multishot")</f>
        <v>Multishot</v>
      </c>
      <c r="AX330" s="32" t="str">
        <f>IFERROR(__xludf.DUMMYFUNCTION("""COMPUTED_VALUE"""),"Mass Destruction")</f>
        <v>Mass Destruction</v>
      </c>
      <c r="AY330" s="32" t="str">
        <f>IFERROR(__xludf.DUMMYFUNCTION("""COMPUTED_VALUE"""),"Tower Of Gods")</f>
        <v>Tower Of Gods</v>
      </c>
      <c r="AZ330" s="32" t="str">
        <f>IFERROR(__xludf.DUMMYFUNCTION("""COMPUTED_VALUE"""),"Tower Of The Forest")</f>
        <v>Tower Of The Forest</v>
      </c>
      <c r="BA330" s="32" t="str">
        <f>IFERROR(__xludf.DUMMYFUNCTION("""COMPUTED_VALUE"""),"Cancel")</f>
        <v>Cancel</v>
      </c>
      <c r="BB330" s="32"/>
      <c r="BC330" s="32"/>
      <c r="BD330" s="32">
        <f>IFERROR(__xludf.DUMMYFUNCTION("""COMPUTED_VALUE"""),0.0)</f>
        <v>0</v>
      </c>
      <c r="BE330" s="32">
        <f>IFERROR(__xludf.DUMMYFUNCTION("""COMPUTED_VALUE"""),25.0)</f>
        <v>25</v>
      </c>
      <c r="BF330" s="32"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32" t="str">
        <f>IFERROR(__xludf.DUMMYFUNCTION("""COMPUTED_VALUE"""),"Dungeon")</f>
        <v>Dungeon</v>
      </c>
      <c r="BH330" s="32" t="str">
        <f>IFERROR(__xludf.DUMMYFUNCTION("""COMPUTED_VALUE"""),"Land of Spira")</f>
        <v>Land of Spira</v>
      </c>
      <c r="BI330" s="32"/>
      <c r="BJ330" s="32"/>
      <c r="BK330" s="32"/>
      <c r="BL330" s="32" t="b">
        <f>IFERROR(__xludf.DUMMYFUNCTION("""COMPUTED_VALUE"""),FALSE)</f>
        <v>0</v>
      </c>
      <c r="BM330" s="32"/>
      <c r="BN330" s="32"/>
      <c r="BO330" s="32"/>
      <c r="BP330" s="32"/>
      <c r="BQ330" s="32"/>
    </row>
    <row r="331">
      <c r="A331" s="32" t="str">
        <f>IFERROR(__xludf.DUMMYFUNCTION("""COMPUTED_VALUE"""),"The Gods' Quiver")</f>
        <v>The Gods' Quiver</v>
      </c>
      <c r="B331" s="32">
        <f>IFERROR(__xludf.DUMMYFUNCTION("""COMPUTED_VALUE"""),1.0)</f>
        <v>1</v>
      </c>
      <c r="C331" s="32" t="str">
        <f>IFERROR(__xludf.DUMMYFUNCTION("""COMPUTED_VALUE"""),"A paladin of Artemis commonly found in shitholes like forest view")</f>
        <v>A paladin of Artemis commonly found in shitholes like forest view</v>
      </c>
      <c r="D331" s="32" t="str">
        <f>IFERROR(__xludf.DUMMYFUNCTION("""COMPUTED_VALUE"""),"Humanoid")</f>
        <v>Humanoid</v>
      </c>
      <c r="E331" s="32">
        <f>IFERROR(__xludf.DUMMYFUNCTION("""COMPUTED_VALUE"""),1010.0)</f>
        <v>1010</v>
      </c>
      <c r="F331" s="33">
        <f>IFERROR(__xludf.DUMMYFUNCTION("""COMPUTED_VALUE"""),51010.0)</f>
        <v>51010</v>
      </c>
      <c r="G331" s="33">
        <f>IFERROR(__xludf.DUMMYFUNCTION("""COMPUTED_VALUE"""),181010.0)</f>
        <v>181010</v>
      </c>
      <c r="H331" s="32">
        <f>IFERROR(__xludf.DUMMYFUNCTION("""COMPUTED_VALUE"""),20.0)</f>
        <v>20</v>
      </c>
      <c r="I331" s="32">
        <f>IFERROR(__xludf.DUMMYFUNCTION("""COMPUTED_VALUE"""),0.0)</f>
        <v>0</v>
      </c>
      <c r="J331" s="32">
        <f>IFERROR(__xludf.DUMMYFUNCTION("""COMPUTED_VALUE"""),0.0)</f>
        <v>0</v>
      </c>
      <c r="K331" s="32">
        <f>IFERROR(__xludf.DUMMYFUNCTION("""COMPUTED_VALUE"""),100.0)</f>
        <v>100</v>
      </c>
      <c r="L331" s="32">
        <f>IFERROR(__xludf.DUMMYFUNCTION("""COMPUTED_VALUE"""),100.0)</f>
        <v>100</v>
      </c>
      <c r="M331" s="32" t="str">
        <f>IFERROR(__xludf.DUMMYFUNCTION("""COMPUTED_VALUE"""),"Water:100, Light:100, Chaos:100, Nature:Immune, Stasis:Immune, Celestial:100, ")</f>
        <v>Water:100, Light:100, Chaos:100, Nature:Immune, Stasis:Immune, Celestial:100, </v>
      </c>
      <c r="N331" s="32" t="str">
        <f>IFERROR(__xludf.DUMMYFUNCTION("""COMPUTED_VALUE"""),"Fire:500, Order:500, Delta:100, ")</f>
        <v>Fire:500, Order:500, Delta:100, </v>
      </c>
      <c r="O331" s="32" t="str">
        <f>IFERROR(__xludf.DUMMYFUNCTION("""COMPUTED_VALUE"""),"Cowl of the Eagle's Sight")</f>
        <v>Cowl of the Eagle's Sight</v>
      </c>
      <c r="P331" s="32" t="str">
        <f>IFERROR(__xludf.DUMMYFUNCTION("""COMPUTED_VALUE"""),"Emerald Amulet of The Forest")</f>
        <v>Emerald Amulet of The Forest</v>
      </c>
      <c r="Q331" s="32"/>
      <c r="R331" s="32"/>
      <c r="S331" s="32" t="str">
        <f>IFERROR(__xludf.DUMMYFUNCTION("""COMPUTED_VALUE"""),"Ailettes of the Forest's Splendor")</f>
        <v>Ailettes of the Forest's Splendor</v>
      </c>
      <c r="T331" s="32" t="str">
        <f>IFERROR(__xludf.DUMMYFUNCTION("""COMPUTED_VALUE"""),"Leather Cuirass of Barkskin")</f>
        <v>Leather Cuirass of Barkskin</v>
      </c>
      <c r="U331" s="32" t="str">
        <f>IFERROR(__xludf.DUMMYFUNCTION("""COMPUTED_VALUE"""),"Bracer of Trueshot")</f>
        <v>Bracer of Trueshot</v>
      </c>
      <c r="V331" s="32" t="str">
        <f>IFERROR(__xludf.DUMMYFUNCTION("""COMPUTED_VALUE"""),"Enchanted Wooden Buckler of The Verdant Forest")</f>
        <v>Enchanted Wooden Buckler of The Verdant Forest</v>
      </c>
      <c r="W331" s="32" t="str">
        <f>IFERROR(__xludf.DUMMYFUNCTION("""COMPUTED_VALUE"""),"The Bow of The Verdant Forest")</f>
        <v>The Bow of The Verdant Forest</v>
      </c>
      <c r="X331" s="32" t="str">
        <f>IFERROR(__xludf.DUMMYFUNCTION("""COMPUTED_VALUE"""),"Emerald Ring of The Forest")</f>
        <v>Emerald Ring of The Forest</v>
      </c>
      <c r="Y331" s="32" t="str">
        <f>IFERROR(__xludf.DUMMYFUNCTION("""COMPUTED_VALUE"""),"Ring o’ Luck and Nature")</f>
        <v>Ring o’ Luck and Nature</v>
      </c>
      <c r="Z331" s="32"/>
      <c r="AA331" s="32"/>
      <c r="AB331" s="32"/>
      <c r="AC331" s="32"/>
      <c r="AD331" s="32"/>
      <c r="AE331" s="32"/>
      <c r="AF331" s="32"/>
      <c r="AG331" s="32"/>
      <c r="AH331" s="32" t="str">
        <f>IFERROR(__xludf.DUMMYFUNCTION("""COMPUTED_VALUE"""),"Greaves of The Verdant Forest")</f>
        <v>Greaves of The Verdant Forest</v>
      </c>
      <c r="AI331" s="32" t="str">
        <f>IFERROR(__xludf.DUMMYFUNCTION("""COMPUTED_VALUE"""),"Boots of The Verdant Forest")</f>
        <v>Boots of The Verdant Forest</v>
      </c>
      <c r="AJ331" s="32" t="str">
        <f>IFERROR(__xludf.DUMMYFUNCTION("""COMPUTED_VALUE"""),"Entangle")</f>
        <v>Entangle</v>
      </c>
      <c r="AK331" s="32" t="str">
        <f>IFERROR(__xludf.DUMMYFUNCTION("""COMPUTED_VALUE"""),"Nature's Light")</f>
        <v>Nature's Light</v>
      </c>
      <c r="AL331" s="32" t="str">
        <f>IFERROR(__xludf.DUMMYFUNCTION("""COMPUTED_VALUE"""),"Barkskin")</f>
        <v>Barkskin</v>
      </c>
      <c r="AM331" s="32" t="str">
        <f>IFERROR(__xludf.DUMMYFUNCTION("""COMPUTED_VALUE"""),"Grace of the Forest")</f>
        <v>Grace of the Forest</v>
      </c>
      <c r="AN331" s="32" t="str">
        <f>IFERROR(__xludf.DUMMYFUNCTION("""COMPUTED_VALUE"""),"Multishot")</f>
        <v>Multishot</v>
      </c>
      <c r="AO331" s="32" t="str">
        <f>IFERROR(__xludf.DUMMYFUNCTION("""COMPUTED_VALUE"""),"Tower Of The Forest")</f>
        <v>Tower Of The Forest</v>
      </c>
      <c r="AP331" s="32" t="str">
        <f>IFERROR(__xludf.DUMMYFUNCTION("""COMPUTED_VALUE"""),"Berserk")</f>
        <v>Berserk</v>
      </c>
      <c r="AQ331" s="32" t="str">
        <f>IFERROR(__xludf.DUMMYFUNCTION("""COMPUTED_VALUE"""),"Thousand Arrows")</f>
        <v>Thousand Arrows</v>
      </c>
      <c r="AR331" s="32" t="str">
        <f>IFERROR(__xludf.DUMMYFUNCTION("""COMPUTED_VALUE"""),"Pinning shot")</f>
        <v>Pinning shot</v>
      </c>
      <c r="AS331" s="32" t="str">
        <f>IFERROR(__xludf.DUMMYFUNCTION("""COMPUTED_VALUE"""),"Good shot")</f>
        <v>Good shot</v>
      </c>
      <c r="AT331" s="32" t="str">
        <f>IFERROR(__xludf.DUMMYFUNCTION("""COMPUTED_VALUE"""),"Bullseye")</f>
        <v>Bullseye</v>
      </c>
      <c r="AU331" s="32" t="str">
        <f>IFERROR(__xludf.DUMMYFUNCTION("""COMPUTED_VALUE"""),"[Element] Shot")</f>
        <v>[Element] Shot</v>
      </c>
      <c r="AV331" s="32" t="str">
        <f>IFERROR(__xludf.DUMMYFUNCTION("""COMPUTED_VALUE"""),"Cancel")</f>
        <v>Cancel</v>
      </c>
      <c r="AW331" s="32" t="str">
        <f>IFERROR(__xludf.DUMMYFUNCTION("""COMPUTED_VALUE"""),"Arrest")</f>
        <v>Arrest</v>
      </c>
      <c r="AX331" s="32"/>
      <c r="AY331" s="32"/>
      <c r="AZ331" s="32"/>
      <c r="BA331" s="32"/>
      <c r="BB331" s="32"/>
      <c r="BC331" s="32"/>
      <c r="BD331" s="32">
        <f>IFERROR(__xludf.DUMMYFUNCTION("""COMPUTED_VALUE"""),0.0)</f>
        <v>0</v>
      </c>
      <c r="BE331" s="32">
        <f>IFERROR(__xludf.DUMMYFUNCTION("""COMPUTED_VALUE"""),15.0)</f>
        <v>15</v>
      </c>
      <c r="BF331" s="32"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32" t="str">
        <f>IFERROR(__xludf.DUMMYFUNCTION("""COMPUTED_VALUE"""),"Forest")</f>
        <v>Forest</v>
      </c>
      <c r="BH331" s="32" t="str">
        <f>IFERROR(__xludf.DUMMYFUNCTION("""COMPUTED_VALUE"""),"Land of Spira")</f>
        <v>Land of Spira</v>
      </c>
      <c r="BI331" s="32"/>
      <c r="BJ331" s="32"/>
      <c r="BK331" s="32"/>
      <c r="BL331" s="32" t="b">
        <f>IFERROR(__xludf.DUMMYFUNCTION("""COMPUTED_VALUE"""),FALSE)</f>
        <v>0</v>
      </c>
      <c r="BM331" s="32"/>
      <c r="BN331" s="32"/>
      <c r="BO331" s="32"/>
      <c r="BP331" s="32"/>
      <c r="BQ331" s="32"/>
    </row>
    <row r="332">
      <c r="A332" s="32" t="str">
        <f>IFERROR(__xludf.DUMMYFUNCTION("""COMPUTED_VALUE"""),"The Forged Ones")</f>
        <v>The Forged Ones</v>
      </c>
      <c r="B332" s="32">
        <f>IFERROR(__xludf.DUMMYFUNCTION("""COMPUTED_VALUE"""),1.0)</f>
        <v>1</v>
      </c>
      <c r="C332" s="32" t="str">
        <f>IFERROR(__xludf.DUMMYFUNCTION("""COMPUTED_VALUE"""),"A mechanical paladin of Hephaestus.")</f>
        <v>A mechanical paladin of Hephaestus.</v>
      </c>
      <c r="D332" s="32" t="str">
        <f>IFERROR(__xludf.DUMMYFUNCTION("""COMPUTED_VALUE"""),"Humanoid")</f>
        <v>Humanoid</v>
      </c>
      <c r="E332" s="32">
        <f>IFERROR(__xludf.DUMMYFUNCTION("""COMPUTED_VALUE"""),1010.0)</f>
        <v>1010</v>
      </c>
      <c r="F332" s="33">
        <f>IFERROR(__xludf.DUMMYFUNCTION("""COMPUTED_VALUE"""),51010.0)</f>
        <v>51010</v>
      </c>
      <c r="G332" s="32">
        <f>IFERROR(__xludf.DUMMYFUNCTION("""COMPUTED_VALUE"""),261010.0)</f>
        <v>261010</v>
      </c>
      <c r="H332" s="32">
        <f>IFERROR(__xludf.DUMMYFUNCTION("""COMPUTED_VALUE"""),15.0)</f>
        <v>15</v>
      </c>
      <c r="I332" s="32">
        <f>IFERROR(__xludf.DUMMYFUNCTION("""COMPUTED_VALUE"""),0.0)</f>
        <v>0</v>
      </c>
      <c r="J332" s="32">
        <f>IFERROR(__xludf.DUMMYFUNCTION("""COMPUTED_VALUE"""),0.0)</f>
        <v>0</v>
      </c>
      <c r="K332" s="32">
        <f>IFERROR(__xludf.DUMMYFUNCTION("""COMPUTED_VALUE"""),100.0)</f>
        <v>100</v>
      </c>
      <c r="L332" s="32">
        <f>IFERROR(__xludf.DUMMYFUNCTION("""COMPUTED_VALUE"""),100.0)</f>
        <v>100</v>
      </c>
      <c r="M332" s="32" t="str">
        <f>IFERROR(__xludf.DUMMYFUNCTION("""COMPUTED_VALUE"""),"Fire:Immune, Order:250, Chaos:250, Celestial:100, Instant Death:Immune, ")</f>
        <v>Fire:Immune, Order:250, Chaos:250, Celestial:100, Instant Death:Immune, </v>
      </c>
      <c r="N332" s="32" t="str">
        <f>IFERROR(__xludf.DUMMYFUNCTION("""COMPUTED_VALUE"""),"Water:500, ")</f>
        <v>Water:500, </v>
      </c>
      <c r="O332" s="32" t="str">
        <f>IFERROR(__xludf.DUMMYFUNCTION("""COMPUTED_VALUE"""),"Forged Paladin's Helm")</f>
        <v>Forged Paladin's Helm</v>
      </c>
      <c r="P332" s="32" t="str">
        <f>IFERROR(__xludf.DUMMYFUNCTION("""COMPUTED_VALUE"""),"Scrap Gorget")</f>
        <v>Scrap Gorget</v>
      </c>
      <c r="Q332" s="32"/>
      <c r="R332" s="32"/>
      <c r="S332" s="32" t="str">
        <f>IFERROR(__xludf.DUMMYFUNCTION("""COMPUTED_VALUE"""),"Forged Paladin's Pauldrons")</f>
        <v>Forged Paladin's Pauldrons</v>
      </c>
      <c r="T332" s="32" t="str">
        <f>IFERROR(__xludf.DUMMYFUNCTION("""COMPUTED_VALUE"""),"Forged Paladin's Plate")</f>
        <v>Forged Paladin's Plate</v>
      </c>
      <c r="U332" s="32" t="str">
        <f>IFERROR(__xludf.DUMMYFUNCTION("""COMPUTED_VALUE"""),"Forged Paladin's Vambraces")</f>
        <v>Forged Paladin's Vambraces</v>
      </c>
      <c r="V332" s="32" t="str">
        <f>IFERROR(__xludf.DUMMYFUNCTION("""COMPUTED_VALUE"""),"Forged Towershield")</f>
        <v>Forged Towershield</v>
      </c>
      <c r="W332" s="32" t="str">
        <f>IFERROR(__xludf.DUMMYFUNCTION("""COMPUTED_VALUE"""),"Forged Firearm")</f>
        <v>Forged Firearm</v>
      </c>
      <c r="X332" s="32" t="str">
        <f>IFERROR(__xludf.DUMMYFUNCTION("""COMPUTED_VALUE"""),"Scrap Ring")</f>
        <v>Scrap Ring</v>
      </c>
      <c r="Y332" s="32"/>
      <c r="Z332" s="32"/>
      <c r="AA332" s="32"/>
      <c r="AB332" s="32"/>
      <c r="AC332" s="32"/>
      <c r="AD332" s="32"/>
      <c r="AE332" s="32"/>
      <c r="AF332" s="32"/>
      <c r="AG332" s="32"/>
      <c r="AH332" s="32" t="str">
        <f>IFERROR(__xludf.DUMMYFUNCTION("""COMPUTED_VALUE"""),"Forged Leg guard")</f>
        <v>Forged Leg guard</v>
      </c>
      <c r="AI332" s="32" t="str">
        <f>IFERROR(__xludf.DUMMYFUNCTION("""COMPUTED_VALUE"""),"Forged Sabatons")</f>
        <v>Forged Sabatons</v>
      </c>
      <c r="AJ332" s="32" t="str">
        <f>IFERROR(__xludf.DUMMYFUNCTION("""COMPUTED_VALUE"""),"Recharge")</f>
        <v>Recharge</v>
      </c>
      <c r="AK332" s="32" t="str">
        <f>IFERROR(__xludf.DUMMYFUNCTION("""COMPUTED_VALUE"""),"Cooldown")</f>
        <v>Cooldown</v>
      </c>
      <c r="AL332" s="32" t="str">
        <f>IFERROR(__xludf.DUMMYFUNCTION("""COMPUTED_VALUE"""),"Overcharge")</f>
        <v>Overcharge</v>
      </c>
      <c r="AM332" s="32" t="str">
        <f>IFERROR(__xludf.DUMMYFUNCTION("""COMPUTED_VALUE"""),"Forged in Fire")</f>
        <v>Forged in Fire</v>
      </c>
      <c r="AN332" s="32" t="str">
        <f>IFERROR(__xludf.DUMMYFUNCTION("""COMPUTED_VALUE"""),"Flame Thrower")</f>
        <v>Flame Thrower</v>
      </c>
      <c r="AO332" s="32" t="str">
        <f>IFERROR(__xludf.DUMMYFUNCTION("""COMPUTED_VALUE"""),"Divine Flame Cloak")</f>
        <v>Divine Flame Cloak</v>
      </c>
      <c r="AP332" s="32" t="str">
        <f>IFERROR(__xludf.DUMMYFUNCTION("""COMPUTED_VALUE"""),"Meteor Shower")</f>
        <v>Meteor Shower</v>
      </c>
      <c r="AQ332" s="32" t="str">
        <f>IFERROR(__xludf.DUMMYFUNCTION("""COMPUTED_VALUE"""),"Flame Sanctuary")</f>
        <v>Flame Sanctuary</v>
      </c>
      <c r="AR332" s="32" t="str">
        <f>IFERROR(__xludf.DUMMYFUNCTION("""COMPUTED_VALUE"""),"[Element] Shot")</f>
        <v>[Element] Shot</v>
      </c>
      <c r="AS332" s="32" t="str">
        <f>IFERROR(__xludf.DUMMYFUNCTION("""COMPUTED_VALUE"""),"Accuracy Boost")</f>
        <v>Accuracy Boost</v>
      </c>
      <c r="AT332" s="32" t="str">
        <f>IFERROR(__xludf.DUMMYFUNCTION("""COMPUTED_VALUE"""),"Bullseye")</f>
        <v>Bullseye</v>
      </c>
      <c r="AU332" s="32" t="str">
        <f>IFERROR(__xludf.DUMMYFUNCTION("""COMPUTED_VALUE"""),"Good shot")</f>
        <v>Good shot</v>
      </c>
      <c r="AV332" s="32" t="str">
        <f>IFERROR(__xludf.DUMMYFUNCTION("""COMPUTED_VALUE"""),"Multishot")</f>
        <v>Multishot</v>
      </c>
      <c r="AW332" s="32" t="str">
        <f>IFERROR(__xludf.DUMMYFUNCTION("""COMPUTED_VALUE"""),"Tower Of Stasis")</f>
        <v>Tower Of Stasis</v>
      </c>
      <c r="AX332" s="32" t="str">
        <f>IFERROR(__xludf.DUMMYFUNCTION("""COMPUTED_VALUE"""),"Cancel")</f>
        <v>Cancel</v>
      </c>
      <c r="AY332" s="32" t="str">
        <f>IFERROR(__xludf.DUMMYFUNCTION("""COMPUTED_VALUE"""),"Arrest")</f>
        <v>Arrest</v>
      </c>
      <c r="AZ332" s="32"/>
      <c r="BA332" s="32"/>
      <c r="BB332" s="32"/>
      <c r="BC332" s="32"/>
      <c r="BD332" s="32">
        <f>IFERROR(__xludf.DUMMYFUNCTION("""COMPUTED_VALUE"""),0.0)</f>
        <v>0</v>
      </c>
      <c r="BE332" s="32">
        <f>IFERROR(__xludf.DUMMYFUNCTION("""COMPUTED_VALUE"""),15.0)</f>
        <v>15</v>
      </c>
      <c r="BF332" s="32"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32" t="str">
        <f>IFERROR(__xludf.DUMMYFUNCTION("""COMPUTED_VALUE"""),"Mountain")</f>
        <v>Mountain</v>
      </c>
      <c r="BH332" s="32" t="str">
        <f>IFERROR(__xludf.DUMMYFUNCTION("""COMPUTED_VALUE"""),"Land of Spira")</f>
        <v>Land of Spira</v>
      </c>
      <c r="BI332" s="32"/>
      <c r="BJ332" s="32"/>
      <c r="BK332" s="32"/>
      <c r="BL332" s="32" t="b">
        <f>IFERROR(__xludf.DUMMYFUNCTION("""COMPUTED_VALUE"""),FALSE)</f>
        <v>0</v>
      </c>
      <c r="BM332" s="32"/>
      <c r="BN332" s="32"/>
      <c r="BO332" s="32"/>
      <c r="BP332" s="32"/>
      <c r="BQ332" s="32"/>
    </row>
    <row r="333">
      <c r="A333" s="32" t="str">
        <f>IFERROR(__xludf.DUMMYFUNCTION("""COMPUTED_VALUE"""),"Jenos, Head Paladin of Artemis")</f>
        <v>Jenos, Head Paladin of Artemis</v>
      </c>
      <c r="B333" s="32">
        <f>IFERROR(__xludf.DUMMYFUNCTION("""COMPUTED_VALUE"""),1.0)</f>
        <v>1</v>
      </c>
      <c r="C333" s="32" t="str">
        <f>IFERROR(__xludf.DUMMYFUNCTION("""COMPUTED_VALUE"""),"A sacrifice offered to the goddess of Nature before beign taken under her wing.")</f>
        <v>A sacrifice offered to the goddess of Nature before beign taken under her wing.</v>
      </c>
      <c r="D333" s="32" t="str">
        <f>IFERROR(__xludf.DUMMYFUNCTION("""COMPUTED_VALUE"""),"Heavenly")</f>
        <v>Heavenly</v>
      </c>
      <c r="E333" s="32">
        <f>IFERROR(__xludf.DUMMYFUNCTION("""COMPUTED_VALUE"""),1010.0)</f>
        <v>1010</v>
      </c>
      <c r="F333" s="33">
        <f>IFERROR(__xludf.DUMMYFUNCTION("""COMPUTED_VALUE"""),51010.0)</f>
        <v>51010</v>
      </c>
      <c r="G333" s="33">
        <f>IFERROR(__xludf.DUMMYFUNCTION("""COMPUTED_VALUE"""),181010.0)</f>
        <v>181010</v>
      </c>
      <c r="H333" s="32">
        <f>IFERROR(__xludf.DUMMYFUNCTION("""COMPUTED_VALUE"""),30.0)</f>
        <v>30</v>
      </c>
      <c r="I333" s="32">
        <f>IFERROR(__xludf.DUMMYFUNCTION("""COMPUTED_VALUE"""),0.0)</f>
        <v>0</v>
      </c>
      <c r="J333" s="32">
        <f>IFERROR(__xludf.DUMMYFUNCTION("""COMPUTED_VALUE"""),0.0)</f>
        <v>0</v>
      </c>
      <c r="K333" s="32">
        <f>IFERROR(__xludf.DUMMYFUNCTION("""COMPUTED_VALUE"""),100.0)</f>
        <v>100</v>
      </c>
      <c r="L333" s="32">
        <f>IFERROR(__xludf.DUMMYFUNCTION("""COMPUTED_VALUE"""),100.0)</f>
        <v>100</v>
      </c>
      <c r="M333" s="32" t="str">
        <f>IFERROR(__xludf.DUMMYFUNCTION("""COMPUTED_VALUE"""),"Water:250, Light:250, Chaos:250, Nature:Immune, Celestial:250, Instant Death:Immune, Banishment:Immune, ")</f>
        <v>Water:250, Light:250, Chaos:250, Nature:Immune, Celestial:250, Instant Death:Immune, Banishment:Immune, </v>
      </c>
      <c r="N333" s="32" t="str">
        <f>IFERROR(__xludf.DUMMYFUNCTION("""COMPUTED_VALUE"""),"Fire:500, Order:500, Delta:100, ")</f>
        <v>Fire:500, Order:500, Delta:100, </v>
      </c>
      <c r="O333" s="32" t="str">
        <f>IFERROR(__xludf.DUMMYFUNCTION("""COMPUTED_VALUE"""),"Cowl of the Eagle's Sight")</f>
        <v>Cowl of the Eagle's Sight</v>
      </c>
      <c r="P333" s="32" t="str">
        <f>IFERROR(__xludf.DUMMYFUNCTION("""COMPUTED_VALUE"""),"Emerald Amulet of The Forest")</f>
        <v>Emerald Amulet of The Forest</v>
      </c>
      <c r="Q333" s="32"/>
      <c r="R333" s="32"/>
      <c r="S333" s="32" t="str">
        <f>IFERROR(__xludf.DUMMYFUNCTION("""COMPUTED_VALUE"""),"Ailettes of the Forest's Splendor")</f>
        <v>Ailettes of the Forest's Splendor</v>
      </c>
      <c r="T333" s="32" t="str">
        <f>IFERROR(__xludf.DUMMYFUNCTION("""COMPUTED_VALUE"""),"Leather Cuirass of Barkskin")</f>
        <v>Leather Cuirass of Barkskin</v>
      </c>
      <c r="U333" s="32" t="str">
        <f>IFERROR(__xludf.DUMMYFUNCTION("""COMPUTED_VALUE"""),"Bracer of Trueshot")</f>
        <v>Bracer of Trueshot</v>
      </c>
      <c r="V333" s="32" t="str">
        <f>IFERROR(__xludf.DUMMYFUNCTION("""COMPUTED_VALUE"""),"Enchanted Wooden Buckler of The Verdant Forest")</f>
        <v>Enchanted Wooden Buckler of The Verdant Forest</v>
      </c>
      <c r="W333" s="32" t="str">
        <f>IFERROR(__xludf.DUMMYFUNCTION("""COMPUTED_VALUE"""),"The Bow of The Verdant Forest")</f>
        <v>The Bow of The Verdant Forest</v>
      </c>
      <c r="X333" s="32" t="str">
        <f>IFERROR(__xludf.DUMMYFUNCTION("""COMPUTED_VALUE"""),"Emerald Ring of The Forest")</f>
        <v>Emerald Ring of The Forest</v>
      </c>
      <c r="Y333" s="32" t="str">
        <f>IFERROR(__xludf.DUMMYFUNCTION("""COMPUTED_VALUE"""),"Ring o’ Luck and Nature")</f>
        <v>Ring o’ Luck and Nature</v>
      </c>
      <c r="Z333" s="32"/>
      <c r="AA333" s="32"/>
      <c r="AB333" s="32"/>
      <c r="AC333" s="32"/>
      <c r="AD333" s="32"/>
      <c r="AE333" s="32"/>
      <c r="AF333" s="32"/>
      <c r="AG333" s="32"/>
      <c r="AH333" s="32" t="str">
        <f>IFERROR(__xludf.DUMMYFUNCTION("""COMPUTED_VALUE"""),"Greaves of The Verdant Forest")</f>
        <v>Greaves of The Verdant Forest</v>
      </c>
      <c r="AI333" s="32" t="str">
        <f>IFERROR(__xludf.DUMMYFUNCTION("""COMPUTED_VALUE"""),"Boots of The Verdant Forest")</f>
        <v>Boots of The Verdant Forest</v>
      </c>
      <c r="AJ333" s="32" t="str">
        <f>IFERROR(__xludf.DUMMYFUNCTION("""COMPUTED_VALUE"""),"Entangle")</f>
        <v>Entangle</v>
      </c>
      <c r="AK333" s="32" t="str">
        <f>IFERROR(__xludf.DUMMYFUNCTION("""COMPUTED_VALUE"""),"Nature's Light")</f>
        <v>Nature's Light</v>
      </c>
      <c r="AL333" s="32" t="str">
        <f>IFERROR(__xludf.DUMMYFUNCTION("""COMPUTED_VALUE"""),"Barkskin")</f>
        <v>Barkskin</v>
      </c>
      <c r="AM333" s="32" t="str">
        <f>IFERROR(__xludf.DUMMYFUNCTION("""COMPUTED_VALUE"""),"Grace of the Forest")</f>
        <v>Grace of the Forest</v>
      </c>
      <c r="AN333" s="32" t="str">
        <f>IFERROR(__xludf.DUMMYFUNCTION("""COMPUTED_VALUE"""),"Multishot")</f>
        <v>Multishot</v>
      </c>
      <c r="AO333" s="32" t="str">
        <f>IFERROR(__xludf.DUMMYFUNCTION("""COMPUTED_VALUE"""),"Tower Of The Forest")</f>
        <v>Tower Of The Forest</v>
      </c>
      <c r="AP333" s="32" t="str">
        <f>IFERROR(__xludf.DUMMYFUNCTION("""COMPUTED_VALUE"""),"Berserk")</f>
        <v>Berserk</v>
      </c>
      <c r="AQ333" s="32" t="str">
        <f>IFERROR(__xludf.DUMMYFUNCTION("""COMPUTED_VALUE"""),"Thousand Arrows")</f>
        <v>Thousand Arrows</v>
      </c>
      <c r="AR333" s="32" t="str">
        <f>IFERROR(__xludf.DUMMYFUNCTION("""COMPUTED_VALUE"""),"Pinning shot")</f>
        <v>Pinning shot</v>
      </c>
      <c r="AS333" s="32" t="str">
        <f>IFERROR(__xludf.DUMMYFUNCTION("""COMPUTED_VALUE"""),"Good shot")</f>
        <v>Good shot</v>
      </c>
      <c r="AT333" s="32" t="str">
        <f>IFERROR(__xludf.DUMMYFUNCTION("""COMPUTED_VALUE"""),"Bullseye")</f>
        <v>Bullseye</v>
      </c>
      <c r="AU333" s="32" t="str">
        <f>IFERROR(__xludf.DUMMYFUNCTION("""COMPUTED_VALUE"""),"[Element] Shot")</f>
        <v>[Element] Shot</v>
      </c>
      <c r="AV333" s="32" t="str">
        <f>IFERROR(__xludf.DUMMYFUNCTION("""COMPUTED_VALUE"""),"Lock On")</f>
        <v>Lock On</v>
      </c>
      <c r="AW333" s="32" t="str">
        <f>IFERROR(__xludf.DUMMYFUNCTION("""COMPUTED_VALUE"""),"Archer’s Wrath")</f>
        <v>Archer’s Wrath</v>
      </c>
      <c r="AX333" s="32" t="str">
        <f>IFERROR(__xludf.DUMMYFUNCTION("""COMPUTED_VALUE"""),"Mass Destruction")</f>
        <v>Mass Destruction</v>
      </c>
      <c r="AY333" s="32" t="str">
        <f>IFERROR(__xludf.DUMMYFUNCTION("""COMPUTED_VALUE"""),"Cancel")</f>
        <v>Cancel</v>
      </c>
      <c r="AZ333" s="32" t="str">
        <f>IFERROR(__xludf.DUMMYFUNCTION("""COMPUTED_VALUE"""),"Arrest")</f>
        <v>Arrest</v>
      </c>
      <c r="BA333" s="32"/>
      <c r="BB333" s="32"/>
      <c r="BC333" s="32"/>
      <c r="BD333" s="32">
        <f>IFERROR(__xludf.DUMMYFUNCTION("""COMPUTED_VALUE"""),0.0)</f>
        <v>0</v>
      </c>
      <c r="BE333" s="32">
        <f>IFERROR(__xludf.DUMMYFUNCTION("""COMPUTED_VALUE"""),20.0)</f>
        <v>20</v>
      </c>
      <c r="BF333" s="32"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32" t="str">
        <f>IFERROR(__xludf.DUMMYFUNCTION("""COMPUTED_VALUE"""),"Dungeon")</f>
        <v>Dungeon</v>
      </c>
      <c r="BH333" s="32" t="str">
        <f>IFERROR(__xludf.DUMMYFUNCTION("""COMPUTED_VALUE"""),"Land of Spira")</f>
        <v>Land of Spira</v>
      </c>
      <c r="BI333" s="32"/>
      <c r="BJ333" s="32"/>
      <c r="BK333" s="32"/>
      <c r="BL333" s="32" t="b">
        <f>IFERROR(__xludf.DUMMYFUNCTION("""COMPUTED_VALUE"""),FALSE)</f>
        <v>0</v>
      </c>
      <c r="BM333" s="32"/>
      <c r="BN333" s="32"/>
      <c r="BO333" s="32"/>
      <c r="BP333" s="32"/>
      <c r="BQ333" s="32"/>
    </row>
    <row r="334">
      <c r="A334" s="32" t="str">
        <f>IFERROR(__xludf.DUMMYFUNCTION("""COMPUTED_VALUE"""),"Trap: Pendulum")</f>
        <v>Trap: Pendulum</v>
      </c>
      <c r="B334" s="32">
        <f>IFERROR(__xludf.DUMMYFUNCTION("""COMPUTED_VALUE"""),1.0)</f>
        <v>1</v>
      </c>
      <c r="C334" s="32" t="str">
        <f>IFERROR(__xludf.DUMMYFUNCTION("""COMPUTED_VALUE"""),"A huge, curved blade mounted on a pendulum.")</f>
        <v>A huge, curved blade mounted on a pendulum.</v>
      </c>
      <c r="D334" s="32" t="str">
        <f>IFERROR(__xludf.DUMMYFUNCTION("""COMPUTED_VALUE"""),"Trap/Puzzle")</f>
        <v>Trap/Puzzle</v>
      </c>
      <c r="E334" s="32">
        <f>IFERROR(__xludf.DUMMYFUNCTION("""COMPUTED_VALUE"""),15010.0)</f>
        <v>15010</v>
      </c>
      <c r="F334" s="33">
        <f>IFERROR(__xludf.DUMMYFUNCTION("""COMPUTED_VALUE"""),1010.0)</f>
        <v>1010</v>
      </c>
      <c r="G334" s="32">
        <f>IFERROR(__xludf.DUMMYFUNCTION("""COMPUTED_VALUE"""),1010.0)</f>
        <v>1010</v>
      </c>
      <c r="H334" s="32">
        <f>IFERROR(__xludf.DUMMYFUNCTION("""COMPUTED_VALUE"""),10.0)</f>
        <v>10</v>
      </c>
      <c r="I334" s="32">
        <f>IFERROR(__xludf.DUMMYFUNCTION("""COMPUTED_VALUE"""),0.0)</f>
        <v>0</v>
      </c>
      <c r="J334" s="32">
        <f>IFERROR(__xludf.DUMMYFUNCTION("""COMPUTED_VALUE"""),0.0)</f>
        <v>0</v>
      </c>
      <c r="K334" s="32">
        <f>IFERROR(__xludf.DUMMYFUNCTION("""COMPUTED_VALUE"""),100.0)</f>
        <v>100</v>
      </c>
      <c r="L334" s="32">
        <f>IFERROR(__xludf.DUMMYFUNCTION("""COMPUTED_VALUE"""),100.0)</f>
        <v>100</v>
      </c>
      <c r="M334" s="32" t="str">
        <f>IFERROR(__xludf.DUMMYFUNCTION("""COMPUTED_VALUE"""),"")</f>
        <v/>
      </c>
      <c r="N334" s="32" t="str">
        <f>IFERROR(__xludf.DUMMYFUNCTION("""COMPUTED_VALUE"""),"")</f>
        <v/>
      </c>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f>IFERROR(__xludf.DUMMYFUNCTION("""COMPUTED_VALUE"""),0.0)</f>
        <v>0</v>
      </c>
      <c r="BE334" s="32">
        <f>IFERROR(__xludf.DUMMYFUNCTION("""COMPUTED_VALUE"""),10.0)</f>
        <v>10</v>
      </c>
      <c r="BF334" s="32" t="str">
        <f>IFERROR(__xludf.DUMMYFUNCTION("""COMPUTED_VALUE"""),"Roll evasion to avoid this trap.
Succeed = Proceed
Fail = Take undefendable  damage.")</f>
        <v>Roll evasion to avoid this trap.
Succeed = Proceed
Fail = Take undefendable  damage.</v>
      </c>
      <c r="BG334" s="32" t="str">
        <f>IFERROR(__xludf.DUMMYFUNCTION("""COMPUTED_VALUE"""),"Dungeon")</f>
        <v>Dungeon</v>
      </c>
      <c r="BH334" s="32" t="str">
        <f>IFERROR(__xludf.DUMMYFUNCTION("""COMPUTED_VALUE"""),"Land of Spira")</f>
        <v>Land of Spira</v>
      </c>
      <c r="BI334" s="32"/>
      <c r="BJ334" s="32"/>
      <c r="BK334" s="32"/>
      <c r="BL334" s="32" t="b">
        <f>IFERROR(__xludf.DUMMYFUNCTION("""COMPUTED_VALUE"""),FALSE)</f>
        <v>0</v>
      </c>
      <c r="BM334" s="32"/>
      <c r="BN334" s="32"/>
      <c r="BO334" s="32"/>
      <c r="BP334" s="32"/>
      <c r="BQ334" s="32"/>
    </row>
    <row r="335">
      <c r="A335" s="32" t="str">
        <f>IFERROR(__xludf.DUMMYFUNCTION("""COMPUTED_VALUE"""),"Trap: Moving Saw Blade")</f>
        <v>Trap: Moving Saw Blade</v>
      </c>
      <c r="B335" s="32">
        <f>IFERROR(__xludf.DUMMYFUNCTION("""COMPUTED_VALUE"""),1.0)</f>
        <v>1</v>
      </c>
      <c r="C335" s="32"/>
      <c r="D335" s="32" t="str">
        <f>IFERROR(__xludf.DUMMYFUNCTION("""COMPUTED_VALUE"""),"Trap/Puzzle")</f>
        <v>Trap/Puzzle</v>
      </c>
      <c r="E335" s="32">
        <f>IFERROR(__xludf.DUMMYFUNCTION("""COMPUTED_VALUE"""),11010.0)</f>
        <v>11010</v>
      </c>
      <c r="F335" s="33">
        <f>IFERROR(__xludf.DUMMYFUNCTION("""COMPUTED_VALUE"""),1010.0)</f>
        <v>1010</v>
      </c>
      <c r="G335" s="32">
        <f>IFERROR(__xludf.DUMMYFUNCTION("""COMPUTED_VALUE"""),1010.0)</f>
        <v>1010</v>
      </c>
      <c r="H335" s="32">
        <f>IFERROR(__xludf.DUMMYFUNCTION("""COMPUTED_VALUE"""),10.0)</f>
        <v>10</v>
      </c>
      <c r="I335" s="32">
        <f>IFERROR(__xludf.DUMMYFUNCTION("""COMPUTED_VALUE"""),0.0)</f>
        <v>0</v>
      </c>
      <c r="J335" s="32">
        <f>IFERROR(__xludf.DUMMYFUNCTION("""COMPUTED_VALUE"""),0.0)</f>
        <v>0</v>
      </c>
      <c r="K335" s="32">
        <f>IFERROR(__xludf.DUMMYFUNCTION("""COMPUTED_VALUE"""),100.0)</f>
        <v>100</v>
      </c>
      <c r="L335" s="32">
        <f>IFERROR(__xludf.DUMMYFUNCTION("""COMPUTED_VALUE"""),100.0)</f>
        <v>100</v>
      </c>
      <c r="M335" s="32" t="str">
        <f>IFERROR(__xludf.DUMMYFUNCTION("""COMPUTED_VALUE"""),"")</f>
        <v/>
      </c>
      <c r="N335" s="32" t="str">
        <f>IFERROR(__xludf.DUMMYFUNCTION("""COMPUTED_VALUE"""),"")</f>
        <v/>
      </c>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f>IFERROR(__xludf.DUMMYFUNCTION("""COMPUTED_VALUE"""),0.0)</f>
        <v>0</v>
      </c>
      <c r="BE335" s="32">
        <f>IFERROR(__xludf.DUMMYFUNCTION("""COMPUTED_VALUE"""),10.0)</f>
        <v>10</v>
      </c>
      <c r="BF335" s="32" t="str">
        <f>IFERROR(__xludf.DUMMYFUNCTION("""COMPUTED_VALUE"""),"Roll evasion to avoid this trap.
Succeed = Proceed
Fail = Take undefendable  damage.")</f>
        <v>Roll evasion to avoid this trap.
Succeed = Proceed
Fail = Take undefendable  damage.</v>
      </c>
      <c r="BG335" s="32" t="str">
        <f>IFERROR(__xludf.DUMMYFUNCTION("""COMPUTED_VALUE"""),"Dungeon")</f>
        <v>Dungeon</v>
      </c>
      <c r="BH335" s="32" t="str">
        <f>IFERROR(__xludf.DUMMYFUNCTION("""COMPUTED_VALUE"""),"Land of Spira")</f>
        <v>Land of Spira</v>
      </c>
      <c r="BI335" s="32"/>
      <c r="BJ335" s="32"/>
      <c r="BK335" s="32"/>
      <c r="BL335" s="32" t="b">
        <f>IFERROR(__xludf.DUMMYFUNCTION("""COMPUTED_VALUE"""),FALSE)</f>
        <v>0</v>
      </c>
      <c r="BM335" s="32"/>
      <c r="BN335" s="32"/>
      <c r="BO335" s="32"/>
      <c r="BP335" s="32"/>
      <c r="BQ335" s="32"/>
    </row>
    <row r="336">
      <c r="A336" s="32" t="str">
        <f>IFERROR(__xludf.DUMMYFUNCTION("""COMPUTED_VALUE"""),"Trap: Bear Trap")</f>
        <v>Trap: Bear Trap</v>
      </c>
      <c r="B336" s="32">
        <f>IFERROR(__xludf.DUMMYFUNCTION("""COMPUTED_VALUE"""),1.0)</f>
        <v>1</v>
      </c>
      <c r="C336" s="32"/>
      <c r="D336" s="32" t="str">
        <f>IFERROR(__xludf.DUMMYFUNCTION("""COMPUTED_VALUE"""),"Trap/Puzzle")</f>
        <v>Trap/Puzzle</v>
      </c>
      <c r="E336" s="32">
        <f>IFERROR(__xludf.DUMMYFUNCTION("""COMPUTED_VALUE"""),5010.0)</f>
        <v>5010</v>
      </c>
      <c r="F336" s="33">
        <f>IFERROR(__xludf.DUMMYFUNCTION("""COMPUTED_VALUE"""),1010.0)</f>
        <v>1010</v>
      </c>
      <c r="G336" s="32">
        <f>IFERROR(__xludf.DUMMYFUNCTION("""COMPUTED_VALUE"""),1010.0)</f>
        <v>1010</v>
      </c>
      <c r="H336" s="32">
        <f>IFERROR(__xludf.DUMMYFUNCTION("""COMPUTED_VALUE"""),10.0)</f>
        <v>10</v>
      </c>
      <c r="I336" s="32">
        <f>IFERROR(__xludf.DUMMYFUNCTION("""COMPUTED_VALUE"""),0.0)</f>
        <v>0</v>
      </c>
      <c r="J336" s="32">
        <f>IFERROR(__xludf.DUMMYFUNCTION("""COMPUTED_VALUE"""),0.0)</f>
        <v>0</v>
      </c>
      <c r="K336" s="32">
        <f>IFERROR(__xludf.DUMMYFUNCTION("""COMPUTED_VALUE"""),100.0)</f>
        <v>100</v>
      </c>
      <c r="L336" s="32">
        <f>IFERROR(__xludf.DUMMYFUNCTION("""COMPUTED_VALUE"""),100.0)</f>
        <v>100</v>
      </c>
      <c r="M336" s="32" t="str">
        <f>IFERROR(__xludf.DUMMYFUNCTION("""COMPUTED_VALUE"""),"")</f>
        <v/>
      </c>
      <c r="N336" s="32" t="str">
        <f>IFERROR(__xludf.DUMMYFUNCTION("""COMPUTED_VALUE"""),"")</f>
        <v/>
      </c>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f>IFERROR(__xludf.DUMMYFUNCTION("""COMPUTED_VALUE"""),0.0)</f>
        <v>0</v>
      </c>
      <c r="BE336" s="32">
        <f>IFERROR(__xludf.DUMMYFUNCTION("""COMPUTED_VALUE"""),10.0)</f>
        <v>10</v>
      </c>
      <c r="BF336" s="32" t="str">
        <f>IFERROR(__xludf.DUMMYFUNCTION("""COMPUTED_VALUE"""),"Make a wisdom check to see if you detect this trap.
Succeed = Proceed
Fail = Take undefendable  damage.")</f>
        <v>Make a wisdom check to see if you detect this trap.
Succeed = Proceed
Fail = Take undefendable  damage.</v>
      </c>
      <c r="BG336" s="32" t="str">
        <f>IFERROR(__xludf.DUMMYFUNCTION("""COMPUTED_VALUE"""),"All")</f>
        <v>All</v>
      </c>
      <c r="BH336" s="32" t="str">
        <f>IFERROR(__xludf.DUMMYFUNCTION("""COMPUTED_VALUE"""),"Land of Spira")</f>
        <v>Land of Spira</v>
      </c>
      <c r="BI336" s="32"/>
      <c r="BJ336" s="32"/>
      <c r="BK336" s="32"/>
      <c r="BL336" s="32" t="b">
        <f>IFERROR(__xludf.DUMMYFUNCTION("""COMPUTED_VALUE"""),FALSE)</f>
        <v>0</v>
      </c>
      <c r="BM336" s="32"/>
      <c r="BN336" s="32"/>
      <c r="BO336" s="32"/>
      <c r="BP336" s="32"/>
      <c r="BQ336" s="32"/>
    </row>
    <row r="337">
      <c r="A337" s="32" t="str">
        <f>IFERROR(__xludf.DUMMYFUNCTION("""COMPUTED_VALUE"""),"Trap: Pitfall")</f>
        <v>Trap: Pitfall</v>
      </c>
      <c r="B337" s="32">
        <f>IFERROR(__xludf.DUMMYFUNCTION("""COMPUTED_VALUE"""),1.0)</f>
        <v>1</v>
      </c>
      <c r="C337" s="32"/>
      <c r="D337" s="32" t="str">
        <f>IFERROR(__xludf.DUMMYFUNCTION("""COMPUTED_VALUE"""),"Trap/Puzzle")</f>
        <v>Trap/Puzzle</v>
      </c>
      <c r="E337" s="32">
        <f>IFERROR(__xludf.DUMMYFUNCTION("""COMPUTED_VALUE"""),1010.0)</f>
        <v>1010</v>
      </c>
      <c r="F337" s="33">
        <f>IFERROR(__xludf.DUMMYFUNCTION("""COMPUTED_VALUE"""),1010.0)</f>
        <v>1010</v>
      </c>
      <c r="G337" s="32">
        <f>IFERROR(__xludf.DUMMYFUNCTION("""COMPUTED_VALUE"""),1010.0)</f>
        <v>1010</v>
      </c>
      <c r="H337" s="32">
        <f>IFERROR(__xludf.DUMMYFUNCTION("""COMPUTED_VALUE"""),10.0)</f>
        <v>10</v>
      </c>
      <c r="I337" s="32">
        <f>IFERROR(__xludf.DUMMYFUNCTION("""COMPUTED_VALUE"""),0.0)</f>
        <v>0</v>
      </c>
      <c r="J337" s="32">
        <f>IFERROR(__xludf.DUMMYFUNCTION("""COMPUTED_VALUE"""),0.0)</f>
        <v>0</v>
      </c>
      <c r="K337" s="32">
        <f>IFERROR(__xludf.DUMMYFUNCTION("""COMPUTED_VALUE"""),100.0)</f>
        <v>100</v>
      </c>
      <c r="L337" s="32">
        <f>IFERROR(__xludf.DUMMYFUNCTION("""COMPUTED_VALUE"""),100.0)</f>
        <v>100</v>
      </c>
      <c r="M337" s="32" t="str">
        <f>IFERROR(__xludf.DUMMYFUNCTION("""COMPUTED_VALUE"""),"")</f>
        <v/>
      </c>
      <c r="N337" s="32" t="str">
        <f>IFERROR(__xludf.DUMMYFUNCTION("""COMPUTED_VALUE"""),"")</f>
        <v/>
      </c>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f>IFERROR(__xludf.DUMMYFUNCTION("""COMPUTED_VALUE"""),0.0)</f>
        <v>0</v>
      </c>
      <c r="BE337" s="32">
        <f>IFERROR(__xludf.DUMMYFUNCTION("""COMPUTED_VALUE"""),10.0)</f>
        <v>10</v>
      </c>
      <c r="BF337" s="32" t="str">
        <f>IFERROR(__xludf.DUMMYFUNCTION("""COMPUTED_VALUE"""),"Make a wisdom check to see if you detect this trap.
Succeed = Proceed
Fail = Take undefendable  damage.")</f>
        <v>Make a wisdom check to see if you detect this trap.
Succeed = Proceed
Fail = Take undefendable  damage.</v>
      </c>
      <c r="BG337" s="32" t="str">
        <f>IFERROR(__xludf.DUMMYFUNCTION("""COMPUTED_VALUE"""),"All")</f>
        <v>All</v>
      </c>
      <c r="BH337" s="32" t="str">
        <f>IFERROR(__xludf.DUMMYFUNCTION("""COMPUTED_VALUE"""),"Land of Spira")</f>
        <v>Land of Spira</v>
      </c>
      <c r="BI337" s="32"/>
      <c r="BJ337" s="32"/>
      <c r="BK337" s="32"/>
      <c r="BL337" s="32" t="b">
        <f>IFERROR(__xludf.DUMMYFUNCTION("""COMPUTED_VALUE"""),FALSE)</f>
        <v>0</v>
      </c>
      <c r="BM337" s="32"/>
      <c r="BN337" s="32"/>
      <c r="BO337" s="32"/>
      <c r="BP337" s="32"/>
      <c r="BQ337" s="32"/>
    </row>
    <row r="338">
      <c r="A338" s="32" t="str">
        <f>IFERROR(__xludf.DUMMYFUNCTION("""COMPUTED_VALUE"""),"Trap: Flaming Arrows")</f>
        <v>Trap: Flaming Arrows</v>
      </c>
      <c r="B338" s="32">
        <f>IFERROR(__xludf.DUMMYFUNCTION("""COMPUTED_VALUE"""),1.0)</f>
        <v>1</v>
      </c>
      <c r="C338" s="32"/>
      <c r="D338" s="33" t="str">
        <f>IFERROR(__xludf.DUMMYFUNCTION("""COMPUTED_VALUE"""),"Trap/Puzzle")</f>
        <v>Trap/Puzzle</v>
      </c>
      <c r="E338" s="33">
        <f>IFERROR(__xludf.DUMMYFUNCTION("""COMPUTED_VALUE"""),1010.0)</f>
        <v>1010</v>
      </c>
      <c r="F338" s="33">
        <f>IFERROR(__xludf.DUMMYFUNCTION("""COMPUTED_VALUE"""),5010.0)</f>
        <v>5010</v>
      </c>
      <c r="G338" s="32">
        <f>IFERROR(__xludf.DUMMYFUNCTION("""COMPUTED_VALUE"""),1010.0)</f>
        <v>1010</v>
      </c>
      <c r="H338" s="32">
        <f>IFERROR(__xludf.DUMMYFUNCTION("""COMPUTED_VALUE"""),10.0)</f>
        <v>10</v>
      </c>
      <c r="I338" s="32">
        <f>IFERROR(__xludf.DUMMYFUNCTION("""COMPUTED_VALUE"""),0.0)</f>
        <v>0</v>
      </c>
      <c r="J338" s="32">
        <f>IFERROR(__xludf.DUMMYFUNCTION("""COMPUTED_VALUE"""),0.0)</f>
        <v>0</v>
      </c>
      <c r="K338" s="32">
        <f>IFERROR(__xludf.DUMMYFUNCTION("""COMPUTED_VALUE"""),100.0)</f>
        <v>100</v>
      </c>
      <c r="L338" s="32">
        <f>IFERROR(__xludf.DUMMYFUNCTION("""COMPUTED_VALUE"""),100.0)</f>
        <v>100</v>
      </c>
      <c r="M338" s="32" t="str">
        <f>IFERROR(__xludf.DUMMYFUNCTION("""COMPUTED_VALUE"""),"")</f>
        <v/>
      </c>
      <c r="N338" s="32" t="str">
        <f>IFERROR(__xludf.DUMMYFUNCTION("""COMPUTED_VALUE"""),"")</f>
        <v/>
      </c>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f>IFERROR(__xludf.DUMMYFUNCTION("""COMPUTED_VALUE"""),0.0)</f>
        <v>0</v>
      </c>
      <c r="BE338" s="32">
        <f>IFERROR(__xludf.DUMMYFUNCTION("""COMPUTED_VALUE"""),10.0)</f>
        <v>10</v>
      </c>
      <c r="BF338" s="32" t="str">
        <f>IFERROR(__xludf.DUMMYFUNCTION("""COMPUTED_VALUE"""),"Roll evasion to avoid this trap.
Succeed = Proceed
Fail = Take undefendable fire damage.")</f>
        <v>Roll evasion to avoid this trap.
Succeed = Proceed
Fail = Take undefendable fire damage.</v>
      </c>
      <c r="BG338" s="32" t="str">
        <f>IFERROR(__xludf.DUMMYFUNCTION("""COMPUTED_VALUE"""),"All")</f>
        <v>All</v>
      </c>
      <c r="BH338" s="32" t="str">
        <f>IFERROR(__xludf.DUMMYFUNCTION("""COMPUTED_VALUE"""),"Land of Spira")</f>
        <v>Land of Spira</v>
      </c>
      <c r="BI338" s="32"/>
      <c r="BJ338" s="32"/>
      <c r="BK338" s="32"/>
      <c r="BL338" s="32" t="b">
        <f>IFERROR(__xludf.DUMMYFUNCTION("""COMPUTED_VALUE"""),FALSE)</f>
        <v>0</v>
      </c>
      <c r="BM338" s="32"/>
      <c r="BN338" s="32"/>
      <c r="BO338" s="32"/>
      <c r="BP338" s="32"/>
      <c r="BQ338" s="32"/>
    </row>
    <row r="339">
      <c r="A339" s="32" t="str">
        <f>IFERROR(__xludf.DUMMYFUNCTION("""COMPUTED_VALUE"""),"Trap: Bolder")</f>
        <v>Trap: Bolder</v>
      </c>
      <c r="B339" s="32">
        <f>IFERROR(__xludf.DUMMYFUNCTION("""COMPUTED_VALUE"""),1.0)</f>
        <v>1</v>
      </c>
      <c r="C339" s="32"/>
      <c r="D339" s="32" t="str">
        <f>IFERROR(__xludf.DUMMYFUNCTION("""COMPUTED_VALUE"""),"Trap/Puzzle")</f>
        <v>Trap/Puzzle</v>
      </c>
      <c r="E339" s="32">
        <f>IFERROR(__xludf.DUMMYFUNCTION("""COMPUTED_VALUE"""),21010.0)</f>
        <v>21010</v>
      </c>
      <c r="F339" s="33">
        <f>IFERROR(__xludf.DUMMYFUNCTION("""COMPUTED_VALUE"""),1010.0)</f>
        <v>1010</v>
      </c>
      <c r="G339" s="32">
        <f>IFERROR(__xludf.DUMMYFUNCTION("""COMPUTED_VALUE"""),1010.0)</f>
        <v>1010</v>
      </c>
      <c r="H339" s="32">
        <f>IFERROR(__xludf.DUMMYFUNCTION("""COMPUTED_VALUE"""),10.0)</f>
        <v>10</v>
      </c>
      <c r="I339" s="32">
        <f>IFERROR(__xludf.DUMMYFUNCTION("""COMPUTED_VALUE"""),0.0)</f>
        <v>0</v>
      </c>
      <c r="J339" s="32">
        <f>IFERROR(__xludf.DUMMYFUNCTION("""COMPUTED_VALUE"""),0.0)</f>
        <v>0</v>
      </c>
      <c r="K339" s="32">
        <f>IFERROR(__xludf.DUMMYFUNCTION("""COMPUTED_VALUE"""),100.0)</f>
        <v>100</v>
      </c>
      <c r="L339" s="32">
        <f>IFERROR(__xludf.DUMMYFUNCTION("""COMPUTED_VALUE"""),100.0)</f>
        <v>100</v>
      </c>
      <c r="M339" s="32" t="str">
        <f>IFERROR(__xludf.DUMMYFUNCTION("""COMPUTED_VALUE"""),"")</f>
        <v/>
      </c>
      <c r="N339" s="32" t="str">
        <f>IFERROR(__xludf.DUMMYFUNCTION("""COMPUTED_VALUE"""),"")</f>
        <v/>
      </c>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f>IFERROR(__xludf.DUMMYFUNCTION("""COMPUTED_VALUE"""),0.0)</f>
        <v>0</v>
      </c>
      <c r="BE339" s="32">
        <f>IFERROR(__xludf.DUMMYFUNCTION("""COMPUTED_VALUE"""),10.0)</f>
        <v>10</v>
      </c>
      <c r="BF339" s="32" t="str">
        <f>IFERROR(__xludf.DUMMYFUNCTION("""COMPUTED_VALUE"""),"Roll evasion to avoid this trap.
Succeed = Proceed
Fail = Take undefendable damage.")</f>
        <v>Roll evasion to avoid this trap.
Succeed = Proceed
Fail = Take undefendable damage.</v>
      </c>
      <c r="BG339" s="32" t="str">
        <f>IFERROR(__xludf.DUMMYFUNCTION("""COMPUTED_VALUE"""),"All")</f>
        <v>All</v>
      </c>
      <c r="BH339" s="32" t="str">
        <f>IFERROR(__xludf.DUMMYFUNCTION("""COMPUTED_VALUE"""),"Land of Spira")</f>
        <v>Land of Spira</v>
      </c>
      <c r="BI339" s="32"/>
      <c r="BJ339" s="32"/>
      <c r="BK339" s="32"/>
      <c r="BL339" s="32" t="b">
        <f>IFERROR(__xludf.DUMMYFUNCTION("""COMPUTED_VALUE"""),FALSE)</f>
        <v>0</v>
      </c>
      <c r="BM339" s="32"/>
      <c r="BN339" s="32"/>
      <c r="BO339" s="32"/>
      <c r="BP339" s="32"/>
      <c r="BQ339" s="32"/>
    </row>
    <row r="340">
      <c r="A340" s="32" t="str">
        <f>IFERROR(__xludf.DUMMYFUNCTION("""COMPUTED_VALUE"""),"Trap: Mimic")</f>
        <v>Trap: Mimic</v>
      </c>
      <c r="B340" s="32">
        <f>IFERROR(__xludf.DUMMYFUNCTION("""COMPUTED_VALUE"""),1.0)</f>
        <v>1</v>
      </c>
      <c r="C340" s="32"/>
      <c r="D340" s="32" t="str">
        <f>IFERROR(__xludf.DUMMYFUNCTION("""COMPUTED_VALUE"""),"Trap/Puzzle")</f>
        <v>Trap/Puzzle</v>
      </c>
      <c r="E340" s="32">
        <f>IFERROR(__xludf.DUMMYFUNCTION("""COMPUTED_VALUE"""),1010.0)</f>
        <v>1010</v>
      </c>
      <c r="F340" s="33">
        <f>IFERROR(__xludf.DUMMYFUNCTION("""COMPUTED_VALUE"""),1010.0)</f>
        <v>1010</v>
      </c>
      <c r="G340" s="32">
        <f>IFERROR(__xludf.DUMMYFUNCTION("""COMPUTED_VALUE"""),1010.0)</f>
        <v>1010</v>
      </c>
      <c r="H340" s="32">
        <f>IFERROR(__xludf.DUMMYFUNCTION("""COMPUTED_VALUE"""),10.0)</f>
        <v>10</v>
      </c>
      <c r="I340" s="32">
        <f>IFERROR(__xludf.DUMMYFUNCTION("""COMPUTED_VALUE"""),0.0)</f>
        <v>0</v>
      </c>
      <c r="J340" s="32">
        <f>IFERROR(__xludf.DUMMYFUNCTION("""COMPUTED_VALUE"""),0.0)</f>
        <v>0</v>
      </c>
      <c r="K340" s="32">
        <f>IFERROR(__xludf.DUMMYFUNCTION("""COMPUTED_VALUE"""),100.0)</f>
        <v>100</v>
      </c>
      <c r="L340" s="32">
        <f>IFERROR(__xludf.DUMMYFUNCTION("""COMPUTED_VALUE"""),100.0)</f>
        <v>100</v>
      </c>
      <c r="M340" s="32" t="str">
        <f>IFERROR(__xludf.DUMMYFUNCTION("""COMPUTED_VALUE"""),"")</f>
        <v/>
      </c>
      <c r="N340" s="32" t="str">
        <f>IFERROR(__xludf.DUMMYFUNCTION("""COMPUTED_VALUE"""),"")</f>
        <v/>
      </c>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f>IFERROR(__xludf.DUMMYFUNCTION("""COMPUTED_VALUE"""),0.0)</f>
        <v>0</v>
      </c>
      <c r="BE340" s="32">
        <f>IFERROR(__xludf.DUMMYFUNCTION("""COMPUTED_VALUE"""),10.0)</f>
        <v>10</v>
      </c>
      <c r="BF340" s="32" t="str">
        <f>IFERROR(__xludf.DUMMYFUNCTION("""COMPUTED_VALUE"""),"Make a wisdom check to see if you detect this trap.
Succeed = Proceed
Fail =  you encounter the Mimic (Mob)")</f>
        <v>Make a wisdom check to see if you detect this trap.
Succeed = Proceed
Fail =  you encounter the Mimic (Mob)</v>
      </c>
      <c r="BG340" s="32" t="str">
        <f>IFERROR(__xludf.DUMMYFUNCTION("""COMPUTED_VALUE"""),"All")</f>
        <v>All</v>
      </c>
      <c r="BH340" s="32" t="str">
        <f>IFERROR(__xludf.DUMMYFUNCTION("""COMPUTED_VALUE"""),"Land of Spira")</f>
        <v>Land of Spira</v>
      </c>
      <c r="BI340" s="32"/>
      <c r="BJ340" s="32"/>
      <c r="BK340" s="32"/>
      <c r="BL340" s="32" t="b">
        <f>IFERROR(__xludf.DUMMYFUNCTION("""COMPUTED_VALUE"""),FALSE)</f>
        <v>0</v>
      </c>
      <c r="BM340" s="32"/>
      <c r="BN340" s="32"/>
      <c r="BO340" s="32"/>
      <c r="BP340" s="32"/>
      <c r="BQ340" s="32"/>
    </row>
    <row r="341">
      <c r="A341" s="32" t="str">
        <f>IFERROR(__xludf.DUMMYFUNCTION("""COMPUTED_VALUE"""),"Mimic (Mob)")</f>
        <v>Mimic (Mob)</v>
      </c>
      <c r="B341" s="32">
        <f>IFERROR(__xludf.DUMMYFUNCTION("""COMPUTED_VALUE"""),1.0)</f>
        <v>1</v>
      </c>
      <c r="C341" s="32"/>
      <c r="D341" s="32" t="str">
        <f>IFERROR(__xludf.DUMMYFUNCTION("""COMPUTED_VALUE"""),"Construct")</f>
        <v>Construct</v>
      </c>
      <c r="E341" s="32">
        <f>IFERROR(__xludf.DUMMYFUNCTION("""COMPUTED_VALUE"""),1010.0)</f>
        <v>1010</v>
      </c>
      <c r="F341" s="33">
        <f>IFERROR(__xludf.DUMMYFUNCTION("""COMPUTED_VALUE"""),1010.0)</f>
        <v>1010</v>
      </c>
      <c r="G341" s="32">
        <f>IFERROR(__xludf.DUMMYFUNCTION("""COMPUTED_VALUE"""),1010.0)</f>
        <v>1010</v>
      </c>
      <c r="H341" s="32">
        <f>IFERROR(__xludf.DUMMYFUNCTION("""COMPUTED_VALUE"""),10.0)</f>
        <v>10</v>
      </c>
      <c r="I341" s="32">
        <f>IFERROR(__xludf.DUMMYFUNCTION("""COMPUTED_VALUE"""),0.0)</f>
        <v>0</v>
      </c>
      <c r="J341" s="32">
        <f>IFERROR(__xludf.DUMMYFUNCTION("""COMPUTED_VALUE"""),0.0)</f>
        <v>0</v>
      </c>
      <c r="K341" s="32">
        <f>IFERROR(__xludf.DUMMYFUNCTION("""COMPUTED_VALUE"""),100.0)</f>
        <v>100</v>
      </c>
      <c r="L341" s="32">
        <f>IFERROR(__xludf.DUMMYFUNCTION("""COMPUTED_VALUE"""),100.0)</f>
        <v>100</v>
      </c>
      <c r="M341" s="32" t="str">
        <f>IFERROR(__xludf.DUMMYFUNCTION("""COMPUTED_VALUE"""),"")</f>
        <v/>
      </c>
      <c r="N341" s="32" t="str">
        <f>IFERROR(__xludf.DUMMYFUNCTION("""COMPUTED_VALUE"""),"")</f>
        <v/>
      </c>
      <c r="O341" s="32"/>
      <c r="P341" s="32"/>
      <c r="Q341" s="32"/>
      <c r="R341" s="32"/>
      <c r="S341" s="32"/>
      <c r="T341" s="32"/>
      <c r="U341" s="32"/>
      <c r="V341" s="32"/>
      <c r="W341" s="32"/>
      <c r="X341" s="32"/>
      <c r="Y341" s="32"/>
      <c r="Z341" s="32"/>
      <c r="AA341" s="32"/>
      <c r="AB341" s="32"/>
      <c r="AC341" s="32"/>
      <c r="AD341" s="32"/>
      <c r="AE341" s="32"/>
      <c r="AF341" s="32"/>
      <c r="AG341" s="32"/>
      <c r="AH341" s="32"/>
      <c r="AI341" s="32"/>
      <c r="AJ341" s="32" t="str">
        <f>IFERROR(__xludf.DUMMYFUNCTION("""COMPUTED_VALUE"""),"Absorb Enemy ")</f>
        <v>Absorb Enemy </v>
      </c>
      <c r="AK341" s="32" t="str">
        <f>IFERROR(__xludf.DUMMYFUNCTION("""COMPUTED_VALUE"""),"Absorb")</f>
        <v>Absorb</v>
      </c>
      <c r="AL341" s="32" t="str">
        <f>IFERROR(__xludf.DUMMYFUNCTION("""COMPUTED_VALUE"""),"Berserk")</f>
        <v>Berserk</v>
      </c>
      <c r="AM341" s="32" t="str">
        <f>IFERROR(__xludf.DUMMYFUNCTION("""COMPUTED_VALUE"""),"Distracting Blow")</f>
        <v>Distracting Blow</v>
      </c>
      <c r="AN341" s="32" t="str">
        <f>IFERROR(__xludf.DUMMYFUNCTION("""COMPUTED_VALUE"""),"Tackle")</f>
        <v>Tackle</v>
      </c>
      <c r="AO341" s="32"/>
      <c r="AP341" s="32"/>
      <c r="AQ341" s="32"/>
      <c r="AR341" s="32"/>
      <c r="AS341" s="32"/>
      <c r="AT341" s="32"/>
      <c r="AU341" s="32"/>
      <c r="AV341" s="32"/>
      <c r="AW341" s="32"/>
      <c r="AX341" s="32"/>
      <c r="AY341" s="32"/>
      <c r="AZ341" s="32"/>
      <c r="BA341" s="32"/>
      <c r="BB341" s="32"/>
      <c r="BC341" s="32"/>
      <c r="BD341" s="32">
        <f>IFERROR(__xludf.DUMMYFUNCTION("""COMPUTED_VALUE"""),0.0)</f>
        <v>0</v>
      </c>
      <c r="BE341" s="32">
        <f>IFERROR(__xludf.DUMMYFUNCTION("""COMPUTED_VALUE"""),10.0)</f>
        <v>10</v>
      </c>
      <c r="BF341" s="32"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32" t="str">
        <f>IFERROR(__xludf.DUMMYFUNCTION("""COMPUTED_VALUE"""),"All")</f>
        <v>All</v>
      </c>
      <c r="BH341" s="32" t="str">
        <f>IFERROR(__xludf.DUMMYFUNCTION("""COMPUTED_VALUE"""),"Land of Spira")</f>
        <v>Land of Spira</v>
      </c>
      <c r="BI341" s="32"/>
      <c r="BJ341" s="32"/>
      <c r="BK341" s="32"/>
      <c r="BL341" s="32" t="b">
        <f>IFERROR(__xludf.DUMMYFUNCTION("""COMPUTED_VALUE"""),FALSE)</f>
        <v>0</v>
      </c>
      <c r="BM341" s="32"/>
      <c r="BN341" s="32"/>
      <c r="BO341" s="32"/>
      <c r="BP341" s="32"/>
      <c r="BQ341" s="32"/>
    </row>
    <row r="342">
      <c r="A342" s="32" t="str">
        <f>IFERROR(__xludf.DUMMYFUNCTION("""COMPUTED_VALUE"""),"Puzzle: Floating Underground Sphere")</f>
        <v>Puzzle: Floating Underground Sphere</v>
      </c>
      <c r="B342" s="32">
        <f>IFERROR(__xludf.DUMMYFUNCTION("""COMPUTED_VALUE"""),1.0)</f>
        <v>1</v>
      </c>
      <c r="C342" s="32"/>
      <c r="D342" s="32" t="str">
        <f>IFERROR(__xludf.DUMMYFUNCTION("""COMPUTED_VALUE"""),"Trap/Puzzle")</f>
        <v>Trap/Puzzle</v>
      </c>
      <c r="E342" s="32">
        <f>IFERROR(__xludf.DUMMYFUNCTION("""COMPUTED_VALUE"""),1010.0)</f>
        <v>1010</v>
      </c>
      <c r="F342" s="33">
        <f>IFERROR(__xludf.DUMMYFUNCTION("""COMPUTED_VALUE"""),1010.0)</f>
        <v>1010</v>
      </c>
      <c r="G342" s="32">
        <f>IFERROR(__xludf.DUMMYFUNCTION("""COMPUTED_VALUE"""),1010.0)</f>
        <v>1010</v>
      </c>
      <c r="H342" s="32">
        <f>IFERROR(__xludf.DUMMYFUNCTION("""COMPUTED_VALUE"""),10.0)</f>
        <v>10</v>
      </c>
      <c r="I342" s="32">
        <f>IFERROR(__xludf.DUMMYFUNCTION("""COMPUTED_VALUE"""),0.0)</f>
        <v>0</v>
      </c>
      <c r="J342" s="32">
        <f>IFERROR(__xludf.DUMMYFUNCTION("""COMPUTED_VALUE"""),0.0)</f>
        <v>0</v>
      </c>
      <c r="K342" s="32">
        <f>IFERROR(__xludf.DUMMYFUNCTION("""COMPUTED_VALUE"""),100.0)</f>
        <v>100</v>
      </c>
      <c r="L342" s="32">
        <f>IFERROR(__xludf.DUMMYFUNCTION("""COMPUTED_VALUE"""),100.0)</f>
        <v>100</v>
      </c>
      <c r="M342" s="32" t="str">
        <f>IFERROR(__xludf.DUMMYFUNCTION("""COMPUTED_VALUE"""),"")</f>
        <v/>
      </c>
      <c r="N342" s="32" t="str">
        <f>IFERROR(__xludf.DUMMYFUNCTION("""COMPUTED_VALUE"""),"")</f>
        <v/>
      </c>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f>IFERROR(__xludf.DUMMYFUNCTION("""COMPUTED_VALUE"""),0.0)</f>
        <v>0</v>
      </c>
      <c r="BE342" s="32">
        <f>IFERROR(__xludf.DUMMYFUNCTION("""COMPUTED_VALUE"""),0.0)</f>
        <v>0</v>
      </c>
      <c r="BF342" s="32" t="str">
        <f>IFERROR(__xludf.DUMMYFUNCTION("""COMPUTED_VALUE"""),"Make a wisdom check.
These effects are applied during the next battle:
Succeed = Truesight 1
Fail = Marked 3")</f>
        <v>Make a wisdom check.
These effects are applied during the next battle:
Succeed = Truesight 1
Fail = Marked 3</v>
      </c>
      <c r="BG342" s="32" t="str">
        <f>IFERROR(__xludf.DUMMYFUNCTION("""COMPUTED_VALUE"""),"Dungeon")</f>
        <v>Dungeon</v>
      </c>
      <c r="BH342" s="32" t="str">
        <f>IFERROR(__xludf.DUMMYFUNCTION("""COMPUTED_VALUE"""),"Land of Spira")</f>
        <v>Land of Spira</v>
      </c>
      <c r="BI342" s="32"/>
      <c r="BJ342" s="32"/>
      <c r="BK342" s="32"/>
      <c r="BL342" s="32" t="b">
        <f>IFERROR(__xludf.DUMMYFUNCTION("""COMPUTED_VALUE"""),FALSE)</f>
        <v>0</v>
      </c>
      <c r="BM342" s="32"/>
      <c r="BN342" s="32"/>
      <c r="BO342" s="32"/>
      <c r="BP342" s="32"/>
      <c r="BQ342" s="32"/>
    </row>
    <row r="343">
      <c r="A343" s="32" t="str">
        <f>IFERROR(__xludf.DUMMYFUNCTION("""COMPUTED_VALUE"""),"Puzzle: Locked Stone Platform Entrance")</f>
        <v>Puzzle: Locked Stone Platform Entrance</v>
      </c>
      <c r="B343" s="32">
        <f>IFERROR(__xludf.DUMMYFUNCTION("""COMPUTED_VALUE"""),1.0)</f>
        <v>1</v>
      </c>
      <c r="C343" s="32"/>
      <c r="D343" s="32" t="str">
        <f>IFERROR(__xludf.DUMMYFUNCTION("""COMPUTED_VALUE"""),"Trap/Puzzle")</f>
        <v>Trap/Puzzle</v>
      </c>
      <c r="E343" s="32">
        <f>IFERROR(__xludf.DUMMYFUNCTION("""COMPUTED_VALUE"""),1010.0)</f>
        <v>1010</v>
      </c>
      <c r="F343" s="33">
        <f>IFERROR(__xludf.DUMMYFUNCTION("""COMPUTED_VALUE"""),1010.0)</f>
        <v>1010</v>
      </c>
      <c r="G343" s="32">
        <f>IFERROR(__xludf.DUMMYFUNCTION("""COMPUTED_VALUE"""),1010.0)</f>
        <v>1010</v>
      </c>
      <c r="H343" s="32">
        <f>IFERROR(__xludf.DUMMYFUNCTION("""COMPUTED_VALUE"""),10.0)</f>
        <v>10</v>
      </c>
      <c r="I343" s="32">
        <f>IFERROR(__xludf.DUMMYFUNCTION("""COMPUTED_VALUE"""),0.0)</f>
        <v>0</v>
      </c>
      <c r="J343" s="32">
        <f>IFERROR(__xludf.DUMMYFUNCTION("""COMPUTED_VALUE"""),0.0)</f>
        <v>0</v>
      </c>
      <c r="K343" s="32">
        <f>IFERROR(__xludf.DUMMYFUNCTION("""COMPUTED_VALUE"""),100.0)</f>
        <v>100</v>
      </c>
      <c r="L343" s="32">
        <f>IFERROR(__xludf.DUMMYFUNCTION("""COMPUTED_VALUE"""),100.0)</f>
        <v>100</v>
      </c>
      <c r="M343" s="32" t="str">
        <f>IFERROR(__xludf.DUMMYFUNCTION("""COMPUTED_VALUE"""),"")</f>
        <v/>
      </c>
      <c r="N343" s="32" t="str">
        <f>IFERROR(__xludf.DUMMYFUNCTION("""COMPUTED_VALUE"""),"")</f>
        <v/>
      </c>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f>IFERROR(__xludf.DUMMYFUNCTION("""COMPUTED_VALUE"""),0.0)</f>
        <v>0</v>
      </c>
      <c r="BE343" s="32">
        <f>IFERROR(__xludf.DUMMYFUNCTION("""COMPUTED_VALUE"""),0.0)</f>
        <v>0</v>
      </c>
      <c r="BF343" s="32"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32" t="str">
        <f>IFERROR(__xludf.DUMMYFUNCTION("""COMPUTED_VALUE"""),"Dungeon")</f>
        <v>Dungeon</v>
      </c>
      <c r="BH343" s="32" t="str">
        <f>IFERROR(__xludf.DUMMYFUNCTION("""COMPUTED_VALUE"""),"Land of Spira")</f>
        <v>Land of Spira</v>
      </c>
      <c r="BI343" s="32"/>
      <c r="BJ343" s="32"/>
      <c r="BK343" s="32"/>
      <c r="BL343" s="32" t="b">
        <f>IFERROR(__xludf.DUMMYFUNCTION("""COMPUTED_VALUE"""),FALSE)</f>
        <v>0</v>
      </c>
      <c r="BM343" s="32"/>
      <c r="BN343" s="32"/>
      <c r="BO343" s="32"/>
      <c r="BP343" s="32"/>
      <c r="BQ343" s="32"/>
    </row>
    <row r="344">
      <c r="A344" s="32" t="str">
        <f>IFERROR(__xludf.DUMMYFUNCTION("""COMPUTED_VALUE"""),"Puzzle: Mysterious Symbol")</f>
        <v>Puzzle: Mysterious Symbol</v>
      </c>
      <c r="B344" s="32">
        <f>IFERROR(__xludf.DUMMYFUNCTION("""COMPUTED_VALUE"""),1.0)</f>
        <v>1</v>
      </c>
      <c r="C344" s="32"/>
      <c r="D344" s="32" t="str">
        <f>IFERROR(__xludf.DUMMYFUNCTION("""COMPUTED_VALUE"""),"Trap/Puzzle")</f>
        <v>Trap/Puzzle</v>
      </c>
      <c r="E344" s="32">
        <f>IFERROR(__xludf.DUMMYFUNCTION("""COMPUTED_VALUE"""),1010.0)</f>
        <v>1010</v>
      </c>
      <c r="F344" s="33">
        <f>IFERROR(__xludf.DUMMYFUNCTION("""COMPUTED_VALUE"""),1010.0)</f>
        <v>1010</v>
      </c>
      <c r="G344" s="32">
        <f>IFERROR(__xludf.DUMMYFUNCTION("""COMPUTED_VALUE"""),1010.0)</f>
        <v>1010</v>
      </c>
      <c r="H344" s="32">
        <f>IFERROR(__xludf.DUMMYFUNCTION("""COMPUTED_VALUE"""),10.0)</f>
        <v>10</v>
      </c>
      <c r="I344" s="32">
        <f>IFERROR(__xludf.DUMMYFUNCTION("""COMPUTED_VALUE"""),0.0)</f>
        <v>0</v>
      </c>
      <c r="J344" s="32">
        <f>IFERROR(__xludf.DUMMYFUNCTION("""COMPUTED_VALUE"""),0.0)</f>
        <v>0</v>
      </c>
      <c r="K344" s="32">
        <f>IFERROR(__xludf.DUMMYFUNCTION("""COMPUTED_VALUE"""),100.0)</f>
        <v>100</v>
      </c>
      <c r="L344" s="32">
        <f>IFERROR(__xludf.DUMMYFUNCTION("""COMPUTED_VALUE"""),100.0)</f>
        <v>100</v>
      </c>
      <c r="M344" s="32" t="str">
        <f>IFERROR(__xludf.DUMMYFUNCTION("""COMPUTED_VALUE"""),"")</f>
        <v/>
      </c>
      <c r="N344" s="32" t="str">
        <f>IFERROR(__xludf.DUMMYFUNCTION("""COMPUTED_VALUE"""),"")</f>
        <v/>
      </c>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f>IFERROR(__xludf.DUMMYFUNCTION("""COMPUTED_VALUE"""),0.0)</f>
        <v>0</v>
      </c>
      <c r="BE344" s="32">
        <f>IFERROR(__xludf.DUMMYFUNCTION("""COMPUTED_VALUE"""),0.0)</f>
        <v>0</v>
      </c>
      <c r="BF344" s="32"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32" t="str">
        <f>IFERROR(__xludf.DUMMYFUNCTION("""COMPUTED_VALUE"""),"Dungeon")</f>
        <v>Dungeon</v>
      </c>
      <c r="BH344" s="32" t="str">
        <f>IFERROR(__xludf.DUMMYFUNCTION("""COMPUTED_VALUE"""),"Land of Spira")</f>
        <v>Land of Spira</v>
      </c>
      <c r="BI344" s="32"/>
      <c r="BJ344" s="32"/>
      <c r="BK344" s="32"/>
      <c r="BL344" s="32" t="b">
        <f>IFERROR(__xludf.DUMMYFUNCTION("""COMPUTED_VALUE"""),FALSE)</f>
        <v>0</v>
      </c>
      <c r="BM344" s="32"/>
      <c r="BN344" s="32"/>
      <c r="BO344" s="32"/>
      <c r="BP344" s="32"/>
      <c r="BQ344" s="32"/>
    </row>
    <row r="345">
      <c r="A345" s="32" t="str">
        <f>IFERROR(__xludf.DUMMYFUNCTION("""COMPUTED_VALUE"""),"Puzzle: Ancient Stone Statue")</f>
        <v>Puzzle: Ancient Stone Statue</v>
      </c>
      <c r="B345" s="32">
        <f>IFERROR(__xludf.DUMMYFUNCTION("""COMPUTED_VALUE"""),1.0)</f>
        <v>1</v>
      </c>
      <c r="C345" s="32"/>
      <c r="D345" s="32" t="str">
        <f>IFERROR(__xludf.DUMMYFUNCTION("""COMPUTED_VALUE"""),"Trap/Puzzle")</f>
        <v>Trap/Puzzle</v>
      </c>
      <c r="E345" s="32">
        <f>IFERROR(__xludf.DUMMYFUNCTION("""COMPUTED_VALUE"""),1010.0)</f>
        <v>1010</v>
      </c>
      <c r="F345" s="33">
        <f>IFERROR(__xludf.DUMMYFUNCTION("""COMPUTED_VALUE"""),1010.0)</f>
        <v>1010</v>
      </c>
      <c r="G345" s="32">
        <f>IFERROR(__xludf.DUMMYFUNCTION("""COMPUTED_VALUE"""),1010.0)</f>
        <v>1010</v>
      </c>
      <c r="H345" s="32">
        <f>IFERROR(__xludf.DUMMYFUNCTION("""COMPUTED_VALUE"""),10.0)</f>
        <v>10</v>
      </c>
      <c r="I345" s="32">
        <f>IFERROR(__xludf.DUMMYFUNCTION("""COMPUTED_VALUE"""),0.0)</f>
        <v>0</v>
      </c>
      <c r="J345" s="32">
        <f>IFERROR(__xludf.DUMMYFUNCTION("""COMPUTED_VALUE"""),0.0)</f>
        <v>0</v>
      </c>
      <c r="K345" s="32">
        <f>IFERROR(__xludf.DUMMYFUNCTION("""COMPUTED_VALUE"""),100.0)</f>
        <v>100</v>
      </c>
      <c r="L345" s="32">
        <f>IFERROR(__xludf.DUMMYFUNCTION("""COMPUTED_VALUE"""),100.0)</f>
        <v>100</v>
      </c>
      <c r="M345" s="32" t="str">
        <f>IFERROR(__xludf.DUMMYFUNCTION("""COMPUTED_VALUE"""),"")</f>
        <v/>
      </c>
      <c r="N345" s="32" t="str">
        <f>IFERROR(__xludf.DUMMYFUNCTION("""COMPUTED_VALUE"""),"")</f>
        <v/>
      </c>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f>IFERROR(__xludf.DUMMYFUNCTION("""COMPUTED_VALUE"""),0.0)</f>
        <v>0</v>
      </c>
      <c r="BE345" s="32">
        <f>IFERROR(__xludf.DUMMYFUNCTION("""COMPUTED_VALUE"""),0.0)</f>
        <v>0</v>
      </c>
      <c r="BF345" s="32" t="str">
        <f>IFERROR(__xludf.DUMMYFUNCTION("""COMPUTED_VALUE"""),"Make a wisdom check.
Succeed = Proceed to next area.
Fail = An Acient Stone Guard engages you in battle.")</f>
        <v>Make a wisdom check.
Succeed = Proceed to next area.
Fail = An Acient Stone Guard engages you in battle.</v>
      </c>
      <c r="BG345" s="32" t="str">
        <f>IFERROR(__xludf.DUMMYFUNCTION("""COMPUTED_VALUE"""),"Dungeon")</f>
        <v>Dungeon</v>
      </c>
      <c r="BH345" s="32" t="str">
        <f>IFERROR(__xludf.DUMMYFUNCTION("""COMPUTED_VALUE"""),"Land of Spira")</f>
        <v>Land of Spira</v>
      </c>
      <c r="BI345" s="32"/>
      <c r="BJ345" s="32"/>
      <c r="BK345" s="32"/>
      <c r="BL345" s="32" t="b">
        <f>IFERROR(__xludf.DUMMYFUNCTION("""COMPUTED_VALUE"""),FALSE)</f>
        <v>0</v>
      </c>
      <c r="BM345" s="32"/>
      <c r="BN345" s="32"/>
      <c r="BO345" s="32"/>
      <c r="BP345" s="32"/>
      <c r="BQ345" s="32"/>
    </row>
    <row r="346">
      <c r="A346" s="32" t="str">
        <f>IFERROR(__xludf.DUMMYFUNCTION("""COMPUTED_VALUE"""),"Puzzle: The Chosen One")</f>
        <v>Puzzle: The Chosen One</v>
      </c>
      <c r="B346" s="32">
        <f>IFERROR(__xludf.DUMMYFUNCTION("""COMPUTED_VALUE"""),1.0)</f>
        <v>1</v>
      </c>
      <c r="C346" s="32"/>
      <c r="D346" s="32" t="str">
        <f>IFERROR(__xludf.DUMMYFUNCTION("""COMPUTED_VALUE"""),"Trap/Puzzle")</f>
        <v>Trap/Puzzle</v>
      </c>
      <c r="E346" s="32">
        <f>IFERROR(__xludf.DUMMYFUNCTION("""COMPUTED_VALUE"""),1010.0)</f>
        <v>1010</v>
      </c>
      <c r="F346" s="33">
        <f>IFERROR(__xludf.DUMMYFUNCTION("""COMPUTED_VALUE"""),1010.0)</f>
        <v>1010</v>
      </c>
      <c r="G346" s="32">
        <f>IFERROR(__xludf.DUMMYFUNCTION("""COMPUTED_VALUE"""),1010.0)</f>
        <v>1010</v>
      </c>
      <c r="H346" s="32">
        <f>IFERROR(__xludf.DUMMYFUNCTION("""COMPUTED_VALUE"""),10.0)</f>
        <v>10</v>
      </c>
      <c r="I346" s="32">
        <f>IFERROR(__xludf.DUMMYFUNCTION("""COMPUTED_VALUE"""),0.0)</f>
        <v>0</v>
      </c>
      <c r="J346" s="32">
        <f>IFERROR(__xludf.DUMMYFUNCTION("""COMPUTED_VALUE"""),0.0)</f>
        <v>0</v>
      </c>
      <c r="K346" s="32">
        <f>IFERROR(__xludf.DUMMYFUNCTION("""COMPUTED_VALUE"""),100.0)</f>
        <v>100</v>
      </c>
      <c r="L346" s="32">
        <f>IFERROR(__xludf.DUMMYFUNCTION("""COMPUTED_VALUE"""),100.0)</f>
        <v>100</v>
      </c>
      <c r="M346" s="32" t="str">
        <f>IFERROR(__xludf.DUMMYFUNCTION("""COMPUTED_VALUE"""),"")</f>
        <v/>
      </c>
      <c r="N346" s="32" t="str">
        <f>IFERROR(__xludf.DUMMYFUNCTION("""COMPUTED_VALUE"""),"")</f>
        <v/>
      </c>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f>IFERROR(__xludf.DUMMYFUNCTION("""COMPUTED_VALUE"""),5.0)</f>
        <v>5</v>
      </c>
      <c r="BE346" s="32">
        <f>IFERROR(__xludf.DUMMYFUNCTION("""COMPUTED_VALUE"""),0.0)</f>
        <v>0</v>
      </c>
      <c r="BF346" s="32" t="str">
        <f>IFERROR(__xludf.DUMMYFUNCTION("""COMPUTED_VALUE"""),"Make a wisdom check.
These effects are applied during the next battle:
Succeed = Invigorated 3
Fail = Disarm 3")</f>
        <v>Make a wisdom check.
These effects are applied during the next battle:
Succeed = Invigorated 3
Fail = Disarm 3</v>
      </c>
      <c r="BG346" s="32" t="str">
        <f>IFERROR(__xludf.DUMMYFUNCTION("""COMPUTED_VALUE"""),"Dungeon")</f>
        <v>Dungeon</v>
      </c>
      <c r="BH346" s="32" t="str">
        <f>IFERROR(__xludf.DUMMYFUNCTION("""COMPUTED_VALUE"""),"Land of Spira")</f>
        <v>Land of Spira</v>
      </c>
      <c r="BI346" s="32"/>
      <c r="BJ346" s="32"/>
      <c r="BK346" s="32"/>
      <c r="BL346" s="32" t="b">
        <f>IFERROR(__xludf.DUMMYFUNCTION("""COMPUTED_VALUE"""),FALSE)</f>
        <v>0</v>
      </c>
      <c r="BM346" s="32"/>
      <c r="BN346" s="32"/>
      <c r="BO346" s="32"/>
      <c r="BP346" s="32"/>
      <c r="BQ346" s="32"/>
    </row>
    <row r="347">
      <c r="A347" s="32" t="str">
        <f>IFERROR(__xludf.DUMMYFUNCTION("""COMPUTED_VALUE"""),"The Ambrosian Paladins")</f>
        <v>The Ambrosian Paladins</v>
      </c>
      <c r="B347" s="32">
        <f>IFERROR(__xludf.DUMMYFUNCTION("""COMPUTED_VALUE"""),1.0)</f>
        <v>1</v>
      </c>
      <c r="C347" s="32" t="str">
        <f>IFERROR(__xludf.DUMMYFUNCTION("""COMPUTED_VALUE"""),"Paladins of Dionysus spreading song and sword across Spira")</f>
        <v>Paladins of Dionysus spreading song and sword across Spira</v>
      </c>
      <c r="D347" s="32" t="str">
        <f>IFERROR(__xludf.DUMMYFUNCTION("""COMPUTED_VALUE"""),"Humanoid")</f>
        <v>Humanoid</v>
      </c>
      <c r="E347" s="32">
        <f>IFERROR(__xludf.DUMMYFUNCTION("""COMPUTED_VALUE"""),1010.0)</f>
        <v>1010</v>
      </c>
      <c r="F347" s="33">
        <f>IFERROR(__xludf.DUMMYFUNCTION("""COMPUTED_VALUE"""),1010.0)</f>
        <v>1010</v>
      </c>
      <c r="G347" s="32">
        <f>IFERROR(__xludf.DUMMYFUNCTION("""COMPUTED_VALUE"""),211010.0)</f>
        <v>211010</v>
      </c>
      <c r="H347" s="32">
        <f>IFERROR(__xludf.DUMMYFUNCTION("""COMPUTED_VALUE"""),35.0)</f>
        <v>35</v>
      </c>
      <c r="I347" s="32">
        <f>IFERROR(__xludf.DUMMYFUNCTION("""COMPUTED_VALUE"""),0.0)</f>
        <v>0</v>
      </c>
      <c r="J347" s="32">
        <f>IFERROR(__xludf.DUMMYFUNCTION("""COMPUTED_VALUE"""),0.0)</f>
        <v>0</v>
      </c>
      <c r="K347" s="32">
        <f>IFERROR(__xludf.DUMMYFUNCTION("""COMPUTED_VALUE"""),100.0)</f>
        <v>100</v>
      </c>
      <c r="L347" s="32">
        <f>IFERROR(__xludf.DUMMYFUNCTION("""COMPUTED_VALUE"""),100.0)</f>
        <v>100</v>
      </c>
      <c r="M347" s="32" t="str">
        <f>IFERROR(__xludf.DUMMYFUNCTION("""COMPUTED_VALUE"""),"Order:100, Chaos:100, ")</f>
        <v>Order:100, Chaos:100, </v>
      </c>
      <c r="N347" s="32" t="str">
        <f>IFERROR(__xludf.DUMMYFUNCTION("""COMPUTED_VALUE"""),"")</f>
        <v/>
      </c>
      <c r="O347" s="32" t="str">
        <f>IFERROR(__xludf.DUMMYFUNCTION("""COMPUTED_VALUE"""),"Minstrel's Cap")</f>
        <v>Minstrel's Cap</v>
      </c>
      <c r="P347" s="32" t="str">
        <f>IFERROR(__xludf.DUMMYFUNCTION("""COMPUTED_VALUE"""),"Wreath of The Party's Fervor")</f>
        <v>Wreath of The Party's Fervor</v>
      </c>
      <c r="Q347" s="32"/>
      <c r="R347" s="32"/>
      <c r="S347" s="32" t="str">
        <f>IFERROR(__xludf.DUMMYFUNCTION("""COMPUTED_VALUE"""),"Minstrel's Cape")</f>
        <v>Minstrel's Cape</v>
      </c>
      <c r="T347" s="32" t="str">
        <f>IFERROR(__xludf.DUMMYFUNCTION("""COMPUTED_VALUE"""),"Minstrel's Doublet")</f>
        <v>Minstrel's Doublet</v>
      </c>
      <c r="U347" s="32" t="str">
        <f>IFERROR(__xludf.DUMMYFUNCTION("""COMPUTED_VALUE"""),"Minstrel's Cuffs")</f>
        <v>Minstrel's Cuffs</v>
      </c>
      <c r="V347" s="32" t="str">
        <f>IFERROR(__xludf.DUMMYFUNCTION("""COMPUTED_VALUE"""),"Wine Stained Buckler With Portable Alcoholism")</f>
        <v>Wine Stained Buckler With Portable Alcoholism</v>
      </c>
      <c r="W347" s="32" t="str">
        <f>IFERROR(__xludf.DUMMYFUNCTION("""COMPUTED_VALUE"""),"Heavenly Lute")</f>
        <v>Heavenly Lute</v>
      </c>
      <c r="X347" s="32" t="str">
        <f>IFERROR(__xludf.DUMMYFUNCTION("""COMPUTED_VALUE"""),"Brass Ring of Blackout Drunkeness")</f>
        <v>Brass Ring of Blackout Drunkeness</v>
      </c>
      <c r="Y347" s="32"/>
      <c r="Z347" s="32"/>
      <c r="AA347" s="32"/>
      <c r="AB347" s="32"/>
      <c r="AC347" s="32"/>
      <c r="AD347" s="32"/>
      <c r="AE347" s="32"/>
      <c r="AF347" s="32"/>
      <c r="AG347" s="32"/>
      <c r="AH347" s="32" t="str">
        <f>IFERROR(__xludf.DUMMYFUNCTION("""COMPUTED_VALUE"""),"Minstrel's Tights")</f>
        <v>Minstrel's Tights</v>
      </c>
      <c r="AI347" s="32" t="str">
        <f>IFERROR(__xludf.DUMMYFUNCTION("""COMPUTED_VALUE"""),"Minstrel's Boots")</f>
        <v>Minstrel's Boots</v>
      </c>
      <c r="AJ347" s="32" t="str">
        <f>IFERROR(__xludf.DUMMYFUNCTION("""COMPUTED_VALUE"""),"Acoustic Slam")</f>
        <v>Acoustic Slam</v>
      </c>
      <c r="AK347" s="32" t="str">
        <f>IFERROR(__xludf.DUMMYFUNCTION("""COMPUTED_VALUE"""),"Amplify")</f>
        <v>Amplify</v>
      </c>
      <c r="AL347" s="32" t="str">
        <f>IFERROR(__xludf.DUMMYFUNCTION("""COMPUTED_VALUE"""),"Chant of Discomfort")</f>
        <v>Chant of Discomfort</v>
      </c>
      <c r="AM347" s="32" t="str">
        <f>IFERROR(__xludf.DUMMYFUNCTION("""COMPUTED_VALUE"""),"Chanting Destruction")</f>
        <v>Chanting Destruction</v>
      </c>
      <c r="AN347" s="32" t="str">
        <f>IFERROR(__xludf.DUMMYFUNCTION("""COMPUTED_VALUE"""),"Choir of 1000 Voices")</f>
        <v>Choir of 1000 Voices</v>
      </c>
      <c r="AO347" s="32" t="str">
        <f>IFERROR(__xludf.DUMMYFUNCTION("""COMPUTED_VALUE"""),"Dreadful's Choir")</f>
        <v>Dreadful's Choir</v>
      </c>
      <c r="AP347" s="32" t="str">
        <f>IFERROR(__xludf.DUMMYFUNCTION("""COMPUTED_VALUE"""),"Healing Melody")</f>
        <v>Healing Melody</v>
      </c>
      <c r="AQ347" s="32" t="str">
        <f>IFERROR(__xludf.DUMMYFUNCTION("""COMPUTED_VALUE"""),"Intimidating Song")</f>
        <v>Intimidating Song</v>
      </c>
      <c r="AR347" s="32" t="str">
        <f>IFERROR(__xludf.DUMMYFUNCTION("""COMPUTED_VALUE"""),"Melodic Push")</f>
        <v>Melodic Push</v>
      </c>
      <c r="AS347" s="32" t="str">
        <f>IFERROR(__xludf.DUMMYFUNCTION("""COMPUTED_VALUE"""),"Thrash Sesh")</f>
        <v>Thrash Sesh</v>
      </c>
      <c r="AT347" s="32" t="str">
        <f>IFERROR(__xludf.DUMMYFUNCTION("""COMPUTED_VALUE"""),"Multi Ward")</f>
        <v>Multi Ward</v>
      </c>
      <c r="AU347" s="32" t="str">
        <f>IFERROR(__xludf.DUMMYFUNCTION("""COMPUTED_VALUE"""),"Celestial Wrath")</f>
        <v>Celestial Wrath</v>
      </c>
      <c r="AV347" s="32" t="str">
        <f>IFERROR(__xludf.DUMMYFUNCTION("""COMPUTED_VALUE"""),"Cancel")</f>
        <v>Cancel</v>
      </c>
      <c r="AW347" s="32" t="str">
        <f>IFERROR(__xludf.DUMMYFUNCTION("""COMPUTED_VALUE"""),"Arrest")</f>
        <v>Arrest</v>
      </c>
      <c r="AX347" s="32"/>
      <c r="AY347" s="32"/>
      <c r="AZ347" s="32"/>
      <c r="BA347" s="32"/>
      <c r="BB347" s="32"/>
      <c r="BC347" s="32"/>
      <c r="BD347" s="32">
        <f>IFERROR(__xludf.DUMMYFUNCTION("""COMPUTED_VALUE"""),0.0)</f>
        <v>0</v>
      </c>
      <c r="BE347" s="32">
        <f>IFERROR(__xludf.DUMMYFUNCTION("""COMPUTED_VALUE"""),25.0)</f>
        <v>25</v>
      </c>
      <c r="BF347" s="32"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32" t="str">
        <f>IFERROR(__xludf.DUMMYFUNCTION("""COMPUTED_VALUE"""),"All")</f>
        <v>All</v>
      </c>
      <c r="BH347" s="32" t="str">
        <f>IFERROR(__xludf.DUMMYFUNCTION("""COMPUTED_VALUE"""),"Solreach")</f>
        <v>Solreach</v>
      </c>
      <c r="BI347" s="32"/>
      <c r="BJ347" s="32"/>
      <c r="BK347" s="32"/>
      <c r="BL347" s="32" t="b">
        <f>IFERROR(__xludf.DUMMYFUNCTION("""COMPUTED_VALUE"""),FALSE)</f>
        <v>0</v>
      </c>
      <c r="BM347" s="32"/>
      <c r="BN347" s="32"/>
      <c r="BO347" s="32"/>
      <c r="BP347" s="32"/>
      <c r="BQ347" s="32"/>
    </row>
    <row r="348">
      <c r="A348" s="32" t="str">
        <f>IFERROR(__xludf.DUMMYFUNCTION("""COMPUTED_VALUE"""),"Wave Rider Paladins")</f>
        <v>Wave Rider Paladins</v>
      </c>
      <c r="B348" s="32">
        <f>IFERROR(__xludf.DUMMYFUNCTION("""COMPUTED_VALUE"""),1.0)</f>
        <v>1</v>
      </c>
      <c r="C348" s="32" t="str">
        <f>IFERROR(__xludf.DUMMYFUNCTION("""COMPUTED_VALUE"""),"Paladins of Neptune")</f>
        <v>Paladins of Neptune</v>
      </c>
      <c r="D348" s="32" t="str">
        <f>IFERROR(__xludf.DUMMYFUNCTION("""COMPUTED_VALUE"""),"Humanoid")</f>
        <v>Humanoid</v>
      </c>
      <c r="E348" s="32">
        <f>IFERROR(__xludf.DUMMYFUNCTION("""COMPUTED_VALUE"""),1010.0)</f>
        <v>1010</v>
      </c>
      <c r="F348" s="33">
        <f>IFERROR(__xludf.DUMMYFUNCTION("""COMPUTED_VALUE"""),1010.0)</f>
        <v>1010</v>
      </c>
      <c r="G348" s="32">
        <f>IFERROR(__xludf.DUMMYFUNCTION("""COMPUTED_VALUE"""),1010.0)</f>
        <v>1010</v>
      </c>
      <c r="H348" s="32">
        <f>IFERROR(__xludf.DUMMYFUNCTION("""COMPUTED_VALUE"""),25.0)</f>
        <v>25</v>
      </c>
      <c r="I348" s="32">
        <f>IFERROR(__xludf.DUMMYFUNCTION("""COMPUTED_VALUE"""),0.0)</f>
        <v>0</v>
      </c>
      <c r="J348" s="32">
        <f>IFERROR(__xludf.DUMMYFUNCTION("""COMPUTED_VALUE"""),0.0)</f>
        <v>0</v>
      </c>
      <c r="K348" s="32">
        <f>IFERROR(__xludf.DUMMYFUNCTION("""COMPUTED_VALUE"""),100.0)</f>
        <v>100</v>
      </c>
      <c r="L348" s="32">
        <f>IFERROR(__xludf.DUMMYFUNCTION("""COMPUTED_VALUE"""),100.0)</f>
        <v>100</v>
      </c>
      <c r="M348" s="32" t="str">
        <f>IFERROR(__xludf.DUMMYFUNCTION("""COMPUTED_VALUE"""),"Water:Immune, Storm:Immune, Instant Death:Immune, Banishment:Immune, ")</f>
        <v>Water:Immune, Storm:Immune, Instant Death:Immune, Banishment:Immune, </v>
      </c>
      <c r="N348" s="32" t="str">
        <f>IFERROR(__xludf.DUMMYFUNCTION("""COMPUTED_VALUE"""),"Nature:100, ")</f>
        <v>Nature:100, </v>
      </c>
      <c r="O348" s="32" t="str">
        <f>IFERROR(__xludf.DUMMYFUNCTION("""COMPUTED_VALUE"""),"Aquatic Helmet of Atlantis")</f>
        <v>Aquatic Helmet of Atlantis</v>
      </c>
      <c r="P348" s="32"/>
      <c r="Q348" s="32"/>
      <c r="R348" s="32"/>
      <c r="S348" s="32" t="str">
        <f>IFERROR(__xludf.DUMMYFUNCTION("""COMPUTED_VALUE"""),"Aquatic Pauldrons of Atlantis")</f>
        <v>Aquatic Pauldrons of Atlantis</v>
      </c>
      <c r="T348" s="32" t="str">
        <f>IFERROR(__xludf.DUMMYFUNCTION("""COMPUTED_VALUE"""),"Aquatic Chestplate of Atlantis")</f>
        <v>Aquatic Chestplate of Atlantis</v>
      </c>
      <c r="U348" s="32" t="str">
        <f>IFERROR(__xludf.DUMMYFUNCTION("""COMPUTED_VALUE"""),"Aquatic Vambraces of Atlantis")</f>
        <v>Aquatic Vambraces of Atlantis</v>
      </c>
      <c r="V348" s="32"/>
      <c r="W348" s="32" t="str">
        <f>IFERROR(__xludf.DUMMYFUNCTION("""COMPUTED_VALUE"""),"Aquatic Sword of Atlantis")</f>
        <v>Aquatic Sword of Atlantis</v>
      </c>
      <c r="X348" s="32"/>
      <c r="Y348" s="32"/>
      <c r="Z348" s="32"/>
      <c r="AA348" s="32"/>
      <c r="AB348" s="32"/>
      <c r="AC348" s="32"/>
      <c r="AD348" s="32"/>
      <c r="AE348" s="32"/>
      <c r="AF348" s="32"/>
      <c r="AG348" s="32"/>
      <c r="AH348" s="32" t="str">
        <f>IFERROR(__xludf.DUMMYFUNCTION("""COMPUTED_VALUE"""),"Aquatic Greaves of Atlantis")</f>
        <v>Aquatic Greaves of Atlantis</v>
      </c>
      <c r="AI348" s="32" t="str">
        <f>IFERROR(__xludf.DUMMYFUNCTION("""COMPUTED_VALUE"""),"Aquatic Boots of Atlantis")</f>
        <v>Aquatic Boots of Atlantis</v>
      </c>
      <c r="AJ348" s="32" t="str">
        <f>IFERROR(__xludf.DUMMYFUNCTION("""COMPUTED_VALUE"""),"Frostbite")</f>
        <v>Frostbite</v>
      </c>
      <c r="AK348" s="32" t="str">
        <f>IFERROR(__xludf.DUMMYFUNCTION("""COMPUTED_VALUE"""),"Deep Freeze")</f>
        <v>Deep Freeze</v>
      </c>
      <c r="AL348" s="32" t="str">
        <f>IFERROR(__xludf.DUMMYFUNCTION("""COMPUTED_VALUE"""),"Torrential Downpour")</f>
        <v>Torrential Downpour</v>
      </c>
      <c r="AM348" s="32" t="str">
        <f>IFERROR(__xludf.DUMMYFUNCTION("""COMPUTED_VALUE"""),"Crashing Waves")</f>
        <v>Crashing Waves</v>
      </c>
      <c r="AN348" s="32" t="str">
        <f>IFERROR(__xludf.DUMMYFUNCTION("""COMPUTED_VALUE"""),"Berserk")</f>
        <v>Berserk</v>
      </c>
      <c r="AO348" s="32" t="str">
        <f>IFERROR(__xludf.DUMMYFUNCTION("""COMPUTED_VALUE"""),"Celestial Wrath")</f>
        <v>Celestial Wrath</v>
      </c>
      <c r="AP348" s="32" t="str">
        <f>IFERROR(__xludf.DUMMYFUNCTION("""COMPUTED_VALUE"""),"Water Ward")</f>
        <v>Water Ward</v>
      </c>
      <c r="AQ348" s="32" t="str">
        <f>IFERROR(__xludf.DUMMYFUNCTION("""COMPUTED_VALUE"""),"Multishot")</f>
        <v>Multishot</v>
      </c>
      <c r="AR348" s="32" t="str">
        <f>IFERROR(__xludf.DUMMYFUNCTION("""COMPUTED_VALUE"""),"Cancel")</f>
        <v>Cancel</v>
      </c>
      <c r="AS348" s="32" t="str">
        <f>IFERROR(__xludf.DUMMYFUNCTION("""COMPUTED_VALUE"""),"Arrest")</f>
        <v>Arrest</v>
      </c>
      <c r="AT348" s="32"/>
      <c r="AU348" s="32"/>
      <c r="AV348" s="32"/>
      <c r="AW348" s="32"/>
      <c r="AX348" s="32"/>
      <c r="AY348" s="32"/>
      <c r="AZ348" s="32"/>
      <c r="BA348" s="32"/>
      <c r="BB348" s="32"/>
      <c r="BC348" s="32"/>
      <c r="BD348" s="32">
        <f>IFERROR(__xludf.DUMMYFUNCTION("""COMPUTED_VALUE"""),0.0)</f>
        <v>0</v>
      </c>
      <c r="BE348" s="32">
        <f>IFERROR(__xludf.DUMMYFUNCTION("""COMPUTED_VALUE"""),15.0)</f>
        <v>15</v>
      </c>
      <c r="BF348" s="32"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32" t="str">
        <f>IFERROR(__xludf.DUMMYFUNCTION("""COMPUTED_VALUE"""),"All")</f>
        <v>All</v>
      </c>
      <c r="BH348" s="32" t="str">
        <f>IFERROR(__xludf.DUMMYFUNCTION("""COMPUTED_VALUE"""),"Dragonscale Island")</f>
        <v>Dragonscale Island</v>
      </c>
      <c r="BI348" s="32"/>
      <c r="BJ348" s="32"/>
      <c r="BK348" s="32"/>
      <c r="BL348" s="32" t="b">
        <f>IFERROR(__xludf.DUMMYFUNCTION("""COMPUTED_VALUE"""),FALSE)</f>
        <v>0</v>
      </c>
      <c r="BM348" s="32"/>
      <c r="BN348" s="32"/>
      <c r="BO348" s="32"/>
      <c r="BP348" s="32"/>
      <c r="BQ348" s="32"/>
    </row>
    <row r="349">
      <c r="A349" s="32" t="str">
        <f>IFERROR(__xludf.DUMMYFUNCTION("""COMPUTED_VALUE"""),"Urchin Swiffer Paladins")</f>
        <v>Urchin Swiffer Paladins</v>
      </c>
      <c r="B349" s="32">
        <f>IFERROR(__xludf.DUMMYFUNCTION("""COMPUTED_VALUE"""),1.0)</f>
        <v>1</v>
      </c>
      <c r="C349" s="32" t="str">
        <f>IFERROR(__xludf.DUMMYFUNCTION("""COMPUTED_VALUE"""),"Paladins of Poseidon")</f>
        <v>Paladins of Poseidon</v>
      </c>
      <c r="D349" s="32" t="str">
        <f>IFERROR(__xludf.DUMMYFUNCTION("""COMPUTED_VALUE"""),"Humanoid")</f>
        <v>Humanoid</v>
      </c>
      <c r="E349" s="32">
        <f>IFERROR(__xludf.DUMMYFUNCTION("""COMPUTED_VALUE"""),1010.0)</f>
        <v>1010</v>
      </c>
      <c r="F349" s="33">
        <f>IFERROR(__xludf.DUMMYFUNCTION("""COMPUTED_VALUE"""),1010.0)</f>
        <v>1010</v>
      </c>
      <c r="G349" s="32">
        <f>IFERROR(__xludf.DUMMYFUNCTION("""COMPUTED_VALUE"""),1010.0)</f>
        <v>1010</v>
      </c>
      <c r="H349" s="32">
        <f>IFERROR(__xludf.DUMMYFUNCTION("""COMPUTED_VALUE"""),25.0)</f>
        <v>25</v>
      </c>
      <c r="I349" s="32">
        <f>IFERROR(__xludf.DUMMYFUNCTION("""COMPUTED_VALUE"""),0.0)</f>
        <v>0</v>
      </c>
      <c r="J349" s="32">
        <f>IFERROR(__xludf.DUMMYFUNCTION("""COMPUTED_VALUE"""),0.0)</f>
        <v>0</v>
      </c>
      <c r="K349" s="32">
        <f>IFERROR(__xludf.DUMMYFUNCTION("""COMPUTED_VALUE"""),100.0)</f>
        <v>100</v>
      </c>
      <c r="L349" s="32">
        <f>IFERROR(__xludf.DUMMYFUNCTION("""COMPUTED_VALUE"""),100.0)</f>
        <v>100</v>
      </c>
      <c r="M349" s="32" t="str">
        <f>IFERROR(__xludf.DUMMYFUNCTION("""COMPUTED_VALUE"""),"Water:Immune, Storm:Immune, Instant Death:Immune, Banishment:Immune, ")</f>
        <v>Water:Immune, Storm:Immune, Instant Death:Immune, Banishment:Immune, </v>
      </c>
      <c r="N349" s="32" t="str">
        <f>IFERROR(__xludf.DUMMYFUNCTION("""COMPUTED_VALUE"""),"Nature:100, ")</f>
        <v>Nature:100, </v>
      </c>
      <c r="O349" s="32" t="str">
        <f>IFERROR(__xludf.DUMMYFUNCTION("""COMPUTED_VALUE"""),"Aquatic Helmet of Atlantis")</f>
        <v>Aquatic Helmet of Atlantis</v>
      </c>
      <c r="P349" s="32"/>
      <c r="Q349" s="32"/>
      <c r="R349" s="32"/>
      <c r="S349" s="32" t="str">
        <f>IFERROR(__xludf.DUMMYFUNCTION("""COMPUTED_VALUE"""),"Aquatic Pauldrons of Atlantis")</f>
        <v>Aquatic Pauldrons of Atlantis</v>
      </c>
      <c r="T349" s="32" t="str">
        <f>IFERROR(__xludf.DUMMYFUNCTION("""COMPUTED_VALUE"""),"Aquatic Chestplate of Atlantis")</f>
        <v>Aquatic Chestplate of Atlantis</v>
      </c>
      <c r="U349" s="32" t="str">
        <f>IFERROR(__xludf.DUMMYFUNCTION("""COMPUTED_VALUE"""),"Aquatic Vambraces of Atlantis")</f>
        <v>Aquatic Vambraces of Atlantis</v>
      </c>
      <c r="V349" s="32"/>
      <c r="W349" s="32" t="str">
        <f>IFERROR(__xludf.DUMMYFUNCTION("""COMPUTED_VALUE"""),"Aquatic Sword of Atlantis")</f>
        <v>Aquatic Sword of Atlantis</v>
      </c>
      <c r="X349" s="32"/>
      <c r="Y349" s="32"/>
      <c r="Z349" s="32"/>
      <c r="AA349" s="32"/>
      <c r="AB349" s="32"/>
      <c r="AC349" s="32"/>
      <c r="AD349" s="32"/>
      <c r="AE349" s="32"/>
      <c r="AF349" s="32"/>
      <c r="AG349" s="32"/>
      <c r="AH349" s="32" t="str">
        <f>IFERROR(__xludf.DUMMYFUNCTION("""COMPUTED_VALUE"""),"Aquatic Greaves of Atlantis")</f>
        <v>Aquatic Greaves of Atlantis</v>
      </c>
      <c r="AI349" s="32" t="str">
        <f>IFERROR(__xludf.DUMMYFUNCTION("""COMPUTED_VALUE"""),"Aquatic Boots of Atlantis")</f>
        <v>Aquatic Boots of Atlantis</v>
      </c>
      <c r="AJ349" s="32" t="str">
        <f>IFERROR(__xludf.DUMMYFUNCTION("""COMPUTED_VALUE"""),"Frostbite")</f>
        <v>Frostbite</v>
      </c>
      <c r="AK349" s="32" t="str">
        <f>IFERROR(__xludf.DUMMYFUNCTION("""COMPUTED_VALUE"""),"Deep Freeze")</f>
        <v>Deep Freeze</v>
      </c>
      <c r="AL349" s="32" t="str">
        <f>IFERROR(__xludf.DUMMYFUNCTION("""COMPUTED_VALUE"""),"Torrential Downpour")</f>
        <v>Torrential Downpour</v>
      </c>
      <c r="AM349" s="32" t="str">
        <f>IFERROR(__xludf.DUMMYFUNCTION("""COMPUTED_VALUE"""),"Crashing Waves")</f>
        <v>Crashing Waves</v>
      </c>
      <c r="AN349" s="32" t="str">
        <f>IFERROR(__xludf.DUMMYFUNCTION("""COMPUTED_VALUE"""),"Berserk")</f>
        <v>Berserk</v>
      </c>
      <c r="AO349" s="32" t="str">
        <f>IFERROR(__xludf.DUMMYFUNCTION("""COMPUTED_VALUE"""),"Celestial Wrath")</f>
        <v>Celestial Wrath</v>
      </c>
      <c r="AP349" s="32" t="str">
        <f>IFERROR(__xludf.DUMMYFUNCTION("""COMPUTED_VALUE"""),"Water Ward")</f>
        <v>Water Ward</v>
      </c>
      <c r="AQ349" s="32" t="str">
        <f>IFERROR(__xludf.DUMMYFUNCTION("""COMPUTED_VALUE"""),"Multishot")</f>
        <v>Multishot</v>
      </c>
      <c r="AR349" s="32" t="str">
        <f>IFERROR(__xludf.DUMMYFUNCTION("""COMPUTED_VALUE"""),"Cancel")</f>
        <v>Cancel</v>
      </c>
      <c r="AS349" s="32" t="str">
        <f>IFERROR(__xludf.DUMMYFUNCTION("""COMPUTED_VALUE"""),"Arrest")</f>
        <v>Arrest</v>
      </c>
      <c r="AT349" s="32"/>
      <c r="AU349" s="32"/>
      <c r="AV349" s="32"/>
      <c r="AW349" s="32"/>
      <c r="AX349" s="32"/>
      <c r="AY349" s="32"/>
      <c r="AZ349" s="32"/>
      <c r="BA349" s="32"/>
      <c r="BB349" s="32"/>
      <c r="BC349" s="32"/>
      <c r="BD349" s="32">
        <f>IFERROR(__xludf.DUMMYFUNCTION("""COMPUTED_VALUE"""),0.0)</f>
        <v>0</v>
      </c>
      <c r="BE349" s="32">
        <f>IFERROR(__xludf.DUMMYFUNCTION("""COMPUTED_VALUE"""),15.0)</f>
        <v>15</v>
      </c>
      <c r="BF349" s="32"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32" t="str">
        <f>IFERROR(__xludf.DUMMYFUNCTION("""COMPUTED_VALUE"""),"All")</f>
        <v>All</v>
      </c>
      <c r="BH349" s="32" t="str">
        <f>IFERROR(__xludf.DUMMYFUNCTION("""COMPUTED_VALUE"""),"Land of Spira")</f>
        <v>Land of Spira</v>
      </c>
      <c r="BI349" s="32"/>
      <c r="BJ349" s="32"/>
      <c r="BK349" s="32"/>
      <c r="BL349" s="32" t="b">
        <f>IFERROR(__xludf.DUMMYFUNCTION("""COMPUTED_VALUE"""),FALSE)</f>
        <v>0</v>
      </c>
      <c r="BM349" s="32"/>
      <c r="BN349" s="32"/>
      <c r="BO349" s="32"/>
      <c r="BP349" s="32"/>
      <c r="BQ349" s="32"/>
    </row>
    <row r="350">
      <c r="A350" s="32" t="str">
        <f>IFERROR(__xludf.DUMMYFUNCTION("""COMPUTED_VALUE"""),"Poseidon, God of Tritonoch")</f>
        <v>Poseidon, God of Tritonoch</v>
      </c>
      <c r="B350" s="32">
        <f>IFERROR(__xludf.DUMMYFUNCTION("""COMPUTED_VALUE"""),1.0)</f>
        <v>1</v>
      </c>
      <c r="C350" s="32"/>
      <c r="D350" s="32" t="str">
        <f>IFERROR(__xludf.DUMMYFUNCTION("""COMPUTED_VALUE"""),"God")</f>
        <v>God</v>
      </c>
      <c r="E350" s="32">
        <f>IFERROR(__xludf.DUMMYFUNCTION("""COMPUTED_VALUE"""),1010.0)</f>
        <v>1010</v>
      </c>
      <c r="F350" s="33">
        <f>IFERROR(__xludf.DUMMYFUNCTION("""COMPUTED_VALUE"""),1010.0)</f>
        <v>1010</v>
      </c>
      <c r="G350" s="32">
        <f>IFERROR(__xludf.DUMMYFUNCTION("""COMPUTED_VALUE"""),1010.0)</f>
        <v>1010</v>
      </c>
      <c r="H350" s="32">
        <f>IFERROR(__xludf.DUMMYFUNCTION("""COMPUTED_VALUE"""),25.0)</f>
        <v>25</v>
      </c>
      <c r="I350" s="32">
        <f>IFERROR(__xludf.DUMMYFUNCTION("""COMPUTED_VALUE"""),0.0)</f>
        <v>0</v>
      </c>
      <c r="J350" s="32">
        <f>IFERROR(__xludf.DUMMYFUNCTION("""COMPUTED_VALUE"""),0.0)</f>
        <v>0</v>
      </c>
      <c r="K350" s="32">
        <f>IFERROR(__xludf.DUMMYFUNCTION("""COMPUTED_VALUE"""),100.0)</f>
        <v>100</v>
      </c>
      <c r="L350" s="32">
        <f>IFERROR(__xludf.DUMMYFUNCTION("""COMPUTED_VALUE"""),100.0)</f>
        <v>100</v>
      </c>
      <c r="M350" s="32" t="str">
        <f>IFERROR(__xludf.DUMMYFUNCTION("""COMPUTED_VALUE"""),"")</f>
        <v/>
      </c>
      <c r="N350" s="32" t="str">
        <f>IFERROR(__xludf.DUMMYFUNCTION("""COMPUTED_VALUE"""),"Celestial:100, ")</f>
        <v>Celestial:100, </v>
      </c>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t="str">
        <f>IFERROR(__xludf.DUMMYFUNCTION("""COMPUTED_VALUE"""),"Torrential Downpour")</f>
        <v>Torrential Downpour</v>
      </c>
      <c r="AM350" s="32" t="str">
        <f>IFERROR(__xludf.DUMMYFUNCTION("""COMPUTED_VALUE"""),"Crashing Waves")</f>
        <v>Crashing Waves</v>
      </c>
      <c r="AN350" s="32" t="str">
        <f>IFERROR(__xludf.DUMMYFUNCTION("""COMPUTED_VALUE"""),"Berserk")</f>
        <v>Berserk</v>
      </c>
      <c r="AO350" s="32" t="str">
        <f>IFERROR(__xludf.DUMMYFUNCTION("""COMPUTED_VALUE"""),"Mass Destruction")</f>
        <v>Mass Destruction</v>
      </c>
      <c r="AP350" s="32" t="str">
        <f>IFERROR(__xludf.DUMMYFUNCTION("""COMPUTED_VALUE"""),"Water Ward")</f>
        <v>Water Ward</v>
      </c>
      <c r="AQ350" s="32" t="str">
        <f>IFERROR(__xludf.DUMMYFUNCTION("""COMPUTED_VALUE"""),"Multishot")</f>
        <v>Multishot</v>
      </c>
      <c r="AR350" s="32" t="str">
        <f>IFERROR(__xludf.DUMMYFUNCTION("""COMPUTED_VALUE"""),"Cancel")</f>
        <v>Cancel</v>
      </c>
      <c r="AS350" s="32"/>
      <c r="AT350" s="32"/>
      <c r="AU350" s="32"/>
      <c r="AV350" s="32"/>
      <c r="AW350" s="32"/>
      <c r="AX350" s="32"/>
      <c r="AY350" s="32"/>
      <c r="AZ350" s="32"/>
      <c r="BA350" s="32"/>
      <c r="BB350" s="32"/>
      <c r="BC350" s="32"/>
      <c r="BD350" s="32">
        <f>IFERROR(__xludf.DUMMYFUNCTION("""COMPUTED_VALUE"""),0.0)</f>
        <v>0</v>
      </c>
      <c r="BE350" s="32">
        <f>IFERROR(__xludf.DUMMYFUNCTION("""COMPUTED_VALUE"""),15.0)</f>
        <v>15</v>
      </c>
      <c r="BF350" s="32"/>
      <c r="BG350" s="32"/>
      <c r="BH350" s="32" t="str">
        <f>IFERROR(__xludf.DUMMYFUNCTION("""COMPUTED_VALUE"""),"Land of Spira")</f>
        <v>Land of Spira</v>
      </c>
      <c r="BI350" s="32"/>
      <c r="BJ350" s="32"/>
      <c r="BK350" s="32"/>
      <c r="BL350" s="32" t="b">
        <f>IFERROR(__xludf.DUMMYFUNCTION("""COMPUTED_VALUE"""),FALSE)</f>
        <v>0</v>
      </c>
      <c r="BM350" s="32"/>
      <c r="BN350" s="32"/>
      <c r="BO350" s="32"/>
      <c r="BP350" s="32"/>
      <c r="BQ350" s="32"/>
    </row>
    <row r="351">
      <c r="A351" s="32" t="str">
        <f>IFERROR(__xludf.DUMMYFUNCTION("""COMPUTED_VALUE"""),"Neptune, God of Atlotopia")</f>
        <v>Neptune, God of Atlotopia</v>
      </c>
      <c r="B351" s="32">
        <f>IFERROR(__xludf.DUMMYFUNCTION("""COMPUTED_VALUE"""),1.0)</f>
        <v>1</v>
      </c>
      <c r="C351" s="32"/>
      <c r="D351" s="32" t="str">
        <f>IFERROR(__xludf.DUMMYFUNCTION("""COMPUTED_VALUE"""),"God")</f>
        <v>God</v>
      </c>
      <c r="E351" s="32">
        <f>IFERROR(__xludf.DUMMYFUNCTION("""COMPUTED_VALUE"""),1010.0)</f>
        <v>1010</v>
      </c>
      <c r="F351" s="33">
        <f>IFERROR(__xludf.DUMMYFUNCTION("""COMPUTED_VALUE"""),1010.0)</f>
        <v>1010</v>
      </c>
      <c r="G351" s="32">
        <f>IFERROR(__xludf.DUMMYFUNCTION("""COMPUTED_VALUE"""),1010.0)</f>
        <v>1010</v>
      </c>
      <c r="H351" s="32">
        <f>IFERROR(__xludf.DUMMYFUNCTION("""COMPUTED_VALUE"""),25.0)</f>
        <v>25</v>
      </c>
      <c r="I351" s="32">
        <f>IFERROR(__xludf.DUMMYFUNCTION("""COMPUTED_VALUE"""),0.0)</f>
        <v>0</v>
      </c>
      <c r="J351" s="32">
        <f>IFERROR(__xludf.DUMMYFUNCTION("""COMPUTED_VALUE"""),0.0)</f>
        <v>0</v>
      </c>
      <c r="K351" s="32">
        <f>IFERROR(__xludf.DUMMYFUNCTION("""COMPUTED_VALUE"""),100.0)</f>
        <v>100</v>
      </c>
      <c r="L351" s="32">
        <f>IFERROR(__xludf.DUMMYFUNCTION("""COMPUTED_VALUE"""),100.0)</f>
        <v>100</v>
      </c>
      <c r="M351" s="32" t="str">
        <f>IFERROR(__xludf.DUMMYFUNCTION("""COMPUTED_VALUE"""),"")</f>
        <v/>
      </c>
      <c r="N351" s="32" t="str">
        <f>IFERROR(__xludf.DUMMYFUNCTION("""COMPUTED_VALUE"""),"Celestial:100, ")</f>
        <v>Celestial:100, </v>
      </c>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t="str">
        <f>IFERROR(__xludf.DUMMYFUNCTION("""COMPUTED_VALUE"""),"Torrential Downpour")</f>
        <v>Torrential Downpour</v>
      </c>
      <c r="AM351" s="32" t="str">
        <f>IFERROR(__xludf.DUMMYFUNCTION("""COMPUTED_VALUE"""),"Crashing Waves")</f>
        <v>Crashing Waves</v>
      </c>
      <c r="AN351" s="32" t="str">
        <f>IFERROR(__xludf.DUMMYFUNCTION("""COMPUTED_VALUE"""),"Berserk")</f>
        <v>Berserk</v>
      </c>
      <c r="AO351" s="32" t="str">
        <f>IFERROR(__xludf.DUMMYFUNCTION("""COMPUTED_VALUE"""),"Mass Destruction")</f>
        <v>Mass Destruction</v>
      </c>
      <c r="AP351" s="32" t="str">
        <f>IFERROR(__xludf.DUMMYFUNCTION("""COMPUTED_VALUE"""),"Water Ward")</f>
        <v>Water Ward</v>
      </c>
      <c r="AQ351" s="32" t="str">
        <f>IFERROR(__xludf.DUMMYFUNCTION("""COMPUTED_VALUE"""),"Multishot")</f>
        <v>Multishot</v>
      </c>
      <c r="AR351" s="32" t="str">
        <f>IFERROR(__xludf.DUMMYFUNCTION("""COMPUTED_VALUE"""),"Cancel")</f>
        <v>Cancel</v>
      </c>
      <c r="AS351" s="32"/>
      <c r="AT351" s="32"/>
      <c r="AU351" s="32"/>
      <c r="AV351" s="32"/>
      <c r="AW351" s="32"/>
      <c r="AX351" s="32"/>
      <c r="AY351" s="32"/>
      <c r="AZ351" s="32"/>
      <c r="BA351" s="32"/>
      <c r="BB351" s="32"/>
      <c r="BC351" s="32"/>
      <c r="BD351" s="32">
        <f>IFERROR(__xludf.DUMMYFUNCTION("""COMPUTED_VALUE"""),0.0)</f>
        <v>0</v>
      </c>
      <c r="BE351" s="32">
        <f>IFERROR(__xludf.DUMMYFUNCTION("""COMPUTED_VALUE"""),15.0)</f>
        <v>15</v>
      </c>
      <c r="BF351" s="32"/>
      <c r="BG351" s="32"/>
      <c r="BH351" s="32" t="str">
        <f>IFERROR(__xludf.DUMMYFUNCTION("""COMPUTED_VALUE"""),"Dragonscale Island")</f>
        <v>Dragonscale Island</v>
      </c>
      <c r="BI351" s="32"/>
      <c r="BJ351" s="32"/>
      <c r="BK351" s="32"/>
      <c r="BL351" s="32" t="b">
        <f>IFERROR(__xludf.DUMMYFUNCTION("""COMPUTED_VALUE"""),FALSE)</f>
        <v>0</v>
      </c>
      <c r="BM351" s="32"/>
      <c r="BN351" s="32"/>
      <c r="BO351" s="32"/>
      <c r="BP351" s="32"/>
      <c r="BQ351" s="32"/>
    </row>
    <row r="352">
      <c r="A352" s="32" t="str">
        <f>IFERROR(__xludf.DUMMYFUNCTION("""COMPUTED_VALUE"""),"Dionysus, The Eternal Party")</f>
        <v>Dionysus, The Eternal Party</v>
      </c>
      <c r="B352" s="32">
        <f>IFERROR(__xludf.DUMMYFUNCTION("""COMPUTED_VALUE"""),1.0)</f>
        <v>1</v>
      </c>
      <c r="C352" s="32"/>
      <c r="D352" s="32" t="str">
        <f>IFERROR(__xludf.DUMMYFUNCTION("""COMPUTED_VALUE"""),"God")</f>
        <v>God</v>
      </c>
      <c r="E352" s="32">
        <f>IFERROR(__xludf.DUMMYFUNCTION("""COMPUTED_VALUE"""),1010.0)</f>
        <v>1010</v>
      </c>
      <c r="F352" s="33">
        <f>IFERROR(__xludf.DUMMYFUNCTION("""COMPUTED_VALUE"""),1010.0)</f>
        <v>1010</v>
      </c>
      <c r="G352" s="32">
        <f>IFERROR(__xludf.DUMMYFUNCTION("""COMPUTED_VALUE"""),1010.0)</f>
        <v>1010</v>
      </c>
      <c r="H352" s="32">
        <f>IFERROR(__xludf.DUMMYFUNCTION("""COMPUTED_VALUE"""),35.0)</f>
        <v>35</v>
      </c>
      <c r="I352" s="32">
        <f>IFERROR(__xludf.DUMMYFUNCTION("""COMPUTED_VALUE"""),0.0)</f>
        <v>0</v>
      </c>
      <c r="J352" s="32">
        <f>IFERROR(__xludf.DUMMYFUNCTION("""COMPUTED_VALUE"""),0.0)</f>
        <v>0</v>
      </c>
      <c r="K352" s="32">
        <f>IFERROR(__xludf.DUMMYFUNCTION("""COMPUTED_VALUE"""),100.0)</f>
        <v>100</v>
      </c>
      <c r="L352" s="32">
        <f>IFERROR(__xludf.DUMMYFUNCTION("""COMPUTED_VALUE"""),100.0)</f>
        <v>100</v>
      </c>
      <c r="M352" s="32" t="str">
        <f>IFERROR(__xludf.DUMMYFUNCTION("""COMPUTED_VALUE"""),"")</f>
        <v/>
      </c>
      <c r="N352" s="32" t="str">
        <f>IFERROR(__xludf.DUMMYFUNCTION("""COMPUTED_VALUE"""),"Celestial:100, ")</f>
        <v>Celestial:100, </v>
      </c>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t="str">
        <f>IFERROR(__xludf.DUMMYFUNCTION("""COMPUTED_VALUE"""),"Cancel")</f>
        <v>Cancel</v>
      </c>
      <c r="AS352" s="32"/>
      <c r="AT352" s="32"/>
      <c r="AU352" s="32"/>
      <c r="AV352" s="32"/>
      <c r="AW352" s="32"/>
      <c r="AX352" s="32"/>
      <c r="AY352" s="32"/>
      <c r="AZ352" s="32"/>
      <c r="BA352" s="32"/>
      <c r="BB352" s="32"/>
      <c r="BC352" s="32"/>
      <c r="BD352" s="32">
        <f>IFERROR(__xludf.DUMMYFUNCTION("""COMPUTED_VALUE"""),0.0)</f>
        <v>0</v>
      </c>
      <c r="BE352" s="32">
        <f>IFERROR(__xludf.DUMMYFUNCTION("""COMPUTED_VALUE"""),25.0)</f>
        <v>25</v>
      </c>
      <c r="BF352" s="32"/>
      <c r="BG352" s="32"/>
      <c r="BH352" s="32" t="str">
        <f>IFERROR(__xludf.DUMMYFUNCTION("""COMPUTED_VALUE"""),"Solreach")</f>
        <v>Solreach</v>
      </c>
      <c r="BI352" s="32"/>
      <c r="BJ352" s="32"/>
      <c r="BK352" s="32"/>
      <c r="BL352" s="32" t="b">
        <f>IFERROR(__xludf.DUMMYFUNCTION("""COMPUTED_VALUE"""),FALSE)</f>
        <v>0</v>
      </c>
      <c r="BM352" s="32"/>
      <c r="BN352" s="32"/>
      <c r="BO352" s="32"/>
      <c r="BP352" s="32"/>
      <c r="BQ352" s="32"/>
    </row>
    <row r="353">
      <c r="A353" s="32" t="str">
        <f>IFERROR(__xludf.DUMMYFUNCTION("""COMPUTED_VALUE"""),"The Bloodletters")</f>
        <v>The Bloodletters</v>
      </c>
      <c r="B353" s="32">
        <f>IFERROR(__xludf.DUMMYFUNCTION("""COMPUTED_VALUE"""),1.0)</f>
        <v>1</v>
      </c>
      <c r="C353" s="32" t="str">
        <f>IFERROR(__xludf.DUMMYFUNCTION("""COMPUTED_VALUE"""),"Paladins of Satan")</f>
        <v>Paladins of Satan</v>
      </c>
      <c r="D353" s="32" t="str">
        <f>IFERROR(__xludf.DUMMYFUNCTION("""COMPUTED_VALUE"""),"Humanoid")</f>
        <v>Humanoid</v>
      </c>
      <c r="E353" s="32">
        <f>IFERROR(__xludf.DUMMYFUNCTION("""COMPUTED_VALUE"""),1010.0)</f>
        <v>1010</v>
      </c>
      <c r="F353" s="33">
        <f>IFERROR(__xludf.DUMMYFUNCTION("""COMPUTED_VALUE"""),1010.0)</f>
        <v>1010</v>
      </c>
      <c r="G353" s="32">
        <f>IFERROR(__xludf.DUMMYFUNCTION("""COMPUTED_VALUE"""),1010.0)</f>
        <v>1010</v>
      </c>
      <c r="H353" s="32">
        <f>IFERROR(__xludf.DUMMYFUNCTION("""COMPUTED_VALUE"""),25.0)</f>
        <v>25</v>
      </c>
      <c r="I353" s="32">
        <f>IFERROR(__xludf.DUMMYFUNCTION("""COMPUTED_VALUE"""),0.0)</f>
        <v>0</v>
      </c>
      <c r="J353" s="32">
        <f>IFERROR(__xludf.DUMMYFUNCTION("""COMPUTED_VALUE"""),0.0)</f>
        <v>0</v>
      </c>
      <c r="K353" s="32">
        <f>IFERROR(__xludf.DUMMYFUNCTION("""COMPUTED_VALUE"""),100.0)</f>
        <v>100</v>
      </c>
      <c r="L353" s="32">
        <f>IFERROR(__xludf.DUMMYFUNCTION("""COMPUTED_VALUE"""),100.0)</f>
        <v>100</v>
      </c>
      <c r="M353" s="32" t="str">
        <f>IFERROR(__xludf.DUMMYFUNCTION("""COMPUTED_VALUE"""),"Fire:Immune, Dark:Immune, Spirit:Immune, Chaos:Immune, Instant Death:Immune, Banishment:Immune, ")</f>
        <v>Fire:Immune, Dark:Immune, Spirit:Immune, Chaos:Immune, Instant Death:Immune, Banishment:Immune, </v>
      </c>
      <c r="N353" s="32" t="str">
        <f>IFERROR(__xludf.DUMMYFUNCTION("""COMPUTED_VALUE"""),"Light:100, Order:100, Celestial:100, ")</f>
        <v>Light:100, Order:100, Celestial:100, </v>
      </c>
      <c r="O353" s="32"/>
      <c r="P353" s="32"/>
      <c r="Q353" s="32"/>
      <c r="R353" s="32"/>
      <c r="S353" s="32"/>
      <c r="T353" s="32"/>
      <c r="U353" s="32"/>
      <c r="V353" s="32"/>
      <c r="W353" s="32"/>
      <c r="X353" s="32"/>
      <c r="Y353" s="32"/>
      <c r="Z353" s="32"/>
      <c r="AA353" s="32"/>
      <c r="AB353" s="32"/>
      <c r="AC353" s="32"/>
      <c r="AD353" s="32"/>
      <c r="AE353" s="32"/>
      <c r="AF353" s="32"/>
      <c r="AG353" s="32"/>
      <c r="AH353" s="32"/>
      <c r="AI353" s="32"/>
      <c r="AJ353" s="32" t="str">
        <f>IFERROR(__xludf.DUMMYFUNCTION("""COMPUTED_VALUE"""),"Arrest")</f>
        <v>Arrest</v>
      </c>
      <c r="AK353" s="32"/>
      <c r="AL353" s="32"/>
      <c r="AM353" s="32"/>
      <c r="AN353" s="32"/>
      <c r="AO353" s="32"/>
      <c r="AP353" s="32"/>
      <c r="AQ353" s="32"/>
      <c r="AR353" s="32" t="str">
        <f>IFERROR(__xludf.DUMMYFUNCTION("""COMPUTED_VALUE"""),"Cancel")</f>
        <v>Cancel</v>
      </c>
      <c r="AS353" s="32"/>
      <c r="AT353" s="32"/>
      <c r="AU353" s="32"/>
      <c r="AV353" s="32"/>
      <c r="AW353" s="32"/>
      <c r="AX353" s="32"/>
      <c r="AY353" s="32"/>
      <c r="AZ353" s="32"/>
      <c r="BA353" s="32"/>
      <c r="BB353" s="32"/>
      <c r="BC353" s="32"/>
      <c r="BD353" s="32">
        <f>IFERROR(__xludf.DUMMYFUNCTION("""COMPUTED_VALUE"""),0.0)</f>
        <v>0</v>
      </c>
      <c r="BE353" s="32">
        <f>IFERROR(__xludf.DUMMYFUNCTION("""COMPUTED_VALUE"""),20.0)</f>
        <v>20</v>
      </c>
      <c r="BF353" s="32"/>
      <c r="BG353" s="32"/>
      <c r="BH353" s="32" t="str">
        <f>IFERROR(__xludf.DUMMYFUNCTION("""COMPUTED_VALUE"""),"Abstara")</f>
        <v>Abstara</v>
      </c>
      <c r="BI353" s="32"/>
      <c r="BJ353" s="32"/>
      <c r="BK353" s="32"/>
      <c r="BL353" s="32" t="b">
        <f>IFERROR(__xludf.DUMMYFUNCTION("""COMPUTED_VALUE"""),FALSE)</f>
        <v>0</v>
      </c>
      <c r="BM353" s="32"/>
      <c r="BN353" s="32"/>
      <c r="BO353" s="32"/>
      <c r="BP353" s="32"/>
      <c r="BQ353" s="32"/>
    </row>
    <row r="354">
      <c r="A354" s="32" t="str">
        <f>IFERROR(__xludf.DUMMYFUNCTION("""COMPUTED_VALUE"""),"The Soulbound Royals")</f>
        <v>The Soulbound Royals</v>
      </c>
      <c r="B354" s="32">
        <f>IFERROR(__xludf.DUMMYFUNCTION("""COMPUTED_VALUE"""),1.0)</f>
        <v>1</v>
      </c>
      <c r="C354" s="32" t="str">
        <f>IFERROR(__xludf.DUMMYFUNCTION("""COMPUTED_VALUE"""),"Paladins of Hades")</f>
        <v>Paladins of Hades</v>
      </c>
      <c r="D354" s="32" t="str">
        <f>IFERROR(__xludf.DUMMYFUNCTION("""COMPUTED_VALUE"""),"Humanoid")</f>
        <v>Humanoid</v>
      </c>
      <c r="E354" s="32">
        <f>IFERROR(__xludf.DUMMYFUNCTION("""COMPUTED_VALUE"""),1010.0)</f>
        <v>1010</v>
      </c>
      <c r="F354" s="33">
        <f>IFERROR(__xludf.DUMMYFUNCTION("""COMPUTED_VALUE"""),1010.0)</f>
        <v>1010</v>
      </c>
      <c r="G354" s="32">
        <f>IFERROR(__xludf.DUMMYFUNCTION("""COMPUTED_VALUE"""),1010.0)</f>
        <v>1010</v>
      </c>
      <c r="H354" s="32">
        <f>IFERROR(__xludf.DUMMYFUNCTION("""COMPUTED_VALUE"""),25.0)</f>
        <v>25</v>
      </c>
      <c r="I354" s="32">
        <f>IFERROR(__xludf.DUMMYFUNCTION("""COMPUTED_VALUE"""),0.0)</f>
        <v>0</v>
      </c>
      <c r="J354" s="32">
        <f>IFERROR(__xludf.DUMMYFUNCTION("""COMPUTED_VALUE"""),0.0)</f>
        <v>0</v>
      </c>
      <c r="K354" s="32">
        <f>IFERROR(__xludf.DUMMYFUNCTION("""COMPUTED_VALUE"""),100.0)</f>
        <v>100</v>
      </c>
      <c r="L354" s="32">
        <f>IFERROR(__xludf.DUMMYFUNCTION("""COMPUTED_VALUE"""),100.0)</f>
        <v>100</v>
      </c>
      <c r="M354" s="32" t="str">
        <f>IFERROR(__xludf.DUMMYFUNCTION("""COMPUTED_VALUE"""),"Fire:Immune, Dark:Immune, Spirit:Immune, Chaos:Immune, Instant Death:Immune, Banishment:Immune, ")</f>
        <v>Fire:Immune, Dark:Immune, Spirit:Immune, Chaos:Immune, Instant Death:Immune, Banishment:Immune, </v>
      </c>
      <c r="N354" s="32" t="str">
        <f>IFERROR(__xludf.DUMMYFUNCTION("""COMPUTED_VALUE"""),"Light:100, Order:100, Celestial:100, ")</f>
        <v>Light:100, Order:100, Celestial:100, </v>
      </c>
      <c r="O354" s="32"/>
      <c r="P354" s="32"/>
      <c r="Q354" s="32"/>
      <c r="R354" s="32"/>
      <c r="S354" s="32"/>
      <c r="T354" s="32"/>
      <c r="U354" s="32"/>
      <c r="V354" s="32"/>
      <c r="W354" s="32"/>
      <c r="X354" s="32"/>
      <c r="Y354" s="32"/>
      <c r="Z354" s="32"/>
      <c r="AA354" s="32"/>
      <c r="AB354" s="32"/>
      <c r="AC354" s="32"/>
      <c r="AD354" s="32"/>
      <c r="AE354" s="32"/>
      <c r="AF354" s="32"/>
      <c r="AG354" s="32"/>
      <c r="AH354" s="32"/>
      <c r="AI354" s="32"/>
      <c r="AJ354" s="32" t="str">
        <f>IFERROR(__xludf.DUMMYFUNCTION("""COMPUTED_VALUE"""),"Arrest")</f>
        <v>Arrest</v>
      </c>
      <c r="AK354" s="32"/>
      <c r="AL354" s="32"/>
      <c r="AM354" s="32"/>
      <c r="AN354" s="32"/>
      <c r="AO354" s="32"/>
      <c r="AP354" s="32"/>
      <c r="AQ354" s="32"/>
      <c r="AR354" s="32" t="str">
        <f>IFERROR(__xludf.DUMMYFUNCTION("""COMPUTED_VALUE"""),"Acoustic Slam")</f>
        <v>Acoustic Slam</v>
      </c>
      <c r="AS354" s="32"/>
      <c r="AT354" s="32"/>
      <c r="AU354" s="32"/>
      <c r="AV354" s="32"/>
      <c r="AW354" s="32"/>
      <c r="AX354" s="32"/>
      <c r="AY354" s="32"/>
      <c r="AZ354" s="32"/>
      <c r="BA354" s="32"/>
      <c r="BB354" s="32"/>
      <c r="BC354" s="32"/>
      <c r="BD354" s="32">
        <f>IFERROR(__xludf.DUMMYFUNCTION("""COMPUTED_VALUE"""),0.0)</f>
        <v>0</v>
      </c>
      <c r="BE354" s="32">
        <f>IFERROR(__xludf.DUMMYFUNCTION("""COMPUTED_VALUE"""),20.0)</f>
        <v>20</v>
      </c>
      <c r="BF354" s="32"/>
      <c r="BG354" s="32"/>
      <c r="BH354" s="32" t="str">
        <f>IFERROR(__xludf.DUMMYFUNCTION("""COMPUTED_VALUE"""),"Solreach")</f>
        <v>Solreach</v>
      </c>
      <c r="BI354" s="32"/>
      <c r="BJ354" s="32"/>
      <c r="BK354" s="32"/>
      <c r="BL354" s="32" t="b">
        <f>IFERROR(__xludf.DUMMYFUNCTION("""COMPUTED_VALUE"""),FALSE)</f>
        <v>0</v>
      </c>
      <c r="BM354" s="32"/>
      <c r="BN354" s="32"/>
      <c r="BO354" s="32"/>
      <c r="BP354" s="32"/>
      <c r="BQ354" s="32"/>
    </row>
    <row r="355">
      <c r="A355" s="32" t="str">
        <f>IFERROR(__xludf.DUMMYFUNCTION("""COMPUTED_VALUE"""),"The Exiled One")</f>
        <v>The Exiled One</v>
      </c>
      <c r="B355" s="32">
        <f>IFERROR(__xludf.DUMMYFUNCTION("""COMPUTED_VALUE"""),1.0)</f>
        <v>1</v>
      </c>
      <c r="C355" s="32" t="str">
        <f>IFERROR(__xludf.DUMMYFUNCTION("""COMPUTED_VALUE"""),"Paladins of The Keeper of The Banished")</f>
        <v>Paladins of The Keeper of The Banished</v>
      </c>
      <c r="D355" s="32" t="str">
        <f>IFERROR(__xludf.DUMMYFUNCTION("""COMPUTED_VALUE"""),"Humanoid")</f>
        <v>Humanoid</v>
      </c>
      <c r="E355" s="32">
        <f>IFERROR(__xludf.DUMMYFUNCTION("""COMPUTED_VALUE"""),1010.0)</f>
        <v>1010</v>
      </c>
      <c r="F355" s="33">
        <f>IFERROR(__xludf.DUMMYFUNCTION("""COMPUTED_VALUE"""),1010.0)</f>
        <v>1010</v>
      </c>
      <c r="G355" s="32">
        <f>IFERROR(__xludf.DUMMYFUNCTION("""COMPUTED_VALUE"""),1010.0)</f>
        <v>1010</v>
      </c>
      <c r="H355" s="32">
        <f>IFERROR(__xludf.DUMMYFUNCTION("""COMPUTED_VALUE"""),25.0)</f>
        <v>25</v>
      </c>
      <c r="I355" s="32">
        <f>IFERROR(__xludf.DUMMYFUNCTION("""COMPUTED_VALUE"""),0.0)</f>
        <v>0</v>
      </c>
      <c r="J355" s="32">
        <f>IFERROR(__xludf.DUMMYFUNCTION("""COMPUTED_VALUE"""),0.0)</f>
        <v>0</v>
      </c>
      <c r="K355" s="32">
        <f>IFERROR(__xludf.DUMMYFUNCTION("""COMPUTED_VALUE"""),100.0)</f>
        <v>100</v>
      </c>
      <c r="L355" s="32">
        <f>IFERROR(__xludf.DUMMYFUNCTION("""COMPUTED_VALUE"""),100.0)</f>
        <v>100</v>
      </c>
      <c r="M355" s="32" t="str">
        <f>IFERROR(__xludf.DUMMYFUNCTION("""COMPUTED_VALUE"""),"Instant Death:Immune, Banishment:Immune, ")</f>
        <v>Instant Death:Immune, Banishment:Immune, </v>
      </c>
      <c r="N355" s="32" t="str">
        <f>IFERROR(__xludf.DUMMYFUNCTION("""COMPUTED_VALUE"""),"")</f>
        <v/>
      </c>
      <c r="O355" s="32"/>
      <c r="P355" s="32"/>
      <c r="Q355" s="32"/>
      <c r="R355" s="32"/>
      <c r="S355" s="32"/>
      <c r="T355" s="32"/>
      <c r="U355" s="32"/>
      <c r="V355" s="32"/>
      <c r="W355" s="32"/>
      <c r="X355" s="32"/>
      <c r="Y355" s="32"/>
      <c r="Z355" s="32"/>
      <c r="AA355" s="32"/>
      <c r="AB355" s="32"/>
      <c r="AC355" s="32"/>
      <c r="AD355" s="32"/>
      <c r="AE355" s="32"/>
      <c r="AF355" s="32"/>
      <c r="AG355" s="32"/>
      <c r="AH355" s="32"/>
      <c r="AI355" s="32"/>
      <c r="AJ355" s="32" t="str">
        <f>IFERROR(__xludf.DUMMYFUNCTION("""COMPUTED_VALUE"""),"Arrest")</f>
        <v>Arrest</v>
      </c>
      <c r="AK355" s="32"/>
      <c r="AL355" s="32"/>
      <c r="AM355" s="32"/>
      <c r="AN355" s="32"/>
      <c r="AO355" s="32"/>
      <c r="AP355" s="32"/>
      <c r="AQ355" s="32"/>
      <c r="AR355" s="32"/>
      <c r="AS355" s="32"/>
      <c r="AT355" s="32"/>
      <c r="AU355" s="32"/>
      <c r="AV355" s="32"/>
      <c r="AW355" s="32"/>
      <c r="AX355" s="32"/>
      <c r="AY355" s="32"/>
      <c r="AZ355" s="32"/>
      <c r="BA355" s="32"/>
      <c r="BB355" s="32"/>
      <c r="BC355" s="32"/>
      <c r="BD355" s="32">
        <f>IFERROR(__xludf.DUMMYFUNCTION("""COMPUTED_VALUE"""),0.0)</f>
        <v>0</v>
      </c>
      <c r="BE355" s="32">
        <f>IFERROR(__xludf.DUMMYFUNCTION("""COMPUTED_VALUE"""),20.0)</f>
        <v>20</v>
      </c>
      <c r="BF355" s="32"/>
      <c r="BG355" s="32"/>
      <c r="BH355" s="32" t="str">
        <f>IFERROR(__xludf.DUMMYFUNCTION("""COMPUTED_VALUE"""),"Solreach")</f>
        <v>Solreach</v>
      </c>
      <c r="BI355" s="32"/>
      <c r="BJ355" s="32"/>
      <c r="BK355" s="32"/>
      <c r="BL355" s="32" t="b">
        <f>IFERROR(__xludf.DUMMYFUNCTION("""COMPUTED_VALUE"""),FALSE)</f>
        <v>0</v>
      </c>
      <c r="BM355" s="32"/>
      <c r="BN355" s="32"/>
      <c r="BO355" s="32"/>
      <c r="BP355" s="32"/>
      <c r="BQ355" s="32"/>
    </row>
    <row r="356">
      <c r="A356" s="32" t="str">
        <f>IFERROR(__xludf.DUMMYFUNCTION("""COMPUTED_VALUE"""),"The Storm Bloods")</f>
        <v>The Storm Bloods</v>
      </c>
      <c r="B356" s="32">
        <f>IFERROR(__xludf.DUMMYFUNCTION("""COMPUTED_VALUE"""),1.0)</f>
        <v>1</v>
      </c>
      <c r="C356" s="32" t="str">
        <f>IFERROR(__xludf.DUMMYFUNCTION("""COMPUTED_VALUE"""),"Paladins of Thor")</f>
        <v>Paladins of Thor</v>
      </c>
      <c r="D356" s="32" t="str">
        <f>IFERROR(__xludf.DUMMYFUNCTION("""COMPUTED_VALUE"""),"Humanoid")</f>
        <v>Humanoid</v>
      </c>
      <c r="E356" s="32">
        <f>IFERROR(__xludf.DUMMYFUNCTION("""COMPUTED_VALUE"""),1010.0)</f>
        <v>1010</v>
      </c>
      <c r="F356" s="33">
        <f>IFERROR(__xludf.DUMMYFUNCTION("""COMPUTED_VALUE"""),1010.0)</f>
        <v>1010</v>
      </c>
      <c r="G356" s="32">
        <f>IFERROR(__xludf.DUMMYFUNCTION("""COMPUTED_VALUE"""),1010.0)</f>
        <v>1010</v>
      </c>
      <c r="H356" s="32">
        <f>IFERROR(__xludf.DUMMYFUNCTION("""COMPUTED_VALUE"""),35.0)</f>
        <v>35</v>
      </c>
      <c r="I356" s="32">
        <f>IFERROR(__xludf.DUMMYFUNCTION("""COMPUTED_VALUE"""),0.0)</f>
        <v>0</v>
      </c>
      <c r="J356" s="32">
        <f>IFERROR(__xludf.DUMMYFUNCTION("""COMPUTED_VALUE"""),0.0)</f>
        <v>0</v>
      </c>
      <c r="K356" s="32">
        <f>IFERROR(__xludf.DUMMYFUNCTION("""COMPUTED_VALUE"""),100.0)</f>
        <v>100</v>
      </c>
      <c r="L356" s="32">
        <f>IFERROR(__xludf.DUMMYFUNCTION("""COMPUTED_VALUE"""),100.0)</f>
        <v>100</v>
      </c>
      <c r="M356" s="32" t="str">
        <f>IFERROR(__xludf.DUMMYFUNCTION("""COMPUTED_VALUE"""),"")</f>
        <v/>
      </c>
      <c r="N356" s="32" t="str">
        <f>IFERROR(__xludf.DUMMYFUNCTION("""COMPUTED_VALUE"""),"Celestial:100, ")</f>
        <v>Celestial:100, </v>
      </c>
      <c r="O356" s="32"/>
      <c r="P356" s="32"/>
      <c r="Q356" s="32"/>
      <c r="R356" s="32"/>
      <c r="S356" s="32"/>
      <c r="T356" s="32"/>
      <c r="U356" s="32"/>
      <c r="V356" s="32"/>
      <c r="W356" s="32"/>
      <c r="X356" s="32"/>
      <c r="Y356" s="32"/>
      <c r="Z356" s="32"/>
      <c r="AA356" s="32"/>
      <c r="AB356" s="32"/>
      <c r="AC356" s="32"/>
      <c r="AD356" s="32"/>
      <c r="AE356" s="32"/>
      <c r="AF356" s="32"/>
      <c r="AG356" s="32"/>
      <c r="AH356" s="32"/>
      <c r="AI356" s="32"/>
      <c r="AJ356" s="32" t="str">
        <f>IFERROR(__xludf.DUMMYFUNCTION("""COMPUTED_VALUE"""),"Arrest")</f>
        <v>Arrest</v>
      </c>
      <c r="AK356" s="32"/>
      <c r="AL356" s="32"/>
      <c r="AM356" s="32"/>
      <c r="AN356" s="32"/>
      <c r="AO356" s="32"/>
      <c r="AP356" s="32"/>
      <c r="AQ356" s="32"/>
      <c r="AR356" s="32"/>
      <c r="AS356" s="32"/>
      <c r="AT356" s="32"/>
      <c r="AU356" s="32"/>
      <c r="AV356" s="32"/>
      <c r="AW356" s="32"/>
      <c r="AX356" s="32"/>
      <c r="AY356" s="32"/>
      <c r="AZ356" s="32"/>
      <c r="BA356" s="32"/>
      <c r="BB356" s="32"/>
      <c r="BC356" s="32"/>
      <c r="BD356" s="32">
        <f>IFERROR(__xludf.DUMMYFUNCTION("""COMPUTED_VALUE"""),0.0)</f>
        <v>0</v>
      </c>
      <c r="BE356" s="32">
        <f>IFERROR(__xludf.DUMMYFUNCTION("""COMPUTED_VALUE"""),25.0)</f>
        <v>25</v>
      </c>
      <c r="BF356" s="32"/>
      <c r="BG356" s="32"/>
      <c r="BH356" s="32" t="str">
        <f>IFERROR(__xludf.DUMMYFUNCTION("""COMPUTED_VALUE"""),"Land of Spira")</f>
        <v>Land of Spira</v>
      </c>
      <c r="BI356" s="32"/>
      <c r="BJ356" s="32"/>
      <c r="BK356" s="32"/>
      <c r="BL356" s="32" t="b">
        <f>IFERROR(__xludf.DUMMYFUNCTION("""COMPUTED_VALUE"""),FALSE)</f>
        <v>0</v>
      </c>
      <c r="BM356" s="32"/>
      <c r="BN356" s="32"/>
      <c r="BO356" s="32"/>
      <c r="BP356" s="32"/>
      <c r="BQ356" s="32"/>
    </row>
    <row r="357">
      <c r="A357" s="32" t="str">
        <f>IFERROR(__xludf.DUMMYFUNCTION("""COMPUTED_VALUE"""),"The Astrologians")</f>
        <v>The Astrologians</v>
      </c>
      <c r="B357" s="32">
        <f>IFERROR(__xludf.DUMMYFUNCTION("""COMPUTED_VALUE"""),1.0)</f>
        <v>1</v>
      </c>
      <c r="C357" s="32" t="str">
        <f>IFERROR(__xludf.DUMMYFUNCTION("""COMPUTED_VALUE"""),"Paladins of Astralis")</f>
        <v>Paladins of Astralis</v>
      </c>
      <c r="D357" s="32" t="str">
        <f>IFERROR(__xludf.DUMMYFUNCTION("""COMPUTED_VALUE"""),"Humanoid")</f>
        <v>Humanoid</v>
      </c>
      <c r="E357" s="32">
        <f>IFERROR(__xludf.DUMMYFUNCTION("""COMPUTED_VALUE"""),1010.0)</f>
        <v>1010</v>
      </c>
      <c r="F357" s="33">
        <f>IFERROR(__xludf.DUMMYFUNCTION("""COMPUTED_VALUE"""),1010.0)</f>
        <v>1010</v>
      </c>
      <c r="G357" s="32">
        <f>IFERROR(__xludf.DUMMYFUNCTION("""COMPUTED_VALUE"""),1010.0)</f>
        <v>1010</v>
      </c>
      <c r="H357" s="32">
        <f>IFERROR(__xludf.DUMMYFUNCTION("""COMPUTED_VALUE"""),35.0)</f>
        <v>35</v>
      </c>
      <c r="I357" s="32">
        <f>IFERROR(__xludf.DUMMYFUNCTION("""COMPUTED_VALUE"""),0.0)</f>
        <v>0</v>
      </c>
      <c r="J357" s="32">
        <f>IFERROR(__xludf.DUMMYFUNCTION("""COMPUTED_VALUE"""),0.0)</f>
        <v>0</v>
      </c>
      <c r="K357" s="32">
        <f>IFERROR(__xludf.DUMMYFUNCTION("""COMPUTED_VALUE"""),100.0)</f>
        <v>100</v>
      </c>
      <c r="L357" s="32">
        <f>IFERROR(__xludf.DUMMYFUNCTION("""COMPUTED_VALUE"""),100.0)</f>
        <v>100</v>
      </c>
      <c r="M357" s="32" t="str">
        <f>IFERROR(__xludf.DUMMYFUNCTION("""COMPUTED_VALUE"""),"")</f>
        <v/>
      </c>
      <c r="N357" s="32" t="str">
        <f>IFERROR(__xludf.DUMMYFUNCTION("""COMPUTED_VALUE"""),"Celestial:100, ")</f>
        <v>Celestial:100, </v>
      </c>
      <c r="O357" s="32"/>
      <c r="P357" s="32"/>
      <c r="Q357" s="32"/>
      <c r="R357" s="32"/>
      <c r="S357" s="32"/>
      <c r="T357" s="32"/>
      <c r="U357" s="32"/>
      <c r="V357" s="32"/>
      <c r="W357" s="32"/>
      <c r="X357" s="32"/>
      <c r="Y357" s="32"/>
      <c r="Z357" s="32"/>
      <c r="AA357" s="32"/>
      <c r="AB357" s="32"/>
      <c r="AC357" s="32"/>
      <c r="AD357" s="32"/>
      <c r="AE357" s="32"/>
      <c r="AF357" s="32"/>
      <c r="AG357" s="32"/>
      <c r="AH357" s="32"/>
      <c r="AI357" s="32"/>
      <c r="AJ357" s="32" t="str">
        <f>IFERROR(__xludf.DUMMYFUNCTION("""COMPUTED_VALUE"""),"Arrest")</f>
        <v>Arrest</v>
      </c>
      <c r="AK357" s="32"/>
      <c r="AL357" s="32"/>
      <c r="AM357" s="32"/>
      <c r="AN357" s="32"/>
      <c r="AO357" s="32"/>
      <c r="AP357" s="32"/>
      <c r="AQ357" s="32"/>
      <c r="AR357" s="32"/>
      <c r="AS357" s="32"/>
      <c r="AT357" s="32"/>
      <c r="AU357" s="32"/>
      <c r="AV357" s="32"/>
      <c r="AW357" s="32"/>
      <c r="AX357" s="32"/>
      <c r="AY357" s="32"/>
      <c r="AZ357" s="32"/>
      <c r="BA357" s="32"/>
      <c r="BB357" s="32"/>
      <c r="BC357" s="32"/>
      <c r="BD357" s="32">
        <f>IFERROR(__xludf.DUMMYFUNCTION("""COMPUTED_VALUE"""),0.0)</f>
        <v>0</v>
      </c>
      <c r="BE357" s="32">
        <f>IFERROR(__xludf.DUMMYFUNCTION("""COMPUTED_VALUE"""),25.0)</f>
        <v>25</v>
      </c>
      <c r="BF357" s="32"/>
      <c r="BG357" s="32"/>
      <c r="BH357" s="32" t="str">
        <f>IFERROR(__xludf.DUMMYFUNCTION("""COMPUTED_VALUE"""),"Solreach")</f>
        <v>Solreach</v>
      </c>
      <c r="BI357" s="32"/>
      <c r="BJ357" s="32"/>
      <c r="BK357" s="32"/>
      <c r="BL357" s="32" t="b">
        <f>IFERROR(__xludf.DUMMYFUNCTION("""COMPUTED_VALUE"""),FALSE)</f>
        <v>0</v>
      </c>
      <c r="BM357" s="32"/>
      <c r="BN357" s="32"/>
      <c r="BO357" s="32"/>
      <c r="BP357" s="32"/>
      <c r="BQ357" s="32"/>
    </row>
    <row r="358">
      <c r="A358" s="32" t="str">
        <f>IFERROR(__xludf.DUMMYFUNCTION("""COMPUTED_VALUE"""),"Monk (Abbot)")</f>
        <v>Monk (Abbot)</v>
      </c>
      <c r="B358" s="32">
        <f>IFERROR(__xludf.DUMMYFUNCTION("""COMPUTED_VALUE"""),1.0)</f>
        <v>1</v>
      </c>
      <c r="C358" s="32" t="str">
        <f>IFERROR(__xludf.DUMMYFUNCTION("""COMPUTED_VALUE"""),"Paladins of Elder Monk Kenyu")</f>
        <v>Paladins of Elder Monk Kenyu</v>
      </c>
      <c r="D358" s="32" t="str">
        <f>IFERROR(__xludf.DUMMYFUNCTION("""COMPUTED_VALUE"""),"Humanoid")</f>
        <v>Humanoid</v>
      </c>
      <c r="E358" s="32">
        <f>IFERROR(__xludf.DUMMYFUNCTION("""COMPUTED_VALUE"""),1010.0)</f>
        <v>1010</v>
      </c>
      <c r="F358" s="33">
        <f>IFERROR(__xludf.DUMMYFUNCTION("""COMPUTED_VALUE"""),1010.0)</f>
        <v>1010</v>
      </c>
      <c r="G358" s="32">
        <f>IFERROR(__xludf.DUMMYFUNCTION("""COMPUTED_VALUE"""),1010.0)</f>
        <v>1010</v>
      </c>
      <c r="H358" s="32">
        <f>IFERROR(__xludf.DUMMYFUNCTION("""COMPUTED_VALUE"""),20.0)</f>
        <v>20</v>
      </c>
      <c r="I358" s="32">
        <f>IFERROR(__xludf.DUMMYFUNCTION("""COMPUTED_VALUE"""),0.0)</f>
        <v>0</v>
      </c>
      <c r="J358" s="32">
        <f>IFERROR(__xludf.DUMMYFUNCTION("""COMPUTED_VALUE"""),0.0)</f>
        <v>0</v>
      </c>
      <c r="K358" s="32">
        <f>IFERROR(__xludf.DUMMYFUNCTION("""COMPUTED_VALUE"""),100.0)</f>
        <v>100</v>
      </c>
      <c r="L358" s="32">
        <f>IFERROR(__xludf.DUMMYFUNCTION("""COMPUTED_VALUE"""),100.0)</f>
        <v>100</v>
      </c>
      <c r="M358" s="32"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32" t="str">
        <f>IFERROR(__xludf.DUMMYFUNCTION("""COMPUTED_VALUE"""),"")</f>
        <v/>
      </c>
      <c r="O358" s="32" t="str">
        <f>IFERROR(__xludf.DUMMYFUNCTION("""COMPUTED_VALUE"""),"Ancient Oni Mask")</f>
        <v>Ancient Oni Mask</v>
      </c>
      <c r="P358" s="32"/>
      <c r="Q358" s="32"/>
      <c r="R358" s="32"/>
      <c r="S358" s="32" t="str">
        <f>IFERROR(__xludf.DUMMYFUNCTION("""COMPUTED_VALUE"""),"Ancient Oni Pauldrons")</f>
        <v>Ancient Oni Pauldrons</v>
      </c>
      <c r="T358" s="32" t="str">
        <f>IFERROR(__xludf.DUMMYFUNCTION("""COMPUTED_VALUE"""),"Ancient Oni Chestplate")</f>
        <v>Ancient Oni Chestplate</v>
      </c>
      <c r="U358" s="32" t="str">
        <f>IFERROR(__xludf.DUMMYFUNCTION("""COMPUTED_VALUE"""),"Ancient Oni Vambraces")</f>
        <v>Ancient Oni Vambraces</v>
      </c>
      <c r="V358" s="32" t="str">
        <f>IFERROR(__xludf.DUMMYFUNCTION("""COMPUTED_VALUE"""),"Ancient Oni Katana")</f>
        <v>Ancient Oni Katana</v>
      </c>
      <c r="W358" s="32"/>
      <c r="X358" s="32"/>
      <c r="Y358" s="32"/>
      <c r="Z358" s="32"/>
      <c r="AA358" s="32"/>
      <c r="AB358" s="32"/>
      <c r="AC358" s="32"/>
      <c r="AD358" s="32"/>
      <c r="AE358" s="32"/>
      <c r="AF358" s="32"/>
      <c r="AG358" s="32"/>
      <c r="AH358" s="32" t="str">
        <f>IFERROR(__xludf.DUMMYFUNCTION("""COMPUTED_VALUE"""),"Ancient Oni Greaves")</f>
        <v>Ancient Oni Greaves</v>
      </c>
      <c r="AI358" s="32" t="str">
        <f>IFERROR(__xludf.DUMMYFUNCTION("""COMPUTED_VALUE"""),"Ancient Oni Boots")</f>
        <v>Ancient Oni Boots</v>
      </c>
      <c r="AJ358" s="32"/>
      <c r="AK358" s="32"/>
      <c r="AL358" s="32"/>
      <c r="AM358" s="32"/>
      <c r="AN358" s="32"/>
      <c r="AO358" s="32"/>
      <c r="AP358" s="32"/>
      <c r="AQ358" s="32"/>
      <c r="AR358" s="32"/>
      <c r="AS358" s="32"/>
      <c r="AT358" s="32"/>
      <c r="AU358" s="32"/>
      <c r="AV358" s="32"/>
      <c r="AW358" s="32"/>
      <c r="AX358" s="32"/>
      <c r="AY358" s="32"/>
      <c r="AZ358" s="32"/>
      <c r="BA358" s="32"/>
      <c r="BB358" s="32"/>
      <c r="BC358" s="32"/>
      <c r="BD358" s="32">
        <f>IFERROR(__xludf.DUMMYFUNCTION("""COMPUTED_VALUE"""),0.0)</f>
        <v>0</v>
      </c>
      <c r="BE358" s="32">
        <f>IFERROR(__xludf.DUMMYFUNCTION("""COMPUTED_VALUE"""),15.0)</f>
        <v>15</v>
      </c>
      <c r="BF358" s="32" t="str">
        <f>IFERROR(__xludf.DUMMYFUNCTION("""COMPUTED_VALUE"""),"Items cannot be stolen from this mob")</f>
        <v>Items cannot be stolen from this mob</v>
      </c>
      <c r="BG358" s="32"/>
      <c r="BH358" s="32" t="str">
        <f>IFERROR(__xludf.DUMMYFUNCTION("""COMPUTED_VALUE"""),"Land of Spira")</f>
        <v>Land of Spira</v>
      </c>
      <c r="BI358" s="32"/>
      <c r="BJ358" s="32"/>
      <c r="BK358" s="32"/>
      <c r="BL358" s="32" t="b">
        <f>IFERROR(__xludf.DUMMYFUNCTION("""COMPUTED_VALUE"""),FALSE)</f>
        <v>0</v>
      </c>
      <c r="BM358" s="32"/>
      <c r="BN358" s="32"/>
      <c r="BO358" s="32"/>
      <c r="BP358" s="32"/>
      <c r="BQ358" s="32"/>
    </row>
    <row r="359">
      <c r="A359" s="32" t="str">
        <f>IFERROR(__xludf.DUMMYFUNCTION("""COMPUTED_VALUE"""),"The Harbingers of The Voidwoken (Spira)")</f>
        <v>The Harbingers of The Voidwoken (Spira)</v>
      </c>
      <c r="B359" s="32">
        <f>IFERROR(__xludf.DUMMYFUNCTION("""COMPUTED_VALUE"""),1.0)</f>
        <v>1</v>
      </c>
      <c r="C359" s="32" t="str">
        <f>IFERROR(__xludf.DUMMYFUNCTION("""COMPUTED_VALUE"""),"Paladins of The Void Beast Bahamut.")</f>
        <v>Paladins of The Void Beast Bahamut.</v>
      </c>
      <c r="D359" s="32" t="str">
        <f>IFERROR(__xludf.DUMMYFUNCTION("""COMPUTED_VALUE"""),"Humanoid")</f>
        <v>Humanoid</v>
      </c>
      <c r="E359" s="32">
        <f>IFERROR(__xludf.DUMMYFUNCTION("""COMPUTED_VALUE"""),1010.0)</f>
        <v>1010</v>
      </c>
      <c r="F359" s="33">
        <f>IFERROR(__xludf.DUMMYFUNCTION("""COMPUTED_VALUE"""),1010.0)</f>
        <v>1010</v>
      </c>
      <c r="G359" s="32">
        <f>IFERROR(__xludf.DUMMYFUNCTION("""COMPUTED_VALUE"""),351010.0)</f>
        <v>351010</v>
      </c>
      <c r="H359" s="32">
        <f>IFERROR(__xludf.DUMMYFUNCTION("""COMPUTED_VALUE"""),10.0)</f>
        <v>10</v>
      </c>
      <c r="I359" s="32">
        <f>IFERROR(__xludf.DUMMYFUNCTION("""COMPUTED_VALUE"""),0.0)</f>
        <v>0</v>
      </c>
      <c r="J359" s="32">
        <f>IFERROR(__xludf.DUMMYFUNCTION("""COMPUTED_VALUE"""),0.0)</f>
        <v>0</v>
      </c>
      <c r="K359" s="32">
        <f>IFERROR(__xludf.DUMMYFUNCTION("""COMPUTED_VALUE"""),100.0)</f>
        <v>100</v>
      </c>
      <c r="L359" s="32">
        <f>IFERROR(__xludf.DUMMYFUNCTION("""COMPUTED_VALUE"""),100.0)</f>
        <v>100</v>
      </c>
      <c r="M359" s="32" t="str">
        <f>IFERROR(__xludf.DUMMYFUNCTION("""COMPUTED_VALUE"""),"")</f>
        <v/>
      </c>
      <c r="N359" s="32" t="str">
        <f>IFERROR(__xludf.DUMMYFUNCTION("""COMPUTED_VALUE"""),"Celestial:100, ")</f>
        <v>Celestial:100, </v>
      </c>
      <c r="O359" s="32" t="str">
        <f>IFERROR(__xludf.DUMMYFUNCTION("""COMPUTED_VALUE"""),"Harbingers' Helm of the Unrestrained (Spira)")</f>
        <v>Harbingers' Helm of the Unrestrained (Spira)</v>
      </c>
      <c r="P359" s="32" t="str">
        <f>IFERROR(__xludf.DUMMYFUNCTION("""COMPUTED_VALUE"""),"Harbingers' Resolve (Spira)")</f>
        <v>Harbingers' Resolve (Spira)</v>
      </c>
      <c r="Q359" s="32"/>
      <c r="R359" s="32"/>
      <c r="S359" s="32" t="str">
        <f>IFERROR(__xludf.DUMMYFUNCTION("""COMPUTED_VALUE"""),"Harbingers' Shifting Pauldrons (Spira)")</f>
        <v>Harbingers' Shifting Pauldrons (Spira)</v>
      </c>
      <c r="T359" s="32" t="str">
        <f>IFERROR(__xludf.DUMMYFUNCTION("""COMPUTED_VALUE"""),"Harbingers' Emblazoned Chest of The Encroaching Void (Spira)")</f>
        <v>Harbingers' Emblazoned Chest of The Encroaching Void (Spira)</v>
      </c>
      <c r="U359" s="32" t="str">
        <f>IFERROR(__xludf.DUMMYFUNCTION("""COMPUTED_VALUE"""),"Harbingers' Broken Fettering (Spira)")</f>
        <v>Harbingers' Broken Fettering (Spira)</v>
      </c>
      <c r="V359" s="32" t="str">
        <f>IFERROR(__xludf.DUMMYFUNCTION("""COMPUTED_VALUE"""),"Harbingers' Fist of Iron (Spira)")</f>
        <v>Harbingers' Fist of Iron (Spira)</v>
      </c>
      <c r="W359" s="32" t="str">
        <f>IFERROR(__xludf.DUMMYFUNCTION("""COMPUTED_VALUE"""),"Harbingers' Claw of Steel (Spira)")</f>
        <v>Harbingers' Claw of Steel (Spira)</v>
      </c>
      <c r="X359" s="32" t="str">
        <f>IFERROR(__xludf.DUMMYFUNCTION("""COMPUTED_VALUE"""),"Harbingers' Vow (Spira)")</f>
        <v>Harbingers' Vow (Spira)</v>
      </c>
      <c r="Y359" s="32"/>
      <c r="Z359" s="32"/>
      <c r="AA359" s="32"/>
      <c r="AB359" s="32"/>
      <c r="AC359" s="32"/>
      <c r="AD359" s="32"/>
      <c r="AE359" s="32"/>
      <c r="AF359" s="32"/>
      <c r="AG359" s="32"/>
      <c r="AH359" s="32" t="str">
        <f>IFERROR(__xludf.DUMMYFUNCTION("""COMPUTED_VALUE"""),"Harbingers' Ethereal Chausses (Spira)")</f>
        <v>Harbingers' Ethereal Chausses (Spira)</v>
      </c>
      <c r="AI359" s="32" t="str">
        <f>IFERROR(__xludf.DUMMYFUNCTION("""COMPUTED_VALUE"""),"Harbingers' Spiked Sabatons (Spira)")</f>
        <v>Harbingers' Spiked Sabatons (Spira)</v>
      </c>
      <c r="AJ359" s="32" t="str">
        <f>IFERROR(__xludf.DUMMYFUNCTION("""COMPUTED_VALUE"""),"Chaincast")</f>
        <v>Chaincast</v>
      </c>
      <c r="AK359" s="32" t="str">
        <f>IFERROR(__xludf.DUMMYFUNCTION("""COMPUTED_VALUE"""),"Rapid Delta Punch")</f>
        <v>Rapid Delta Punch</v>
      </c>
      <c r="AL359" s="32" t="str">
        <f>IFERROR(__xludf.DUMMYFUNCTION("""COMPUTED_VALUE"""),"Delta World")</f>
        <v>Delta World</v>
      </c>
      <c r="AM359" s="32" t="str">
        <f>IFERROR(__xludf.DUMMYFUNCTION("""COMPUTED_VALUE"""),"Delta Obelisk")</f>
        <v>Delta Obelisk</v>
      </c>
      <c r="AN359" s="32" t="str">
        <f>IFERROR(__xludf.DUMMYFUNCTION("""COMPUTED_VALUE"""),"Beast In Black")</f>
        <v>Beast In Black</v>
      </c>
      <c r="AO359" s="32" t="str">
        <f>IFERROR(__xludf.DUMMYFUNCTION("""COMPUTED_VALUE"""),"Domain Expansion")</f>
        <v>Domain Expansion</v>
      </c>
      <c r="AP359" s="32" t="str">
        <f>IFERROR(__xludf.DUMMYFUNCTION("""COMPUTED_VALUE"""),"Enrage")</f>
        <v>Enrage</v>
      </c>
      <c r="AQ359" s="32" t="str">
        <f>IFERROR(__xludf.DUMMYFUNCTION("""COMPUTED_VALUE"""),"Arrest")</f>
        <v>Arrest</v>
      </c>
      <c r="AR359" s="32" t="str">
        <f>IFERROR(__xludf.DUMMYFUNCTION("""COMPUTED_VALUE"""),"Charge")</f>
        <v>Charge</v>
      </c>
      <c r="AS359" s="32" t="str">
        <f>IFERROR(__xludf.DUMMYFUNCTION("""COMPUTED_VALUE"""),"Full Impact")</f>
        <v>Full Impact</v>
      </c>
      <c r="AT359" s="32" t="str">
        <f>IFERROR(__xludf.DUMMYFUNCTION("""COMPUTED_VALUE"""),"Increase")</f>
        <v>Increase</v>
      </c>
      <c r="AU359" s="32" t="str">
        <f>IFERROR(__xludf.DUMMYFUNCTION("""COMPUTED_VALUE"""),"Taunt (Mob)")</f>
        <v>Taunt (Mob)</v>
      </c>
      <c r="AV359" s="32" t="str">
        <f>IFERROR(__xludf.DUMMYFUNCTION("""COMPUTED_VALUE"""),"Call of the Paladin")</f>
        <v>Call of the Paladin</v>
      </c>
      <c r="AW359" s="32" t="str">
        <f>IFERROR(__xludf.DUMMYFUNCTION("""COMPUTED_VALUE"""),"Berserk")</f>
        <v>Berserk</v>
      </c>
      <c r="AX359" s="32"/>
      <c r="AY359" s="32"/>
      <c r="AZ359" s="32"/>
      <c r="BA359" s="32"/>
      <c r="BB359" s="32"/>
      <c r="BC359" s="32"/>
      <c r="BD359" s="32">
        <f>IFERROR(__xludf.DUMMYFUNCTION("""COMPUTED_VALUE"""),0.0)</f>
        <v>0</v>
      </c>
      <c r="BE359" s="32">
        <f>IFERROR(__xludf.DUMMYFUNCTION("""COMPUTED_VALUE"""),10.0)</f>
        <v>10</v>
      </c>
      <c r="BF359" s="3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32" t="str">
        <f>IFERROR(__xludf.DUMMYFUNCTION("""COMPUTED_VALUE"""),"All")</f>
        <v>All</v>
      </c>
      <c r="BH359" s="32" t="str">
        <f>IFERROR(__xludf.DUMMYFUNCTION("""COMPUTED_VALUE"""),"Land of Spira")</f>
        <v>Land of Spira</v>
      </c>
      <c r="BI359" s="32"/>
      <c r="BJ359" s="32"/>
      <c r="BK359" s="32"/>
      <c r="BL359" s="32" t="b">
        <f>IFERROR(__xludf.DUMMYFUNCTION("""COMPUTED_VALUE"""),FALSE)</f>
        <v>0</v>
      </c>
      <c r="BM359" s="32"/>
      <c r="BN359" s="32"/>
      <c r="BO359" s="32"/>
      <c r="BP359" s="32"/>
      <c r="BQ359" s="32"/>
    </row>
    <row r="360">
      <c r="A360" s="32" t="str">
        <f>IFERROR(__xludf.DUMMYFUNCTION("""COMPUTED_VALUE"""),"Ninja Trainee (Dragonscale)")</f>
        <v>Ninja Trainee (Dragonscale)</v>
      </c>
      <c r="B360" s="32">
        <f>IFERROR(__xludf.DUMMYFUNCTION("""COMPUTED_VALUE"""),1.0)</f>
        <v>1</v>
      </c>
      <c r="C360" s="32" t="str">
        <f>IFERROR(__xludf.DUMMYFUNCTION("""COMPUTED_VALUE"""),"A newbie Ninja on their first mission, and yet you'll still murder them ruthlessly won't you?")</f>
        <v>A newbie Ninja on their first mission, and yet you'll still murder them ruthlessly won't you?</v>
      </c>
      <c r="D360" s="32" t="str">
        <f>IFERROR(__xludf.DUMMYFUNCTION("""COMPUTED_VALUE"""),"Humanoid")</f>
        <v>Humanoid</v>
      </c>
      <c r="E360" s="32">
        <f>IFERROR(__xludf.DUMMYFUNCTION("""COMPUTED_VALUE"""),1010.0)</f>
        <v>1010</v>
      </c>
      <c r="F360" s="33">
        <f>IFERROR(__xludf.DUMMYFUNCTION("""COMPUTED_VALUE"""),1010.0)</f>
        <v>1010</v>
      </c>
      <c r="G360" s="32">
        <f>IFERROR(__xludf.DUMMYFUNCTION("""COMPUTED_VALUE"""),1010.0)</f>
        <v>1010</v>
      </c>
      <c r="H360" s="32">
        <f>IFERROR(__xludf.DUMMYFUNCTION("""COMPUTED_VALUE"""),15.0)</f>
        <v>15</v>
      </c>
      <c r="I360" s="32">
        <f>IFERROR(__xludf.DUMMYFUNCTION("""COMPUTED_VALUE"""),0.0)</f>
        <v>0</v>
      </c>
      <c r="J360" s="32">
        <f>IFERROR(__xludf.DUMMYFUNCTION("""COMPUTED_VALUE"""),0.0)</f>
        <v>0</v>
      </c>
      <c r="K360" s="32">
        <f>IFERROR(__xludf.DUMMYFUNCTION("""COMPUTED_VALUE"""),100.0)</f>
        <v>100</v>
      </c>
      <c r="L360" s="32">
        <f>IFERROR(__xludf.DUMMYFUNCTION("""COMPUTED_VALUE"""),100.0)</f>
        <v>100</v>
      </c>
      <c r="M360" s="32" t="str">
        <f>IFERROR(__xludf.DUMMYFUNCTION("""COMPUTED_VALUE"""),"Dark:250, Voodoo:250, Blood:250, Instant Death:Immune, ")</f>
        <v>Dark:250, Voodoo:250, Blood:250, Instant Death:Immune, </v>
      </c>
      <c r="N360" s="32" t="str">
        <f>IFERROR(__xludf.DUMMYFUNCTION("""COMPUTED_VALUE"""),"Light:500, Order:500, ")</f>
        <v>Light:500, Order:500, </v>
      </c>
      <c r="O360" s="32" t="str">
        <f>IFERROR(__xludf.DUMMYFUNCTION("""COMPUTED_VALUE"""),"Ninja Initiate's Cowl")</f>
        <v>Ninja Initiate's Cowl</v>
      </c>
      <c r="P360" s="32"/>
      <c r="Q360" s="32"/>
      <c r="R360" s="32"/>
      <c r="S360" s="32" t="str">
        <f>IFERROR(__xludf.DUMMYFUNCTION("""COMPUTED_VALUE"""),"Ninja Initiate's Cape")</f>
        <v>Ninja Initiate's Cape</v>
      </c>
      <c r="T360" s="32" t="str">
        <f>IFERROR(__xludf.DUMMYFUNCTION("""COMPUTED_VALUE"""),"Ninja Initiate's Vest")</f>
        <v>Ninja Initiate's Vest</v>
      </c>
      <c r="U360" s="32" t="str">
        <f>IFERROR(__xludf.DUMMYFUNCTION("""COMPUTED_VALUE"""),"Ninja Initiate's Gloves")</f>
        <v>Ninja Initiate's Gloves</v>
      </c>
      <c r="V360" s="32" t="str">
        <f>IFERROR(__xludf.DUMMYFUNCTION("""COMPUTED_VALUE"""),"Sai")</f>
        <v>Sai</v>
      </c>
      <c r="W360" s="32" t="str">
        <f>IFERROR(__xludf.DUMMYFUNCTION("""COMPUTED_VALUE"""),"Shuriken (Enhanced)")</f>
        <v>Shuriken (Enhanced)</v>
      </c>
      <c r="X360" s="32"/>
      <c r="Y360" s="32"/>
      <c r="Z360" s="32"/>
      <c r="AA360" s="32"/>
      <c r="AB360" s="32"/>
      <c r="AC360" s="32"/>
      <c r="AD360" s="32"/>
      <c r="AE360" s="32"/>
      <c r="AF360" s="32"/>
      <c r="AG360" s="32"/>
      <c r="AH360" s="32" t="str">
        <f>IFERROR(__xludf.DUMMYFUNCTION("""COMPUTED_VALUE"""),"Ninja Initiate's Sarouel")</f>
        <v>Ninja Initiate's Sarouel</v>
      </c>
      <c r="AI360" s="32" t="str">
        <f>IFERROR(__xludf.DUMMYFUNCTION("""COMPUTED_VALUE"""),"Ninja Initiate's Sandals")</f>
        <v>Ninja Initiate's Sandals</v>
      </c>
      <c r="AJ360" s="32" t="str">
        <f>IFERROR(__xludf.DUMMYFUNCTION("""COMPUTED_VALUE"""),"Conceal")</f>
        <v>Conceal</v>
      </c>
      <c r="AK360" s="32" t="str">
        <f>IFERROR(__xludf.DUMMYFUNCTION("""COMPUTED_VALUE"""),"Shadow Strike")</f>
        <v>Shadow Strike</v>
      </c>
      <c r="AL360" s="32" t="str">
        <f>IFERROR(__xludf.DUMMYFUNCTION("""COMPUTED_VALUE"""),"Melee Shield")</f>
        <v>Melee Shield</v>
      </c>
      <c r="AM360" s="32" t="str">
        <f>IFERROR(__xludf.DUMMYFUNCTION("""COMPUTED_VALUE"""),"Go For The Vitals")</f>
        <v>Go For The Vitals</v>
      </c>
      <c r="AN360" s="32" t="str">
        <f>IFERROR(__xludf.DUMMYFUNCTION("""COMPUTED_VALUE"""),"Mutagen")</f>
        <v>Mutagen</v>
      </c>
      <c r="AO360" s="32" t="str">
        <f>IFERROR(__xludf.DUMMYFUNCTION("""COMPUTED_VALUE"""),"Evade")</f>
        <v>Evade</v>
      </c>
      <c r="AP360" s="32"/>
      <c r="AQ360" s="32"/>
      <c r="AR360" s="32"/>
      <c r="AS360" s="32"/>
      <c r="AT360" s="32"/>
      <c r="AU360" s="32"/>
      <c r="AV360" s="32"/>
      <c r="AW360" s="32"/>
      <c r="AX360" s="32"/>
      <c r="AY360" s="32"/>
      <c r="AZ360" s="32"/>
      <c r="BA360" s="32"/>
      <c r="BB360" s="32"/>
      <c r="BC360" s="32"/>
      <c r="BD360" s="32">
        <f>IFERROR(__xludf.DUMMYFUNCTION("""COMPUTED_VALUE"""),0.0)</f>
        <v>0</v>
      </c>
      <c r="BE360" s="32">
        <f>IFERROR(__xludf.DUMMYFUNCTION("""COMPUTED_VALUE"""),15.0)</f>
        <v>15</v>
      </c>
      <c r="BF360" s="32"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32" t="str">
        <f>IFERROR(__xludf.DUMMYFUNCTION("""COMPUTED_VALUE"""),"All")</f>
        <v>All</v>
      </c>
      <c r="BH360" s="32" t="str">
        <f>IFERROR(__xludf.DUMMYFUNCTION("""COMPUTED_VALUE"""),"Dragonscale Island")</f>
        <v>Dragonscale Island</v>
      </c>
      <c r="BI360" s="32"/>
      <c r="BJ360" s="32"/>
      <c r="BK360" s="32"/>
      <c r="BL360" s="32" t="b">
        <f>IFERROR(__xludf.DUMMYFUNCTION("""COMPUTED_VALUE"""),FALSE)</f>
        <v>0</v>
      </c>
      <c r="BM360" s="32"/>
      <c r="BN360" s="32"/>
      <c r="BO360" s="32"/>
      <c r="BP360" s="32"/>
      <c r="BQ360" s="32"/>
    </row>
    <row r="361">
      <c r="A361" s="32" t="str">
        <f>IFERROR(__xludf.DUMMYFUNCTION("""COMPUTED_VALUE"""),"Ninja Ambusher (Dragonscale)")</f>
        <v>Ninja Ambusher (Dragonscale)</v>
      </c>
      <c r="B361" s="32">
        <f>IFERROR(__xludf.DUMMYFUNCTION("""COMPUTED_VALUE"""),1.0)</f>
        <v>1</v>
      </c>
      <c r="C361" s="32" t="str">
        <f>IFERROR(__xludf.DUMMYFUNCTION("""COMPUTED_VALUE"""),"An Intermediate Ninja who decided to follow the path of the shadows to become a master of stealth.")</f>
        <v>An Intermediate Ninja who decided to follow the path of the shadows to become a master of stealth.</v>
      </c>
      <c r="D361" s="32" t="str">
        <f>IFERROR(__xludf.DUMMYFUNCTION("""COMPUTED_VALUE"""),"Humanoid")</f>
        <v>Humanoid</v>
      </c>
      <c r="E361" s="32">
        <f>IFERROR(__xludf.DUMMYFUNCTION("""COMPUTED_VALUE"""),1010.0)</f>
        <v>1010</v>
      </c>
      <c r="F361" s="33">
        <f>IFERROR(__xludf.DUMMYFUNCTION("""COMPUTED_VALUE"""),1010.0)</f>
        <v>1010</v>
      </c>
      <c r="G361" s="32">
        <f>IFERROR(__xludf.DUMMYFUNCTION("""COMPUTED_VALUE"""),876010.0)</f>
        <v>876010</v>
      </c>
      <c r="H361" s="32">
        <f>IFERROR(__xludf.DUMMYFUNCTION("""COMPUTED_VALUE"""),20.0)</f>
        <v>20</v>
      </c>
      <c r="I361" s="32">
        <f>IFERROR(__xludf.DUMMYFUNCTION("""COMPUTED_VALUE"""),0.0)</f>
        <v>0</v>
      </c>
      <c r="J361" s="32">
        <f>IFERROR(__xludf.DUMMYFUNCTION("""COMPUTED_VALUE"""),0.0)</f>
        <v>0</v>
      </c>
      <c r="K361" s="32">
        <f>IFERROR(__xludf.DUMMYFUNCTION("""COMPUTED_VALUE"""),100.0)</f>
        <v>100</v>
      </c>
      <c r="L361" s="32">
        <f>IFERROR(__xludf.DUMMYFUNCTION("""COMPUTED_VALUE"""),100.0)</f>
        <v>100</v>
      </c>
      <c r="M361" s="32" t="str">
        <f>IFERROR(__xludf.DUMMYFUNCTION("""COMPUTED_VALUE"""),"Dark:250, Voodoo:250, Blood:250, Instant Death:Immune, ")</f>
        <v>Dark:250, Voodoo:250, Blood:250, Instant Death:Immune, </v>
      </c>
      <c r="N361" s="32" t="str">
        <f>IFERROR(__xludf.DUMMYFUNCTION("""COMPUTED_VALUE"""),"Light:250, Order:250, ")</f>
        <v>Light:250, Order:250, </v>
      </c>
      <c r="O361" s="32" t="str">
        <f>IFERROR(__xludf.DUMMYFUNCTION("""COMPUTED_VALUE"""),"Ambusher's Cowl")</f>
        <v>Ambusher's Cowl</v>
      </c>
      <c r="P361" s="32"/>
      <c r="Q361" s="32"/>
      <c r="R361" s="32"/>
      <c r="S361" s="32" t="str">
        <f>IFERROR(__xludf.DUMMYFUNCTION("""COMPUTED_VALUE"""),"Ambusher's Cape")</f>
        <v>Ambusher's Cape</v>
      </c>
      <c r="T361" s="32" t="str">
        <f>IFERROR(__xludf.DUMMYFUNCTION("""COMPUTED_VALUE"""),"Ambusher's Vest")</f>
        <v>Ambusher's Vest</v>
      </c>
      <c r="U361" s="32" t="str">
        <f>IFERROR(__xludf.DUMMYFUNCTION("""COMPUTED_VALUE"""),"Ambusher's Gloves")</f>
        <v>Ambusher's Gloves</v>
      </c>
      <c r="V361" s="32" t="str">
        <f>IFERROR(__xludf.DUMMYFUNCTION("""COMPUTED_VALUE"""),"Sai")</f>
        <v>Sai</v>
      </c>
      <c r="W361" s="32" t="str">
        <f>IFERROR(__xludf.DUMMYFUNCTION("""COMPUTED_VALUE"""),"Shuriken (Enhanced)")</f>
        <v>Shuriken (Enhanced)</v>
      </c>
      <c r="X361" s="32" t="str">
        <f>IFERROR(__xludf.DUMMYFUNCTION("""COMPUTED_VALUE"""),"Ring o' Villainy and Voodoo")</f>
        <v>Ring o' Villainy and Voodoo</v>
      </c>
      <c r="Y361" s="32" t="str">
        <f>IFERROR(__xludf.DUMMYFUNCTION("""COMPUTED_VALUE"""),"Ring o' Spite and Blood")</f>
        <v>Ring o' Spite and Blood</v>
      </c>
      <c r="Z361" s="32"/>
      <c r="AA361" s="32"/>
      <c r="AB361" s="32"/>
      <c r="AC361" s="32"/>
      <c r="AD361" s="32"/>
      <c r="AE361" s="32"/>
      <c r="AF361" s="32"/>
      <c r="AG361" s="32"/>
      <c r="AH361" s="32" t="str">
        <f>IFERROR(__xludf.DUMMYFUNCTION("""COMPUTED_VALUE"""),"Ambusher's Sarouel")</f>
        <v>Ambusher's Sarouel</v>
      </c>
      <c r="AI361" s="32" t="str">
        <f>IFERROR(__xludf.DUMMYFUNCTION("""COMPUTED_VALUE"""),"Ambusher's Sandals")</f>
        <v>Ambusher's Sandals</v>
      </c>
      <c r="AJ361" s="32" t="str">
        <f>IFERROR(__xludf.DUMMYFUNCTION("""COMPUTED_VALUE"""),"Conceal")</f>
        <v>Conceal</v>
      </c>
      <c r="AK361" s="32" t="str">
        <f>IFERROR(__xludf.DUMMYFUNCTION("""COMPUTED_VALUE"""),"Shadow Strike")</f>
        <v>Shadow Strike</v>
      </c>
      <c r="AL361" s="32" t="str">
        <f>IFERROR(__xludf.DUMMYFUNCTION("""COMPUTED_VALUE"""),"Melee Shield")</f>
        <v>Melee Shield</v>
      </c>
      <c r="AM361" s="32" t="str">
        <f>IFERROR(__xludf.DUMMYFUNCTION("""COMPUTED_VALUE"""),"Go For The Vitals")</f>
        <v>Go For The Vitals</v>
      </c>
      <c r="AN361" s="32" t="str">
        <f>IFERROR(__xludf.DUMMYFUNCTION("""COMPUTED_VALUE"""),"Mutagen")</f>
        <v>Mutagen</v>
      </c>
      <c r="AO361" s="32" t="str">
        <f>IFERROR(__xludf.DUMMYFUNCTION("""COMPUTED_VALUE"""),"Max Focus")</f>
        <v>Max Focus</v>
      </c>
      <c r="AP361" s="32" t="str">
        <f>IFERROR(__xludf.DUMMYFUNCTION("""COMPUTED_VALUE"""),"Max Evade")</f>
        <v>Max Evade</v>
      </c>
      <c r="AQ361" s="32" t="str">
        <f>IFERROR(__xludf.DUMMYFUNCTION("""COMPUTED_VALUE"""),"Evade")</f>
        <v>Evade</v>
      </c>
      <c r="AR361" s="32" t="str">
        <f>IFERROR(__xludf.DUMMYFUNCTION("""COMPUTED_VALUE"""),"Chains of Shadow")</f>
        <v>Chains of Shadow</v>
      </c>
      <c r="AS361" s="32" t="str">
        <f>IFERROR(__xludf.DUMMYFUNCTION("""COMPUTED_VALUE"""),"Bleeding Catastrophe")</f>
        <v>Bleeding Catastrophe</v>
      </c>
      <c r="AT361" s="32" t="str">
        <f>IFERROR(__xludf.DUMMYFUNCTION("""COMPUTED_VALUE"""),"Bloody Knuckles")</f>
        <v>Bloody Knuckles</v>
      </c>
      <c r="AU361" s="32" t="str">
        <f>IFERROR(__xludf.DUMMYFUNCTION("""COMPUTED_VALUE"""),"Celestial Wrath")</f>
        <v>Celestial Wrath</v>
      </c>
      <c r="AV361" s="32"/>
      <c r="AW361" s="32"/>
      <c r="AX361" s="32"/>
      <c r="AY361" s="32"/>
      <c r="AZ361" s="32"/>
      <c r="BA361" s="32"/>
      <c r="BB361" s="32"/>
      <c r="BC361" s="32"/>
      <c r="BD361" s="32">
        <f>IFERROR(__xludf.DUMMYFUNCTION("""COMPUTED_VALUE"""),0.0)</f>
        <v>0</v>
      </c>
      <c r="BE361" s="32">
        <f>IFERROR(__xludf.DUMMYFUNCTION("""COMPUTED_VALUE"""),25.0)</f>
        <v>25</v>
      </c>
      <c r="BF361" s="32"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32" t="str">
        <f>IFERROR(__xludf.DUMMYFUNCTION("""COMPUTED_VALUE"""),"All")</f>
        <v>All</v>
      </c>
      <c r="BH361" s="32" t="str">
        <f>IFERROR(__xludf.DUMMYFUNCTION("""COMPUTED_VALUE"""),"Dragonscale Island")</f>
        <v>Dragonscale Island</v>
      </c>
      <c r="BI361" s="32"/>
      <c r="BJ361" s="32"/>
      <c r="BK361" s="32"/>
      <c r="BL361" s="32" t="b">
        <f>IFERROR(__xludf.DUMMYFUNCTION("""COMPUTED_VALUE"""),FALSE)</f>
        <v>0</v>
      </c>
      <c r="BM361" s="32"/>
      <c r="BN361" s="32"/>
      <c r="BO361" s="32"/>
      <c r="BP361" s="32"/>
      <c r="BQ361" s="32"/>
    </row>
    <row r="362">
      <c r="A362" s="32" t="str">
        <f>IFERROR(__xludf.DUMMYFUNCTION("""COMPUTED_VALUE"""),"Ninja Poison Master (Dragonscale)")</f>
        <v>Ninja Poison Master (Dragonscale)</v>
      </c>
      <c r="B362" s="32">
        <f>IFERROR(__xludf.DUMMYFUNCTION("""COMPUTED_VALUE"""),1.0)</f>
        <v>1</v>
      </c>
      <c r="C362" s="32"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32" t="str">
        <f>IFERROR(__xludf.DUMMYFUNCTION("""COMPUTED_VALUE"""),"Humanoid")</f>
        <v>Humanoid</v>
      </c>
      <c r="E362" s="32">
        <f>IFERROR(__xludf.DUMMYFUNCTION("""COMPUTED_VALUE"""),1010.0)</f>
        <v>1010</v>
      </c>
      <c r="F362" s="33">
        <f>IFERROR(__xludf.DUMMYFUNCTION("""COMPUTED_VALUE"""),1010.0)</f>
        <v>1010</v>
      </c>
      <c r="G362" s="32">
        <f>IFERROR(__xludf.DUMMYFUNCTION("""COMPUTED_VALUE"""),751010.0)</f>
        <v>751010</v>
      </c>
      <c r="H362" s="32">
        <f>IFERROR(__xludf.DUMMYFUNCTION("""COMPUTED_VALUE"""),20.0)</f>
        <v>20</v>
      </c>
      <c r="I362" s="32">
        <f>IFERROR(__xludf.DUMMYFUNCTION("""COMPUTED_VALUE"""),0.0)</f>
        <v>0</v>
      </c>
      <c r="J362" s="32">
        <f>IFERROR(__xludf.DUMMYFUNCTION("""COMPUTED_VALUE"""),0.0)</f>
        <v>0</v>
      </c>
      <c r="K362" s="32">
        <f>IFERROR(__xludf.DUMMYFUNCTION("""COMPUTED_VALUE"""),100.0)</f>
        <v>100</v>
      </c>
      <c r="L362" s="32">
        <f>IFERROR(__xludf.DUMMYFUNCTION("""COMPUTED_VALUE"""),100.0)</f>
        <v>100</v>
      </c>
      <c r="M362" s="32" t="str">
        <f>IFERROR(__xludf.DUMMYFUNCTION("""COMPUTED_VALUE"""),"Dark:250, Voodoo:250, Blood:250, Zen:Immune, Instant Death:Immune, ")</f>
        <v>Dark:250, Voodoo:250, Blood:250, Zen:Immune, Instant Death:Immune, </v>
      </c>
      <c r="N362" s="32" t="str">
        <f>IFERROR(__xludf.DUMMYFUNCTION("""COMPUTED_VALUE"""),"Light:250, Order:250, ")</f>
        <v>Light:250, Order:250, </v>
      </c>
      <c r="O362" s="32" t="str">
        <f>IFERROR(__xludf.DUMMYFUNCTION("""COMPUTED_VALUE"""),"Poison Master's Mask")</f>
        <v>Poison Master's Mask</v>
      </c>
      <c r="P362" s="32"/>
      <c r="Q362" s="32"/>
      <c r="R362" s="32"/>
      <c r="S362" s="32" t="str">
        <f>IFERROR(__xludf.DUMMYFUNCTION("""COMPUTED_VALUE"""),"Poison Master's Cape")</f>
        <v>Poison Master's Cape</v>
      </c>
      <c r="T362" s="32" t="str">
        <f>IFERROR(__xludf.DUMMYFUNCTION("""COMPUTED_VALUE"""),"Poison Master's Robe")</f>
        <v>Poison Master's Robe</v>
      </c>
      <c r="U362" s="32" t="str">
        <f>IFERROR(__xludf.DUMMYFUNCTION("""COMPUTED_VALUE"""),"Poison Master's Heavy Duty Gloves")</f>
        <v>Poison Master's Heavy Duty Gloves</v>
      </c>
      <c r="V362" s="32" t="str">
        <f>IFERROR(__xludf.DUMMYFUNCTION("""COMPUTED_VALUE"""),"Poison Tipped Needle")</f>
        <v>Poison Tipped Needle</v>
      </c>
      <c r="W362" s="32" t="str">
        <f>IFERROR(__xludf.DUMMYFUNCTION("""COMPUTED_VALUE"""),"Poison Dart Gun")</f>
        <v>Poison Dart Gun</v>
      </c>
      <c r="X362" s="32" t="str">
        <f>IFERROR(__xludf.DUMMYFUNCTION("""COMPUTED_VALUE"""),"Ring o’ Luck and Nature")</f>
        <v>Ring o’ Luck and Nature</v>
      </c>
      <c r="Y362" s="32" t="str">
        <f>IFERROR(__xludf.DUMMYFUNCTION("""COMPUTED_VALUE"""),"Ring o' Villainy and Voodoo")</f>
        <v>Ring o' Villainy and Voodoo</v>
      </c>
      <c r="Z362" s="32"/>
      <c r="AA362" s="32"/>
      <c r="AB362" s="32"/>
      <c r="AC362" s="32"/>
      <c r="AD362" s="32"/>
      <c r="AE362" s="32"/>
      <c r="AF362" s="32"/>
      <c r="AG362" s="32"/>
      <c r="AH362" s="32" t="str">
        <f>IFERROR(__xludf.DUMMYFUNCTION("""COMPUTED_VALUE"""),"Poison Master's Sarouel")</f>
        <v>Poison Master's Sarouel</v>
      </c>
      <c r="AI362" s="32" t="str">
        <f>IFERROR(__xludf.DUMMYFUNCTION("""COMPUTED_VALUE"""),"Poison Master's Boots")</f>
        <v>Poison Master's Boots</v>
      </c>
      <c r="AJ362" s="32" t="str">
        <f>IFERROR(__xludf.DUMMYFUNCTION("""COMPUTED_VALUE"""),"Conceal")</f>
        <v>Conceal</v>
      </c>
      <c r="AK362" s="32" t="str">
        <f>IFERROR(__xludf.DUMMYFUNCTION("""COMPUTED_VALUE"""),"Shadow Strike")</f>
        <v>Shadow Strike</v>
      </c>
      <c r="AL362" s="32" t="str">
        <f>IFERROR(__xludf.DUMMYFUNCTION("""COMPUTED_VALUE"""),"Melee Shield")</f>
        <v>Melee Shield</v>
      </c>
      <c r="AM362" s="32" t="str">
        <f>IFERROR(__xludf.DUMMYFUNCTION("""COMPUTED_VALUE"""),"Go For The Vitals")</f>
        <v>Go For The Vitals</v>
      </c>
      <c r="AN362" s="32" t="str">
        <f>IFERROR(__xludf.DUMMYFUNCTION("""COMPUTED_VALUE"""),"Devolve")</f>
        <v>Devolve</v>
      </c>
      <c r="AO362" s="32" t="str">
        <f>IFERROR(__xludf.DUMMYFUNCTION("""COMPUTED_VALUE"""),"Warcrimes")</f>
        <v>Warcrimes</v>
      </c>
      <c r="AP362" s="32" t="str">
        <f>IFERROR(__xludf.DUMMYFUNCTION("""COMPUTED_VALUE"""),"Poison Flask")</f>
        <v>Poison Flask</v>
      </c>
      <c r="AQ362" s="32" t="str">
        <f>IFERROR(__xludf.DUMMYFUNCTION("""COMPUTED_VALUE"""),"1000 Poisons Body")</f>
        <v>1000 Poisons Body</v>
      </c>
      <c r="AR362" s="32" t="str">
        <f>IFERROR(__xludf.DUMMYFUNCTION("""COMPUTED_VALUE"""),"Contagion")</f>
        <v>Contagion</v>
      </c>
      <c r="AS362" s="32" t="str">
        <f>IFERROR(__xludf.DUMMYFUNCTION("""COMPUTED_VALUE"""),"Mutagen")</f>
        <v>Mutagen</v>
      </c>
      <c r="AT362" s="32" t="str">
        <f>IFERROR(__xludf.DUMMYFUNCTION("""COMPUTED_VALUE"""),"Foresight")</f>
        <v>Foresight</v>
      </c>
      <c r="AU362" s="32" t="str">
        <f>IFERROR(__xludf.DUMMYFUNCTION("""COMPUTED_VALUE"""),"Evade")</f>
        <v>Evade</v>
      </c>
      <c r="AV362" s="32" t="str">
        <f>IFERROR(__xludf.DUMMYFUNCTION("""COMPUTED_VALUE"""),"Celestial Wrath")</f>
        <v>Celestial Wrath</v>
      </c>
      <c r="AW362" s="32" t="str">
        <f>IFERROR(__xludf.DUMMYFUNCTION("""COMPUTED_VALUE"""),"Cancel")</f>
        <v>Cancel</v>
      </c>
      <c r="AX362" s="32" t="str">
        <f>IFERROR(__xludf.DUMMYFUNCTION("""COMPUTED_VALUE"""),"Last Chance")</f>
        <v>Last Chance</v>
      </c>
      <c r="AY362" s="32" t="str">
        <f>IFERROR(__xludf.DUMMYFUNCTION("""COMPUTED_VALUE"""),"Confiscate")</f>
        <v>Confiscate</v>
      </c>
      <c r="AZ362" s="32" t="str">
        <f>IFERROR(__xludf.DUMMYFUNCTION("""COMPUTED_VALUE"""),"Chaincast")</f>
        <v>Chaincast</v>
      </c>
      <c r="BA362" s="32"/>
      <c r="BB362" s="32"/>
      <c r="BC362" s="32"/>
      <c r="BD362" s="32">
        <f>IFERROR(__xludf.DUMMYFUNCTION("""COMPUTED_VALUE"""),0.0)</f>
        <v>0</v>
      </c>
      <c r="BE362" s="32">
        <f>IFERROR(__xludf.DUMMYFUNCTION("""COMPUTED_VALUE"""),20.0)</f>
        <v>20</v>
      </c>
      <c r="BF362" s="32"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32" t="str">
        <f>IFERROR(__xludf.DUMMYFUNCTION("""COMPUTED_VALUE"""),"All")</f>
        <v>All</v>
      </c>
      <c r="BH362" s="32" t="str">
        <f>IFERROR(__xludf.DUMMYFUNCTION("""COMPUTED_VALUE"""),"Dragonscale Island")</f>
        <v>Dragonscale Island</v>
      </c>
      <c r="BI362" s="32"/>
      <c r="BJ362" s="32"/>
      <c r="BK362" s="32"/>
      <c r="BL362" s="32" t="b">
        <f>IFERROR(__xludf.DUMMYFUNCTION("""COMPUTED_VALUE"""),FALSE)</f>
        <v>0</v>
      </c>
      <c r="BM362" s="32"/>
      <c r="BN362" s="32"/>
      <c r="BO362" s="32"/>
      <c r="BP362" s="32"/>
      <c r="BQ362" s="32"/>
    </row>
    <row r="363">
      <c r="A363" s="32" t="str">
        <f>IFERROR(__xludf.DUMMYFUNCTION("""COMPUTED_VALUE"""),"Ninja Master (Dragonscale)")</f>
        <v>Ninja Master (Dragonscale)</v>
      </c>
      <c r="B363" s="32">
        <f>IFERROR(__xludf.DUMMYFUNCTION("""COMPUTED_VALUE"""),1.0)</f>
        <v>1</v>
      </c>
      <c r="C363" s="32" t="str">
        <f>IFERROR(__xludf.DUMMYFUNCTION("""COMPUTED_VALUE"""),"A great martial master of one of the ninja groups, generally an Elder or other high ranking warrior.")</f>
        <v>A great martial master of one of the ninja groups, generally an Elder or other high ranking warrior.</v>
      </c>
      <c r="D363" s="32" t="str">
        <f>IFERROR(__xludf.DUMMYFUNCTION("""COMPUTED_VALUE"""),"Heavenly")</f>
        <v>Heavenly</v>
      </c>
      <c r="E363" s="32">
        <f>IFERROR(__xludf.DUMMYFUNCTION("""COMPUTED_VALUE"""),1010.0)</f>
        <v>1010</v>
      </c>
      <c r="F363" s="33">
        <f>IFERROR(__xludf.DUMMYFUNCTION("""COMPUTED_VALUE"""),1010.0)</f>
        <v>1010</v>
      </c>
      <c r="G363" s="32">
        <f>IFERROR(__xludf.DUMMYFUNCTION("""COMPUTED_VALUE"""),126010.0)</f>
        <v>126010</v>
      </c>
      <c r="H363" s="32">
        <f>IFERROR(__xludf.DUMMYFUNCTION("""COMPUTED_VALUE"""),25.0)</f>
        <v>25</v>
      </c>
      <c r="I363" s="32">
        <f>IFERROR(__xludf.DUMMYFUNCTION("""COMPUTED_VALUE"""),0.0)</f>
        <v>0</v>
      </c>
      <c r="J363" s="32">
        <f>IFERROR(__xludf.DUMMYFUNCTION("""COMPUTED_VALUE"""),0.0)</f>
        <v>0</v>
      </c>
      <c r="K363" s="32">
        <f>IFERROR(__xludf.DUMMYFUNCTION("""COMPUTED_VALUE"""),100.0)</f>
        <v>100</v>
      </c>
      <c r="L363" s="32">
        <f>IFERROR(__xludf.DUMMYFUNCTION("""COMPUTED_VALUE"""),100.0)</f>
        <v>100</v>
      </c>
      <c r="M363" s="32" t="str">
        <f>IFERROR(__xludf.DUMMYFUNCTION("""COMPUTED_VALUE"""),"Dark:500, Voodoo:Immune, Blood:Immune, Zen:Immune, Instant Death:Immune, Banishment:Immune, ")</f>
        <v>Dark:500, Voodoo:Immune, Blood:Immune, Zen:Immune, Instant Death:Immune, Banishment:Immune, </v>
      </c>
      <c r="N363" s="32" t="str">
        <f>IFERROR(__xludf.DUMMYFUNCTION("""COMPUTED_VALUE"""),"Light:100, Order:100, ")</f>
        <v>Light:100, Order:100, </v>
      </c>
      <c r="O363" s="32" t="str">
        <f>IFERROR(__xludf.DUMMYFUNCTION("""COMPUTED_VALUE"""),"Mask of Creeping Darkness")</f>
        <v>Mask of Creeping Darkness</v>
      </c>
      <c r="P363" s="32"/>
      <c r="Q363" s="32"/>
      <c r="R363" s="32"/>
      <c r="S363" s="32" t="str">
        <f>IFERROR(__xludf.DUMMYFUNCTION("""COMPUTED_VALUE"""),"Cape of Illusion")</f>
        <v>Cape of Illusion</v>
      </c>
      <c r="T363" s="32" t="str">
        <f>IFERROR(__xludf.DUMMYFUNCTION("""COMPUTED_VALUE"""),"Chest of Evershifting Darkness")</f>
        <v>Chest of Evershifting Darkness</v>
      </c>
      <c r="U363" s="32" t="str">
        <f>IFERROR(__xludf.DUMMYFUNCTION("""COMPUTED_VALUE"""),"Silken Gloves of Dexterity")</f>
        <v>Silken Gloves of Dexterity</v>
      </c>
      <c r="V363" s="32" t="str">
        <f>IFERROR(__xludf.DUMMYFUNCTION("""COMPUTED_VALUE"""),"Assassin's Kiss")</f>
        <v>Assassin's Kiss</v>
      </c>
      <c r="W363" s="32" t="str">
        <f>IFERROR(__xludf.DUMMYFUNCTION("""COMPUTED_VALUE"""),"Night's Edge")</f>
        <v>Night's Edge</v>
      </c>
      <c r="X363" s="32" t="str">
        <f>IFERROR(__xludf.DUMMYFUNCTION("""COMPUTED_VALUE"""),"Ring o' Neurodivergance and Spirit")</f>
        <v>Ring o' Neurodivergance and Spirit</v>
      </c>
      <c r="Y363" s="32" t="str">
        <f>IFERROR(__xludf.DUMMYFUNCTION("""COMPUTED_VALUE"""),"Ring o' Villainy and Voodoo")</f>
        <v>Ring o' Villainy and Voodoo</v>
      </c>
      <c r="Z363" s="32" t="str">
        <f>IFERROR(__xludf.DUMMYFUNCTION("""COMPUTED_VALUE"""),"Ring o' Spite and Blood")</f>
        <v>Ring o' Spite and Blood</v>
      </c>
      <c r="AA363" s="32"/>
      <c r="AB363" s="32"/>
      <c r="AC363" s="32"/>
      <c r="AD363" s="32"/>
      <c r="AE363" s="32"/>
      <c r="AF363" s="32"/>
      <c r="AG363" s="32"/>
      <c r="AH363" s="32" t="str">
        <f>IFERROR(__xludf.DUMMYFUNCTION("""COMPUTED_VALUE"""),"Leggings of Swift Death")</f>
        <v>Leggings of Swift Death</v>
      </c>
      <c r="AI363" s="32" t="str">
        <f>IFERROR(__xludf.DUMMYFUNCTION("""COMPUTED_VALUE"""),"Leather Boots of EDGINESS")</f>
        <v>Leather Boots of EDGINESS</v>
      </c>
      <c r="AJ363" s="32" t="str">
        <f>IFERROR(__xludf.DUMMYFUNCTION("""COMPUTED_VALUE"""),"Conceal")</f>
        <v>Conceal</v>
      </c>
      <c r="AK363" s="32" t="str">
        <f>IFERROR(__xludf.DUMMYFUNCTION("""COMPUTED_VALUE"""),"Shadow Strike")</f>
        <v>Shadow Strike</v>
      </c>
      <c r="AL363" s="32" t="str">
        <f>IFERROR(__xludf.DUMMYFUNCTION("""COMPUTED_VALUE"""),"Melee Shield")</f>
        <v>Melee Shield</v>
      </c>
      <c r="AM363" s="32" t="str">
        <f>IFERROR(__xludf.DUMMYFUNCTION("""COMPUTED_VALUE"""),"Go For The Vitals")</f>
        <v>Go For The Vitals</v>
      </c>
      <c r="AN363" s="32" t="str">
        <f>IFERROR(__xludf.DUMMYFUNCTION("""COMPUTED_VALUE"""),"Mutagen")</f>
        <v>Mutagen</v>
      </c>
      <c r="AO363" s="32" t="str">
        <f>IFERROR(__xludf.DUMMYFUNCTION("""COMPUTED_VALUE"""),"Max Focus")</f>
        <v>Max Focus</v>
      </c>
      <c r="AP363" s="32" t="str">
        <f>IFERROR(__xludf.DUMMYFUNCTION("""COMPUTED_VALUE"""),"Max Evade")</f>
        <v>Max Evade</v>
      </c>
      <c r="AQ363" s="32" t="str">
        <f>IFERROR(__xludf.DUMMYFUNCTION("""COMPUTED_VALUE"""),"Foresight")</f>
        <v>Foresight</v>
      </c>
      <c r="AR363" s="32" t="str">
        <f>IFERROR(__xludf.DUMMYFUNCTION("""COMPUTED_VALUE"""),"Evade")</f>
        <v>Evade</v>
      </c>
      <c r="AS363" s="32" t="str">
        <f>IFERROR(__xludf.DUMMYFUNCTION("""COMPUTED_VALUE"""),"Chains of Shadow")</f>
        <v>Chains of Shadow</v>
      </c>
      <c r="AT363" s="32" t="str">
        <f>IFERROR(__xludf.DUMMYFUNCTION("""COMPUTED_VALUE"""),"Celestial Wrath")</f>
        <v>Celestial Wrath</v>
      </c>
      <c r="AU363" s="32" t="str">
        <f>IFERROR(__xludf.DUMMYFUNCTION("""COMPUTED_VALUE"""),"Cancel")</f>
        <v>Cancel</v>
      </c>
      <c r="AV363" s="32" t="str">
        <f>IFERROR(__xludf.DUMMYFUNCTION("""COMPUTED_VALUE"""),"Last Chance")</f>
        <v>Last Chance</v>
      </c>
      <c r="AW363" s="32" t="str">
        <f>IFERROR(__xludf.DUMMYFUNCTION("""COMPUTED_VALUE"""),"Confiscate")</f>
        <v>Confiscate</v>
      </c>
      <c r="AX363" s="32" t="str">
        <f>IFERROR(__xludf.DUMMYFUNCTION("""COMPUTED_VALUE"""),"Chaincast")</f>
        <v>Chaincast</v>
      </c>
      <c r="AY363" s="32"/>
      <c r="AZ363" s="32"/>
      <c r="BA363" s="32"/>
      <c r="BB363" s="32"/>
      <c r="BC363" s="32"/>
      <c r="BD363" s="32">
        <f>IFERROR(__xludf.DUMMYFUNCTION("""COMPUTED_VALUE"""),0.0)</f>
        <v>0</v>
      </c>
      <c r="BE363" s="32">
        <f>IFERROR(__xludf.DUMMYFUNCTION("""COMPUTED_VALUE"""),25.0)</f>
        <v>25</v>
      </c>
      <c r="BF363" s="32"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32" t="str">
        <f>IFERROR(__xludf.DUMMYFUNCTION("""COMPUTED_VALUE"""),"All")</f>
        <v>All</v>
      </c>
      <c r="BH363" s="32" t="str">
        <f>IFERROR(__xludf.DUMMYFUNCTION("""COMPUTED_VALUE"""),"Dragonscale Island")</f>
        <v>Dragonscale Island</v>
      </c>
      <c r="BI363" s="32"/>
      <c r="BJ363" s="32"/>
      <c r="BK363" s="32"/>
      <c r="BL363" s="32" t="b">
        <f>IFERROR(__xludf.DUMMYFUNCTION("""COMPUTED_VALUE"""),FALSE)</f>
        <v>0</v>
      </c>
      <c r="BM363" s="32"/>
      <c r="BN363" s="32"/>
      <c r="BO363" s="32"/>
      <c r="BP363" s="32"/>
      <c r="BQ363" s="32"/>
    </row>
    <row r="364">
      <c r="A364" s="32" t="str">
        <f>IFERROR(__xludf.DUMMYFUNCTION("""COMPUTED_VALUE"""),"Wolf")</f>
        <v>Wolf</v>
      </c>
      <c r="B364" s="32">
        <f>IFERROR(__xludf.DUMMYFUNCTION("""COMPUTED_VALUE"""),1.0)</f>
        <v>1</v>
      </c>
      <c r="C364" s="32" t="str">
        <f>IFERROR(__xludf.DUMMYFUNCTION("""COMPUTED_VALUE"""),"A simple wild beast found in the many forests and plains of spira")</f>
        <v>A simple wild beast found in the many forests and plains of spira</v>
      </c>
      <c r="D364" s="32" t="str">
        <f>IFERROR(__xludf.DUMMYFUNCTION("""COMPUTED_VALUE"""),"Beast")</f>
        <v>Beast</v>
      </c>
      <c r="E364" s="32">
        <f>IFERROR(__xludf.DUMMYFUNCTION("""COMPUTED_VALUE"""),1010.0)</f>
        <v>1010</v>
      </c>
      <c r="F364" s="33">
        <f>IFERROR(__xludf.DUMMYFUNCTION("""COMPUTED_VALUE"""),1010.0)</f>
        <v>1010</v>
      </c>
      <c r="G364" s="32">
        <f>IFERROR(__xludf.DUMMYFUNCTION("""COMPUTED_VALUE"""),1010.0)</f>
        <v>1010</v>
      </c>
      <c r="H364" s="32">
        <f>IFERROR(__xludf.DUMMYFUNCTION("""COMPUTED_VALUE"""),10.0)</f>
        <v>10</v>
      </c>
      <c r="I364" s="32">
        <f>IFERROR(__xludf.DUMMYFUNCTION("""COMPUTED_VALUE"""),0.0)</f>
        <v>0</v>
      </c>
      <c r="J364" s="32">
        <f>IFERROR(__xludf.DUMMYFUNCTION("""COMPUTED_VALUE"""),0.0)</f>
        <v>0</v>
      </c>
      <c r="K364" s="32">
        <f>IFERROR(__xludf.DUMMYFUNCTION("""COMPUTED_VALUE"""),100.0)</f>
        <v>100</v>
      </c>
      <c r="L364" s="32">
        <f>IFERROR(__xludf.DUMMYFUNCTION("""COMPUTED_VALUE"""),100.0)</f>
        <v>100</v>
      </c>
      <c r="M364" s="32" t="str">
        <f>IFERROR(__xludf.DUMMYFUNCTION("""COMPUTED_VALUE"""),"")</f>
        <v/>
      </c>
      <c r="N364" s="32" t="str">
        <f>IFERROR(__xludf.DUMMYFUNCTION("""COMPUTED_VALUE"""),"")</f>
        <v/>
      </c>
      <c r="O364" s="32"/>
      <c r="P364" s="32"/>
      <c r="Q364" s="32"/>
      <c r="R364" s="32"/>
      <c r="S364" s="32"/>
      <c r="T364" s="32"/>
      <c r="U364" s="32"/>
      <c r="V364" s="32"/>
      <c r="W364" s="32"/>
      <c r="X364" s="32"/>
      <c r="Y364" s="32"/>
      <c r="Z364" s="32"/>
      <c r="AA364" s="32"/>
      <c r="AB364" s="32"/>
      <c r="AC364" s="32"/>
      <c r="AD364" s="32"/>
      <c r="AE364" s="32"/>
      <c r="AF364" s="32"/>
      <c r="AG364" s="32"/>
      <c r="AH364" s="32"/>
      <c r="AI364" s="32"/>
      <c r="AJ364" s="32" t="str">
        <f>IFERROR(__xludf.DUMMYFUNCTION("""COMPUTED_VALUE"""),"Bite")</f>
        <v>Bite</v>
      </c>
      <c r="AK364" s="32" t="str">
        <f>IFERROR(__xludf.DUMMYFUNCTION("""COMPUTED_VALUE"""),"Claws")</f>
        <v>Claws</v>
      </c>
      <c r="AL364" s="32" t="str">
        <f>IFERROR(__xludf.DUMMYFUNCTION("""COMPUTED_VALUE"""),"Lunge")</f>
        <v>Lunge</v>
      </c>
      <c r="AM364" s="32"/>
      <c r="AN364" s="32"/>
      <c r="AO364" s="32"/>
      <c r="AP364" s="32"/>
      <c r="AQ364" s="32"/>
      <c r="AR364" s="32"/>
      <c r="AS364" s="32"/>
      <c r="AT364" s="32"/>
      <c r="AU364" s="32"/>
      <c r="AV364" s="32"/>
      <c r="AW364" s="32"/>
      <c r="AX364" s="32"/>
      <c r="AY364" s="32"/>
      <c r="AZ364" s="32"/>
      <c r="BA364" s="32"/>
      <c r="BB364" s="32"/>
      <c r="BC364" s="32"/>
      <c r="BD364" s="32">
        <f>IFERROR(__xludf.DUMMYFUNCTION("""COMPUTED_VALUE"""),0.0)</f>
        <v>0</v>
      </c>
      <c r="BE364" s="32">
        <f>IFERROR(__xludf.DUMMYFUNCTION("""COMPUTED_VALUE"""),10.0)</f>
        <v>10</v>
      </c>
      <c r="BF364" s="32"/>
      <c r="BG364" s="32" t="str">
        <f>IFERROR(__xludf.DUMMYFUNCTION("""COMPUTED_VALUE"""),"All")</f>
        <v>All</v>
      </c>
      <c r="BH364" s="32" t="str">
        <f>IFERROR(__xludf.DUMMYFUNCTION("""COMPUTED_VALUE"""),"Land of Spira")</f>
        <v>Land of Spira</v>
      </c>
      <c r="BI364" s="32"/>
      <c r="BJ364" s="32"/>
      <c r="BK364" s="32"/>
      <c r="BL364" s="32" t="b">
        <f>IFERROR(__xludf.DUMMYFUNCTION("""COMPUTED_VALUE"""),FALSE)</f>
        <v>0</v>
      </c>
      <c r="BM364" s="32"/>
      <c r="BN364" s="32"/>
      <c r="BO364" s="32"/>
      <c r="BP364" s="32"/>
      <c r="BQ364" s="32"/>
    </row>
    <row r="365">
      <c r="A365" s="32" t="str">
        <f>IFERROR(__xludf.DUMMYFUNCTION("""COMPUTED_VALUE"""),"Imp")</f>
        <v>Imp</v>
      </c>
      <c r="B365" s="32">
        <f>IFERROR(__xludf.DUMMYFUNCTION("""COMPUTED_VALUE"""),1.0)</f>
        <v>1</v>
      </c>
      <c r="C365" s="32" t="str">
        <f>IFERROR(__xludf.DUMMYFUNCTION("""COMPUTED_VALUE"""),"The lowest variety of devil, incapable of speach")</f>
        <v>The lowest variety of devil, incapable of speach</v>
      </c>
      <c r="D365" s="32" t="str">
        <f>IFERROR(__xludf.DUMMYFUNCTION("""COMPUTED_VALUE"""),"Demonic")</f>
        <v>Demonic</v>
      </c>
      <c r="E365" s="32">
        <f>IFERROR(__xludf.DUMMYFUNCTION("""COMPUTED_VALUE"""),1010.0)</f>
        <v>1010</v>
      </c>
      <c r="F365" s="33">
        <f>IFERROR(__xludf.DUMMYFUNCTION("""COMPUTED_VALUE"""),1010.0)</f>
        <v>1010</v>
      </c>
      <c r="G365" s="32">
        <f>IFERROR(__xludf.DUMMYFUNCTION("""COMPUTED_VALUE"""),1010.0)</f>
        <v>1010</v>
      </c>
      <c r="H365" s="32">
        <f>IFERROR(__xludf.DUMMYFUNCTION("""COMPUTED_VALUE"""),10.0)</f>
        <v>10</v>
      </c>
      <c r="I365" s="32">
        <f>IFERROR(__xludf.DUMMYFUNCTION("""COMPUTED_VALUE"""),0.0)</f>
        <v>0</v>
      </c>
      <c r="J365" s="32">
        <f>IFERROR(__xludf.DUMMYFUNCTION("""COMPUTED_VALUE"""),0.0)</f>
        <v>0</v>
      </c>
      <c r="K365" s="32">
        <f>IFERROR(__xludf.DUMMYFUNCTION("""COMPUTED_VALUE"""),100.0)</f>
        <v>100</v>
      </c>
      <c r="L365" s="32">
        <f>IFERROR(__xludf.DUMMYFUNCTION("""COMPUTED_VALUE"""),100.0)</f>
        <v>100</v>
      </c>
      <c r="M365" s="32" t="str">
        <f>IFERROR(__xludf.DUMMYFUNCTION("""COMPUTED_VALUE"""),"Dark:50, Chaos:50, ")</f>
        <v>Dark:50, Chaos:50, </v>
      </c>
      <c r="N365" s="32" t="str">
        <f>IFERROR(__xludf.DUMMYFUNCTION("""COMPUTED_VALUE"""),"Light:50, Order:50, ")</f>
        <v>Light:50, Order:50, </v>
      </c>
      <c r="O365" s="32"/>
      <c r="P365" s="32"/>
      <c r="Q365" s="32"/>
      <c r="R365" s="32"/>
      <c r="S365" s="32"/>
      <c r="T365" s="32"/>
      <c r="U365" s="32"/>
      <c r="V365" s="32"/>
      <c r="W365" s="32"/>
      <c r="X365" s="32"/>
      <c r="Y365" s="32"/>
      <c r="Z365" s="32"/>
      <c r="AA365" s="32"/>
      <c r="AB365" s="32"/>
      <c r="AC365" s="32"/>
      <c r="AD365" s="32"/>
      <c r="AE365" s="32"/>
      <c r="AF365" s="32"/>
      <c r="AG365" s="32"/>
      <c r="AH365" s="32"/>
      <c r="AI365" s="32"/>
      <c r="AJ365" s="32" t="str">
        <f>IFERROR(__xludf.DUMMYFUNCTION("""COMPUTED_VALUE"""),"Rejuvenate")</f>
        <v>Rejuvenate</v>
      </c>
      <c r="AK365" s="32" t="str">
        <f>IFERROR(__xludf.DUMMYFUNCTION("""COMPUTED_VALUE"""),"Contagion")</f>
        <v>Contagion</v>
      </c>
      <c r="AL365" s="32" t="str">
        <f>IFERROR(__xludf.DUMMYFUNCTION("""COMPUTED_VALUE"""),"Chaos Beam")</f>
        <v>Chaos Beam</v>
      </c>
      <c r="AM365" s="32" t="str">
        <f>IFERROR(__xludf.DUMMYFUNCTION("""COMPUTED_VALUE"""),"Deflect")</f>
        <v>Deflect</v>
      </c>
      <c r="AN365" s="32" t="str">
        <f>IFERROR(__xludf.DUMMYFUNCTION("""COMPUTED_VALUE"""),"Absorb Life")</f>
        <v>Absorb Life</v>
      </c>
      <c r="AO365" s="32" t="str">
        <f>IFERROR(__xludf.DUMMYFUNCTION("""COMPUTED_VALUE"""),"Draconic Scream")</f>
        <v>Draconic Scream</v>
      </c>
      <c r="AP365" s="32" t="str">
        <f>IFERROR(__xludf.DUMMYFUNCTION("""COMPUTED_VALUE"""),"Berserk")</f>
        <v>Berserk</v>
      </c>
      <c r="AQ365" s="32" t="str">
        <f>IFERROR(__xludf.DUMMYFUNCTION("""COMPUTED_VALUE"""),"Bite")</f>
        <v>Bite</v>
      </c>
      <c r="AR365" s="32" t="str">
        <f>IFERROR(__xludf.DUMMYFUNCTION("""COMPUTED_VALUE"""),"Chaotic Implosion")</f>
        <v>Chaotic Implosion</v>
      </c>
      <c r="AS365" s="32"/>
      <c r="AT365" s="32"/>
      <c r="AU365" s="32"/>
      <c r="AV365" s="32"/>
      <c r="AW365" s="32"/>
      <c r="AX365" s="32"/>
      <c r="AY365" s="32"/>
      <c r="AZ365" s="32"/>
      <c r="BA365" s="32"/>
      <c r="BB365" s="32"/>
      <c r="BC365" s="32"/>
      <c r="BD365" s="32">
        <f>IFERROR(__xludf.DUMMYFUNCTION("""COMPUTED_VALUE"""),0.0)</f>
        <v>0</v>
      </c>
      <c r="BE365" s="32">
        <f>IFERROR(__xludf.DUMMYFUNCTION("""COMPUTED_VALUE"""),10.0)</f>
        <v>10</v>
      </c>
      <c r="BF365" s="32"/>
      <c r="BG365" s="32" t="str">
        <f>IFERROR(__xludf.DUMMYFUNCTION("""COMPUTED_VALUE"""),"All")</f>
        <v>All</v>
      </c>
      <c r="BH365" s="32" t="str">
        <f>IFERROR(__xludf.DUMMYFUNCTION("""COMPUTED_VALUE"""),"Land of Spira")</f>
        <v>Land of Spira</v>
      </c>
      <c r="BI365" s="32"/>
      <c r="BJ365" s="32"/>
      <c r="BK365" s="32"/>
      <c r="BL365" s="32" t="b">
        <f>IFERROR(__xludf.DUMMYFUNCTION("""COMPUTED_VALUE"""),FALSE)</f>
        <v>0</v>
      </c>
      <c r="BM365" s="32"/>
      <c r="BN365" s="32"/>
      <c r="BO365" s="32"/>
      <c r="BP365" s="32"/>
      <c r="BQ365" s="32"/>
    </row>
    <row r="366">
      <c r="A366" s="32" t="str">
        <f>IFERROR(__xludf.DUMMYFUNCTION("""COMPUTED_VALUE"""),"Fire Wyrm")</f>
        <v>Fire Wyrm</v>
      </c>
      <c r="B366" s="32">
        <f>IFERROR(__xludf.DUMMYFUNCTION("""COMPUTED_VALUE"""),1.0)</f>
        <v>1</v>
      </c>
      <c r="C366" s="32"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32" t="str">
        <f>IFERROR(__xludf.DUMMYFUNCTION("""COMPUTED_VALUE"""),"Draconic")</f>
        <v>Draconic</v>
      </c>
      <c r="E366" s="32">
        <f>IFERROR(__xludf.DUMMYFUNCTION("""COMPUTED_VALUE"""),1010.0)</f>
        <v>1010</v>
      </c>
      <c r="F366" s="33">
        <f>IFERROR(__xludf.DUMMYFUNCTION("""COMPUTED_VALUE"""),1010.0)</f>
        <v>1010</v>
      </c>
      <c r="G366" s="32">
        <f>IFERROR(__xludf.DUMMYFUNCTION("""COMPUTED_VALUE"""),1010.0)</f>
        <v>1010</v>
      </c>
      <c r="H366" s="32">
        <f>IFERROR(__xludf.DUMMYFUNCTION("""COMPUTED_VALUE"""),10.0)</f>
        <v>10</v>
      </c>
      <c r="I366" s="32">
        <f>IFERROR(__xludf.DUMMYFUNCTION("""COMPUTED_VALUE"""),0.0)</f>
        <v>0</v>
      </c>
      <c r="J366" s="32">
        <f>IFERROR(__xludf.DUMMYFUNCTION("""COMPUTED_VALUE"""),0.0)</f>
        <v>0</v>
      </c>
      <c r="K366" s="32">
        <f>IFERROR(__xludf.DUMMYFUNCTION("""COMPUTED_VALUE"""),100.0)</f>
        <v>100</v>
      </c>
      <c r="L366" s="32">
        <f>IFERROR(__xludf.DUMMYFUNCTION("""COMPUTED_VALUE"""),100.0)</f>
        <v>100</v>
      </c>
      <c r="M366" s="32" t="str">
        <f>IFERROR(__xludf.DUMMYFUNCTION("""COMPUTED_VALUE"""),"")</f>
        <v/>
      </c>
      <c r="N366" s="32" t="str">
        <f>IFERROR(__xludf.DUMMYFUNCTION("""COMPUTED_VALUE"""),"")</f>
        <v/>
      </c>
      <c r="O366" s="32"/>
      <c r="P366" s="32"/>
      <c r="Q366" s="32"/>
      <c r="R366" s="32"/>
      <c r="S366" s="32"/>
      <c r="T366" s="32"/>
      <c r="U366" s="32"/>
      <c r="V366" s="32"/>
      <c r="W366" s="32"/>
      <c r="X366" s="32"/>
      <c r="Y366" s="32"/>
      <c r="Z366" s="32"/>
      <c r="AA366" s="32"/>
      <c r="AB366" s="32"/>
      <c r="AC366" s="32"/>
      <c r="AD366" s="32"/>
      <c r="AE366" s="32"/>
      <c r="AF366" s="32"/>
      <c r="AG366" s="32"/>
      <c r="AH366" s="32"/>
      <c r="AI366" s="32"/>
      <c r="AJ366" s="32" t="str">
        <f>IFERROR(__xludf.DUMMYFUNCTION("""COMPUTED_VALUE"""),"Dragon's Breath")</f>
        <v>Dragon's Breath</v>
      </c>
      <c r="AK366" s="32" t="str">
        <f>IFERROR(__xludf.DUMMYFUNCTION("""COMPUTED_VALUE"""),"Blazing Scratch")</f>
        <v>Blazing Scratch</v>
      </c>
      <c r="AL366" s="32" t="str">
        <f>IFERROR(__xludf.DUMMYFUNCTION("""COMPUTED_VALUE"""),"Inferno")</f>
        <v>Inferno</v>
      </c>
      <c r="AM366" s="32" t="str">
        <f>IFERROR(__xludf.DUMMYFUNCTION("""COMPUTED_VALUE"""),"Draconic Scream")</f>
        <v>Draconic Scream</v>
      </c>
      <c r="AN366" s="32" t="str">
        <f>IFERROR(__xludf.DUMMYFUNCTION("""COMPUTED_VALUE"""),"Berserk")</f>
        <v>Berserk</v>
      </c>
      <c r="AO366" s="32" t="str">
        <f>IFERROR(__xludf.DUMMYFUNCTION("""COMPUTED_VALUE"""),"Bite")</f>
        <v>Bite</v>
      </c>
      <c r="AP366" s="32"/>
      <c r="AQ366" s="32"/>
      <c r="AR366" s="32"/>
      <c r="AS366" s="32"/>
      <c r="AT366" s="32"/>
      <c r="AU366" s="32"/>
      <c r="AV366" s="32"/>
      <c r="AW366" s="32"/>
      <c r="AX366" s="32"/>
      <c r="AY366" s="32"/>
      <c r="AZ366" s="32"/>
      <c r="BA366" s="32"/>
      <c r="BB366" s="32"/>
      <c r="BC366" s="32"/>
      <c r="BD366" s="32">
        <f>IFERROR(__xludf.DUMMYFUNCTION("""COMPUTED_VALUE"""),0.0)</f>
        <v>0</v>
      </c>
      <c r="BE366" s="32">
        <f>IFERROR(__xludf.DUMMYFUNCTION("""COMPUTED_VALUE"""),10.0)</f>
        <v>10</v>
      </c>
      <c r="BF366" s="32" t="str">
        <f>IFERROR(__xludf.DUMMYFUNCTION("""COMPUTED_VALUE"""),"Dragons Luck: +5 can be added to this mobs d20 rolls.")</f>
        <v>Dragons Luck: +5 can be added to this mobs d20 rolls.</v>
      </c>
      <c r="BG366" s="32" t="str">
        <f>IFERROR(__xludf.DUMMYFUNCTION("""COMPUTED_VALUE"""),"All")</f>
        <v>All</v>
      </c>
      <c r="BH366" s="32" t="str">
        <f>IFERROR(__xludf.DUMMYFUNCTION("""COMPUTED_VALUE"""),"Land of Spira")</f>
        <v>Land of Spira</v>
      </c>
      <c r="BI366" s="32"/>
      <c r="BJ366" s="32"/>
      <c r="BK366" s="32"/>
      <c r="BL366" s="32" t="b">
        <f>IFERROR(__xludf.DUMMYFUNCTION("""COMPUTED_VALUE"""),FALSE)</f>
        <v>0</v>
      </c>
      <c r="BM366" s="32"/>
      <c r="BN366" s="32"/>
      <c r="BO366" s="32"/>
      <c r="BP366" s="32"/>
      <c r="BQ366" s="32"/>
    </row>
    <row r="367">
      <c r="A367" s="32" t="str">
        <f>IFERROR(__xludf.DUMMYFUNCTION("""COMPUTED_VALUE"""),"Storm Wyrm")</f>
        <v>Storm Wyrm</v>
      </c>
      <c r="B367" s="32">
        <f>IFERROR(__xludf.DUMMYFUNCTION("""COMPUTED_VALUE"""),1.0)</f>
        <v>1</v>
      </c>
      <c r="C367" s="32"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32" t="str">
        <f>IFERROR(__xludf.DUMMYFUNCTION("""COMPUTED_VALUE"""),"Draconic")</f>
        <v>Draconic</v>
      </c>
      <c r="E367" s="32">
        <f>IFERROR(__xludf.DUMMYFUNCTION("""COMPUTED_VALUE"""),1010.0)</f>
        <v>1010</v>
      </c>
      <c r="F367" s="33">
        <f>IFERROR(__xludf.DUMMYFUNCTION("""COMPUTED_VALUE"""),1010.0)</f>
        <v>1010</v>
      </c>
      <c r="G367" s="32">
        <f>IFERROR(__xludf.DUMMYFUNCTION("""COMPUTED_VALUE"""),1010.0)</f>
        <v>1010</v>
      </c>
      <c r="H367" s="32">
        <f>IFERROR(__xludf.DUMMYFUNCTION("""COMPUTED_VALUE"""),10.0)</f>
        <v>10</v>
      </c>
      <c r="I367" s="32">
        <f>IFERROR(__xludf.DUMMYFUNCTION("""COMPUTED_VALUE"""),0.0)</f>
        <v>0</v>
      </c>
      <c r="J367" s="32">
        <f>IFERROR(__xludf.DUMMYFUNCTION("""COMPUTED_VALUE"""),0.0)</f>
        <v>0</v>
      </c>
      <c r="K367" s="32">
        <f>IFERROR(__xludf.DUMMYFUNCTION("""COMPUTED_VALUE"""),100.0)</f>
        <v>100</v>
      </c>
      <c r="L367" s="32">
        <f>IFERROR(__xludf.DUMMYFUNCTION("""COMPUTED_VALUE"""),100.0)</f>
        <v>100</v>
      </c>
      <c r="M367" s="32" t="str">
        <f>IFERROR(__xludf.DUMMYFUNCTION("""COMPUTED_VALUE"""),"")</f>
        <v/>
      </c>
      <c r="N367" s="32" t="str">
        <f>IFERROR(__xludf.DUMMYFUNCTION("""COMPUTED_VALUE"""),"")</f>
        <v/>
      </c>
      <c r="O367" s="32"/>
      <c r="P367" s="32"/>
      <c r="Q367" s="32"/>
      <c r="R367" s="32"/>
      <c r="S367" s="32"/>
      <c r="T367" s="32"/>
      <c r="U367" s="32"/>
      <c r="V367" s="32"/>
      <c r="W367" s="32"/>
      <c r="X367" s="32"/>
      <c r="Y367" s="32"/>
      <c r="Z367" s="32"/>
      <c r="AA367" s="32"/>
      <c r="AB367" s="32"/>
      <c r="AC367" s="32"/>
      <c r="AD367" s="32"/>
      <c r="AE367" s="32"/>
      <c r="AF367" s="32"/>
      <c r="AG367" s="32"/>
      <c r="AH367" s="32"/>
      <c r="AI367" s="32"/>
      <c r="AJ367" s="32" t="str">
        <f>IFERROR(__xludf.DUMMYFUNCTION("""COMPUTED_VALUE"""),"Dragon's Breath")</f>
        <v>Dragon's Breath</v>
      </c>
      <c r="AK367" s="32" t="str">
        <f>IFERROR(__xludf.DUMMYFUNCTION("""COMPUTED_VALUE"""),"Claws")</f>
        <v>Claws</v>
      </c>
      <c r="AL367" s="32" t="str">
        <f>IFERROR(__xludf.DUMMYFUNCTION("""COMPUTED_VALUE"""),"Cyclone")</f>
        <v>Cyclone</v>
      </c>
      <c r="AM367" s="32" t="str">
        <f>IFERROR(__xludf.DUMMYFUNCTION("""COMPUTED_VALUE"""),"Freezing Fog")</f>
        <v>Freezing Fog</v>
      </c>
      <c r="AN367" s="32" t="str">
        <f>IFERROR(__xludf.DUMMYFUNCTION("""COMPUTED_VALUE"""),"Lightning Strike")</f>
        <v>Lightning Strike</v>
      </c>
      <c r="AO367" s="32" t="str">
        <f>IFERROR(__xludf.DUMMYFUNCTION("""COMPUTED_VALUE"""),"Draconic Scream")</f>
        <v>Draconic Scream</v>
      </c>
      <c r="AP367" s="32" t="str">
        <f>IFERROR(__xludf.DUMMYFUNCTION("""COMPUTED_VALUE"""),"Berserk")</f>
        <v>Berserk</v>
      </c>
      <c r="AQ367" s="32" t="str">
        <f>IFERROR(__xludf.DUMMYFUNCTION("""COMPUTED_VALUE"""),"Bite")</f>
        <v>Bite</v>
      </c>
      <c r="AR367" s="32"/>
      <c r="AS367" s="32"/>
      <c r="AT367" s="32"/>
      <c r="AU367" s="32"/>
      <c r="AV367" s="32"/>
      <c r="AW367" s="32"/>
      <c r="AX367" s="32"/>
      <c r="AY367" s="32"/>
      <c r="AZ367" s="32"/>
      <c r="BA367" s="32"/>
      <c r="BB367" s="32"/>
      <c r="BC367" s="32"/>
      <c r="BD367" s="32">
        <f>IFERROR(__xludf.DUMMYFUNCTION("""COMPUTED_VALUE"""),0.0)</f>
        <v>0</v>
      </c>
      <c r="BE367" s="32">
        <f>IFERROR(__xludf.DUMMYFUNCTION("""COMPUTED_VALUE"""),10.0)</f>
        <v>10</v>
      </c>
      <c r="BF367" s="32" t="str">
        <f>IFERROR(__xludf.DUMMYFUNCTION("""COMPUTED_VALUE"""),"Dragons Luck: +5 can be added to this mobs d20 rolls.")</f>
        <v>Dragons Luck: +5 can be added to this mobs d20 rolls.</v>
      </c>
      <c r="BG367" s="32" t="str">
        <f>IFERROR(__xludf.DUMMYFUNCTION("""COMPUTED_VALUE"""),"All")</f>
        <v>All</v>
      </c>
      <c r="BH367" s="32" t="str">
        <f>IFERROR(__xludf.DUMMYFUNCTION("""COMPUTED_VALUE"""),"Land of Spira")</f>
        <v>Land of Spira</v>
      </c>
      <c r="BI367" s="32"/>
      <c r="BJ367" s="32"/>
      <c r="BK367" s="32"/>
      <c r="BL367" s="32" t="b">
        <f>IFERROR(__xludf.DUMMYFUNCTION("""COMPUTED_VALUE"""),FALSE)</f>
        <v>0</v>
      </c>
      <c r="BM367" s="32"/>
      <c r="BN367" s="32"/>
      <c r="BO367" s="32"/>
      <c r="BP367" s="32"/>
      <c r="BQ367" s="32"/>
    </row>
    <row r="368">
      <c r="A368" s="32" t="str">
        <f>IFERROR(__xludf.DUMMYFUNCTION("""COMPUTED_VALUE"""),"Earth Wyrm")</f>
        <v>Earth Wyrm</v>
      </c>
      <c r="B368" s="32">
        <f>IFERROR(__xludf.DUMMYFUNCTION("""COMPUTED_VALUE"""),1.0)</f>
        <v>1</v>
      </c>
      <c r="C368" s="32"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32" t="str">
        <f>IFERROR(__xludf.DUMMYFUNCTION("""COMPUTED_VALUE"""),"Draconic")</f>
        <v>Draconic</v>
      </c>
      <c r="E368" s="32">
        <f>IFERROR(__xludf.DUMMYFUNCTION("""COMPUTED_VALUE"""),1010.0)</f>
        <v>1010</v>
      </c>
      <c r="F368" s="33">
        <f>IFERROR(__xludf.DUMMYFUNCTION("""COMPUTED_VALUE"""),1010.0)</f>
        <v>1010</v>
      </c>
      <c r="G368" s="32">
        <f>IFERROR(__xludf.DUMMYFUNCTION("""COMPUTED_VALUE"""),1010.0)</f>
        <v>1010</v>
      </c>
      <c r="H368" s="32">
        <f>IFERROR(__xludf.DUMMYFUNCTION("""COMPUTED_VALUE"""),10.0)</f>
        <v>10</v>
      </c>
      <c r="I368" s="32">
        <f>IFERROR(__xludf.DUMMYFUNCTION("""COMPUTED_VALUE"""),0.0)</f>
        <v>0</v>
      </c>
      <c r="J368" s="32">
        <f>IFERROR(__xludf.DUMMYFUNCTION("""COMPUTED_VALUE"""),0.0)</f>
        <v>0</v>
      </c>
      <c r="K368" s="32">
        <f>IFERROR(__xludf.DUMMYFUNCTION("""COMPUTED_VALUE"""),100.0)</f>
        <v>100</v>
      </c>
      <c r="L368" s="32">
        <f>IFERROR(__xludf.DUMMYFUNCTION("""COMPUTED_VALUE"""),100.0)</f>
        <v>100</v>
      </c>
      <c r="M368" s="32" t="str">
        <f>IFERROR(__xludf.DUMMYFUNCTION("""COMPUTED_VALUE"""),"")</f>
        <v/>
      </c>
      <c r="N368" s="32" t="str">
        <f>IFERROR(__xludf.DUMMYFUNCTION("""COMPUTED_VALUE"""),"")</f>
        <v/>
      </c>
      <c r="O368" s="32"/>
      <c r="P368" s="32"/>
      <c r="Q368" s="32"/>
      <c r="R368" s="32"/>
      <c r="S368" s="32"/>
      <c r="T368" s="32"/>
      <c r="U368" s="32"/>
      <c r="V368" s="32"/>
      <c r="W368" s="32"/>
      <c r="X368" s="32"/>
      <c r="Y368" s="32"/>
      <c r="Z368" s="32"/>
      <c r="AA368" s="32"/>
      <c r="AB368" s="32"/>
      <c r="AC368" s="32"/>
      <c r="AD368" s="32"/>
      <c r="AE368" s="32"/>
      <c r="AF368" s="32"/>
      <c r="AG368" s="32"/>
      <c r="AH368" s="32"/>
      <c r="AI368" s="32"/>
      <c r="AJ368" s="32" t="str">
        <f>IFERROR(__xludf.DUMMYFUNCTION("""COMPUTED_VALUE"""),"Dragon's Breath")</f>
        <v>Dragon's Breath</v>
      </c>
      <c r="AK368" s="32" t="str">
        <f>IFERROR(__xludf.DUMMYFUNCTION("""COMPUTED_VALUE"""),"Tremor")</f>
        <v>Tremor</v>
      </c>
      <c r="AL368" s="32" t="str">
        <f>IFERROR(__xludf.DUMMYFUNCTION("""COMPUTED_VALUE"""),"Rock Shot")</f>
        <v>Rock Shot</v>
      </c>
      <c r="AM368" s="32" t="str">
        <f>IFERROR(__xludf.DUMMYFUNCTION("""COMPUTED_VALUE"""),"Mountain Formation")</f>
        <v>Mountain Formation</v>
      </c>
      <c r="AN368" s="32" t="str">
        <f>IFERROR(__xludf.DUMMYFUNCTION("""COMPUTED_VALUE"""),"Claws")</f>
        <v>Claws</v>
      </c>
      <c r="AO368" s="32" t="str">
        <f>IFERROR(__xludf.DUMMYFUNCTION("""COMPUTED_VALUE"""),"Draconic Scream")</f>
        <v>Draconic Scream</v>
      </c>
      <c r="AP368" s="32" t="str">
        <f>IFERROR(__xludf.DUMMYFUNCTION("""COMPUTED_VALUE"""),"Berserk")</f>
        <v>Berserk</v>
      </c>
      <c r="AQ368" s="32" t="str">
        <f>IFERROR(__xludf.DUMMYFUNCTION("""COMPUTED_VALUE"""),"Bite")</f>
        <v>Bite</v>
      </c>
      <c r="AR368" s="32"/>
      <c r="AS368" s="32"/>
      <c r="AT368" s="32"/>
      <c r="AU368" s="32"/>
      <c r="AV368" s="32"/>
      <c r="AW368" s="32"/>
      <c r="AX368" s="32"/>
      <c r="AY368" s="32"/>
      <c r="AZ368" s="32"/>
      <c r="BA368" s="32"/>
      <c r="BB368" s="32"/>
      <c r="BC368" s="32"/>
      <c r="BD368" s="32">
        <f>IFERROR(__xludf.DUMMYFUNCTION("""COMPUTED_VALUE"""),0.0)</f>
        <v>0</v>
      </c>
      <c r="BE368" s="32">
        <f>IFERROR(__xludf.DUMMYFUNCTION("""COMPUTED_VALUE"""),10.0)</f>
        <v>10</v>
      </c>
      <c r="BF368" s="32" t="str">
        <f>IFERROR(__xludf.DUMMYFUNCTION("""COMPUTED_VALUE"""),"Dragons Luck: +5 can be added to this mobs d20 rolls.")</f>
        <v>Dragons Luck: +5 can be added to this mobs d20 rolls.</v>
      </c>
      <c r="BG368" s="32" t="str">
        <f>IFERROR(__xludf.DUMMYFUNCTION("""COMPUTED_VALUE"""),"All")</f>
        <v>All</v>
      </c>
      <c r="BH368" s="32" t="str">
        <f>IFERROR(__xludf.DUMMYFUNCTION("""COMPUTED_VALUE"""),"Land of Spira")</f>
        <v>Land of Spira</v>
      </c>
      <c r="BI368" s="32"/>
      <c r="BJ368" s="32"/>
      <c r="BK368" s="32"/>
      <c r="BL368" s="32" t="b">
        <f>IFERROR(__xludf.DUMMYFUNCTION("""COMPUTED_VALUE"""),FALSE)</f>
        <v>0</v>
      </c>
      <c r="BM368" s="32"/>
      <c r="BN368" s="32"/>
      <c r="BO368" s="32"/>
      <c r="BP368" s="32"/>
      <c r="BQ368" s="32"/>
    </row>
    <row r="369">
      <c r="A369" s="32" t="str">
        <f>IFERROR(__xludf.DUMMYFUNCTION("""COMPUTED_VALUE"""),"Water Wyrm")</f>
        <v>Water Wyrm</v>
      </c>
      <c r="B369" s="32">
        <f>IFERROR(__xludf.DUMMYFUNCTION("""COMPUTED_VALUE"""),1.0)</f>
        <v>1</v>
      </c>
      <c r="C369" s="32"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32" t="str">
        <f>IFERROR(__xludf.DUMMYFUNCTION("""COMPUTED_VALUE"""),"Draconic")</f>
        <v>Draconic</v>
      </c>
      <c r="E369" s="32">
        <f>IFERROR(__xludf.DUMMYFUNCTION("""COMPUTED_VALUE"""),1010.0)</f>
        <v>1010</v>
      </c>
      <c r="F369" s="33">
        <f>IFERROR(__xludf.DUMMYFUNCTION("""COMPUTED_VALUE"""),1010.0)</f>
        <v>1010</v>
      </c>
      <c r="G369" s="32">
        <f>IFERROR(__xludf.DUMMYFUNCTION("""COMPUTED_VALUE"""),1010.0)</f>
        <v>1010</v>
      </c>
      <c r="H369" s="32">
        <f>IFERROR(__xludf.DUMMYFUNCTION("""COMPUTED_VALUE"""),10.0)</f>
        <v>10</v>
      </c>
      <c r="I369" s="32">
        <f>IFERROR(__xludf.DUMMYFUNCTION("""COMPUTED_VALUE"""),0.0)</f>
        <v>0</v>
      </c>
      <c r="J369" s="32">
        <f>IFERROR(__xludf.DUMMYFUNCTION("""COMPUTED_VALUE"""),0.0)</f>
        <v>0</v>
      </c>
      <c r="K369" s="32">
        <f>IFERROR(__xludf.DUMMYFUNCTION("""COMPUTED_VALUE"""),100.0)</f>
        <v>100</v>
      </c>
      <c r="L369" s="32">
        <f>IFERROR(__xludf.DUMMYFUNCTION("""COMPUTED_VALUE"""),100.0)</f>
        <v>100</v>
      </c>
      <c r="M369" s="32" t="str">
        <f>IFERROR(__xludf.DUMMYFUNCTION("""COMPUTED_VALUE"""),"")</f>
        <v/>
      </c>
      <c r="N369" s="32" t="str">
        <f>IFERROR(__xludf.DUMMYFUNCTION("""COMPUTED_VALUE"""),"")</f>
        <v/>
      </c>
      <c r="O369" s="32"/>
      <c r="P369" s="32"/>
      <c r="Q369" s="32"/>
      <c r="R369" s="32"/>
      <c r="S369" s="32"/>
      <c r="T369" s="32"/>
      <c r="U369" s="32"/>
      <c r="V369" s="32"/>
      <c r="W369" s="32"/>
      <c r="X369" s="32"/>
      <c r="Y369" s="32"/>
      <c r="Z369" s="32"/>
      <c r="AA369" s="32"/>
      <c r="AB369" s="32"/>
      <c r="AC369" s="32"/>
      <c r="AD369" s="32"/>
      <c r="AE369" s="32"/>
      <c r="AF369" s="32"/>
      <c r="AG369" s="32"/>
      <c r="AH369" s="32"/>
      <c r="AI369" s="32"/>
      <c r="AJ369" s="32" t="str">
        <f>IFERROR(__xludf.DUMMYFUNCTION("""COMPUTED_VALUE"""),"Dragon's Breath")</f>
        <v>Dragon's Breath</v>
      </c>
      <c r="AK369" s="32" t="str">
        <f>IFERROR(__xludf.DUMMYFUNCTION("""COMPUTED_VALUE"""),"Claws")</f>
        <v>Claws</v>
      </c>
      <c r="AL369" s="32" t="str">
        <f>IFERROR(__xludf.DUMMYFUNCTION("""COMPUTED_VALUE"""),"Aquatic Beam ")</f>
        <v>Aquatic Beam </v>
      </c>
      <c r="AM369" s="32" t="str">
        <f>IFERROR(__xludf.DUMMYFUNCTION("""COMPUTED_VALUE"""),"Geyser")</f>
        <v>Geyser</v>
      </c>
      <c r="AN369" s="32" t="str">
        <f>IFERROR(__xludf.DUMMYFUNCTION("""COMPUTED_VALUE"""),"Berserk")</f>
        <v>Berserk</v>
      </c>
      <c r="AO369" s="32" t="str">
        <f>IFERROR(__xludf.DUMMYFUNCTION("""COMPUTED_VALUE"""),"Bite")</f>
        <v>Bite</v>
      </c>
      <c r="AP369" s="32"/>
      <c r="AQ369" s="32"/>
      <c r="AR369" s="32"/>
      <c r="AS369" s="32"/>
      <c r="AT369" s="32"/>
      <c r="AU369" s="32"/>
      <c r="AV369" s="32"/>
      <c r="AW369" s="32"/>
      <c r="AX369" s="32"/>
      <c r="AY369" s="32"/>
      <c r="AZ369" s="32"/>
      <c r="BA369" s="32"/>
      <c r="BB369" s="32"/>
      <c r="BC369" s="32"/>
      <c r="BD369" s="32">
        <f>IFERROR(__xludf.DUMMYFUNCTION("""COMPUTED_VALUE"""),0.0)</f>
        <v>0</v>
      </c>
      <c r="BE369" s="32">
        <f>IFERROR(__xludf.DUMMYFUNCTION("""COMPUTED_VALUE"""),10.0)</f>
        <v>10</v>
      </c>
      <c r="BF369" s="32" t="str">
        <f>IFERROR(__xludf.DUMMYFUNCTION("""COMPUTED_VALUE"""),"Dragons Luck: +5 can be added to this mobs d20 rolls.")</f>
        <v>Dragons Luck: +5 can be added to this mobs d20 rolls.</v>
      </c>
      <c r="BG369" s="32" t="str">
        <f>IFERROR(__xludf.DUMMYFUNCTION("""COMPUTED_VALUE"""),"All")</f>
        <v>All</v>
      </c>
      <c r="BH369" s="32" t="str">
        <f>IFERROR(__xludf.DUMMYFUNCTION("""COMPUTED_VALUE"""),"Land of Spira")</f>
        <v>Land of Spira</v>
      </c>
      <c r="BI369" s="32"/>
      <c r="BJ369" s="32"/>
      <c r="BK369" s="32"/>
      <c r="BL369" s="32" t="b">
        <f>IFERROR(__xludf.DUMMYFUNCTION("""COMPUTED_VALUE"""),FALSE)</f>
        <v>0</v>
      </c>
      <c r="BM369" s="32"/>
      <c r="BN369" s="32"/>
      <c r="BO369" s="32"/>
      <c r="BP369" s="32"/>
      <c r="BQ369" s="32"/>
    </row>
    <row r="370">
      <c r="A370" s="32" t="str">
        <f>IFERROR(__xludf.DUMMYFUNCTION("""COMPUTED_VALUE"""),"Nature Wyrm")</f>
        <v>Nature Wyrm</v>
      </c>
      <c r="B370" s="32">
        <f>IFERROR(__xludf.DUMMYFUNCTION("""COMPUTED_VALUE"""),1.0)</f>
        <v>1</v>
      </c>
      <c r="C370" s="32"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32" t="str">
        <f>IFERROR(__xludf.DUMMYFUNCTION("""COMPUTED_VALUE"""),"Draconic")</f>
        <v>Draconic</v>
      </c>
      <c r="E370" s="32">
        <f>IFERROR(__xludf.DUMMYFUNCTION("""COMPUTED_VALUE"""),1010.0)</f>
        <v>1010</v>
      </c>
      <c r="F370" s="33">
        <f>IFERROR(__xludf.DUMMYFUNCTION("""COMPUTED_VALUE"""),1010.0)</f>
        <v>1010</v>
      </c>
      <c r="G370" s="32">
        <f>IFERROR(__xludf.DUMMYFUNCTION("""COMPUTED_VALUE"""),1010.0)</f>
        <v>1010</v>
      </c>
      <c r="H370" s="32">
        <f>IFERROR(__xludf.DUMMYFUNCTION("""COMPUTED_VALUE"""),10.0)</f>
        <v>10</v>
      </c>
      <c r="I370" s="32">
        <f>IFERROR(__xludf.DUMMYFUNCTION("""COMPUTED_VALUE"""),0.0)</f>
        <v>0</v>
      </c>
      <c r="J370" s="32">
        <f>IFERROR(__xludf.DUMMYFUNCTION("""COMPUTED_VALUE"""),0.0)</f>
        <v>0</v>
      </c>
      <c r="K370" s="32">
        <f>IFERROR(__xludf.DUMMYFUNCTION("""COMPUTED_VALUE"""),100.0)</f>
        <v>100</v>
      </c>
      <c r="L370" s="32">
        <f>IFERROR(__xludf.DUMMYFUNCTION("""COMPUTED_VALUE"""),100.0)</f>
        <v>100</v>
      </c>
      <c r="M370" s="32" t="str">
        <f>IFERROR(__xludf.DUMMYFUNCTION("""COMPUTED_VALUE"""),"Nature:50, ")</f>
        <v>Nature:50, </v>
      </c>
      <c r="N370" s="32" t="str">
        <f>IFERROR(__xludf.DUMMYFUNCTION("""COMPUTED_VALUE"""),"")</f>
        <v/>
      </c>
      <c r="O370" s="32"/>
      <c r="P370" s="32"/>
      <c r="Q370" s="32"/>
      <c r="R370" s="32"/>
      <c r="S370" s="32"/>
      <c r="T370" s="32"/>
      <c r="U370" s="32"/>
      <c r="V370" s="32"/>
      <c r="W370" s="32"/>
      <c r="X370" s="32"/>
      <c r="Y370" s="32"/>
      <c r="Z370" s="32"/>
      <c r="AA370" s="32"/>
      <c r="AB370" s="32"/>
      <c r="AC370" s="32"/>
      <c r="AD370" s="32"/>
      <c r="AE370" s="32"/>
      <c r="AF370" s="32"/>
      <c r="AG370" s="32"/>
      <c r="AH370" s="32"/>
      <c r="AI370" s="32"/>
      <c r="AJ370" s="32" t="str">
        <f>IFERROR(__xludf.DUMMYFUNCTION("""COMPUTED_VALUE"""),"Dragon's Breath")</f>
        <v>Dragon's Breath</v>
      </c>
      <c r="AK370" s="32" t="str">
        <f>IFERROR(__xludf.DUMMYFUNCTION("""COMPUTED_VALUE"""),"Barkskin")</f>
        <v>Barkskin</v>
      </c>
      <c r="AL370" s="32" t="str">
        <f>IFERROR(__xludf.DUMMYFUNCTION("""COMPUTED_VALUE"""),"[Element] Strike")</f>
        <v>[Element] Strike</v>
      </c>
      <c r="AM370" s="32" t="str">
        <f>IFERROR(__xludf.DUMMYFUNCTION("""COMPUTED_VALUE"""),"Poison Stomp")</f>
        <v>Poison Stomp</v>
      </c>
      <c r="AN370" s="32" t="str">
        <f>IFERROR(__xludf.DUMMYFUNCTION("""COMPUTED_VALUE"""),"Claws")</f>
        <v>Claws</v>
      </c>
      <c r="AO370" s="32" t="str">
        <f>IFERROR(__xludf.DUMMYFUNCTION("""COMPUTED_VALUE"""),"Draconic Scream")</f>
        <v>Draconic Scream</v>
      </c>
      <c r="AP370" s="32" t="str">
        <f>IFERROR(__xludf.DUMMYFUNCTION("""COMPUTED_VALUE"""),"Berserk")</f>
        <v>Berserk</v>
      </c>
      <c r="AQ370" s="32" t="str">
        <f>IFERROR(__xludf.DUMMYFUNCTION("""COMPUTED_VALUE"""),"Bite")</f>
        <v>Bite</v>
      </c>
      <c r="AR370" s="32"/>
      <c r="AS370" s="32"/>
      <c r="AT370" s="32"/>
      <c r="AU370" s="32"/>
      <c r="AV370" s="32"/>
      <c r="AW370" s="32"/>
      <c r="AX370" s="32"/>
      <c r="AY370" s="32"/>
      <c r="AZ370" s="32"/>
      <c r="BA370" s="32"/>
      <c r="BB370" s="32"/>
      <c r="BC370" s="32"/>
      <c r="BD370" s="32">
        <f>IFERROR(__xludf.DUMMYFUNCTION("""COMPUTED_VALUE"""),0.0)</f>
        <v>0</v>
      </c>
      <c r="BE370" s="32">
        <f>IFERROR(__xludf.DUMMYFUNCTION("""COMPUTED_VALUE"""),10.0)</f>
        <v>10</v>
      </c>
      <c r="BF370" s="32" t="str">
        <f>IFERROR(__xludf.DUMMYFUNCTION("""COMPUTED_VALUE"""),"Dragons Luck: +5 can be added to this mobs d20 rolls.")</f>
        <v>Dragons Luck: +5 can be added to this mobs d20 rolls.</v>
      </c>
      <c r="BG370" s="32" t="str">
        <f>IFERROR(__xludf.DUMMYFUNCTION("""COMPUTED_VALUE"""),"All")</f>
        <v>All</v>
      </c>
      <c r="BH370" s="32" t="str">
        <f>IFERROR(__xludf.DUMMYFUNCTION("""COMPUTED_VALUE"""),"Land of Spira")</f>
        <v>Land of Spira</v>
      </c>
      <c r="BI370" s="32"/>
      <c r="BJ370" s="32"/>
      <c r="BK370" s="32"/>
      <c r="BL370" s="32" t="b">
        <f>IFERROR(__xludf.DUMMYFUNCTION("""COMPUTED_VALUE"""),FALSE)</f>
        <v>0</v>
      </c>
      <c r="BM370" s="32"/>
      <c r="BN370" s="32"/>
      <c r="BO370" s="32"/>
      <c r="BP370" s="32"/>
      <c r="BQ370" s="32"/>
    </row>
    <row r="371">
      <c r="A371" s="32" t="str">
        <f>IFERROR(__xludf.DUMMYFUNCTION("""COMPUTED_VALUE"""),"Lesser tengu")</f>
        <v>Lesser tengu</v>
      </c>
      <c r="B371" s="32">
        <f>IFERROR(__xludf.DUMMYFUNCTION("""COMPUTED_VALUE"""),1.0)</f>
        <v>1</v>
      </c>
      <c r="C371" s="32" t="str">
        <f>IFERROR(__xludf.DUMMYFUNCTION("""COMPUTED_VALUE"""),"The lowest level heavenly being, found throughout the land of spira as simple guardian spirits")</f>
        <v>The lowest level heavenly being, found throughout the land of spira as simple guardian spirits</v>
      </c>
      <c r="D371" s="32" t="str">
        <f>IFERROR(__xludf.DUMMYFUNCTION("""COMPUTED_VALUE"""),"Heavenly")</f>
        <v>Heavenly</v>
      </c>
      <c r="E371" s="32">
        <f>IFERROR(__xludf.DUMMYFUNCTION("""COMPUTED_VALUE"""),1010.0)</f>
        <v>1010</v>
      </c>
      <c r="F371" s="33">
        <f>IFERROR(__xludf.DUMMYFUNCTION("""COMPUTED_VALUE"""),1010.0)</f>
        <v>1010</v>
      </c>
      <c r="G371" s="32">
        <f>IFERROR(__xludf.DUMMYFUNCTION("""COMPUTED_VALUE"""),1010.0)</f>
        <v>1010</v>
      </c>
      <c r="H371" s="32">
        <f>IFERROR(__xludf.DUMMYFUNCTION("""COMPUTED_VALUE"""),10.0)</f>
        <v>10</v>
      </c>
      <c r="I371" s="32">
        <f>IFERROR(__xludf.DUMMYFUNCTION("""COMPUTED_VALUE"""),0.0)</f>
        <v>0</v>
      </c>
      <c r="J371" s="32">
        <f>IFERROR(__xludf.DUMMYFUNCTION("""COMPUTED_VALUE"""),0.0)</f>
        <v>0</v>
      </c>
      <c r="K371" s="32">
        <f>IFERROR(__xludf.DUMMYFUNCTION("""COMPUTED_VALUE"""),100.0)</f>
        <v>100</v>
      </c>
      <c r="L371" s="32">
        <f>IFERROR(__xludf.DUMMYFUNCTION("""COMPUTED_VALUE"""),100.0)</f>
        <v>100</v>
      </c>
      <c r="M371" s="32" t="str">
        <f>IFERROR(__xludf.DUMMYFUNCTION("""COMPUTED_VALUE"""),"Light:50, Order:50, ")</f>
        <v>Light:50, Order:50, </v>
      </c>
      <c r="N371" s="32" t="str">
        <f>IFERROR(__xludf.DUMMYFUNCTION("""COMPUTED_VALUE"""),"Dark:50, Chaos:50, ")</f>
        <v>Dark:50, Chaos:50, </v>
      </c>
      <c r="O371" s="32"/>
      <c r="P371" s="32"/>
      <c r="Q371" s="32"/>
      <c r="R371" s="32"/>
      <c r="S371" s="32"/>
      <c r="T371" s="32"/>
      <c r="U371" s="32"/>
      <c r="V371" s="32"/>
      <c r="W371" s="32"/>
      <c r="X371" s="32"/>
      <c r="Y371" s="32"/>
      <c r="Z371" s="32"/>
      <c r="AA371" s="32"/>
      <c r="AB371" s="32"/>
      <c r="AC371" s="32"/>
      <c r="AD371" s="32"/>
      <c r="AE371" s="32"/>
      <c r="AF371" s="32"/>
      <c r="AG371" s="32"/>
      <c r="AH371" s="32"/>
      <c r="AI371" s="32"/>
      <c r="AJ371" s="32" t="str">
        <f>IFERROR(__xludf.DUMMYFUNCTION("""COMPUTED_VALUE"""),"Light Ray")</f>
        <v>Light Ray</v>
      </c>
      <c r="AK371" s="32" t="str">
        <f>IFERROR(__xludf.DUMMYFUNCTION("""COMPUTED_VALUE"""),"Flare")</f>
        <v>Flare</v>
      </c>
      <c r="AL371" s="32" t="str">
        <f>IFERROR(__xludf.DUMMYFUNCTION("""COMPUTED_VALUE"""),"Heal")</f>
        <v>Heal</v>
      </c>
      <c r="AM371" s="32" t="str">
        <f>IFERROR(__xludf.DUMMYFUNCTION("""COMPUTED_VALUE"""),"Protection")</f>
        <v>Protection</v>
      </c>
      <c r="AN371" s="32" t="str">
        <f>IFERROR(__xludf.DUMMYFUNCTION("""COMPUTED_VALUE"""),"Cancel")</f>
        <v>Cancel</v>
      </c>
      <c r="AO371" s="32"/>
      <c r="AP371" s="32"/>
      <c r="AQ371" s="32"/>
      <c r="AR371" s="32"/>
      <c r="AS371" s="32"/>
      <c r="AT371" s="32"/>
      <c r="AU371" s="32"/>
      <c r="AV371" s="32"/>
      <c r="AW371" s="32"/>
      <c r="AX371" s="32"/>
      <c r="AY371" s="32"/>
      <c r="AZ371" s="32"/>
      <c r="BA371" s="32"/>
      <c r="BB371" s="32"/>
      <c r="BC371" s="32"/>
      <c r="BD371" s="32">
        <f>IFERROR(__xludf.DUMMYFUNCTION("""COMPUTED_VALUE"""),0.0)</f>
        <v>0</v>
      </c>
      <c r="BE371" s="32">
        <f>IFERROR(__xludf.DUMMYFUNCTION("""COMPUTED_VALUE"""),10.0)</f>
        <v>10</v>
      </c>
      <c r="BF371" s="32"/>
      <c r="BG371" s="32" t="str">
        <f>IFERROR(__xludf.DUMMYFUNCTION("""COMPUTED_VALUE"""),"All")</f>
        <v>All</v>
      </c>
      <c r="BH371" s="32" t="str">
        <f>IFERROR(__xludf.DUMMYFUNCTION("""COMPUTED_VALUE"""),"Land of Spira")</f>
        <v>Land of Spira</v>
      </c>
      <c r="BI371" s="32"/>
      <c r="BJ371" s="32"/>
      <c r="BK371" s="32"/>
      <c r="BL371" s="32" t="b">
        <f>IFERROR(__xludf.DUMMYFUNCTION("""COMPUTED_VALUE"""),FALSE)</f>
        <v>0</v>
      </c>
      <c r="BM371" s="32"/>
      <c r="BN371" s="32"/>
      <c r="BO371" s="32"/>
      <c r="BP371" s="32"/>
      <c r="BQ371" s="32"/>
    </row>
    <row r="372">
      <c r="A372" s="32" t="str">
        <f>IFERROR(__xludf.DUMMYFUNCTION("""COMPUTED_VALUE"""),"Master Inugima of the Amphibuki")</f>
        <v>Master Inugima of the Amphibuki</v>
      </c>
      <c r="B372" s="32">
        <f>IFERROR(__xludf.DUMMYFUNCTION("""COMPUTED_VALUE"""),1.0)</f>
        <v>1</v>
      </c>
      <c r="C372" s="32"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32" t="str">
        <f>IFERROR(__xludf.DUMMYFUNCTION("""COMPUTED_VALUE"""),"Humanoid")</f>
        <v>Humanoid</v>
      </c>
      <c r="E372" s="32">
        <f>IFERROR(__xludf.DUMMYFUNCTION("""COMPUTED_VALUE"""),1010.0)</f>
        <v>1010</v>
      </c>
      <c r="F372" s="33">
        <f>IFERROR(__xludf.DUMMYFUNCTION("""COMPUTED_VALUE"""),1010.0)</f>
        <v>1010</v>
      </c>
      <c r="G372" s="32">
        <f>IFERROR(__xludf.DUMMYFUNCTION("""COMPUTED_VALUE"""),126010.0)</f>
        <v>126010</v>
      </c>
      <c r="H372" s="32">
        <f>IFERROR(__xludf.DUMMYFUNCTION("""COMPUTED_VALUE"""),35.0)</f>
        <v>35</v>
      </c>
      <c r="I372" s="32">
        <f>IFERROR(__xludf.DUMMYFUNCTION("""COMPUTED_VALUE"""),0.0)</f>
        <v>0</v>
      </c>
      <c r="J372" s="32">
        <f>IFERROR(__xludf.DUMMYFUNCTION("""COMPUTED_VALUE"""),0.0)</f>
        <v>0</v>
      </c>
      <c r="K372" s="32">
        <f>IFERROR(__xludf.DUMMYFUNCTION("""COMPUTED_VALUE"""),100.0)</f>
        <v>100</v>
      </c>
      <c r="L372" s="32">
        <f>IFERROR(__xludf.DUMMYFUNCTION("""COMPUTED_VALUE"""),100.0)</f>
        <v>100</v>
      </c>
      <c r="M372" s="32" t="str">
        <f>IFERROR(__xludf.DUMMYFUNCTION("""COMPUTED_VALUE"""),"Voodoo:Immune, Blood:Immune, Zen:Immune, Instant Death:Immune, Banishment:Immune, ")</f>
        <v>Voodoo:Immune, Blood:Immune, Zen:Immune, Instant Death:Immune, Banishment:Immune, </v>
      </c>
      <c r="N372" s="32" t="str">
        <f>IFERROR(__xludf.DUMMYFUNCTION("""COMPUTED_VALUE"""),"Light:50, Order:50, ")</f>
        <v>Light:50, Order:50, </v>
      </c>
      <c r="O372" s="32" t="str">
        <f>IFERROR(__xludf.DUMMYFUNCTION("""COMPUTED_VALUE"""),"Mask of Creeping Darkness")</f>
        <v>Mask of Creeping Darkness</v>
      </c>
      <c r="P372" s="32"/>
      <c r="Q372" s="32"/>
      <c r="R372" s="32"/>
      <c r="S372" s="32" t="str">
        <f>IFERROR(__xludf.DUMMYFUNCTION("""COMPUTED_VALUE"""),"Cape of Illusion")</f>
        <v>Cape of Illusion</v>
      </c>
      <c r="T372" s="32" t="str">
        <f>IFERROR(__xludf.DUMMYFUNCTION("""COMPUTED_VALUE"""),"Chest of Evershifting Darkness")</f>
        <v>Chest of Evershifting Darkness</v>
      </c>
      <c r="U372" s="32" t="str">
        <f>IFERROR(__xludf.DUMMYFUNCTION("""COMPUTED_VALUE"""),"Silken Gloves of Dexterity")</f>
        <v>Silken Gloves of Dexterity</v>
      </c>
      <c r="V372" s="32" t="str">
        <f>IFERROR(__xludf.DUMMYFUNCTION("""COMPUTED_VALUE"""),"Assassin's Kiss")</f>
        <v>Assassin's Kiss</v>
      </c>
      <c r="W372" s="32" t="str">
        <f>IFERROR(__xludf.DUMMYFUNCTION("""COMPUTED_VALUE"""),"Night's Edge")</f>
        <v>Night's Edge</v>
      </c>
      <c r="X372" s="32"/>
      <c r="Y372" s="32"/>
      <c r="Z372" s="32"/>
      <c r="AA372" s="32"/>
      <c r="AB372" s="32"/>
      <c r="AC372" s="32"/>
      <c r="AD372" s="32"/>
      <c r="AE372" s="32"/>
      <c r="AF372" s="32"/>
      <c r="AG372" s="32"/>
      <c r="AH372" s="32" t="str">
        <f>IFERROR(__xludf.DUMMYFUNCTION("""COMPUTED_VALUE"""),"Leggings of Swift Death")</f>
        <v>Leggings of Swift Death</v>
      </c>
      <c r="AI372" s="32" t="str">
        <f>IFERROR(__xludf.DUMMYFUNCTION("""COMPUTED_VALUE"""),"Leather Boots of EDGINESS")</f>
        <v>Leather Boots of EDGINESS</v>
      </c>
      <c r="AJ372" s="32" t="str">
        <f>IFERROR(__xludf.DUMMYFUNCTION("""COMPUTED_VALUE"""),"Conceal")</f>
        <v>Conceal</v>
      </c>
      <c r="AK372" s="32" t="str">
        <f>IFERROR(__xludf.DUMMYFUNCTION("""COMPUTED_VALUE"""),"Shadow Strike")</f>
        <v>Shadow Strike</v>
      </c>
      <c r="AL372" s="32" t="str">
        <f>IFERROR(__xludf.DUMMYFUNCTION("""COMPUTED_VALUE"""),"Melee Shield")</f>
        <v>Melee Shield</v>
      </c>
      <c r="AM372" s="32" t="str">
        <f>IFERROR(__xludf.DUMMYFUNCTION("""COMPUTED_VALUE"""),"Go For The Vitals")</f>
        <v>Go For The Vitals</v>
      </c>
      <c r="AN372" s="32" t="str">
        <f>IFERROR(__xludf.DUMMYFUNCTION("""COMPUTED_VALUE"""),"Mutagen")</f>
        <v>Mutagen</v>
      </c>
      <c r="AO372" s="32" t="str">
        <f>IFERROR(__xludf.DUMMYFUNCTION("""COMPUTED_VALUE"""),"Max Focus")</f>
        <v>Max Focus</v>
      </c>
      <c r="AP372" s="32" t="str">
        <f>IFERROR(__xludf.DUMMYFUNCTION("""COMPUTED_VALUE"""),"Max Evade")</f>
        <v>Max Evade</v>
      </c>
      <c r="AQ372" s="32" t="str">
        <f>IFERROR(__xludf.DUMMYFUNCTION("""COMPUTED_VALUE"""),"Foresight")</f>
        <v>Foresight</v>
      </c>
      <c r="AR372" s="32" t="str">
        <f>IFERROR(__xludf.DUMMYFUNCTION("""COMPUTED_VALUE"""),"Evade")</f>
        <v>Evade</v>
      </c>
      <c r="AS372" s="32" t="str">
        <f>IFERROR(__xludf.DUMMYFUNCTION("""COMPUTED_VALUE"""),"Chains of Shadow")</f>
        <v>Chains of Shadow</v>
      </c>
      <c r="AT372" s="32" t="str">
        <f>IFERROR(__xludf.DUMMYFUNCTION("""COMPUTED_VALUE"""),"Master Inugima's Shadow Arts I: Throat Slasher")</f>
        <v>Master Inugima's Shadow Arts I: Throat Slasher</v>
      </c>
      <c r="AU372" s="32" t="str">
        <f>IFERROR(__xludf.DUMMYFUNCTION("""COMPUTED_VALUE"""),"Master Inugima's Shadow Arts II: Shadow Step")</f>
        <v>Master Inugima's Shadow Arts II: Shadow Step</v>
      </c>
      <c r="AV372" s="32" t="str">
        <f>IFERROR(__xludf.DUMMYFUNCTION("""COMPUTED_VALUE"""),"Master Inugima's Shadow Arts III: Tendon Slash")</f>
        <v>Master Inugima's Shadow Arts III: Tendon Slash</v>
      </c>
      <c r="AW372" s="32" t="str">
        <f>IFERROR(__xludf.DUMMYFUNCTION("""COMPUTED_VALUE"""),"Master Inugima's Shadow Arts IV: Chloroform")</f>
        <v>Master Inugima's Shadow Arts IV: Chloroform</v>
      </c>
      <c r="AX372" s="32" t="str">
        <f>IFERROR(__xludf.DUMMYFUNCTION("""COMPUTED_VALUE"""),"Confiscate")</f>
        <v>Confiscate</v>
      </c>
      <c r="AY372" s="32" t="str">
        <f>IFERROR(__xludf.DUMMYFUNCTION("""COMPUTED_VALUE"""),"Chaincast")</f>
        <v>Chaincast</v>
      </c>
      <c r="AZ372" s="32"/>
      <c r="BA372" s="32"/>
      <c r="BB372" s="32"/>
      <c r="BC372" s="32"/>
      <c r="BD372" s="32">
        <f>IFERROR(__xludf.DUMMYFUNCTION("""COMPUTED_VALUE"""),0.0)</f>
        <v>0</v>
      </c>
      <c r="BE372" s="32">
        <f>IFERROR(__xludf.DUMMYFUNCTION("""COMPUTED_VALUE"""),25.0)</f>
        <v>25</v>
      </c>
      <c r="BF372" s="32"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32" t="str">
        <f>IFERROR(__xludf.DUMMYFUNCTION("""COMPUTED_VALUE"""),"Quest only")</f>
        <v>Quest only</v>
      </c>
      <c r="BH372" s="32" t="str">
        <f>IFERROR(__xludf.DUMMYFUNCTION("""COMPUTED_VALUE"""),"Dragonscale Island")</f>
        <v>Dragonscale Island</v>
      </c>
      <c r="BI372" s="32"/>
      <c r="BJ372" s="32"/>
      <c r="BK372" s="32"/>
      <c r="BL372" s="32" t="b">
        <f>IFERROR(__xludf.DUMMYFUNCTION("""COMPUTED_VALUE"""),FALSE)</f>
        <v>0</v>
      </c>
      <c r="BM372" s="32"/>
      <c r="BN372" s="32"/>
      <c r="BO372" s="32"/>
      <c r="BP372" s="32"/>
      <c r="BQ372" s="32"/>
    </row>
    <row r="373">
      <c r="A373" s="32" t="str">
        <f>IFERROR(__xludf.DUMMYFUNCTION("""COMPUTED_VALUE"""),"Imphigenia, Betrayed Goddess Of The Moon")</f>
        <v>Imphigenia, Betrayed Goddess Of The Moon</v>
      </c>
      <c r="B373" s="32">
        <f>IFERROR(__xludf.DUMMYFUNCTION("""COMPUTED_VALUE"""),1.0)</f>
        <v>1</v>
      </c>
      <c r="C373" s="32"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32" t="str">
        <f>IFERROR(__xludf.DUMMYFUNCTION("""COMPUTED_VALUE"""),"God")</f>
        <v>God</v>
      </c>
      <c r="E373" s="32">
        <f>IFERROR(__xludf.DUMMYFUNCTION("""COMPUTED_VALUE"""),1010.0)</f>
        <v>1010</v>
      </c>
      <c r="F373" s="33">
        <f>IFERROR(__xludf.DUMMYFUNCTION("""COMPUTED_VALUE"""),1010.0)</f>
        <v>1010</v>
      </c>
      <c r="G373" s="32">
        <f>IFERROR(__xludf.DUMMYFUNCTION("""COMPUTED_VALUE"""),1010.0)</f>
        <v>1010</v>
      </c>
      <c r="H373" s="32">
        <f>IFERROR(__xludf.DUMMYFUNCTION("""COMPUTED_VALUE"""),30.0)</f>
        <v>30</v>
      </c>
      <c r="I373" s="32">
        <f>IFERROR(__xludf.DUMMYFUNCTION("""COMPUTED_VALUE"""),0.0)</f>
        <v>0</v>
      </c>
      <c r="J373" s="32">
        <f>IFERROR(__xludf.DUMMYFUNCTION("""COMPUTED_VALUE"""),0.0)</f>
        <v>0</v>
      </c>
      <c r="K373" s="32">
        <f>IFERROR(__xludf.DUMMYFUNCTION("""COMPUTED_VALUE"""),100.0)</f>
        <v>100</v>
      </c>
      <c r="L373" s="32">
        <f>IFERROR(__xludf.DUMMYFUNCTION("""COMPUTED_VALUE"""),100.0)</f>
        <v>100</v>
      </c>
      <c r="M373" s="32" t="str">
        <f>IFERROR(__xludf.DUMMYFUNCTION("""COMPUTED_VALUE"""),"")</f>
        <v/>
      </c>
      <c r="N373" s="32" t="str">
        <f>IFERROR(__xludf.DUMMYFUNCTION("""COMPUTED_VALUE"""),"Celestial:100, ")</f>
        <v>Celestial:100, </v>
      </c>
      <c r="O373" s="32"/>
      <c r="P373" s="32"/>
      <c r="Q373" s="32"/>
      <c r="R373" s="32"/>
      <c r="S373" s="32"/>
      <c r="T373" s="32"/>
      <c r="U373" s="32"/>
      <c r="V373" s="32"/>
      <c r="W373" s="32" t="str">
        <f>IFERROR(__xludf.DUMMYFUNCTION("""COMPUTED_VALUE"""),"Lunaris, Sword of The Moon")</f>
        <v>Lunaris, Sword of The Moon</v>
      </c>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f>IFERROR(__xludf.DUMMYFUNCTION("""COMPUTED_VALUE"""),0.0)</f>
        <v>0</v>
      </c>
      <c r="BE373" s="32">
        <f>IFERROR(__xludf.DUMMYFUNCTION("""COMPUTED_VALUE"""),35.0)</f>
        <v>35</v>
      </c>
      <c r="BF373" s="32"/>
      <c r="BG373" s="32" t="str">
        <f>IFERROR(__xludf.DUMMYFUNCTION("""COMPUTED_VALUE"""),"Quest only")</f>
        <v>Quest only</v>
      </c>
      <c r="BH373" s="32" t="str">
        <f>IFERROR(__xludf.DUMMYFUNCTION("""COMPUTED_VALUE"""),"Dragonscale Island")</f>
        <v>Dragonscale Island</v>
      </c>
      <c r="BI373" s="32"/>
      <c r="BJ373" s="32"/>
      <c r="BK373" s="32"/>
      <c r="BL373" s="32" t="b">
        <f>IFERROR(__xludf.DUMMYFUNCTION("""COMPUTED_VALUE"""),FALSE)</f>
        <v>0</v>
      </c>
      <c r="BM373" s="32"/>
      <c r="BN373" s="32"/>
      <c r="BO373" s="32"/>
      <c r="BP373" s="32"/>
      <c r="BQ373" s="32"/>
    </row>
    <row r="374">
      <c r="A374" s="32" t="str">
        <f>IFERROR(__xludf.DUMMYFUNCTION("""COMPUTED_VALUE"""),"Imphigenia, Harbinger of Revenge")</f>
        <v>Imphigenia, Harbinger of Revenge</v>
      </c>
      <c r="B374" s="32">
        <f>IFERROR(__xludf.DUMMYFUNCTION("""COMPUTED_VALUE"""),1.0)</f>
        <v>1</v>
      </c>
      <c r="C374" s="32" t="str">
        <f>IFERROR(__xludf.DUMMYFUNCTION("""COMPUTED_VALUE"""),"The goddess's final form, a desperate attempt to lash out at those who couldn't let her rest even in death.")</f>
        <v>The goddess's final form, a desperate attempt to lash out at those who couldn't let her rest even in death.</v>
      </c>
      <c r="D374" s="32" t="str">
        <f>IFERROR(__xludf.DUMMYFUNCTION("""COMPUTED_VALUE"""),"Demonic")</f>
        <v>Demonic</v>
      </c>
      <c r="E374" s="32">
        <f>IFERROR(__xludf.DUMMYFUNCTION("""COMPUTED_VALUE"""),1010.0)</f>
        <v>1010</v>
      </c>
      <c r="F374" s="33">
        <f>IFERROR(__xludf.DUMMYFUNCTION("""COMPUTED_VALUE"""),1010.0)</f>
        <v>1010</v>
      </c>
      <c r="G374" s="32">
        <f>IFERROR(__xludf.DUMMYFUNCTION("""COMPUTED_VALUE"""),1010.0)</f>
        <v>1010</v>
      </c>
      <c r="H374" s="32">
        <f>IFERROR(__xludf.DUMMYFUNCTION("""COMPUTED_VALUE"""),30.0)</f>
        <v>30</v>
      </c>
      <c r="I374" s="32">
        <f>IFERROR(__xludf.DUMMYFUNCTION("""COMPUTED_VALUE"""),0.0)</f>
        <v>0</v>
      </c>
      <c r="J374" s="32">
        <f>IFERROR(__xludf.DUMMYFUNCTION("""COMPUTED_VALUE"""),0.0)</f>
        <v>0</v>
      </c>
      <c r="K374" s="32">
        <f>IFERROR(__xludf.DUMMYFUNCTION("""COMPUTED_VALUE"""),100.0)</f>
        <v>100</v>
      </c>
      <c r="L374" s="32">
        <f>IFERROR(__xludf.DUMMYFUNCTION("""COMPUTED_VALUE"""),100.0)</f>
        <v>100</v>
      </c>
      <c r="M374" s="32" t="str">
        <f>IFERROR(__xludf.DUMMYFUNCTION("""COMPUTED_VALUE"""),"")</f>
        <v/>
      </c>
      <c r="N374" s="32" t="str">
        <f>IFERROR(__xludf.DUMMYFUNCTION("""COMPUTED_VALUE"""),"Celestial:100, ")</f>
        <v>Celestial:100, </v>
      </c>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f>IFERROR(__xludf.DUMMYFUNCTION("""COMPUTED_VALUE"""),0.0)</f>
        <v>0</v>
      </c>
      <c r="BE374" s="32">
        <f>IFERROR(__xludf.DUMMYFUNCTION("""COMPUTED_VALUE"""),35.0)</f>
        <v>35</v>
      </c>
      <c r="BF374" s="32"/>
      <c r="BG374" s="32" t="str">
        <f>IFERROR(__xludf.DUMMYFUNCTION("""COMPUTED_VALUE"""),"Quest only")</f>
        <v>Quest only</v>
      </c>
      <c r="BH374" s="32" t="str">
        <f>IFERROR(__xludf.DUMMYFUNCTION("""COMPUTED_VALUE"""),"Dragonscale Island")</f>
        <v>Dragonscale Island</v>
      </c>
      <c r="BI374" s="32"/>
      <c r="BJ374" s="32"/>
      <c r="BK374" s="32"/>
      <c r="BL374" s="32" t="b">
        <f>IFERROR(__xludf.DUMMYFUNCTION("""COMPUTED_VALUE"""),FALSE)</f>
        <v>0</v>
      </c>
      <c r="BM374" s="32"/>
      <c r="BN374" s="32"/>
      <c r="BO374" s="32"/>
      <c r="BP374" s="32"/>
      <c r="BQ374" s="32"/>
    </row>
    <row r="375">
      <c r="A375" s="32" t="str">
        <f>IFERROR(__xludf.DUMMYFUNCTION("""COMPUTED_VALUE"""),"Lunarion, Faithful Hound of Imphigenia")</f>
        <v>Lunarion, Faithful Hound of Imphigenia</v>
      </c>
      <c r="B375" s="32">
        <f>IFERROR(__xludf.DUMMYFUNCTION("""COMPUTED_VALUE"""),1.0)</f>
        <v>1</v>
      </c>
      <c r="C375" s="32"/>
      <c r="D375" s="32" t="str">
        <f>IFERROR(__xludf.DUMMYFUNCTION("""COMPUTED_VALUE"""),"Heavenly")</f>
        <v>Heavenly</v>
      </c>
      <c r="E375" s="32">
        <f>IFERROR(__xludf.DUMMYFUNCTION("""COMPUTED_VALUE"""),1010.0)</f>
        <v>1010</v>
      </c>
      <c r="F375" s="33">
        <f>IFERROR(__xludf.DUMMYFUNCTION("""COMPUTED_VALUE"""),1010.0)</f>
        <v>1010</v>
      </c>
      <c r="G375" s="32">
        <f>IFERROR(__xludf.DUMMYFUNCTION("""COMPUTED_VALUE"""),1010.0)</f>
        <v>1010</v>
      </c>
      <c r="H375" s="32">
        <f>IFERROR(__xludf.DUMMYFUNCTION("""COMPUTED_VALUE"""),40.0)</f>
        <v>40</v>
      </c>
      <c r="I375" s="32">
        <f>IFERROR(__xludf.DUMMYFUNCTION("""COMPUTED_VALUE"""),0.0)</f>
        <v>0</v>
      </c>
      <c r="J375" s="32">
        <f>IFERROR(__xludf.DUMMYFUNCTION("""COMPUTED_VALUE"""),0.0)</f>
        <v>0</v>
      </c>
      <c r="K375" s="32">
        <f>IFERROR(__xludf.DUMMYFUNCTION("""COMPUTED_VALUE"""),100.0)</f>
        <v>100</v>
      </c>
      <c r="L375" s="32">
        <f>IFERROR(__xludf.DUMMYFUNCTION("""COMPUTED_VALUE"""),100.0)</f>
        <v>100</v>
      </c>
      <c r="M375" s="32" t="str">
        <f>IFERROR(__xludf.DUMMYFUNCTION("""COMPUTED_VALUE"""),"")</f>
        <v/>
      </c>
      <c r="N375" s="32" t="str">
        <f>IFERROR(__xludf.DUMMYFUNCTION("""COMPUTED_VALUE"""),"Celestial:100, ")</f>
        <v>Celestial:100, </v>
      </c>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f>IFERROR(__xludf.DUMMYFUNCTION("""COMPUTED_VALUE"""),0.0)</f>
        <v>0</v>
      </c>
      <c r="BE375" s="32">
        <f>IFERROR(__xludf.DUMMYFUNCTION("""COMPUTED_VALUE"""),35.0)</f>
        <v>35</v>
      </c>
      <c r="BF375" s="32"/>
      <c r="BG375" s="32" t="str">
        <f>IFERROR(__xludf.DUMMYFUNCTION("""COMPUTED_VALUE"""),"Quest only")</f>
        <v>Quest only</v>
      </c>
      <c r="BH375" s="32" t="str">
        <f>IFERROR(__xludf.DUMMYFUNCTION("""COMPUTED_VALUE"""),"Dragonscale Island")</f>
        <v>Dragonscale Island</v>
      </c>
      <c r="BI375" s="32"/>
      <c r="BJ375" s="32"/>
      <c r="BK375" s="32"/>
      <c r="BL375" s="32" t="b">
        <f>IFERROR(__xludf.DUMMYFUNCTION("""COMPUTED_VALUE"""),FALSE)</f>
        <v>0</v>
      </c>
      <c r="BM375" s="32"/>
      <c r="BN375" s="32"/>
      <c r="BO375" s="32"/>
      <c r="BP375" s="32"/>
      <c r="BQ375" s="32"/>
    </row>
    <row r="376">
      <c r="A376" s="32" t="str">
        <f>IFERROR(__xludf.DUMMYFUNCTION("""COMPUTED_VALUE"""),"Master Inugima Clone")</f>
        <v>Master Inugima Clone</v>
      </c>
      <c r="B376" s="32">
        <f>IFERROR(__xludf.DUMMYFUNCTION("""COMPUTED_VALUE"""),1.0)</f>
        <v>1</v>
      </c>
      <c r="C376" s="32"/>
      <c r="D376" s="32" t="str">
        <f>IFERROR(__xludf.DUMMYFUNCTION("""COMPUTED_VALUE"""),"Construct")</f>
        <v>Construct</v>
      </c>
      <c r="E376" s="32">
        <f>IFERROR(__xludf.DUMMYFUNCTION("""COMPUTED_VALUE"""),1010.0)</f>
        <v>1010</v>
      </c>
      <c r="F376" s="33">
        <f>IFERROR(__xludf.DUMMYFUNCTION("""COMPUTED_VALUE"""),1010.0)</f>
        <v>1010</v>
      </c>
      <c r="G376" s="32">
        <f>IFERROR(__xludf.DUMMYFUNCTION("""COMPUTED_VALUE"""),126010.0)</f>
        <v>126010</v>
      </c>
      <c r="H376" s="32">
        <f>IFERROR(__xludf.DUMMYFUNCTION("""COMPUTED_VALUE"""),35.0)</f>
        <v>35</v>
      </c>
      <c r="I376" s="32">
        <f>IFERROR(__xludf.DUMMYFUNCTION("""COMPUTED_VALUE"""),0.0)</f>
        <v>0</v>
      </c>
      <c r="J376" s="32">
        <f>IFERROR(__xludf.DUMMYFUNCTION("""COMPUTED_VALUE"""),0.0)</f>
        <v>0</v>
      </c>
      <c r="K376" s="32">
        <f>IFERROR(__xludf.DUMMYFUNCTION("""COMPUTED_VALUE"""),100.0)</f>
        <v>100</v>
      </c>
      <c r="L376" s="32">
        <f>IFERROR(__xludf.DUMMYFUNCTION("""COMPUTED_VALUE"""),100.0)</f>
        <v>100</v>
      </c>
      <c r="M376" s="32" t="str">
        <f>IFERROR(__xludf.DUMMYFUNCTION("""COMPUTED_VALUE"""),"Voodoo:Immune, Blood:Immune, Zen:Immune, Instant Death:Immune, Banishment:Immune, ")</f>
        <v>Voodoo:Immune, Blood:Immune, Zen:Immune, Instant Death:Immune, Banishment:Immune, </v>
      </c>
      <c r="N376" s="32" t="str">
        <f>IFERROR(__xludf.DUMMYFUNCTION("""COMPUTED_VALUE"""),"Light:50, Order:50, ")</f>
        <v>Light:50, Order:50, </v>
      </c>
      <c r="O376" s="32" t="str">
        <f>IFERROR(__xludf.DUMMYFUNCTION("""COMPUTED_VALUE"""),"Mask of Creeping Darkness")</f>
        <v>Mask of Creeping Darkness</v>
      </c>
      <c r="P376" s="32"/>
      <c r="Q376" s="32"/>
      <c r="R376" s="32"/>
      <c r="S376" s="32" t="str">
        <f>IFERROR(__xludf.DUMMYFUNCTION("""COMPUTED_VALUE"""),"Cape of Illusion")</f>
        <v>Cape of Illusion</v>
      </c>
      <c r="T376" s="32" t="str">
        <f>IFERROR(__xludf.DUMMYFUNCTION("""COMPUTED_VALUE"""),"Chest of Evershifting Darkness")</f>
        <v>Chest of Evershifting Darkness</v>
      </c>
      <c r="U376" s="32" t="str">
        <f>IFERROR(__xludf.DUMMYFUNCTION("""COMPUTED_VALUE"""),"Silken Gloves of Dexterity")</f>
        <v>Silken Gloves of Dexterity</v>
      </c>
      <c r="V376" s="32" t="str">
        <f>IFERROR(__xludf.DUMMYFUNCTION("""COMPUTED_VALUE"""),"Assassin's Kiss")</f>
        <v>Assassin's Kiss</v>
      </c>
      <c r="W376" s="32" t="str">
        <f>IFERROR(__xludf.DUMMYFUNCTION("""COMPUTED_VALUE"""),"Night's Edge")</f>
        <v>Night's Edge</v>
      </c>
      <c r="X376" s="32"/>
      <c r="Y376" s="32"/>
      <c r="Z376" s="32"/>
      <c r="AA376" s="32"/>
      <c r="AB376" s="32"/>
      <c r="AC376" s="32"/>
      <c r="AD376" s="32"/>
      <c r="AE376" s="32"/>
      <c r="AF376" s="32"/>
      <c r="AG376" s="32"/>
      <c r="AH376" s="32" t="str">
        <f>IFERROR(__xludf.DUMMYFUNCTION("""COMPUTED_VALUE"""),"Leggings of Swift Death")</f>
        <v>Leggings of Swift Death</v>
      </c>
      <c r="AI376" s="32" t="str">
        <f>IFERROR(__xludf.DUMMYFUNCTION("""COMPUTED_VALUE"""),"Leather Boots of EDGINESS")</f>
        <v>Leather Boots of EDGINESS</v>
      </c>
      <c r="AJ376" s="32" t="str">
        <f>IFERROR(__xludf.DUMMYFUNCTION("""COMPUTED_VALUE"""),"Conceal")</f>
        <v>Conceal</v>
      </c>
      <c r="AK376" s="32" t="str">
        <f>IFERROR(__xludf.DUMMYFUNCTION("""COMPUTED_VALUE"""),"Shadow Strike")</f>
        <v>Shadow Strike</v>
      </c>
      <c r="AL376" s="32" t="str">
        <f>IFERROR(__xludf.DUMMYFUNCTION("""COMPUTED_VALUE"""),"Melee Shield")</f>
        <v>Melee Shield</v>
      </c>
      <c r="AM376" s="32" t="str">
        <f>IFERROR(__xludf.DUMMYFUNCTION("""COMPUTED_VALUE"""),"Go For The Vitals")</f>
        <v>Go For The Vitals</v>
      </c>
      <c r="AN376" s="32" t="str">
        <f>IFERROR(__xludf.DUMMYFUNCTION("""COMPUTED_VALUE"""),"Mutagen")</f>
        <v>Mutagen</v>
      </c>
      <c r="AO376" s="32" t="str">
        <f>IFERROR(__xludf.DUMMYFUNCTION("""COMPUTED_VALUE"""),"Max Focus")</f>
        <v>Max Focus</v>
      </c>
      <c r="AP376" s="32" t="str">
        <f>IFERROR(__xludf.DUMMYFUNCTION("""COMPUTED_VALUE"""),"Max Evade")</f>
        <v>Max Evade</v>
      </c>
      <c r="AQ376" s="32" t="str">
        <f>IFERROR(__xludf.DUMMYFUNCTION("""COMPUTED_VALUE"""),"Foresight")</f>
        <v>Foresight</v>
      </c>
      <c r="AR376" s="32" t="str">
        <f>IFERROR(__xludf.DUMMYFUNCTION("""COMPUTED_VALUE"""),"Evade")</f>
        <v>Evade</v>
      </c>
      <c r="AS376" s="32" t="str">
        <f>IFERROR(__xludf.DUMMYFUNCTION("""COMPUTED_VALUE"""),"Chains of Shadow")</f>
        <v>Chains of Shadow</v>
      </c>
      <c r="AT376" s="32" t="str">
        <f>IFERROR(__xludf.DUMMYFUNCTION("""COMPUTED_VALUE"""),"Take")</f>
        <v>Take</v>
      </c>
      <c r="AU376" s="32"/>
      <c r="AV376" s="32"/>
      <c r="AW376" s="32"/>
      <c r="AX376" s="32"/>
      <c r="AY376" s="32"/>
      <c r="AZ376" s="32"/>
      <c r="BA376" s="32"/>
      <c r="BB376" s="32"/>
      <c r="BC376" s="32"/>
      <c r="BD376" s="32">
        <f>IFERROR(__xludf.DUMMYFUNCTION("""COMPUTED_VALUE"""),0.0)</f>
        <v>0</v>
      </c>
      <c r="BE376" s="32">
        <f>IFERROR(__xludf.DUMMYFUNCTION("""COMPUTED_VALUE"""),25.0)</f>
        <v>25</v>
      </c>
      <c r="BF376" s="32"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32"/>
      <c r="BH376" s="32" t="str">
        <f>IFERROR(__xludf.DUMMYFUNCTION("""COMPUTED_VALUE"""),"Dragonscale Island")</f>
        <v>Dragonscale Island</v>
      </c>
      <c r="BI376" s="32"/>
      <c r="BJ376" s="32"/>
      <c r="BK376" s="32"/>
      <c r="BL376" s="32" t="b">
        <f>IFERROR(__xludf.DUMMYFUNCTION("""COMPUTED_VALUE"""),FALSE)</f>
        <v>0</v>
      </c>
      <c r="BM376" s="32"/>
      <c r="BN376" s="32"/>
      <c r="BO376" s="32"/>
      <c r="BP376" s="32"/>
      <c r="BQ376" s="32"/>
    </row>
    <row r="377">
      <c r="A377" s="32" t="str">
        <f>IFERROR(__xludf.DUMMYFUNCTION("""COMPUTED_VALUE"""),"The Harbingers of The Voidwoken (DragonScale)")</f>
        <v>The Harbingers of The Voidwoken (DragonScale)</v>
      </c>
      <c r="B377" s="32">
        <f>IFERROR(__xludf.DUMMYFUNCTION("""COMPUTED_VALUE"""),1.0)</f>
        <v>1</v>
      </c>
      <c r="C377" s="32"/>
      <c r="D377" s="32" t="str">
        <f>IFERROR(__xludf.DUMMYFUNCTION("""COMPUTED_VALUE"""),"Humanoid")</f>
        <v>Humanoid</v>
      </c>
      <c r="E377" s="32">
        <f>IFERROR(__xludf.DUMMYFUNCTION("""COMPUTED_VALUE"""),1010.0)</f>
        <v>1010</v>
      </c>
      <c r="F377" s="33">
        <f>IFERROR(__xludf.DUMMYFUNCTION("""COMPUTED_VALUE"""),1010.0)</f>
        <v>1010</v>
      </c>
      <c r="G377" s="32">
        <f>IFERROR(__xludf.DUMMYFUNCTION("""COMPUTED_VALUE"""),1010.0)</f>
        <v>1010</v>
      </c>
      <c r="H377" s="32">
        <f>IFERROR(__xludf.DUMMYFUNCTION("""COMPUTED_VALUE"""),15.0)</f>
        <v>15</v>
      </c>
      <c r="I377" s="32">
        <f>IFERROR(__xludf.DUMMYFUNCTION("""COMPUTED_VALUE"""),0.0)</f>
        <v>0</v>
      </c>
      <c r="J377" s="32">
        <f>IFERROR(__xludf.DUMMYFUNCTION("""COMPUTED_VALUE"""),0.0)</f>
        <v>0</v>
      </c>
      <c r="K377" s="32">
        <f>IFERROR(__xludf.DUMMYFUNCTION("""COMPUTED_VALUE"""),100.0)</f>
        <v>100</v>
      </c>
      <c r="L377" s="32">
        <f>IFERROR(__xludf.DUMMYFUNCTION("""COMPUTED_VALUE"""),100.0)</f>
        <v>100</v>
      </c>
      <c r="M377" s="32" t="str">
        <f>IFERROR(__xludf.DUMMYFUNCTION("""COMPUTED_VALUE"""),"")</f>
        <v/>
      </c>
      <c r="N377" s="32" t="str">
        <f>IFERROR(__xludf.DUMMYFUNCTION("""COMPUTED_VALUE"""),"Celestial:100, ")</f>
        <v>Celestial:100, </v>
      </c>
      <c r="O377" s="32"/>
      <c r="P377" s="32"/>
      <c r="Q377" s="32"/>
      <c r="R377" s="32"/>
      <c r="S377" s="32"/>
      <c r="T377" s="32"/>
      <c r="U377" s="32"/>
      <c r="V377" s="32"/>
      <c r="W377" s="32"/>
      <c r="X377" s="32"/>
      <c r="Y377" s="32"/>
      <c r="Z377" s="32"/>
      <c r="AA377" s="32"/>
      <c r="AB377" s="32"/>
      <c r="AC377" s="32"/>
      <c r="AD377" s="32"/>
      <c r="AE377" s="32"/>
      <c r="AF377" s="32"/>
      <c r="AG377" s="32"/>
      <c r="AH377" s="32"/>
      <c r="AI377" s="32"/>
      <c r="AJ377" s="32" t="str">
        <f>IFERROR(__xludf.DUMMYFUNCTION("""COMPUTED_VALUE"""),"Chaincast")</f>
        <v>Chaincast</v>
      </c>
      <c r="AK377" s="32" t="str">
        <f>IFERROR(__xludf.DUMMYFUNCTION("""COMPUTED_VALUE"""),"Rapid Delta Punch")</f>
        <v>Rapid Delta Punch</v>
      </c>
      <c r="AL377" s="32" t="str">
        <f>IFERROR(__xludf.DUMMYFUNCTION("""COMPUTED_VALUE"""),"Delta World")</f>
        <v>Delta World</v>
      </c>
      <c r="AM377" s="32" t="str">
        <f>IFERROR(__xludf.DUMMYFUNCTION("""COMPUTED_VALUE"""),"Delta Obelisk")</f>
        <v>Delta Obelisk</v>
      </c>
      <c r="AN377" s="32" t="str">
        <f>IFERROR(__xludf.DUMMYFUNCTION("""COMPUTED_VALUE"""),"Beast In Black")</f>
        <v>Beast In Black</v>
      </c>
      <c r="AO377" s="32" t="str">
        <f>IFERROR(__xludf.DUMMYFUNCTION("""COMPUTED_VALUE"""),"Domain Expansion")</f>
        <v>Domain Expansion</v>
      </c>
      <c r="AP377" s="32" t="str">
        <f>IFERROR(__xludf.DUMMYFUNCTION("""COMPUTED_VALUE"""),"Enrage")</f>
        <v>Enrage</v>
      </c>
      <c r="AQ377" s="32" t="str">
        <f>IFERROR(__xludf.DUMMYFUNCTION("""COMPUTED_VALUE"""),"Arrest")</f>
        <v>Arrest</v>
      </c>
      <c r="AR377" s="32" t="str">
        <f>IFERROR(__xludf.DUMMYFUNCTION("""COMPUTED_VALUE"""),"Charge")</f>
        <v>Charge</v>
      </c>
      <c r="AS377" s="32" t="str">
        <f>IFERROR(__xludf.DUMMYFUNCTION("""COMPUTED_VALUE"""),"Full Impact")</f>
        <v>Full Impact</v>
      </c>
      <c r="AT377" s="32" t="str">
        <f>IFERROR(__xludf.DUMMYFUNCTION("""COMPUTED_VALUE"""),"Increase")</f>
        <v>Increase</v>
      </c>
      <c r="AU377" s="32" t="str">
        <f>IFERROR(__xludf.DUMMYFUNCTION("""COMPUTED_VALUE"""),"Taunt (Mob)")</f>
        <v>Taunt (Mob)</v>
      </c>
      <c r="AV377" s="32" t="str">
        <f>IFERROR(__xludf.DUMMYFUNCTION("""COMPUTED_VALUE"""),"Call of the Paladin")</f>
        <v>Call of the Paladin</v>
      </c>
      <c r="AW377" s="32" t="str">
        <f>IFERROR(__xludf.DUMMYFUNCTION("""COMPUTED_VALUE"""),"Berserk")</f>
        <v>Berserk</v>
      </c>
      <c r="AX377" s="32"/>
      <c r="AY377" s="32"/>
      <c r="AZ377" s="32"/>
      <c r="BA377" s="32"/>
      <c r="BB377" s="32"/>
      <c r="BC377" s="32"/>
      <c r="BD377" s="32">
        <f>IFERROR(__xludf.DUMMYFUNCTION("""COMPUTED_VALUE"""),0.0)</f>
        <v>0</v>
      </c>
      <c r="BE377" s="32">
        <f>IFERROR(__xludf.DUMMYFUNCTION("""COMPUTED_VALUE"""),20.0)</f>
        <v>20</v>
      </c>
      <c r="BF377" s="3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32" t="str">
        <f>IFERROR(__xludf.DUMMYFUNCTION("""COMPUTED_VALUE"""),"All")</f>
        <v>All</v>
      </c>
      <c r="BH377" s="32" t="str">
        <f>IFERROR(__xludf.DUMMYFUNCTION("""COMPUTED_VALUE"""),"Dragonscale Island")</f>
        <v>Dragonscale Island</v>
      </c>
      <c r="BI377" s="32"/>
      <c r="BJ377" s="32"/>
      <c r="BK377" s="32"/>
      <c r="BL377" s="32" t="b">
        <f>IFERROR(__xludf.DUMMYFUNCTION("""COMPUTED_VALUE"""),FALSE)</f>
        <v>0</v>
      </c>
      <c r="BM377" s="32"/>
      <c r="BN377" s="32"/>
      <c r="BO377" s="32"/>
      <c r="BP377" s="32"/>
      <c r="BQ377" s="32"/>
    </row>
    <row r="378">
      <c r="A378" s="32" t="str">
        <f>IFERROR(__xludf.DUMMYFUNCTION("""COMPUTED_VALUE"""),"The Harbingers of The Voidwoken (Abstara)")</f>
        <v>The Harbingers of The Voidwoken (Abstara)</v>
      </c>
      <c r="B378" s="32">
        <f>IFERROR(__xludf.DUMMYFUNCTION("""COMPUTED_VALUE"""),1.0)</f>
        <v>1</v>
      </c>
      <c r="C378" s="32"/>
      <c r="D378" s="32" t="str">
        <f>IFERROR(__xludf.DUMMYFUNCTION("""COMPUTED_VALUE"""),"Demonic")</f>
        <v>Demonic</v>
      </c>
      <c r="E378" s="32">
        <f>IFERROR(__xludf.DUMMYFUNCTION("""COMPUTED_VALUE"""),1010.0)</f>
        <v>1010</v>
      </c>
      <c r="F378" s="33">
        <f>IFERROR(__xludf.DUMMYFUNCTION("""COMPUTED_VALUE"""),1010.0)</f>
        <v>1010</v>
      </c>
      <c r="G378" s="32">
        <f>IFERROR(__xludf.DUMMYFUNCTION("""COMPUTED_VALUE"""),1010.0)</f>
        <v>1010</v>
      </c>
      <c r="H378" s="32">
        <f>IFERROR(__xludf.DUMMYFUNCTION("""COMPUTED_VALUE"""),25.0)</f>
        <v>25</v>
      </c>
      <c r="I378" s="32">
        <f>IFERROR(__xludf.DUMMYFUNCTION("""COMPUTED_VALUE"""),0.0)</f>
        <v>0</v>
      </c>
      <c r="J378" s="32">
        <f>IFERROR(__xludf.DUMMYFUNCTION("""COMPUTED_VALUE"""),0.0)</f>
        <v>0</v>
      </c>
      <c r="K378" s="32">
        <f>IFERROR(__xludf.DUMMYFUNCTION("""COMPUTED_VALUE"""),100.0)</f>
        <v>100</v>
      </c>
      <c r="L378" s="32">
        <f>IFERROR(__xludf.DUMMYFUNCTION("""COMPUTED_VALUE"""),100.0)</f>
        <v>100</v>
      </c>
      <c r="M378" s="32" t="str">
        <f>IFERROR(__xludf.DUMMYFUNCTION("""COMPUTED_VALUE"""),"")</f>
        <v/>
      </c>
      <c r="N378" s="32" t="str">
        <f>IFERROR(__xludf.DUMMYFUNCTION("""COMPUTED_VALUE"""),"Celestial:100, ")</f>
        <v>Celestial:100, </v>
      </c>
      <c r="O378" s="32"/>
      <c r="P378" s="32"/>
      <c r="Q378" s="32"/>
      <c r="R378" s="32"/>
      <c r="S378" s="32"/>
      <c r="T378" s="32"/>
      <c r="U378" s="32"/>
      <c r="V378" s="32"/>
      <c r="W378" s="32"/>
      <c r="X378" s="32"/>
      <c r="Y378" s="32"/>
      <c r="Z378" s="32"/>
      <c r="AA378" s="32"/>
      <c r="AB378" s="32"/>
      <c r="AC378" s="32"/>
      <c r="AD378" s="32"/>
      <c r="AE378" s="32"/>
      <c r="AF378" s="32"/>
      <c r="AG378" s="32"/>
      <c r="AH378" s="32"/>
      <c r="AI378" s="32"/>
      <c r="AJ378" s="32" t="str">
        <f>IFERROR(__xludf.DUMMYFUNCTION("""COMPUTED_VALUE"""),"Chaincast")</f>
        <v>Chaincast</v>
      </c>
      <c r="AK378" s="32" t="str">
        <f>IFERROR(__xludf.DUMMYFUNCTION("""COMPUTED_VALUE"""),"Rapid Delta Punch")</f>
        <v>Rapid Delta Punch</v>
      </c>
      <c r="AL378" s="32" t="str">
        <f>IFERROR(__xludf.DUMMYFUNCTION("""COMPUTED_VALUE"""),"Delta World")</f>
        <v>Delta World</v>
      </c>
      <c r="AM378" s="32" t="str">
        <f>IFERROR(__xludf.DUMMYFUNCTION("""COMPUTED_VALUE"""),"Delta Obelisk")</f>
        <v>Delta Obelisk</v>
      </c>
      <c r="AN378" s="32" t="str">
        <f>IFERROR(__xludf.DUMMYFUNCTION("""COMPUTED_VALUE"""),"Beast In Black")</f>
        <v>Beast In Black</v>
      </c>
      <c r="AO378" s="32" t="str">
        <f>IFERROR(__xludf.DUMMYFUNCTION("""COMPUTED_VALUE"""),"Domain Expansion")</f>
        <v>Domain Expansion</v>
      </c>
      <c r="AP378" s="32" t="str">
        <f>IFERROR(__xludf.DUMMYFUNCTION("""COMPUTED_VALUE"""),"Enrage")</f>
        <v>Enrage</v>
      </c>
      <c r="AQ378" s="32" t="str">
        <f>IFERROR(__xludf.DUMMYFUNCTION("""COMPUTED_VALUE"""),"Arrest")</f>
        <v>Arrest</v>
      </c>
      <c r="AR378" s="32" t="str">
        <f>IFERROR(__xludf.DUMMYFUNCTION("""COMPUTED_VALUE"""),"Charge")</f>
        <v>Charge</v>
      </c>
      <c r="AS378" s="32" t="str">
        <f>IFERROR(__xludf.DUMMYFUNCTION("""COMPUTED_VALUE"""),"Full Impact")</f>
        <v>Full Impact</v>
      </c>
      <c r="AT378" s="32" t="str">
        <f>IFERROR(__xludf.DUMMYFUNCTION("""COMPUTED_VALUE"""),"Increase")</f>
        <v>Increase</v>
      </c>
      <c r="AU378" s="32" t="str">
        <f>IFERROR(__xludf.DUMMYFUNCTION("""COMPUTED_VALUE"""),"Taunt (Mob)")</f>
        <v>Taunt (Mob)</v>
      </c>
      <c r="AV378" s="32" t="str">
        <f>IFERROR(__xludf.DUMMYFUNCTION("""COMPUTED_VALUE"""),"Call of the Paladin")</f>
        <v>Call of the Paladin</v>
      </c>
      <c r="AW378" s="32" t="str">
        <f>IFERROR(__xludf.DUMMYFUNCTION("""COMPUTED_VALUE"""),"Berserk")</f>
        <v>Berserk</v>
      </c>
      <c r="AX378" s="32"/>
      <c r="AY378" s="32"/>
      <c r="AZ378" s="32"/>
      <c r="BA378" s="32"/>
      <c r="BB378" s="32"/>
      <c r="BC378" s="32"/>
      <c r="BD378" s="32">
        <f>IFERROR(__xludf.DUMMYFUNCTION("""COMPUTED_VALUE"""),0.0)</f>
        <v>0</v>
      </c>
      <c r="BE378" s="32">
        <f>IFERROR(__xludf.DUMMYFUNCTION("""COMPUTED_VALUE"""),30.0)</f>
        <v>30</v>
      </c>
      <c r="BF378" s="3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32" t="str">
        <f>IFERROR(__xludf.DUMMYFUNCTION("""COMPUTED_VALUE"""),"All")</f>
        <v>All</v>
      </c>
      <c r="BH378" s="32" t="str">
        <f>IFERROR(__xludf.DUMMYFUNCTION("""COMPUTED_VALUE"""),"Abstara")</f>
        <v>Abstara</v>
      </c>
      <c r="BI378" s="32"/>
      <c r="BJ378" s="32"/>
      <c r="BK378" s="32"/>
      <c r="BL378" s="32" t="b">
        <f>IFERROR(__xludf.DUMMYFUNCTION("""COMPUTED_VALUE"""),FALSE)</f>
        <v>0</v>
      </c>
      <c r="BM378" s="32"/>
      <c r="BN378" s="32"/>
      <c r="BO378" s="32"/>
      <c r="BP378" s="32"/>
      <c r="BQ378" s="32"/>
    </row>
    <row r="379">
      <c r="A379" s="32" t="str">
        <f>IFERROR(__xludf.DUMMYFUNCTION("""COMPUTED_VALUE"""),"The Harbingers of The Voidwoken (Solreach)")</f>
        <v>The Harbingers of The Voidwoken (Solreach)</v>
      </c>
      <c r="B379" s="32">
        <f>IFERROR(__xludf.DUMMYFUNCTION("""COMPUTED_VALUE"""),1.0)</f>
        <v>1</v>
      </c>
      <c r="C379" s="32"/>
      <c r="D379" s="32" t="str">
        <f>IFERROR(__xludf.DUMMYFUNCTION("""COMPUTED_VALUE"""),"Demonic")</f>
        <v>Demonic</v>
      </c>
      <c r="E379" s="32">
        <f>IFERROR(__xludf.DUMMYFUNCTION("""COMPUTED_VALUE"""),1010.0)</f>
        <v>1010</v>
      </c>
      <c r="F379" s="33">
        <f>IFERROR(__xludf.DUMMYFUNCTION("""COMPUTED_VALUE"""),1010.0)</f>
        <v>1010</v>
      </c>
      <c r="G379" s="32">
        <f>IFERROR(__xludf.DUMMYFUNCTION("""COMPUTED_VALUE"""),1010.0)</f>
        <v>1010</v>
      </c>
      <c r="H379" s="32">
        <f>IFERROR(__xludf.DUMMYFUNCTION("""COMPUTED_VALUE"""),35.0)</f>
        <v>35</v>
      </c>
      <c r="I379" s="32">
        <f>IFERROR(__xludf.DUMMYFUNCTION("""COMPUTED_VALUE"""),0.0)</f>
        <v>0</v>
      </c>
      <c r="J379" s="32">
        <f>IFERROR(__xludf.DUMMYFUNCTION("""COMPUTED_VALUE"""),0.0)</f>
        <v>0</v>
      </c>
      <c r="K379" s="32">
        <f>IFERROR(__xludf.DUMMYFUNCTION("""COMPUTED_VALUE"""),100.0)</f>
        <v>100</v>
      </c>
      <c r="L379" s="32">
        <f>IFERROR(__xludf.DUMMYFUNCTION("""COMPUTED_VALUE"""),100.0)</f>
        <v>100</v>
      </c>
      <c r="M379" s="32" t="str">
        <f>IFERROR(__xludf.DUMMYFUNCTION("""COMPUTED_VALUE"""),"")</f>
        <v/>
      </c>
      <c r="N379" s="32" t="str">
        <f>IFERROR(__xludf.DUMMYFUNCTION("""COMPUTED_VALUE"""),"Celestial:100, ")</f>
        <v>Celestial:100, </v>
      </c>
      <c r="O379" s="32"/>
      <c r="P379" s="32"/>
      <c r="Q379" s="32"/>
      <c r="R379" s="32"/>
      <c r="S379" s="32"/>
      <c r="T379" s="32"/>
      <c r="U379" s="32"/>
      <c r="V379" s="32"/>
      <c r="W379" s="32"/>
      <c r="X379" s="32"/>
      <c r="Y379" s="32"/>
      <c r="Z379" s="32"/>
      <c r="AA379" s="32"/>
      <c r="AB379" s="32"/>
      <c r="AC379" s="32"/>
      <c r="AD379" s="32"/>
      <c r="AE379" s="32"/>
      <c r="AF379" s="32"/>
      <c r="AG379" s="32"/>
      <c r="AH379" s="32"/>
      <c r="AI379" s="32"/>
      <c r="AJ379" s="32" t="str">
        <f>IFERROR(__xludf.DUMMYFUNCTION("""COMPUTED_VALUE"""),"Chaincast")</f>
        <v>Chaincast</v>
      </c>
      <c r="AK379" s="32" t="str">
        <f>IFERROR(__xludf.DUMMYFUNCTION("""COMPUTED_VALUE"""),"Rapid Delta Punch")</f>
        <v>Rapid Delta Punch</v>
      </c>
      <c r="AL379" s="32" t="str">
        <f>IFERROR(__xludf.DUMMYFUNCTION("""COMPUTED_VALUE"""),"Delta World")</f>
        <v>Delta World</v>
      </c>
      <c r="AM379" s="32" t="str">
        <f>IFERROR(__xludf.DUMMYFUNCTION("""COMPUTED_VALUE"""),"Delta Obelisk")</f>
        <v>Delta Obelisk</v>
      </c>
      <c r="AN379" s="32" t="str">
        <f>IFERROR(__xludf.DUMMYFUNCTION("""COMPUTED_VALUE"""),"Beast In Black")</f>
        <v>Beast In Black</v>
      </c>
      <c r="AO379" s="32" t="str">
        <f>IFERROR(__xludf.DUMMYFUNCTION("""COMPUTED_VALUE"""),"Domain Expansion")</f>
        <v>Domain Expansion</v>
      </c>
      <c r="AP379" s="32" t="str">
        <f>IFERROR(__xludf.DUMMYFUNCTION("""COMPUTED_VALUE"""),"Enrage")</f>
        <v>Enrage</v>
      </c>
      <c r="AQ379" s="32" t="str">
        <f>IFERROR(__xludf.DUMMYFUNCTION("""COMPUTED_VALUE"""),"Arrest")</f>
        <v>Arrest</v>
      </c>
      <c r="AR379" s="32" t="str">
        <f>IFERROR(__xludf.DUMMYFUNCTION("""COMPUTED_VALUE"""),"Charge")</f>
        <v>Charge</v>
      </c>
      <c r="AS379" s="32" t="str">
        <f>IFERROR(__xludf.DUMMYFUNCTION("""COMPUTED_VALUE"""),"Full Impact")</f>
        <v>Full Impact</v>
      </c>
      <c r="AT379" s="32" t="str">
        <f>IFERROR(__xludf.DUMMYFUNCTION("""COMPUTED_VALUE"""),"Increase")</f>
        <v>Increase</v>
      </c>
      <c r="AU379" s="32" t="str">
        <f>IFERROR(__xludf.DUMMYFUNCTION("""COMPUTED_VALUE"""),"Taunt (Mob)")</f>
        <v>Taunt (Mob)</v>
      </c>
      <c r="AV379" s="32" t="str">
        <f>IFERROR(__xludf.DUMMYFUNCTION("""COMPUTED_VALUE"""),"Call of the Paladin")</f>
        <v>Call of the Paladin</v>
      </c>
      <c r="AW379" s="32" t="str">
        <f>IFERROR(__xludf.DUMMYFUNCTION("""COMPUTED_VALUE"""),"Berserk")</f>
        <v>Berserk</v>
      </c>
      <c r="AX379" s="32"/>
      <c r="AY379" s="32"/>
      <c r="AZ379" s="32"/>
      <c r="BA379" s="32"/>
      <c r="BB379" s="32"/>
      <c r="BC379" s="32"/>
      <c r="BD379" s="32">
        <f>IFERROR(__xludf.DUMMYFUNCTION("""COMPUTED_VALUE"""),0.0)</f>
        <v>0</v>
      </c>
      <c r="BE379" s="32">
        <f>IFERROR(__xludf.DUMMYFUNCTION("""COMPUTED_VALUE"""),40.0)</f>
        <v>40</v>
      </c>
      <c r="BF379" s="3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32" t="str">
        <f>IFERROR(__xludf.DUMMYFUNCTION("""COMPUTED_VALUE"""),"All")</f>
        <v>All</v>
      </c>
      <c r="BH379" s="32" t="str">
        <f>IFERROR(__xludf.DUMMYFUNCTION("""COMPUTED_VALUE"""),"Solreach")</f>
        <v>Solreach</v>
      </c>
      <c r="BI379" s="32"/>
      <c r="BJ379" s="32"/>
      <c r="BK379" s="32"/>
      <c r="BL379" s="32" t="b">
        <f>IFERROR(__xludf.DUMMYFUNCTION("""COMPUTED_VALUE"""),FALSE)</f>
        <v>0</v>
      </c>
      <c r="BM379" s="32"/>
      <c r="BN379" s="32"/>
      <c r="BO379" s="32"/>
      <c r="BP379" s="32"/>
      <c r="BQ379" s="32"/>
    </row>
    <row r="380">
      <c r="A380" s="32" t="str">
        <f>IFERROR(__xludf.DUMMYFUNCTION("""COMPUTED_VALUE"""),"Forest Faery")</f>
        <v>Forest Faery</v>
      </c>
      <c r="B380" s="32">
        <f>IFERROR(__xludf.DUMMYFUNCTION("""COMPUTED_VALUE"""),1.0)</f>
        <v>1</v>
      </c>
      <c r="C380" s="32" t="str">
        <f>IFERROR(__xludf.DUMMYFUNCTION("""COMPUTED_VALUE"""),"A normal forest fae rumored to be the descendants of the great fae king oberon")</f>
        <v>A normal forest fae rumored to be the descendants of the great fae king oberon</v>
      </c>
      <c r="D380" s="32" t="str">
        <f>IFERROR(__xludf.DUMMYFUNCTION("""COMPUTED_VALUE"""),"Fae")</f>
        <v>Fae</v>
      </c>
      <c r="E380" s="32">
        <f>IFERROR(__xludf.DUMMYFUNCTION("""COMPUTED_VALUE"""),1010.0)</f>
        <v>1010</v>
      </c>
      <c r="F380" s="33">
        <f>IFERROR(__xludf.DUMMYFUNCTION("""COMPUTED_VALUE"""),1010.0)</f>
        <v>1010</v>
      </c>
      <c r="G380" s="32">
        <f>IFERROR(__xludf.DUMMYFUNCTION("""COMPUTED_VALUE"""),1010.0)</f>
        <v>1010</v>
      </c>
      <c r="H380" s="32">
        <f>IFERROR(__xludf.DUMMYFUNCTION("""COMPUTED_VALUE"""),10.0)</f>
        <v>10</v>
      </c>
      <c r="I380" s="32">
        <f>IFERROR(__xludf.DUMMYFUNCTION("""COMPUTED_VALUE"""),0.0)</f>
        <v>0</v>
      </c>
      <c r="J380" s="32">
        <f>IFERROR(__xludf.DUMMYFUNCTION("""COMPUTED_VALUE"""),0.0)</f>
        <v>0</v>
      </c>
      <c r="K380" s="32">
        <f>IFERROR(__xludf.DUMMYFUNCTION("""COMPUTED_VALUE"""),100.0)</f>
        <v>100</v>
      </c>
      <c r="L380" s="32">
        <f>IFERROR(__xludf.DUMMYFUNCTION("""COMPUTED_VALUE"""),100.0)</f>
        <v>100</v>
      </c>
      <c r="M380" s="32" t="str">
        <f>IFERROR(__xludf.DUMMYFUNCTION("""COMPUTED_VALUE"""),"#N/A")</f>
        <v>#N/A</v>
      </c>
      <c r="N380" s="32" t="str">
        <f>IFERROR(__xludf.DUMMYFUNCTION("""COMPUTED_VALUE"""),"#N/A")</f>
        <v>#N/A</v>
      </c>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f>IFERROR(__xludf.DUMMYFUNCTION("""COMPUTED_VALUE"""),0.0)</f>
        <v>0</v>
      </c>
      <c r="BE380" s="32">
        <f>IFERROR(__xludf.DUMMYFUNCTION("""COMPUTED_VALUE"""),10.0)</f>
        <v>10</v>
      </c>
      <c r="BF380" s="32"/>
      <c r="BG380" s="32" t="str">
        <f>IFERROR(__xludf.DUMMYFUNCTION("""COMPUTED_VALUE"""),"Forest")</f>
        <v>Forest</v>
      </c>
      <c r="BH380" s="32" t="str">
        <f>IFERROR(__xludf.DUMMYFUNCTION("""COMPUTED_VALUE"""),"Event Hub")</f>
        <v>Event Hub</v>
      </c>
      <c r="BI380" s="32"/>
      <c r="BJ380" s="32"/>
      <c r="BK380" s="32"/>
      <c r="BL380" s="32" t="b">
        <f>IFERROR(__xludf.DUMMYFUNCTION("""COMPUTED_VALUE"""),FALSE)</f>
        <v>0</v>
      </c>
      <c r="BM380" s="32"/>
      <c r="BN380" s="32"/>
      <c r="BO380" s="32"/>
      <c r="BP380" s="32"/>
      <c r="BQ380" s="32"/>
    </row>
    <row r="381">
      <c r="A381" s="32" t="str">
        <f>IFERROR(__xludf.DUMMYFUNCTION("""COMPUTED_VALUE"""),"Egg of The Faery King")</f>
        <v>Egg of The Faery King</v>
      </c>
      <c r="B381" s="32">
        <f>IFERROR(__xludf.DUMMYFUNCTION("""COMPUTED_VALUE"""),1.0)</f>
        <v>1</v>
      </c>
      <c r="C381" s="32" t="str">
        <f>IFERROR(__xludf.DUMMYFUNCTION("""COMPUTED_VALUE"""),"An egg containing the mysterious faery king")</f>
        <v>An egg containing the mysterious faery king</v>
      </c>
      <c r="D381" s="32" t="str">
        <f>IFERROR(__xludf.DUMMYFUNCTION("""COMPUTED_VALUE"""),"Fae")</f>
        <v>Fae</v>
      </c>
      <c r="E381" s="32">
        <f>IFERROR(__xludf.DUMMYFUNCTION("""COMPUTED_VALUE"""),1010.0)</f>
        <v>1010</v>
      </c>
      <c r="F381" s="33">
        <f>IFERROR(__xludf.DUMMYFUNCTION("""COMPUTED_VALUE"""),1010.0)</f>
        <v>1010</v>
      </c>
      <c r="G381" s="32">
        <f>IFERROR(__xludf.DUMMYFUNCTION("""COMPUTED_VALUE"""),1010.0)</f>
        <v>1010</v>
      </c>
      <c r="H381" s="32">
        <f>IFERROR(__xludf.DUMMYFUNCTION("""COMPUTED_VALUE"""),10.0)</f>
        <v>10</v>
      </c>
      <c r="I381" s="32">
        <f>IFERROR(__xludf.DUMMYFUNCTION("""COMPUTED_VALUE"""),0.0)</f>
        <v>0</v>
      </c>
      <c r="J381" s="32">
        <f>IFERROR(__xludf.DUMMYFUNCTION("""COMPUTED_VALUE"""),0.0)</f>
        <v>0</v>
      </c>
      <c r="K381" s="32">
        <f>IFERROR(__xludf.DUMMYFUNCTION("""COMPUTED_VALUE"""),100.0)</f>
        <v>100</v>
      </c>
      <c r="L381" s="32">
        <f>IFERROR(__xludf.DUMMYFUNCTION("""COMPUTED_VALUE"""),100.0)</f>
        <v>100</v>
      </c>
      <c r="M381" s="32" t="str">
        <f>IFERROR(__xludf.DUMMYFUNCTION("""COMPUTED_VALUE"""),"#N/A")</f>
        <v>#N/A</v>
      </c>
      <c r="N381" s="32" t="str">
        <f>IFERROR(__xludf.DUMMYFUNCTION("""COMPUTED_VALUE"""),"#N/A")</f>
        <v>#N/A</v>
      </c>
      <c r="O381" s="32"/>
      <c r="P381" s="32"/>
      <c r="Q381" s="32"/>
      <c r="R381" s="32"/>
      <c r="S381" s="32"/>
      <c r="T381" s="32"/>
      <c r="U381" s="32"/>
      <c r="V381" s="32"/>
      <c r="W381" s="32"/>
      <c r="X381" s="32"/>
      <c r="Y381" s="32"/>
      <c r="Z381" s="32"/>
      <c r="AA381" s="32"/>
      <c r="AB381" s="32"/>
      <c r="AC381" s="32"/>
      <c r="AD381" s="32"/>
      <c r="AE381" s="32"/>
      <c r="AF381" s="32"/>
      <c r="AG381" s="32"/>
      <c r="AH381" s="32"/>
      <c r="AI381" s="32"/>
      <c r="AJ381" s="32" t="str">
        <f>IFERROR(__xludf.DUMMYFUNCTION("""COMPUTED_VALUE"""),"Captivating Wobble")</f>
        <v>Captivating Wobble</v>
      </c>
      <c r="AK381" s="32"/>
      <c r="AL381" s="32"/>
      <c r="AM381" s="32"/>
      <c r="AN381" s="32"/>
      <c r="AO381" s="32"/>
      <c r="AP381" s="32"/>
      <c r="AQ381" s="32"/>
      <c r="AR381" s="32"/>
      <c r="AS381" s="32"/>
      <c r="AT381" s="32"/>
      <c r="AU381" s="32"/>
      <c r="AV381" s="32"/>
      <c r="AW381" s="32"/>
      <c r="AX381" s="32"/>
      <c r="AY381" s="32"/>
      <c r="AZ381" s="32"/>
      <c r="BA381" s="32"/>
      <c r="BB381" s="32"/>
      <c r="BC381" s="32"/>
      <c r="BD381" s="32">
        <f>IFERROR(__xludf.DUMMYFUNCTION("""COMPUTED_VALUE"""),0.0)</f>
        <v>0</v>
      </c>
      <c r="BE381" s="32">
        <f>IFERROR(__xludf.DUMMYFUNCTION("""COMPUTED_VALUE"""),10.0)</f>
        <v>10</v>
      </c>
      <c r="BF381" s="32"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32" t="str">
        <f>IFERROR(__xludf.DUMMYFUNCTION("""COMPUTED_VALUE"""),"Forest")</f>
        <v>Forest</v>
      </c>
      <c r="BH381" s="32" t="str">
        <f>IFERROR(__xludf.DUMMYFUNCTION("""COMPUTED_VALUE"""),"Event Hub")</f>
        <v>Event Hub</v>
      </c>
      <c r="BI381" s="32"/>
      <c r="BJ381" s="32"/>
      <c r="BK381" s="32"/>
      <c r="BL381" s="32" t="b">
        <f>IFERROR(__xludf.DUMMYFUNCTION("""COMPUTED_VALUE"""),FALSE)</f>
        <v>0</v>
      </c>
      <c r="BM381" s="32"/>
      <c r="BN381" s="32"/>
      <c r="BO381" s="32"/>
      <c r="BP381" s="32"/>
      <c r="BQ381" s="32"/>
    </row>
    <row r="382">
      <c r="A382" s="32" t="str">
        <f>IFERROR(__xludf.DUMMYFUNCTION("""COMPUTED_VALUE"""),"Forest Golem")</f>
        <v>Forest Golem</v>
      </c>
      <c r="B382" s="32">
        <f>IFERROR(__xludf.DUMMYFUNCTION("""COMPUTED_VALUE"""),1.0)</f>
        <v>1</v>
      </c>
      <c r="C382" s="32" t="str">
        <f>IFERROR(__xludf.DUMMYFUNCTION("""COMPUTED_VALUE"""),"Guardian of the Forest Fae")</f>
        <v>Guardian of the Forest Fae</v>
      </c>
      <c r="D382" s="32" t="str">
        <f>IFERROR(__xludf.DUMMYFUNCTION("""COMPUTED_VALUE"""),"Construct")</f>
        <v>Construct</v>
      </c>
      <c r="E382" s="32">
        <f>IFERROR(__xludf.DUMMYFUNCTION("""COMPUTED_VALUE"""),1010.0)</f>
        <v>1010</v>
      </c>
      <c r="F382" s="33">
        <f>IFERROR(__xludf.DUMMYFUNCTION("""COMPUTED_VALUE"""),1010.0)</f>
        <v>1010</v>
      </c>
      <c r="G382" s="32">
        <f>IFERROR(__xludf.DUMMYFUNCTION("""COMPUTED_VALUE"""),1010.0)</f>
        <v>1010</v>
      </c>
      <c r="H382" s="32">
        <f>IFERROR(__xludf.DUMMYFUNCTION("""COMPUTED_VALUE"""),10.0)</f>
        <v>10</v>
      </c>
      <c r="I382" s="32">
        <f>IFERROR(__xludf.DUMMYFUNCTION("""COMPUTED_VALUE"""),0.0)</f>
        <v>0</v>
      </c>
      <c r="J382" s="32">
        <f>IFERROR(__xludf.DUMMYFUNCTION("""COMPUTED_VALUE"""),0.0)</f>
        <v>0</v>
      </c>
      <c r="K382" s="32">
        <f>IFERROR(__xludf.DUMMYFUNCTION("""COMPUTED_VALUE"""),100.0)</f>
        <v>100</v>
      </c>
      <c r="L382" s="32">
        <f>IFERROR(__xludf.DUMMYFUNCTION("""COMPUTED_VALUE"""),100.0)</f>
        <v>100</v>
      </c>
      <c r="M382" s="32" t="str">
        <f>IFERROR(__xludf.DUMMYFUNCTION("""COMPUTED_VALUE"""),"#N/A")</f>
        <v>#N/A</v>
      </c>
      <c r="N382" s="32" t="str">
        <f>IFERROR(__xludf.DUMMYFUNCTION("""COMPUTED_VALUE"""),"#N/A")</f>
        <v>#N/A</v>
      </c>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f>IFERROR(__xludf.DUMMYFUNCTION("""COMPUTED_VALUE"""),0.0)</f>
        <v>0</v>
      </c>
      <c r="BE382" s="32">
        <f>IFERROR(__xludf.DUMMYFUNCTION("""COMPUTED_VALUE"""),10.0)</f>
        <v>10</v>
      </c>
      <c r="BF382" s="32"/>
      <c r="BG382" s="32" t="str">
        <f>IFERROR(__xludf.DUMMYFUNCTION("""COMPUTED_VALUE"""),"Forest")</f>
        <v>Forest</v>
      </c>
      <c r="BH382" s="32" t="str">
        <f>IFERROR(__xludf.DUMMYFUNCTION("""COMPUTED_VALUE"""),"Event Hub")</f>
        <v>Event Hub</v>
      </c>
      <c r="BI382" s="32"/>
      <c r="BJ382" s="32"/>
      <c r="BK382" s="32"/>
      <c r="BL382" s="32" t="b">
        <f>IFERROR(__xludf.DUMMYFUNCTION("""COMPUTED_VALUE"""),FALSE)</f>
        <v>0</v>
      </c>
      <c r="BM382" s="32"/>
      <c r="BN382" s="32"/>
      <c r="BO382" s="32"/>
      <c r="BP382" s="32"/>
      <c r="BQ382" s="32"/>
    </row>
    <row r="383">
      <c r="A383" s="32" t="str">
        <f>IFERROR(__xludf.DUMMYFUNCTION("""COMPUTED_VALUE"""),"Oberon The Faery King ")</f>
        <v>Oberon The Faery King </v>
      </c>
      <c r="B383" s="32">
        <f>IFERROR(__xludf.DUMMYFUNCTION("""COMPUTED_VALUE"""),1.0)</f>
        <v>1</v>
      </c>
      <c r="C383" s="32" t="str">
        <f>IFERROR(__xludf.DUMMYFUNCTION("""COMPUTED_VALUE"""),"The High King of the Fae. He rules over the moonlight, dreams and all fairy rites.")</f>
        <v>The High King of the Fae. He rules over the moonlight, dreams and all fairy rites.</v>
      </c>
      <c r="D383" s="32" t="str">
        <f>IFERROR(__xludf.DUMMYFUNCTION("""COMPUTED_VALUE"""),"Fae")</f>
        <v>Fae</v>
      </c>
      <c r="E383" s="32">
        <f>IFERROR(__xludf.DUMMYFUNCTION("""COMPUTED_VALUE"""),1010.0)</f>
        <v>1010</v>
      </c>
      <c r="F383" s="33">
        <f>IFERROR(__xludf.DUMMYFUNCTION("""COMPUTED_VALUE"""),1010.0)</f>
        <v>1010</v>
      </c>
      <c r="G383" s="32">
        <f>IFERROR(__xludf.DUMMYFUNCTION("""COMPUTED_VALUE"""),1010.0)</f>
        <v>1010</v>
      </c>
      <c r="H383" s="32">
        <f>IFERROR(__xludf.DUMMYFUNCTION("""COMPUTED_VALUE"""),10.0)</f>
        <v>10</v>
      </c>
      <c r="I383" s="32">
        <f>IFERROR(__xludf.DUMMYFUNCTION("""COMPUTED_VALUE"""),0.0)</f>
        <v>0</v>
      </c>
      <c r="J383" s="32">
        <f>IFERROR(__xludf.DUMMYFUNCTION("""COMPUTED_VALUE"""),0.0)</f>
        <v>0</v>
      </c>
      <c r="K383" s="32">
        <f>IFERROR(__xludf.DUMMYFUNCTION("""COMPUTED_VALUE"""),100.0)</f>
        <v>100</v>
      </c>
      <c r="L383" s="32">
        <f>IFERROR(__xludf.DUMMYFUNCTION("""COMPUTED_VALUE"""),100.0)</f>
        <v>100</v>
      </c>
      <c r="M383" s="32" t="str">
        <f>IFERROR(__xludf.DUMMYFUNCTION("""COMPUTED_VALUE"""),"#N/A")</f>
        <v>#N/A</v>
      </c>
      <c r="N383" s="32" t="str">
        <f>IFERROR(__xludf.DUMMYFUNCTION("""COMPUTED_VALUE"""),"#N/A")</f>
        <v>#N/A</v>
      </c>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f>IFERROR(__xludf.DUMMYFUNCTION("""COMPUTED_VALUE"""),0.0)</f>
        <v>0</v>
      </c>
      <c r="BE383" s="32">
        <f>IFERROR(__xludf.DUMMYFUNCTION("""COMPUTED_VALUE"""),10.0)</f>
        <v>10</v>
      </c>
      <c r="BF383" s="32" t="str">
        <f>IFERROR(__xludf.DUMMYFUNCTION("""COMPUTED_VALUE"""),"Only 1 of each Loot Drop can be obtained per character.")</f>
        <v>Only 1 of each Loot Drop can be obtained per character.</v>
      </c>
      <c r="BG383" s="32" t="str">
        <f>IFERROR(__xludf.DUMMYFUNCTION("""COMPUTED_VALUE"""),"Forest")</f>
        <v>Forest</v>
      </c>
      <c r="BH383" s="32" t="str">
        <f>IFERROR(__xludf.DUMMYFUNCTION("""COMPUTED_VALUE"""),"Event Hub")</f>
        <v>Event Hub</v>
      </c>
      <c r="BI383" s="32"/>
      <c r="BJ383" s="32"/>
      <c r="BK383" s="32"/>
      <c r="BL383" s="32" t="b">
        <f>IFERROR(__xludf.DUMMYFUNCTION("""COMPUTED_VALUE"""),FALSE)</f>
        <v>0</v>
      </c>
      <c r="BM383" s="32"/>
      <c r="BN383" s="32"/>
      <c r="BO383" s="32"/>
      <c r="BP383" s="32"/>
      <c r="BQ383" s="32"/>
    </row>
    <row r="384">
      <c r="A384" s="32" t="str">
        <f>IFERROR(__xludf.DUMMYFUNCTION("""COMPUTED_VALUE"""),"Beast of Gévaudan")</f>
        <v>Beast of Gévaudan</v>
      </c>
      <c r="B384" s="32">
        <f>IFERROR(__xludf.DUMMYFUNCTION("""COMPUTED_VALUE"""),1.0)</f>
        <v>1</v>
      </c>
      <c r="C384" s="32" t="str">
        <f>IFERROR(__xludf.DUMMYFUNCTION("""COMPUTED_VALUE"""),"A rather large wolf found within the Wildwood")</f>
        <v>A rather large wolf found within the Wildwood</v>
      </c>
      <c r="D384" s="32" t="str">
        <f>IFERROR(__xludf.DUMMYFUNCTION("""COMPUTED_VALUE"""),"Spirit")</f>
        <v>Spirit</v>
      </c>
      <c r="E384" s="32">
        <f>IFERROR(__xludf.DUMMYFUNCTION("""COMPUTED_VALUE"""),1010.0)</f>
        <v>1010</v>
      </c>
      <c r="F384" s="33">
        <f>IFERROR(__xludf.DUMMYFUNCTION("""COMPUTED_VALUE"""),1010.0)</f>
        <v>1010</v>
      </c>
      <c r="G384" s="32">
        <f>IFERROR(__xludf.DUMMYFUNCTION("""COMPUTED_VALUE"""),1010.0)</f>
        <v>1010</v>
      </c>
      <c r="H384" s="32">
        <f>IFERROR(__xludf.DUMMYFUNCTION("""COMPUTED_VALUE"""),15.0)</f>
        <v>15</v>
      </c>
      <c r="I384" s="32">
        <f>IFERROR(__xludf.DUMMYFUNCTION("""COMPUTED_VALUE"""),0.0)</f>
        <v>0</v>
      </c>
      <c r="J384" s="32">
        <f>IFERROR(__xludf.DUMMYFUNCTION("""COMPUTED_VALUE"""),0.0)</f>
        <v>0</v>
      </c>
      <c r="K384" s="32">
        <f>IFERROR(__xludf.DUMMYFUNCTION("""COMPUTED_VALUE"""),100.0)</f>
        <v>100</v>
      </c>
      <c r="L384" s="32">
        <f>IFERROR(__xludf.DUMMYFUNCTION("""COMPUTED_VALUE"""),100.0)</f>
        <v>100</v>
      </c>
      <c r="M384" s="32" t="str">
        <f>IFERROR(__xludf.DUMMYFUNCTION("""COMPUTED_VALUE"""),"Fire:Immune, Dark:Immune, Blood:Immune, Instant Death:Immune, Banishment:Immune, ")</f>
        <v>Fire:Immune, Dark:Immune, Blood:Immune, Instant Death:Immune, Banishment:Immune, </v>
      </c>
      <c r="N384" s="32" t="str">
        <f>IFERROR(__xludf.DUMMYFUNCTION("""COMPUTED_VALUE"""),"Spirit:100, ")</f>
        <v>Spirit:100, </v>
      </c>
      <c r="O384" s="32"/>
      <c r="P384" s="32"/>
      <c r="Q384" s="32"/>
      <c r="R384" s="32"/>
      <c r="S384" s="32"/>
      <c r="T384" s="32"/>
      <c r="U384" s="32"/>
      <c r="V384" s="32"/>
      <c r="W384" s="32"/>
      <c r="X384" s="32"/>
      <c r="Y384" s="32"/>
      <c r="Z384" s="32"/>
      <c r="AA384" s="32"/>
      <c r="AB384" s="32"/>
      <c r="AC384" s="32"/>
      <c r="AD384" s="32"/>
      <c r="AE384" s="32"/>
      <c r="AF384" s="32"/>
      <c r="AG384" s="32"/>
      <c r="AH384" s="32"/>
      <c r="AI384" s="32"/>
      <c r="AJ384" s="32" t="str">
        <f>IFERROR(__xludf.DUMMYFUNCTION("""COMPUTED_VALUE"""),"Shaken Soul")</f>
        <v>Shaken Soul</v>
      </c>
      <c r="AK384" s="32" t="str">
        <f>IFERROR(__xludf.DUMMYFUNCTION("""COMPUTED_VALUE"""),"Degrade")</f>
        <v>Degrade</v>
      </c>
      <c r="AL384" s="32" t="str">
        <f>IFERROR(__xludf.DUMMYFUNCTION("""COMPUTED_VALUE"""),"Confuse")</f>
        <v>Confuse</v>
      </c>
      <c r="AM384" s="32" t="str">
        <f>IFERROR(__xludf.DUMMYFUNCTION("""COMPUTED_VALUE"""),"A Deal With The Spirit World")</f>
        <v>A Deal With The Spirit World</v>
      </c>
      <c r="AN384" s="32" t="str">
        <f>IFERROR(__xludf.DUMMYFUNCTION("""COMPUTED_VALUE"""),"Spirit Fog")</f>
        <v>Spirit Fog</v>
      </c>
      <c r="AO384" s="32" t="str">
        <f>IFERROR(__xludf.DUMMYFUNCTION("""COMPUTED_VALUE"""),"Positive Energy")</f>
        <v>Positive Energy</v>
      </c>
      <c r="AP384" s="32" t="str">
        <f>IFERROR(__xludf.DUMMYFUNCTION("""COMPUTED_VALUE"""),"Spectral Lash")</f>
        <v>Spectral Lash</v>
      </c>
      <c r="AQ384" s="32" t="str">
        <f>IFERROR(__xludf.DUMMYFUNCTION("""COMPUTED_VALUE"""),"Spirit's March")</f>
        <v>Spirit's March</v>
      </c>
      <c r="AR384" s="32" t="str">
        <f>IFERROR(__xludf.DUMMYFUNCTION("""COMPUTED_VALUE"""),"Spirit Fog")</f>
        <v>Spirit Fog</v>
      </c>
      <c r="AS384" s="32" t="str">
        <f>IFERROR(__xludf.DUMMYFUNCTION("""COMPUTED_VALUE"""),"Berserk")</f>
        <v>Berserk</v>
      </c>
      <c r="AT384" s="32"/>
      <c r="AU384" s="32"/>
      <c r="AV384" s="32"/>
      <c r="AW384" s="32"/>
      <c r="AX384" s="32"/>
      <c r="AY384" s="32"/>
      <c r="AZ384" s="32"/>
      <c r="BA384" s="32"/>
      <c r="BB384" s="32"/>
      <c r="BC384" s="32"/>
      <c r="BD384" s="32">
        <f>IFERROR(__xludf.DUMMYFUNCTION("""COMPUTED_VALUE"""),0.0)</f>
        <v>0</v>
      </c>
      <c r="BE384" s="32">
        <f>IFERROR(__xludf.DUMMYFUNCTION("""COMPUTED_VALUE"""),10.0)</f>
        <v>10</v>
      </c>
      <c r="BF384" s="32" t="str">
        <f>IFERROR(__xludf.DUMMYFUNCTION("""COMPUTED_VALUE"""),"Greater Spirit - +5 can be added to all rolls made by this mob")</f>
        <v>Greater Spirit - +5 can be added to all rolls made by this mob</v>
      </c>
      <c r="BG384" s="32" t="str">
        <f>IFERROR(__xludf.DUMMYFUNCTION("""COMPUTED_VALUE"""),"Forest")</f>
        <v>Forest</v>
      </c>
      <c r="BH384" s="32" t="str">
        <f>IFERROR(__xludf.DUMMYFUNCTION("""COMPUTED_VALUE"""),"Land of Spira")</f>
        <v>Land of Spira</v>
      </c>
      <c r="BI384" s="32"/>
      <c r="BJ384" s="32"/>
      <c r="BK384" s="32"/>
      <c r="BL384" s="32" t="b">
        <f>IFERROR(__xludf.DUMMYFUNCTION("""COMPUTED_VALUE"""),FALSE)</f>
        <v>0</v>
      </c>
      <c r="BM384" s="32"/>
      <c r="BN384" s="32"/>
      <c r="BO384" s="32"/>
      <c r="BP384" s="32"/>
      <c r="BQ384" s="32"/>
    </row>
    <row r="385">
      <c r="A385" s="32" t="str">
        <f>IFERROR(__xludf.DUMMYFUNCTION("""COMPUTED_VALUE"""),"Salamander, King of the Fire Elementals")</f>
        <v>Salamander, King of the Fire Elementals</v>
      </c>
      <c r="B385" s="32">
        <f>IFERROR(__xludf.DUMMYFUNCTION("""COMPUTED_VALUE"""),1.0)</f>
        <v>1</v>
      </c>
      <c r="C385" s="32" t="str">
        <f>IFERROR(__xludf.DUMMYFUNCTION("""COMPUTED_VALUE"""),"The King of all spirits of the fire domain, lives within the Sweltering Salamander swamp.")</f>
        <v>The King of all spirits of the fire domain, lives within the Sweltering Salamander swamp.</v>
      </c>
      <c r="D385" s="32" t="str">
        <f>IFERROR(__xludf.DUMMYFUNCTION("""COMPUTED_VALUE"""),"Spirit")</f>
        <v>Spirit</v>
      </c>
      <c r="E385" s="32">
        <f>IFERROR(__xludf.DUMMYFUNCTION("""COMPUTED_VALUE"""),1010.0)</f>
        <v>1010</v>
      </c>
      <c r="F385" s="33">
        <f>IFERROR(__xludf.DUMMYFUNCTION("""COMPUTED_VALUE"""),1010.0)</f>
        <v>1010</v>
      </c>
      <c r="G385" s="32">
        <f>IFERROR(__xludf.DUMMYFUNCTION("""COMPUTED_VALUE"""),1010.0)</f>
        <v>1010</v>
      </c>
      <c r="H385" s="32">
        <f>IFERROR(__xludf.DUMMYFUNCTION("""COMPUTED_VALUE"""),10.0)</f>
        <v>10</v>
      </c>
      <c r="I385" s="32">
        <f>IFERROR(__xludf.DUMMYFUNCTION("""COMPUTED_VALUE"""),0.0)</f>
        <v>0</v>
      </c>
      <c r="J385" s="32">
        <f>IFERROR(__xludf.DUMMYFUNCTION("""COMPUTED_VALUE"""),0.0)</f>
        <v>0</v>
      </c>
      <c r="K385" s="32">
        <f>IFERROR(__xludf.DUMMYFUNCTION("""COMPUTED_VALUE"""),100.0)</f>
        <v>100</v>
      </c>
      <c r="L385" s="32">
        <f>IFERROR(__xludf.DUMMYFUNCTION("""COMPUTED_VALUE"""),100.0)</f>
        <v>100</v>
      </c>
      <c r="M385" s="32" t="str">
        <f>IFERROR(__xludf.DUMMYFUNCTION("""COMPUTED_VALUE"""),"Fire:Immune, Nature:500, Blood:Immune, Instant Death:Immune, Banishment:Immune, ")</f>
        <v>Fire:Immune, Nature:500, Blood:Immune, Instant Death:Immune, Banishment:Immune, </v>
      </c>
      <c r="N385" s="32" t="str">
        <f>IFERROR(__xludf.DUMMYFUNCTION("""COMPUTED_VALUE"""),"Water:250, Spirit:100, ")</f>
        <v>Water:250, Spirit:100, </v>
      </c>
      <c r="O385" s="32"/>
      <c r="P385" s="32"/>
      <c r="Q385" s="32"/>
      <c r="R385" s="32"/>
      <c r="S385" s="32"/>
      <c r="T385" s="32"/>
      <c r="U385" s="32"/>
      <c r="V385" s="32"/>
      <c r="W385" s="32"/>
      <c r="X385" s="32"/>
      <c r="Y385" s="32"/>
      <c r="Z385" s="32"/>
      <c r="AA385" s="32"/>
      <c r="AB385" s="32"/>
      <c r="AC385" s="32"/>
      <c r="AD385" s="32"/>
      <c r="AE385" s="32"/>
      <c r="AF385" s="32"/>
      <c r="AG385" s="32"/>
      <c r="AH385" s="32"/>
      <c r="AI385" s="32"/>
      <c r="AJ385" s="32" t="str">
        <f>IFERROR(__xludf.DUMMYFUNCTION("""COMPUTED_VALUE"""),"Forgotten Fire")</f>
        <v>Forgotten Fire</v>
      </c>
      <c r="AK385" s="32" t="str">
        <f>IFERROR(__xludf.DUMMYFUNCTION("""COMPUTED_VALUE"""),"Ignite")</f>
        <v>Ignite</v>
      </c>
      <c r="AL385" s="32" t="str">
        <f>IFERROR(__xludf.DUMMYFUNCTION("""COMPUTED_VALUE"""),"Meteor Shower")</f>
        <v>Meteor Shower</v>
      </c>
      <c r="AM385" s="32" t="str">
        <f>IFERROR(__xludf.DUMMYFUNCTION("""COMPUTED_VALUE"""),"Solar Storm")</f>
        <v>Solar Storm</v>
      </c>
      <c r="AN385" s="32" t="str">
        <f>IFERROR(__xludf.DUMMYFUNCTION("""COMPUTED_VALUE"""),"Flame Sanctuary")</f>
        <v>Flame Sanctuary</v>
      </c>
      <c r="AO385" s="32" t="str">
        <f>IFERROR(__xludf.DUMMYFUNCTION("""COMPUTED_VALUE"""),"Mass Ignition")</f>
        <v>Mass Ignition</v>
      </c>
      <c r="AP385" s="32" t="str">
        <f>IFERROR(__xludf.DUMMYFUNCTION("""COMPUTED_VALUE"""),"Volcanic Rain")</f>
        <v>Volcanic Rain</v>
      </c>
      <c r="AQ385" s="32" t="str">
        <f>IFERROR(__xludf.DUMMYFUNCTION("""COMPUTED_VALUE"""),"Volcanic Wall")</f>
        <v>Volcanic Wall</v>
      </c>
      <c r="AR385" s="32" t="str">
        <f>IFERROR(__xludf.DUMMYFUNCTION("""COMPUTED_VALUE"""),"Meltdown")</f>
        <v>Meltdown</v>
      </c>
      <c r="AS385" s="32" t="str">
        <f>IFERROR(__xludf.DUMMYFUNCTION("""COMPUTED_VALUE"""),"Multishot")</f>
        <v>Multishot</v>
      </c>
      <c r="AT385" s="32" t="str">
        <f>IFERROR(__xludf.DUMMYFUNCTION("""COMPUTED_VALUE"""),"Chaincast")</f>
        <v>Chaincast</v>
      </c>
      <c r="AU385" s="32"/>
      <c r="AV385" s="32"/>
      <c r="AW385" s="32"/>
      <c r="AX385" s="32"/>
      <c r="AY385" s="32"/>
      <c r="AZ385" s="32"/>
      <c r="BA385" s="32"/>
      <c r="BB385" s="32"/>
      <c r="BC385" s="32"/>
      <c r="BD385" s="32">
        <f>IFERROR(__xludf.DUMMYFUNCTION("""COMPUTED_VALUE"""),0.0)</f>
        <v>0</v>
      </c>
      <c r="BE385" s="32">
        <f>IFERROR(__xludf.DUMMYFUNCTION("""COMPUTED_VALUE"""),10.0)</f>
        <v>10</v>
      </c>
      <c r="BF385" s="32"/>
      <c r="BG385" s="32" t="str">
        <f>IFERROR(__xludf.DUMMYFUNCTION("""COMPUTED_VALUE"""),"Dungeon")</f>
        <v>Dungeon</v>
      </c>
      <c r="BH385" s="32" t="str">
        <f>IFERROR(__xludf.DUMMYFUNCTION("""COMPUTED_VALUE"""),"Dragonscale Island")</f>
        <v>Dragonscale Island</v>
      </c>
      <c r="BI385" s="32"/>
      <c r="BJ385" s="32"/>
      <c r="BK385" s="32"/>
      <c r="BL385" s="32" t="b">
        <f>IFERROR(__xludf.DUMMYFUNCTION("""COMPUTED_VALUE"""),FALSE)</f>
        <v>0</v>
      </c>
      <c r="BM385" s="32"/>
      <c r="BN385" s="32"/>
      <c r="BO385" s="32"/>
      <c r="BP385" s="32"/>
      <c r="BQ385" s="32"/>
    </row>
    <row r="386">
      <c r="A386" s="32" t="str">
        <f>IFERROR(__xludf.DUMMYFUNCTION("""COMPUTED_VALUE"""),"Karduk, King of the Earth Elementals")</f>
        <v>Karduk, King of the Earth Elementals</v>
      </c>
      <c r="B386" s="32">
        <f>IFERROR(__xludf.DUMMYFUNCTION("""COMPUTED_VALUE"""),1.0)</f>
        <v>1</v>
      </c>
      <c r="C386" s="32" t="str">
        <f>IFERROR(__xludf.DUMMYFUNCTION("""COMPUTED_VALUE"""),"The King of all spirits of the Earth domain, lives in the Thundertail Falls")</f>
        <v>The King of all spirits of the Earth domain, lives in the Thundertail Falls</v>
      </c>
      <c r="D386" s="32" t="str">
        <f>IFERROR(__xludf.DUMMYFUNCTION("""COMPUTED_VALUE"""),"Spirit")</f>
        <v>Spirit</v>
      </c>
      <c r="E386" s="32">
        <f>IFERROR(__xludf.DUMMYFUNCTION("""COMPUTED_VALUE"""),1010.0)</f>
        <v>1010</v>
      </c>
      <c r="F386" s="33">
        <f>IFERROR(__xludf.DUMMYFUNCTION("""COMPUTED_VALUE"""),1010.0)</f>
        <v>1010</v>
      </c>
      <c r="G386" s="32">
        <f>IFERROR(__xludf.DUMMYFUNCTION("""COMPUTED_VALUE"""),1010.0)</f>
        <v>1010</v>
      </c>
      <c r="H386" s="32">
        <f>IFERROR(__xludf.DUMMYFUNCTION("""COMPUTED_VALUE"""),10.0)</f>
        <v>10</v>
      </c>
      <c r="I386" s="32">
        <f>IFERROR(__xludf.DUMMYFUNCTION("""COMPUTED_VALUE"""),0.0)</f>
        <v>0</v>
      </c>
      <c r="J386" s="32">
        <f>IFERROR(__xludf.DUMMYFUNCTION("""COMPUTED_VALUE"""),0.0)</f>
        <v>0</v>
      </c>
      <c r="K386" s="32">
        <f>IFERROR(__xludf.DUMMYFUNCTION("""COMPUTED_VALUE"""),100.0)</f>
        <v>100</v>
      </c>
      <c r="L386" s="32">
        <f>IFERROR(__xludf.DUMMYFUNCTION("""COMPUTED_VALUE"""),100.0)</f>
        <v>100</v>
      </c>
      <c r="M386" s="32" t="str">
        <f>IFERROR(__xludf.DUMMYFUNCTION("""COMPUTED_VALUE"""),"Blood:Immune, Instant Death:Immune, Banishment:Immune, ")</f>
        <v>Blood:Immune, Instant Death:Immune, Banishment:Immune, </v>
      </c>
      <c r="N386" s="32" t="str">
        <f>IFERROR(__xludf.DUMMYFUNCTION("""COMPUTED_VALUE"""),"Water:250, Storm:250, Spirit:100, ")</f>
        <v>Water:250, Storm:250, Spirit:100, </v>
      </c>
      <c r="O386" s="32"/>
      <c r="P386" s="32"/>
      <c r="Q386" s="32"/>
      <c r="R386" s="32"/>
      <c r="S386" s="32"/>
      <c r="T386" s="32"/>
      <c r="U386" s="32"/>
      <c r="V386" s="32"/>
      <c r="W386" s="32"/>
      <c r="X386" s="32"/>
      <c r="Y386" s="32"/>
      <c r="Z386" s="32"/>
      <c r="AA386" s="32"/>
      <c r="AB386" s="32"/>
      <c r="AC386" s="32"/>
      <c r="AD386" s="32"/>
      <c r="AE386" s="32"/>
      <c r="AF386" s="32"/>
      <c r="AG386" s="32"/>
      <c r="AH386" s="32"/>
      <c r="AI386" s="32"/>
      <c r="AJ386" s="32" t="str">
        <f>IFERROR(__xludf.DUMMYFUNCTION("""COMPUTED_VALUE"""),"Ancient Monolith Of Earth")</f>
        <v>Ancient Monolith Of Earth</v>
      </c>
      <c r="AK386" s="32" t="str">
        <f>IFERROR(__xludf.DUMMYFUNCTION("""COMPUTED_VALUE"""),"Rock Shot")</f>
        <v>Rock Shot</v>
      </c>
      <c r="AL386" s="32" t="str">
        <f>IFERROR(__xludf.DUMMYFUNCTION("""COMPUTED_VALUE"""),"Breaking Earth")</f>
        <v>Breaking Earth</v>
      </c>
      <c r="AM386" s="32" t="str">
        <f>IFERROR(__xludf.DUMMYFUNCTION("""COMPUTED_VALUE"""),"Petrification")</f>
        <v>Petrification</v>
      </c>
      <c r="AN386" s="32" t="str">
        <f>IFERROR(__xludf.DUMMYFUNCTION("""COMPUTED_VALUE"""),"Mass Petrification")</f>
        <v>Mass Petrification</v>
      </c>
      <c r="AO386" s="32" t="str">
        <f>IFERROR(__xludf.DUMMYFUNCTION("""COMPUTED_VALUE"""),"Sling Stone")</f>
        <v>Sling Stone</v>
      </c>
      <c r="AP386" s="32" t="str">
        <f>IFERROR(__xludf.DUMMYFUNCTION("""COMPUTED_VALUE"""),"Sand Hole")</f>
        <v>Sand Hole</v>
      </c>
      <c r="AQ386" s="32" t="str">
        <f>IFERROR(__xludf.DUMMYFUNCTION("""COMPUTED_VALUE"""),"Rock Cycle")</f>
        <v>Rock Cycle</v>
      </c>
      <c r="AR386" s="32" t="str">
        <f>IFERROR(__xludf.DUMMYFUNCTION("""COMPUTED_VALUE"""),"Mud Wave")</f>
        <v>Mud Wave</v>
      </c>
      <c r="AS386" s="32" t="str">
        <f>IFERROR(__xludf.DUMMYFUNCTION("""COMPUTED_VALUE"""),"Soul Shot")</f>
        <v>Soul Shot</v>
      </c>
      <c r="AT386" s="32" t="str">
        <f>IFERROR(__xludf.DUMMYFUNCTION("""COMPUTED_VALUE"""),"Spirit Fog")</f>
        <v>Spirit Fog</v>
      </c>
      <c r="AU386" s="32" t="str">
        <f>IFERROR(__xludf.DUMMYFUNCTION("""COMPUTED_VALUE"""),"Dread")</f>
        <v>Dread</v>
      </c>
      <c r="AV386" s="32" t="str">
        <f>IFERROR(__xludf.DUMMYFUNCTION("""COMPUTED_VALUE"""),"Burning Dread")</f>
        <v>Burning Dread</v>
      </c>
      <c r="AW386" s="32" t="str">
        <f>IFERROR(__xludf.DUMMYFUNCTION("""COMPUTED_VALUE"""),"Spectral Lash")</f>
        <v>Spectral Lash</v>
      </c>
      <c r="AX386" s="32" t="str">
        <f>IFERROR(__xludf.DUMMYFUNCTION("""COMPUTED_VALUE"""),"Celestial Wave")</f>
        <v>Celestial Wave</v>
      </c>
      <c r="AY386" s="32"/>
      <c r="AZ386" s="32"/>
      <c r="BA386" s="32"/>
      <c r="BB386" s="32"/>
      <c r="BC386" s="32"/>
      <c r="BD386" s="32">
        <f>IFERROR(__xludf.DUMMYFUNCTION("""COMPUTED_VALUE"""),0.0)</f>
        <v>0</v>
      </c>
      <c r="BE386" s="32">
        <f>IFERROR(__xludf.DUMMYFUNCTION("""COMPUTED_VALUE"""),10.0)</f>
        <v>10</v>
      </c>
      <c r="BF386" s="32"/>
      <c r="BG386" s="32" t="str">
        <f>IFERROR(__xludf.DUMMYFUNCTION("""COMPUTED_VALUE"""),"Dungeon")</f>
        <v>Dungeon</v>
      </c>
      <c r="BH386" s="32" t="str">
        <f>IFERROR(__xludf.DUMMYFUNCTION("""COMPUTED_VALUE"""),"Dragonscale Island")</f>
        <v>Dragonscale Island</v>
      </c>
      <c r="BI386" s="32"/>
      <c r="BJ386" s="32"/>
      <c r="BK386" s="32"/>
      <c r="BL386" s="32" t="b">
        <f>IFERROR(__xludf.DUMMYFUNCTION("""COMPUTED_VALUE"""),FALSE)</f>
        <v>0</v>
      </c>
      <c r="BM386" s="32"/>
      <c r="BN386" s="32"/>
      <c r="BO386" s="32"/>
      <c r="BP386" s="32"/>
      <c r="BQ386" s="32"/>
    </row>
    <row r="387">
      <c r="A387" s="32" t="str">
        <f>IFERROR(__xludf.DUMMYFUNCTION("""COMPUTED_VALUE"""),"Undyne, Queen of the Water Elementals")</f>
        <v>Undyne, Queen of the Water Elementals</v>
      </c>
      <c r="B387" s="32">
        <f>IFERROR(__xludf.DUMMYFUNCTION("""COMPUTED_VALUE"""),1.0)</f>
        <v>1</v>
      </c>
      <c r="C387" s="32" t="str">
        <f>IFERROR(__xludf.DUMMYFUNCTION("""COMPUTED_VALUE"""),"The Queen of all spirits of the Water domain, lives in Pond city")</f>
        <v>The Queen of all spirits of the Water domain, lives in Pond city</v>
      </c>
      <c r="D387" s="32" t="str">
        <f>IFERROR(__xludf.DUMMYFUNCTION("""COMPUTED_VALUE"""),"Spirit")</f>
        <v>Spirit</v>
      </c>
      <c r="E387" s="32">
        <f>IFERROR(__xludf.DUMMYFUNCTION("""COMPUTED_VALUE"""),1010.0)</f>
        <v>1010</v>
      </c>
      <c r="F387" s="33">
        <f>IFERROR(__xludf.DUMMYFUNCTION("""COMPUTED_VALUE"""),1010.0)</f>
        <v>1010</v>
      </c>
      <c r="G387" s="32">
        <f>IFERROR(__xludf.DUMMYFUNCTION("""COMPUTED_VALUE"""),1010.0)</f>
        <v>1010</v>
      </c>
      <c r="H387" s="32">
        <f>IFERROR(__xludf.DUMMYFUNCTION("""COMPUTED_VALUE"""),10.0)</f>
        <v>10</v>
      </c>
      <c r="I387" s="32">
        <f>IFERROR(__xludf.DUMMYFUNCTION("""COMPUTED_VALUE"""),0.0)</f>
        <v>0</v>
      </c>
      <c r="J387" s="32">
        <f>IFERROR(__xludf.DUMMYFUNCTION("""COMPUTED_VALUE"""),0.0)</f>
        <v>0</v>
      </c>
      <c r="K387" s="32">
        <f>IFERROR(__xludf.DUMMYFUNCTION("""COMPUTED_VALUE"""),100.0)</f>
        <v>100</v>
      </c>
      <c r="L387" s="32">
        <f>IFERROR(__xludf.DUMMYFUNCTION("""COMPUTED_VALUE"""),100.0)</f>
        <v>100</v>
      </c>
      <c r="M387" s="32" t="str">
        <f>IFERROR(__xludf.DUMMYFUNCTION("""COMPUTED_VALUE"""),"Fire:500, Water:Immune, Blood:Immune, Instant Death:Immune, Banishment:Immune, ")</f>
        <v>Fire:500, Water:Immune, Blood:Immune, Instant Death:Immune, Banishment:Immune, </v>
      </c>
      <c r="N387" s="32" t="str">
        <f>IFERROR(__xludf.DUMMYFUNCTION("""COMPUTED_VALUE"""),"Storm:250, Spirit:100, Nature:250, ")</f>
        <v>Storm:250, Spirit:100, Nature:250, </v>
      </c>
      <c r="O387" s="32"/>
      <c r="P387" s="32"/>
      <c r="Q387" s="32"/>
      <c r="R387" s="32"/>
      <c r="S387" s="32"/>
      <c r="T387" s="32"/>
      <c r="U387" s="32"/>
      <c r="V387" s="32"/>
      <c r="W387" s="32"/>
      <c r="X387" s="32"/>
      <c r="Y387" s="32"/>
      <c r="Z387" s="32"/>
      <c r="AA387" s="32"/>
      <c r="AB387" s="32"/>
      <c r="AC387" s="32"/>
      <c r="AD387" s="32"/>
      <c r="AE387" s="32"/>
      <c r="AF387" s="32"/>
      <c r="AG387" s="32"/>
      <c r="AH387" s="32"/>
      <c r="AI387" s="32"/>
      <c r="AJ387" s="32" t="str">
        <f>IFERROR(__xludf.DUMMYFUNCTION("""COMPUTED_VALUE"""),"Torrential Downpour")</f>
        <v>Torrential Downpour</v>
      </c>
      <c r="AK387" s="32" t="str">
        <f>IFERROR(__xludf.DUMMYFUNCTION("""COMPUTED_VALUE"""),"Water Ward")</f>
        <v>Water Ward</v>
      </c>
      <c r="AL387" s="32" t="str">
        <f>IFERROR(__xludf.DUMMYFUNCTION("""COMPUTED_VALUE"""),"Hyper Whirlpool")</f>
        <v>Hyper Whirlpool</v>
      </c>
      <c r="AM387" s="32" t="str">
        <f>IFERROR(__xludf.DUMMYFUNCTION("""COMPUTED_VALUE"""),"Deep Freeze")</f>
        <v>Deep Freeze</v>
      </c>
      <c r="AN387" s="32" t="str">
        <f>IFERROR(__xludf.DUMMYFUNCTION("""COMPUTED_VALUE"""),"Geyser (Enhanced)")</f>
        <v>Geyser (Enhanced)</v>
      </c>
      <c r="AO387" s="32" t="str">
        <f>IFERROR(__xludf.DUMMYFUNCTION("""COMPUTED_VALUE"""),"Tower Of Atlantis")</f>
        <v>Tower Of Atlantis</v>
      </c>
      <c r="AP387" s="32"/>
      <c r="AQ387" s="32"/>
      <c r="AR387" s="32" t="str">
        <f>IFERROR(__xludf.DUMMYFUNCTION("""COMPUTED_VALUE"""),"Mass Destruction")</f>
        <v>Mass Destruction</v>
      </c>
      <c r="AS387" s="32" t="str">
        <f>IFERROR(__xludf.DUMMYFUNCTION("""COMPUTED_VALUE"""),"Celestial Blast")</f>
        <v>Celestial Blast</v>
      </c>
      <c r="AT387" s="32" t="str">
        <f>IFERROR(__xludf.DUMMYFUNCTION("""COMPUTED_VALUE"""),"Chaincast")</f>
        <v>Chaincast</v>
      </c>
      <c r="AU387" s="32" t="str">
        <f>IFERROR(__xludf.DUMMYFUNCTION("""COMPUTED_VALUE"""),"Multishot")</f>
        <v>Multishot</v>
      </c>
      <c r="AV387" s="32"/>
      <c r="AW387" s="32"/>
      <c r="AX387" s="32"/>
      <c r="AY387" s="32"/>
      <c r="AZ387" s="32"/>
      <c r="BA387" s="32"/>
      <c r="BB387" s="32"/>
      <c r="BC387" s="32"/>
      <c r="BD387" s="32">
        <f>IFERROR(__xludf.DUMMYFUNCTION("""COMPUTED_VALUE"""),0.0)</f>
        <v>0</v>
      </c>
      <c r="BE387" s="32">
        <f>IFERROR(__xludf.DUMMYFUNCTION("""COMPUTED_VALUE"""),10.0)</f>
        <v>10</v>
      </c>
      <c r="BF387" s="32"/>
      <c r="BG387" s="32" t="str">
        <f>IFERROR(__xludf.DUMMYFUNCTION("""COMPUTED_VALUE"""),"Dungeon")</f>
        <v>Dungeon</v>
      </c>
      <c r="BH387" s="32" t="str">
        <f>IFERROR(__xludf.DUMMYFUNCTION("""COMPUTED_VALUE"""),"Land of Spira")</f>
        <v>Land of Spira</v>
      </c>
      <c r="BI387" s="32"/>
      <c r="BJ387" s="32"/>
      <c r="BK387" s="32"/>
      <c r="BL387" s="32" t="b">
        <f>IFERROR(__xludf.DUMMYFUNCTION("""COMPUTED_VALUE"""),FALSE)</f>
        <v>0</v>
      </c>
      <c r="BM387" s="32"/>
      <c r="BN387" s="32"/>
      <c r="BO387" s="32"/>
      <c r="BP387" s="32"/>
      <c r="BQ387" s="32"/>
    </row>
    <row r="388">
      <c r="A388" s="32" t="str">
        <f>IFERROR(__xludf.DUMMYFUNCTION("""COMPUTED_VALUE"""),"Sylph, Queen of the Nature Elementals")</f>
        <v>Sylph, Queen of the Nature Elementals</v>
      </c>
      <c r="B388" s="32">
        <f>IFERROR(__xludf.DUMMYFUNCTION("""COMPUTED_VALUE"""),1.0)</f>
        <v>1</v>
      </c>
      <c r="C388" s="32" t="str">
        <f>IFERROR(__xludf.DUMMYFUNCTION("""COMPUTED_VALUE"""),"The Queen of all spirits of the Nature domain, lives in the WildWood ")</f>
        <v>The Queen of all spirits of the Nature domain, lives in the WildWood </v>
      </c>
      <c r="D388" s="32" t="str">
        <f>IFERROR(__xludf.DUMMYFUNCTION("""COMPUTED_VALUE"""),"Spirit")</f>
        <v>Spirit</v>
      </c>
      <c r="E388" s="32">
        <f>IFERROR(__xludf.DUMMYFUNCTION("""COMPUTED_VALUE"""),1010.0)</f>
        <v>1010</v>
      </c>
      <c r="F388" s="33">
        <f>IFERROR(__xludf.DUMMYFUNCTION("""COMPUTED_VALUE"""),1010.0)</f>
        <v>1010</v>
      </c>
      <c r="G388" s="32">
        <f>IFERROR(__xludf.DUMMYFUNCTION("""COMPUTED_VALUE"""),1010.0)</f>
        <v>1010</v>
      </c>
      <c r="H388" s="32">
        <f>IFERROR(__xludf.DUMMYFUNCTION("""COMPUTED_VALUE"""),10.0)</f>
        <v>10</v>
      </c>
      <c r="I388" s="32">
        <f>IFERROR(__xludf.DUMMYFUNCTION("""COMPUTED_VALUE"""),0.0)</f>
        <v>0</v>
      </c>
      <c r="J388" s="32">
        <f>IFERROR(__xludf.DUMMYFUNCTION("""COMPUTED_VALUE"""),0.0)</f>
        <v>0</v>
      </c>
      <c r="K388" s="32">
        <f>IFERROR(__xludf.DUMMYFUNCTION("""COMPUTED_VALUE"""),100.0)</f>
        <v>100</v>
      </c>
      <c r="L388" s="32">
        <f>IFERROR(__xludf.DUMMYFUNCTION("""COMPUTED_VALUE"""),100.0)</f>
        <v>100</v>
      </c>
      <c r="M388" s="32" t="str">
        <f>IFERROR(__xludf.DUMMYFUNCTION("""COMPUTED_VALUE"""),"Water:500, Nature:Immune, Blood:Immune, Instant Death:Immune, Banishment:Immune, ")</f>
        <v>Water:500, Nature:Immune, Blood:Immune, Instant Death:Immune, Banishment:Immune, </v>
      </c>
      <c r="N388" s="32" t="str">
        <f>IFERROR(__xludf.DUMMYFUNCTION("""COMPUTED_VALUE"""),"Fire:250, Storm:250, Spirit:100, ")</f>
        <v>Fire:250, Storm:250, Spirit:100, </v>
      </c>
      <c r="O388" s="32"/>
      <c r="P388" s="32"/>
      <c r="Q388" s="32"/>
      <c r="R388" s="32"/>
      <c r="S388" s="32"/>
      <c r="T388" s="32"/>
      <c r="U388" s="32"/>
      <c r="V388" s="32"/>
      <c r="W388" s="32"/>
      <c r="X388" s="32"/>
      <c r="Y388" s="32"/>
      <c r="Z388" s="32"/>
      <c r="AA388" s="32"/>
      <c r="AB388" s="32"/>
      <c r="AC388" s="32"/>
      <c r="AD388" s="32"/>
      <c r="AE388" s="32"/>
      <c r="AF388" s="32"/>
      <c r="AG388" s="32"/>
      <c r="AH388" s="32"/>
      <c r="AI388" s="32"/>
      <c r="AJ388" s="32" t="str">
        <f>IFERROR(__xludf.DUMMYFUNCTION("""COMPUTED_VALUE"""),"Vine Whip")</f>
        <v>Vine Whip</v>
      </c>
      <c r="AK388" s="32" t="str">
        <f>IFERROR(__xludf.DUMMYFUNCTION("""COMPUTED_VALUE"""),"Poison Ivy")</f>
        <v>Poison Ivy</v>
      </c>
      <c r="AL388" s="32" t="str">
        <f>IFERROR(__xludf.DUMMYFUNCTION("""COMPUTED_VALUE"""),"Razor Leaves")</f>
        <v>Razor Leaves</v>
      </c>
      <c r="AM388" s="32" t="str">
        <f>IFERROR(__xludf.DUMMYFUNCTION("""COMPUTED_VALUE"""),"Thorn Bush")</f>
        <v>Thorn Bush</v>
      </c>
      <c r="AN388" s="32" t="str">
        <f>IFERROR(__xludf.DUMMYFUNCTION("""COMPUTED_VALUE"""),"Tower Of The Forest")</f>
        <v>Tower Of The Forest</v>
      </c>
      <c r="AO388" s="32" t="str">
        <f>IFERROR(__xludf.DUMMYFUNCTION("""COMPUTED_VALUE"""),"Cocoon")</f>
        <v>Cocoon</v>
      </c>
      <c r="AP388" s="32" t="str">
        <f>IFERROR(__xludf.DUMMYFUNCTION("""COMPUTED_VALUE"""),"Nature's Light")</f>
        <v>Nature's Light</v>
      </c>
      <c r="AQ388" s="32" t="str">
        <f>IFERROR(__xludf.DUMMYFUNCTION("""COMPUTED_VALUE"""),"Nature's Wrath")</f>
        <v>Nature's Wrath</v>
      </c>
      <c r="AR388" s="32" t="str">
        <f>IFERROR(__xludf.DUMMYFUNCTION("""COMPUTED_VALUE"""),"Cancel")</f>
        <v>Cancel</v>
      </c>
      <c r="AS388" s="32" t="str">
        <f>IFERROR(__xludf.DUMMYFUNCTION("""COMPUTED_VALUE"""),"Nature Ward")</f>
        <v>Nature Ward</v>
      </c>
      <c r="AT388" s="32" t="str">
        <f>IFERROR(__xludf.DUMMYFUNCTION("""COMPUTED_VALUE"""),"Soul Shot")</f>
        <v>Soul Shot</v>
      </c>
      <c r="AU388" s="32" t="str">
        <f>IFERROR(__xludf.DUMMYFUNCTION("""COMPUTED_VALUE"""),"Dread")</f>
        <v>Dread</v>
      </c>
      <c r="AV388" s="32" t="str">
        <f>IFERROR(__xludf.DUMMYFUNCTION("""COMPUTED_VALUE"""),"Spirit Fog")</f>
        <v>Spirit Fog</v>
      </c>
      <c r="AW388" s="32" t="str">
        <f>IFERROR(__xludf.DUMMYFUNCTION("""COMPUTED_VALUE"""),"Burning Dread")</f>
        <v>Burning Dread</v>
      </c>
      <c r="AX388" s="32" t="str">
        <f>IFERROR(__xludf.DUMMYFUNCTION("""COMPUTED_VALUE"""),"Spectral Lash")</f>
        <v>Spectral Lash</v>
      </c>
      <c r="AY388" s="32" t="str">
        <f>IFERROR(__xludf.DUMMYFUNCTION("""COMPUTED_VALUE"""),"Incorporeal Form")</f>
        <v>Incorporeal Form</v>
      </c>
      <c r="AZ388" s="32" t="str">
        <f>IFERROR(__xludf.DUMMYFUNCTION("""COMPUTED_VALUE"""),"Multishot")</f>
        <v>Multishot</v>
      </c>
      <c r="BA388" s="32" t="str">
        <f>IFERROR(__xludf.DUMMYFUNCTION("""COMPUTED_VALUE"""),"Mass Destruction")</f>
        <v>Mass Destruction</v>
      </c>
      <c r="BB388" s="32"/>
      <c r="BC388" s="32"/>
      <c r="BD388" s="32">
        <f>IFERROR(__xludf.DUMMYFUNCTION("""COMPUTED_VALUE"""),0.0)</f>
        <v>0</v>
      </c>
      <c r="BE388" s="32">
        <f>IFERROR(__xludf.DUMMYFUNCTION("""COMPUTED_VALUE"""),10.0)</f>
        <v>10</v>
      </c>
      <c r="BF388" s="32"/>
      <c r="BG388" s="32" t="str">
        <f>IFERROR(__xludf.DUMMYFUNCTION("""COMPUTED_VALUE"""),"Dungeon")</f>
        <v>Dungeon</v>
      </c>
      <c r="BH388" s="32" t="str">
        <f>IFERROR(__xludf.DUMMYFUNCTION("""COMPUTED_VALUE"""),"Land of Spira")</f>
        <v>Land of Spira</v>
      </c>
      <c r="BI388" s="32"/>
      <c r="BJ388" s="32"/>
      <c r="BK388" s="32"/>
      <c r="BL388" s="32" t="b">
        <f>IFERROR(__xludf.DUMMYFUNCTION("""COMPUTED_VALUE"""),FALSE)</f>
        <v>0</v>
      </c>
      <c r="BM388" s="32"/>
      <c r="BN388" s="32"/>
      <c r="BO388" s="32"/>
      <c r="BP388" s="32"/>
      <c r="BQ388" s="32"/>
    </row>
    <row r="389">
      <c r="A389" s="32" t="str">
        <f>IFERROR(__xludf.DUMMYFUNCTION("""COMPUTED_VALUE"""),"Raijin, King of the Storm Elementals")</f>
        <v>Raijin, King of the Storm Elementals</v>
      </c>
      <c r="B389" s="32">
        <f>IFERROR(__xludf.DUMMYFUNCTION("""COMPUTED_VALUE"""),1.0)</f>
        <v>1</v>
      </c>
      <c r="C389" s="32" t="str">
        <f>IFERROR(__xludf.DUMMYFUNCTION("""COMPUTED_VALUE"""),"The King of all spirits of the Storm domain, lives in ")</f>
        <v>The King of all spirits of the Storm domain, lives in </v>
      </c>
      <c r="D389" s="32" t="str">
        <f>IFERROR(__xludf.DUMMYFUNCTION("""COMPUTED_VALUE"""),"Spirit")</f>
        <v>Spirit</v>
      </c>
      <c r="E389" s="32">
        <f>IFERROR(__xludf.DUMMYFUNCTION("""COMPUTED_VALUE"""),1010.0)</f>
        <v>1010</v>
      </c>
      <c r="F389" s="33">
        <f>IFERROR(__xludf.DUMMYFUNCTION("""COMPUTED_VALUE"""),1010.0)</f>
        <v>1010</v>
      </c>
      <c r="G389" s="32">
        <f>IFERROR(__xludf.DUMMYFUNCTION("""COMPUTED_VALUE"""),1010.0)</f>
        <v>1010</v>
      </c>
      <c r="H389" s="32">
        <f>IFERROR(__xludf.DUMMYFUNCTION("""COMPUTED_VALUE"""),10.0)</f>
        <v>10</v>
      </c>
      <c r="I389" s="32">
        <f>IFERROR(__xludf.DUMMYFUNCTION("""COMPUTED_VALUE"""),0.0)</f>
        <v>0</v>
      </c>
      <c r="J389" s="32">
        <f>IFERROR(__xludf.DUMMYFUNCTION("""COMPUTED_VALUE"""),0.0)</f>
        <v>0</v>
      </c>
      <c r="K389" s="32">
        <f>IFERROR(__xludf.DUMMYFUNCTION("""COMPUTED_VALUE"""),100.0)</f>
        <v>100</v>
      </c>
      <c r="L389" s="32">
        <f>IFERROR(__xludf.DUMMYFUNCTION("""COMPUTED_VALUE"""),100.0)</f>
        <v>100</v>
      </c>
      <c r="M389" s="32" t="str">
        <f>IFERROR(__xludf.DUMMYFUNCTION("""COMPUTED_VALUE"""),"Storm:Immune, Earth:500, Nature:500, Blood:Immune, Instant Death:Immune, Banishment:Immune, ")</f>
        <v>Storm:Immune, Earth:500, Nature:500, Blood:Immune, Instant Death:Immune, Banishment:Immune, </v>
      </c>
      <c r="N389" s="32" t="str">
        <f>IFERROR(__xludf.DUMMYFUNCTION("""COMPUTED_VALUE"""),"Spirit:100, ")</f>
        <v>Spirit:100, </v>
      </c>
      <c r="O389" s="32"/>
      <c r="P389" s="32"/>
      <c r="Q389" s="32"/>
      <c r="R389" s="32"/>
      <c r="S389" s="32"/>
      <c r="T389" s="32"/>
      <c r="U389" s="32"/>
      <c r="V389" s="32"/>
      <c r="W389" s="32"/>
      <c r="X389" s="32"/>
      <c r="Y389" s="32"/>
      <c r="Z389" s="32"/>
      <c r="AA389" s="32"/>
      <c r="AB389" s="32"/>
      <c r="AC389" s="32"/>
      <c r="AD389" s="32"/>
      <c r="AE389" s="32"/>
      <c r="AF389" s="32"/>
      <c r="AG389" s="32"/>
      <c r="AH389" s="32"/>
      <c r="AI389" s="32"/>
      <c r="AJ389" s="32" t="str">
        <f>IFERROR(__xludf.DUMMYFUNCTION("""COMPUTED_VALUE"""),"Lightning Strike")</f>
        <v>Lightning Strike</v>
      </c>
      <c r="AK389" s="32" t="str">
        <f>IFERROR(__xludf.DUMMYFUNCTION("""COMPUTED_VALUE"""),"Chain Lightning")</f>
        <v>Chain Lightning</v>
      </c>
      <c r="AL389" s="32" t="str">
        <f>IFERROR(__xludf.DUMMYFUNCTION("""COMPUTED_VALUE"""),"Shocking Touch")</f>
        <v>Shocking Touch</v>
      </c>
      <c r="AM389" s="32" t="str">
        <f>IFERROR(__xludf.DUMMYFUNCTION("""COMPUTED_VALUE"""),"Mass Charge")</f>
        <v>Mass Charge</v>
      </c>
      <c r="AN389" s="32" t="str">
        <f>IFERROR(__xludf.DUMMYFUNCTION("""COMPUTED_VALUE"""),"Tower Of Storm")</f>
        <v>Tower Of Storm</v>
      </c>
      <c r="AO389" s="32" t="str">
        <f>IFERROR(__xludf.DUMMYFUNCTION("""COMPUTED_VALUE"""),"Freezing Fog")</f>
        <v>Freezing Fog</v>
      </c>
      <c r="AP389" s="32" t="str">
        <f>IFERROR(__xludf.DUMMYFUNCTION("""COMPUTED_VALUE"""),"Gust of Wind")</f>
        <v>Gust of Wind</v>
      </c>
      <c r="AQ389" s="32" t="str">
        <f>IFERROR(__xludf.DUMMYFUNCTION("""COMPUTED_VALUE"""),"Stun Wave")</f>
        <v>Stun Wave</v>
      </c>
      <c r="AR389" s="32" t="str">
        <f>IFERROR(__xludf.DUMMYFUNCTION("""COMPUTED_VALUE"""),"Brewing Storm")</f>
        <v>Brewing Storm</v>
      </c>
      <c r="AS389" s="32" t="str">
        <f>IFERROR(__xludf.DUMMYFUNCTION("""COMPUTED_VALUE"""),"Soul Shot")</f>
        <v>Soul Shot</v>
      </c>
      <c r="AT389" s="32" t="str">
        <f>IFERROR(__xludf.DUMMYFUNCTION("""COMPUTED_VALUE"""),"Spirit Fog")</f>
        <v>Spirit Fog</v>
      </c>
      <c r="AU389" s="32" t="str">
        <f>IFERROR(__xludf.DUMMYFUNCTION("""COMPUTED_VALUE"""),"Dread")</f>
        <v>Dread</v>
      </c>
      <c r="AV389" s="32" t="str">
        <f>IFERROR(__xludf.DUMMYFUNCTION("""COMPUTED_VALUE"""),"Burning Dread")</f>
        <v>Burning Dread</v>
      </c>
      <c r="AW389" s="32" t="str">
        <f>IFERROR(__xludf.DUMMYFUNCTION("""COMPUTED_VALUE"""),"Vengeful Strike")</f>
        <v>Vengeful Strike</v>
      </c>
      <c r="AX389" s="32" t="str">
        <f>IFERROR(__xludf.DUMMYFUNCTION("""COMPUTED_VALUE"""),"Spectral Lash")</f>
        <v>Spectral Lash</v>
      </c>
      <c r="AY389" s="32" t="str">
        <f>IFERROR(__xludf.DUMMYFUNCTION("""COMPUTED_VALUE"""),"Celestial Wave")</f>
        <v>Celestial Wave</v>
      </c>
      <c r="AZ389" s="32"/>
      <c r="BA389" s="32"/>
      <c r="BB389" s="32"/>
      <c r="BC389" s="32"/>
      <c r="BD389" s="32">
        <f>IFERROR(__xludf.DUMMYFUNCTION("""COMPUTED_VALUE"""),0.0)</f>
        <v>0</v>
      </c>
      <c r="BE389" s="32">
        <f>IFERROR(__xludf.DUMMYFUNCTION("""COMPUTED_VALUE"""),10.0)</f>
        <v>10</v>
      </c>
      <c r="BF389" s="32"/>
      <c r="BG389" s="32" t="str">
        <f>IFERROR(__xludf.DUMMYFUNCTION("""COMPUTED_VALUE"""),"Dungeon")</f>
        <v>Dungeon</v>
      </c>
      <c r="BH389" s="32" t="str">
        <f>IFERROR(__xludf.DUMMYFUNCTION("""COMPUTED_VALUE"""),"Land of Spira")</f>
        <v>Land of Spira</v>
      </c>
      <c r="BI389" s="32"/>
      <c r="BJ389" s="32"/>
      <c r="BK389" s="32"/>
      <c r="BL389" s="32" t="b">
        <f>IFERROR(__xludf.DUMMYFUNCTION("""COMPUTED_VALUE"""),FALSE)</f>
        <v>0</v>
      </c>
      <c r="BM389" s="32"/>
      <c r="BN389" s="32"/>
      <c r="BO389" s="32"/>
      <c r="BP389" s="32"/>
      <c r="BQ389" s="32"/>
    </row>
    <row r="390">
      <c r="A390" s="32" t="str">
        <f>IFERROR(__xludf.DUMMYFUNCTION("""COMPUTED_VALUE"""),"Merchant")</f>
        <v>Merchant</v>
      </c>
      <c r="B390" s="32">
        <f>IFERROR(__xludf.DUMMYFUNCTION("""COMPUTED_VALUE"""),1.0)</f>
        <v>1</v>
      </c>
      <c r="C390" s="32"/>
      <c r="D390" s="32" t="str">
        <f>IFERROR(__xludf.DUMMYFUNCTION("""COMPUTED_VALUE"""),"Humanoid")</f>
        <v>Humanoid</v>
      </c>
      <c r="E390" s="33">
        <f>IFERROR(__xludf.DUMMYFUNCTION("""COMPUTED_VALUE"""),9.99999999E8)</f>
        <v>999999999</v>
      </c>
      <c r="F390" s="33">
        <f>IFERROR(__xludf.DUMMYFUNCTION("""COMPUTED_VALUE"""),9.99999999E8)</f>
        <v>999999999</v>
      </c>
      <c r="G390" s="33">
        <f>IFERROR(__xludf.DUMMYFUNCTION("""COMPUTED_VALUE"""),9.99999999E8)</f>
        <v>999999999</v>
      </c>
      <c r="H390" s="33">
        <f>IFERROR(__xludf.DUMMYFUNCTION("""COMPUTED_VALUE"""),9.99999999E8)</f>
        <v>999999999</v>
      </c>
      <c r="I390" s="32">
        <f>IFERROR(__xludf.DUMMYFUNCTION("""COMPUTED_VALUE"""),999.0)</f>
        <v>999</v>
      </c>
      <c r="J390" s="32">
        <f>IFERROR(__xludf.DUMMYFUNCTION("""COMPUTED_VALUE"""),999.0)</f>
        <v>999</v>
      </c>
      <c r="K390" s="33">
        <f>IFERROR(__xludf.DUMMYFUNCTION("""COMPUTED_VALUE"""),9.99999999E8)</f>
        <v>999999999</v>
      </c>
      <c r="L390" s="33">
        <f>IFERROR(__xludf.DUMMYFUNCTION("""COMPUTED_VALUE"""),9.99999999E8)</f>
        <v>999999999</v>
      </c>
      <c r="M390" s="32"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32" t="str">
        <f>IFERROR(__xludf.DUMMYFUNCTION("""COMPUTED_VALUE"""),"#N/A")</f>
        <v>#N/A</v>
      </c>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f>IFERROR(__xludf.DUMMYFUNCTION("""COMPUTED_VALUE"""),99.0)</f>
        <v>99</v>
      </c>
      <c r="BE390" s="32">
        <f>IFERROR(__xludf.DUMMYFUNCTION("""COMPUTED_VALUE"""),99.0)</f>
        <v>99</v>
      </c>
      <c r="BF390" s="32" t="str">
        <f>IFERROR(__xludf.DUMMYFUNCTION("""COMPUTED_VALUE"""),"Immune to everything")</f>
        <v>Immune to everything</v>
      </c>
      <c r="BG390" s="32" t="str">
        <f>IFERROR(__xludf.DUMMYFUNCTION("""COMPUTED_VALUE"""),"Dungeon")</f>
        <v>Dungeon</v>
      </c>
      <c r="BH390" s="32" t="str">
        <f>IFERROR(__xludf.DUMMYFUNCTION("""COMPUTED_VALUE"""),"Land of Spira")</f>
        <v>Land of Spira</v>
      </c>
      <c r="BI390" s="32"/>
      <c r="BJ390" s="32"/>
      <c r="BK390" s="32"/>
      <c r="BL390" s="32" t="b">
        <f>IFERROR(__xludf.DUMMYFUNCTION("""COMPUTED_VALUE"""),FALSE)</f>
        <v>0</v>
      </c>
      <c r="BM390" s="32"/>
      <c r="BN390" s="32"/>
      <c r="BO390" s="32"/>
      <c r="BP390" s="32"/>
      <c r="BQ390" s="32"/>
    </row>
    <row r="391">
      <c r="A391" s="32" t="str">
        <f>IFERROR(__xludf.DUMMYFUNCTION("""COMPUTED_VALUE"""),"Plague Doctor, Kaillon")</f>
        <v>Plague Doctor, Kaillon</v>
      </c>
      <c r="B391" s="32">
        <f>IFERROR(__xludf.DUMMYFUNCTION("""COMPUTED_VALUE"""),1.0)</f>
        <v>1</v>
      </c>
      <c r="C391" s="32" t="str">
        <f>IFERROR(__xludf.DUMMYFUNCTION("""COMPUTED_VALUE"""),"A renknowned doctor hiding with the foul night swamp.")</f>
        <v>A renknowned doctor hiding with the foul night swamp.</v>
      </c>
      <c r="D391" s="32" t="str">
        <f>IFERROR(__xludf.DUMMYFUNCTION("""COMPUTED_VALUE"""),"Humanoid")</f>
        <v>Humanoid</v>
      </c>
      <c r="E391" s="32">
        <f>IFERROR(__xludf.DUMMYFUNCTION("""COMPUTED_VALUE"""),1010.0)</f>
        <v>1010</v>
      </c>
      <c r="F391" s="33">
        <f>IFERROR(__xludf.DUMMYFUNCTION("""COMPUTED_VALUE"""),1010.0)</f>
        <v>1010</v>
      </c>
      <c r="G391" s="32">
        <f>IFERROR(__xludf.DUMMYFUNCTION("""COMPUTED_VALUE"""),1010.0)</f>
        <v>1010</v>
      </c>
      <c r="H391" s="32">
        <f>IFERROR(__xludf.DUMMYFUNCTION("""COMPUTED_VALUE"""),10.0)</f>
        <v>10</v>
      </c>
      <c r="I391" s="32">
        <f>IFERROR(__xludf.DUMMYFUNCTION("""COMPUTED_VALUE"""),0.0)</f>
        <v>0</v>
      </c>
      <c r="J391" s="32">
        <f>IFERROR(__xludf.DUMMYFUNCTION("""COMPUTED_VALUE"""),0.0)</f>
        <v>0</v>
      </c>
      <c r="K391" s="32">
        <f>IFERROR(__xludf.DUMMYFUNCTION("""COMPUTED_VALUE"""),100.0)</f>
        <v>100</v>
      </c>
      <c r="L391" s="32">
        <f>IFERROR(__xludf.DUMMYFUNCTION("""COMPUTED_VALUE"""),100.0)</f>
        <v>100</v>
      </c>
      <c r="M391" s="32" t="str">
        <f>IFERROR(__xludf.DUMMYFUNCTION("""COMPUTED_VALUE"""),"Dark:100, Spirit:100, Nature:100, Voodoo:100, Blood:100, Instant Death:Immune, Banishment:Immune, ")</f>
        <v>Dark:100, Spirit:100, Nature:100, Voodoo:100, Blood:100, Instant Death:Immune, Banishment:Immune, </v>
      </c>
      <c r="N391" s="32" t="str">
        <f>IFERROR(__xludf.DUMMYFUNCTION("""COMPUTED_VALUE"""),"Fire:100, Light:100, Melee:100, ")</f>
        <v>Fire:100, Light:100, Melee:100, </v>
      </c>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f>IFERROR(__xludf.DUMMYFUNCTION("""COMPUTED_VALUE"""),0.0)</f>
        <v>0</v>
      </c>
      <c r="BE391" s="32">
        <f>IFERROR(__xludf.DUMMYFUNCTION("""COMPUTED_VALUE"""),10.0)</f>
        <v>10</v>
      </c>
      <c r="BF391" s="32"/>
      <c r="BG391" s="32"/>
      <c r="BH391" s="32"/>
      <c r="BI391" s="32"/>
      <c r="BJ391" s="32"/>
      <c r="BK391" s="32"/>
      <c r="BL391" s="32" t="b">
        <f>IFERROR(__xludf.DUMMYFUNCTION("""COMPUTED_VALUE"""),FALSE)</f>
        <v>0</v>
      </c>
      <c r="BM391" s="32"/>
      <c r="BN391" s="32"/>
      <c r="BO391" s="32"/>
      <c r="BP391" s="32"/>
      <c r="BQ391" s="32"/>
    </row>
    <row r="392">
      <c r="A392" s="32" t="str">
        <f>IFERROR(__xludf.DUMMYFUNCTION("""COMPUTED_VALUE"""),"Cargo Ship")</f>
        <v>Cargo Ship</v>
      </c>
      <c r="B392" s="32">
        <f>IFERROR(__xludf.DUMMYFUNCTION("""COMPUTED_VALUE"""),1.0)</f>
        <v>1</v>
      </c>
      <c r="C392" s="32"/>
      <c r="D392" s="32" t="str">
        <f>IFERROR(__xludf.DUMMYFUNCTION("""COMPUTED_VALUE"""),"Construct")</f>
        <v>Construct</v>
      </c>
      <c r="E392" s="32">
        <f>IFERROR(__xludf.DUMMYFUNCTION("""COMPUTED_VALUE"""),1010.0)</f>
        <v>1010</v>
      </c>
      <c r="F392" s="33">
        <f>IFERROR(__xludf.DUMMYFUNCTION("""COMPUTED_VALUE"""),1010.0)</f>
        <v>1010</v>
      </c>
      <c r="G392" s="32">
        <f>IFERROR(__xludf.DUMMYFUNCTION("""COMPUTED_VALUE"""),1010.0)</f>
        <v>1010</v>
      </c>
      <c r="H392" s="32">
        <f>IFERROR(__xludf.DUMMYFUNCTION("""COMPUTED_VALUE"""),10.0)</f>
        <v>10</v>
      </c>
      <c r="I392" s="32">
        <f>IFERROR(__xludf.DUMMYFUNCTION("""COMPUTED_VALUE"""),0.0)</f>
        <v>0</v>
      </c>
      <c r="J392" s="32">
        <f>IFERROR(__xludf.DUMMYFUNCTION("""COMPUTED_VALUE"""),0.0)</f>
        <v>0</v>
      </c>
      <c r="K392" s="32">
        <f>IFERROR(__xludf.DUMMYFUNCTION("""COMPUTED_VALUE"""),100.0)</f>
        <v>100</v>
      </c>
      <c r="L392" s="32">
        <f>IFERROR(__xludf.DUMMYFUNCTION("""COMPUTED_VALUE"""),100.0)</f>
        <v>100</v>
      </c>
      <c r="M392" s="32" t="str">
        <f>IFERROR(__xludf.DUMMYFUNCTION("""COMPUTED_VALUE"""),"")</f>
        <v/>
      </c>
      <c r="N392" s="32" t="str">
        <f>IFERROR(__xludf.DUMMYFUNCTION("""COMPUTED_VALUE"""),"")</f>
        <v/>
      </c>
      <c r="O392" s="32" t="str">
        <f>IFERROR(__xludf.DUMMYFUNCTION("""COMPUTED_VALUE"""),"Harpoon Gun")</f>
        <v>Harpoon Gun</v>
      </c>
      <c r="P392" s="32" t="str">
        <f>IFERROR(__xludf.DUMMYFUNCTION("""COMPUTED_VALUE"""),"Harpoon Gun")</f>
        <v>Harpoon Gun</v>
      </c>
      <c r="Q392" s="32" t="str">
        <f>IFERROR(__xludf.DUMMYFUNCTION("""COMPUTED_VALUE"""),"Harpoon Gun")</f>
        <v>Harpoon Gun</v>
      </c>
      <c r="R392" s="32" t="str">
        <f>IFERROR(__xludf.DUMMYFUNCTION("""COMPUTED_VALUE"""),"Harpoon Gun")</f>
        <v>Harpoon Gun</v>
      </c>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f>IFERROR(__xludf.DUMMYFUNCTION("""COMPUTED_VALUE"""),0.0)</f>
        <v>0</v>
      </c>
      <c r="BE392" s="32">
        <f>IFERROR(__xludf.DUMMYFUNCTION("""COMPUTED_VALUE"""),10.0)</f>
        <v>10</v>
      </c>
      <c r="BF392" s="32"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32" t="str">
        <f>IFERROR(__xludf.DUMMYFUNCTION("""COMPUTED_VALUE"""),"Ocean")</f>
        <v>Ocean</v>
      </c>
      <c r="BH392" s="32" t="str">
        <f>IFERROR(__xludf.DUMMYFUNCTION("""COMPUTED_VALUE"""),"Land of Spira")</f>
        <v>Land of Spira</v>
      </c>
      <c r="BI392" s="32"/>
      <c r="BJ392" s="32"/>
      <c r="BK392" s="33">
        <f>IFERROR(__xludf.DUMMYFUNCTION("""COMPUTED_VALUE"""),5000.0)</f>
        <v>5000</v>
      </c>
      <c r="BL392" s="32" t="b">
        <f>IFERROR(__xludf.DUMMYFUNCTION("""COMPUTED_VALUE"""),TRUE)</f>
        <v>1</v>
      </c>
      <c r="BM392" s="32" t="str">
        <f>IFERROR(__xludf.DUMMYFUNCTION("""COMPUTED_VALUE"""),"Boat")</f>
        <v>Boat</v>
      </c>
      <c r="BN392" s="32"/>
      <c r="BO392" s="32"/>
      <c r="BP392" s="32"/>
      <c r="BQ392" s="32"/>
    </row>
    <row r="393">
      <c r="A393" s="32" t="str">
        <f>IFERROR(__xludf.DUMMYFUNCTION("""COMPUTED_VALUE"""),"Ghost Ship")</f>
        <v>Ghost Ship</v>
      </c>
      <c r="B393" s="32">
        <f>IFERROR(__xludf.DUMMYFUNCTION("""COMPUTED_VALUE"""),1.0)</f>
        <v>1</v>
      </c>
      <c r="C393" s="32"/>
      <c r="D393" s="32" t="str">
        <f>IFERROR(__xludf.DUMMYFUNCTION("""COMPUTED_VALUE"""),"Construct")</f>
        <v>Construct</v>
      </c>
      <c r="E393" s="32">
        <f>IFERROR(__xludf.DUMMYFUNCTION("""COMPUTED_VALUE"""),1010.0)</f>
        <v>1010</v>
      </c>
      <c r="F393" s="33">
        <f>IFERROR(__xludf.DUMMYFUNCTION("""COMPUTED_VALUE"""),1010.0)</f>
        <v>1010</v>
      </c>
      <c r="G393" s="32">
        <f>IFERROR(__xludf.DUMMYFUNCTION("""COMPUTED_VALUE"""),1010.0)</f>
        <v>1010</v>
      </c>
      <c r="H393" s="32">
        <f>IFERROR(__xludf.DUMMYFUNCTION("""COMPUTED_VALUE"""),10.0)</f>
        <v>10</v>
      </c>
      <c r="I393" s="32">
        <f>IFERROR(__xludf.DUMMYFUNCTION("""COMPUTED_VALUE"""),0.0)</f>
        <v>0</v>
      </c>
      <c r="J393" s="32">
        <f>IFERROR(__xludf.DUMMYFUNCTION("""COMPUTED_VALUE"""),0.0)</f>
        <v>0</v>
      </c>
      <c r="K393" s="32">
        <f>IFERROR(__xludf.DUMMYFUNCTION("""COMPUTED_VALUE"""),100.0)</f>
        <v>100</v>
      </c>
      <c r="L393" s="32">
        <f>IFERROR(__xludf.DUMMYFUNCTION("""COMPUTED_VALUE"""),100.0)</f>
        <v>100</v>
      </c>
      <c r="M393" s="32" t="str">
        <f>IFERROR(__xludf.DUMMYFUNCTION("""COMPUTED_VALUE"""),"")</f>
        <v/>
      </c>
      <c r="N393" s="32" t="str">
        <f>IFERROR(__xludf.DUMMYFUNCTION("""COMPUTED_VALUE"""),"")</f>
        <v/>
      </c>
      <c r="O393" s="32" t="str">
        <f>IFERROR(__xludf.DUMMYFUNCTION("""COMPUTED_VALUE"""),"Basic Cannon")</f>
        <v>Basic Cannon</v>
      </c>
      <c r="P393" s="32" t="str">
        <f>IFERROR(__xludf.DUMMYFUNCTION("""COMPUTED_VALUE"""),"Basic Cannon")</f>
        <v>Basic Cannon</v>
      </c>
      <c r="Q393" s="32" t="str">
        <f>IFERROR(__xludf.DUMMYFUNCTION("""COMPUTED_VALUE"""),"Basic Cannon")</f>
        <v>Basic Cannon</v>
      </c>
      <c r="R393" s="32" t="str">
        <f>IFERROR(__xludf.DUMMYFUNCTION("""COMPUTED_VALUE"""),"Basic Cannon")</f>
        <v>Basic Cannon</v>
      </c>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f>IFERROR(__xludf.DUMMYFUNCTION("""COMPUTED_VALUE"""),0.0)</f>
        <v>0</v>
      </c>
      <c r="BE393" s="32">
        <f>IFERROR(__xludf.DUMMYFUNCTION("""COMPUTED_VALUE"""),10.0)</f>
        <v>10</v>
      </c>
      <c r="BF393" s="32" t="str">
        <f>IFERROR(__xludf.DUMMYFUNCTION("""COMPUTED_VALUE"""),"Energy Savior II: Deduct d20 days from your current journey.
Up to 6 party members can travel in this mount.")</f>
        <v>Energy Savior II: Deduct d20 days from your current journey.
Up to 6 party members can travel in this mount.</v>
      </c>
      <c r="BG393" s="32" t="str">
        <f>IFERROR(__xludf.DUMMYFUNCTION("""COMPUTED_VALUE"""),"Ocean")</f>
        <v>Ocean</v>
      </c>
      <c r="BH393" s="32" t="str">
        <f>IFERROR(__xludf.DUMMYFUNCTION("""COMPUTED_VALUE"""),"Land of Spira")</f>
        <v>Land of Spira</v>
      </c>
      <c r="BI393" s="32"/>
      <c r="BJ393" s="32"/>
      <c r="BK393" s="32">
        <f>IFERROR(__xludf.DUMMYFUNCTION("""COMPUTED_VALUE"""),750.0)</f>
        <v>750</v>
      </c>
      <c r="BL393" s="32" t="b">
        <f>IFERROR(__xludf.DUMMYFUNCTION("""COMPUTED_VALUE"""),TRUE)</f>
        <v>1</v>
      </c>
      <c r="BM393" s="32" t="str">
        <f>IFERROR(__xludf.DUMMYFUNCTION("""COMPUTED_VALUE"""),"Boat")</f>
        <v>Boat</v>
      </c>
      <c r="BN393" s="32"/>
      <c r="BO393" s="32"/>
      <c r="BP393" s="32"/>
      <c r="BQ393" s="32"/>
    </row>
    <row r="394">
      <c r="A394" s="32" t="str">
        <f>IFERROR(__xludf.DUMMYFUNCTION("""COMPUTED_VALUE"""),"Brigantine")</f>
        <v>Brigantine</v>
      </c>
      <c r="B394" s="32">
        <f>IFERROR(__xludf.DUMMYFUNCTION("""COMPUTED_VALUE"""),1.0)</f>
        <v>1</v>
      </c>
      <c r="C394" s="32"/>
      <c r="D394" s="32" t="str">
        <f>IFERROR(__xludf.DUMMYFUNCTION("""COMPUTED_VALUE"""),"Construct")</f>
        <v>Construct</v>
      </c>
      <c r="E394" s="32">
        <f>IFERROR(__xludf.DUMMYFUNCTION("""COMPUTED_VALUE"""),1010.0)</f>
        <v>1010</v>
      </c>
      <c r="F394" s="33">
        <f>IFERROR(__xludf.DUMMYFUNCTION("""COMPUTED_VALUE"""),1010.0)</f>
        <v>1010</v>
      </c>
      <c r="G394" s="32">
        <f>IFERROR(__xludf.DUMMYFUNCTION("""COMPUTED_VALUE"""),1010.0)</f>
        <v>1010</v>
      </c>
      <c r="H394" s="32">
        <f>IFERROR(__xludf.DUMMYFUNCTION("""COMPUTED_VALUE"""),10.0)</f>
        <v>10</v>
      </c>
      <c r="I394" s="32">
        <f>IFERROR(__xludf.DUMMYFUNCTION("""COMPUTED_VALUE"""),0.0)</f>
        <v>0</v>
      </c>
      <c r="J394" s="32">
        <f>IFERROR(__xludf.DUMMYFUNCTION("""COMPUTED_VALUE"""),0.0)</f>
        <v>0</v>
      </c>
      <c r="K394" s="32">
        <f>IFERROR(__xludf.DUMMYFUNCTION("""COMPUTED_VALUE"""),100.0)</f>
        <v>100</v>
      </c>
      <c r="L394" s="32">
        <f>IFERROR(__xludf.DUMMYFUNCTION("""COMPUTED_VALUE"""),100.0)</f>
        <v>100</v>
      </c>
      <c r="M394" s="32" t="str">
        <f>IFERROR(__xludf.DUMMYFUNCTION("""COMPUTED_VALUE"""),"")</f>
        <v/>
      </c>
      <c r="N394" s="32" t="str">
        <f>IFERROR(__xludf.DUMMYFUNCTION("""COMPUTED_VALUE"""),"")</f>
        <v/>
      </c>
      <c r="O394" s="32" t="str">
        <f>IFERROR(__xludf.DUMMYFUNCTION("""COMPUTED_VALUE"""),"Basic Cannon")</f>
        <v>Basic Cannon</v>
      </c>
      <c r="P394" s="32" t="str">
        <f>IFERROR(__xludf.DUMMYFUNCTION("""COMPUTED_VALUE"""),"Basic Cannon")</f>
        <v>Basic Cannon</v>
      </c>
      <c r="Q394" s="32" t="str">
        <f>IFERROR(__xludf.DUMMYFUNCTION("""COMPUTED_VALUE"""),"Harpoon Gun")</f>
        <v>Harpoon Gun</v>
      </c>
      <c r="R394" s="32" t="str">
        <f>IFERROR(__xludf.DUMMYFUNCTION("""COMPUTED_VALUE"""),"Harpoon Gun")</f>
        <v>Harpoon Gun</v>
      </c>
      <c r="S394" s="32"/>
      <c r="T394" s="32"/>
      <c r="U394" s="32"/>
      <c r="V394" s="32"/>
      <c r="W394" s="32"/>
      <c r="X394" s="32"/>
      <c r="Y394" s="32"/>
      <c r="Z394" s="32"/>
      <c r="AA394" s="32"/>
      <c r="AB394" s="32"/>
      <c r="AC394" s="32"/>
      <c r="AD394" s="32"/>
      <c r="AE394" s="32"/>
      <c r="AF394" s="32"/>
      <c r="AG394" s="32"/>
      <c r="AH394" s="32"/>
      <c r="AI394" s="32"/>
      <c r="AJ394" s="32" t="str">
        <f>IFERROR(__xludf.DUMMYFUNCTION("""COMPUTED_VALUE"""),"Cannon Bombardment")</f>
        <v>Cannon Bombardment</v>
      </c>
      <c r="AK394" s="32"/>
      <c r="AL394" s="32"/>
      <c r="AM394" s="32"/>
      <c r="AN394" s="32"/>
      <c r="AO394" s="32"/>
      <c r="AP394" s="32"/>
      <c r="AQ394" s="32"/>
      <c r="AR394" s="32"/>
      <c r="AS394" s="32"/>
      <c r="AT394" s="32"/>
      <c r="AU394" s="32"/>
      <c r="AV394" s="32"/>
      <c r="AW394" s="32"/>
      <c r="AX394" s="32"/>
      <c r="AY394" s="32"/>
      <c r="AZ394" s="32"/>
      <c r="BA394" s="32"/>
      <c r="BB394" s="32"/>
      <c r="BC394" s="32"/>
      <c r="BD394" s="32">
        <f>IFERROR(__xludf.DUMMYFUNCTION("""COMPUTED_VALUE"""),0.0)</f>
        <v>0</v>
      </c>
      <c r="BE394" s="32">
        <f>IFERROR(__xludf.DUMMYFUNCTION("""COMPUTED_VALUE"""),10.0)</f>
        <v>10</v>
      </c>
      <c r="BF394" s="32"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32" t="str">
        <f>IFERROR(__xludf.DUMMYFUNCTION("""COMPUTED_VALUE"""),"Ocean")</f>
        <v>Ocean</v>
      </c>
      <c r="BH394" s="32" t="str">
        <f>IFERROR(__xludf.DUMMYFUNCTION("""COMPUTED_VALUE"""),"Land of Spira")</f>
        <v>Land of Spira</v>
      </c>
      <c r="BI394" s="32"/>
      <c r="BJ394" s="32"/>
      <c r="BK394" s="32">
        <f>IFERROR(__xludf.DUMMYFUNCTION("""COMPUTED_VALUE"""),0.0)</f>
        <v>0</v>
      </c>
      <c r="BL394" s="32" t="b">
        <f>IFERROR(__xludf.DUMMYFUNCTION("""COMPUTED_VALUE"""),TRUE)</f>
        <v>1</v>
      </c>
      <c r="BM394" s="32" t="str">
        <f>IFERROR(__xludf.DUMMYFUNCTION("""COMPUTED_VALUE"""),"Boat")</f>
        <v>Boat</v>
      </c>
      <c r="BN394" s="32"/>
      <c r="BO394" s="32"/>
      <c r="BP394" s="32"/>
      <c r="BQ394" s="32"/>
    </row>
    <row r="395">
      <c r="A395" s="32" t="str">
        <f>IFERROR(__xludf.DUMMYFUNCTION("""COMPUTED_VALUE"""),"Sloop")</f>
        <v>Sloop</v>
      </c>
      <c r="B395" s="32">
        <f>IFERROR(__xludf.DUMMYFUNCTION("""COMPUTED_VALUE"""),1.0)</f>
        <v>1</v>
      </c>
      <c r="C395" s="32"/>
      <c r="D395" s="32" t="str">
        <f>IFERROR(__xludf.DUMMYFUNCTION("""COMPUTED_VALUE"""),"Construct")</f>
        <v>Construct</v>
      </c>
      <c r="E395" s="32">
        <f>IFERROR(__xludf.DUMMYFUNCTION("""COMPUTED_VALUE"""),1010.0)</f>
        <v>1010</v>
      </c>
      <c r="F395" s="33">
        <f>IFERROR(__xludf.DUMMYFUNCTION("""COMPUTED_VALUE"""),1010.0)</f>
        <v>1010</v>
      </c>
      <c r="G395" s="32">
        <f>IFERROR(__xludf.DUMMYFUNCTION("""COMPUTED_VALUE"""),1010.0)</f>
        <v>1010</v>
      </c>
      <c r="H395" s="32">
        <f>IFERROR(__xludf.DUMMYFUNCTION("""COMPUTED_VALUE"""),10.0)</f>
        <v>10</v>
      </c>
      <c r="I395" s="32">
        <f>IFERROR(__xludf.DUMMYFUNCTION("""COMPUTED_VALUE"""),0.0)</f>
        <v>0</v>
      </c>
      <c r="J395" s="32">
        <f>IFERROR(__xludf.DUMMYFUNCTION("""COMPUTED_VALUE"""),0.0)</f>
        <v>0</v>
      </c>
      <c r="K395" s="32">
        <f>IFERROR(__xludf.DUMMYFUNCTION("""COMPUTED_VALUE"""),100.0)</f>
        <v>100</v>
      </c>
      <c r="L395" s="32">
        <f>IFERROR(__xludf.DUMMYFUNCTION("""COMPUTED_VALUE"""),100.0)</f>
        <v>100</v>
      </c>
      <c r="M395" s="32" t="str">
        <f>IFERROR(__xludf.DUMMYFUNCTION("""COMPUTED_VALUE"""),"")</f>
        <v/>
      </c>
      <c r="N395" s="32" t="str">
        <f>IFERROR(__xludf.DUMMYFUNCTION("""COMPUTED_VALUE"""),"")</f>
        <v/>
      </c>
      <c r="O395" s="32" t="str">
        <f>IFERROR(__xludf.DUMMYFUNCTION("""COMPUTED_VALUE"""),"Basic Cannon")</f>
        <v>Basic Cannon</v>
      </c>
      <c r="P395" s="32" t="str">
        <f>IFERROR(__xludf.DUMMYFUNCTION("""COMPUTED_VALUE"""),"Harpoon Gun")</f>
        <v>Harpoon Gun</v>
      </c>
      <c r="Q395" s="32"/>
      <c r="R395" s="32"/>
      <c r="S395" s="32"/>
      <c r="T395" s="32"/>
      <c r="U395" s="32"/>
      <c r="V395" s="32"/>
      <c r="W395" s="32"/>
      <c r="X395" s="32"/>
      <c r="Y395" s="32"/>
      <c r="Z395" s="32"/>
      <c r="AA395" s="32"/>
      <c r="AB395" s="32"/>
      <c r="AC395" s="32"/>
      <c r="AD395" s="32"/>
      <c r="AE395" s="32"/>
      <c r="AF395" s="32"/>
      <c r="AG395" s="32"/>
      <c r="AH395" s="32"/>
      <c r="AI395" s="32"/>
      <c r="AJ395" s="32" t="str">
        <f>IFERROR(__xludf.DUMMYFUNCTION("""COMPUTED_VALUE"""),"Cannon Bombardment")</f>
        <v>Cannon Bombardment</v>
      </c>
      <c r="AK395" s="32"/>
      <c r="AL395" s="32"/>
      <c r="AM395" s="32"/>
      <c r="AN395" s="32"/>
      <c r="AO395" s="32"/>
      <c r="AP395" s="32"/>
      <c r="AQ395" s="32"/>
      <c r="AR395" s="32"/>
      <c r="AS395" s="32"/>
      <c r="AT395" s="32"/>
      <c r="AU395" s="32"/>
      <c r="AV395" s="32"/>
      <c r="AW395" s="32"/>
      <c r="AX395" s="32"/>
      <c r="AY395" s="32"/>
      <c r="AZ395" s="32"/>
      <c r="BA395" s="32"/>
      <c r="BB395" s="32"/>
      <c r="BC395" s="32"/>
      <c r="BD395" s="32">
        <f>IFERROR(__xludf.DUMMYFUNCTION("""COMPUTED_VALUE"""),0.0)</f>
        <v>0</v>
      </c>
      <c r="BE395" s="32">
        <f>IFERROR(__xludf.DUMMYFUNCTION("""COMPUTED_VALUE"""),10.0)</f>
        <v>10</v>
      </c>
      <c r="BF395" s="32"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32" t="str">
        <f>IFERROR(__xludf.DUMMYFUNCTION("""COMPUTED_VALUE"""),"Ocean")</f>
        <v>Ocean</v>
      </c>
      <c r="BH395" s="32" t="str">
        <f>IFERROR(__xludf.DUMMYFUNCTION("""COMPUTED_VALUE"""),"Land of Spira")</f>
        <v>Land of Spira</v>
      </c>
      <c r="BI395" s="32"/>
      <c r="BJ395" s="32"/>
      <c r="BK395" s="32">
        <f>IFERROR(__xludf.DUMMYFUNCTION("""COMPUTED_VALUE"""),0.0)</f>
        <v>0</v>
      </c>
      <c r="BL395" s="32" t="b">
        <f>IFERROR(__xludf.DUMMYFUNCTION("""COMPUTED_VALUE"""),TRUE)</f>
        <v>1</v>
      </c>
      <c r="BM395" s="32" t="str">
        <f>IFERROR(__xludf.DUMMYFUNCTION("""COMPUTED_VALUE"""),"Boat")</f>
        <v>Boat</v>
      </c>
      <c r="BN395" s="32"/>
      <c r="BO395" s="32"/>
      <c r="BP395" s="32"/>
      <c r="BQ395" s="32"/>
    </row>
    <row r="396">
      <c r="A396" s="32" t="str">
        <f>IFERROR(__xludf.DUMMYFUNCTION("""COMPUTED_VALUE"""),"Aircraft Carrier")</f>
        <v>Aircraft Carrier</v>
      </c>
      <c r="B396" s="32">
        <f>IFERROR(__xludf.DUMMYFUNCTION("""COMPUTED_VALUE"""),1.0)</f>
        <v>1</v>
      </c>
      <c r="C396" s="32"/>
      <c r="D396" s="32" t="str">
        <f>IFERROR(__xludf.DUMMYFUNCTION("""COMPUTED_VALUE"""),"Construct")</f>
        <v>Construct</v>
      </c>
      <c r="E396" s="32">
        <f>IFERROR(__xludf.DUMMYFUNCTION("""COMPUTED_VALUE"""),1010.0)</f>
        <v>1010</v>
      </c>
      <c r="F396" s="33">
        <f>IFERROR(__xludf.DUMMYFUNCTION("""COMPUTED_VALUE"""),1010.0)</f>
        <v>1010</v>
      </c>
      <c r="G396" s="32">
        <f>IFERROR(__xludf.DUMMYFUNCTION("""COMPUTED_VALUE"""),1010.0)</f>
        <v>1010</v>
      </c>
      <c r="H396" s="32">
        <f>IFERROR(__xludf.DUMMYFUNCTION("""COMPUTED_VALUE"""),10.0)</f>
        <v>10</v>
      </c>
      <c r="I396" s="32">
        <f>IFERROR(__xludf.DUMMYFUNCTION("""COMPUTED_VALUE"""),0.0)</f>
        <v>0</v>
      </c>
      <c r="J396" s="32">
        <f>IFERROR(__xludf.DUMMYFUNCTION("""COMPUTED_VALUE"""),0.0)</f>
        <v>0</v>
      </c>
      <c r="K396" s="32">
        <f>IFERROR(__xludf.DUMMYFUNCTION("""COMPUTED_VALUE"""),100.0)</f>
        <v>100</v>
      </c>
      <c r="L396" s="32">
        <f>IFERROR(__xludf.DUMMYFUNCTION("""COMPUTED_VALUE"""),100.0)</f>
        <v>100</v>
      </c>
      <c r="M396" s="32" t="str">
        <f>IFERROR(__xludf.DUMMYFUNCTION("""COMPUTED_VALUE"""),"#N/A")</f>
        <v>#N/A</v>
      </c>
      <c r="N396" s="32" t="str">
        <f>IFERROR(__xludf.DUMMYFUNCTION("""COMPUTED_VALUE"""),"#N/A")</f>
        <v>#N/A</v>
      </c>
      <c r="O396" s="32" t="str">
        <f>IFERROR(__xludf.DUMMYFUNCTION("""COMPUTED_VALUE"""),"Missile Turret (boat)")</f>
        <v>Missile Turret (boat)</v>
      </c>
      <c r="P396" s="32" t="str">
        <f>IFERROR(__xludf.DUMMYFUNCTION("""COMPUTED_VALUE"""),"Missile Turret (boat)")</f>
        <v>Missile Turret (boat)</v>
      </c>
      <c r="Q396" s="32" t="str">
        <f>IFERROR(__xludf.DUMMYFUNCTION("""COMPUTED_VALUE"""),"Missile Turret (boat)")</f>
        <v>Missile Turret (boat)</v>
      </c>
      <c r="R396" s="32" t="str">
        <f>IFERROR(__xludf.DUMMYFUNCTION("""COMPUTED_VALUE"""),"Missile Turret (boat)")</f>
        <v>Missile Turret (boat)</v>
      </c>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f>IFERROR(__xludf.DUMMYFUNCTION("""COMPUTED_VALUE"""),0.0)</f>
        <v>0</v>
      </c>
      <c r="BE396" s="32">
        <f>IFERROR(__xludf.DUMMYFUNCTION("""COMPUTED_VALUE"""),10.0)</f>
        <v>10</v>
      </c>
      <c r="BF396" s="32"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32" t="str">
        <f>IFERROR(__xludf.DUMMYFUNCTION("""COMPUTED_VALUE"""),"Ocean")</f>
        <v>Ocean</v>
      </c>
      <c r="BH396" s="32"/>
      <c r="BI396" s="32"/>
      <c r="BJ396" s="32"/>
      <c r="BK396" s="33">
        <f>IFERROR(__xludf.DUMMYFUNCTION("""COMPUTED_VALUE"""),5000.0)</f>
        <v>5000</v>
      </c>
      <c r="BL396" s="32" t="b">
        <f>IFERROR(__xludf.DUMMYFUNCTION("""COMPUTED_VALUE"""),FALSE)</f>
        <v>0</v>
      </c>
      <c r="BM396" s="32" t="str">
        <f>IFERROR(__xludf.DUMMYFUNCTION("""COMPUTED_VALUE"""),"Boat")</f>
        <v>Boat</v>
      </c>
      <c r="BN396" s="32"/>
      <c r="BO396" s="32"/>
      <c r="BP396" s="32"/>
      <c r="BQ396" s="32"/>
    </row>
    <row r="397">
      <c r="A397" s="32" t="str">
        <f>IFERROR(__xludf.DUMMYFUNCTION("""COMPUTED_VALUE"""),"Elder Acid Dragon")</f>
        <v>Elder Acid Dragon</v>
      </c>
      <c r="B397" s="32">
        <f>IFERROR(__xludf.DUMMYFUNCTION("""COMPUTED_VALUE"""),1.0)</f>
        <v>1</v>
      </c>
      <c r="C397" s="32"/>
      <c r="D397" s="32" t="str">
        <f>IFERROR(__xludf.DUMMYFUNCTION("""COMPUTED_VALUE"""),"Draconic")</f>
        <v>Draconic</v>
      </c>
      <c r="E397" s="32">
        <f>IFERROR(__xludf.DUMMYFUNCTION("""COMPUTED_VALUE"""),1010.0)</f>
        <v>1010</v>
      </c>
      <c r="F397" s="33">
        <f>IFERROR(__xludf.DUMMYFUNCTION("""COMPUTED_VALUE"""),1010.0)</f>
        <v>1010</v>
      </c>
      <c r="G397" s="32">
        <f>IFERROR(__xludf.DUMMYFUNCTION("""COMPUTED_VALUE"""),1010.0)</f>
        <v>1010</v>
      </c>
      <c r="H397" s="32">
        <f>IFERROR(__xludf.DUMMYFUNCTION("""COMPUTED_VALUE"""),10.0)</f>
        <v>10</v>
      </c>
      <c r="I397" s="32">
        <f>IFERROR(__xludf.DUMMYFUNCTION("""COMPUTED_VALUE"""),10.0)</f>
        <v>10</v>
      </c>
      <c r="J397" s="32">
        <f>IFERROR(__xludf.DUMMYFUNCTION("""COMPUTED_VALUE"""),10.0)</f>
        <v>10</v>
      </c>
      <c r="K397" s="32">
        <f>IFERROR(__xludf.DUMMYFUNCTION("""COMPUTED_VALUE"""),100.0)</f>
        <v>100</v>
      </c>
      <c r="L397" s="32">
        <f>IFERROR(__xludf.DUMMYFUNCTION("""COMPUTED_VALUE"""),100.0)</f>
        <v>100</v>
      </c>
      <c r="M397" s="32" t="str">
        <f>IFERROR(__xludf.DUMMYFUNCTION("""COMPUTED_VALUE"""),"Nature:Immune, Instant Death:Immune, Banishment:Immune, ")</f>
        <v>Nature:Immune, Instant Death:Immune, Banishment:Immune, </v>
      </c>
      <c r="N397" s="32" t="str">
        <f>IFERROR(__xludf.DUMMYFUNCTION("""COMPUTED_VALUE"""),"Fire:100, Storm:100, ")</f>
        <v>Fire:100, Storm:100, </v>
      </c>
      <c r="O397" s="32"/>
      <c r="P397" s="32"/>
      <c r="Q397" s="32"/>
      <c r="R397" s="32"/>
      <c r="S397" s="32"/>
      <c r="T397" s="32"/>
      <c r="U397" s="32"/>
      <c r="V397" s="32"/>
      <c r="W397" s="32"/>
      <c r="X397" s="32"/>
      <c r="Y397" s="32"/>
      <c r="Z397" s="32"/>
      <c r="AA397" s="32"/>
      <c r="AB397" s="32"/>
      <c r="AC397" s="32"/>
      <c r="AD397" s="32"/>
      <c r="AE397" s="32"/>
      <c r="AF397" s="32"/>
      <c r="AG397" s="32"/>
      <c r="AH397" s="32"/>
      <c r="AI397" s="32"/>
      <c r="AJ397" s="32" t="str">
        <f>IFERROR(__xludf.DUMMYFUNCTION("""COMPUTED_VALUE"""),"Greater Dragon's Breath")</f>
        <v>Greater Dragon's Breath</v>
      </c>
      <c r="AK397" s="32" t="str">
        <f>IFERROR(__xludf.DUMMYFUNCTION("""COMPUTED_VALUE"""),"Bite")</f>
        <v>Bite</v>
      </c>
      <c r="AL397" s="32" t="str">
        <f>IFERROR(__xludf.DUMMYFUNCTION("""COMPUTED_VALUE"""),"Tail Smash")</f>
        <v>Tail Smash</v>
      </c>
      <c r="AM397" s="32" t="str">
        <f>IFERROR(__xludf.DUMMYFUNCTION("""COMPUTED_VALUE"""),"Claws")</f>
        <v>Claws</v>
      </c>
      <c r="AN397" s="32" t="str">
        <f>IFERROR(__xludf.DUMMYFUNCTION("""COMPUTED_VALUE"""),"Berserk")</f>
        <v>Berserk</v>
      </c>
      <c r="AO397" s="32" t="str">
        <f>IFERROR(__xludf.DUMMYFUNCTION("""COMPUTED_VALUE"""),"Multishot")</f>
        <v>Multishot</v>
      </c>
      <c r="AP397" s="32" t="str">
        <f>IFERROR(__xludf.DUMMYFUNCTION("""COMPUTED_VALUE"""),"Draconic Scream")</f>
        <v>Draconic Scream</v>
      </c>
      <c r="AQ397" s="32" t="str">
        <f>IFERROR(__xludf.DUMMYFUNCTION("""COMPUTED_VALUE"""),"Poison Fang")</f>
        <v>Poison Fang</v>
      </c>
      <c r="AR397" s="32" t="str">
        <f>IFERROR(__xludf.DUMMYFUNCTION("""COMPUTED_VALUE"""),"Class 3 Poison")</f>
        <v>Class 3 Poison</v>
      </c>
      <c r="AS397" s="32" t="str">
        <f>IFERROR(__xludf.DUMMYFUNCTION("""COMPUTED_VALUE"""),"1000 Poisons Body")</f>
        <v>1000 Poisons Body</v>
      </c>
      <c r="AT397" s="32" t="str">
        <f>IFERROR(__xludf.DUMMYFUNCTION("""COMPUTED_VALUE"""),"Thorn Bush")</f>
        <v>Thorn Bush</v>
      </c>
      <c r="AU397" s="32" t="str">
        <f>IFERROR(__xludf.DUMMYFUNCTION("""COMPUTED_VALUE"""),"Poisonous Fumes")</f>
        <v>Poisonous Fumes</v>
      </c>
      <c r="AV397" s="32" t="str">
        <f>IFERROR(__xludf.DUMMYFUNCTION("""COMPUTED_VALUE"""),"Celestial Wrath")</f>
        <v>Celestial Wrath</v>
      </c>
      <c r="AW397" s="32"/>
      <c r="AX397" s="32"/>
      <c r="AY397" s="32"/>
      <c r="AZ397" s="32"/>
      <c r="BA397" s="32"/>
      <c r="BB397" s="32"/>
      <c r="BC397" s="32"/>
      <c r="BD397" s="32">
        <f>IFERROR(__xludf.DUMMYFUNCTION("""COMPUTED_VALUE"""),10.0)</f>
        <v>10</v>
      </c>
      <c r="BE397" s="32">
        <f>IFERROR(__xludf.DUMMYFUNCTION("""COMPUTED_VALUE"""),10.0)</f>
        <v>10</v>
      </c>
      <c r="BF397" s="32"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32" t="str">
        <f>IFERROR(__xludf.DUMMYFUNCTION("""COMPUTED_VALUE"""),"All")</f>
        <v>All</v>
      </c>
      <c r="BH397" s="32" t="str">
        <f>IFERROR(__xludf.DUMMYFUNCTION("""COMPUTED_VALUE"""),"Dragonscale Island")</f>
        <v>Dragonscale Island</v>
      </c>
      <c r="BI397" s="32"/>
      <c r="BJ397" s="32"/>
      <c r="BK397" s="32"/>
      <c r="BL397" s="32" t="b">
        <f>IFERROR(__xludf.DUMMYFUNCTION("""COMPUTED_VALUE"""),FALSE)</f>
        <v>0</v>
      </c>
      <c r="BM397" s="32"/>
      <c r="BN397" s="32"/>
      <c r="BO397" s="32"/>
      <c r="BP397" s="32"/>
      <c r="BQ397" s="32"/>
    </row>
    <row r="398">
      <c r="A398" s="32" t="str">
        <f>IFERROR(__xludf.DUMMYFUNCTION("""COMPUTED_VALUE"""),"Elder Water Dragon")</f>
        <v>Elder Water Dragon</v>
      </c>
      <c r="B398" s="32">
        <f>IFERROR(__xludf.DUMMYFUNCTION("""COMPUTED_VALUE"""),1.0)</f>
        <v>1</v>
      </c>
      <c r="C398" s="32"/>
      <c r="D398" s="32" t="str">
        <f>IFERROR(__xludf.DUMMYFUNCTION("""COMPUTED_VALUE"""),"Draconic")</f>
        <v>Draconic</v>
      </c>
      <c r="E398" s="32">
        <f>IFERROR(__xludf.DUMMYFUNCTION("""COMPUTED_VALUE"""),1010.0)</f>
        <v>1010</v>
      </c>
      <c r="F398" s="33">
        <f>IFERROR(__xludf.DUMMYFUNCTION("""COMPUTED_VALUE"""),1010.0)</f>
        <v>1010</v>
      </c>
      <c r="G398" s="32">
        <f>IFERROR(__xludf.DUMMYFUNCTION("""COMPUTED_VALUE"""),1010.0)</f>
        <v>1010</v>
      </c>
      <c r="H398" s="32">
        <f>IFERROR(__xludf.DUMMYFUNCTION("""COMPUTED_VALUE"""),10.0)</f>
        <v>10</v>
      </c>
      <c r="I398" s="32">
        <f>IFERROR(__xludf.DUMMYFUNCTION("""COMPUTED_VALUE"""),10.0)</f>
        <v>10</v>
      </c>
      <c r="J398" s="32">
        <f>IFERROR(__xludf.DUMMYFUNCTION("""COMPUTED_VALUE"""),10.0)</f>
        <v>10</v>
      </c>
      <c r="K398" s="32">
        <f>IFERROR(__xludf.DUMMYFUNCTION("""COMPUTED_VALUE"""),100.0)</f>
        <v>100</v>
      </c>
      <c r="L398" s="32">
        <f>IFERROR(__xludf.DUMMYFUNCTION("""COMPUTED_VALUE"""),100.0)</f>
        <v>100</v>
      </c>
      <c r="M398" s="32" t="str">
        <f>IFERROR(__xludf.DUMMYFUNCTION("""COMPUTED_VALUE"""),"Fire:Immune, Water:Immune, Instant Death:Immune, Banishment:Immune, ")</f>
        <v>Fire:Immune, Water:Immune, Instant Death:Immune, Banishment:Immune, </v>
      </c>
      <c r="N398" s="32" t="str">
        <f>IFERROR(__xludf.DUMMYFUNCTION("""COMPUTED_VALUE"""),"Nature:100, ")</f>
        <v>Nature:100, </v>
      </c>
      <c r="O398" s="32"/>
      <c r="P398" s="32"/>
      <c r="Q398" s="32"/>
      <c r="R398" s="32"/>
      <c r="S398" s="32"/>
      <c r="T398" s="32"/>
      <c r="U398" s="32"/>
      <c r="V398" s="32"/>
      <c r="W398" s="32"/>
      <c r="X398" s="32"/>
      <c r="Y398" s="32"/>
      <c r="Z398" s="32"/>
      <c r="AA398" s="32"/>
      <c r="AB398" s="32"/>
      <c r="AC398" s="32"/>
      <c r="AD398" s="32"/>
      <c r="AE398" s="32"/>
      <c r="AF398" s="32"/>
      <c r="AG398" s="32"/>
      <c r="AH398" s="32"/>
      <c r="AI398" s="32"/>
      <c r="AJ398" s="32" t="str">
        <f>IFERROR(__xludf.DUMMYFUNCTION("""COMPUTED_VALUE"""),"Greater Dragon's Breath")</f>
        <v>Greater Dragon's Breath</v>
      </c>
      <c r="AK398" s="32" t="str">
        <f>IFERROR(__xludf.DUMMYFUNCTION("""COMPUTED_VALUE"""),"Bite")</f>
        <v>Bite</v>
      </c>
      <c r="AL398" s="32" t="str">
        <f>IFERROR(__xludf.DUMMYFUNCTION("""COMPUTED_VALUE"""),"Tail Smash")</f>
        <v>Tail Smash</v>
      </c>
      <c r="AM398" s="32" t="str">
        <f>IFERROR(__xludf.DUMMYFUNCTION("""COMPUTED_VALUE"""),"Claws")</f>
        <v>Claws</v>
      </c>
      <c r="AN398" s="32" t="str">
        <f>IFERROR(__xludf.DUMMYFUNCTION("""COMPUTED_VALUE"""),"Berserk")</f>
        <v>Berserk</v>
      </c>
      <c r="AO398" s="32" t="str">
        <f>IFERROR(__xludf.DUMMYFUNCTION("""COMPUTED_VALUE"""),"Multishot")</f>
        <v>Multishot</v>
      </c>
      <c r="AP398" s="32" t="str">
        <f>IFERROR(__xludf.DUMMYFUNCTION("""COMPUTED_VALUE"""),"Draconic Scream")</f>
        <v>Draconic Scream</v>
      </c>
      <c r="AQ398" s="32" t="str">
        <f>IFERROR(__xludf.DUMMYFUNCTION("""COMPUTED_VALUE"""),"Crashing Waves")</f>
        <v>Crashing Waves</v>
      </c>
      <c r="AR398" s="32" t="str">
        <f>IFERROR(__xludf.DUMMYFUNCTION("""COMPUTED_VALUE"""),"Torrential Downpour")</f>
        <v>Torrential Downpour</v>
      </c>
      <c r="AS398" s="32" t="str">
        <f>IFERROR(__xludf.DUMMYFUNCTION("""COMPUTED_VALUE"""),"Deep Freeze")</f>
        <v>Deep Freeze</v>
      </c>
      <c r="AT398" s="32" t="str">
        <f>IFERROR(__xludf.DUMMYFUNCTION("""COMPUTED_VALUE"""),"Celestial Wrath")</f>
        <v>Celestial Wrath</v>
      </c>
      <c r="AU398" s="32"/>
      <c r="AV398" s="32"/>
      <c r="AW398" s="32"/>
      <c r="AX398" s="32"/>
      <c r="AY398" s="32"/>
      <c r="AZ398" s="32"/>
      <c r="BA398" s="32"/>
      <c r="BB398" s="32"/>
      <c r="BC398" s="32"/>
      <c r="BD398" s="32">
        <f>IFERROR(__xludf.DUMMYFUNCTION("""COMPUTED_VALUE"""),10.0)</f>
        <v>10</v>
      </c>
      <c r="BE398" s="32">
        <f>IFERROR(__xludf.DUMMYFUNCTION("""COMPUTED_VALUE"""),10.0)</f>
        <v>10</v>
      </c>
      <c r="BF398"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32" t="str">
        <f>IFERROR(__xludf.DUMMYFUNCTION("""COMPUTED_VALUE"""),"All")</f>
        <v>All</v>
      </c>
      <c r="BH398" s="32" t="str">
        <f>IFERROR(__xludf.DUMMYFUNCTION("""COMPUTED_VALUE"""),"Dragonscale Island")</f>
        <v>Dragonscale Island</v>
      </c>
      <c r="BI398" s="32"/>
      <c r="BJ398" s="32"/>
      <c r="BK398" s="32"/>
      <c r="BL398" s="32" t="b">
        <f>IFERROR(__xludf.DUMMYFUNCTION("""COMPUTED_VALUE"""),FALSE)</f>
        <v>0</v>
      </c>
      <c r="BM398" s="32"/>
      <c r="BN398" s="32"/>
      <c r="BO398" s="32"/>
      <c r="BP398" s="32"/>
      <c r="BQ398" s="32"/>
    </row>
    <row r="399">
      <c r="A399" s="32" t="str">
        <f>IFERROR(__xludf.DUMMYFUNCTION("""COMPUTED_VALUE"""),"Elder Astral Dragon")</f>
        <v>Elder Astral Dragon</v>
      </c>
      <c r="B399" s="32">
        <f>IFERROR(__xludf.DUMMYFUNCTION("""COMPUTED_VALUE"""),1.0)</f>
        <v>1</v>
      </c>
      <c r="C399" s="32"/>
      <c r="D399" s="32" t="str">
        <f>IFERROR(__xludf.DUMMYFUNCTION("""COMPUTED_VALUE"""),"Draconic")</f>
        <v>Draconic</v>
      </c>
      <c r="E399" s="32">
        <f>IFERROR(__xludf.DUMMYFUNCTION("""COMPUTED_VALUE"""),1010.0)</f>
        <v>1010</v>
      </c>
      <c r="F399" s="33">
        <f>IFERROR(__xludf.DUMMYFUNCTION("""COMPUTED_VALUE"""),1010.0)</f>
        <v>1010</v>
      </c>
      <c r="G399" s="32">
        <f>IFERROR(__xludf.DUMMYFUNCTION("""COMPUTED_VALUE"""),1010.0)</f>
        <v>1010</v>
      </c>
      <c r="H399" s="32">
        <f>IFERROR(__xludf.DUMMYFUNCTION("""COMPUTED_VALUE"""),10.0)</f>
        <v>10</v>
      </c>
      <c r="I399" s="32">
        <f>IFERROR(__xludf.DUMMYFUNCTION("""COMPUTED_VALUE"""),10.0)</f>
        <v>10</v>
      </c>
      <c r="J399" s="32">
        <f>IFERROR(__xludf.DUMMYFUNCTION("""COMPUTED_VALUE"""),10.0)</f>
        <v>10</v>
      </c>
      <c r="K399" s="32">
        <f>IFERROR(__xludf.DUMMYFUNCTION("""COMPUTED_VALUE"""),100.0)</f>
        <v>100</v>
      </c>
      <c r="L399" s="32">
        <f>IFERROR(__xludf.DUMMYFUNCTION("""COMPUTED_VALUE"""),100.0)</f>
        <v>100</v>
      </c>
      <c r="M399" s="32" t="str">
        <f>IFERROR(__xludf.DUMMYFUNCTION("""COMPUTED_VALUE"""),"Astral:Immune, Instant Death:Immune, Banishment:Immune, ")</f>
        <v>Astral:Immune, Instant Death:Immune, Banishment:Immune, </v>
      </c>
      <c r="N399" s="32" t="str">
        <f>IFERROR(__xludf.DUMMYFUNCTION("""COMPUTED_VALUE"""),"Celestial:100, ")</f>
        <v>Celestial:100, </v>
      </c>
      <c r="O399" s="32"/>
      <c r="P399" s="32"/>
      <c r="Q399" s="32"/>
      <c r="R399" s="32"/>
      <c r="S399" s="32"/>
      <c r="T399" s="32"/>
      <c r="U399" s="32"/>
      <c r="V399" s="32"/>
      <c r="W399" s="32"/>
      <c r="X399" s="32"/>
      <c r="Y399" s="32"/>
      <c r="Z399" s="32"/>
      <c r="AA399" s="32"/>
      <c r="AB399" s="32"/>
      <c r="AC399" s="32"/>
      <c r="AD399" s="32"/>
      <c r="AE399" s="32"/>
      <c r="AF399" s="32"/>
      <c r="AG399" s="32"/>
      <c r="AH399" s="32"/>
      <c r="AI399" s="32"/>
      <c r="AJ399" s="32" t="str">
        <f>IFERROR(__xludf.DUMMYFUNCTION("""COMPUTED_VALUE"""),"Greater Dragon's Breath")</f>
        <v>Greater Dragon's Breath</v>
      </c>
      <c r="AK399" s="32" t="str">
        <f>IFERROR(__xludf.DUMMYFUNCTION("""COMPUTED_VALUE"""),"Bite")</f>
        <v>Bite</v>
      </c>
      <c r="AL399" s="32" t="str">
        <f>IFERROR(__xludf.DUMMYFUNCTION("""COMPUTED_VALUE"""),"Tail Smash")</f>
        <v>Tail Smash</v>
      </c>
      <c r="AM399" s="32" t="str">
        <f>IFERROR(__xludf.DUMMYFUNCTION("""COMPUTED_VALUE"""),"Claws")</f>
        <v>Claws</v>
      </c>
      <c r="AN399" s="32" t="str">
        <f>IFERROR(__xludf.DUMMYFUNCTION("""COMPUTED_VALUE"""),"Berserk")</f>
        <v>Berserk</v>
      </c>
      <c r="AO399" s="32" t="str">
        <f>IFERROR(__xludf.DUMMYFUNCTION("""COMPUTED_VALUE"""),"Multishot")</f>
        <v>Multishot</v>
      </c>
      <c r="AP399" s="32" t="str">
        <f>IFERROR(__xludf.DUMMYFUNCTION("""COMPUTED_VALUE"""),"Draconic Scream")</f>
        <v>Draconic Scream</v>
      </c>
      <c r="AQ399" s="32" t="str">
        <f>IFERROR(__xludf.DUMMYFUNCTION("""COMPUTED_VALUE"""),"Black Hole")</f>
        <v>Black Hole</v>
      </c>
      <c r="AR399" s="32" t="str">
        <f>IFERROR(__xludf.DUMMYFUNCTION("""COMPUTED_VALUE"""),"Planetary Meteor Storm")</f>
        <v>Planetary Meteor Storm</v>
      </c>
      <c r="AS399" s="32" t="str">
        <f>IFERROR(__xludf.DUMMYFUNCTION("""COMPUTED_VALUE"""),"Lunar Ward")</f>
        <v>Lunar Ward</v>
      </c>
      <c r="AT399" s="32" t="str">
        <f>IFERROR(__xludf.DUMMYFUNCTION("""COMPUTED_VALUE"""),"Solar Ward")</f>
        <v>Solar Ward</v>
      </c>
      <c r="AU399" s="32" t="str">
        <f>IFERROR(__xludf.DUMMYFUNCTION("""COMPUTED_VALUE"""),"Celestial Wrath")</f>
        <v>Celestial Wrath</v>
      </c>
      <c r="AV399" s="32"/>
      <c r="AW399" s="32"/>
      <c r="AX399" s="32"/>
      <c r="AY399" s="32"/>
      <c r="AZ399" s="32"/>
      <c r="BA399" s="32"/>
      <c r="BB399" s="32"/>
      <c r="BC399" s="32"/>
      <c r="BD399" s="32">
        <f>IFERROR(__xludf.DUMMYFUNCTION("""COMPUTED_VALUE"""),10.0)</f>
        <v>10</v>
      </c>
      <c r="BE399" s="32">
        <f>IFERROR(__xludf.DUMMYFUNCTION("""COMPUTED_VALUE"""),10.0)</f>
        <v>10</v>
      </c>
      <c r="BF399"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32" t="str">
        <f>IFERROR(__xludf.DUMMYFUNCTION("""COMPUTED_VALUE"""),"All")</f>
        <v>All</v>
      </c>
      <c r="BH399" s="32" t="str">
        <f>IFERROR(__xludf.DUMMYFUNCTION("""COMPUTED_VALUE"""),"Dragonscale Island")</f>
        <v>Dragonscale Island</v>
      </c>
      <c r="BI399" s="32"/>
      <c r="BJ399" s="32"/>
      <c r="BK399" s="32"/>
      <c r="BL399" s="32" t="b">
        <f>IFERROR(__xludf.DUMMYFUNCTION("""COMPUTED_VALUE"""),FALSE)</f>
        <v>0</v>
      </c>
      <c r="BM399" s="32"/>
      <c r="BN399" s="32"/>
      <c r="BO399" s="32"/>
      <c r="BP399" s="32"/>
      <c r="BQ399" s="32"/>
    </row>
    <row r="400">
      <c r="A400" s="32" t="str">
        <f>IFERROR(__xludf.DUMMYFUNCTION("""COMPUTED_VALUE"""),"Elder Celestial Dragon")</f>
        <v>Elder Celestial Dragon</v>
      </c>
      <c r="B400" s="32">
        <f>IFERROR(__xludf.DUMMYFUNCTION("""COMPUTED_VALUE"""),1.0)</f>
        <v>1</v>
      </c>
      <c r="C400" s="32"/>
      <c r="D400" s="32" t="str">
        <f>IFERROR(__xludf.DUMMYFUNCTION("""COMPUTED_VALUE"""),"Draconic")</f>
        <v>Draconic</v>
      </c>
      <c r="E400" s="32">
        <f>IFERROR(__xludf.DUMMYFUNCTION("""COMPUTED_VALUE"""),1010.0)</f>
        <v>1010</v>
      </c>
      <c r="F400" s="33">
        <f>IFERROR(__xludf.DUMMYFUNCTION("""COMPUTED_VALUE"""),1010.0)</f>
        <v>1010</v>
      </c>
      <c r="G400" s="32">
        <f>IFERROR(__xludf.DUMMYFUNCTION("""COMPUTED_VALUE"""),1010.0)</f>
        <v>1010</v>
      </c>
      <c r="H400" s="32">
        <f>IFERROR(__xludf.DUMMYFUNCTION("""COMPUTED_VALUE"""),10.0)</f>
        <v>10</v>
      </c>
      <c r="I400" s="32">
        <f>IFERROR(__xludf.DUMMYFUNCTION("""COMPUTED_VALUE"""),10.0)</f>
        <v>10</v>
      </c>
      <c r="J400" s="32">
        <f>IFERROR(__xludf.DUMMYFUNCTION("""COMPUTED_VALUE"""),10.0)</f>
        <v>10</v>
      </c>
      <c r="K400" s="32">
        <f>IFERROR(__xludf.DUMMYFUNCTION("""COMPUTED_VALUE"""),100.0)</f>
        <v>100</v>
      </c>
      <c r="L400" s="32">
        <f>IFERROR(__xludf.DUMMYFUNCTION("""COMPUTED_VALUE"""),100.0)</f>
        <v>100</v>
      </c>
      <c r="M400" s="32" t="str">
        <f>IFERROR(__xludf.DUMMYFUNCTION("""COMPUTED_VALUE"""),"Celestial:Immune, Instant Death:Immune, Banishment:Immune, ")</f>
        <v>Celestial:Immune, Instant Death:Immune, Banishment:Immune, </v>
      </c>
      <c r="N400" s="32" t="str">
        <f>IFERROR(__xludf.DUMMYFUNCTION("""COMPUTED_VALUE"""),"Astral:100, ")</f>
        <v>Astral:100, </v>
      </c>
      <c r="O400" s="32"/>
      <c r="P400" s="32"/>
      <c r="Q400" s="32"/>
      <c r="R400" s="32"/>
      <c r="S400" s="32"/>
      <c r="T400" s="32"/>
      <c r="U400" s="32"/>
      <c r="V400" s="32"/>
      <c r="W400" s="32"/>
      <c r="X400" s="32"/>
      <c r="Y400" s="32"/>
      <c r="Z400" s="32"/>
      <c r="AA400" s="32"/>
      <c r="AB400" s="32"/>
      <c r="AC400" s="32"/>
      <c r="AD400" s="32"/>
      <c r="AE400" s="32"/>
      <c r="AF400" s="32"/>
      <c r="AG400" s="32"/>
      <c r="AH400" s="32"/>
      <c r="AI400" s="32"/>
      <c r="AJ400" s="32" t="str">
        <f>IFERROR(__xludf.DUMMYFUNCTION("""COMPUTED_VALUE"""),"Greater Dragon's Breath")</f>
        <v>Greater Dragon's Breath</v>
      </c>
      <c r="AK400" s="32" t="str">
        <f>IFERROR(__xludf.DUMMYFUNCTION("""COMPUTED_VALUE"""),"Bite")</f>
        <v>Bite</v>
      </c>
      <c r="AL400" s="32" t="str">
        <f>IFERROR(__xludf.DUMMYFUNCTION("""COMPUTED_VALUE"""),"Tail Smash")</f>
        <v>Tail Smash</v>
      </c>
      <c r="AM400" s="32" t="str">
        <f>IFERROR(__xludf.DUMMYFUNCTION("""COMPUTED_VALUE"""),"Claws")</f>
        <v>Claws</v>
      </c>
      <c r="AN400" s="32" t="str">
        <f>IFERROR(__xludf.DUMMYFUNCTION("""COMPUTED_VALUE"""),"Berserk")</f>
        <v>Berserk</v>
      </c>
      <c r="AO400" s="32" t="str">
        <f>IFERROR(__xludf.DUMMYFUNCTION("""COMPUTED_VALUE"""),"Multishot")</f>
        <v>Multishot</v>
      </c>
      <c r="AP400" s="32" t="str">
        <f>IFERROR(__xludf.DUMMYFUNCTION("""COMPUTED_VALUE"""),"Draconic Scream")</f>
        <v>Draconic Scream</v>
      </c>
      <c r="AQ400" s="32" t="str">
        <f>IFERROR(__xludf.DUMMYFUNCTION("""COMPUTED_VALUE"""),"Mass Destruction")</f>
        <v>Mass Destruction</v>
      </c>
      <c r="AR400" s="32" t="str">
        <f>IFERROR(__xludf.DUMMYFUNCTION("""COMPUTED_VALUE"""),"Vaporize")</f>
        <v>Vaporize</v>
      </c>
      <c r="AS400" s="32" t="str">
        <f>IFERROR(__xludf.DUMMYFUNCTION("""COMPUTED_VALUE"""),"Celestial Wrath")</f>
        <v>Celestial Wrath</v>
      </c>
      <c r="AT400" s="32"/>
      <c r="AU400" s="32"/>
      <c r="AV400" s="32"/>
      <c r="AW400" s="32"/>
      <c r="AX400" s="32"/>
      <c r="AY400" s="32"/>
      <c r="AZ400" s="32"/>
      <c r="BA400" s="32"/>
      <c r="BB400" s="32"/>
      <c r="BC400" s="32"/>
      <c r="BD400" s="32">
        <f>IFERROR(__xludf.DUMMYFUNCTION("""COMPUTED_VALUE"""),10.0)</f>
        <v>10</v>
      </c>
      <c r="BE400" s="32">
        <f>IFERROR(__xludf.DUMMYFUNCTION("""COMPUTED_VALUE"""),10.0)</f>
        <v>10</v>
      </c>
      <c r="BF400"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32" t="str">
        <f>IFERROR(__xludf.DUMMYFUNCTION("""COMPUTED_VALUE"""),"All")</f>
        <v>All</v>
      </c>
      <c r="BH400" s="32" t="str">
        <f>IFERROR(__xludf.DUMMYFUNCTION("""COMPUTED_VALUE"""),"Dragonscale Island")</f>
        <v>Dragonscale Island</v>
      </c>
      <c r="BI400" s="32"/>
      <c r="BJ400" s="32"/>
      <c r="BK400" s="32"/>
      <c r="BL400" s="32" t="b">
        <f>IFERROR(__xludf.DUMMYFUNCTION("""COMPUTED_VALUE"""),FALSE)</f>
        <v>0</v>
      </c>
      <c r="BM400" s="32"/>
      <c r="BN400" s="32"/>
      <c r="BO400" s="32"/>
      <c r="BP400" s="32"/>
      <c r="BQ400" s="32"/>
    </row>
    <row r="401">
      <c r="A401" s="32" t="str">
        <f>IFERROR(__xludf.DUMMYFUNCTION("""COMPUTED_VALUE"""),"Elder Chaos Dragon")</f>
        <v>Elder Chaos Dragon</v>
      </c>
      <c r="B401" s="32">
        <f>IFERROR(__xludf.DUMMYFUNCTION("""COMPUTED_VALUE"""),1.0)</f>
        <v>1</v>
      </c>
      <c r="C401" s="32"/>
      <c r="D401" s="32" t="str">
        <f>IFERROR(__xludf.DUMMYFUNCTION("""COMPUTED_VALUE"""),"Draconic")</f>
        <v>Draconic</v>
      </c>
      <c r="E401" s="32">
        <f>IFERROR(__xludf.DUMMYFUNCTION("""COMPUTED_VALUE"""),1010.0)</f>
        <v>1010</v>
      </c>
      <c r="F401" s="33">
        <f>IFERROR(__xludf.DUMMYFUNCTION("""COMPUTED_VALUE"""),1010.0)</f>
        <v>1010</v>
      </c>
      <c r="G401" s="32">
        <f>IFERROR(__xludf.DUMMYFUNCTION("""COMPUTED_VALUE"""),1010.0)</f>
        <v>1010</v>
      </c>
      <c r="H401" s="32">
        <f>IFERROR(__xludf.DUMMYFUNCTION("""COMPUTED_VALUE"""),10.0)</f>
        <v>10</v>
      </c>
      <c r="I401" s="32">
        <f>IFERROR(__xludf.DUMMYFUNCTION("""COMPUTED_VALUE"""),10.0)</f>
        <v>10</v>
      </c>
      <c r="J401" s="32">
        <f>IFERROR(__xludf.DUMMYFUNCTION("""COMPUTED_VALUE"""),10.0)</f>
        <v>10</v>
      </c>
      <c r="K401" s="32">
        <f>IFERROR(__xludf.DUMMYFUNCTION("""COMPUTED_VALUE"""),100.0)</f>
        <v>100</v>
      </c>
      <c r="L401" s="32">
        <f>IFERROR(__xludf.DUMMYFUNCTION("""COMPUTED_VALUE"""),100.0)</f>
        <v>100</v>
      </c>
      <c r="M401" s="32" t="str">
        <f>IFERROR(__xludf.DUMMYFUNCTION("""COMPUTED_VALUE"""),"Chaos:Immune, Instant Death:Immune, Banishment:Immune, ")</f>
        <v>Chaos:Immune, Instant Death:Immune, Banishment:Immune, </v>
      </c>
      <c r="N401" s="32" t="str">
        <f>IFERROR(__xludf.DUMMYFUNCTION("""COMPUTED_VALUE"""),"Order:100, ")</f>
        <v>Order:100, </v>
      </c>
      <c r="O401" s="32"/>
      <c r="P401" s="32"/>
      <c r="Q401" s="32"/>
      <c r="R401" s="32"/>
      <c r="S401" s="32"/>
      <c r="T401" s="32"/>
      <c r="U401" s="32"/>
      <c r="V401" s="32"/>
      <c r="W401" s="32"/>
      <c r="X401" s="32"/>
      <c r="Y401" s="32"/>
      <c r="Z401" s="32"/>
      <c r="AA401" s="32"/>
      <c r="AB401" s="32"/>
      <c r="AC401" s="32"/>
      <c r="AD401" s="32"/>
      <c r="AE401" s="32"/>
      <c r="AF401" s="32"/>
      <c r="AG401" s="32"/>
      <c r="AH401" s="32"/>
      <c r="AI401" s="32"/>
      <c r="AJ401" s="32" t="str">
        <f>IFERROR(__xludf.DUMMYFUNCTION("""COMPUTED_VALUE"""),"Greater Dragon's Breath")</f>
        <v>Greater Dragon's Breath</v>
      </c>
      <c r="AK401" s="32" t="str">
        <f>IFERROR(__xludf.DUMMYFUNCTION("""COMPUTED_VALUE"""),"Bite")</f>
        <v>Bite</v>
      </c>
      <c r="AL401" s="32" t="str">
        <f>IFERROR(__xludf.DUMMYFUNCTION("""COMPUTED_VALUE"""),"Tail Smash")</f>
        <v>Tail Smash</v>
      </c>
      <c r="AM401" s="32" t="str">
        <f>IFERROR(__xludf.DUMMYFUNCTION("""COMPUTED_VALUE"""),"Claws")</f>
        <v>Claws</v>
      </c>
      <c r="AN401" s="32" t="str">
        <f>IFERROR(__xludf.DUMMYFUNCTION("""COMPUTED_VALUE"""),"Berserk")</f>
        <v>Berserk</v>
      </c>
      <c r="AO401" s="32" t="str">
        <f>IFERROR(__xludf.DUMMYFUNCTION("""COMPUTED_VALUE"""),"Multishot")</f>
        <v>Multishot</v>
      </c>
      <c r="AP401" s="32" t="str">
        <f>IFERROR(__xludf.DUMMYFUNCTION("""COMPUTED_VALUE"""),"Draconic Scream")</f>
        <v>Draconic Scream</v>
      </c>
      <c r="AQ401" s="32" t="str">
        <f>IFERROR(__xludf.DUMMYFUNCTION("""COMPUTED_VALUE"""),"Chaos Ward")</f>
        <v>Chaos Ward</v>
      </c>
      <c r="AR401" s="32" t="str">
        <f>IFERROR(__xludf.DUMMYFUNCTION("""COMPUTED_VALUE"""),"Shatter")</f>
        <v>Shatter</v>
      </c>
      <c r="AS401" s="32" t="str">
        <f>IFERROR(__xludf.DUMMYFUNCTION("""COMPUTED_VALUE"""),"Dimensional Quake")</f>
        <v>Dimensional Quake</v>
      </c>
      <c r="AT401" s="32" t="str">
        <f>IFERROR(__xludf.DUMMYFUNCTION("""COMPUTED_VALUE"""),"Dimension Portal")</f>
        <v>Dimension Portal</v>
      </c>
      <c r="AU401" s="32" t="str">
        <f>IFERROR(__xludf.DUMMYFUNCTION("""COMPUTED_VALUE"""),"Damage With A Cost.")</f>
        <v>Damage With A Cost.</v>
      </c>
      <c r="AV401" s="32" t="str">
        <f>IFERROR(__xludf.DUMMYFUNCTION("""COMPUTED_VALUE"""),"Swallow")</f>
        <v>Swallow</v>
      </c>
      <c r="AW401" s="32" t="str">
        <f>IFERROR(__xludf.DUMMYFUNCTION("""COMPUTED_VALUE"""),"Celestial Wrath")</f>
        <v>Celestial Wrath</v>
      </c>
      <c r="AX401" s="32"/>
      <c r="AY401" s="32"/>
      <c r="AZ401" s="32"/>
      <c r="BA401" s="32"/>
      <c r="BB401" s="32"/>
      <c r="BC401" s="32"/>
      <c r="BD401" s="32">
        <f>IFERROR(__xludf.DUMMYFUNCTION("""COMPUTED_VALUE"""),10.0)</f>
        <v>10</v>
      </c>
      <c r="BE401" s="32">
        <f>IFERROR(__xludf.DUMMYFUNCTION("""COMPUTED_VALUE"""),10.0)</f>
        <v>10</v>
      </c>
      <c r="BF401"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32" t="str">
        <f>IFERROR(__xludf.DUMMYFUNCTION("""COMPUTED_VALUE"""),"All")</f>
        <v>All</v>
      </c>
      <c r="BH401" s="32" t="str">
        <f>IFERROR(__xludf.DUMMYFUNCTION("""COMPUTED_VALUE"""),"Dragonscale Island")</f>
        <v>Dragonscale Island</v>
      </c>
      <c r="BI401" s="32"/>
      <c r="BJ401" s="32"/>
      <c r="BK401" s="32"/>
      <c r="BL401" s="32" t="b">
        <f>IFERROR(__xludf.DUMMYFUNCTION("""COMPUTED_VALUE"""),FALSE)</f>
        <v>0</v>
      </c>
      <c r="BM401" s="32"/>
      <c r="BN401" s="32"/>
      <c r="BO401" s="32"/>
      <c r="BP401" s="32"/>
      <c r="BQ401" s="32"/>
    </row>
    <row r="402">
      <c r="A402" s="32" t="str">
        <f>IFERROR(__xludf.DUMMYFUNCTION("""COMPUTED_VALUE"""),"Elder Dark Dragon")</f>
        <v>Elder Dark Dragon</v>
      </c>
      <c r="B402" s="32">
        <f>IFERROR(__xludf.DUMMYFUNCTION("""COMPUTED_VALUE"""),1.0)</f>
        <v>1</v>
      </c>
      <c r="C402" s="32"/>
      <c r="D402" s="32" t="str">
        <f>IFERROR(__xludf.DUMMYFUNCTION("""COMPUTED_VALUE"""),"Draconic")</f>
        <v>Draconic</v>
      </c>
      <c r="E402" s="32">
        <f>IFERROR(__xludf.DUMMYFUNCTION("""COMPUTED_VALUE"""),1010.0)</f>
        <v>1010</v>
      </c>
      <c r="F402" s="33">
        <f>IFERROR(__xludf.DUMMYFUNCTION("""COMPUTED_VALUE"""),1010.0)</f>
        <v>1010</v>
      </c>
      <c r="G402" s="32">
        <f>IFERROR(__xludf.DUMMYFUNCTION("""COMPUTED_VALUE"""),1010.0)</f>
        <v>1010</v>
      </c>
      <c r="H402" s="32">
        <f>IFERROR(__xludf.DUMMYFUNCTION("""COMPUTED_VALUE"""),10.0)</f>
        <v>10</v>
      </c>
      <c r="I402" s="32">
        <f>IFERROR(__xludf.DUMMYFUNCTION("""COMPUTED_VALUE"""),10.0)</f>
        <v>10</v>
      </c>
      <c r="J402" s="32">
        <f>IFERROR(__xludf.DUMMYFUNCTION("""COMPUTED_VALUE"""),10.0)</f>
        <v>10</v>
      </c>
      <c r="K402" s="32">
        <f>IFERROR(__xludf.DUMMYFUNCTION("""COMPUTED_VALUE"""),100.0)</f>
        <v>100</v>
      </c>
      <c r="L402" s="32">
        <f>IFERROR(__xludf.DUMMYFUNCTION("""COMPUTED_VALUE"""),100.0)</f>
        <v>100</v>
      </c>
      <c r="M402" s="32" t="str">
        <f>IFERROR(__xludf.DUMMYFUNCTION("""COMPUTED_VALUE"""),"Dark:Immune, Instant Death:Immune, Banishment:Immune, ")</f>
        <v>Dark:Immune, Instant Death:Immune, Banishment:Immune, </v>
      </c>
      <c r="N402" s="32" t="str">
        <f>IFERROR(__xludf.DUMMYFUNCTION("""COMPUTED_VALUE"""),"Light:100, ")</f>
        <v>Light:100, </v>
      </c>
      <c r="O402" s="32"/>
      <c r="P402" s="32"/>
      <c r="Q402" s="32"/>
      <c r="R402" s="32"/>
      <c r="S402" s="32"/>
      <c r="T402" s="32"/>
      <c r="U402" s="32"/>
      <c r="V402" s="32"/>
      <c r="W402" s="32"/>
      <c r="X402" s="32"/>
      <c r="Y402" s="32"/>
      <c r="Z402" s="32"/>
      <c r="AA402" s="32"/>
      <c r="AB402" s="32"/>
      <c r="AC402" s="32"/>
      <c r="AD402" s="32"/>
      <c r="AE402" s="32"/>
      <c r="AF402" s="32"/>
      <c r="AG402" s="32"/>
      <c r="AH402" s="32"/>
      <c r="AI402" s="32"/>
      <c r="AJ402" s="32" t="str">
        <f>IFERROR(__xludf.DUMMYFUNCTION("""COMPUTED_VALUE"""),"Greater Dragon's Breath")</f>
        <v>Greater Dragon's Breath</v>
      </c>
      <c r="AK402" s="32" t="str">
        <f>IFERROR(__xludf.DUMMYFUNCTION("""COMPUTED_VALUE"""),"Bite")</f>
        <v>Bite</v>
      </c>
      <c r="AL402" s="32" t="str">
        <f>IFERROR(__xludf.DUMMYFUNCTION("""COMPUTED_VALUE"""),"Tail Smash")</f>
        <v>Tail Smash</v>
      </c>
      <c r="AM402" s="32" t="str">
        <f>IFERROR(__xludf.DUMMYFUNCTION("""COMPUTED_VALUE"""),"Claws")</f>
        <v>Claws</v>
      </c>
      <c r="AN402" s="32" t="str">
        <f>IFERROR(__xludf.DUMMYFUNCTION("""COMPUTED_VALUE"""),"Berserk")</f>
        <v>Berserk</v>
      </c>
      <c r="AO402" s="32" t="str">
        <f>IFERROR(__xludf.DUMMYFUNCTION("""COMPUTED_VALUE"""),"Multishot")</f>
        <v>Multishot</v>
      </c>
      <c r="AP402" s="32" t="str">
        <f>IFERROR(__xludf.DUMMYFUNCTION("""COMPUTED_VALUE"""),"Draconic Scream")</f>
        <v>Draconic Scream</v>
      </c>
      <c r="AQ402" s="32" t="str">
        <f>IFERROR(__xludf.DUMMYFUNCTION("""COMPUTED_VALUE"""),"Darkest Abyss")</f>
        <v>Darkest Abyss</v>
      </c>
      <c r="AR402" s="32" t="str">
        <f>IFERROR(__xludf.DUMMYFUNCTION("""COMPUTED_VALUE"""),"Devolve")</f>
        <v>Devolve</v>
      </c>
      <c r="AS402" s="32" t="str">
        <f>IFERROR(__xludf.DUMMYFUNCTION("""COMPUTED_VALUE"""),"Dark Curse")</f>
        <v>Dark Curse</v>
      </c>
      <c r="AT402" s="32" t="str">
        <f>IFERROR(__xludf.DUMMYFUNCTION("""COMPUTED_VALUE"""),"Celestial Wrath")</f>
        <v>Celestial Wrath</v>
      </c>
      <c r="AU402" s="32"/>
      <c r="AV402" s="32"/>
      <c r="AW402" s="32"/>
      <c r="AX402" s="32"/>
      <c r="AY402" s="32"/>
      <c r="AZ402" s="32"/>
      <c r="BA402" s="32"/>
      <c r="BB402" s="32"/>
      <c r="BC402" s="32"/>
      <c r="BD402" s="32">
        <f>IFERROR(__xludf.DUMMYFUNCTION("""COMPUTED_VALUE"""),10.0)</f>
        <v>10</v>
      </c>
      <c r="BE402" s="32">
        <f>IFERROR(__xludf.DUMMYFUNCTION("""COMPUTED_VALUE"""),10.0)</f>
        <v>10</v>
      </c>
      <c r="BF402"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32" t="str">
        <f>IFERROR(__xludf.DUMMYFUNCTION("""COMPUTED_VALUE"""),"All")</f>
        <v>All</v>
      </c>
      <c r="BH402" s="32" t="str">
        <f>IFERROR(__xludf.DUMMYFUNCTION("""COMPUTED_VALUE"""),"Dragonscale Island")</f>
        <v>Dragonscale Island</v>
      </c>
      <c r="BI402" s="32"/>
      <c r="BJ402" s="32"/>
      <c r="BK402" s="32"/>
      <c r="BL402" s="32" t="b">
        <f>IFERROR(__xludf.DUMMYFUNCTION("""COMPUTED_VALUE"""),FALSE)</f>
        <v>0</v>
      </c>
      <c r="BM402" s="32"/>
      <c r="BN402" s="32"/>
      <c r="BO402" s="32"/>
      <c r="BP402" s="32"/>
      <c r="BQ402" s="32"/>
    </row>
    <row r="403">
      <c r="A403" s="32" t="str">
        <f>IFERROR(__xludf.DUMMYFUNCTION("""COMPUTED_VALUE"""),"Elder Delta Dragon")</f>
        <v>Elder Delta Dragon</v>
      </c>
      <c r="B403" s="32">
        <f>IFERROR(__xludf.DUMMYFUNCTION("""COMPUTED_VALUE"""),1.0)</f>
        <v>1</v>
      </c>
      <c r="C403" s="32"/>
      <c r="D403" s="32" t="str">
        <f>IFERROR(__xludf.DUMMYFUNCTION("""COMPUTED_VALUE"""),"Draconic")</f>
        <v>Draconic</v>
      </c>
      <c r="E403" s="32">
        <f>IFERROR(__xludf.DUMMYFUNCTION("""COMPUTED_VALUE"""),1010.0)</f>
        <v>1010</v>
      </c>
      <c r="F403" s="33">
        <f>IFERROR(__xludf.DUMMYFUNCTION("""COMPUTED_VALUE"""),1010.0)</f>
        <v>1010</v>
      </c>
      <c r="G403" s="32">
        <f>IFERROR(__xludf.DUMMYFUNCTION("""COMPUTED_VALUE"""),1010.0)</f>
        <v>1010</v>
      </c>
      <c r="H403" s="32">
        <f>IFERROR(__xludf.DUMMYFUNCTION("""COMPUTED_VALUE"""),10.0)</f>
        <v>10</v>
      </c>
      <c r="I403" s="32">
        <f>IFERROR(__xludf.DUMMYFUNCTION("""COMPUTED_VALUE"""),10.0)</f>
        <v>10</v>
      </c>
      <c r="J403" s="32">
        <f>IFERROR(__xludf.DUMMYFUNCTION("""COMPUTED_VALUE"""),10.0)</f>
        <v>10</v>
      </c>
      <c r="K403" s="32">
        <f>IFERROR(__xludf.DUMMYFUNCTION("""COMPUTED_VALUE"""),100.0)</f>
        <v>100</v>
      </c>
      <c r="L403" s="32">
        <f>IFERROR(__xludf.DUMMYFUNCTION("""COMPUTED_VALUE"""),100.0)</f>
        <v>100</v>
      </c>
      <c r="M403" s="32" t="str">
        <f>IFERROR(__xludf.DUMMYFUNCTION("""COMPUTED_VALUE"""),"Instant Death:Immune, Banishment:Immune, ")</f>
        <v>Instant Death:Immune, Banishment:Immune, </v>
      </c>
      <c r="N403" s="32" t="str">
        <f>IFERROR(__xludf.DUMMYFUNCTION("""COMPUTED_VALUE"""),"")</f>
        <v/>
      </c>
      <c r="O403" s="32"/>
      <c r="P403" s="32"/>
      <c r="Q403" s="32"/>
      <c r="R403" s="32"/>
      <c r="S403" s="32"/>
      <c r="T403" s="32"/>
      <c r="U403" s="32"/>
      <c r="V403" s="32"/>
      <c r="W403" s="32"/>
      <c r="X403" s="32"/>
      <c r="Y403" s="32"/>
      <c r="Z403" s="32"/>
      <c r="AA403" s="32"/>
      <c r="AB403" s="32"/>
      <c r="AC403" s="32"/>
      <c r="AD403" s="32"/>
      <c r="AE403" s="32"/>
      <c r="AF403" s="32"/>
      <c r="AG403" s="32"/>
      <c r="AH403" s="32"/>
      <c r="AI403" s="32"/>
      <c r="AJ403" s="32" t="str">
        <f>IFERROR(__xludf.DUMMYFUNCTION("""COMPUTED_VALUE"""),"Greater Dragon's Breath")</f>
        <v>Greater Dragon's Breath</v>
      </c>
      <c r="AK403" s="32" t="str">
        <f>IFERROR(__xludf.DUMMYFUNCTION("""COMPUTED_VALUE"""),"Bite")</f>
        <v>Bite</v>
      </c>
      <c r="AL403" s="32" t="str">
        <f>IFERROR(__xludf.DUMMYFUNCTION("""COMPUTED_VALUE"""),"Tail Smash")</f>
        <v>Tail Smash</v>
      </c>
      <c r="AM403" s="32" t="str">
        <f>IFERROR(__xludf.DUMMYFUNCTION("""COMPUTED_VALUE"""),"Claws")</f>
        <v>Claws</v>
      </c>
      <c r="AN403" s="32" t="str">
        <f>IFERROR(__xludf.DUMMYFUNCTION("""COMPUTED_VALUE"""),"Berserk")</f>
        <v>Berserk</v>
      </c>
      <c r="AO403" s="32" t="str">
        <f>IFERROR(__xludf.DUMMYFUNCTION("""COMPUTED_VALUE"""),"Multishot")</f>
        <v>Multishot</v>
      </c>
      <c r="AP403" s="32" t="str">
        <f>IFERROR(__xludf.DUMMYFUNCTION("""COMPUTED_VALUE"""),"Draconic Scream")</f>
        <v>Draconic Scream</v>
      </c>
      <c r="AQ403" s="32" t="str">
        <f>IFERROR(__xludf.DUMMYFUNCTION("""COMPUTED_VALUE"""),"Delta World")</f>
        <v>Delta World</v>
      </c>
      <c r="AR403" s="32" t="str">
        <f>IFERROR(__xludf.DUMMYFUNCTION("""COMPUTED_VALUE"""),"Chaincast")</f>
        <v>Chaincast</v>
      </c>
      <c r="AS403" s="32" t="str">
        <f>IFERROR(__xludf.DUMMYFUNCTION("""COMPUTED_VALUE"""),"Delta Rock &amp; Roll")</f>
        <v>Delta Rock &amp; Roll</v>
      </c>
      <c r="AT403" s="32" t="str">
        <f>IFERROR(__xludf.DUMMYFUNCTION("""COMPUTED_VALUE"""),"Elemental Storm")</f>
        <v>Elemental Storm</v>
      </c>
      <c r="AU403" s="32" t="str">
        <f>IFERROR(__xludf.DUMMYFUNCTION("""COMPUTED_VALUE"""),"Dreading Storm")</f>
        <v>Dreading Storm</v>
      </c>
      <c r="AV403" s="32" t="str">
        <f>IFERROR(__xludf.DUMMYFUNCTION("""COMPUTED_VALUE"""),"Stun Negation")</f>
        <v>Stun Negation</v>
      </c>
      <c r="AW403" s="32" t="str">
        <f>IFERROR(__xludf.DUMMYFUNCTION("""COMPUTED_VALUE"""),"Celestial Wrath")</f>
        <v>Celestial Wrath</v>
      </c>
      <c r="AX403" s="32"/>
      <c r="AY403" s="32"/>
      <c r="AZ403" s="32"/>
      <c r="BA403" s="32"/>
      <c r="BB403" s="32"/>
      <c r="BC403" s="32"/>
      <c r="BD403" s="32">
        <f>IFERROR(__xludf.DUMMYFUNCTION("""COMPUTED_VALUE"""),10.0)</f>
        <v>10</v>
      </c>
      <c r="BE403" s="32">
        <f>IFERROR(__xludf.DUMMYFUNCTION("""COMPUTED_VALUE"""),10.0)</f>
        <v>10</v>
      </c>
      <c r="BF403"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32" t="str">
        <f>IFERROR(__xludf.DUMMYFUNCTION("""COMPUTED_VALUE"""),"All")</f>
        <v>All</v>
      </c>
      <c r="BH403" s="32" t="str">
        <f>IFERROR(__xludf.DUMMYFUNCTION("""COMPUTED_VALUE"""),"Dragonscale Island")</f>
        <v>Dragonscale Island</v>
      </c>
      <c r="BI403" s="32"/>
      <c r="BJ403" s="32"/>
      <c r="BK403" s="32"/>
      <c r="BL403" s="32" t="b">
        <f>IFERROR(__xludf.DUMMYFUNCTION("""COMPUTED_VALUE"""),FALSE)</f>
        <v>0</v>
      </c>
      <c r="BM403" s="32"/>
      <c r="BN403" s="32"/>
      <c r="BO403" s="32"/>
      <c r="BP403" s="32"/>
      <c r="BQ403" s="32"/>
    </row>
    <row r="404">
      <c r="A404" s="32" t="str">
        <f>IFERROR(__xludf.DUMMYFUNCTION("""COMPUTED_VALUE"""),"Elder Forest Dragon")</f>
        <v>Elder Forest Dragon</v>
      </c>
      <c r="B404" s="32">
        <f>IFERROR(__xludf.DUMMYFUNCTION("""COMPUTED_VALUE"""),1.0)</f>
        <v>1</v>
      </c>
      <c r="C404" s="32"/>
      <c r="D404" s="32" t="str">
        <f>IFERROR(__xludf.DUMMYFUNCTION("""COMPUTED_VALUE"""),"Draconic")</f>
        <v>Draconic</v>
      </c>
      <c r="E404" s="32">
        <f>IFERROR(__xludf.DUMMYFUNCTION("""COMPUTED_VALUE"""),1010.0)</f>
        <v>1010</v>
      </c>
      <c r="F404" s="33">
        <f>IFERROR(__xludf.DUMMYFUNCTION("""COMPUTED_VALUE"""),1010.0)</f>
        <v>1010</v>
      </c>
      <c r="G404" s="32">
        <f>IFERROR(__xludf.DUMMYFUNCTION("""COMPUTED_VALUE"""),1010.0)</f>
        <v>1010</v>
      </c>
      <c r="H404" s="32">
        <f>IFERROR(__xludf.DUMMYFUNCTION("""COMPUTED_VALUE"""),10.0)</f>
        <v>10</v>
      </c>
      <c r="I404" s="32">
        <f>IFERROR(__xludf.DUMMYFUNCTION("""COMPUTED_VALUE"""),10.0)</f>
        <v>10</v>
      </c>
      <c r="J404" s="32">
        <f>IFERROR(__xludf.DUMMYFUNCTION("""COMPUTED_VALUE"""),10.0)</f>
        <v>10</v>
      </c>
      <c r="K404" s="32">
        <f>IFERROR(__xludf.DUMMYFUNCTION("""COMPUTED_VALUE"""),100.0)</f>
        <v>100</v>
      </c>
      <c r="L404" s="32">
        <f>IFERROR(__xludf.DUMMYFUNCTION("""COMPUTED_VALUE"""),100.0)</f>
        <v>100</v>
      </c>
      <c r="M404" s="32" t="str">
        <f>IFERROR(__xludf.DUMMYFUNCTION("""COMPUTED_VALUE"""),"Nature:Immune, Instant Death:Immune, Banishment:Immune, ")</f>
        <v>Nature:Immune, Instant Death:Immune, Banishment:Immune, </v>
      </c>
      <c r="N404" s="32" t="str">
        <f>IFERROR(__xludf.DUMMYFUNCTION("""COMPUTED_VALUE"""),"Fire:100, Storm:100, ")</f>
        <v>Fire:100, Storm:100, </v>
      </c>
      <c r="O404" s="32"/>
      <c r="P404" s="32"/>
      <c r="Q404" s="32"/>
      <c r="R404" s="32"/>
      <c r="S404" s="32"/>
      <c r="T404" s="32"/>
      <c r="U404" s="32"/>
      <c r="V404" s="32"/>
      <c r="W404" s="32"/>
      <c r="X404" s="32"/>
      <c r="Y404" s="32"/>
      <c r="Z404" s="32"/>
      <c r="AA404" s="32"/>
      <c r="AB404" s="32"/>
      <c r="AC404" s="32"/>
      <c r="AD404" s="32"/>
      <c r="AE404" s="32"/>
      <c r="AF404" s="32"/>
      <c r="AG404" s="32"/>
      <c r="AH404" s="32"/>
      <c r="AI404" s="32"/>
      <c r="AJ404" s="32" t="str">
        <f>IFERROR(__xludf.DUMMYFUNCTION("""COMPUTED_VALUE"""),"Greater Dragon's Breath")</f>
        <v>Greater Dragon's Breath</v>
      </c>
      <c r="AK404" s="32" t="str">
        <f>IFERROR(__xludf.DUMMYFUNCTION("""COMPUTED_VALUE"""),"Bite")</f>
        <v>Bite</v>
      </c>
      <c r="AL404" s="32" t="str">
        <f>IFERROR(__xludf.DUMMYFUNCTION("""COMPUTED_VALUE"""),"Tail Smash")</f>
        <v>Tail Smash</v>
      </c>
      <c r="AM404" s="32" t="str">
        <f>IFERROR(__xludf.DUMMYFUNCTION("""COMPUTED_VALUE"""),"Claws")</f>
        <v>Claws</v>
      </c>
      <c r="AN404" s="32" t="str">
        <f>IFERROR(__xludf.DUMMYFUNCTION("""COMPUTED_VALUE"""),"Berserk")</f>
        <v>Berserk</v>
      </c>
      <c r="AO404" s="32" t="str">
        <f>IFERROR(__xludf.DUMMYFUNCTION("""COMPUTED_VALUE"""),"Multishot")</f>
        <v>Multishot</v>
      </c>
      <c r="AP404" s="32" t="str">
        <f>IFERROR(__xludf.DUMMYFUNCTION("""COMPUTED_VALUE"""),"Draconic Scream")</f>
        <v>Draconic Scream</v>
      </c>
      <c r="AQ404" s="32" t="str">
        <f>IFERROR(__xludf.DUMMYFUNCTION("""COMPUTED_VALUE"""),"The Orb of Life")</f>
        <v>The Orb of Life</v>
      </c>
      <c r="AR404" s="32" t="str">
        <f>IFERROR(__xludf.DUMMYFUNCTION("""COMPUTED_VALUE"""),"Regrowth")</f>
        <v>Regrowth</v>
      </c>
      <c r="AS404" s="32" t="str">
        <f>IFERROR(__xludf.DUMMYFUNCTION("""COMPUTED_VALUE"""),"Entangle")</f>
        <v>Entangle</v>
      </c>
      <c r="AT404" s="32" t="str">
        <f>IFERROR(__xludf.DUMMYFUNCTION("""COMPUTED_VALUE"""),"Nature's Embrace")</f>
        <v>Nature's Embrace</v>
      </c>
      <c r="AU404" s="32" t="str">
        <f>IFERROR(__xludf.DUMMYFUNCTION("""COMPUTED_VALUE"""),"Celestial Wrath")</f>
        <v>Celestial Wrath</v>
      </c>
      <c r="AV404" s="32"/>
      <c r="AW404" s="32"/>
      <c r="AX404" s="32"/>
      <c r="AY404" s="32"/>
      <c r="AZ404" s="32"/>
      <c r="BA404" s="32"/>
      <c r="BB404" s="32"/>
      <c r="BC404" s="32"/>
      <c r="BD404" s="32">
        <f>IFERROR(__xludf.DUMMYFUNCTION("""COMPUTED_VALUE"""),10.0)</f>
        <v>10</v>
      </c>
      <c r="BE404" s="32">
        <f>IFERROR(__xludf.DUMMYFUNCTION("""COMPUTED_VALUE"""),10.0)</f>
        <v>10</v>
      </c>
      <c r="BF404"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32" t="str">
        <f>IFERROR(__xludf.DUMMYFUNCTION("""COMPUTED_VALUE"""),"All")</f>
        <v>All</v>
      </c>
      <c r="BH404" s="32" t="str">
        <f>IFERROR(__xludf.DUMMYFUNCTION("""COMPUTED_VALUE"""),"Dragonscale Island")</f>
        <v>Dragonscale Island</v>
      </c>
      <c r="BI404" s="32"/>
      <c r="BJ404" s="32"/>
      <c r="BK404" s="32"/>
      <c r="BL404" s="32" t="b">
        <f>IFERROR(__xludf.DUMMYFUNCTION("""COMPUTED_VALUE"""),FALSE)</f>
        <v>0</v>
      </c>
      <c r="BM404" s="32"/>
      <c r="BN404" s="32"/>
      <c r="BO404" s="32"/>
      <c r="BP404" s="32"/>
      <c r="BQ404" s="32"/>
    </row>
    <row r="405">
      <c r="A405" s="32" t="str">
        <f>IFERROR(__xludf.DUMMYFUNCTION("""COMPUTED_VALUE"""),"Elder Frost Dragon")</f>
        <v>Elder Frost Dragon</v>
      </c>
      <c r="B405" s="32">
        <f>IFERROR(__xludf.DUMMYFUNCTION("""COMPUTED_VALUE"""),1.0)</f>
        <v>1</v>
      </c>
      <c r="C405" s="32"/>
      <c r="D405" s="32" t="str">
        <f>IFERROR(__xludf.DUMMYFUNCTION("""COMPUTED_VALUE"""),"Draconic")</f>
        <v>Draconic</v>
      </c>
      <c r="E405" s="32">
        <f>IFERROR(__xludf.DUMMYFUNCTION("""COMPUTED_VALUE"""),1010.0)</f>
        <v>1010</v>
      </c>
      <c r="F405" s="33">
        <f>IFERROR(__xludf.DUMMYFUNCTION("""COMPUTED_VALUE"""),1010.0)</f>
        <v>1010</v>
      </c>
      <c r="G405" s="32">
        <f>IFERROR(__xludf.DUMMYFUNCTION("""COMPUTED_VALUE"""),1010.0)</f>
        <v>1010</v>
      </c>
      <c r="H405" s="32">
        <f>IFERROR(__xludf.DUMMYFUNCTION("""COMPUTED_VALUE"""),10.0)</f>
        <v>10</v>
      </c>
      <c r="I405" s="32">
        <f>IFERROR(__xludf.DUMMYFUNCTION("""COMPUTED_VALUE"""),10.0)</f>
        <v>10</v>
      </c>
      <c r="J405" s="32">
        <f>IFERROR(__xludf.DUMMYFUNCTION("""COMPUTED_VALUE"""),10.0)</f>
        <v>10</v>
      </c>
      <c r="K405" s="32">
        <f>IFERROR(__xludf.DUMMYFUNCTION("""COMPUTED_VALUE"""),100.0)</f>
        <v>100</v>
      </c>
      <c r="L405" s="32">
        <f>IFERROR(__xludf.DUMMYFUNCTION("""COMPUTED_VALUE"""),100.0)</f>
        <v>100</v>
      </c>
      <c r="M405" s="32" t="str">
        <f>IFERROR(__xludf.DUMMYFUNCTION("""COMPUTED_VALUE"""),"Water:Immune, Instant Death:Immune, Banishment:Immune, ")</f>
        <v>Water:Immune, Instant Death:Immune, Banishment:Immune, </v>
      </c>
      <c r="N405" s="32" t="str">
        <f>IFERROR(__xludf.DUMMYFUNCTION("""COMPUTED_VALUE"""),"Fire:100, Nature:100, ")</f>
        <v>Fire:100, Nature:100, </v>
      </c>
      <c r="O405" s="32"/>
      <c r="P405" s="32"/>
      <c r="Q405" s="32"/>
      <c r="R405" s="32"/>
      <c r="S405" s="32"/>
      <c r="T405" s="32"/>
      <c r="U405" s="32"/>
      <c r="V405" s="32"/>
      <c r="W405" s="32"/>
      <c r="X405" s="32"/>
      <c r="Y405" s="32"/>
      <c r="Z405" s="32"/>
      <c r="AA405" s="32"/>
      <c r="AB405" s="32"/>
      <c r="AC405" s="32"/>
      <c r="AD405" s="32"/>
      <c r="AE405" s="32"/>
      <c r="AF405" s="32"/>
      <c r="AG405" s="32"/>
      <c r="AH405" s="32"/>
      <c r="AI405" s="32"/>
      <c r="AJ405" s="32" t="str">
        <f>IFERROR(__xludf.DUMMYFUNCTION("""COMPUTED_VALUE"""),"Greater Dragon's Breath")</f>
        <v>Greater Dragon's Breath</v>
      </c>
      <c r="AK405" s="32" t="str">
        <f>IFERROR(__xludf.DUMMYFUNCTION("""COMPUTED_VALUE"""),"Bite")</f>
        <v>Bite</v>
      </c>
      <c r="AL405" s="32" t="str">
        <f>IFERROR(__xludf.DUMMYFUNCTION("""COMPUTED_VALUE"""),"Tail Smash")</f>
        <v>Tail Smash</v>
      </c>
      <c r="AM405" s="32" t="str">
        <f>IFERROR(__xludf.DUMMYFUNCTION("""COMPUTED_VALUE"""),"Claws")</f>
        <v>Claws</v>
      </c>
      <c r="AN405" s="32" t="str">
        <f>IFERROR(__xludf.DUMMYFUNCTION("""COMPUTED_VALUE"""),"Berserk")</f>
        <v>Berserk</v>
      </c>
      <c r="AO405" s="32" t="str">
        <f>IFERROR(__xludf.DUMMYFUNCTION("""COMPUTED_VALUE"""),"Multishot")</f>
        <v>Multishot</v>
      </c>
      <c r="AP405" s="32" t="str">
        <f>IFERROR(__xludf.DUMMYFUNCTION("""COMPUTED_VALUE"""),"Draconic Scream")</f>
        <v>Draconic Scream</v>
      </c>
      <c r="AQ405" s="32" t="str">
        <f>IFERROR(__xludf.DUMMYFUNCTION("""COMPUTED_VALUE"""),"Freezing Fog")</f>
        <v>Freezing Fog</v>
      </c>
      <c r="AR405" s="32" t="str">
        <f>IFERROR(__xludf.DUMMYFUNCTION("""COMPUTED_VALUE"""),"HailStorm")</f>
        <v>HailStorm</v>
      </c>
      <c r="AS405" s="32" t="str">
        <f>IFERROR(__xludf.DUMMYFUNCTION("""COMPUTED_VALUE"""),"Blizzard")</f>
        <v>Blizzard</v>
      </c>
      <c r="AT405" s="32" t="str">
        <f>IFERROR(__xludf.DUMMYFUNCTION("""COMPUTED_VALUE"""),"Celestial Wrath")</f>
        <v>Celestial Wrath</v>
      </c>
      <c r="AU405" s="32"/>
      <c r="AV405" s="32"/>
      <c r="AW405" s="32"/>
      <c r="AX405" s="32"/>
      <c r="AY405" s="32"/>
      <c r="AZ405" s="32"/>
      <c r="BA405" s="32"/>
      <c r="BB405" s="32"/>
      <c r="BC405" s="32"/>
      <c r="BD405" s="32">
        <f>IFERROR(__xludf.DUMMYFUNCTION("""COMPUTED_VALUE"""),10.0)</f>
        <v>10</v>
      </c>
      <c r="BE405" s="32">
        <f>IFERROR(__xludf.DUMMYFUNCTION("""COMPUTED_VALUE"""),10.0)</f>
        <v>10</v>
      </c>
      <c r="BF405" s="32"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32" t="str">
        <f>IFERROR(__xludf.DUMMYFUNCTION("""COMPUTED_VALUE"""),"All")</f>
        <v>All</v>
      </c>
      <c r="BH405" s="32" t="str">
        <f>IFERROR(__xludf.DUMMYFUNCTION("""COMPUTED_VALUE"""),"Dragonscale Island")</f>
        <v>Dragonscale Island</v>
      </c>
      <c r="BI405" s="32"/>
      <c r="BJ405" s="32"/>
      <c r="BK405" s="32"/>
      <c r="BL405" s="32" t="b">
        <f>IFERROR(__xludf.DUMMYFUNCTION("""COMPUTED_VALUE"""),FALSE)</f>
        <v>0</v>
      </c>
      <c r="BM405" s="32"/>
      <c r="BN405" s="32"/>
      <c r="BO405" s="32"/>
      <c r="BP405" s="32"/>
      <c r="BQ405" s="32"/>
    </row>
    <row r="406">
      <c r="A406" s="32" t="str">
        <f>IFERROR(__xludf.DUMMYFUNCTION("""COMPUTED_VALUE"""),"Elder Soul Dragon")</f>
        <v>Elder Soul Dragon</v>
      </c>
      <c r="B406" s="32">
        <f>IFERROR(__xludf.DUMMYFUNCTION("""COMPUTED_VALUE"""),1.0)</f>
        <v>1</v>
      </c>
      <c r="C406" s="32"/>
      <c r="D406" s="32" t="str">
        <f>IFERROR(__xludf.DUMMYFUNCTION("""COMPUTED_VALUE"""),"Draconic")</f>
        <v>Draconic</v>
      </c>
      <c r="E406" s="32">
        <f>IFERROR(__xludf.DUMMYFUNCTION("""COMPUTED_VALUE"""),1010.0)</f>
        <v>1010</v>
      </c>
      <c r="F406" s="33">
        <f>IFERROR(__xludf.DUMMYFUNCTION("""COMPUTED_VALUE"""),1010.0)</f>
        <v>1010</v>
      </c>
      <c r="G406" s="32">
        <f>IFERROR(__xludf.DUMMYFUNCTION("""COMPUTED_VALUE"""),1010.0)</f>
        <v>1010</v>
      </c>
      <c r="H406" s="32">
        <f>IFERROR(__xludf.DUMMYFUNCTION("""COMPUTED_VALUE"""),10.0)</f>
        <v>10</v>
      </c>
      <c r="I406" s="32">
        <f>IFERROR(__xludf.DUMMYFUNCTION("""COMPUTED_VALUE"""),10.0)</f>
        <v>10</v>
      </c>
      <c r="J406" s="32">
        <f>IFERROR(__xludf.DUMMYFUNCTION("""COMPUTED_VALUE"""),10.0)</f>
        <v>10</v>
      </c>
      <c r="K406" s="32">
        <f>IFERROR(__xludf.DUMMYFUNCTION("""COMPUTED_VALUE"""),100.0)</f>
        <v>100</v>
      </c>
      <c r="L406" s="32">
        <f>IFERROR(__xludf.DUMMYFUNCTION("""COMPUTED_VALUE"""),100.0)</f>
        <v>100</v>
      </c>
      <c r="M406" s="32" t="str">
        <f>IFERROR(__xludf.DUMMYFUNCTION("""COMPUTED_VALUE"""),"Dark:Immune, Instant Death:Immune, Banishment:Immune, ")</f>
        <v>Dark:Immune, Instant Death:Immune, Banishment:Immune, </v>
      </c>
      <c r="N406" s="32" t="str">
        <f>IFERROR(__xludf.DUMMYFUNCTION("""COMPUTED_VALUE"""),"Fire:100, Light:100, ")</f>
        <v>Fire:100, Light:100, </v>
      </c>
      <c r="O406" s="32"/>
      <c r="P406" s="32"/>
      <c r="Q406" s="32"/>
      <c r="R406" s="32"/>
      <c r="S406" s="32"/>
      <c r="T406" s="32"/>
      <c r="U406" s="32"/>
      <c r="V406" s="32"/>
      <c r="W406" s="32"/>
      <c r="X406" s="32"/>
      <c r="Y406" s="32"/>
      <c r="Z406" s="32"/>
      <c r="AA406" s="32"/>
      <c r="AB406" s="32"/>
      <c r="AC406" s="32"/>
      <c r="AD406" s="32"/>
      <c r="AE406" s="32"/>
      <c r="AF406" s="32"/>
      <c r="AG406" s="32"/>
      <c r="AH406" s="32"/>
      <c r="AI406" s="32"/>
      <c r="AJ406" s="32" t="str">
        <f>IFERROR(__xludf.DUMMYFUNCTION("""COMPUTED_VALUE"""),"Greater Dragon's Breath")</f>
        <v>Greater Dragon's Breath</v>
      </c>
      <c r="AK406" s="32" t="str">
        <f>IFERROR(__xludf.DUMMYFUNCTION("""COMPUTED_VALUE"""),"Bite")</f>
        <v>Bite</v>
      </c>
      <c r="AL406" s="32" t="str">
        <f>IFERROR(__xludf.DUMMYFUNCTION("""COMPUTED_VALUE"""),"Tail Smash")</f>
        <v>Tail Smash</v>
      </c>
      <c r="AM406" s="32" t="str">
        <f>IFERROR(__xludf.DUMMYFUNCTION("""COMPUTED_VALUE"""),"Claws")</f>
        <v>Claws</v>
      </c>
      <c r="AN406" s="32" t="str">
        <f>IFERROR(__xludf.DUMMYFUNCTION("""COMPUTED_VALUE"""),"Berserk")</f>
        <v>Berserk</v>
      </c>
      <c r="AO406" s="32" t="str">
        <f>IFERROR(__xludf.DUMMYFUNCTION("""COMPUTED_VALUE"""),"Multishot")</f>
        <v>Multishot</v>
      </c>
      <c r="AP406" s="32" t="str">
        <f>IFERROR(__xludf.DUMMYFUNCTION("""COMPUTED_VALUE"""),"Draconic Scream")</f>
        <v>Draconic Scream</v>
      </c>
      <c r="AQ406" s="32" t="str">
        <f>IFERROR(__xludf.DUMMYFUNCTION("""COMPUTED_VALUE"""),"Spirit Fog")</f>
        <v>Spirit Fog</v>
      </c>
      <c r="AR406" s="32" t="str">
        <f>IFERROR(__xludf.DUMMYFUNCTION("""COMPUTED_VALUE"""),"Rain of Souls")</f>
        <v>Rain of Souls</v>
      </c>
      <c r="AS406" s="32" t="str">
        <f>IFERROR(__xludf.DUMMYFUNCTION("""COMPUTED_VALUE"""),"Soul Trap")</f>
        <v>Soul Trap</v>
      </c>
      <c r="AT406" s="32" t="str">
        <f>IFERROR(__xludf.DUMMYFUNCTION("""COMPUTED_VALUE"""),"Celestial Wrath")</f>
        <v>Celestial Wrath</v>
      </c>
      <c r="AU406" s="32"/>
      <c r="AV406" s="32"/>
      <c r="AW406" s="32"/>
      <c r="AX406" s="32"/>
      <c r="AY406" s="32"/>
      <c r="AZ406" s="32"/>
      <c r="BA406" s="32"/>
      <c r="BB406" s="32"/>
      <c r="BC406" s="32"/>
      <c r="BD406" s="32">
        <f>IFERROR(__xludf.DUMMYFUNCTION("""COMPUTED_VALUE"""),10.0)</f>
        <v>10</v>
      </c>
      <c r="BE406" s="32">
        <f>IFERROR(__xludf.DUMMYFUNCTION("""COMPUTED_VALUE"""),10.0)</f>
        <v>10</v>
      </c>
      <c r="BF406" s="32"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32" t="str">
        <f>IFERROR(__xludf.DUMMYFUNCTION("""COMPUTED_VALUE"""),"All")</f>
        <v>All</v>
      </c>
      <c r="BH406" s="32" t="str">
        <f>IFERROR(__xludf.DUMMYFUNCTION("""COMPUTED_VALUE"""),"Dragonscale Island")</f>
        <v>Dragonscale Island</v>
      </c>
      <c r="BI406" s="32"/>
      <c r="BJ406" s="32"/>
      <c r="BK406" s="32"/>
      <c r="BL406" s="32" t="b">
        <f>IFERROR(__xludf.DUMMYFUNCTION("""COMPUTED_VALUE"""),FALSE)</f>
        <v>0</v>
      </c>
      <c r="BM406" s="32"/>
      <c r="BN406" s="32"/>
      <c r="BO406" s="32"/>
      <c r="BP406" s="32"/>
      <c r="BQ406" s="32"/>
    </row>
    <row r="407">
      <c r="A407" s="32" t="str">
        <f>IFERROR(__xludf.DUMMYFUNCTION("""COMPUTED_VALUE"""),"Elder Spirit Dragon")</f>
        <v>Elder Spirit Dragon</v>
      </c>
      <c r="B407" s="32">
        <f>IFERROR(__xludf.DUMMYFUNCTION("""COMPUTED_VALUE"""),1.0)</f>
        <v>1</v>
      </c>
      <c r="C407" s="32"/>
      <c r="D407" s="32" t="str">
        <f>IFERROR(__xludf.DUMMYFUNCTION("""COMPUTED_VALUE"""),"Draconic")</f>
        <v>Draconic</v>
      </c>
      <c r="E407" s="32">
        <f>IFERROR(__xludf.DUMMYFUNCTION("""COMPUTED_VALUE"""),1010.0)</f>
        <v>1010</v>
      </c>
      <c r="F407" s="33">
        <f>IFERROR(__xludf.DUMMYFUNCTION("""COMPUTED_VALUE"""),1010.0)</f>
        <v>1010</v>
      </c>
      <c r="G407" s="32">
        <f>IFERROR(__xludf.DUMMYFUNCTION("""COMPUTED_VALUE"""),1010.0)</f>
        <v>1010</v>
      </c>
      <c r="H407" s="32">
        <f>IFERROR(__xludf.DUMMYFUNCTION("""COMPUTED_VALUE"""),10.0)</f>
        <v>10</v>
      </c>
      <c r="I407" s="32">
        <f>IFERROR(__xludf.DUMMYFUNCTION("""COMPUTED_VALUE"""),10.0)</f>
        <v>10</v>
      </c>
      <c r="J407" s="32">
        <f>IFERROR(__xludf.DUMMYFUNCTION("""COMPUTED_VALUE"""),10.0)</f>
        <v>10</v>
      </c>
      <c r="K407" s="32">
        <f>IFERROR(__xludf.DUMMYFUNCTION("""COMPUTED_VALUE"""),100.0)</f>
        <v>100</v>
      </c>
      <c r="L407" s="32">
        <f>IFERROR(__xludf.DUMMYFUNCTION("""COMPUTED_VALUE"""),100.0)</f>
        <v>100</v>
      </c>
      <c r="M407" s="32" t="str">
        <f>IFERROR(__xludf.DUMMYFUNCTION("""COMPUTED_VALUE"""),"Dark:Immune, Instant Death:Immune, Banishment:Immune, ")</f>
        <v>Dark:Immune, Instant Death:Immune, Banishment:Immune, </v>
      </c>
      <c r="N407" s="32" t="str">
        <f>IFERROR(__xludf.DUMMYFUNCTION("""COMPUTED_VALUE"""),"Fire:100, Light:100, ")</f>
        <v>Fire:100, Light:100, </v>
      </c>
      <c r="O407" s="32"/>
      <c r="P407" s="32"/>
      <c r="Q407" s="32"/>
      <c r="R407" s="32"/>
      <c r="S407" s="32"/>
      <c r="T407" s="32"/>
      <c r="U407" s="32"/>
      <c r="V407" s="32"/>
      <c r="W407" s="32"/>
      <c r="X407" s="32"/>
      <c r="Y407" s="32"/>
      <c r="Z407" s="32"/>
      <c r="AA407" s="32"/>
      <c r="AB407" s="32"/>
      <c r="AC407" s="32"/>
      <c r="AD407" s="32"/>
      <c r="AE407" s="32"/>
      <c r="AF407" s="32"/>
      <c r="AG407" s="32"/>
      <c r="AH407" s="32"/>
      <c r="AI407" s="32"/>
      <c r="AJ407" s="32" t="str">
        <f>IFERROR(__xludf.DUMMYFUNCTION("""COMPUTED_VALUE"""),"Greater Dragon's Breath")</f>
        <v>Greater Dragon's Breath</v>
      </c>
      <c r="AK407" s="32" t="str">
        <f>IFERROR(__xludf.DUMMYFUNCTION("""COMPUTED_VALUE"""),"Bite")</f>
        <v>Bite</v>
      </c>
      <c r="AL407" s="32" t="str">
        <f>IFERROR(__xludf.DUMMYFUNCTION("""COMPUTED_VALUE"""),"Tail Smash")</f>
        <v>Tail Smash</v>
      </c>
      <c r="AM407" s="32" t="str">
        <f>IFERROR(__xludf.DUMMYFUNCTION("""COMPUTED_VALUE"""),"Claws")</f>
        <v>Claws</v>
      </c>
      <c r="AN407" s="32" t="str">
        <f>IFERROR(__xludf.DUMMYFUNCTION("""COMPUTED_VALUE"""),"Berserk")</f>
        <v>Berserk</v>
      </c>
      <c r="AO407" s="32" t="str">
        <f>IFERROR(__xludf.DUMMYFUNCTION("""COMPUTED_VALUE"""),"Multishot")</f>
        <v>Multishot</v>
      </c>
      <c r="AP407" s="32" t="str">
        <f>IFERROR(__xludf.DUMMYFUNCTION("""COMPUTED_VALUE"""),"Draconic Scream")</f>
        <v>Draconic Scream</v>
      </c>
      <c r="AQ407" s="32" t="str">
        <f>IFERROR(__xludf.DUMMYFUNCTION("""COMPUTED_VALUE"""),"A Deal With The Spirit World")</f>
        <v>A Deal With The Spirit World</v>
      </c>
      <c r="AR407" s="32" t="str">
        <f>IFERROR(__xludf.DUMMYFUNCTION("""COMPUTED_VALUE"""),"Spirit Drain")</f>
        <v>Spirit Drain</v>
      </c>
      <c r="AS407" s="32" t="str">
        <f>IFERROR(__xludf.DUMMYFUNCTION("""COMPUTED_VALUE"""),"Possession")</f>
        <v>Possession</v>
      </c>
      <c r="AT407" s="32" t="str">
        <f>IFERROR(__xludf.DUMMYFUNCTION("""COMPUTED_VALUE"""),"Celestial Wrath")</f>
        <v>Celestial Wrath</v>
      </c>
      <c r="AU407" s="32" t="str">
        <f>IFERROR(__xludf.DUMMYFUNCTION("""COMPUTED_VALUE"""),"Spirit Fog")</f>
        <v>Spirit Fog</v>
      </c>
      <c r="AV407" s="32" t="str">
        <f>IFERROR(__xludf.DUMMYFUNCTION("""COMPUTED_VALUE"""),"Burning Dread")</f>
        <v>Burning Dread</v>
      </c>
      <c r="AW407" s="32"/>
      <c r="AX407" s="32"/>
      <c r="AY407" s="32"/>
      <c r="AZ407" s="32"/>
      <c r="BA407" s="32"/>
      <c r="BB407" s="32"/>
      <c r="BC407" s="32"/>
      <c r="BD407" s="32">
        <f>IFERROR(__xludf.DUMMYFUNCTION("""COMPUTED_VALUE"""),10.0)</f>
        <v>10</v>
      </c>
      <c r="BE407" s="32">
        <f>IFERROR(__xludf.DUMMYFUNCTION("""COMPUTED_VALUE"""),10.0)</f>
        <v>10</v>
      </c>
      <c r="BF407" s="32"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32" t="str">
        <f>IFERROR(__xludf.DUMMYFUNCTION("""COMPUTED_VALUE"""),"All")</f>
        <v>All</v>
      </c>
      <c r="BH407" s="32" t="str">
        <f>IFERROR(__xludf.DUMMYFUNCTION("""COMPUTED_VALUE"""),"Dragonscale Island")</f>
        <v>Dragonscale Island</v>
      </c>
      <c r="BI407" s="32"/>
      <c r="BJ407" s="32"/>
      <c r="BK407" s="32"/>
      <c r="BL407" s="32" t="b">
        <f>IFERROR(__xludf.DUMMYFUNCTION("""COMPUTED_VALUE"""),FALSE)</f>
        <v>0</v>
      </c>
      <c r="BM407" s="32"/>
      <c r="BN407" s="32"/>
      <c r="BO407" s="32"/>
      <c r="BP407" s="32"/>
      <c r="BQ407" s="32"/>
    </row>
    <row r="408">
      <c r="A408" s="32" t="str">
        <f>IFERROR(__xludf.DUMMYFUNCTION("""COMPUTED_VALUE"""),"Elder Stone Dragon")</f>
        <v>Elder Stone Dragon</v>
      </c>
      <c r="B408" s="32">
        <f>IFERROR(__xludf.DUMMYFUNCTION("""COMPUTED_VALUE"""),1.0)</f>
        <v>1</v>
      </c>
      <c r="C408" s="32"/>
      <c r="D408" s="32" t="str">
        <f>IFERROR(__xludf.DUMMYFUNCTION("""COMPUTED_VALUE"""),"Draconic")</f>
        <v>Draconic</v>
      </c>
      <c r="E408" s="32">
        <f>IFERROR(__xludf.DUMMYFUNCTION("""COMPUTED_VALUE"""),1010.0)</f>
        <v>1010</v>
      </c>
      <c r="F408" s="33">
        <f>IFERROR(__xludf.DUMMYFUNCTION("""COMPUTED_VALUE"""),1010.0)</f>
        <v>1010</v>
      </c>
      <c r="G408" s="32">
        <f>IFERROR(__xludf.DUMMYFUNCTION("""COMPUTED_VALUE"""),1010.0)</f>
        <v>1010</v>
      </c>
      <c r="H408" s="32">
        <f>IFERROR(__xludf.DUMMYFUNCTION("""COMPUTED_VALUE"""),10.0)</f>
        <v>10</v>
      </c>
      <c r="I408" s="32">
        <f>IFERROR(__xludf.DUMMYFUNCTION("""COMPUTED_VALUE"""),10.0)</f>
        <v>10</v>
      </c>
      <c r="J408" s="32">
        <f>IFERROR(__xludf.DUMMYFUNCTION("""COMPUTED_VALUE"""),10.0)</f>
        <v>10</v>
      </c>
      <c r="K408" s="32">
        <f>IFERROR(__xludf.DUMMYFUNCTION("""COMPUTED_VALUE"""),100.0)</f>
        <v>100</v>
      </c>
      <c r="L408" s="32">
        <f>IFERROR(__xludf.DUMMYFUNCTION("""COMPUTED_VALUE"""),100.0)</f>
        <v>100</v>
      </c>
      <c r="M408" s="32" t="str">
        <f>IFERROR(__xludf.DUMMYFUNCTION("""COMPUTED_VALUE"""),"Earth:Immune, Instant Death:Immune, Banishment:Immune, ")</f>
        <v>Earth:Immune, Instant Death:Immune, Banishment:Immune, </v>
      </c>
      <c r="N408" s="32" t="str">
        <f>IFERROR(__xludf.DUMMYFUNCTION("""COMPUTED_VALUE"""),"Water:100, Storm:100, ")</f>
        <v>Water:100, Storm:100, </v>
      </c>
      <c r="O408" s="32"/>
      <c r="P408" s="32"/>
      <c r="Q408" s="32"/>
      <c r="R408" s="32"/>
      <c r="S408" s="32"/>
      <c r="T408" s="32"/>
      <c r="U408" s="32"/>
      <c r="V408" s="32"/>
      <c r="W408" s="32"/>
      <c r="X408" s="32"/>
      <c r="Y408" s="32"/>
      <c r="Z408" s="32"/>
      <c r="AA408" s="32"/>
      <c r="AB408" s="32"/>
      <c r="AC408" s="32"/>
      <c r="AD408" s="32"/>
      <c r="AE408" s="32"/>
      <c r="AF408" s="32"/>
      <c r="AG408" s="32"/>
      <c r="AH408" s="32"/>
      <c r="AI408" s="32"/>
      <c r="AJ408" s="32" t="str">
        <f>IFERROR(__xludf.DUMMYFUNCTION("""COMPUTED_VALUE"""),"Greater Dragon's Breath")</f>
        <v>Greater Dragon's Breath</v>
      </c>
      <c r="AK408" s="32" t="str">
        <f>IFERROR(__xludf.DUMMYFUNCTION("""COMPUTED_VALUE"""),"Bite")</f>
        <v>Bite</v>
      </c>
      <c r="AL408" s="32" t="str">
        <f>IFERROR(__xludf.DUMMYFUNCTION("""COMPUTED_VALUE"""),"Tail Smash")</f>
        <v>Tail Smash</v>
      </c>
      <c r="AM408" s="32" t="str">
        <f>IFERROR(__xludf.DUMMYFUNCTION("""COMPUTED_VALUE"""),"Claws")</f>
        <v>Claws</v>
      </c>
      <c r="AN408" s="32" t="str">
        <f>IFERROR(__xludf.DUMMYFUNCTION("""COMPUTED_VALUE"""),"Berserk")</f>
        <v>Berserk</v>
      </c>
      <c r="AO408" s="32" t="str">
        <f>IFERROR(__xludf.DUMMYFUNCTION("""COMPUTED_VALUE"""),"Multishot")</f>
        <v>Multishot</v>
      </c>
      <c r="AP408" s="32" t="str">
        <f>IFERROR(__xludf.DUMMYFUNCTION("""COMPUTED_VALUE"""),"Draconic Scream")</f>
        <v>Draconic Scream</v>
      </c>
      <c r="AQ408" s="32" t="str">
        <f>IFERROR(__xludf.DUMMYFUNCTION("""COMPUTED_VALUE"""),"Earthquake")</f>
        <v>Earthquake</v>
      </c>
      <c r="AR408" s="32" t="str">
        <f>IFERROR(__xludf.DUMMYFUNCTION("""COMPUTED_VALUE"""),"Rock Cycle")</f>
        <v>Rock Cycle</v>
      </c>
      <c r="AS408" s="32" t="str">
        <f>IFERROR(__xludf.DUMMYFUNCTION("""COMPUTED_VALUE"""),"Quicksand")</f>
        <v>Quicksand</v>
      </c>
      <c r="AT408" s="32" t="str">
        <f>IFERROR(__xludf.DUMMYFUNCTION("""COMPUTED_VALUE"""),"Celestial Wrath")</f>
        <v>Celestial Wrath</v>
      </c>
      <c r="AU408" s="32"/>
      <c r="AV408" s="32"/>
      <c r="AW408" s="32"/>
      <c r="AX408" s="32"/>
      <c r="AY408" s="32"/>
      <c r="AZ408" s="32"/>
      <c r="BA408" s="32"/>
      <c r="BB408" s="32"/>
      <c r="BC408" s="32"/>
      <c r="BD408" s="32">
        <f>IFERROR(__xludf.DUMMYFUNCTION("""COMPUTED_VALUE"""),10.0)</f>
        <v>10</v>
      </c>
      <c r="BE408" s="32">
        <f>IFERROR(__xludf.DUMMYFUNCTION("""COMPUTED_VALUE"""),10.0)</f>
        <v>10</v>
      </c>
      <c r="BF408"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32" t="str">
        <f>IFERROR(__xludf.DUMMYFUNCTION("""COMPUTED_VALUE"""),"All")</f>
        <v>All</v>
      </c>
      <c r="BH408" s="32" t="str">
        <f>IFERROR(__xludf.DUMMYFUNCTION("""COMPUTED_VALUE"""),"Dragonscale Island")</f>
        <v>Dragonscale Island</v>
      </c>
      <c r="BI408" s="32"/>
      <c r="BJ408" s="32"/>
      <c r="BK408" s="32"/>
      <c r="BL408" s="32" t="b">
        <f>IFERROR(__xludf.DUMMYFUNCTION("""COMPUTED_VALUE"""),FALSE)</f>
        <v>0</v>
      </c>
      <c r="BM408" s="32"/>
      <c r="BN408" s="32"/>
      <c r="BO408" s="32"/>
      <c r="BP408" s="32"/>
      <c r="BQ408" s="32"/>
    </row>
    <row r="409">
      <c r="A409" s="32"/>
      <c r="B409" s="32">
        <f>IFERROR(__xludf.DUMMYFUNCTION("""COMPUTED_VALUE"""),1.0)</f>
        <v>1</v>
      </c>
      <c r="C409" s="32"/>
      <c r="D409" s="32" t="str">
        <f>IFERROR(__xludf.DUMMYFUNCTION("""COMPUTED_VALUE"""),"Draconic")</f>
        <v>Draconic</v>
      </c>
      <c r="E409" s="32">
        <f>IFERROR(__xludf.DUMMYFUNCTION("""COMPUTED_VALUE"""),1010.0)</f>
        <v>1010</v>
      </c>
      <c r="F409" s="33">
        <f>IFERROR(__xludf.DUMMYFUNCTION("""COMPUTED_VALUE"""),1010.0)</f>
        <v>1010</v>
      </c>
      <c r="G409" s="32">
        <f>IFERROR(__xludf.DUMMYFUNCTION("""COMPUTED_VALUE"""),1010.0)</f>
        <v>1010</v>
      </c>
      <c r="H409" s="32">
        <f>IFERROR(__xludf.DUMMYFUNCTION("""COMPUTED_VALUE"""),10.0)</f>
        <v>10</v>
      </c>
      <c r="I409" s="32">
        <f>IFERROR(__xludf.DUMMYFUNCTION("""COMPUTED_VALUE"""),10.0)</f>
        <v>10</v>
      </c>
      <c r="J409" s="32">
        <f>IFERROR(__xludf.DUMMYFUNCTION("""COMPUTED_VALUE"""),10.0)</f>
        <v>10</v>
      </c>
      <c r="K409" s="32">
        <f>IFERROR(__xludf.DUMMYFUNCTION("""COMPUTED_VALUE"""),100.0)</f>
        <v>100</v>
      </c>
      <c r="L409" s="32">
        <f>IFERROR(__xludf.DUMMYFUNCTION("""COMPUTED_VALUE"""),100.0)</f>
        <v>100</v>
      </c>
      <c r="M409" s="32" t="str">
        <f>IFERROR(__xludf.DUMMYFUNCTION("""COMPUTED_VALUE"""),"#N/A")</f>
        <v>#N/A</v>
      </c>
      <c r="N409" s="32" t="str">
        <f>IFERROR(__xludf.DUMMYFUNCTION("""COMPUTED_VALUE"""),"#N/A")</f>
        <v>#N/A</v>
      </c>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f>IFERROR(__xludf.DUMMYFUNCTION("""COMPUTED_VALUE"""),0.0)</f>
        <v>0</v>
      </c>
      <c r="BE409" s="32">
        <f>IFERROR(__xludf.DUMMYFUNCTION("""COMPUTED_VALUE"""),10.0)</f>
        <v>10</v>
      </c>
      <c r="BF409" s="32"/>
      <c r="BG409" s="32" t="str">
        <f>IFERROR(__xludf.DUMMYFUNCTION("""COMPUTED_VALUE"""),"All")</f>
        <v>All</v>
      </c>
      <c r="BH409" s="32" t="str">
        <f>IFERROR(__xludf.DUMMYFUNCTION("""COMPUTED_VALUE"""),"Dragonscale Island")</f>
        <v>Dragonscale Island</v>
      </c>
      <c r="BI409" s="32"/>
      <c r="BJ409" s="32"/>
      <c r="BK409" s="32"/>
      <c r="BL409" s="32" t="b">
        <f>IFERROR(__xludf.DUMMYFUNCTION("""COMPUTED_VALUE"""),FALSE)</f>
        <v>0</v>
      </c>
      <c r="BM409" s="32"/>
      <c r="BN409" s="32"/>
      <c r="BO409" s="32"/>
      <c r="BP409" s="32"/>
      <c r="BQ409" s="32"/>
    </row>
    <row r="410">
      <c r="A410" s="32" t="str">
        <f>IFERROR(__xludf.DUMMYFUNCTION("""COMPUTED_VALUE"""),"Elder Fire Dragon")</f>
        <v>Elder Fire Dragon</v>
      </c>
      <c r="B410" s="32">
        <f>IFERROR(__xludf.DUMMYFUNCTION("""COMPUTED_VALUE"""),1.0)</f>
        <v>1</v>
      </c>
      <c r="C410" s="32"/>
      <c r="D410" s="32" t="str">
        <f>IFERROR(__xludf.DUMMYFUNCTION("""COMPUTED_VALUE"""),"Draconic")</f>
        <v>Draconic</v>
      </c>
      <c r="E410" s="32">
        <f>IFERROR(__xludf.DUMMYFUNCTION("""COMPUTED_VALUE"""),1010.0)</f>
        <v>1010</v>
      </c>
      <c r="F410" s="33">
        <f>IFERROR(__xludf.DUMMYFUNCTION("""COMPUTED_VALUE"""),1010.0)</f>
        <v>1010</v>
      </c>
      <c r="G410" s="32">
        <f>IFERROR(__xludf.DUMMYFUNCTION("""COMPUTED_VALUE"""),1010.0)</f>
        <v>1010</v>
      </c>
      <c r="H410" s="32">
        <f>IFERROR(__xludf.DUMMYFUNCTION("""COMPUTED_VALUE"""),10.0)</f>
        <v>10</v>
      </c>
      <c r="I410" s="32">
        <f>IFERROR(__xludf.DUMMYFUNCTION("""COMPUTED_VALUE"""),10.0)</f>
        <v>10</v>
      </c>
      <c r="J410" s="32">
        <f>IFERROR(__xludf.DUMMYFUNCTION("""COMPUTED_VALUE"""),10.0)</f>
        <v>10</v>
      </c>
      <c r="K410" s="32">
        <f>IFERROR(__xludf.DUMMYFUNCTION("""COMPUTED_VALUE"""),100.0)</f>
        <v>100</v>
      </c>
      <c r="L410" s="32">
        <f>IFERROR(__xludf.DUMMYFUNCTION("""COMPUTED_VALUE"""),100.0)</f>
        <v>100</v>
      </c>
      <c r="M410" s="32" t="str">
        <f>IFERROR(__xludf.DUMMYFUNCTION("""COMPUTED_VALUE"""),"Fire:Immune, Nature:Immune, Instant Death:Immune, Banishment:Immune, ")</f>
        <v>Fire:Immune, Nature:Immune, Instant Death:Immune, Banishment:Immune, </v>
      </c>
      <c r="N410" s="32" t="str">
        <f>IFERROR(__xludf.DUMMYFUNCTION("""COMPUTED_VALUE"""),"Water:100, ")</f>
        <v>Water:100, </v>
      </c>
      <c r="O410" s="32"/>
      <c r="P410" s="32"/>
      <c r="Q410" s="32"/>
      <c r="R410" s="32"/>
      <c r="S410" s="32"/>
      <c r="T410" s="32"/>
      <c r="U410" s="32"/>
      <c r="V410" s="32"/>
      <c r="W410" s="32"/>
      <c r="X410" s="32"/>
      <c r="Y410" s="32"/>
      <c r="Z410" s="32"/>
      <c r="AA410" s="32"/>
      <c r="AB410" s="32"/>
      <c r="AC410" s="32"/>
      <c r="AD410" s="32"/>
      <c r="AE410" s="32"/>
      <c r="AF410" s="32"/>
      <c r="AG410" s="32"/>
      <c r="AH410" s="32"/>
      <c r="AI410" s="32"/>
      <c r="AJ410" s="32" t="str">
        <f>IFERROR(__xludf.DUMMYFUNCTION("""COMPUTED_VALUE"""),"Greater Dragon's Breath")</f>
        <v>Greater Dragon's Breath</v>
      </c>
      <c r="AK410" s="32" t="str">
        <f>IFERROR(__xludf.DUMMYFUNCTION("""COMPUTED_VALUE"""),"Bite")</f>
        <v>Bite</v>
      </c>
      <c r="AL410" s="32" t="str">
        <f>IFERROR(__xludf.DUMMYFUNCTION("""COMPUTED_VALUE"""),"Tail Smash")</f>
        <v>Tail Smash</v>
      </c>
      <c r="AM410" s="32" t="str">
        <f>IFERROR(__xludf.DUMMYFUNCTION("""COMPUTED_VALUE"""),"Claws")</f>
        <v>Claws</v>
      </c>
      <c r="AN410" s="32" t="str">
        <f>IFERROR(__xludf.DUMMYFUNCTION("""COMPUTED_VALUE"""),"Berserk")</f>
        <v>Berserk</v>
      </c>
      <c r="AO410" s="32" t="str">
        <f>IFERROR(__xludf.DUMMYFUNCTION("""COMPUTED_VALUE"""),"Multishot")</f>
        <v>Multishot</v>
      </c>
      <c r="AP410" s="32" t="str">
        <f>IFERROR(__xludf.DUMMYFUNCTION("""COMPUTED_VALUE"""),"Draconic Scream")</f>
        <v>Draconic Scream</v>
      </c>
      <c r="AQ410" s="32" t="str">
        <f>IFERROR(__xludf.DUMMYFUNCTION("""COMPUTED_VALUE"""),"Flame Sanctuary")</f>
        <v>Flame Sanctuary</v>
      </c>
      <c r="AR410" s="32" t="str">
        <f>IFERROR(__xludf.DUMMYFUNCTION("""COMPUTED_VALUE"""),"Meteor Shower")</f>
        <v>Meteor Shower</v>
      </c>
      <c r="AS410" s="32" t="str">
        <f>IFERROR(__xludf.DUMMYFUNCTION("""COMPUTED_VALUE"""),"Flame Thrower")</f>
        <v>Flame Thrower</v>
      </c>
      <c r="AT410" s="32" t="str">
        <f>IFERROR(__xludf.DUMMYFUNCTION("""COMPUTED_VALUE"""),"Celestial Wrath")</f>
        <v>Celestial Wrath</v>
      </c>
      <c r="AU410" s="32"/>
      <c r="AV410" s="32"/>
      <c r="AW410" s="32"/>
      <c r="AX410" s="32"/>
      <c r="AY410" s="32"/>
      <c r="AZ410" s="32"/>
      <c r="BA410" s="32"/>
      <c r="BB410" s="32"/>
      <c r="BC410" s="32"/>
      <c r="BD410" s="32">
        <f>IFERROR(__xludf.DUMMYFUNCTION("""COMPUTED_VALUE"""),10.0)</f>
        <v>10</v>
      </c>
      <c r="BE410" s="32">
        <f>IFERROR(__xludf.DUMMYFUNCTION("""COMPUTED_VALUE"""),10.0)</f>
        <v>10</v>
      </c>
      <c r="BF410"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32" t="str">
        <f>IFERROR(__xludf.DUMMYFUNCTION("""COMPUTED_VALUE"""),"All")</f>
        <v>All</v>
      </c>
      <c r="BH410" s="32" t="str">
        <f>IFERROR(__xludf.DUMMYFUNCTION("""COMPUTED_VALUE"""),"Dragonscale Island")</f>
        <v>Dragonscale Island</v>
      </c>
      <c r="BI410" s="32"/>
      <c r="BJ410" s="32"/>
      <c r="BK410" s="32"/>
      <c r="BL410" s="32" t="b">
        <f>IFERROR(__xludf.DUMMYFUNCTION("""COMPUTED_VALUE"""),FALSE)</f>
        <v>0</v>
      </c>
      <c r="BM410" s="32"/>
      <c r="BN410" s="32"/>
      <c r="BO410" s="32"/>
      <c r="BP410" s="32"/>
      <c r="BQ410" s="32"/>
    </row>
    <row r="411">
      <c r="A411" s="32"/>
      <c r="B411" s="32">
        <f>IFERROR(__xludf.DUMMYFUNCTION("""COMPUTED_VALUE"""),1.0)</f>
        <v>1</v>
      </c>
      <c r="C411" s="32"/>
      <c r="D411" s="32" t="str">
        <f>IFERROR(__xludf.DUMMYFUNCTION("""COMPUTED_VALUE"""),"Draconic")</f>
        <v>Draconic</v>
      </c>
      <c r="E411" s="32">
        <f>IFERROR(__xludf.DUMMYFUNCTION("""COMPUTED_VALUE"""),1010.0)</f>
        <v>1010</v>
      </c>
      <c r="F411" s="33">
        <f>IFERROR(__xludf.DUMMYFUNCTION("""COMPUTED_VALUE"""),1010.0)</f>
        <v>1010</v>
      </c>
      <c r="G411" s="32">
        <f>IFERROR(__xludf.DUMMYFUNCTION("""COMPUTED_VALUE"""),1010.0)</f>
        <v>1010</v>
      </c>
      <c r="H411" s="32">
        <f>IFERROR(__xludf.DUMMYFUNCTION("""COMPUTED_VALUE"""),10.0)</f>
        <v>10</v>
      </c>
      <c r="I411" s="32">
        <f>IFERROR(__xludf.DUMMYFUNCTION("""COMPUTED_VALUE"""),0.0)</f>
        <v>0</v>
      </c>
      <c r="J411" s="32">
        <f>IFERROR(__xludf.DUMMYFUNCTION("""COMPUTED_VALUE"""),0.0)</f>
        <v>0</v>
      </c>
      <c r="K411" s="32">
        <f>IFERROR(__xludf.DUMMYFUNCTION("""COMPUTED_VALUE"""),100.0)</f>
        <v>100</v>
      </c>
      <c r="L411" s="32">
        <f>IFERROR(__xludf.DUMMYFUNCTION("""COMPUTED_VALUE"""),100.0)</f>
        <v>100</v>
      </c>
      <c r="M411" s="32" t="str">
        <f>IFERROR(__xludf.DUMMYFUNCTION("""COMPUTED_VALUE"""),"#N/A")</f>
        <v>#N/A</v>
      </c>
      <c r="N411" s="32" t="str">
        <f>IFERROR(__xludf.DUMMYFUNCTION("""COMPUTED_VALUE"""),"#N/A")</f>
        <v>#N/A</v>
      </c>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f>IFERROR(__xludf.DUMMYFUNCTION("""COMPUTED_VALUE"""),0.0)</f>
        <v>0</v>
      </c>
      <c r="BE411" s="32">
        <f>IFERROR(__xludf.DUMMYFUNCTION("""COMPUTED_VALUE"""),10.0)</f>
        <v>10</v>
      </c>
      <c r="BF411" s="32"/>
      <c r="BG411" s="32"/>
      <c r="BH411" s="32"/>
      <c r="BI411" s="32"/>
      <c r="BJ411" s="32"/>
      <c r="BK411" s="32"/>
      <c r="BL411" s="32" t="b">
        <f>IFERROR(__xludf.DUMMYFUNCTION("""COMPUTED_VALUE"""),FALSE)</f>
        <v>0</v>
      </c>
      <c r="BM411" s="32"/>
      <c r="BN411" s="32"/>
      <c r="BO411" s="32"/>
      <c r="BP411" s="32"/>
      <c r="BQ411" s="32"/>
    </row>
    <row r="412">
      <c r="A412" s="32" t="str">
        <f>IFERROR(__xludf.DUMMYFUNCTION("""COMPUTED_VALUE"""),"Elder Undead Dragon")</f>
        <v>Elder Undead Dragon</v>
      </c>
      <c r="B412" s="32">
        <f>IFERROR(__xludf.DUMMYFUNCTION("""COMPUTED_VALUE"""),1.0)</f>
        <v>1</v>
      </c>
      <c r="C412" s="32"/>
      <c r="D412" s="32" t="str">
        <f>IFERROR(__xludf.DUMMYFUNCTION("""COMPUTED_VALUE"""),"Draconic")</f>
        <v>Draconic</v>
      </c>
      <c r="E412" s="32">
        <f>IFERROR(__xludf.DUMMYFUNCTION("""COMPUTED_VALUE"""),1010.0)</f>
        <v>1010</v>
      </c>
      <c r="F412" s="33">
        <f>IFERROR(__xludf.DUMMYFUNCTION("""COMPUTED_VALUE"""),1010.0)</f>
        <v>1010</v>
      </c>
      <c r="G412" s="32">
        <f>IFERROR(__xludf.DUMMYFUNCTION("""COMPUTED_VALUE"""),1010.0)</f>
        <v>1010</v>
      </c>
      <c r="H412" s="32">
        <f>IFERROR(__xludf.DUMMYFUNCTION("""COMPUTED_VALUE"""),10.0)</f>
        <v>10</v>
      </c>
      <c r="I412" s="32">
        <f>IFERROR(__xludf.DUMMYFUNCTION("""COMPUTED_VALUE"""),10.0)</f>
        <v>10</v>
      </c>
      <c r="J412" s="32">
        <f>IFERROR(__xludf.DUMMYFUNCTION("""COMPUTED_VALUE"""),10.0)</f>
        <v>10</v>
      </c>
      <c r="K412" s="32">
        <f>IFERROR(__xludf.DUMMYFUNCTION("""COMPUTED_VALUE"""),100.0)</f>
        <v>100</v>
      </c>
      <c r="L412" s="32">
        <f>IFERROR(__xludf.DUMMYFUNCTION("""COMPUTED_VALUE"""),100.0)</f>
        <v>100</v>
      </c>
      <c r="M412" s="32" t="str">
        <f>IFERROR(__xludf.DUMMYFUNCTION("""COMPUTED_VALUE"""),"Dark:Immune, Instant Death:Immune, Banishment:Immune, ")</f>
        <v>Dark:Immune, Instant Death:Immune, Banishment:Immune, </v>
      </c>
      <c r="N412" s="32" t="str">
        <f>IFERROR(__xludf.DUMMYFUNCTION("""COMPUTED_VALUE"""),"Fire:100, Light:100, ")</f>
        <v>Fire:100, Light:100, </v>
      </c>
      <c r="O412" s="32"/>
      <c r="P412" s="32"/>
      <c r="Q412" s="32"/>
      <c r="R412" s="32"/>
      <c r="S412" s="32"/>
      <c r="T412" s="32"/>
      <c r="U412" s="32"/>
      <c r="V412" s="32"/>
      <c r="W412" s="32"/>
      <c r="X412" s="32"/>
      <c r="Y412" s="32"/>
      <c r="Z412" s="32"/>
      <c r="AA412" s="32"/>
      <c r="AB412" s="32"/>
      <c r="AC412" s="32"/>
      <c r="AD412" s="32"/>
      <c r="AE412" s="32"/>
      <c r="AF412" s="32"/>
      <c r="AG412" s="32"/>
      <c r="AH412" s="32"/>
      <c r="AI412" s="32"/>
      <c r="AJ412" s="32" t="str">
        <f>IFERROR(__xludf.DUMMYFUNCTION("""COMPUTED_VALUE"""),"Greater Dragon's Breath")</f>
        <v>Greater Dragon's Breath</v>
      </c>
      <c r="AK412" s="32" t="str">
        <f>IFERROR(__xludf.DUMMYFUNCTION("""COMPUTED_VALUE"""),"Bite")</f>
        <v>Bite</v>
      </c>
      <c r="AL412" s="32" t="str">
        <f>IFERROR(__xludf.DUMMYFUNCTION("""COMPUTED_VALUE"""),"Tail Smash")</f>
        <v>Tail Smash</v>
      </c>
      <c r="AM412" s="32" t="str">
        <f>IFERROR(__xludf.DUMMYFUNCTION("""COMPUTED_VALUE"""),"Claws")</f>
        <v>Claws</v>
      </c>
      <c r="AN412" s="32" t="str">
        <f>IFERROR(__xludf.DUMMYFUNCTION("""COMPUTED_VALUE"""),"Berserk")</f>
        <v>Berserk</v>
      </c>
      <c r="AO412" s="32" t="str">
        <f>IFERROR(__xludf.DUMMYFUNCTION("""COMPUTED_VALUE"""),"Multishot")</f>
        <v>Multishot</v>
      </c>
      <c r="AP412" s="32" t="str">
        <f>IFERROR(__xludf.DUMMYFUNCTION("""COMPUTED_VALUE"""),"Draconic Scream")</f>
        <v>Draconic Scream</v>
      </c>
      <c r="AQ412" s="32" t="str">
        <f>IFERROR(__xludf.DUMMYFUNCTION("""COMPUTED_VALUE"""),"Dark Curse")</f>
        <v>Dark Curse</v>
      </c>
      <c r="AR412" s="32" t="str">
        <f>IFERROR(__xludf.DUMMYFUNCTION("""COMPUTED_VALUE"""),"Dark Bolt")</f>
        <v>Dark Bolt</v>
      </c>
      <c r="AS412" s="32" t="str">
        <f>IFERROR(__xludf.DUMMYFUNCTION("""COMPUTED_VALUE"""),"Darkest Abyss")</f>
        <v>Darkest Abyss</v>
      </c>
      <c r="AT412" s="32" t="str">
        <f>IFERROR(__xludf.DUMMYFUNCTION("""COMPUTED_VALUE"""),"Celestial Wrath")</f>
        <v>Celestial Wrath</v>
      </c>
      <c r="AU412" s="32"/>
      <c r="AV412" s="32"/>
      <c r="AW412" s="32"/>
      <c r="AX412" s="32"/>
      <c r="AY412" s="32"/>
      <c r="AZ412" s="32"/>
      <c r="BA412" s="32"/>
      <c r="BB412" s="32"/>
      <c r="BC412" s="32"/>
      <c r="BD412" s="32">
        <f>IFERROR(__xludf.DUMMYFUNCTION("""COMPUTED_VALUE"""),10.0)</f>
        <v>10</v>
      </c>
      <c r="BE412" s="32">
        <f>IFERROR(__xludf.DUMMYFUNCTION("""COMPUTED_VALUE"""),10.0)</f>
        <v>10</v>
      </c>
      <c r="BF412" s="32"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32" t="str">
        <f>IFERROR(__xludf.DUMMYFUNCTION("""COMPUTED_VALUE"""),"All")</f>
        <v>All</v>
      </c>
      <c r="BH412" s="32" t="str">
        <f>IFERROR(__xludf.DUMMYFUNCTION("""COMPUTED_VALUE"""),"Dragonscale Island")</f>
        <v>Dragonscale Island</v>
      </c>
      <c r="BI412" s="32"/>
      <c r="BJ412" s="32"/>
      <c r="BK412" s="32"/>
      <c r="BL412" s="32" t="b">
        <f>IFERROR(__xludf.DUMMYFUNCTION("""COMPUTED_VALUE"""),FALSE)</f>
        <v>0</v>
      </c>
      <c r="BM412" s="32"/>
      <c r="BN412" s="32"/>
      <c r="BO412" s="32"/>
      <c r="BP412" s="32"/>
      <c r="BQ412" s="32"/>
    </row>
    <row r="413">
      <c r="A413" s="32" t="str">
        <f>IFERROR(__xludf.DUMMYFUNCTION("""COMPUTED_VALUE"""),"Elder Crystal Dragon")</f>
        <v>Elder Crystal Dragon</v>
      </c>
      <c r="B413" s="32">
        <f>IFERROR(__xludf.DUMMYFUNCTION("""COMPUTED_VALUE"""),1.0)</f>
        <v>1</v>
      </c>
      <c r="C413" s="32"/>
      <c r="D413" s="32" t="str">
        <f>IFERROR(__xludf.DUMMYFUNCTION("""COMPUTED_VALUE"""),"Draconic")</f>
        <v>Draconic</v>
      </c>
      <c r="E413" s="32">
        <f>IFERROR(__xludf.DUMMYFUNCTION("""COMPUTED_VALUE"""),1010.0)</f>
        <v>1010</v>
      </c>
      <c r="F413" s="33">
        <f>IFERROR(__xludf.DUMMYFUNCTION("""COMPUTED_VALUE"""),1010.0)</f>
        <v>1010</v>
      </c>
      <c r="G413" s="32">
        <f>IFERROR(__xludf.DUMMYFUNCTION("""COMPUTED_VALUE"""),1010.0)</f>
        <v>1010</v>
      </c>
      <c r="H413" s="32">
        <f>IFERROR(__xludf.DUMMYFUNCTION("""COMPUTED_VALUE"""),10.0)</f>
        <v>10</v>
      </c>
      <c r="I413" s="32">
        <f>IFERROR(__xludf.DUMMYFUNCTION("""COMPUTED_VALUE"""),10.0)</f>
        <v>10</v>
      </c>
      <c r="J413" s="32">
        <f>IFERROR(__xludf.DUMMYFUNCTION("""COMPUTED_VALUE"""),10.0)</f>
        <v>10</v>
      </c>
      <c r="K413" s="32">
        <f>IFERROR(__xludf.DUMMYFUNCTION("""COMPUTED_VALUE"""),100.0)</f>
        <v>100</v>
      </c>
      <c r="L413" s="32">
        <f>IFERROR(__xludf.DUMMYFUNCTION("""COMPUTED_VALUE"""),100.0)</f>
        <v>100</v>
      </c>
      <c r="M413" s="32" t="str">
        <f>IFERROR(__xludf.DUMMYFUNCTION("""COMPUTED_VALUE"""),"Earth:100, Instant Death:Immune, Banishment:Immune, ")</f>
        <v>Earth:100, Instant Death:Immune, Banishment:Immune, </v>
      </c>
      <c r="N413" s="32" t="str">
        <f>IFERROR(__xludf.DUMMYFUNCTION("""COMPUTED_VALUE"""),"Water:100, Storm:100, ")</f>
        <v>Water:100, Storm:100, </v>
      </c>
      <c r="O413" s="32"/>
      <c r="P413" s="32"/>
      <c r="Q413" s="32"/>
      <c r="R413" s="32"/>
      <c r="S413" s="32"/>
      <c r="T413" s="32"/>
      <c r="U413" s="32"/>
      <c r="V413" s="32"/>
      <c r="W413" s="32"/>
      <c r="X413" s="32"/>
      <c r="Y413" s="32"/>
      <c r="Z413" s="32"/>
      <c r="AA413" s="32"/>
      <c r="AB413" s="32"/>
      <c r="AC413" s="32"/>
      <c r="AD413" s="32"/>
      <c r="AE413" s="32"/>
      <c r="AF413" s="32"/>
      <c r="AG413" s="32"/>
      <c r="AH413" s="32"/>
      <c r="AI413" s="32"/>
      <c r="AJ413" s="32" t="str">
        <f>IFERROR(__xludf.DUMMYFUNCTION("""COMPUTED_VALUE"""),"Greater Dragon's Breath")</f>
        <v>Greater Dragon's Breath</v>
      </c>
      <c r="AK413" s="32" t="str">
        <f>IFERROR(__xludf.DUMMYFUNCTION("""COMPUTED_VALUE"""),"Bite")</f>
        <v>Bite</v>
      </c>
      <c r="AL413" s="32" t="str">
        <f>IFERROR(__xludf.DUMMYFUNCTION("""COMPUTED_VALUE"""),"Tail Smash")</f>
        <v>Tail Smash</v>
      </c>
      <c r="AM413" s="32" t="str">
        <f>IFERROR(__xludf.DUMMYFUNCTION("""COMPUTED_VALUE"""),"Claws")</f>
        <v>Claws</v>
      </c>
      <c r="AN413" s="32" t="str">
        <f>IFERROR(__xludf.DUMMYFUNCTION("""COMPUTED_VALUE"""),"Berserk")</f>
        <v>Berserk</v>
      </c>
      <c r="AO413" s="32" t="str">
        <f>IFERROR(__xludf.DUMMYFUNCTION("""COMPUTED_VALUE"""),"Multishot")</f>
        <v>Multishot</v>
      </c>
      <c r="AP413" s="32" t="str">
        <f>IFERROR(__xludf.DUMMYFUNCTION("""COMPUTED_VALUE"""),"Draconic Scream")</f>
        <v>Draconic Scream</v>
      </c>
      <c r="AQ413" s="32" t="str">
        <f>IFERROR(__xludf.DUMMYFUNCTION("""COMPUTED_VALUE"""),"Searing Saphire Strike")</f>
        <v>Searing Saphire Strike</v>
      </c>
      <c r="AR413" s="32" t="str">
        <f>IFERROR(__xludf.DUMMYFUNCTION("""COMPUTED_VALUE"""),"Energizing Emerald Pulse")</f>
        <v>Energizing Emerald Pulse</v>
      </c>
      <c r="AS413" s="32" t="str">
        <f>IFERROR(__xludf.DUMMYFUNCTION("""COMPUTED_VALUE"""),"Molten Ruby Spikes")</f>
        <v>Molten Ruby Spikes</v>
      </c>
      <c r="AT413" s="32" t="str">
        <f>IFERROR(__xludf.DUMMYFUNCTION("""COMPUTED_VALUE"""),"Celestial Wrath")</f>
        <v>Celestial Wrath</v>
      </c>
      <c r="AU413" s="32"/>
      <c r="AV413" s="32"/>
      <c r="AW413" s="32"/>
      <c r="AX413" s="32"/>
      <c r="AY413" s="32"/>
      <c r="AZ413" s="32"/>
      <c r="BA413" s="32"/>
      <c r="BB413" s="32"/>
      <c r="BC413" s="32"/>
      <c r="BD413" s="32">
        <f>IFERROR(__xludf.DUMMYFUNCTION("""COMPUTED_VALUE"""),10.0)</f>
        <v>10</v>
      </c>
      <c r="BE413" s="32">
        <f>IFERROR(__xludf.DUMMYFUNCTION("""COMPUTED_VALUE"""),10.0)</f>
        <v>10</v>
      </c>
      <c r="BF413" s="3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32" t="str">
        <f>IFERROR(__xludf.DUMMYFUNCTION("""COMPUTED_VALUE"""),"All")</f>
        <v>All</v>
      </c>
      <c r="BH413" s="32" t="str">
        <f>IFERROR(__xludf.DUMMYFUNCTION("""COMPUTED_VALUE"""),"Dragonscale Island")</f>
        <v>Dragonscale Island</v>
      </c>
      <c r="BI413" s="32"/>
      <c r="BJ413" s="32"/>
      <c r="BK413" s="32"/>
      <c r="BL413" s="32" t="b">
        <f>IFERROR(__xludf.DUMMYFUNCTION("""COMPUTED_VALUE"""),FALSE)</f>
        <v>0</v>
      </c>
      <c r="BM413" s="32"/>
      <c r="BN413" s="32"/>
      <c r="BO413" s="32"/>
      <c r="BP413" s="32"/>
      <c r="BQ413" s="32"/>
    </row>
    <row r="414">
      <c r="A414" s="32" t="str">
        <f>IFERROR(__xludf.DUMMYFUNCTION("""COMPUTED_VALUE"""),"Ancient Acid Dragon")</f>
        <v>Ancient Acid Dragon</v>
      </c>
      <c r="B414" s="32">
        <f>IFERROR(__xludf.DUMMYFUNCTION("""COMPUTED_VALUE"""),1.0)</f>
        <v>1</v>
      </c>
      <c r="C414" s="32"/>
      <c r="D414" s="32" t="str">
        <f>IFERROR(__xludf.DUMMYFUNCTION("""COMPUTED_VALUE"""),"Draconic")</f>
        <v>Draconic</v>
      </c>
      <c r="E414" s="32">
        <f>IFERROR(__xludf.DUMMYFUNCTION("""COMPUTED_VALUE"""),1010.0)</f>
        <v>1010</v>
      </c>
      <c r="F414" s="33">
        <f>IFERROR(__xludf.DUMMYFUNCTION("""COMPUTED_VALUE"""),1010.0)</f>
        <v>1010</v>
      </c>
      <c r="G414" s="32">
        <f>IFERROR(__xludf.DUMMYFUNCTION("""COMPUTED_VALUE"""),1010.0)</f>
        <v>1010</v>
      </c>
      <c r="H414" s="32">
        <f>IFERROR(__xludf.DUMMYFUNCTION("""COMPUTED_VALUE"""),10.0)</f>
        <v>10</v>
      </c>
      <c r="I414" s="32">
        <f>IFERROR(__xludf.DUMMYFUNCTION("""COMPUTED_VALUE"""),15.0)</f>
        <v>15</v>
      </c>
      <c r="J414" s="32">
        <f>IFERROR(__xludf.DUMMYFUNCTION("""COMPUTED_VALUE"""),15.0)</f>
        <v>15</v>
      </c>
      <c r="K414" s="32">
        <f>IFERROR(__xludf.DUMMYFUNCTION("""COMPUTED_VALUE"""),100.0)</f>
        <v>100</v>
      </c>
      <c r="L414" s="32">
        <f>IFERROR(__xludf.DUMMYFUNCTION("""COMPUTED_VALUE"""),100.0)</f>
        <v>100</v>
      </c>
      <c r="M414" s="32" t="str">
        <f>IFERROR(__xludf.DUMMYFUNCTION("""COMPUTED_VALUE"""),"Nature:Immune, Instant Death:Immune, Banishment:Immune, ")</f>
        <v>Nature:Immune, Instant Death:Immune, Banishment:Immune, </v>
      </c>
      <c r="N414" s="32" t="str">
        <f>IFERROR(__xludf.DUMMYFUNCTION("""COMPUTED_VALUE"""),"Fire:100, Storm:100, ")</f>
        <v>Fire:100, Storm:100, </v>
      </c>
      <c r="O414" s="32"/>
      <c r="P414" s="32"/>
      <c r="Q414" s="32"/>
      <c r="R414" s="32"/>
      <c r="S414" s="32"/>
      <c r="T414" s="32"/>
      <c r="U414" s="32"/>
      <c r="V414" s="32"/>
      <c r="W414" s="32"/>
      <c r="X414" s="32"/>
      <c r="Y414" s="32"/>
      <c r="Z414" s="32"/>
      <c r="AA414" s="32"/>
      <c r="AB414" s="32"/>
      <c r="AC414" s="32"/>
      <c r="AD414" s="32"/>
      <c r="AE414" s="32"/>
      <c r="AF414" s="32"/>
      <c r="AG414" s="32"/>
      <c r="AH414" s="32"/>
      <c r="AI414" s="32"/>
      <c r="AJ414" s="32" t="str">
        <f>IFERROR(__xludf.DUMMYFUNCTION("""COMPUTED_VALUE"""),"Greater Dragon's Breath")</f>
        <v>Greater Dragon's Breath</v>
      </c>
      <c r="AK414" s="32" t="str">
        <f>IFERROR(__xludf.DUMMYFUNCTION("""COMPUTED_VALUE"""),"Bite")</f>
        <v>Bite</v>
      </c>
      <c r="AL414" s="32" t="str">
        <f>IFERROR(__xludf.DUMMYFUNCTION("""COMPUTED_VALUE"""),"Tail Smash")</f>
        <v>Tail Smash</v>
      </c>
      <c r="AM414" s="32" t="str">
        <f>IFERROR(__xludf.DUMMYFUNCTION("""COMPUTED_VALUE"""),"Claws")</f>
        <v>Claws</v>
      </c>
      <c r="AN414" s="32" t="str">
        <f>IFERROR(__xludf.DUMMYFUNCTION("""COMPUTED_VALUE"""),"Berserk")</f>
        <v>Berserk</v>
      </c>
      <c r="AO414" s="32" t="str">
        <f>IFERROR(__xludf.DUMMYFUNCTION("""COMPUTED_VALUE"""),"Multishot")</f>
        <v>Multishot</v>
      </c>
      <c r="AP414" s="32" t="str">
        <f>IFERROR(__xludf.DUMMYFUNCTION("""COMPUTED_VALUE"""),"Draconic Scream")</f>
        <v>Draconic Scream</v>
      </c>
      <c r="AQ414" s="32" t="str">
        <f>IFERROR(__xludf.DUMMYFUNCTION("""COMPUTED_VALUE"""),"Chaincast")</f>
        <v>Chaincast</v>
      </c>
      <c r="AR414" s="32" t="str">
        <f>IFERROR(__xludf.DUMMYFUNCTION("""COMPUTED_VALUE"""),"Poison Fang")</f>
        <v>Poison Fang</v>
      </c>
      <c r="AS414" s="32" t="str">
        <f>IFERROR(__xludf.DUMMYFUNCTION("""COMPUTED_VALUE"""),"Class 3 Poison")</f>
        <v>Class 3 Poison</v>
      </c>
      <c r="AT414" s="32" t="str">
        <f>IFERROR(__xludf.DUMMYFUNCTION("""COMPUTED_VALUE"""),"1000 Poisons Body")</f>
        <v>1000 Poisons Body</v>
      </c>
      <c r="AU414" s="32" t="str">
        <f>IFERROR(__xludf.DUMMYFUNCTION("""COMPUTED_VALUE"""),"Thorn Bush")</f>
        <v>Thorn Bush</v>
      </c>
      <c r="AV414" s="32" t="str">
        <f>IFERROR(__xludf.DUMMYFUNCTION("""COMPUTED_VALUE"""),"Poisonous Fumes")</f>
        <v>Poisonous Fumes</v>
      </c>
      <c r="AW414" s="32" t="str">
        <f>IFERROR(__xludf.DUMMYFUNCTION("""COMPUTED_VALUE"""),"Celestial Wrath")</f>
        <v>Celestial Wrath</v>
      </c>
      <c r="AX414" s="32"/>
      <c r="AY414" s="32"/>
      <c r="AZ414" s="32"/>
      <c r="BA414" s="32"/>
      <c r="BB414" s="32"/>
      <c r="BC414" s="32"/>
      <c r="BD414" s="32">
        <f>IFERROR(__xludf.DUMMYFUNCTION("""COMPUTED_VALUE"""),15.0)</f>
        <v>15</v>
      </c>
      <c r="BE414" s="32">
        <f>IFERROR(__xludf.DUMMYFUNCTION("""COMPUTED_VALUE"""),10.0)</f>
        <v>10</v>
      </c>
      <c r="BF414" s="32"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32" t="str">
        <f>IFERROR(__xludf.DUMMYFUNCTION("""COMPUTED_VALUE"""),"All")</f>
        <v>All</v>
      </c>
      <c r="BH414" s="32" t="str">
        <f>IFERROR(__xludf.DUMMYFUNCTION("""COMPUTED_VALUE"""),"Dragonscale Island")</f>
        <v>Dragonscale Island</v>
      </c>
      <c r="BI414" s="32"/>
      <c r="BJ414" s="32"/>
      <c r="BK414" s="32"/>
      <c r="BL414" s="32" t="b">
        <f>IFERROR(__xludf.DUMMYFUNCTION("""COMPUTED_VALUE"""),FALSE)</f>
        <v>0</v>
      </c>
      <c r="BM414" s="32"/>
      <c r="BN414" s="32"/>
      <c r="BO414" s="32"/>
      <c r="BP414" s="32"/>
      <c r="BQ414" s="32"/>
    </row>
    <row r="415">
      <c r="A415" s="32" t="str">
        <f>IFERROR(__xludf.DUMMYFUNCTION("""COMPUTED_VALUE"""),"Ancient Water Dragon")</f>
        <v>Ancient Water Dragon</v>
      </c>
      <c r="B415" s="32">
        <f>IFERROR(__xludf.DUMMYFUNCTION("""COMPUTED_VALUE"""),1.0)</f>
        <v>1</v>
      </c>
      <c r="C415" s="32"/>
      <c r="D415" s="32" t="str">
        <f>IFERROR(__xludf.DUMMYFUNCTION("""COMPUTED_VALUE"""),"Draconic")</f>
        <v>Draconic</v>
      </c>
      <c r="E415" s="32">
        <f>IFERROR(__xludf.DUMMYFUNCTION("""COMPUTED_VALUE"""),1010.0)</f>
        <v>1010</v>
      </c>
      <c r="F415" s="33">
        <f>IFERROR(__xludf.DUMMYFUNCTION("""COMPUTED_VALUE"""),1010.0)</f>
        <v>1010</v>
      </c>
      <c r="G415" s="32">
        <f>IFERROR(__xludf.DUMMYFUNCTION("""COMPUTED_VALUE"""),1010.0)</f>
        <v>1010</v>
      </c>
      <c r="H415" s="32">
        <f>IFERROR(__xludf.DUMMYFUNCTION("""COMPUTED_VALUE"""),10.0)</f>
        <v>10</v>
      </c>
      <c r="I415" s="32">
        <f>IFERROR(__xludf.DUMMYFUNCTION("""COMPUTED_VALUE"""),15.0)</f>
        <v>15</v>
      </c>
      <c r="J415" s="32">
        <f>IFERROR(__xludf.DUMMYFUNCTION("""COMPUTED_VALUE"""),15.0)</f>
        <v>15</v>
      </c>
      <c r="K415" s="32">
        <f>IFERROR(__xludf.DUMMYFUNCTION("""COMPUTED_VALUE"""),100.0)</f>
        <v>100</v>
      </c>
      <c r="L415" s="32">
        <f>IFERROR(__xludf.DUMMYFUNCTION("""COMPUTED_VALUE"""),100.0)</f>
        <v>100</v>
      </c>
      <c r="M415" s="32" t="str">
        <f>IFERROR(__xludf.DUMMYFUNCTION("""COMPUTED_VALUE"""),"Fire:Immune, Water:Immune, Instant Death:Immune, Banishment:Immune, ")</f>
        <v>Fire:Immune, Water:Immune, Instant Death:Immune, Banishment:Immune, </v>
      </c>
      <c r="N415" s="32" t="str">
        <f>IFERROR(__xludf.DUMMYFUNCTION("""COMPUTED_VALUE"""),"")</f>
        <v/>
      </c>
      <c r="O415" s="32"/>
      <c r="P415" s="32"/>
      <c r="Q415" s="32"/>
      <c r="R415" s="32"/>
      <c r="S415" s="32"/>
      <c r="T415" s="32"/>
      <c r="U415" s="32"/>
      <c r="V415" s="32"/>
      <c r="W415" s="32"/>
      <c r="X415" s="32"/>
      <c r="Y415" s="32"/>
      <c r="Z415" s="32"/>
      <c r="AA415" s="32"/>
      <c r="AB415" s="32"/>
      <c r="AC415" s="32"/>
      <c r="AD415" s="32"/>
      <c r="AE415" s="32"/>
      <c r="AF415" s="32"/>
      <c r="AG415" s="32"/>
      <c r="AH415" s="32"/>
      <c r="AI415" s="32"/>
      <c r="AJ415" s="32" t="str">
        <f>IFERROR(__xludf.DUMMYFUNCTION("""COMPUTED_VALUE"""),"Greater Dragon's Breath")</f>
        <v>Greater Dragon's Breath</v>
      </c>
      <c r="AK415" s="32" t="str">
        <f>IFERROR(__xludf.DUMMYFUNCTION("""COMPUTED_VALUE"""),"Bite")</f>
        <v>Bite</v>
      </c>
      <c r="AL415" s="32" t="str">
        <f>IFERROR(__xludf.DUMMYFUNCTION("""COMPUTED_VALUE"""),"Tail Smash")</f>
        <v>Tail Smash</v>
      </c>
      <c r="AM415" s="32" t="str">
        <f>IFERROR(__xludf.DUMMYFUNCTION("""COMPUTED_VALUE"""),"Claws")</f>
        <v>Claws</v>
      </c>
      <c r="AN415" s="32" t="str">
        <f>IFERROR(__xludf.DUMMYFUNCTION("""COMPUTED_VALUE"""),"Berserk")</f>
        <v>Berserk</v>
      </c>
      <c r="AO415" s="32" t="str">
        <f>IFERROR(__xludf.DUMMYFUNCTION("""COMPUTED_VALUE"""),"Multishot")</f>
        <v>Multishot</v>
      </c>
      <c r="AP415" s="32" t="str">
        <f>IFERROR(__xludf.DUMMYFUNCTION("""COMPUTED_VALUE"""),"Draconic Scream")</f>
        <v>Draconic Scream</v>
      </c>
      <c r="AQ415" s="32" t="str">
        <f>IFERROR(__xludf.DUMMYFUNCTION("""COMPUTED_VALUE"""),"Chaincast")</f>
        <v>Chaincast</v>
      </c>
      <c r="AR415" s="32" t="str">
        <f>IFERROR(__xludf.DUMMYFUNCTION("""COMPUTED_VALUE"""),"Crashing Waves")</f>
        <v>Crashing Waves</v>
      </c>
      <c r="AS415" s="32" t="str">
        <f>IFERROR(__xludf.DUMMYFUNCTION("""COMPUTED_VALUE"""),"Torrential Downpour")</f>
        <v>Torrential Downpour</v>
      </c>
      <c r="AT415" s="32" t="str">
        <f>IFERROR(__xludf.DUMMYFUNCTION("""COMPUTED_VALUE"""),"Deep Freeze")</f>
        <v>Deep Freeze</v>
      </c>
      <c r="AU415" s="32" t="str">
        <f>IFERROR(__xludf.DUMMYFUNCTION("""COMPUTED_VALUE"""),"Celestial Wrath")</f>
        <v>Celestial Wrath</v>
      </c>
      <c r="AV415" s="32"/>
      <c r="AW415" s="32"/>
      <c r="AX415" s="32"/>
      <c r="AY415" s="32"/>
      <c r="AZ415" s="32"/>
      <c r="BA415" s="32"/>
      <c r="BB415" s="32"/>
      <c r="BC415" s="32"/>
      <c r="BD415" s="32">
        <f>IFERROR(__xludf.DUMMYFUNCTION("""COMPUTED_VALUE"""),15.0)</f>
        <v>15</v>
      </c>
      <c r="BE415" s="32">
        <f>IFERROR(__xludf.DUMMYFUNCTION("""COMPUTED_VALUE"""),10.0)</f>
        <v>10</v>
      </c>
      <c r="BF415"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32" t="str">
        <f>IFERROR(__xludf.DUMMYFUNCTION("""COMPUTED_VALUE"""),"All")</f>
        <v>All</v>
      </c>
      <c r="BH415" s="32" t="str">
        <f>IFERROR(__xludf.DUMMYFUNCTION("""COMPUTED_VALUE"""),"Abstara")</f>
        <v>Abstara</v>
      </c>
      <c r="BI415" s="32"/>
      <c r="BJ415" s="32"/>
      <c r="BK415" s="32"/>
      <c r="BL415" s="32" t="b">
        <f>IFERROR(__xludf.DUMMYFUNCTION("""COMPUTED_VALUE"""),FALSE)</f>
        <v>0</v>
      </c>
      <c r="BM415" s="32"/>
      <c r="BN415" s="32"/>
      <c r="BO415" s="32"/>
      <c r="BP415" s="32"/>
      <c r="BQ415" s="32"/>
    </row>
    <row r="416">
      <c r="A416" s="32" t="str">
        <f>IFERROR(__xludf.DUMMYFUNCTION("""COMPUTED_VALUE"""),"Ancient Astral Dragon")</f>
        <v>Ancient Astral Dragon</v>
      </c>
      <c r="B416" s="32">
        <f>IFERROR(__xludf.DUMMYFUNCTION("""COMPUTED_VALUE"""),1.0)</f>
        <v>1</v>
      </c>
      <c r="C416" s="32"/>
      <c r="D416" s="32" t="str">
        <f>IFERROR(__xludf.DUMMYFUNCTION("""COMPUTED_VALUE"""),"Draconic")</f>
        <v>Draconic</v>
      </c>
      <c r="E416" s="32">
        <f>IFERROR(__xludf.DUMMYFUNCTION("""COMPUTED_VALUE"""),1010.0)</f>
        <v>1010</v>
      </c>
      <c r="F416" s="33">
        <f>IFERROR(__xludf.DUMMYFUNCTION("""COMPUTED_VALUE"""),1010.0)</f>
        <v>1010</v>
      </c>
      <c r="G416" s="32">
        <f>IFERROR(__xludf.DUMMYFUNCTION("""COMPUTED_VALUE"""),1010.0)</f>
        <v>1010</v>
      </c>
      <c r="H416" s="32">
        <f>IFERROR(__xludf.DUMMYFUNCTION("""COMPUTED_VALUE"""),10.0)</f>
        <v>10</v>
      </c>
      <c r="I416" s="32">
        <f>IFERROR(__xludf.DUMMYFUNCTION("""COMPUTED_VALUE"""),15.0)</f>
        <v>15</v>
      </c>
      <c r="J416" s="32">
        <f>IFERROR(__xludf.DUMMYFUNCTION("""COMPUTED_VALUE"""),15.0)</f>
        <v>15</v>
      </c>
      <c r="K416" s="32">
        <f>IFERROR(__xludf.DUMMYFUNCTION("""COMPUTED_VALUE"""),100.0)</f>
        <v>100</v>
      </c>
      <c r="L416" s="32">
        <f>IFERROR(__xludf.DUMMYFUNCTION("""COMPUTED_VALUE"""),100.0)</f>
        <v>100</v>
      </c>
      <c r="M416" s="32" t="str">
        <f>IFERROR(__xludf.DUMMYFUNCTION("""COMPUTED_VALUE"""),"Astral:Immune, Instant Death:Immune, Banishment:Immune, ")</f>
        <v>Astral:Immune, Instant Death:Immune, Banishment:Immune, </v>
      </c>
      <c r="N416" s="32" t="str">
        <f>IFERROR(__xludf.DUMMYFUNCTION("""COMPUTED_VALUE"""),"Celestial:100, ")</f>
        <v>Celestial:100, </v>
      </c>
      <c r="O416" s="32"/>
      <c r="P416" s="32"/>
      <c r="Q416" s="32"/>
      <c r="R416" s="32"/>
      <c r="S416" s="32"/>
      <c r="T416" s="32"/>
      <c r="U416" s="32"/>
      <c r="V416" s="32"/>
      <c r="W416" s="32"/>
      <c r="X416" s="32"/>
      <c r="Y416" s="32"/>
      <c r="Z416" s="32"/>
      <c r="AA416" s="32"/>
      <c r="AB416" s="32"/>
      <c r="AC416" s="32"/>
      <c r="AD416" s="32"/>
      <c r="AE416" s="32"/>
      <c r="AF416" s="32"/>
      <c r="AG416" s="32"/>
      <c r="AH416" s="32"/>
      <c r="AI416" s="32"/>
      <c r="AJ416" s="32" t="str">
        <f>IFERROR(__xludf.DUMMYFUNCTION("""COMPUTED_VALUE"""),"Greater Dragon's Breath")</f>
        <v>Greater Dragon's Breath</v>
      </c>
      <c r="AK416" s="32" t="str">
        <f>IFERROR(__xludf.DUMMYFUNCTION("""COMPUTED_VALUE"""),"Bite")</f>
        <v>Bite</v>
      </c>
      <c r="AL416" s="32" t="str">
        <f>IFERROR(__xludf.DUMMYFUNCTION("""COMPUTED_VALUE"""),"Tail Smash")</f>
        <v>Tail Smash</v>
      </c>
      <c r="AM416" s="32" t="str">
        <f>IFERROR(__xludf.DUMMYFUNCTION("""COMPUTED_VALUE"""),"Claws")</f>
        <v>Claws</v>
      </c>
      <c r="AN416" s="32" t="str">
        <f>IFERROR(__xludf.DUMMYFUNCTION("""COMPUTED_VALUE"""),"Berserk")</f>
        <v>Berserk</v>
      </c>
      <c r="AO416" s="32" t="str">
        <f>IFERROR(__xludf.DUMMYFUNCTION("""COMPUTED_VALUE"""),"Multishot")</f>
        <v>Multishot</v>
      </c>
      <c r="AP416" s="32" t="str">
        <f>IFERROR(__xludf.DUMMYFUNCTION("""COMPUTED_VALUE"""),"Draconic Scream")</f>
        <v>Draconic Scream</v>
      </c>
      <c r="AQ416" s="32" t="str">
        <f>IFERROR(__xludf.DUMMYFUNCTION("""COMPUTED_VALUE"""),"Chaincast")</f>
        <v>Chaincast</v>
      </c>
      <c r="AR416" s="32" t="str">
        <f>IFERROR(__xludf.DUMMYFUNCTION("""COMPUTED_VALUE"""),"Black Hole")</f>
        <v>Black Hole</v>
      </c>
      <c r="AS416" s="32" t="str">
        <f>IFERROR(__xludf.DUMMYFUNCTION("""COMPUTED_VALUE"""),"Planetary Meteor Storm")</f>
        <v>Planetary Meteor Storm</v>
      </c>
      <c r="AT416" s="32" t="str">
        <f>IFERROR(__xludf.DUMMYFUNCTION("""COMPUTED_VALUE"""),"Lunar Ward")</f>
        <v>Lunar Ward</v>
      </c>
      <c r="AU416" s="32" t="str">
        <f>IFERROR(__xludf.DUMMYFUNCTION("""COMPUTED_VALUE"""),"Solar Ward")</f>
        <v>Solar Ward</v>
      </c>
      <c r="AV416" s="32" t="str">
        <f>IFERROR(__xludf.DUMMYFUNCTION("""COMPUTED_VALUE"""),"Celestial Wrath")</f>
        <v>Celestial Wrath</v>
      </c>
      <c r="AW416" s="32"/>
      <c r="AX416" s="32"/>
      <c r="AY416" s="32"/>
      <c r="AZ416" s="32"/>
      <c r="BA416" s="32"/>
      <c r="BB416" s="32"/>
      <c r="BC416" s="32"/>
      <c r="BD416" s="32">
        <f>IFERROR(__xludf.DUMMYFUNCTION("""COMPUTED_VALUE"""),15.0)</f>
        <v>15</v>
      </c>
      <c r="BE416" s="32">
        <f>IFERROR(__xludf.DUMMYFUNCTION("""COMPUTED_VALUE"""),10.0)</f>
        <v>10</v>
      </c>
      <c r="BF416"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32" t="str">
        <f>IFERROR(__xludf.DUMMYFUNCTION("""COMPUTED_VALUE"""),"All")</f>
        <v>All</v>
      </c>
      <c r="BH416" s="32" t="str">
        <f>IFERROR(__xludf.DUMMYFUNCTION("""COMPUTED_VALUE"""),"Abstara")</f>
        <v>Abstara</v>
      </c>
      <c r="BI416" s="32"/>
      <c r="BJ416" s="32"/>
      <c r="BK416" s="32"/>
      <c r="BL416" s="32" t="b">
        <f>IFERROR(__xludf.DUMMYFUNCTION("""COMPUTED_VALUE"""),FALSE)</f>
        <v>0</v>
      </c>
      <c r="BM416" s="32"/>
      <c r="BN416" s="32"/>
      <c r="BO416" s="32"/>
      <c r="BP416" s="32"/>
      <c r="BQ416" s="32"/>
    </row>
    <row r="417">
      <c r="A417" s="32" t="str">
        <f>IFERROR(__xludf.DUMMYFUNCTION("""COMPUTED_VALUE"""),"Ancient Celestial Dragon")</f>
        <v>Ancient Celestial Dragon</v>
      </c>
      <c r="B417" s="32">
        <f>IFERROR(__xludf.DUMMYFUNCTION("""COMPUTED_VALUE"""),1.0)</f>
        <v>1</v>
      </c>
      <c r="C417" s="32"/>
      <c r="D417" s="32" t="str">
        <f>IFERROR(__xludf.DUMMYFUNCTION("""COMPUTED_VALUE"""),"Draconic")</f>
        <v>Draconic</v>
      </c>
      <c r="E417" s="32">
        <f>IFERROR(__xludf.DUMMYFUNCTION("""COMPUTED_VALUE"""),1010.0)</f>
        <v>1010</v>
      </c>
      <c r="F417" s="33">
        <f>IFERROR(__xludf.DUMMYFUNCTION("""COMPUTED_VALUE"""),1010.0)</f>
        <v>1010</v>
      </c>
      <c r="G417" s="32">
        <f>IFERROR(__xludf.DUMMYFUNCTION("""COMPUTED_VALUE"""),1010.0)</f>
        <v>1010</v>
      </c>
      <c r="H417" s="32">
        <f>IFERROR(__xludf.DUMMYFUNCTION("""COMPUTED_VALUE"""),10.0)</f>
        <v>10</v>
      </c>
      <c r="I417" s="32">
        <f>IFERROR(__xludf.DUMMYFUNCTION("""COMPUTED_VALUE"""),15.0)</f>
        <v>15</v>
      </c>
      <c r="J417" s="32">
        <f>IFERROR(__xludf.DUMMYFUNCTION("""COMPUTED_VALUE"""),15.0)</f>
        <v>15</v>
      </c>
      <c r="K417" s="32">
        <f>IFERROR(__xludf.DUMMYFUNCTION("""COMPUTED_VALUE"""),100.0)</f>
        <v>100</v>
      </c>
      <c r="L417" s="32">
        <f>IFERROR(__xludf.DUMMYFUNCTION("""COMPUTED_VALUE"""),100.0)</f>
        <v>100</v>
      </c>
      <c r="M417" s="32" t="str">
        <f>IFERROR(__xludf.DUMMYFUNCTION("""COMPUTED_VALUE"""),"Celestial:Immune, Instant Death:Immune, Banishment:Immune, ")</f>
        <v>Celestial:Immune, Instant Death:Immune, Banishment:Immune, </v>
      </c>
      <c r="N417" s="32" t="str">
        <f>IFERROR(__xludf.DUMMYFUNCTION("""COMPUTED_VALUE"""),"Astral:100, ")</f>
        <v>Astral:100, </v>
      </c>
      <c r="O417" s="32"/>
      <c r="P417" s="32"/>
      <c r="Q417" s="32"/>
      <c r="R417" s="32"/>
      <c r="S417" s="32"/>
      <c r="T417" s="32"/>
      <c r="U417" s="32"/>
      <c r="V417" s="32"/>
      <c r="W417" s="32"/>
      <c r="X417" s="32"/>
      <c r="Y417" s="32"/>
      <c r="Z417" s="32"/>
      <c r="AA417" s="32"/>
      <c r="AB417" s="32"/>
      <c r="AC417" s="32"/>
      <c r="AD417" s="32"/>
      <c r="AE417" s="32"/>
      <c r="AF417" s="32"/>
      <c r="AG417" s="32"/>
      <c r="AH417" s="32"/>
      <c r="AI417" s="32"/>
      <c r="AJ417" s="32" t="str">
        <f>IFERROR(__xludf.DUMMYFUNCTION("""COMPUTED_VALUE"""),"Greater Dragon's Breath")</f>
        <v>Greater Dragon's Breath</v>
      </c>
      <c r="AK417" s="32" t="str">
        <f>IFERROR(__xludf.DUMMYFUNCTION("""COMPUTED_VALUE"""),"Bite")</f>
        <v>Bite</v>
      </c>
      <c r="AL417" s="32" t="str">
        <f>IFERROR(__xludf.DUMMYFUNCTION("""COMPUTED_VALUE"""),"Tail Smash")</f>
        <v>Tail Smash</v>
      </c>
      <c r="AM417" s="32" t="str">
        <f>IFERROR(__xludf.DUMMYFUNCTION("""COMPUTED_VALUE"""),"Claws")</f>
        <v>Claws</v>
      </c>
      <c r="AN417" s="32" t="str">
        <f>IFERROR(__xludf.DUMMYFUNCTION("""COMPUTED_VALUE"""),"Berserk")</f>
        <v>Berserk</v>
      </c>
      <c r="AO417" s="32" t="str">
        <f>IFERROR(__xludf.DUMMYFUNCTION("""COMPUTED_VALUE"""),"Multishot")</f>
        <v>Multishot</v>
      </c>
      <c r="AP417" s="32" t="str">
        <f>IFERROR(__xludf.DUMMYFUNCTION("""COMPUTED_VALUE"""),"Draconic Scream")</f>
        <v>Draconic Scream</v>
      </c>
      <c r="AQ417" s="32" t="str">
        <f>IFERROR(__xludf.DUMMYFUNCTION("""COMPUTED_VALUE"""),"Chaincast")</f>
        <v>Chaincast</v>
      </c>
      <c r="AR417" s="32" t="str">
        <f>IFERROR(__xludf.DUMMYFUNCTION("""COMPUTED_VALUE"""),"Mass Destruction")</f>
        <v>Mass Destruction</v>
      </c>
      <c r="AS417" s="32" t="str">
        <f>IFERROR(__xludf.DUMMYFUNCTION("""COMPUTED_VALUE"""),"Vaporize")</f>
        <v>Vaporize</v>
      </c>
      <c r="AT417" s="32" t="str">
        <f>IFERROR(__xludf.DUMMYFUNCTION("""COMPUTED_VALUE"""),"Celestial Wrath")</f>
        <v>Celestial Wrath</v>
      </c>
      <c r="AU417" s="32"/>
      <c r="AV417" s="32"/>
      <c r="AW417" s="32"/>
      <c r="AX417" s="32"/>
      <c r="AY417" s="32"/>
      <c r="AZ417" s="32"/>
      <c r="BA417" s="32"/>
      <c r="BB417" s="32"/>
      <c r="BC417" s="32"/>
      <c r="BD417" s="32">
        <f>IFERROR(__xludf.DUMMYFUNCTION("""COMPUTED_VALUE"""),15.0)</f>
        <v>15</v>
      </c>
      <c r="BE417" s="32">
        <f>IFERROR(__xludf.DUMMYFUNCTION("""COMPUTED_VALUE"""),10.0)</f>
        <v>10</v>
      </c>
      <c r="BF417"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32" t="str">
        <f>IFERROR(__xludf.DUMMYFUNCTION("""COMPUTED_VALUE"""),"All")</f>
        <v>All</v>
      </c>
      <c r="BH417" s="32" t="str">
        <f>IFERROR(__xludf.DUMMYFUNCTION("""COMPUTED_VALUE"""),"Abstara")</f>
        <v>Abstara</v>
      </c>
      <c r="BI417" s="32"/>
      <c r="BJ417" s="32"/>
      <c r="BK417" s="32"/>
      <c r="BL417" s="32" t="b">
        <f>IFERROR(__xludf.DUMMYFUNCTION("""COMPUTED_VALUE"""),FALSE)</f>
        <v>0</v>
      </c>
      <c r="BM417" s="32"/>
      <c r="BN417" s="32"/>
      <c r="BO417" s="32"/>
      <c r="BP417" s="32"/>
      <c r="BQ417" s="32"/>
    </row>
    <row r="418">
      <c r="A418" s="32" t="str">
        <f>IFERROR(__xludf.DUMMYFUNCTION("""COMPUTED_VALUE"""),"Ancient Chaos Dragon")</f>
        <v>Ancient Chaos Dragon</v>
      </c>
      <c r="B418" s="32">
        <f>IFERROR(__xludf.DUMMYFUNCTION("""COMPUTED_VALUE"""),1.0)</f>
        <v>1</v>
      </c>
      <c r="C418" s="32"/>
      <c r="D418" s="32" t="str">
        <f>IFERROR(__xludf.DUMMYFUNCTION("""COMPUTED_VALUE"""),"Draconic")</f>
        <v>Draconic</v>
      </c>
      <c r="E418" s="32">
        <f>IFERROR(__xludf.DUMMYFUNCTION("""COMPUTED_VALUE"""),1010.0)</f>
        <v>1010</v>
      </c>
      <c r="F418" s="33">
        <f>IFERROR(__xludf.DUMMYFUNCTION("""COMPUTED_VALUE"""),1010.0)</f>
        <v>1010</v>
      </c>
      <c r="G418" s="32">
        <f>IFERROR(__xludf.DUMMYFUNCTION("""COMPUTED_VALUE"""),1010.0)</f>
        <v>1010</v>
      </c>
      <c r="H418" s="32">
        <f>IFERROR(__xludf.DUMMYFUNCTION("""COMPUTED_VALUE"""),10.0)</f>
        <v>10</v>
      </c>
      <c r="I418" s="32">
        <f>IFERROR(__xludf.DUMMYFUNCTION("""COMPUTED_VALUE"""),15.0)</f>
        <v>15</v>
      </c>
      <c r="J418" s="32">
        <f>IFERROR(__xludf.DUMMYFUNCTION("""COMPUTED_VALUE"""),15.0)</f>
        <v>15</v>
      </c>
      <c r="K418" s="32">
        <f>IFERROR(__xludf.DUMMYFUNCTION("""COMPUTED_VALUE"""),100.0)</f>
        <v>100</v>
      </c>
      <c r="L418" s="32">
        <f>IFERROR(__xludf.DUMMYFUNCTION("""COMPUTED_VALUE"""),100.0)</f>
        <v>100</v>
      </c>
      <c r="M418" s="32" t="str">
        <f>IFERROR(__xludf.DUMMYFUNCTION("""COMPUTED_VALUE"""),"Chaos:Immune, Instant Death:Immune, Banishment:Immune, ")</f>
        <v>Chaos:Immune, Instant Death:Immune, Banishment:Immune, </v>
      </c>
      <c r="N418" s="32" t="str">
        <f>IFERROR(__xludf.DUMMYFUNCTION("""COMPUTED_VALUE"""),"Order:100, ")</f>
        <v>Order:100, </v>
      </c>
      <c r="O418" s="32"/>
      <c r="P418" s="32"/>
      <c r="Q418" s="32"/>
      <c r="R418" s="32"/>
      <c r="S418" s="32"/>
      <c r="T418" s="32"/>
      <c r="U418" s="32"/>
      <c r="V418" s="32"/>
      <c r="W418" s="32"/>
      <c r="X418" s="32"/>
      <c r="Y418" s="32"/>
      <c r="Z418" s="32"/>
      <c r="AA418" s="32"/>
      <c r="AB418" s="32"/>
      <c r="AC418" s="32"/>
      <c r="AD418" s="32"/>
      <c r="AE418" s="32"/>
      <c r="AF418" s="32"/>
      <c r="AG418" s="32"/>
      <c r="AH418" s="32"/>
      <c r="AI418" s="32"/>
      <c r="AJ418" s="32" t="str">
        <f>IFERROR(__xludf.DUMMYFUNCTION("""COMPUTED_VALUE"""),"Greater Dragon's Breath")</f>
        <v>Greater Dragon's Breath</v>
      </c>
      <c r="AK418" s="32" t="str">
        <f>IFERROR(__xludf.DUMMYFUNCTION("""COMPUTED_VALUE"""),"Bite")</f>
        <v>Bite</v>
      </c>
      <c r="AL418" s="32" t="str">
        <f>IFERROR(__xludf.DUMMYFUNCTION("""COMPUTED_VALUE"""),"Tail Smash")</f>
        <v>Tail Smash</v>
      </c>
      <c r="AM418" s="32" t="str">
        <f>IFERROR(__xludf.DUMMYFUNCTION("""COMPUTED_VALUE"""),"Claws")</f>
        <v>Claws</v>
      </c>
      <c r="AN418" s="32" t="str">
        <f>IFERROR(__xludf.DUMMYFUNCTION("""COMPUTED_VALUE"""),"Berserk")</f>
        <v>Berserk</v>
      </c>
      <c r="AO418" s="32" t="str">
        <f>IFERROR(__xludf.DUMMYFUNCTION("""COMPUTED_VALUE"""),"Multishot")</f>
        <v>Multishot</v>
      </c>
      <c r="AP418" s="32" t="str">
        <f>IFERROR(__xludf.DUMMYFUNCTION("""COMPUTED_VALUE"""),"Draconic Scream")</f>
        <v>Draconic Scream</v>
      </c>
      <c r="AQ418" s="32" t="str">
        <f>IFERROR(__xludf.DUMMYFUNCTION("""COMPUTED_VALUE"""),"Chaincast")</f>
        <v>Chaincast</v>
      </c>
      <c r="AR418" s="32" t="str">
        <f>IFERROR(__xludf.DUMMYFUNCTION("""COMPUTED_VALUE"""),"Chaos Ward")</f>
        <v>Chaos Ward</v>
      </c>
      <c r="AS418" s="32" t="str">
        <f>IFERROR(__xludf.DUMMYFUNCTION("""COMPUTED_VALUE"""),"Shatter")</f>
        <v>Shatter</v>
      </c>
      <c r="AT418" s="32" t="str">
        <f>IFERROR(__xludf.DUMMYFUNCTION("""COMPUTED_VALUE"""),"Dimensional Quake")</f>
        <v>Dimensional Quake</v>
      </c>
      <c r="AU418" s="32" t="str">
        <f>IFERROR(__xludf.DUMMYFUNCTION("""COMPUTED_VALUE"""),"Dimension Portal")</f>
        <v>Dimension Portal</v>
      </c>
      <c r="AV418" s="32" t="str">
        <f>IFERROR(__xludf.DUMMYFUNCTION("""COMPUTED_VALUE"""),"Damage With A Cost.")</f>
        <v>Damage With A Cost.</v>
      </c>
      <c r="AW418" s="32" t="str">
        <f>IFERROR(__xludf.DUMMYFUNCTION("""COMPUTED_VALUE"""),"Swallow")</f>
        <v>Swallow</v>
      </c>
      <c r="AX418" s="32" t="str">
        <f>IFERROR(__xludf.DUMMYFUNCTION("""COMPUTED_VALUE"""),"Celestial Wrath")</f>
        <v>Celestial Wrath</v>
      </c>
      <c r="AY418" s="32"/>
      <c r="AZ418" s="32"/>
      <c r="BA418" s="32"/>
      <c r="BB418" s="32"/>
      <c r="BC418" s="32"/>
      <c r="BD418" s="32">
        <f>IFERROR(__xludf.DUMMYFUNCTION("""COMPUTED_VALUE"""),15.0)</f>
        <v>15</v>
      </c>
      <c r="BE418" s="32">
        <f>IFERROR(__xludf.DUMMYFUNCTION("""COMPUTED_VALUE"""),10.0)</f>
        <v>10</v>
      </c>
      <c r="BF418"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32" t="str">
        <f>IFERROR(__xludf.DUMMYFUNCTION("""COMPUTED_VALUE"""),"All")</f>
        <v>All</v>
      </c>
      <c r="BH418" s="32" t="str">
        <f>IFERROR(__xludf.DUMMYFUNCTION("""COMPUTED_VALUE"""),"Abstara")</f>
        <v>Abstara</v>
      </c>
      <c r="BI418" s="32"/>
      <c r="BJ418" s="32"/>
      <c r="BK418" s="32"/>
      <c r="BL418" s="32" t="b">
        <f>IFERROR(__xludf.DUMMYFUNCTION("""COMPUTED_VALUE"""),FALSE)</f>
        <v>0</v>
      </c>
      <c r="BM418" s="32"/>
      <c r="BN418" s="32"/>
      <c r="BO418" s="32"/>
      <c r="BP418" s="32"/>
      <c r="BQ418" s="32"/>
    </row>
    <row r="419">
      <c r="A419" s="32" t="str">
        <f>IFERROR(__xludf.DUMMYFUNCTION("""COMPUTED_VALUE"""),"Ancient Dark Dragon")</f>
        <v>Ancient Dark Dragon</v>
      </c>
      <c r="B419" s="32">
        <f>IFERROR(__xludf.DUMMYFUNCTION("""COMPUTED_VALUE"""),1.0)</f>
        <v>1</v>
      </c>
      <c r="C419" s="32"/>
      <c r="D419" s="32" t="str">
        <f>IFERROR(__xludf.DUMMYFUNCTION("""COMPUTED_VALUE"""),"Draconic")</f>
        <v>Draconic</v>
      </c>
      <c r="E419" s="32">
        <f>IFERROR(__xludf.DUMMYFUNCTION("""COMPUTED_VALUE"""),1010.0)</f>
        <v>1010</v>
      </c>
      <c r="F419" s="33">
        <f>IFERROR(__xludf.DUMMYFUNCTION("""COMPUTED_VALUE"""),1010.0)</f>
        <v>1010</v>
      </c>
      <c r="G419" s="32">
        <f>IFERROR(__xludf.DUMMYFUNCTION("""COMPUTED_VALUE"""),1010.0)</f>
        <v>1010</v>
      </c>
      <c r="H419" s="32">
        <f>IFERROR(__xludf.DUMMYFUNCTION("""COMPUTED_VALUE"""),10.0)</f>
        <v>10</v>
      </c>
      <c r="I419" s="32">
        <f>IFERROR(__xludf.DUMMYFUNCTION("""COMPUTED_VALUE"""),15.0)</f>
        <v>15</v>
      </c>
      <c r="J419" s="32">
        <f>IFERROR(__xludf.DUMMYFUNCTION("""COMPUTED_VALUE"""),15.0)</f>
        <v>15</v>
      </c>
      <c r="K419" s="32">
        <f>IFERROR(__xludf.DUMMYFUNCTION("""COMPUTED_VALUE"""),100.0)</f>
        <v>100</v>
      </c>
      <c r="L419" s="32">
        <f>IFERROR(__xludf.DUMMYFUNCTION("""COMPUTED_VALUE"""),100.0)</f>
        <v>100</v>
      </c>
      <c r="M419" s="32" t="str">
        <f>IFERROR(__xludf.DUMMYFUNCTION("""COMPUTED_VALUE"""),"Dark:Immune, Instant Death:Immune, Banishment:Immune, ")</f>
        <v>Dark:Immune, Instant Death:Immune, Banishment:Immune, </v>
      </c>
      <c r="N419" s="32" t="str">
        <f>IFERROR(__xludf.DUMMYFUNCTION("""COMPUTED_VALUE"""),"Light:100, ")</f>
        <v>Light:100, </v>
      </c>
      <c r="O419" s="32"/>
      <c r="P419" s="32"/>
      <c r="Q419" s="32"/>
      <c r="R419" s="32"/>
      <c r="S419" s="32"/>
      <c r="T419" s="32"/>
      <c r="U419" s="32"/>
      <c r="V419" s="32"/>
      <c r="W419" s="32"/>
      <c r="X419" s="32"/>
      <c r="Y419" s="32"/>
      <c r="Z419" s="32"/>
      <c r="AA419" s="32"/>
      <c r="AB419" s="32"/>
      <c r="AC419" s="32"/>
      <c r="AD419" s="32"/>
      <c r="AE419" s="32"/>
      <c r="AF419" s="32"/>
      <c r="AG419" s="32"/>
      <c r="AH419" s="32"/>
      <c r="AI419" s="32"/>
      <c r="AJ419" s="32" t="str">
        <f>IFERROR(__xludf.DUMMYFUNCTION("""COMPUTED_VALUE"""),"Greater Dragon's Breath")</f>
        <v>Greater Dragon's Breath</v>
      </c>
      <c r="AK419" s="32" t="str">
        <f>IFERROR(__xludf.DUMMYFUNCTION("""COMPUTED_VALUE"""),"Bite")</f>
        <v>Bite</v>
      </c>
      <c r="AL419" s="32" t="str">
        <f>IFERROR(__xludf.DUMMYFUNCTION("""COMPUTED_VALUE"""),"Tail Smash")</f>
        <v>Tail Smash</v>
      </c>
      <c r="AM419" s="32" t="str">
        <f>IFERROR(__xludf.DUMMYFUNCTION("""COMPUTED_VALUE"""),"Claws")</f>
        <v>Claws</v>
      </c>
      <c r="AN419" s="32" t="str">
        <f>IFERROR(__xludf.DUMMYFUNCTION("""COMPUTED_VALUE"""),"Berserk")</f>
        <v>Berserk</v>
      </c>
      <c r="AO419" s="32" t="str">
        <f>IFERROR(__xludf.DUMMYFUNCTION("""COMPUTED_VALUE"""),"Multishot")</f>
        <v>Multishot</v>
      </c>
      <c r="AP419" s="32" t="str">
        <f>IFERROR(__xludf.DUMMYFUNCTION("""COMPUTED_VALUE"""),"Draconic Scream")</f>
        <v>Draconic Scream</v>
      </c>
      <c r="AQ419" s="32" t="str">
        <f>IFERROR(__xludf.DUMMYFUNCTION("""COMPUTED_VALUE"""),"Chaincast")</f>
        <v>Chaincast</v>
      </c>
      <c r="AR419" s="32" t="str">
        <f>IFERROR(__xludf.DUMMYFUNCTION("""COMPUTED_VALUE"""),"Darkest Abyss")</f>
        <v>Darkest Abyss</v>
      </c>
      <c r="AS419" s="32" t="str">
        <f>IFERROR(__xludf.DUMMYFUNCTION("""COMPUTED_VALUE"""),"Devolve")</f>
        <v>Devolve</v>
      </c>
      <c r="AT419" s="32" t="str">
        <f>IFERROR(__xludf.DUMMYFUNCTION("""COMPUTED_VALUE"""),"Dark Curse")</f>
        <v>Dark Curse</v>
      </c>
      <c r="AU419" s="32" t="str">
        <f>IFERROR(__xludf.DUMMYFUNCTION("""COMPUTED_VALUE"""),"Celestial Wrath")</f>
        <v>Celestial Wrath</v>
      </c>
      <c r="AV419" s="32"/>
      <c r="AW419" s="32"/>
      <c r="AX419" s="32"/>
      <c r="AY419" s="32"/>
      <c r="AZ419" s="32"/>
      <c r="BA419" s="32"/>
      <c r="BB419" s="32"/>
      <c r="BC419" s="32"/>
      <c r="BD419" s="32">
        <f>IFERROR(__xludf.DUMMYFUNCTION("""COMPUTED_VALUE"""),15.0)</f>
        <v>15</v>
      </c>
      <c r="BE419" s="32">
        <f>IFERROR(__xludf.DUMMYFUNCTION("""COMPUTED_VALUE"""),10.0)</f>
        <v>10</v>
      </c>
      <c r="BF419"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32" t="str">
        <f>IFERROR(__xludf.DUMMYFUNCTION("""COMPUTED_VALUE"""),"All")</f>
        <v>All</v>
      </c>
      <c r="BH419" s="32" t="str">
        <f>IFERROR(__xludf.DUMMYFUNCTION("""COMPUTED_VALUE"""),"Abstara")</f>
        <v>Abstara</v>
      </c>
      <c r="BI419" s="32"/>
      <c r="BJ419" s="32"/>
      <c r="BK419" s="32"/>
      <c r="BL419" s="32" t="b">
        <f>IFERROR(__xludf.DUMMYFUNCTION("""COMPUTED_VALUE"""),FALSE)</f>
        <v>0</v>
      </c>
      <c r="BM419" s="32"/>
      <c r="BN419" s="32"/>
      <c r="BO419" s="32"/>
      <c r="BP419" s="32"/>
      <c r="BQ419" s="32"/>
    </row>
    <row r="420">
      <c r="A420" s="32" t="str">
        <f>IFERROR(__xludf.DUMMYFUNCTION("""COMPUTED_VALUE"""),"Ancient Delta Dragon")</f>
        <v>Ancient Delta Dragon</v>
      </c>
      <c r="B420" s="32">
        <f>IFERROR(__xludf.DUMMYFUNCTION("""COMPUTED_VALUE"""),1.0)</f>
        <v>1</v>
      </c>
      <c r="C420" s="32"/>
      <c r="D420" s="32" t="str">
        <f>IFERROR(__xludf.DUMMYFUNCTION("""COMPUTED_VALUE"""),"Draconic")</f>
        <v>Draconic</v>
      </c>
      <c r="E420" s="32">
        <f>IFERROR(__xludf.DUMMYFUNCTION("""COMPUTED_VALUE"""),1010.0)</f>
        <v>1010</v>
      </c>
      <c r="F420" s="33">
        <f>IFERROR(__xludf.DUMMYFUNCTION("""COMPUTED_VALUE"""),1010.0)</f>
        <v>1010</v>
      </c>
      <c r="G420" s="32">
        <f>IFERROR(__xludf.DUMMYFUNCTION("""COMPUTED_VALUE"""),1010.0)</f>
        <v>1010</v>
      </c>
      <c r="H420" s="32">
        <f>IFERROR(__xludf.DUMMYFUNCTION("""COMPUTED_VALUE"""),10.0)</f>
        <v>10</v>
      </c>
      <c r="I420" s="32">
        <f>IFERROR(__xludf.DUMMYFUNCTION("""COMPUTED_VALUE"""),15.0)</f>
        <v>15</v>
      </c>
      <c r="J420" s="32">
        <f>IFERROR(__xludf.DUMMYFUNCTION("""COMPUTED_VALUE"""),15.0)</f>
        <v>15</v>
      </c>
      <c r="K420" s="32">
        <f>IFERROR(__xludf.DUMMYFUNCTION("""COMPUTED_VALUE"""),100.0)</f>
        <v>100</v>
      </c>
      <c r="L420" s="32">
        <f>IFERROR(__xludf.DUMMYFUNCTION("""COMPUTED_VALUE"""),100.0)</f>
        <v>100</v>
      </c>
      <c r="M420" s="32" t="str">
        <f>IFERROR(__xludf.DUMMYFUNCTION("""COMPUTED_VALUE"""),"Instant Death:Immune, Banishment:Immune, ")</f>
        <v>Instant Death:Immune, Banishment:Immune, </v>
      </c>
      <c r="N420" s="32" t="str">
        <f>IFERROR(__xludf.DUMMYFUNCTION("""COMPUTED_VALUE"""),"")</f>
        <v/>
      </c>
      <c r="O420" s="32"/>
      <c r="P420" s="32"/>
      <c r="Q420" s="32"/>
      <c r="R420" s="32"/>
      <c r="S420" s="32"/>
      <c r="T420" s="32"/>
      <c r="U420" s="32"/>
      <c r="V420" s="32"/>
      <c r="W420" s="32"/>
      <c r="X420" s="32"/>
      <c r="Y420" s="32"/>
      <c r="Z420" s="32"/>
      <c r="AA420" s="32"/>
      <c r="AB420" s="32"/>
      <c r="AC420" s="32"/>
      <c r="AD420" s="32"/>
      <c r="AE420" s="32"/>
      <c r="AF420" s="32"/>
      <c r="AG420" s="32"/>
      <c r="AH420" s="32"/>
      <c r="AI420" s="32"/>
      <c r="AJ420" s="32" t="str">
        <f>IFERROR(__xludf.DUMMYFUNCTION("""COMPUTED_VALUE"""),"Greater Dragon's Breath")</f>
        <v>Greater Dragon's Breath</v>
      </c>
      <c r="AK420" s="32" t="str">
        <f>IFERROR(__xludf.DUMMYFUNCTION("""COMPUTED_VALUE"""),"Bite")</f>
        <v>Bite</v>
      </c>
      <c r="AL420" s="32" t="str">
        <f>IFERROR(__xludf.DUMMYFUNCTION("""COMPUTED_VALUE"""),"Tail Smash")</f>
        <v>Tail Smash</v>
      </c>
      <c r="AM420" s="32" t="str">
        <f>IFERROR(__xludf.DUMMYFUNCTION("""COMPUTED_VALUE"""),"Claws")</f>
        <v>Claws</v>
      </c>
      <c r="AN420" s="32" t="str">
        <f>IFERROR(__xludf.DUMMYFUNCTION("""COMPUTED_VALUE"""),"Berserk")</f>
        <v>Berserk</v>
      </c>
      <c r="AO420" s="32" t="str">
        <f>IFERROR(__xludf.DUMMYFUNCTION("""COMPUTED_VALUE"""),"Multishot")</f>
        <v>Multishot</v>
      </c>
      <c r="AP420" s="32" t="str">
        <f>IFERROR(__xludf.DUMMYFUNCTION("""COMPUTED_VALUE"""),"Draconic Scream")</f>
        <v>Draconic Scream</v>
      </c>
      <c r="AQ420" s="32" t="str">
        <f>IFERROR(__xludf.DUMMYFUNCTION("""COMPUTED_VALUE"""),"Chaincast")</f>
        <v>Chaincast</v>
      </c>
      <c r="AR420" s="32" t="str">
        <f>IFERROR(__xludf.DUMMYFUNCTION("""COMPUTED_VALUE"""),"Delta World")</f>
        <v>Delta World</v>
      </c>
      <c r="AS420" s="32" t="str">
        <f>IFERROR(__xludf.DUMMYFUNCTION("""COMPUTED_VALUE"""),"Chaincast")</f>
        <v>Chaincast</v>
      </c>
      <c r="AT420" s="32" t="str">
        <f>IFERROR(__xludf.DUMMYFUNCTION("""COMPUTED_VALUE"""),"Delta Rock &amp; Roll")</f>
        <v>Delta Rock &amp; Roll</v>
      </c>
      <c r="AU420" s="32" t="str">
        <f>IFERROR(__xludf.DUMMYFUNCTION("""COMPUTED_VALUE"""),"Elemental Storm")</f>
        <v>Elemental Storm</v>
      </c>
      <c r="AV420" s="32" t="str">
        <f>IFERROR(__xludf.DUMMYFUNCTION("""COMPUTED_VALUE"""),"Dreading Storm")</f>
        <v>Dreading Storm</v>
      </c>
      <c r="AW420" s="32" t="str">
        <f>IFERROR(__xludf.DUMMYFUNCTION("""COMPUTED_VALUE"""),"Stun Negation")</f>
        <v>Stun Negation</v>
      </c>
      <c r="AX420" s="32" t="str">
        <f>IFERROR(__xludf.DUMMYFUNCTION("""COMPUTED_VALUE"""),"Celestial Wrath")</f>
        <v>Celestial Wrath</v>
      </c>
      <c r="AY420" s="32"/>
      <c r="AZ420" s="32"/>
      <c r="BA420" s="32"/>
      <c r="BB420" s="32"/>
      <c r="BC420" s="32"/>
      <c r="BD420" s="32">
        <f>IFERROR(__xludf.DUMMYFUNCTION("""COMPUTED_VALUE"""),15.0)</f>
        <v>15</v>
      </c>
      <c r="BE420" s="32">
        <f>IFERROR(__xludf.DUMMYFUNCTION("""COMPUTED_VALUE"""),10.0)</f>
        <v>10</v>
      </c>
      <c r="BF420"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32" t="str">
        <f>IFERROR(__xludf.DUMMYFUNCTION("""COMPUTED_VALUE"""),"All")</f>
        <v>All</v>
      </c>
      <c r="BH420" s="32" t="str">
        <f>IFERROR(__xludf.DUMMYFUNCTION("""COMPUTED_VALUE"""),"Abstara")</f>
        <v>Abstara</v>
      </c>
      <c r="BI420" s="32"/>
      <c r="BJ420" s="32"/>
      <c r="BK420" s="32"/>
      <c r="BL420" s="32" t="b">
        <f>IFERROR(__xludf.DUMMYFUNCTION("""COMPUTED_VALUE"""),FALSE)</f>
        <v>0</v>
      </c>
      <c r="BM420" s="32"/>
      <c r="BN420" s="32"/>
      <c r="BO420" s="32"/>
      <c r="BP420" s="32"/>
      <c r="BQ420" s="32"/>
    </row>
    <row r="421">
      <c r="A421" s="32" t="str">
        <f>IFERROR(__xludf.DUMMYFUNCTION("""COMPUTED_VALUE"""),"Ancient Forest Dragon")</f>
        <v>Ancient Forest Dragon</v>
      </c>
      <c r="B421" s="32">
        <f>IFERROR(__xludf.DUMMYFUNCTION("""COMPUTED_VALUE"""),1.0)</f>
        <v>1</v>
      </c>
      <c r="C421" s="32"/>
      <c r="D421" s="32" t="str">
        <f>IFERROR(__xludf.DUMMYFUNCTION("""COMPUTED_VALUE"""),"Draconic")</f>
        <v>Draconic</v>
      </c>
      <c r="E421" s="32">
        <f>IFERROR(__xludf.DUMMYFUNCTION("""COMPUTED_VALUE"""),1010.0)</f>
        <v>1010</v>
      </c>
      <c r="F421" s="33">
        <f>IFERROR(__xludf.DUMMYFUNCTION("""COMPUTED_VALUE"""),1010.0)</f>
        <v>1010</v>
      </c>
      <c r="G421" s="32">
        <f>IFERROR(__xludf.DUMMYFUNCTION("""COMPUTED_VALUE"""),1010.0)</f>
        <v>1010</v>
      </c>
      <c r="H421" s="32">
        <f>IFERROR(__xludf.DUMMYFUNCTION("""COMPUTED_VALUE"""),10.0)</f>
        <v>10</v>
      </c>
      <c r="I421" s="32">
        <f>IFERROR(__xludf.DUMMYFUNCTION("""COMPUTED_VALUE"""),15.0)</f>
        <v>15</v>
      </c>
      <c r="J421" s="32">
        <f>IFERROR(__xludf.DUMMYFUNCTION("""COMPUTED_VALUE"""),15.0)</f>
        <v>15</v>
      </c>
      <c r="K421" s="32">
        <f>IFERROR(__xludf.DUMMYFUNCTION("""COMPUTED_VALUE"""),100.0)</f>
        <v>100</v>
      </c>
      <c r="L421" s="32">
        <f>IFERROR(__xludf.DUMMYFUNCTION("""COMPUTED_VALUE"""),100.0)</f>
        <v>100</v>
      </c>
      <c r="M421" s="32" t="str">
        <f>IFERROR(__xludf.DUMMYFUNCTION("""COMPUTED_VALUE"""),"Nature:Immune, Instant Death:Immune, Banishment:Immune, ")</f>
        <v>Nature:Immune, Instant Death:Immune, Banishment:Immune, </v>
      </c>
      <c r="N421" s="32" t="str">
        <f>IFERROR(__xludf.DUMMYFUNCTION("""COMPUTED_VALUE"""),"Fire:100, Storm:100, ")</f>
        <v>Fire:100, Storm:100, </v>
      </c>
      <c r="O421" s="32"/>
      <c r="P421" s="32"/>
      <c r="Q421" s="32"/>
      <c r="R421" s="32"/>
      <c r="S421" s="32"/>
      <c r="T421" s="32"/>
      <c r="U421" s="32"/>
      <c r="V421" s="32"/>
      <c r="W421" s="32"/>
      <c r="X421" s="32"/>
      <c r="Y421" s="32"/>
      <c r="Z421" s="32"/>
      <c r="AA421" s="32"/>
      <c r="AB421" s="32"/>
      <c r="AC421" s="32"/>
      <c r="AD421" s="32"/>
      <c r="AE421" s="32"/>
      <c r="AF421" s="32"/>
      <c r="AG421" s="32"/>
      <c r="AH421" s="32"/>
      <c r="AI421" s="32"/>
      <c r="AJ421" s="32" t="str">
        <f>IFERROR(__xludf.DUMMYFUNCTION("""COMPUTED_VALUE"""),"Greater Dragon's Breath")</f>
        <v>Greater Dragon's Breath</v>
      </c>
      <c r="AK421" s="32" t="str">
        <f>IFERROR(__xludf.DUMMYFUNCTION("""COMPUTED_VALUE"""),"Bite")</f>
        <v>Bite</v>
      </c>
      <c r="AL421" s="32" t="str">
        <f>IFERROR(__xludf.DUMMYFUNCTION("""COMPUTED_VALUE"""),"Tail Smash")</f>
        <v>Tail Smash</v>
      </c>
      <c r="AM421" s="32" t="str">
        <f>IFERROR(__xludf.DUMMYFUNCTION("""COMPUTED_VALUE"""),"Claws")</f>
        <v>Claws</v>
      </c>
      <c r="AN421" s="32" t="str">
        <f>IFERROR(__xludf.DUMMYFUNCTION("""COMPUTED_VALUE"""),"Berserk")</f>
        <v>Berserk</v>
      </c>
      <c r="AO421" s="32" t="str">
        <f>IFERROR(__xludf.DUMMYFUNCTION("""COMPUTED_VALUE"""),"Multishot")</f>
        <v>Multishot</v>
      </c>
      <c r="AP421" s="32" t="str">
        <f>IFERROR(__xludf.DUMMYFUNCTION("""COMPUTED_VALUE"""),"Draconic Scream")</f>
        <v>Draconic Scream</v>
      </c>
      <c r="AQ421" s="32" t="str">
        <f>IFERROR(__xludf.DUMMYFUNCTION("""COMPUTED_VALUE"""),"Chaincast")</f>
        <v>Chaincast</v>
      </c>
      <c r="AR421" s="32" t="str">
        <f>IFERROR(__xludf.DUMMYFUNCTION("""COMPUTED_VALUE"""),"The Orb of Life")</f>
        <v>The Orb of Life</v>
      </c>
      <c r="AS421" s="32" t="str">
        <f>IFERROR(__xludf.DUMMYFUNCTION("""COMPUTED_VALUE"""),"Regrowth")</f>
        <v>Regrowth</v>
      </c>
      <c r="AT421" s="32" t="str">
        <f>IFERROR(__xludf.DUMMYFUNCTION("""COMPUTED_VALUE"""),"Entangle")</f>
        <v>Entangle</v>
      </c>
      <c r="AU421" s="32" t="str">
        <f>IFERROR(__xludf.DUMMYFUNCTION("""COMPUTED_VALUE"""),"Nature's Embrace")</f>
        <v>Nature's Embrace</v>
      </c>
      <c r="AV421" s="32" t="str">
        <f>IFERROR(__xludf.DUMMYFUNCTION("""COMPUTED_VALUE"""),"Celestial Wrath")</f>
        <v>Celestial Wrath</v>
      </c>
      <c r="AW421" s="32"/>
      <c r="AX421" s="32"/>
      <c r="AY421" s="32"/>
      <c r="AZ421" s="32"/>
      <c r="BA421" s="32"/>
      <c r="BB421" s="32"/>
      <c r="BC421" s="32"/>
      <c r="BD421" s="32">
        <f>IFERROR(__xludf.DUMMYFUNCTION("""COMPUTED_VALUE"""),15.0)</f>
        <v>15</v>
      </c>
      <c r="BE421" s="32">
        <f>IFERROR(__xludf.DUMMYFUNCTION("""COMPUTED_VALUE"""),10.0)</f>
        <v>10</v>
      </c>
      <c r="BF421"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32" t="str">
        <f>IFERROR(__xludf.DUMMYFUNCTION("""COMPUTED_VALUE"""),"All")</f>
        <v>All</v>
      </c>
      <c r="BH421" s="32" t="str">
        <f>IFERROR(__xludf.DUMMYFUNCTION("""COMPUTED_VALUE"""),"Abstara")</f>
        <v>Abstara</v>
      </c>
      <c r="BI421" s="32"/>
      <c r="BJ421" s="32"/>
      <c r="BK421" s="32"/>
      <c r="BL421" s="32" t="b">
        <f>IFERROR(__xludf.DUMMYFUNCTION("""COMPUTED_VALUE"""),FALSE)</f>
        <v>0</v>
      </c>
      <c r="BM421" s="32"/>
      <c r="BN421" s="32"/>
      <c r="BO421" s="32"/>
      <c r="BP421" s="32"/>
      <c r="BQ421" s="32"/>
    </row>
    <row r="422">
      <c r="A422" s="32" t="str">
        <f>IFERROR(__xludf.DUMMYFUNCTION("""COMPUTED_VALUE"""),"Ancient Frost Dragon")</f>
        <v>Ancient Frost Dragon</v>
      </c>
      <c r="B422" s="32">
        <f>IFERROR(__xludf.DUMMYFUNCTION("""COMPUTED_VALUE"""),1.0)</f>
        <v>1</v>
      </c>
      <c r="C422" s="32"/>
      <c r="D422" s="32" t="str">
        <f>IFERROR(__xludf.DUMMYFUNCTION("""COMPUTED_VALUE"""),"Draconic")</f>
        <v>Draconic</v>
      </c>
      <c r="E422" s="32">
        <f>IFERROR(__xludf.DUMMYFUNCTION("""COMPUTED_VALUE"""),1010.0)</f>
        <v>1010</v>
      </c>
      <c r="F422" s="33">
        <f>IFERROR(__xludf.DUMMYFUNCTION("""COMPUTED_VALUE"""),1010.0)</f>
        <v>1010</v>
      </c>
      <c r="G422" s="32">
        <f>IFERROR(__xludf.DUMMYFUNCTION("""COMPUTED_VALUE"""),1010.0)</f>
        <v>1010</v>
      </c>
      <c r="H422" s="32">
        <f>IFERROR(__xludf.DUMMYFUNCTION("""COMPUTED_VALUE"""),10.0)</f>
        <v>10</v>
      </c>
      <c r="I422" s="32">
        <f>IFERROR(__xludf.DUMMYFUNCTION("""COMPUTED_VALUE"""),15.0)</f>
        <v>15</v>
      </c>
      <c r="J422" s="32">
        <f>IFERROR(__xludf.DUMMYFUNCTION("""COMPUTED_VALUE"""),15.0)</f>
        <v>15</v>
      </c>
      <c r="K422" s="32">
        <f>IFERROR(__xludf.DUMMYFUNCTION("""COMPUTED_VALUE"""),100.0)</f>
        <v>100</v>
      </c>
      <c r="L422" s="32">
        <f>IFERROR(__xludf.DUMMYFUNCTION("""COMPUTED_VALUE"""),100.0)</f>
        <v>100</v>
      </c>
      <c r="M422" s="32" t="str">
        <f>IFERROR(__xludf.DUMMYFUNCTION("""COMPUTED_VALUE"""),"Water:Immune, Instant Death:Immune, Banishment:Immune, ")</f>
        <v>Water:Immune, Instant Death:Immune, Banishment:Immune, </v>
      </c>
      <c r="N422" s="32" t="str">
        <f>IFERROR(__xludf.DUMMYFUNCTION("""COMPUTED_VALUE"""),"Fire:100, Nature:100, ")</f>
        <v>Fire:100, Nature:100, </v>
      </c>
      <c r="O422" s="32"/>
      <c r="P422" s="32"/>
      <c r="Q422" s="32"/>
      <c r="R422" s="32"/>
      <c r="S422" s="32"/>
      <c r="T422" s="32"/>
      <c r="U422" s="32"/>
      <c r="V422" s="32"/>
      <c r="W422" s="32"/>
      <c r="X422" s="32"/>
      <c r="Y422" s="32"/>
      <c r="Z422" s="32"/>
      <c r="AA422" s="32"/>
      <c r="AB422" s="32"/>
      <c r="AC422" s="32"/>
      <c r="AD422" s="32"/>
      <c r="AE422" s="32"/>
      <c r="AF422" s="32"/>
      <c r="AG422" s="32"/>
      <c r="AH422" s="32"/>
      <c r="AI422" s="32"/>
      <c r="AJ422" s="32" t="str">
        <f>IFERROR(__xludf.DUMMYFUNCTION("""COMPUTED_VALUE"""),"Greater Dragon's Breath")</f>
        <v>Greater Dragon's Breath</v>
      </c>
      <c r="AK422" s="32" t="str">
        <f>IFERROR(__xludf.DUMMYFUNCTION("""COMPUTED_VALUE"""),"Bite")</f>
        <v>Bite</v>
      </c>
      <c r="AL422" s="32" t="str">
        <f>IFERROR(__xludf.DUMMYFUNCTION("""COMPUTED_VALUE"""),"Tail Smash")</f>
        <v>Tail Smash</v>
      </c>
      <c r="AM422" s="32" t="str">
        <f>IFERROR(__xludf.DUMMYFUNCTION("""COMPUTED_VALUE"""),"Claws")</f>
        <v>Claws</v>
      </c>
      <c r="AN422" s="32" t="str">
        <f>IFERROR(__xludf.DUMMYFUNCTION("""COMPUTED_VALUE"""),"Berserk")</f>
        <v>Berserk</v>
      </c>
      <c r="AO422" s="32" t="str">
        <f>IFERROR(__xludf.DUMMYFUNCTION("""COMPUTED_VALUE"""),"Multishot")</f>
        <v>Multishot</v>
      </c>
      <c r="AP422" s="32" t="str">
        <f>IFERROR(__xludf.DUMMYFUNCTION("""COMPUTED_VALUE"""),"Draconic Scream")</f>
        <v>Draconic Scream</v>
      </c>
      <c r="AQ422" s="32" t="str">
        <f>IFERROR(__xludf.DUMMYFUNCTION("""COMPUTED_VALUE"""),"Chaincast")</f>
        <v>Chaincast</v>
      </c>
      <c r="AR422" s="32" t="str">
        <f>IFERROR(__xludf.DUMMYFUNCTION("""COMPUTED_VALUE"""),"Freezing Fog")</f>
        <v>Freezing Fog</v>
      </c>
      <c r="AS422" s="32" t="str">
        <f>IFERROR(__xludf.DUMMYFUNCTION("""COMPUTED_VALUE"""),"HailStorm")</f>
        <v>HailStorm</v>
      </c>
      <c r="AT422" s="32" t="str">
        <f>IFERROR(__xludf.DUMMYFUNCTION("""COMPUTED_VALUE"""),"Blizzard")</f>
        <v>Blizzard</v>
      </c>
      <c r="AU422" s="32" t="str">
        <f>IFERROR(__xludf.DUMMYFUNCTION("""COMPUTED_VALUE"""),"Celestial Wrath")</f>
        <v>Celestial Wrath</v>
      </c>
      <c r="AV422" s="32"/>
      <c r="AW422" s="32"/>
      <c r="AX422" s="32"/>
      <c r="AY422" s="32"/>
      <c r="AZ422" s="32"/>
      <c r="BA422" s="32"/>
      <c r="BB422" s="32"/>
      <c r="BC422" s="32"/>
      <c r="BD422" s="32">
        <f>IFERROR(__xludf.DUMMYFUNCTION("""COMPUTED_VALUE"""),15.0)</f>
        <v>15</v>
      </c>
      <c r="BE422" s="32">
        <f>IFERROR(__xludf.DUMMYFUNCTION("""COMPUTED_VALUE"""),10.0)</f>
        <v>10</v>
      </c>
      <c r="BF422" s="32"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32" t="str">
        <f>IFERROR(__xludf.DUMMYFUNCTION("""COMPUTED_VALUE"""),"All")</f>
        <v>All</v>
      </c>
      <c r="BH422" s="32" t="str">
        <f>IFERROR(__xludf.DUMMYFUNCTION("""COMPUTED_VALUE"""),"Abstara")</f>
        <v>Abstara</v>
      </c>
      <c r="BI422" s="32"/>
      <c r="BJ422" s="32"/>
      <c r="BK422" s="32"/>
      <c r="BL422" s="32" t="b">
        <f>IFERROR(__xludf.DUMMYFUNCTION("""COMPUTED_VALUE"""),FALSE)</f>
        <v>0</v>
      </c>
      <c r="BM422" s="32"/>
      <c r="BN422" s="32"/>
      <c r="BO422" s="32"/>
      <c r="BP422" s="32"/>
      <c r="BQ422" s="32"/>
    </row>
    <row r="423">
      <c r="A423" s="32" t="str">
        <f>IFERROR(__xludf.DUMMYFUNCTION("""COMPUTED_VALUE"""),"Ancient Soul Dragon")</f>
        <v>Ancient Soul Dragon</v>
      </c>
      <c r="B423" s="32">
        <f>IFERROR(__xludf.DUMMYFUNCTION("""COMPUTED_VALUE"""),1.0)</f>
        <v>1</v>
      </c>
      <c r="C423" s="32"/>
      <c r="D423" s="32" t="str">
        <f>IFERROR(__xludf.DUMMYFUNCTION("""COMPUTED_VALUE"""),"Draconic")</f>
        <v>Draconic</v>
      </c>
      <c r="E423" s="32">
        <f>IFERROR(__xludf.DUMMYFUNCTION("""COMPUTED_VALUE"""),1010.0)</f>
        <v>1010</v>
      </c>
      <c r="F423" s="33">
        <f>IFERROR(__xludf.DUMMYFUNCTION("""COMPUTED_VALUE"""),1010.0)</f>
        <v>1010</v>
      </c>
      <c r="G423" s="32">
        <f>IFERROR(__xludf.DUMMYFUNCTION("""COMPUTED_VALUE"""),1010.0)</f>
        <v>1010</v>
      </c>
      <c r="H423" s="32">
        <f>IFERROR(__xludf.DUMMYFUNCTION("""COMPUTED_VALUE"""),10.0)</f>
        <v>10</v>
      </c>
      <c r="I423" s="32">
        <f>IFERROR(__xludf.DUMMYFUNCTION("""COMPUTED_VALUE"""),15.0)</f>
        <v>15</v>
      </c>
      <c r="J423" s="32">
        <f>IFERROR(__xludf.DUMMYFUNCTION("""COMPUTED_VALUE"""),15.0)</f>
        <v>15</v>
      </c>
      <c r="K423" s="32">
        <f>IFERROR(__xludf.DUMMYFUNCTION("""COMPUTED_VALUE"""),100.0)</f>
        <v>100</v>
      </c>
      <c r="L423" s="32">
        <f>IFERROR(__xludf.DUMMYFUNCTION("""COMPUTED_VALUE"""),100.0)</f>
        <v>100</v>
      </c>
      <c r="M423" s="32" t="str">
        <f>IFERROR(__xludf.DUMMYFUNCTION("""COMPUTED_VALUE"""),"Dark:Immune, Instant Death:Immune, Banishment:Immune, ")</f>
        <v>Dark:Immune, Instant Death:Immune, Banishment:Immune, </v>
      </c>
      <c r="N423" s="32" t="str">
        <f>IFERROR(__xludf.DUMMYFUNCTION("""COMPUTED_VALUE"""),"Fire:100, Light:100, ")</f>
        <v>Fire:100, Light:100, </v>
      </c>
      <c r="O423" s="32"/>
      <c r="P423" s="32"/>
      <c r="Q423" s="32"/>
      <c r="R423" s="32"/>
      <c r="S423" s="32"/>
      <c r="T423" s="32"/>
      <c r="U423" s="32"/>
      <c r="V423" s="32"/>
      <c r="W423" s="32"/>
      <c r="X423" s="32"/>
      <c r="Y423" s="32"/>
      <c r="Z423" s="32"/>
      <c r="AA423" s="32"/>
      <c r="AB423" s="32"/>
      <c r="AC423" s="32"/>
      <c r="AD423" s="32"/>
      <c r="AE423" s="32"/>
      <c r="AF423" s="32"/>
      <c r="AG423" s="32"/>
      <c r="AH423" s="32"/>
      <c r="AI423" s="32"/>
      <c r="AJ423" s="32" t="str">
        <f>IFERROR(__xludf.DUMMYFUNCTION("""COMPUTED_VALUE"""),"Greater Dragon's Breath")</f>
        <v>Greater Dragon's Breath</v>
      </c>
      <c r="AK423" s="32" t="str">
        <f>IFERROR(__xludf.DUMMYFUNCTION("""COMPUTED_VALUE"""),"Bite")</f>
        <v>Bite</v>
      </c>
      <c r="AL423" s="32" t="str">
        <f>IFERROR(__xludf.DUMMYFUNCTION("""COMPUTED_VALUE"""),"Tail Smash")</f>
        <v>Tail Smash</v>
      </c>
      <c r="AM423" s="32" t="str">
        <f>IFERROR(__xludf.DUMMYFUNCTION("""COMPUTED_VALUE"""),"Claws")</f>
        <v>Claws</v>
      </c>
      <c r="AN423" s="32" t="str">
        <f>IFERROR(__xludf.DUMMYFUNCTION("""COMPUTED_VALUE"""),"Berserk")</f>
        <v>Berserk</v>
      </c>
      <c r="AO423" s="32" t="str">
        <f>IFERROR(__xludf.DUMMYFUNCTION("""COMPUTED_VALUE"""),"Multishot")</f>
        <v>Multishot</v>
      </c>
      <c r="AP423" s="32" t="str">
        <f>IFERROR(__xludf.DUMMYFUNCTION("""COMPUTED_VALUE"""),"Draconic Scream")</f>
        <v>Draconic Scream</v>
      </c>
      <c r="AQ423" s="32" t="str">
        <f>IFERROR(__xludf.DUMMYFUNCTION("""COMPUTED_VALUE"""),"Chaincast")</f>
        <v>Chaincast</v>
      </c>
      <c r="AR423" s="32" t="str">
        <f>IFERROR(__xludf.DUMMYFUNCTION("""COMPUTED_VALUE"""),"Spirit Fog")</f>
        <v>Spirit Fog</v>
      </c>
      <c r="AS423" s="32" t="str">
        <f>IFERROR(__xludf.DUMMYFUNCTION("""COMPUTED_VALUE"""),"Rain of Souls")</f>
        <v>Rain of Souls</v>
      </c>
      <c r="AT423" s="32" t="str">
        <f>IFERROR(__xludf.DUMMYFUNCTION("""COMPUTED_VALUE"""),"Soul Trap")</f>
        <v>Soul Trap</v>
      </c>
      <c r="AU423" s="32" t="str">
        <f>IFERROR(__xludf.DUMMYFUNCTION("""COMPUTED_VALUE"""),"Celestial Wrath")</f>
        <v>Celestial Wrath</v>
      </c>
      <c r="AV423" s="32"/>
      <c r="AW423" s="32"/>
      <c r="AX423" s="32"/>
      <c r="AY423" s="32"/>
      <c r="AZ423" s="32"/>
      <c r="BA423" s="32"/>
      <c r="BB423" s="32"/>
      <c r="BC423" s="32"/>
      <c r="BD423" s="32">
        <f>IFERROR(__xludf.DUMMYFUNCTION("""COMPUTED_VALUE"""),15.0)</f>
        <v>15</v>
      </c>
      <c r="BE423" s="32">
        <f>IFERROR(__xludf.DUMMYFUNCTION("""COMPUTED_VALUE"""),10.0)</f>
        <v>10</v>
      </c>
      <c r="BF423" s="32"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32" t="str">
        <f>IFERROR(__xludf.DUMMYFUNCTION("""COMPUTED_VALUE"""),"All")</f>
        <v>All</v>
      </c>
      <c r="BH423" s="32" t="str">
        <f>IFERROR(__xludf.DUMMYFUNCTION("""COMPUTED_VALUE"""),"Abstara")</f>
        <v>Abstara</v>
      </c>
      <c r="BI423" s="32"/>
      <c r="BJ423" s="32"/>
      <c r="BK423" s="32"/>
      <c r="BL423" s="32" t="b">
        <f>IFERROR(__xludf.DUMMYFUNCTION("""COMPUTED_VALUE"""),FALSE)</f>
        <v>0</v>
      </c>
      <c r="BM423" s="32"/>
      <c r="BN423" s="32"/>
      <c r="BO423" s="32"/>
      <c r="BP423" s="32"/>
      <c r="BQ423" s="32"/>
    </row>
    <row r="424">
      <c r="A424" s="32" t="str">
        <f>IFERROR(__xludf.DUMMYFUNCTION("""COMPUTED_VALUE"""),"Ancient Spirit Dragon")</f>
        <v>Ancient Spirit Dragon</v>
      </c>
      <c r="B424" s="32">
        <f>IFERROR(__xludf.DUMMYFUNCTION("""COMPUTED_VALUE"""),1.0)</f>
        <v>1</v>
      </c>
      <c r="C424" s="32"/>
      <c r="D424" s="32" t="str">
        <f>IFERROR(__xludf.DUMMYFUNCTION("""COMPUTED_VALUE"""),"Draconic")</f>
        <v>Draconic</v>
      </c>
      <c r="E424" s="32">
        <f>IFERROR(__xludf.DUMMYFUNCTION("""COMPUTED_VALUE"""),1010.0)</f>
        <v>1010</v>
      </c>
      <c r="F424" s="33">
        <f>IFERROR(__xludf.DUMMYFUNCTION("""COMPUTED_VALUE"""),1010.0)</f>
        <v>1010</v>
      </c>
      <c r="G424" s="32">
        <f>IFERROR(__xludf.DUMMYFUNCTION("""COMPUTED_VALUE"""),1010.0)</f>
        <v>1010</v>
      </c>
      <c r="H424" s="32">
        <f>IFERROR(__xludf.DUMMYFUNCTION("""COMPUTED_VALUE"""),10.0)</f>
        <v>10</v>
      </c>
      <c r="I424" s="32">
        <f>IFERROR(__xludf.DUMMYFUNCTION("""COMPUTED_VALUE"""),15.0)</f>
        <v>15</v>
      </c>
      <c r="J424" s="32">
        <f>IFERROR(__xludf.DUMMYFUNCTION("""COMPUTED_VALUE"""),15.0)</f>
        <v>15</v>
      </c>
      <c r="K424" s="32">
        <f>IFERROR(__xludf.DUMMYFUNCTION("""COMPUTED_VALUE"""),100.0)</f>
        <v>100</v>
      </c>
      <c r="L424" s="32">
        <f>IFERROR(__xludf.DUMMYFUNCTION("""COMPUTED_VALUE"""),100.0)</f>
        <v>100</v>
      </c>
      <c r="M424" s="32" t="str">
        <f>IFERROR(__xludf.DUMMYFUNCTION("""COMPUTED_VALUE"""),"Dark:Immune, Instant Death:Immune, Banishment:Immune, ")</f>
        <v>Dark:Immune, Instant Death:Immune, Banishment:Immune, </v>
      </c>
      <c r="N424" s="32" t="str">
        <f>IFERROR(__xludf.DUMMYFUNCTION("""COMPUTED_VALUE"""),"Fire:100, Light:100, ")</f>
        <v>Fire:100, Light:100, </v>
      </c>
      <c r="O424" s="32"/>
      <c r="P424" s="32"/>
      <c r="Q424" s="32"/>
      <c r="R424" s="32"/>
      <c r="S424" s="32"/>
      <c r="T424" s="32"/>
      <c r="U424" s="32"/>
      <c r="V424" s="32"/>
      <c r="W424" s="32"/>
      <c r="X424" s="32"/>
      <c r="Y424" s="32"/>
      <c r="Z424" s="32"/>
      <c r="AA424" s="32"/>
      <c r="AB424" s="32"/>
      <c r="AC424" s="32"/>
      <c r="AD424" s="32"/>
      <c r="AE424" s="32"/>
      <c r="AF424" s="32"/>
      <c r="AG424" s="32"/>
      <c r="AH424" s="32"/>
      <c r="AI424" s="32"/>
      <c r="AJ424" s="32" t="str">
        <f>IFERROR(__xludf.DUMMYFUNCTION("""COMPUTED_VALUE"""),"Greater Dragon's Breath")</f>
        <v>Greater Dragon's Breath</v>
      </c>
      <c r="AK424" s="32" t="str">
        <f>IFERROR(__xludf.DUMMYFUNCTION("""COMPUTED_VALUE"""),"Bite")</f>
        <v>Bite</v>
      </c>
      <c r="AL424" s="32" t="str">
        <f>IFERROR(__xludf.DUMMYFUNCTION("""COMPUTED_VALUE"""),"Tail Smash")</f>
        <v>Tail Smash</v>
      </c>
      <c r="AM424" s="32" t="str">
        <f>IFERROR(__xludf.DUMMYFUNCTION("""COMPUTED_VALUE"""),"Claws")</f>
        <v>Claws</v>
      </c>
      <c r="AN424" s="32" t="str">
        <f>IFERROR(__xludf.DUMMYFUNCTION("""COMPUTED_VALUE"""),"Berserk")</f>
        <v>Berserk</v>
      </c>
      <c r="AO424" s="32" t="str">
        <f>IFERROR(__xludf.DUMMYFUNCTION("""COMPUTED_VALUE"""),"Multishot")</f>
        <v>Multishot</v>
      </c>
      <c r="AP424" s="32" t="str">
        <f>IFERROR(__xludf.DUMMYFUNCTION("""COMPUTED_VALUE"""),"Draconic Scream")</f>
        <v>Draconic Scream</v>
      </c>
      <c r="AQ424" s="32" t="str">
        <f>IFERROR(__xludf.DUMMYFUNCTION("""COMPUTED_VALUE"""),"Chaincast")</f>
        <v>Chaincast</v>
      </c>
      <c r="AR424" s="32" t="str">
        <f>IFERROR(__xludf.DUMMYFUNCTION("""COMPUTED_VALUE"""),"A Deal With The Spirit World")</f>
        <v>A Deal With The Spirit World</v>
      </c>
      <c r="AS424" s="32" t="str">
        <f>IFERROR(__xludf.DUMMYFUNCTION("""COMPUTED_VALUE"""),"Spirit Drain")</f>
        <v>Spirit Drain</v>
      </c>
      <c r="AT424" s="32" t="str">
        <f>IFERROR(__xludf.DUMMYFUNCTION("""COMPUTED_VALUE"""),"Possession")</f>
        <v>Possession</v>
      </c>
      <c r="AU424" s="32" t="str">
        <f>IFERROR(__xludf.DUMMYFUNCTION("""COMPUTED_VALUE"""),"Celestial Wrath")</f>
        <v>Celestial Wrath</v>
      </c>
      <c r="AV424" s="32" t="str">
        <f>IFERROR(__xludf.DUMMYFUNCTION("""COMPUTED_VALUE"""),"Spirit Fog")</f>
        <v>Spirit Fog</v>
      </c>
      <c r="AW424" s="32" t="str">
        <f>IFERROR(__xludf.DUMMYFUNCTION("""COMPUTED_VALUE"""),"Burning Dread")</f>
        <v>Burning Dread</v>
      </c>
      <c r="AX424" s="32"/>
      <c r="AY424" s="32"/>
      <c r="AZ424" s="32"/>
      <c r="BA424" s="32"/>
      <c r="BB424" s="32"/>
      <c r="BC424" s="32"/>
      <c r="BD424" s="32">
        <f>IFERROR(__xludf.DUMMYFUNCTION("""COMPUTED_VALUE"""),15.0)</f>
        <v>15</v>
      </c>
      <c r="BE424" s="32">
        <f>IFERROR(__xludf.DUMMYFUNCTION("""COMPUTED_VALUE"""),10.0)</f>
        <v>10</v>
      </c>
      <c r="BF424" s="32"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32" t="str">
        <f>IFERROR(__xludf.DUMMYFUNCTION("""COMPUTED_VALUE"""),"All")</f>
        <v>All</v>
      </c>
      <c r="BH424" s="32" t="str">
        <f>IFERROR(__xludf.DUMMYFUNCTION("""COMPUTED_VALUE"""),"Abstara")</f>
        <v>Abstara</v>
      </c>
      <c r="BI424" s="32"/>
      <c r="BJ424" s="32"/>
      <c r="BK424" s="32"/>
      <c r="BL424" s="32" t="b">
        <f>IFERROR(__xludf.DUMMYFUNCTION("""COMPUTED_VALUE"""),FALSE)</f>
        <v>0</v>
      </c>
      <c r="BM424" s="32"/>
      <c r="BN424" s="32"/>
      <c r="BO424" s="32"/>
      <c r="BP424" s="32"/>
      <c r="BQ424" s="32"/>
    </row>
    <row r="425">
      <c r="A425" s="32" t="str">
        <f>IFERROR(__xludf.DUMMYFUNCTION("""COMPUTED_VALUE"""),"Ancient Stone Dragon")</f>
        <v>Ancient Stone Dragon</v>
      </c>
      <c r="B425" s="32">
        <f>IFERROR(__xludf.DUMMYFUNCTION("""COMPUTED_VALUE"""),1.0)</f>
        <v>1</v>
      </c>
      <c r="C425" s="32"/>
      <c r="D425" s="32" t="str">
        <f>IFERROR(__xludf.DUMMYFUNCTION("""COMPUTED_VALUE"""),"Draconic")</f>
        <v>Draconic</v>
      </c>
      <c r="E425" s="32">
        <f>IFERROR(__xludf.DUMMYFUNCTION("""COMPUTED_VALUE"""),1010.0)</f>
        <v>1010</v>
      </c>
      <c r="F425" s="33">
        <f>IFERROR(__xludf.DUMMYFUNCTION("""COMPUTED_VALUE"""),1010.0)</f>
        <v>1010</v>
      </c>
      <c r="G425" s="32">
        <f>IFERROR(__xludf.DUMMYFUNCTION("""COMPUTED_VALUE"""),1010.0)</f>
        <v>1010</v>
      </c>
      <c r="H425" s="32">
        <f>IFERROR(__xludf.DUMMYFUNCTION("""COMPUTED_VALUE"""),10.0)</f>
        <v>10</v>
      </c>
      <c r="I425" s="32">
        <f>IFERROR(__xludf.DUMMYFUNCTION("""COMPUTED_VALUE"""),15.0)</f>
        <v>15</v>
      </c>
      <c r="J425" s="32">
        <f>IFERROR(__xludf.DUMMYFUNCTION("""COMPUTED_VALUE"""),15.0)</f>
        <v>15</v>
      </c>
      <c r="K425" s="32">
        <f>IFERROR(__xludf.DUMMYFUNCTION("""COMPUTED_VALUE"""),100.0)</f>
        <v>100</v>
      </c>
      <c r="L425" s="32">
        <f>IFERROR(__xludf.DUMMYFUNCTION("""COMPUTED_VALUE"""),100.0)</f>
        <v>100</v>
      </c>
      <c r="M425" s="32" t="str">
        <f>IFERROR(__xludf.DUMMYFUNCTION("""COMPUTED_VALUE"""),"Earth:Immune, Instant Death:Immune, Banishment:Immune, ")</f>
        <v>Earth:Immune, Instant Death:Immune, Banishment:Immune, </v>
      </c>
      <c r="N425" s="32" t="str">
        <f>IFERROR(__xludf.DUMMYFUNCTION("""COMPUTED_VALUE"""),"Water:100, Storm:100, ")</f>
        <v>Water:100, Storm:100, </v>
      </c>
      <c r="O425" s="32"/>
      <c r="P425" s="32"/>
      <c r="Q425" s="32"/>
      <c r="R425" s="32"/>
      <c r="S425" s="32"/>
      <c r="T425" s="32"/>
      <c r="U425" s="32"/>
      <c r="V425" s="32"/>
      <c r="W425" s="32"/>
      <c r="X425" s="32"/>
      <c r="Y425" s="32"/>
      <c r="Z425" s="32"/>
      <c r="AA425" s="32"/>
      <c r="AB425" s="32"/>
      <c r="AC425" s="32"/>
      <c r="AD425" s="32"/>
      <c r="AE425" s="32"/>
      <c r="AF425" s="32"/>
      <c r="AG425" s="32"/>
      <c r="AH425" s="32"/>
      <c r="AI425" s="32"/>
      <c r="AJ425" s="32" t="str">
        <f>IFERROR(__xludf.DUMMYFUNCTION("""COMPUTED_VALUE"""),"Greater Dragon's Breath")</f>
        <v>Greater Dragon's Breath</v>
      </c>
      <c r="AK425" s="32" t="str">
        <f>IFERROR(__xludf.DUMMYFUNCTION("""COMPUTED_VALUE"""),"Bite")</f>
        <v>Bite</v>
      </c>
      <c r="AL425" s="32" t="str">
        <f>IFERROR(__xludf.DUMMYFUNCTION("""COMPUTED_VALUE"""),"Tail Smash")</f>
        <v>Tail Smash</v>
      </c>
      <c r="AM425" s="32" t="str">
        <f>IFERROR(__xludf.DUMMYFUNCTION("""COMPUTED_VALUE"""),"Claws")</f>
        <v>Claws</v>
      </c>
      <c r="AN425" s="32" t="str">
        <f>IFERROR(__xludf.DUMMYFUNCTION("""COMPUTED_VALUE"""),"Berserk")</f>
        <v>Berserk</v>
      </c>
      <c r="AO425" s="32" t="str">
        <f>IFERROR(__xludf.DUMMYFUNCTION("""COMPUTED_VALUE"""),"Multishot")</f>
        <v>Multishot</v>
      </c>
      <c r="AP425" s="32" t="str">
        <f>IFERROR(__xludf.DUMMYFUNCTION("""COMPUTED_VALUE"""),"Draconic Scream")</f>
        <v>Draconic Scream</v>
      </c>
      <c r="AQ425" s="32" t="str">
        <f>IFERROR(__xludf.DUMMYFUNCTION("""COMPUTED_VALUE"""),"Chaincast")</f>
        <v>Chaincast</v>
      </c>
      <c r="AR425" s="32" t="str">
        <f>IFERROR(__xludf.DUMMYFUNCTION("""COMPUTED_VALUE"""),"Earthquake")</f>
        <v>Earthquake</v>
      </c>
      <c r="AS425" s="32" t="str">
        <f>IFERROR(__xludf.DUMMYFUNCTION("""COMPUTED_VALUE"""),"Rock Cycle")</f>
        <v>Rock Cycle</v>
      </c>
      <c r="AT425" s="32" t="str">
        <f>IFERROR(__xludf.DUMMYFUNCTION("""COMPUTED_VALUE"""),"Quicksand")</f>
        <v>Quicksand</v>
      </c>
      <c r="AU425" s="32" t="str">
        <f>IFERROR(__xludf.DUMMYFUNCTION("""COMPUTED_VALUE"""),"Celestial Wrath")</f>
        <v>Celestial Wrath</v>
      </c>
      <c r="AV425" s="32"/>
      <c r="AW425" s="32"/>
      <c r="AX425" s="32"/>
      <c r="AY425" s="32"/>
      <c r="AZ425" s="32"/>
      <c r="BA425" s="32"/>
      <c r="BB425" s="32"/>
      <c r="BC425" s="32"/>
      <c r="BD425" s="32">
        <f>IFERROR(__xludf.DUMMYFUNCTION("""COMPUTED_VALUE"""),15.0)</f>
        <v>15</v>
      </c>
      <c r="BE425" s="32">
        <f>IFERROR(__xludf.DUMMYFUNCTION("""COMPUTED_VALUE"""),10.0)</f>
        <v>10</v>
      </c>
      <c r="BF425"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32" t="str">
        <f>IFERROR(__xludf.DUMMYFUNCTION("""COMPUTED_VALUE"""),"All")</f>
        <v>All</v>
      </c>
      <c r="BH425" s="32" t="str">
        <f>IFERROR(__xludf.DUMMYFUNCTION("""COMPUTED_VALUE"""),"Abstara")</f>
        <v>Abstara</v>
      </c>
      <c r="BI425" s="32"/>
      <c r="BJ425" s="32"/>
      <c r="BK425" s="32"/>
      <c r="BL425" s="32" t="b">
        <f>IFERROR(__xludf.DUMMYFUNCTION("""COMPUTED_VALUE"""),FALSE)</f>
        <v>0</v>
      </c>
      <c r="BM425" s="32"/>
      <c r="BN425" s="32"/>
      <c r="BO425" s="32"/>
      <c r="BP425" s="32"/>
      <c r="BQ425" s="32"/>
    </row>
    <row r="426">
      <c r="A426" s="32"/>
      <c r="B426" s="32">
        <f>IFERROR(__xludf.DUMMYFUNCTION("""COMPUTED_VALUE"""),1.0)</f>
        <v>1</v>
      </c>
      <c r="C426" s="32"/>
      <c r="D426" s="32" t="str">
        <f>IFERROR(__xludf.DUMMYFUNCTION("""COMPUTED_VALUE"""),"Draconic")</f>
        <v>Draconic</v>
      </c>
      <c r="E426" s="32">
        <f>IFERROR(__xludf.DUMMYFUNCTION("""COMPUTED_VALUE"""),1010.0)</f>
        <v>1010</v>
      </c>
      <c r="F426" s="33">
        <f>IFERROR(__xludf.DUMMYFUNCTION("""COMPUTED_VALUE"""),1010.0)</f>
        <v>1010</v>
      </c>
      <c r="G426" s="32">
        <f>IFERROR(__xludf.DUMMYFUNCTION("""COMPUTED_VALUE"""),1010.0)</f>
        <v>1010</v>
      </c>
      <c r="H426" s="32">
        <f>IFERROR(__xludf.DUMMYFUNCTION("""COMPUTED_VALUE"""),10.0)</f>
        <v>10</v>
      </c>
      <c r="I426" s="32">
        <f>IFERROR(__xludf.DUMMYFUNCTION("""COMPUTED_VALUE"""),15.0)</f>
        <v>15</v>
      </c>
      <c r="J426" s="32">
        <f>IFERROR(__xludf.DUMMYFUNCTION("""COMPUTED_VALUE"""),15.0)</f>
        <v>15</v>
      </c>
      <c r="K426" s="32">
        <f>IFERROR(__xludf.DUMMYFUNCTION("""COMPUTED_VALUE"""),100.0)</f>
        <v>100</v>
      </c>
      <c r="L426" s="32">
        <f>IFERROR(__xludf.DUMMYFUNCTION("""COMPUTED_VALUE"""),100.0)</f>
        <v>100</v>
      </c>
      <c r="M426" s="32" t="str">
        <f>IFERROR(__xludf.DUMMYFUNCTION("""COMPUTED_VALUE"""),"#N/A")</f>
        <v>#N/A</v>
      </c>
      <c r="N426" s="32" t="str">
        <f>IFERROR(__xludf.DUMMYFUNCTION("""COMPUTED_VALUE"""),"#N/A")</f>
        <v>#N/A</v>
      </c>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f>IFERROR(__xludf.DUMMYFUNCTION("""COMPUTED_VALUE"""),0.0)</f>
        <v>0</v>
      </c>
      <c r="BE426" s="32">
        <f>IFERROR(__xludf.DUMMYFUNCTION("""COMPUTED_VALUE"""),10.0)</f>
        <v>10</v>
      </c>
      <c r="BF426" s="32"/>
      <c r="BG426" s="32" t="str">
        <f>IFERROR(__xludf.DUMMYFUNCTION("""COMPUTED_VALUE"""),"All")</f>
        <v>All</v>
      </c>
      <c r="BH426" s="32" t="str">
        <f>IFERROR(__xludf.DUMMYFUNCTION("""COMPUTED_VALUE"""),"Abstara")</f>
        <v>Abstara</v>
      </c>
      <c r="BI426" s="32"/>
      <c r="BJ426" s="32"/>
      <c r="BK426" s="32"/>
      <c r="BL426" s="32" t="b">
        <f>IFERROR(__xludf.DUMMYFUNCTION("""COMPUTED_VALUE"""),FALSE)</f>
        <v>0</v>
      </c>
      <c r="BM426" s="32"/>
      <c r="BN426" s="32"/>
      <c r="BO426" s="32"/>
      <c r="BP426" s="32"/>
      <c r="BQ426" s="32"/>
    </row>
    <row r="427">
      <c r="A427" s="32" t="str">
        <f>IFERROR(__xludf.DUMMYFUNCTION("""COMPUTED_VALUE"""),"Ancient Fire Dragon")</f>
        <v>Ancient Fire Dragon</v>
      </c>
      <c r="B427" s="32">
        <f>IFERROR(__xludf.DUMMYFUNCTION("""COMPUTED_VALUE"""),1.0)</f>
        <v>1</v>
      </c>
      <c r="C427" s="32"/>
      <c r="D427" s="32" t="str">
        <f>IFERROR(__xludf.DUMMYFUNCTION("""COMPUTED_VALUE"""),"Draconic")</f>
        <v>Draconic</v>
      </c>
      <c r="E427" s="32">
        <f>IFERROR(__xludf.DUMMYFUNCTION("""COMPUTED_VALUE"""),1010.0)</f>
        <v>1010</v>
      </c>
      <c r="F427" s="33">
        <f>IFERROR(__xludf.DUMMYFUNCTION("""COMPUTED_VALUE"""),1010.0)</f>
        <v>1010</v>
      </c>
      <c r="G427" s="32">
        <f>IFERROR(__xludf.DUMMYFUNCTION("""COMPUTED_VALUE"""),1010.0)</f>
        <v>1010</v>
      </c>
      <c r="H427" s="32">
        <f>IFERROR(__xludf.DUMMYFUNCTION("""COMPUTED_VALUE"""),10.0)</f>
        <v>10</v>
      </c>
      <c r="I427" s="32">
        <f>IFERROR(__xludf.DUMMYFUNCTION("""COMPUTED_VALUE"""),15.0)</f>
        <v>15</v>
      </c>
      <c r="J427" s="32">
        <f>IFERROR(__xludf.DUMMYFUNCTION("""COMPUTED_VALUE"""),15.0)</f>
        <v>15</v>
      </c>
      <c r="K427" s="32">
        <f>IFERROR(__xludf.DUMMYFUNCTION("""COMPUTED_VALUE"""),100.0)</f>
        <v>100</v>
      </c>
      <c r="L427" s="32">
        <f>IFERROR(__xludf.DUMMYFUNCTION("""COMPUTED_VALUE"""),100.0)</f>
        <v>100</v>
      </c>
      <c r="M427" s="32" t="str">
        <f>IFERROR(__xludf.DUMMYFUNCTION("""COMPUTED_VALUE"""),"Fire:Immune, Nature:Immune, Instant Death:Immune, Banishment:Immune, ")</f>
        <v>Fire:Immune, Nature:Immune, Instant Death:Immune, Banishment:Immune, </v>
      </c>
      <c r="N427" s="32" t="str">
        <f>IFERROR(__xludf.DUMMYFUNCTION("""COMPUTED_VALUE"""),"Water:100, ")</f>
        <v>Water:100, </v>
      </c>
      <c r="O427" s="32"/>
      <c r="P427" s="32"/>
      <c r="Q427" s="32"/>
      <c r="R427" s="32"/>
      <c r="S427" s="32"/>
      <c r="T427" s="32"/>
      <c r="U427" s="32"/>
      <c r="V427" s="32"/>
      <c r="W427" s="32"/>
      <c r="X427" s="32"/>
      <c r="Y427" s="32"/>
      <c r="Z427" s="32"/>
      <c r="AA427" s="32"/>
      <c r="AB427" s="32"/>
      <c r="AC427" s="32"/>
      <c r="AD427" s="32"/>
      <c r="AE427" s="32"/>
      <c r="AF427" s="32"/>
      <c r="AG427" s="32"/>
      <c r="AH427" s="32"/>
      <c r="AI427" s="32"/>
      <c r="AJ427" s="32" t="str">
        <f>IFERROR(__xludf.DUMMYFUNCTION("""COMPUTED_VALUE"""),"Greater Dragon's Breath")</f>
        <v>Greater Dragon's Breath</v>
      </c>
      <c r="AK427" s="32" t="str">
        <f>IFERROR(__xludf.DUMMYFUNCTION("""COMPUTED_VALUE"""),"Bite")</f>
        <v>Bite</v>
      </c>
      <c r="AL427" s="32" t="str">
        <f>IFERROR(__xludf.DUMMYFUNCTION("""COMPUTED_VALUE"""),"Tail Smash")</f>
        <v>Tail Smash</v>
      </c>
      <c r="AM427" s="32" t="str">
        <f>IFERROR(__xludf.DUMMYFUNCTION("""COMPUTED_VALUE"""),"Claws")</f>
        <v>Claws</v>
      </c>
      <c r="AN427" s="32" t="str">
        <f>IFERROR(__xludf.DUMMYFUNCTION("""COMPUTED_VALUE"""),"Berserk")</f>
        <v>Berserk</v>
      </c>
      <c r="AO427" s="32" t="str">
        <f>IFERROR(__xludf.DUMMYFUNCTION("""COMPUTED_VALUE"""),"Multishot")</f>
        <v>Multishot</v>
      </c>
      <c r="AP427" s="32" t="str">
        <f>IFERROR(__xludf.DUMMYFUNCTION("""COMPUTED_VALUE"""),"Draconic Scream")</f>
        <v>Draconic Scream</v>
      </c>
      <c r="AQ427" s="32" t="str">
        <f>IFERROR(__xludf.DUMMYFUNCTION("""COMPUTED_VALUE"""),"Chaincast")</f>
        <v>Chaincast</v>
      </c>
      <c r="AR427" s="32" t="str">
        <f>IFERROR(__xludf.DUMMYFUNCTION("""COMPUTED_VALUE"""),"Flame Sanctuary")</f>
        <v>Flame Sanctuary</v>
      </c>
      <c r="AS427" s="32" t="str">
        <f>IFERROR(__xludf.DUMMYFUNCTION("""COMPUTED_VALUE"""),"Meteor Shower")</f>
        <v>Meteor Shower</v>
      </c>
      <c r="AT427" s="32" t="str">
        <f>IFERROR(__xludf.DUMMYFUNCTION("""COMPUTED_VALUE"""),"Flame Thrower")</f>
        <v>Flame Thrower</v>
      </c>
      <c r="AU427" s="32" t="str">
        <f>IFERROR(__xludf.DUMMYFUNCTION("""COMPUTED_VALUE"""),"Celestial Wrath")</f>
        <v>Celestial Wrath</v>
      </c>
      <c r="AV427" s="32"/>
      <c r="AW427" s="32"/>
      <c r="AX427" s="32"/>
      <c r="AY427" s="32"/>
      <c r="AZ427" s="32"/>
      <c r="BA427" s="32"/>
      <c r="BB427" s="32"/>
      <c r="BC427" s="32"/>
      <c r="BD427" s="32">
        <f>IFERROR(__xludf.DUMMYFUNCTION("""COMPUTED_VALUE"""),15.0)</f>
        <v>15</v>
      </c>
      <c r="BE427" s="32">
        <f>IFERROR(__xludf.DUMMYFUNCTION("""COMPUTED_VALUE"""),10.0)</f>
        <v>10</v>
      </c>
      <c r="BF427"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32" t="str">
        <f>IFERROR(__xludf.DUMMYFUNCTION("""COMPUTED_VALUE"""),"All")</f>
        <v>All</v>
      </c>
      <c r="BH427" s="32" t="str">
        <f>IFERROR(__xludf.DUMMYFUNCTION("""COMPUTED_VALUE"""),"Abstara")</f>
        <v>Abstara</v>
      </c>
      <c r="BI427" s="32"/>
      <c r="BJ427" s="32"/>
      <c r="BK427" s="32"/>
      <c r="BL427" s="32" t="b">
        <f>IFERROR(__xludf.DUMMYFUNCTION("""COMPUTED_VALUE"""),FALSE)</f>
        <v>0</v>
      </c>
      <c r="BM427" s="32"/>
      <c r="BN427" s="32"/>
      <c r="BO427" s="32"/>
      <c r="BP427" s="32"/>
      <c r="BQ427" s="32"/>
    </row>
    <row r="428">
      <c r="A428" s="32"/>
      <c r="B428" s="32">
        <f>IFERROR(__xludf.DUMMYFUNCTION("""COMPUTED_VALUE"""),1.0)</f>
        <v>1</v>
      </c>
      <c r="C428" s="32"/>
      <c r="D428" s="32" t="str">
        <f>IFERROR(__xludf.DUMMYFUNCTION("""COMPUTED_VALUE"""),"Draconic")</f>
        <v>Draconic</v>
      </c>
      <c r="E428" s="32">
        <f>IFERROR(__xludf.DUMMYFUNCTION("""COMPUTED_VALUE"""),1010.0)</f>
        <v>1010</v>
      </c>
      <c r="F428" s="33">
        <f>IFERROR(__xludf.DUMMYFUNCTION("""COMPUTED_VALUE"""),1010.0)</f>
        <v>1010</v>
      </c>
      <c r="G428" s="32">
        <f>IFERROR(__xludf.DUMMYFUNCTION("""COMPUTED_VALUE"""),1010.0)</f>
        <v>1010</v>
      </c>
      <c r="H428" s="32">
        <f>IFERROR(__xludf.DUMMYFUNCTION("""COMPUTED_VALUE"""),10.0)</f>
        <v>10</v>
      </c>
      <c r="I428" s="32">
        <f>IFERROR(__xludf.DUMMYFUNCTION("""COMPUTED_VALUE"""),0.0)</f>
        <v>0</v>
      </c>
      <c r="J428" s="32">
        <f>IFERROR(__xludf.DUMMYFUNCTION("""COMPUTED_VALUE"""),0.0)</f>
        <v>0</v>
      </c>
      <c r="K428" s="32">
        <f>IFERROR(__xludf.DUMMYFUNCTION("""COMPUTED_VALUE"""),100.0)</f>
        <v>100</v>
      </c>
      <c r="L428" s="32">
        <f>IFERROR(__xludf.DUMMYFUNCTION("""COMPUTED_VALUE"""),100.0)</f>
        <v>100</v>
      </c>
      <c r="M428" s="32" t="str">
        <f>IFERROR(__xludf.DUMMYFUNCTION("""COMPUTED_VALUE"""),"#N/A")</f>
        <v>#N/A</v>
      </c>
      <c r="N428" s="32" t="str">
        <f>IFERROR(__xludf.DUMMYFUNCTION("""COMPUTED_VALUE"""),"#N/A")</f>
        <v>#N/A</v>
      </c>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f>IFERROR(__xludf.DUMMYFUNCTION("""COMPUTED_VALUE"""),0.0)</f>
        <v>0</v>
      </c>
      <c r="BE428" s="32">
        <f>IFERROR(__xludf.DUMMYFUNCTION("""COMPUTED_VALUE"""),10.0)</f>
        <v>10</v>
      </c>
      <c r="BF428" s="32"/>
      <c r="BG428" s="32"/>
      <c r="BH428" s="32"/>
      <c r="BI428" s="32"/>
      <c r="BJ428" s="32"/>
      <c r="BK428" s="32"/>
      <c r="BL428" s="32" t="b">
        <f>IFERROR(__xludf.DUMMYFUNCTION("""COMPUTED_VALUE"""),FALSE)</f>
        <v>0</v>
      </c>
      <c r="BM428" s="32"/>
      <c r="BN428" s="32"/>
      <c r="BO428" s="32"/>
      <c r="BP428" s="32"/>
      <c r="BQ428" s="32"/>
    </row>
    <row r="429">
      <c r="A429" s="32" t="str">
        <f>IFERROR(__xludf.DUMMYFUNCTION("""COMPUTED_VALUE"""),"Ancient Undead Dragon")</f>
        <v>Ancient Undead Dragon</v>
      </c>
      <c r="B429" s="32">
        <f>IFERROR(__xludf.DUMMYFUNCTION("""COMPUTED_VALUE"""),1.0)</f>
        <v>1</v>
      </c>
      <c r="C429" s="32"/>
      <c r="D429" s="32" t="str">
        <f>IFERROR(__xludf.DUMMYFUNCTION("""COMPUTED_VALUE"""),"Draconic")</f>
        <v>Draconic</v>
      </c>
      <c r="E429" s="32">
        <f>IFERROR(__xludf.DUMMYFUNCTION("""COMPUTED_VALUE"""),1010.0)</f>
        <v>1010</v>
      </c>
      <c r="F429" s="33">
        <f>IFERROR(__xludf.DUMMYFUNCTION("""COMPUTED_VALUE"""),1010.0)</f>
        <v>1010</v>
      </c>
      <c r="G429" s="32">
        <f>IFERROR(__xludf.DUMMYFUNCTION("""COMPUTED_VALUE"""),1010.0)</f>
        <v>1010</v>
      </c>
      <c r="H429" s="32">
        <f>IFERROR(__xludf.DUMMYFUNCTION("""COMPUTED_VALUE"""),10.0)</f>
        <v>10</v>
      </c>
      <c r="I429" s="32">
        <f>IFERROR(__xludf.DUMMYFUNCTION("""COMPUTED_VALUE"""),15.0)</f>
        <v>15</v>
      </c>
      <c r="J429" s="32">
        <f>IFERROR(__xludf.DUMMYFUNCTION("""COMPUTED_VALUE"""),15.0)</f>
        <v>15</v>
      </c>
      <c r="K429" s="32">
        <f>IFERROR(__xludf.DUMMYFUNCTION("""COMPUTED_VALUE"""),100.0)</f>
        <v>100</v>
      </c>
      <c r="L429" s="32">
        <f>IFERROR(__xludf.DUMMYFUNCTION("""COMPUTED_VALUE"""),100.0)</f>
        <v>100</v>
      </c>
      <c r="M429" s="32" t="str">
        <f>IFERROR(__xludf.DUMMYFUNCTION("""COMPUTED_VALUE"""),"Dark:Immune, Instant Death:Immune, Banishment:Immune, ")</f>
        <v>Dark:Immune, Instant Death:Immune, Banishment:Immune, </v>
      </c>
      <c r="N429" s="32" t="str">
        <f>IFERROR(__xludf.DUMMYFUNCTION("""COMPUTED_VALUE"""),"Fire:100, Light:100, ")</f>
        <v>Fire:100, Light:100, </v>
      </c>
      <c r="O429" s="32"/>
      <c r="P429" s="32"/>
      <c r="Q429" s="32"/>
      <c r="R429" s="32"/>
      <c r="S429" s="32"/>
      <c r="T429" s="32"/>
      <c r="U429" s="32"/>
      <c r="V429" s="32"/>
      <c r="W429" s="32"/>
      <c r="X429" s="32"/>
      <c r="Y429" s="32"/>
      <c r="Z429" s="32"/>
      <c r="AA429" s="32"/>
      <c r="AB429" s="32"/>
      <c r="AC429" s="32"/>
      <c r="AD429" s="32"/>
      <c r="AE429" s="32"/>
      <c r="AF429" s="32"/>
      <c r="AG429" s="32"/>
      <c r="AH429" s="32"/>
      <c r="AI429" s="32"/>
      <c r="AJ429" s="32" t="str">
        <f>IFERROR(__xludf.DUMMYFUNCTION("""COMPUTED_VALUE"""),"Greater Dragon's Breath")</f>
        <v>Greater Dragon's Breath</v>
      </c>
      <c r="AK429" s="32" t="str">
        <f>IFERROR(__xludf.DUMMYFUNCTION("""COMPUTED_VALUE"""),"Bite")</f>
        <v>Bite</v>
      </c>
      <c r="AL429" s="32" t="str">
        <f>IFERROR(__xludf.DUMMYFUNCTION("""COMPUTED_VALUE"""),"Tail Smash")</f>
        <v>Tail Smash</v>
      </c>
      <c r="AM429" s="32" t="str">
        <f>IFERROR(__xludf.DUMMYFUNCTION("""COMPUTED_VALUE"""),"Claws")</f>
        <v>Claws</v>
      </c>
      <c r="AN429" s="32" t="str">
        <f>IFERROR(__xludf.DUMMYFUNCTION("""COMPUTED_VALUE"""),"Berserk")</f>
        <v>Berserk</v>
      </c>
      <c r="AO429" s="32" t="str">
        <f>IFERROR(__xludf.DUMMYFUNCTION("""COMPUTED_VALUE"""),"Multishot")</f>
        <v>Multishot</v>
      </c>
      <c r="AP429" s="32" t="str">
        <f>IFERROR(__xludf.DUMMYFUNCTION("""COMPUTED_VALUE"""),"Draconic Scream")</f>
        <v>Draconic Scream</v>
      </c>
      <c r="AQ429" s="32" t="str">
        <f>IFERROR(__xludf.DUMMYFUNCTION("""COMPUTED_VALUE"""),"Chaincast")</f>
        <v>Chaincast</v>
      </c>
      <c r="AR429" s="32" t="str">
        <f>IFERROR(__xludf.DUMMYFUNCTION("""COMPUTED_VALUE"""),"Dark Curse")</f>
        <v>Dark Curse</v>
      </c>
      <c r="AS429" s="32" t="str">
        <f>IFERROR(__xludf.DUMMYFUNCTION("""COMPUTED_VALUE"""),"Dark Bolt")</f>
        <v>Dark Bolt</v>
      </c>
      <c r="AT429" s="32" t="str">
        <f>IFERROR(__xludf.DUMMYFUNCTION("""COMPUTED_VALUE"""),"Darkest Abyss")</f>
        <v>Darkest Abyss</v>
      </c>
      <c r="AU429" s="32" t="str">
        <f>IFERROR(__xludf.DUMMYFUNCTION("""COMPUTED_VALUE"""),"Celestial Wrath")</f>
        <v>Celestial Wrath</v>
      </c>
      <c r="AV429" s="32"/>
      <c r="AW429" s="32"/>
      <c r="AX429" s="32"/>
      <c r="AY429" s="32"/>
      <c r="AZ429" s="32"/>
      <c r="BA429" s="32"/>
      <c r="BB429" s="32"/>
      <c r="BC429" s="32"/>
      <c r="BD429" s="32">
        <f>IFERROR(__xludf.DUMMYFUNCTION("""COMPUTED_VALUE"""),15.0)</f>
        <v>15</v>
      </c>
      <c r="BE429" s="32">
        <f>IFERROR(__xludf.DUMMYFUNCTION("""COMPUTED_VALUE"""),10.0)</f>
        <v>10</v>
      </c>
      <c r="BF429" s="32"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32" t="str">
        <f>IFERROR(__xludf.DUMMYFUNCTION("""COMPUTED_VALUE"""),"All")</f>
        <v>All</v>
      </c>
      <c r="BH429" s="32" t="str">
        <f>IFERROR(__xludf.DUMMYFUNCTION("""COMPUTED_VALUE"""),"Abstara")</f>
        <v>Abstara</v>
      </c>
      <c r="BI429" s="32"/>
      <c r="BJ429" s="32"/>
      <c r="BK429" s="32"/>
      <c r="BL429" s="32" t="b">
        <f>IFERROR(__xludf.DUMMYFUNCTION("""COMPUTED_VALUE"""),FALSE)</f>
        <v>0</v>
      </c>
      <c r="BM429" s="32"/>
      <c r="BN429" s="32"/>
      <c r="BO429" s="32"/>
      <c r="BP429" s="32"/>
      <c r="BQ429" s="32"/>
    </row>
    <row r="430">
      <c r="A430" s="32" t="str">
        <f>IFERROR(__xludf.DUMMYFUNCTION("""COMPUTED_VALUE"""),"Ancient Crystal Dragon")</f>
        <v>Ancient Crystal Dragon</v>
      </c>
      <c r="B430" s="32">
        <f>IFERROR(__xludf.DUMMYFUNCTION("""COMPUTED_VALUE"""),1.0)</f>
        <v>1</v>
      </c>
      <c r="C430" s="32"/>
      <c r="D430" s="32" t="str">
        <f>IFERROR(__xludf.DUMMYFUNCTION("""COMPUTED_VALUE"""),"Draconic")</f>
        <v>Draconic</v>
      </c>
      <c r="E430" s="32">
        <f>IFERROR(__xludf.DUMMYFUNCTION("""COMPUTED_VALUE"""),1010.0)</f>
        <v>1010</v>
      </c>
      <c r="F430" s="33">
        <f>IFERROR(__xludf.DUMMYFUNCTION("""COMPUTED_VALUE"""),1010.0)</f>
        <v>1010</v>
      </c>
      <c r="G430" s="32">
        <f>IFERROR(__xludf.DUMMYFUNCTION("""COMPUTED_VALUE"""),1010.0)</f>
        <v>1010</v>
      </c>
      <c r="H430" s="32">
        <f>IFERROR(__xludf.DUMMYFUNCTION("""COMPUTED_VALUE"""),10.0)</f>
        <v>10</v>
      </c>
      <c r="I430" s="32">
        <f>IFERROR(__xludf.DUMMYFUNCTION("""COMPUTED_VALUE"""),15.0)</f>
        <v>15</v>
      </c>
      <c r="J430" s="32">
        <f>IFERROR(__xludf.DUMMYFUNCTION("""COMPUTED_VALUE"""),15.0)</f>
        <v>15</v>
      </c>
      <c r="K430" s="32">
        <f>IFERROR(__xludf.DUMMYFUNCTION("""COMPUTED_VALUE"""),100.0)</f>
        <v>100</v>
      </c>
      <c r="L430" s="32">
        <f>IFERROR(__xludf.DUMMYFUNCTION("""COMPUTED_VALUE"""),100.0)</f>
        <v>100</v>
      </c>
      <c r="M430" s="32" t="str">
        <f>IFERROR(__xludf.DUMMYFUNCTION("""COMPUTED_VALUE"""),"Earth:100, Instant Death:Immune, Banishment:Immune, ")</f>
        <v>Earth:100, Instant Death:Immune, Banishment:Immune, </v>
      </c>
      <c r="N430" s="32" t="str">
        <f>IFERROR(__xludf.DUMMYFUNCTION("""COMPUTED_VALUE"""),"Water:100, Storm:100, ")</f>
        <v>Water:100, Storm:100, </v>
      </c>
      <c r="O430" s="32"/>
      <c r="P430" s="32"/>
      <c r="Q430" s="32"/>
      <c r="R430" s="32"/>
      <c r="S430" s="32"/>
      <c r="T430" s="32"/>
      <c r="U430" s="32"/>
      <c r="V430" s="32"/>
      <c r="W430" s="32"/>
      <c r="X430" s="32"/>
      <c r="Y430" s="32"/>
      <c r="Z430" s="32"/>
      <c r="AA430" s="32"/>
      <c r="AB430" s="32"/>
      <c r="AC430" s="32"/>
      <c r="AD430" s="32"/>
      <c r="AE430" s="32"/>
      <c r="AF430" s="32"/>
      <c r="AG430" s="32"/>
      <c r="AH430" s="32"/>
      <c r="AI430" s="32"/>
      <c r="AJ430" s="32" t="str">
        <f>IFERROR(__xludf.DUMMYFUNCTION("""COMPUTED_VALUE"""),"Greater Dragon's Breath")</f>
        <v>Greater Dragon's Breath</v>
      </c>
      <c r="AK430" s="32" t="str">
        <f>IFERROR(__xludf.DUMMYFUNCTION("""COMPUTED_VALUE"""),"Bite")</f>
        <v>Bite</v>
      </c>
      <c r="AL430" s="32" t="str">
        <f>IFERROR(__xludf.DUMMYFUNCTION("""COMPUTED_VALUE"""),"Tail Smash")</f>
        <v>Tail Smash</v>
      </c>
      <c r="AM430" s="32" t="str">
        <f>IFERROR(__xludf.DUMMYFUNCTION("""COMPUTED_VALUE"""),"Claws")</f>
        <v>Claws</v>
      </c>
      <c r="AN430" s="32" t="str">
        <f>IFERROR(__xludf.DUMMYFUNCTION("""COMPUTED_VALUE"""),"Berserk")</f>
        <v>Berserk</v>
      </c>
      <c r="AO430" s="32" t="str">
        <f>IFERROR(__xludf.DUMMYFUNCTION("""COMPUTED_VALUE"""),"Multishot")</f>
        <v>Multishot</v>
      </c>
      <c r="AP430" s="32" t="str">
        <f>IFERROR(__xludf.DUMMYFUNCTION("""COMPUTED_VALUE"""),"Draconic Scream")</f>
        <v>Draconic Scream</v>
      </c>
      <c r="AQ430" s="32" t="str">
        <f>IFERROR(__xludf.DUMMYFUNCTION("""COMPUTED_VALUE"""),"Chaincast")</f>
        <v>Chaincast</v>
      </c>
      <c r="AR430" s="32" t="str">
        <f>IFERROR(__xludf.DUMMYFUNCTION("""COMPUTED_VALUE"""),"Searing Saphire Strike")</f>
        <v>Searing Saphire Strike</v>
      </c>
      <c r="AS430" s="32" t="str">
        <f>IFERROR(__xludf.DUMMYFUNCTION("""COMPUTED_VALUE"""),"Energizing Emerald Pulse")</f>
        <v>Energizing Emerald Pulse</v>
      </c>
      <c r="AT430" s="32" t="str">
        <f>IFERROR(__xludf.DUMMYFUNCTION("""COMPUTED_VALUE"""),"Molten Ruby Spikes")</f>
        <v>Molten Ruby Spikes</v>
      </c>
      <c r="AU430" s="32" t="str">
        <f>IFERROR(__xludf.DUMMYFUNCTION("""COMPUTED_VALUE"""),"Celestial Wrath")</f>
        <v>Celestial Wrath</v>
      </c>
      <c r="AV430" s="32"/>
      <c r="AW430" s="32"/>
      <c r="AX430" s="32"/>
      <c r="AY430" s="32"/>
      <c r="AZ430" s="32"/>
      <c r="BA430" s="32"/>
      <c r="BB430" s="32"/>
      <c r="BC430" s="32"/>
      <c r="BD430" s="32">
        <f>IFERROR(__xludf.DUMMYFUNCTION("""COMPUTED_VALUE"""),15.0)</f>
        <v>15</v>
      </c>
      <c r="BE430" s="32">
        <f>IFERROR(__xludf.DUMMYFUNCTION("""COMPUTED_VALUE"""),10.0)</f>
        <v>10</v>
      </c>
      <c r="BF430" s="3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32" t="str">
        <f>IFERROR(__xludf.DUMMYFUNCTION("""COMPUTED_VALUE"""),"All")</f>
        <v>All</v>
      </c>
      <c r="BH430" s="32" t="str">
        <f>IFERROR(__xludf.DUMMYFUNCTION("""COMPUTED_VALUE"""),"Abstara")</f>
        <v>Abstara</v>
      </c>
      <c r="BI430" s="32"/>
      <c r="BJ430" s="32"/>
      <c r="BK430" s="32"/>
      <c r="BL430" s="32" t="b">
        <f>IFERROR(__xludf.DUMMYFUNCTION("""COMPUTED_VALUE"""),FALSE)</f>
        <v>0</v>
      </c>
      <c r="BM430" s="32"/>
      <c r="BN430" s="32"/>
      <c r="BO430" s="32"/>
      <c r="BP430" s="32"/>
      <c r="BQ430" s="32"/>
    </row>
    <row r="431">
      <c r="A431" s="32" t="str">
        <f>IFERROR(__xludf.DUMMYFUNCTION("""COMPUTED_VALUE"""),"Divine Acid Dragon")</f>
        <v>Divine Acid Dragon</v>
      </c>
      <c r="B431" s="32">
        <f>IFERROR(__xludf.DUMMYFUNCTION("""COMPUTED_VALUE"""),1.0)</f>
        <v>1</v>
      </c>
      <c r="C431" s="32"/>
      <c r="D431" s="32" t="str">
        <f>IFERROR(__xludf.DUMMYFUNCTION("""COMPUTED_VALUE"""),"Draconic")</f>
        <v>Draconic</v>
      </c>
      <c r="E431" s="32">
        <f>IFERROR(__xludf.DUMMYFUNCTION("""COMPUTED_VALUE"""),1010.0)</f>
        <v>1010</v>
      </c>
      <c r="F431" s="33">
        <f>IFERROR(__xludf.DUMMYFUNCTION("""COMPUTED_VALUE"""),1010.0)</f>
        <v>1010</v>
      </c>
      <c r="G431" s="32">
        <f>IFERROR(__xludf.DUMMYFUNCTION("""COMPUTED_VALUE"""),1010.0)</f>
        <v>1010</v>
      </c>
      <c r="H431" s="32">
        <f>IFERROR(__xludf.DUMMYFUNCTION("""COMPUTED_VALUE"""),10.0)</f>
        <v>10</v>
      </c>
      <c r="I431" s="32">
        <f>IFERROR(__xludf.DUMMYFUNCTION("""COMPUTED_VALUE"""),20.0)</f>
        <v>20</v>
      </c>
      <c r="J431" s="32">
        <f>IFERROR(__xludf.DUMMYFUNCTION("""COMPUTED_VALUE"""),15.0)</f>
        <v>15</v>
      </c>
      <c r="K431" s="32">
        <f>IFERROR(__xludf.DUMMYFUNCTION("""COMPUTED_VALUE"""),100.0)</f>
        <v>100</v>
      </c>
      <c r="L431" s="32">
        <f>IFERROR(__xludf.DUMMYFUNCTION("""COMPUTED_VALUE"""),100.0)</f>
        <v>100</v>
      </c>
      <c r="M431" s="32" t="str">
        <f>IFERROR(__xludf.DUMMYFUNCTION("""COMPUTED_VALUE"""),"")</f>
        <v/>
      </c>
      <c r="N431" s="32" t="str">
        <f>IFERROR(__xludf.DUMMYFUNCTION("""COMPUTED_VALUE"""),"Fire:100, Storm:100, ")</f>
        <v>Fire:100, Storm:100, </v>
      </c>
      <c r="O431" s="32"/>
      <c r="P431" s="32"/>
      <c r="Q431" s="32"/>
      <c r="R431" s="32"/>
      <c r="S431" s="32"/>
      <c r="T431" s="32"/>
      <c r="U431" s="32"/>
      <c r="V431" s="32"/>
      <c r="W431" s="32"/>
      <c r="X431" s="32"/>
      <c r="Y431" s="32"/>
      <c r="Z431" s="32"/>
      <c r="AA431" s="32"/>
      <c r="AB431" s="32"/>
      <c r="AC431" s="32"/>
      <c r="AD431" s="32"/>
      <c r="AE431" s="32"/>
      <c r="AF431" s="32"/>
      <c r="AG431" s="32"/>
      <c r="AH431" s="32"/>
      <c r="AI431" s="32"/>
      <c r="AJ431" s="32" t="str">
        <f>IFERROR(__xludf.DUMMYFUNCTION("""COMPUTED_VALUE"""),"Greater Dragon's Breath")</f>
        <v>Greater Dragon's Breath</v>
      </c>
      <c r="AK431" s="32" t="str">
        <f>IFERROR(__xludf.DUMMYFUNCTION("""COMPUTED_VALUE"""),"Bite")</f>
        <v>Bite</v>
      </c>
      <c r="AL431" s="32" t="str">
        <f>IFERROR(__xludf.DUMMYFUNCTION("""COMPUTED_VALUE"""),"Tail Smash")</f>
        <v>Tail Smash</v>
      </c>
      <c r="AM431" s="32" t="str">
        <f>IFERROR(__xludf.DUMMYFUNCTION("""COMPUTED_VALUE"""),"Claws")</f>
        <v>Claws</v>
      </c>
      <c r="AN431" s="32" t="str">
        <f>IFERROR(__xludf.DUMMYFUNCTION("""COMPUTED_VALUE"""),"Berserk")</f>
        <v>Berserk</v>
      </c>
      <c r="AO431" s="32" t="str">
        <f>IFERROR(__xludf.DUMMYFUNCTION("""COMPUTED_VALUE"""),"Multishot")</f>
        <v>Multishot</v>
      </c>
      <c r="AP431" s="32" t="str">
        <f>IFERROR(__xludf.DUMMYFUNCTION("""COMPUTED_VALUE"""),"Draconic Scream")</f>
        <v>Draconic Scream</v>
      </c>
      <c r="AQ431" s="32" t="str">
        <f>IFERROR(__xludf.DUMMYFUNCTION("""COMPUTED_VALUE"""),"Chaincast")</f>
        <v>Chaincast</v>
      </c>
      <c r="AR431" s="32" t="str">
        <f>IFERROR(__xludf.DUMMYFUNCTION("""COMPUTED_VALUE"""),"Class 3 Poison")</f>
        <v>Class 3 Poison</v>
      </c>
      <c r="AS431" s="32" t="str">
        <f>IFERROR(__xludf.DUMMYFUNCTION("""COMPUTED_VALUE"""),"1000 Poisons Body")</f>
        <v>1000 Poisons Body</v>
      </c>
      <c r="AT431" s="32" t="str">
        <f>IFERROR(__xludf.DUMMYFUNCTION("""COMPUTED_VALUE"""),"Thorn Bush")</f>
        <v>Thorn Bush</v>
      </c>
      <c r="AU431" s="32" t="str">
        <f>IFERROR(__xludf.DUMMYFUNCTION("""COMPUTED_VALUE"""),"Poisonous Fumes")</f>
        <v>Poisonous Fumes</v>
      </c>
      <c r="AV431" s="32" t="str">
        <f>IFERROR(__xludf.DUMMYFUNCTION("""COMPUTED_VALUE"""),"Celestial Wrath")</f>
        <v>Celestial Wrath</v>
      </c>
      <c r="AW431" s="32"/>
      <c r="AX431" s="32"/>
      <c r="AY431" s="32"/>
      <c r="AZ431" s="32"/>
      <c r="BA431" s="32"/>
      <c r="BB431" s="32"/>
      <c r="BC431" s="32"/>
      <c r="BD431" s="32">
        <f>IFERROR(__xludf.DUMMYFUNCTION("""COMPUTED_VALUE"""),20.0)</f>
        <v>20</v>
      </c>
      <c r="BE431" s="32">
        <f>IFERROR(__xludf.DUMMYFUNCTION("""COMPUTED_VALUE"""),10.0)</f>
        <v>10</v>
      </c>
      <c r="BF431" s="32"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32" t="str">
        <f>IFERROR(__xludf.DUMMYFUNCTION("""COMPUTED_VALUE"""),"All")</f>
        <v>All</v>
      </c>
      <c r="BH431" s="32" t="str">
        <f>IFERROR(__xludf.DUMMYFUNCTION("""COMPUTED_VALUE"""),"Solreach")</f>
        <v>Solreach</v>
      </c>
      <c r="BI431" s="32"/>
      <c r="BJ431" s="32"/>
      <c r="BK431" s="32"/>
      <c r="BL431" s="32" t="b">
        <f>IFERROR(__xludf.DUMMYFUNCTION("""COMPUTED_VALUE"""),FALSE)</f>
        <v>0</v>
      </c>
      <c r="BM431" s="32"/>
      <c r="BN431" s="32"/>
      <c r="BO431" s="32"/>
      <c r="BP431" s="32"/>
      <c r="BQ431" s="32"/>
    </row>
    <row r="432">
      <c r="A432" s="32" t="str">
        <f>IFERROR(__xludf.DUMMYFUNCTION("""COMPUTED_VALUE"""),"Divine Water Dragon")</f>
        <v>Divine Water Dragon</v>
      </c>
      <c r="B432" s="32">
        <f>IFERROR(__xludf.DUMMYFUNCTION("""COMPUTED_VALUE"""),1.0)</f>
        <v>1</v>
      </c>
      <c r="C432" s="32"/>
      <c r="D432" s="32" t="str">
        <f>IFERROR(__xludf.DUMMYFUNCTION("""COMPUTED_VALUE"""),"Draconic")</f>
        <v>Draconic</v>
      </c>
      <c r="E432" s="32">
        <f>IFERROR(__xludf.DUMMYFUNCTION("""COMPUTED_VALUE"""),1010.0)</f>
        <v>1010</v>
      </c>
      <c r="F432" s="33">
        <f>IFERROR(__xludf.DUMMYFUNCTION("""COMPUTED_VALUE"""),1010.0)</f>
        <v>1010</v>
      </c>
      <c r="G432" s="32">
        <f>IFERROR(__xludf.DUMMYFUNCTION("""COMPUTED_VALUE"""),1010.0)</f>
        <v>1010</v>
      </c>
      <c r="H432" s="32">
        <f>IFERROR(__xludf.DUMMYFUNCTION("""COMPUTED_VALUE"""),10.0)</f>
        <v>10</v>
      </c>
      <c r="I432" s="32">
        <f>IFERROR(__xludf.DUMMYFUNCTION("""COMPUTED_VALUE"""),20.0)</f>
        <v>20</v>
      </c>
      <c r="J432" s="32">
        <f>IFERROR(__xludf.DUMMYFUNCTION("""COMPUTED_VALUE"""),15.0)</f>
        <v>15</v>
      </c>
      <c r="K432" s="32">
        <f>IFERROR(__xludf.DUMMYFUNCTION("""COMPUTED_VALUE"""),100.0)</f>
        <v>100</v>
      </c>
      <c r="L432" s="32">
        <f>IFERROR(__xludf.DUMMYFUNCTION("""COMPUTED_VALUE"""),100.0)</f>
        <v>100</v>
      </c>
      <c r="M432" s="32" t="str">
        <f>IFERROR(__xludf.DUMMYFUNCTION("""COMPUTED_VALUE"""),"Fire:Immune, Water:Immune, Instant Death:Immune, Banishment:Immune, ")</f>
        <v>Fire:Immune, Water:Immune, Instant Death:Immune, Banishment:Immune, </v>
      </c>
      <c r="N432" s="32" t="str">
        <f>IFERROR(__xludf.DUMMYFUNCTION("""COMPUTED_VALUE"""),"")</f>
        <v/>
      </c>
      <c r="O432" s="32"/>
      <c r="P432" s="32"/>
      <c r="Q432" s="32"/>
      <c r="R432" s="32"/>
      <c r="S432" s="32"/>
      <c r="T432" s="32"/>
      <c r="U432" s="32"/>
      <c r="V432" s="32"/>
      <c r="W432" s="32"/>
      <c r="X432" s="32"/>
      <c r="Y432" s="32"/>
      <c r="Z432" s="32"/>
      <c r="AA432" s="32"/>
      <c r="AB432" s="32"/>
      <c r="AC432" s="32"/>
      <c r="AD432" s="32"/>
      <c r="AE432" s="32"/>
      <c r="AF432" s="32"/>
      <c r="AG432" s="32"/>
      <c r="AH432" s="32"/>
      <c r="AI432" s="32"/>
      <c r="AJ432" s="32" t="str">
        <f>IFERROR(__xludf.DUMMYFUNCTION("""COMPUTED_VALUE"""),"Greater Dragon's Breath")</f>
        <v>Greater Dragon's Breath</v>
      </c>
      <c r="AK432" s="32" t="str">
        <f>IFERROR(__xludf.DUMMYFUNCTION("""COMPUTED_VALUE"""),"Bite")</f>
        <v>Bite</v>
      </c>
      <c r="AL432" s="32" t="str">
        <f>IFERROR(__xludf.DUMMYFUNCTION("""COMPUTED_VALUE"""),"Tail Smash")</f>
        <v>Tail Smash</v>
      </c>
      <c r="AM432" s="32" t="str">
        <f>IFERROR(__xludf.DUMMYFUNCTION("""COMPUTED_VALUE"""),"Claws")</f>
        <v>Claws</v>
      </c>
      <c r="AN432" s="32" t="str">
        <f>IFERROR(__xludf.DUMMYFUNCTION("""COMPUTED_VALUE"""),"Berserk")</f>
        <v>Berserk</v>
      </c>
      <c r="AO432" s="32" t="str">
        <f>IFERROR(__xludf.DUMMYFUNCTION("""COMPUTED_VALUE"""),"Multishot")</f>
        <v>Multishot</v>
      </c>
      <c r="AP432" s="32" t="str">
        <f>IFERROR(__xludf.DUMMYFUNCTION("""COMPUTED_VALUE"""),"Draconic Scream")</f>
        <v>Draconic Scream</v>
      </c>
      <c r="AQ432" s="32" t="str">
        <f>IFERROR(__xludf.DUMMYFUNCTION("""COMPUTED_VALUE"""),"Chaincast")</f>
        <v>Chaincast</v>
      </c>
      <c r="AR432" s="32" t="str">
        <f>IFERROR(__xludf.DUMMYFUNCTION("""COMPUTED_VALUE"""),"Crashing Waves")</f>
        <v>Crashing Waves</v>
      </c>
      <c r="AS432" s="32" t="str">
        <f>IFERROR(__xludf.DUMMYFUNCTION("""COMPUTED_VALUE"""),"Torrential Downpour")</f>
        <v>Torrential Downpour</v>
      </c>
      <c r="AT432" s="32" t="str">
        <f>IFERROR(__xludf.DUMMYFUNCTION("""COMPUTED_VALUE"""),"Deep Freeze")</f>
        <v>Deep Freeze</v>
      </c>
      <c r="AU432" s="32" t="str">
        <f>IFERROR(__xludf.DUMMYFUNCTION("""COMPUTED_VALUE"""),"Celestial Wrath")</f>
        <v>Celestial Wrath</v>
      </c>
      <c r="AV432" s="32"/>
      <c r="AW432" s="32"/>
      <c r="AX432" s="32"/>
      <c r="AY432" s="32"/>
      <c r="AZ432" s="32"/>
      <c r="BA432" s="32"/>
      <c r="BB432" s="32"/>
      <c r="BC432" s="32"/>
      <c r="BD432" s="32">
        <f>IFERROR(__xludf.DUMMYFUNCTION("""COMPUTED_VALUE"""),20.0)</f>
        <v>20</v>
      </c>
      <c r="BE432" s="32">
        <f>IFERROR(__xludf.DUMMYFUNCTION("""COMPUTED_VALUE"""),10.0)</f>
        <v>10</v>
      </c>
      <c r="BF432" s="32" t="str">
        <f>IFERROR(__xludf.DUMMYFUNCTION("""COMPUTED_VALUE"""),"Unaffected by any spells affecting this creature
Dragons Luck II: +10 can be added to this mobs d20 rolls.")</f>
        <v>Unaffected by any spells affecting this creature
Dragons Luck II: +10 can be added to this mobs d20 rolls.</v>
      </c>
      <c r="BG432" s="32" t="str">
        <f>IFERROR(__xludf.DUMMYFUNCTION("""COMPUTED_VALUE"""),"All")</f>
        <v>All</v>
      </c>
      <c r="BH432" s="32" t="str">
        <f>IFERROR(__xludf.DUMMYFUNCTION("""COMPUTED_VALUE"""),"Solreach")</f>
        <v>Solreach</v>
      </c>
      <c r="BI432" s="32"/>
      <c r="BJ432" s="32"/>
      <c r="BK432" s="32"/>
      <c r="BL432" s="32" t="b">
        <f>IFERROR(__xludf.DUMMYFUNCTION("""COMPUTED_VALUE"""),FALSE)</f>
        <v>0</v>
      </c>
      <c r="BM432" s="32"/>
      <c r="BN432" s="32"/>
      <c r="BO432" s="32"/>
      <c r="BP432" s="32"/>
      <c r="BQ432" s="32"/>
    </row>
    <row r="433">
      <c r="A433" s="32" t="str">
        <f>IFERROR(__xludf.DUMMYFUNCTION("""COMPUTED_VALUE"""),"Divine Astral Dragon")</f>
        <v>Divine Astral Dragon</v>
      </c>
      <c r="B433" s="32">
        <f>IFERROR(__xludf.DUMMYFUNCTION("""COMPUTED_VALUE"""),1.0)</f>
        <v>1</v>
      </c>
      <c r="C433" s="32"/>
      <c r="D433" s="32" t="str">
        <f>IFERROR(__xludf.DUMMYFUNCTION("""COMPUTED_VALUE"""),"Draconic")</f>
        <v>Draconic</v>
      </c>
      <c r="E433" s="32">
        <f>IFERROR(__xludf.DUMMYFUNCTION("""COMPUTED_VALUE"""),1010.0)</f>
        <v>1010</v>
      </c>
      <c r="F433" s="33">
        <f>IFERROR(__xludf.DUMMYFUNCTION("""COMPUTED_VALUE"""),1010.0)</f>
        <v>1010</v>
      </c>
      <c r="G433" s="32">
        <f>IFERROR(__xludf.DUMMYFUNCTION("""COMPUTED_VALUE"""),1010.0)</f>
        <v>1010</v>
      </c>
      <c r="H433" s="32">
        <f>IFERROR(__xludf.DUMMYFUNCTION("""COMPUTED_VALUE"""),10.0)</f>
        <v>10</v>
      </c>
      <c r="I433" s="32">
        <f>IFERROR(__xludf.DUMMYFUNCTION("""COMPUTED_VALUE"""),20.0)</f>
        <v>20</v>
      </c>
      <c r="J433" s="32">
        <f>IFERROR(__xludf.DUMMYFUNCTION("""COMPUTED_VALUE"""),20.0)</f>
        <v>20</v>
      </c>
      <c r="K433" s="32">
        <f>IFERROR(__xludf.DUMMYFUNCTION("""COMPUTED_VALUE"""),100.0)</f>
        <v>100</v>
      </c>
      <c r="L433" s="32">
        <f>IFERROR(__xludf.DUMMYFUNCTION("""COMPUTED_VALUE"""),100.0)</f>
        <v>100</v>
      </c>
      <c r="M433" s="32" t="str">
        <f>IFERROR(__xludf.DUMMYFUNCTION("""COMPUTED_VALUE"""),"Astral:Immune, Instant Death:Immune, Banishment:Immune, ")</f>
        <v>Astral:Immune, Instant Death:Immune, Banishment:Immune, </v>
      </c>
      <c r="N433" s="32" t="str">
        <f>IFERROR(__xludf.DUMMYFUNCTION("""COMPUTED_VALUE"""),"Celestial:100, ")</f>
        <v>Celestial:100, </v>
      </c>
      <c r="O433" s="32"/>
      <c r="P433" s="32"/>
      <c r="Q433" s="32"/>
      <c r="R433" s="32"/>
      <c r="S433" s="32"/>
      <c r="T433" s="32"/>
      <c r="U433" s="32"/>
      <c r="V433" s="32"/>
      <c r="W433" s="32"/>
      <c r="X433" s="32"/>
      <c r="Y433" s="32"/>
      <c r="Z433" s="32"/>
      <c r="AA433" s="32"/>
      <c r="AB433" s="32"/>
      <c r="AC433" s="32"/>
      <c r="AD433" s="32"/>
      <c r="AE433" s="32"/>
      <c r="AF433" s="32"/>
      <c r="AG433" s="32"/>
      <c r="AH433" s="32"/>
      <c r="AI433" s="32"/>
      <c r="AJ433" s="32" t="str">
        <f>IFERROR(__xludf.DUMMYFUNCTION("""COMPUTED_VALUE"""),"Divine Dragon's Breath")</f>
        <v>Divine Dragon's Breath</v>
      </c>
      <c r="AK433" s="32" t="str">
        <f>IFERROR(__xludf.DUMMYFUNCTION("""COMPUTED_VALUE"""),"Bite")</f>
        <v>Bite</v>
      </c>
      <c r="AL433" s="32" t="str">
        <f>IFERROR(__xludf.DUMMYFUNCTION("""COMPUTED_VALUE"""),"Tail Smash")</f>
        <v>Tail Smash</v>
      </c>
      <c r="AM433" s="32" t="str">
        <f>IFERROR(__xludf.DUMMYFUNCTION("""COMPUTED_VALUE"""),"Claws")</f>
        <v>Claws</v>
      </c>
      <c r="AN433" s="32" t="str">
        <f>IFERROR(__xludf.DUMMYFUNCTION("""COMPUTED_VALUE"""),"Berserk")</f>
        <v>Berserk</v>
      </c>
      <c r="AO433" s="32" t="str">
        <f>IFERROR(__xludf.DUMMYFUNCTION("""COMPUTED_VALUE"""),"Multishot")</f>
        <v>Multishot</v>
      </c>
      <c r="AP433" s="32" t="str">
        <f>IFERROR(__xludf.DUMMYFUNCTION("""COMPUTED_VALUE"""),"Draconic Scream")</f>
        <v>Draconic Scream</v>
      </c>
      <c r="AQ433" s="32" t="str">
        <f>IFERROR(__xludf.DUMMYFUNCTION("""COMPUTED_VALUE"""),"Chaincast")</f>
        <v>Chaincast</v>
      </c>
      <c r="AR433" s="32" t="str">
        <f>IFERROR(__xludf.DUMMYFUNCTION("""COMPUTED_VALUE"""),"Black Hole")</f>
        <v>Black Hole</v>
      </c>
      <c r="AS433" s="32" t="str">
        <f>IFERROR(__xludf.DUMMYFUNCTION("""COMPUTED_VALUE"""),"Planetary Meteor Storm")</f>
        <v>Planetary Meteor Storm</v>
      </c>
      <c r="AT433" s="32" t="str">
        <f>IFERROR(__xludf.DUMMYFUNCTION("""COMPUTED_VALUE"""),"Lunar Ward")</f>
        <v>Lunar Ward</v>
      </c>
      <c r="AU433" s="32" t="str">
        <f>IFERROR(__xludf.DUMMYFUNCTION("""COMPUTED_VALUE"""),"Solar Ward")</f>
        <v>Solar Ward</v>
      </c>
      <c r="AV433" s="32" t="str">
        <f>IFERROR(__xludf.DUMMYFUNCTION("""COMPUTED_VALUE"""),"Celestial Wrath")</f>
        <v>Celestial Wrath</v>
      </c>
      <c r="AW433" s="32"/>
      <c r="AX433" s="32"/>
      <c r="AY433" s="32"/>
      <c r="AZ433" s="32"/>
      <c r="BA433" s="32"/>
      <c r="BB433" s="32"/>
      <c r="BC433" s="32"/>
      <c r="BD433" s="32">
        <f>IFERROR(__xludf.DUMMYFUNCTION("""COMPUTED_VALUE"""),20.0)</f>
        <v>20</v>
      </c>
      <c r="BE433" s="32">
        <f>IFERROR(__xludf.DUMMYFUNCTION("""COMPUTED_VALUE"""),10.0)</f>
        <v>10</v>
      </c>
      <c r="BF433" s="32" t="str">
        <f>IFERROR(__xludf.DUMMYFUNCTION("""COMPUTED_VALUE"""),"Unaffected by any spells affecting this creature
Dragons Luck II: +10 can be added to this mobs d20 rolls.")</f>
        <v>Unaffected by any spells affecting this creature
Dragons Luck II: +10 can be added to this mobs d20 rolls.</v>
      </c>
      <c r="BG433" s="32" t="str">
        <f>IFERROR(__xludf.DUMMYFUNCTION("""COMPUTED_VALUE"""),"All")</f>
        <v>All</v>
      </c>
      <c r="BH433" s="32" t="str">
        <f>IFERROR(__xludf.DUMMYFUNCTION("""COMPUTED_VALUE"""),"Solreach")</f>
        <v>Solreach</v>
      </c>
      <c r="BI433" s="32"/>
      <c r="BJ433" s="32"/>
      <c r="BK433" s="32"/>
      <c r="BL433" s="32" t="b">
        <f>IFERROR(__xludf.DUMMYFUNCTION("""COMPUTED_VALUE"""),FALSE)</f>
        <v>0</v>
      </c>
      <c r="BM433" s="32"/>
      <c r="BN433" s="32"/>
      <c r="BO433" s="32"/>
      <c r="BP433" s="32"/>
      <c r="BQ433" s="32"/>
    </row>
    <row r="434">
      <c r="A434" s="32" t="str">
        <f>IFERROR(__xludf.DUMMYFUNCTION("""COMPUTED_VALUE"""),"Divine Celestial Dragon")</f>
        <v>Divine Celestial Dragon</v>
      </c>
      <c r="B434" s="32">
        <f>IFERROR(__xludf.DUMMYFUNCTION("""COMPUTED_VALUE"""),1.0)</f>
        <v>1</v>
      </c>
      <c r="C434" s="32"/>
      <c r="D434" s="32" t="str">
        <f>IFERROR(__xludf.DUMMYFUNCTION("""COMPUTED_VALUE"""),"Draconic")</f>
        <v>Draconic</v>
      </c>
      <c r="E434" s="32">
        <f>IFERROR(__xludf.DUMMYFUNCTION("""COMPUTED_VALUE"""),1010.0)</f>
        <v>1010</v>
      </c>
      <c r="F434" s="33">
        <f>IFERROR(__xludf.DUMMYFUNCTION("""COMPUTED_VALUE"""),1010.0)</f>
        <v>1010</v>
      </c>
      <c r="G434" s="32">
        <f>IFERROR(__xludf.DUMMYFUNCTION("""COMPUTED_VALUE"""),1010.0)</f>
        <v>1010</v>
      </c>
      <c r="H434" s="32">
        <f>IFERROR(__xludf.DUMMYFUNCTION("""COMPUTED_VALUE"""),10.0)</f>
        <v>10</v>
      </c>
      <c r="I434" s="32">
        <f>IFERROR(__xludf.DUMMYFUNCTION("""COMPUTED_VALUE"""),20.0)</f>
        <v>20</v>
      </c>
      <c r="J434" s="32">
        <f>IFERROR(__xludf.DUMMYFUNCTION("""COMPUTED_VALUE"""),20.0)</f>
        <v>20</v>
      </c>
      <c r="K434" s="32">
        <f>IFERROR(__xludf.DUMMYFUNCTION("""COMPUTED_VALUE"""),100.0)</f>
        <v>100</v>
      </c>
      <c r="L434" s="32">
        <f>IFERROR(__xludf.DUMMYFUNCTION("""COMPUTED_VALUE"""),100.0)</f>
        <v>100</v>
      </c>
      <c r="M434" s="32" t="str">
        <f>IFERROR(__xludf.DUMMYFUNCTION("""COMPUTED_VALUE"""),"Celestial:Immune, Instant Death:Immune, Banishment:Immune, ")</f>
        <v>Celestial:Immune, Instant Death:Immune, Banishment:Immune, </v>
      </c>
      <c r="N434" s="32" t="str">
        <f>IFERROR(__xludf.DUMMYFUNCTION("""COMPUTED_VALUE"""),"Astral:100, ")</f>
        <v>Astral:100, </v>
      </c>
      <c r="O434" s="32"/>
      <c r="P434" s="32"/>
      <c r="Q434" s="32"/>
      <c r="R434" s="32"/>
      <c r="S434" s="32"/>
      <c r="T434" s="32"/>
      <c r="U434" s="32"/>
      <c r="V434" s="32"/>
      <c r="W434" s="32"/>
      <c r="X434" s="32"/>
      <c r="Y434" s="32"/>
      <c r="Z434" s="32"/>
      <c r="AA434" s="32"/>
      <c r="AB434" s="32"/>
      <c r="AC434" s="32"/>
      <c r="AD434" s="32"/>
      <c r="AE434" s="32"/>
      <c r="AF434" s="32"/>
      <c r="AG434" s="32"/>
      <c r="AH434" s="32"/>
      <c r="AI434" s="32"/>
      <c r="AJ434" s="32" t="str">
        <f>IFERROR(__xludf.DUMMYFUNCTION("""COMPUTED_VALUE"""),"Divine Dragon's Breath")</f>
        <v>Divine Dragon's Breath</v>
      </c>
      <c r="AK434" s="32" t="str">
        <f>IFERROR(__xludf.DUMMYFUNCTION("""COMPUTED_VALUE"""),"Bite")</f>
        <v>Bite</v>
      </c>
      <c r="AL434" s="32" t="str">
        <f>IFERROR(__xludf.DUMMYFUNCTION("""COMPUTED_VALUE"""),"Tail Smash")</f>
        <v>Tail Smash</v>
      </c>
      <c r="AM434" s="32" t="str">
        <f>IFERROR(__xludf.DUMMYFUNCTION("""COMPUTED_VALUE"""),"Claws")</f>
        <v>Claws</v>
      </c>
      <c r="AN434" s="32" t="str">
        <f>IFERROR(__xludf.DUMMYFUNCTION("""COMPUTED_VALUE"""),"Berserk")</f>
        <v>Berserk</v>
      </c>
      <c r="AO434" s="32" t="str">
        <f>IFERROR(__xludf.DUMMYFUNCTION("""COMPUTED_VALUE"""),"Multishot")</f>
        <v>Multishot</v>
      </c>
      <c r="AP434" s="32" t="str">
        <f>IFERROR(__xludf.DUMMYFUNCTION("""COMPUTED_VALUE"""),"Draconic Scream")</f>
        <v>Draconic Scream</v>
      </c>
      <c r="AQ434" s="32" t="str">
        <f>IFERROR(__xludf.DUMMYFUNCTION("""COMPUTED_VALUE"""),"Chaincast")</f>
        <v>Chaincast</v>
      </c>
      <c r="AR434" s="32" t="str">
        <f>IFERROR(__xludf.DUMMYFUNCTION("""COMPUTED_VALUE"""),"Mass Destruction")</f>
        <v>Mass Destruction</v>
      </c>
      <c r="AS434" s="32" t="str">
        <f>IFERROR(__xludf.DUMMYFUNCTION("""COMPUTED_VALUE"""),"Vaporize")</f>
        <v>Vaporize</v>
      </c>
      <c r="AT434" s="32" t="str">
        <f>IFERROR(__xludf.DUMMYFUNCTION("""COMPUTED_VALUE"""),"Celestial Wrath")</f>
        <v>Celestial Wrath</v>
      </c>
      <c r="AU434" s="32"/>
      <c r="AV434" s="32"/>
      <c r="AW434" s="32"/>
      <c r="AX434" s="32"/>
      <c r="AY434" s="32"/>
      <c r="AZ434" s="32"/>
      <c r="BA434" s="32"/>
      <c r="BB434" s="32"/>
      <c r="BC434" s="32"/>
      <c r="BD434" s="32">
        <f>IFERROR(__xludf.DUMMYFUNCTION("""COMPUTED_VALUE"""),20.0)</f>
        <v>20</v>
      </c>
      <c r="BE434" s="32">
        <f>IFERROR(__xludf.DUMMYFUNCTION("""COMPUTED_VALUE"""),10.0)</f>
        <v>10</v>
      </c>
      <c r="BF434" s="32" t="str">
        <f>IFERROR(__xludf.DUMMYFUNCTION("""COMPUTED_VALUE"""),"Unaffected by any spells affecting this creature
Dragons Luck II: +10 can be added to this mobs d20 rolls.")</f>
        <v>Unaffected by any spells affecting this creature
Dragons Luck II: +10 can be added to this mobs d20 rolls.</v>
      </c>
      <c r="BG434" s="32" t="str">
        <f>IFERROR(__xludf.DUMMYFUNCTION("""COMPUTED_VALUE"""),"All")</f>
        <v>All</v>
      </c>
      <c r="BH434" s="32" t="str">
        <f>IFERROR(__xludf.DUMMYFUNCTION("""COMPUTED_VALUE"""),"Solreach")</f>
        <v>Solreach</v>
      </c>
      <c r="BI434" s="32"/>
      <c r="BJ434" s="32"/>
      <c r="BK434" s="32"/>
      <c r="BL434" s="32" t="b">
        <f>IFERROR(__xludf.DUMMYFUNCTION("""COMPUTED_VALUE"""),FALSE)</f>
        <v>0</v>
      </c>
      <c r="BM434" s="32"/>
      <c r="BN434" s="32"/>
      <c r="BO434" s="32"/>
      <c r="BP434" s="32"/>
      <c r="BQ434" s="32"/>
    </row>
    <row r="435">
      <c r="A435" s="32" t="str">
        <f>IFERROR(__xludf.DUMMYFUNCTION("""COMPUTED_VALUE"""),"Divine Chaos Dragon")</f>
        <v>Divine Chaos Dragon</v>
      </c>
      <c r="B435" s="32">
        <f>IFERROR(__xludf.DUMMYFUNCTION("""COMPUTED_VALUE"""),1.0)</f>
        <v>1</v>
      </c>
      <c r="C435" s="32"/>
      <c r="D435" s="32" t="str">
        <f>IFERROR(__xludf.DUMMYFUNCTION("""COMPUTED_VALUE"""),"Draconic")</f>
        <v>Draconic</v>
      </c>
      <c r="E435" s="32">
        <f>IFERROR(__xludf.DUMMYFUNCTION("""COMPUTED_VALUE"""),1010.0)</f>
        <v>1010</v>
      </c>
      <c r="F435" s="33">
        <f>IFERROR(__xludf.DUMMYFUNCTION("""COMPUTED_VALUE"""),1010.0)</f>
        <v>1010</v>
      </c>
      <c r="G435" s="32">
        <f>IFERROR(__xludf.DUMMYFUNCTION("""COMPUTED_VALUE"""),1010.0)</f>
        <v>1010</v>
      </c>
      <c r="H435" s="32">
        <f>IFERROR(__xludf.DUMMYFUNCTION("""COMPUTED_VALUE"""),10.0)</f>
        <v>10</v>
      </c>
      <c r="I435" s="32">
        <f>IFERROR(__xludf.DUMMYFUNCTION("""COMPUTED_VALUE"""),20.0)</f>
        <v>20</v>
      </c>
      <c r="J435" s="32">
        <f>IFERROR(__xludf.DUMMYFUNCTION("""COMPUTED_VALUE"""),20.0)</f>
        <v>20</v>
      </c>
      <c r="K435" s="32">
        <f>IFERROR(__xludf.DUMMYFUNCTION("""COMPUTED_VALUE"""),100.0)</f>
        <v>100</v>
      </c>
      <c r="L435" s="32">
        <f>IFERROR(__xludf.DUMMYFUNCTION("""COMPUTED_VALUE"""),100.0)</f>
        <v>100</v>
      </c>
      <c r="M435" s="32" t="str">
        <f>IFERROR(__xludf.DUMMYFUNCTION("""COMPUTED_VALUE"""),"Chaos:Immune, Instant Death:Immune, Banishment:Immune, ")</f>
        <v>Chaos:Immune, Instant Death:Immune, Banishment:Immune, </v>
      </c>
      <c r="N435" s="32" t="str">
        <f>IFERROR(__xludf.DUMMYFUNCTION("""COMPUTED_VALUE"""),"Order:100, ")</f>
        <v>Order:100, </v>
      </c>
      <c r="O435" s="32"/>
      <c r="P435" s="32"/>
      <c r="Q435" s="32"/>
      <c r="R435" s="32"/>
      <c r="S435" s="32"/>
      <c r="T435" s="32"/>
      <c r="U435" s="32"/>
      <c r="V435" s="32"/>
      <c r="W435" s="32"/>
      <c r="X435" s="32"/>
      <c r="Y435" s="32"/>
      <c r="Z435" s="32"/>
      <c r="AA435" s="32"/>
      <c r="AB435" s="32"/>
      <c r="AC435" s="32"/>
      <c r="AD435" s="32"/>
      <c r="AE435" s="32"/>
      <c r="AF435" s="32"/>
      <c r="AG435" s="32"/>
      <c r="AH435" s="32"/>
      <c r="AI435" s="32"/>
      <c r="AJ435" s="32" t="str">
        <f>IFERROR(__xludf.DUMMYFUNCTION("""COMPUTED_VALUE"""),"Divine Dragon's Breath")</f>
        <v>Divine Dragon's Breath</v>
      </c>
      <c r="AK435" s="32" t="str">
        <f>IFERROR(__xludf.DUMMYFUNCTION("""COMPUTED_VALUE"""),"Bite")</f>
        <v>Bite</v>
      </c>
      <c r="AL435" s="32" t="str">
        <f>IFERROR(__xludf.DUMMYFUNCTION("""COMPUTED_VALUE"""),"Tail Smash")</f>
        <v>Tail Smash</v>
      </c>
      <c r="AM435" s="32" t="str">
        <f>IFERROR(__xludf.DUMMYFUNCTION("""COMPUTED_VALUE"""),"Claws")</f>
        <v>Claws</v>
      </c>
      <c r="AN435" s="32" t="str">
        <f>IFERROR(__xludf.DUMMYFUNCTION("""COMPUTED_VALUE"""),"Berserk")</f>
        <v>Berserk</v>
      </c>
      <c r="AO435" s="32" t="str">
        <f>IFERROR(__xludf.DUMMYFUNCTION("""COMPUTED_VALUE"""),"Multishot")</f>
        <v>Multishot</v>
      </c>
      <c r="AP435" s="32" t="str">
        <f>IFERROR(__xludf.DUMMYFUNCTION("""COMPUTED_VALUE"""),"Draconic Scream")</f>
        <v>Draconic Scream</v>
      </c>
      <c r="AQ435" s="32" t="str">
        <f>IFERROR(__xludf.DUMMYFUNCTION("""COMPUTED_VALUE"""),"Chaincast")</f>
        <v>Chaincast</v>
      </c>
      <c r="AR435" s="32" t="str">
        <f>IFERROR(__xludf.DUMMYFUNCTION("""COMPUTED_VALUE"""),"Chaos Ward")</f>
        <v>Chaos Ward</v>
      </c>
      <c r="AS435" s="32" t="str">
        <f>IFERROR(__xludf.DUMMYFUNCTION("""COMPUTED_VALUE"""),"Shatter")</f>
        <v>Shatter</v>
      </c>
      <c r="AT435" s="32" t="str">
        <f>IFERROR(__xludf.DUMMYFUNCTION("""COMPUTED_VALUE"""),"Dimensional Quake")</f>
        <v>Dimensional Quake</v>
      </c>
      <c r="AU435" s="32" t="str">
        <f>IFERROR(__xludf.DUMMYFUNCTION("""COMPUTED_VALUE"""),"Dimension Portal")</f>
        <v>Dimension Portal</v>
      </c>
      <c r="AV435" s="32" t="str">
        <f>IFERROR(__xludf.DUMMYFUNCTION("""COMPUTED_VALUE"""),"Damage With A Cost.")</f>
        <v>Damage With A Cost.</v>
      </c>
      <c r="AW435" s="32" t="str">
        <f>IFERROR(__xludf.DUMMYFUNCTION("""COMPUTED_VALUE"""),"Swallow")</f>
        <v>Swallow</v>
      </c>
      <c r="AX435" s="32" t="str">
        <f>IFERROR(__xludf.DUMMYFUNCTION("""COMPUTED_VALUE"""),"Celestial Wrath")</f>
        <v>Celestial Wrath</v>
      </c>
      <c r="AY435" s="32"/>
      <c r="AZ435" s="32"/>
      <c r="BA435" s="32"/>
      <c r="BB435" s="32"/>
      <c r="BC435" s="32"/>
      <c r="BD435" s="32">
        <f>IFERROR(__xludf.DUMMYFUNCTION("""COMPUTED_VALUE"""),20.0)</f>
        <v>20</v>
      </c>
      <c r="BE435" s="32">
        <f>IFERROR(__xludf.DUMMYFUNCTION("""COMPUTED_VALUE"""),10.0)</f>
        <v>10</v>
      </c>
      <c r="BF435" s="32" t="str">
        <f>IFERROR(__xludf.DUMMYFUNCTION("""COMPUTED_VALUE"""),"Unaffected by any spells affecting this creature
Dragons Luck II: +10 can be added to this mobs d20 rolls.")</f>
        <v>Unaffected by any spells affecting this creature
Dragons Luck II: +10 can be added to this mobs d20 rolls.</v>
      </c>
      <c r="BG435" s="32" t="str">
        <f>IFERROR(__xludf.DUMMYFUNCTION("""COMPUTED_VALUE"""),"All")</f>
        <v>All</v>
      </c>
      <c r="BH435" s="32" t="str">
        <f>IFERROR(__xludf.DUMMYFUNCTION("""COMPUTED_VALUE"""),"Solreach")</f>
        <v>Solreach</v>
      </c>
      <c r="BI435" s="32"/>
      <c r="BJ435" s="32"/>
      <c r="BK435" s="32"/>
      <c r="BL435" s="32" t="b">
        <f>IFERROR(__xludf.DUMMYFUNCTION("""COMPUTED_VALUE"""),FALSE)</f>
        <v>0</v>
      </c>
      <c r="BM435" s="32"/>
      <c r="BN435" s="32"/>
      <c r="BO435" s="32"/>
      <c r="BP435" s="32"/>
      <c r="BQ435" s="32"/>
    </row>
    <row r="436">
      <c r="A436" s="32" t="str">
        <f>IFERROR(__xludf.DUMMYFUNCTION("""COMPUTED_VALUE"""),"Divine Dark Dragon")</f>
        <v>Divine Dark Dragon</v>
      </c>
      <c r="B436" s="32">
        <f>IFERROR(__xludf.DUMMYFUNCTION("""COMPUTED_VALUE"""),1.0)</f>
        <v>1</v>
      </c>
      <c r="C436" s="32"/>
      <c r="D436" s="32" t="str">
        <f>IFERROR(__xludf.DUMMYFUNCTION("""COMPUTED_VALUE"""),"Draconic")</f>
        <v>Draconic</v>
      </c>
      <c r="E436" s="32">
        <f>IFERROR(__xludf.DUMMYFUNCTION("""COMPUTED_VALUE"""),1010.0)</f>
        <v>1010</v>
      </c>
      <c r="F436" s="33">
        <f>IFERROR(__xludf.DUMMYFUNCTION("""COMPUTED_VALUE"""),1010.0)</f>
        <v>1010</v>
      </c>
      <c r="G436" s="32">
        <f>IFERROR(__xludf.DUMMYFUNCTION("""COMPUTED_VALUE"""),1010.0)</f>
        <v>1010</v>
      </c>
      <c r="H436" s="32">
        <f>IFERROR(__xludf.DUMMYFUNCTION("""COMPUTED_VALUE"""),10.0)</f>
        <v>10</v>
      </c>
      <c r="I436" s="32">
        <f>IFERROR(__xludf.DUMMYFUNCTION("""COMPUTED_VALUE"""),20.0)</f>
        <v>20</v>
      </c>
      <c r="J436" s="32">
        <f>IFERROR(__xludf.DUMMYFUNCTION("""COMPUTED_VALUE"""),20.0)</f>
        <v>20</v>
      </c>
      <c r="K436" s="32">
        <f>IFERROR(__xludf.DUMMYFUNCTION("""COMPUTED_VALUE"""),100.0)</f>
        <v>100</v>
      </c>
      <c r="L436" s="32">
        <f>IFERROR(__xludf.DUMMYFUNCTION("""COMPUTED_VALUE"""),100.0)</f>
        <v>100</v>
      </c>
      <c r="M436" s="32" t="str">
        <f>IFERROR(__xludf.DUMMYFUNCTION("""COMPUTED_VALUE"""),"Dark:Immune, Instant Death:Immune, Banishment:Immune, ")</f>
        <v>Dark:Immune, Instant Death:Immune, Banishment:Immune, </v>
      </c>
      <c r="N436" s="32" t="str">
        <f>IFERROR(__xludf.DUMMYFUNCTION("""COMPUTED_VALUE"""),"Fire:100, Light:100, ")</f>
        <v>Fire:100, Light:100, </v>
      </c>
      <c r="O436" s="32"/>
      <c r="P436" s="32"/>
      <c r="Q436" s="32"/>
      <c r="R436" s="32"/>
      <c r="S436" s="32"/>
      <c r="T436" s="32"/>
      <c r="U436" s="32"/>
      <c r="V436" s="32"/>
      <c r="W436" s="32"/>
      <c r="X436" s="32"/>
      <c r="Y436" s="32"/>
      <c r="Z436" s="32"/>
      <c r="AA436" s="32"/>
      <c r="AB436" s="32"/>
      <c r="AC436" s="32"/>
      <c r="AD436" s="32"/>
      <c r="AE436" s="32"/>
      <c r="AF436" s="32"/>
      <c r="AG436" s="32"/>
      <c r="AH436" s="32"/>
      <c r="AI436" s="32"/>
      <c r="AJ436" s="32" t="str">
        <f>IFERROR(__xludf.DUMMYFUNCTION("""COMPUTED_VALUE"""),"Divine Dragon's Breath")</f>
        <v>Divine Dragon's Breath</v>
      </c>
      <c r="AK436" s="32" t="str">
        <f>IFERROR(__xludf.DUMMYFUNCTION("""COMPUTED_VALUE"""),"Bite")</f>
        <v>Bite</v>
      </c>
      <c r="AL436" s="32" t="str">
        <f>IFERROR(__xludf.DUMMYFUNCTION("""COMPUTED_VALUE"""),"Tail Smash")</f>
        <v>Tail Smash</v>
      </c>
      <c r="AM436" s="32" t="str">
        <f>IFERROR(__xludf.DUMMYFUNCTION("""COMPUTED_VALUE"""),"Claws")</f>
        <v>Claws</v>
      </c>
      <c r="AN436" s="32" t="str">
        <f>IFERROR(__xludf.DUMMYFUNCTION("""COMPUTED_VALUE"""),"Berserk")</f>
        <v>Berserk</v>
      </c>
      <c r="AO436" s="32" t="str">
        <f>IFERROR(__xludf.DUMMYFUNCTION("""COMPUTED_VALUE"""),"Multishot")</f>
        <v>Multishot</v>
      </c>
      <c r="AP436" s="32" t="str">
        <f>IFERROR(__xludf.DUMMYFUNCTION("""COMPUTED_VALUE"""),"Draconic Scream")</f>
        <v>Draconic Scream</v>
      </c>
      <c r="AQ436" s="32" t="str">
        <f>IFERROR(__xludf.DUMMYFUNCTION("""COMPUTED_VALUE"""),"Chaincast")</f>
        <v>Chaincast</v>
      </c>
      <c r="AR436" s="32" t="str">
        <f>IFERROR(__xludf.DUMMYFUNCTION("""COMPUTED_VALUE"""),"Darkest Abyss")</f>
        <v>Darkest Abyss</v>
      </c>
      <c r="AS436" s="32" t="str">
        <f>IFERROR(__xludf.DUMMYFUNCTION("""COMPUTED_VALUE"""),"Devolve")</f>
        <v>Devolve</v>
      </c>
      <c r="AT436" s="32" t="str">
        <f>IFERROR(__xludf.DUMMYFUNCTION("""COMPUTED_VALUE"""),"Dark Curse")</f>
        <v>Dark Curse</v>
      </c>
      <c r="AU436" s="32" t="str">
        <f>IFERROR(__xludf.DUMMYFUNCTION("""COMPUTED_VALUE"""),"Celestial Wrath")</f>
        <v>Celestial Wrath</v>
      </c>
      <c r="AV436" s="32"/>
      <c r="AW436" s="32"/>
      <c r="AX436" s="32"/>
      <c r="AY436" s="32"/>
      <c r="AZ436" s="32"/>
      <c r="BA436" s="32"/>
      <c r="BB436" s="32"/>
      <c r="BC436" s="32"/>
      <c r="BD436" s="32">
        <f>IFERROR(__xludf.DUMMYFUNCTION("""COMPUTED_VALUE"""),20.0)</f>
        <v>20</v>
      </c>
      <c r="BE436" s="32">
        <f>IFERROR(__xludf.DUMMYFUNCTION("""COMPUTED_VALUE"""),10.0)</f>
        <v>10</v>
      </c>
      <c r="BF436" s="32" t="str">
        <f>IFERROR(__xludf.DUMMYFUNCTION("""COMPUTED_VALUE"""),"Unaffected by any spells affecting this creature
Dragons Luck II: +10 can be added to this mobs d20 rolls.")</f>
        <v>Unaffected by any spells affecting this creature
Dragons Luck II: +10 can be added to this mobs d20 rolls.</v>
      </c>
      <c r="BG436" s="32" t="str">
        <f>IFERROR(__xludf.DUMMYFUNCTION("""COMPUTED_VALUE"""),"All")</f>
        <v>All</v>
      </c>
      <c r="BH436" s="32" t="str">
        <f>IFERROR(__xludf.DUMMYFUNCTION("""COMPUTED_VALUE"""),"Solreach")</f>
        <v>Solreach</v>
      </c>
      <c r="BI436" s="32"/>
      <c r="BJ436" s="32"/>
      <c r="BK436" s="32"/>
      <c r="BL436" s="32" t="b">
        <f>IFERROR(__xludf.DUMMYFUNCTION("""COMPUTED_VALUE"""),FALSE)</f>
        <v>0</v>
      </c>
      <c r="BM436" s="32"/>
      <c r="BN436" s="32"/>
      <c r="BO436" s="32"/>
      <c r="BP436" s="32"/>
      <c r="BQ436" s="32"/>
    </row>
    <row r="437">
      <c r="A437" s="32" t="str">
        <f>IFERROR(__xludf.DUMMYFUNCTION("""COMPUTED_VALUE"""),"Divine Delta Dragon")</f>
        <v>Divine Delta Dragon</v>
      </c>
      <c r="B437" s="32">
        <f>IFERROR(__xludf.DUMMYFUNCTION("""COMPUTED_VALUE"""),1.0)</f>
        <v>1</v>
      </c>
      <c r="C437" s="32"/>
      <c r="D437" s="32" t="str">
        <f>IFERROR(__xludf.DUMMYFUNCTION("""COMPUTED_VALUE"""),"Draconic")</f>
        <v>Draconic</v>
      </c>
      <c r="E437" s="32">
        <f>IFERROR(__xludf.DUMMYFUNCTION("""COMPUTED_VALUE"""),1010.0)</f>
        <v>1010</v>
      </c>
      <c r="F437" s="33">
        <f>IFERROR(__xludf.DUMMYFUNCTION("""COMPUTED_VALUE"""),1010.0)</f>
        <v>1010</v>
      </c>
      <c r="G437" s="32">
        <f>IFERROR(__xludf.DUMMYFUNCTION("""COMPUTED_VALUE"""),1010.0)</f>
        <v>1010</v>
      </c>
      <c r="H437" s="32">
        <f>IFERROR(__xludf.DUMMYFUNCTION("""COMPUTED_VALUE"""),10.0)</f>
        <v>10</v>
      </c>
      <c r="I437" s="32">
        <f>IFERROR(__xludf.DUMMYFUNCTION("""COMPUTED_VALUE"""),20.0)</f>
        <v>20</v>
      </c>
      <c r="J437" s="32">
        <f>IFERROR(__xludf.DUMMYFUNCTION("""COMPUTED_VALUE"""),20.0)</f>
        <v>20</v>
      </c>
      <c r="K437" s="32">
        <f>IFERROR(__xludf.DUMMYFUNCTION("""COMPUTED_VALUE"""),100.0)</f>
        <v>100</v>
      </c>
      <c r="L437" s="32">
        <f>IFERROR(__xludf.DUMMYFUNCTION("""COMPUTED_VALUE"""),100.0)</f>
        <v>100</v>
      </c>
      <c r="M437" s="32" t="str">
        <f>IFERROR(__xludf.DUMMYFUNCTION("""COMPUTED_VALUE"""),"Instant Death:Immune, Banishment:Immune, ")</f>
        <v>Instant Death:Immune, Banishment:Immune, </v>
      </c>
      <c r="N437" s="32" t="str">
        <f>IFERROR(__xludf.DUMMYFUNCTION("""COMPUTED_VALUE"""),"")</f>
        <v/>
      </c>
      <c r="O437" s="32"/>
      <c r="P437" s="32"/>
      <c r="Q437" s="32"/>
      <c r="R437" s="32"/>
      <c r="S437" s="32"/>
      <c r="T437" s="32"/>
      <c r="U437" s="32"/>
      <c r="V437" s="32"/>
      <c r="W437" s="32"/>
      <c r="X437" s="32"/>
      <c r="Y437" s="32"/>
      <c r="Z437" s="32"/>
      <c r="AA437" s="32"/>
      <c r="AB437" s="32"/>
      <c r="AC437" s="32"/>
      <c r="AD437" s="32"/>
      <c r="AE437" s="32"/>
      <c r="AF437" s="32"/>
      <c r="AG437" s="32"/>
      <c r="AH437" s="32"/>
      <c r="AI437" s="32"/>
      <c r="AJ437" s="32" t="str">
        <f>IFERROR(__xludf.DUMMYFUNCTION("""COMPUTED_VALUE"""),"Divine Dragon's Breath")</f>
        <v>Divine Dragon's Breath</v>
      </c>
      <c r="AK437" s="32" t="str">
        <f>IFERROR(__xludf.DUMMYFUNCTION("""COMPUTED_VALUE"""),"Bite")</f>
        <v>Bite</v>
      </c>
      <c r="AL437" s="32" t="str">
        <f>IFERROR(__xludf.DUMMYFUNCTION("""COMPUTED_VALUE"""),"Tail Smash")</f>
        <v>Tail Smash</v>
      </c>
      <c r="AM437" s="32" t="str">
        <f>IFERROR(__xludf.DUMMYFUNCTION("""COMPUTED_VALUE"""),"Claws")</f>
        <v>Claws</v>
      </c>
      <c r="AN437" s="32" t="str">
        <f>IFERROR(__xludf.DUMMYFUNCTION("""COMPUTED_VALUE"""),"Berserk")</f>
        <v>Berserk</v>
      </c>
      <c r="AO437" s="32" t="str">
        <f>IFERROR(__xludf.DUMMYFUNCTION("""COMPUTED_VALUE"""),"Multishot")</f>
        <v>Multishot</v>
      </c>
      <c r="AP437" s="32" t="str">
        <f>IFERROR(__xludf.DUMMYFUNCTION("""COMPUTED_VALUE"""),"Draconic Scream")</f>
        <v>Draconic Scream</v>
      </c>
      <c r="AQ437" s="32" t="str">
        <f>IFERROR(__xludf.DUMMYFUNCTION("""COMPUTED_VALUE"""),"Chaincast")</f>
        <v>Chaincast</v>
      </c>
      <c r="AR437" s="32" t="str">
        <f>IFERROR(__xludf.DUMMYFUNCTION("""COMPUTED_VALUE"""),"Delta World")</f>
        <v>Delta World</v>
      </c>
      <c r="AS437" s="32" t="str">
        <f>IFERROR(__xludf.DUMMYFUNCTION("""COMPUTED_VALUE"""),"Chaincast")</f>
        <v>Chaincast</v>
      </c>
      <c r="AT437" s="32" t="str">
        <f>IFERROR(__xludf.DUMMYFUNCTION("""COMPUTED_VALUE"""),"Delta Rock &amp; Roll")</f>
        <v>Delta Rock &amp; Roll</v>
      </c>
      <c r="AU437" s="32" t="str">
        <f>IFERROR(__xludf.DUMMYFUNCTION("""COMPUTED_VALUE"""),"Elemental Storm")</f>
        <v>Elemental Storm</v>
      </c>
      <c r="AV437" s="32" t="str">
        <f>IFERROR(__xludf.DUMMYFUNCTION("""COMPUTED_VALUE"""),"Dreading Storm")</f>
        <v>Dreading Storm</v>
      </c>
      <c r="AW437" s="32" t="str">
        <f>IFERROR(__xludf.DUMMYFUNCTION("""COMPUTED_VALUE"""),"Stun Negation")</f>
        <v>Stun Negation</v>
      </c>
      <c r="AX437" s="32" t="str">
        <f>IFERROR(__xludf.DUMMYFUNCTION("""COMPUTED_VALUE"""),"Celestial Wrath")</f>
        <v>Celestial Wrath</v>
      </c>
      <c r="AY437" s="32"/>
      <c r="AZ437" s="32"/>
      <c r="BA437" s="32"/>
      <c r="BB437" s="32"/>
      <c r="BC437" s="32"/>
      <c r="BD437" s="32">
        <f>IFERROR(__xludf.DUMMYFUNCTION("""COMPUTED_VALUE"""),20.0)</f>
        <v>20</v>
      </c>
      <c r="BE437" s="32">
        <f>IFERROR(__xludf.DUMMYFUNCTION("""COMPUTED_VALUE"""),10.0)</f>
        <v>10</v>
      </c>
      <c r="BF437" s="32" t="str">
        <f>IFERROR(__xludf.DUMMYFUNCTION("""COMPUTED_VALUE"""),"Unaffected by any spells affecting this creature
Dragons Luck II: +10 can be added to this mobs d20 rolls.")</f>
        <v>Unaffected by any spells affecting this creature
Dragons Luck II: +10 can be added to this mobs d20 rolls.</v>
      </c>
      <c r="BG437" s="32" t="str">
        <f>IFERROR(__xludf.DUMMYFUNCTION("""COMPUTED_VALUE"""),"All")</f>
        <v>All</v>
      </c>
      <c r="BH437" s="32" t="str">
        <f>IFERROR(__xludf.DUMMYFUNCTION("""COMPUTED_VALUE"""),"Solreach")</f>
        <v>Solreach</v>
      </c>
      <c r="BI437" s="32"/>
      <c r="BJ437" s="32"/>
      <c r="BK437" s="32"/>
      <c r="BL437" s="32" t="b">
        <f>IFERROR(__xludf.DUMMYFUNCTION("""COMPUTED_VALUE"""),FALSE)</f>
        <v>0</v>
      </c>
      <c r="BM437" s="32"/>
      <c r="BN437" s="32"/>
      <c r="BO437" s="32"/>
      <c r="BP437" s="32"/>
      <c r="BQ437" s="32"/>
    </row>
    <row r="438">
      <c r="A438" s="32" t="str">
        <f>IFERROR(__xludf.DUMMYFUNCTION("""COMPUTED_VALUE"""),"Divine Forest Dragon")</f>
        <v>Divine Forest Dragon</v>
      </c>
      <c r="B438" s="32">
        <f>IFERROR(__xludf.DUMMYFUNCTION("""COMPUTED_VALUE"""),1.0)</f>
        <v>1</v>
      </c>
      <c r="C438" s="32"/>
      <c r="D438" s="32" t="str">
        <f>IFERROR(__xludf.DUMMYFUNCTION("""COMPUTED_VALUE"""),"Draconic")</f>
        <v>Draconic</v>
      </c>
      <c r="E438" s="32">
        <f>IFERROR(__xludf.DUMMYFUNCTION("""COMPUTED_VALUE"""),1010.0)</f>
        <v>1010</v>
      </c>
      <c r="F438" s="33">
        <f>IFERROR(__xludf.DUMMYFUNCTION("""COMPUTED_VALUE"""),1010.0)</f>
        <v>1010</v>
      </c>
      <c r="G438" s="32">
        <f>IFERROR(__xludf.DUMMYFUNCTION("""COMPUTED_VALUE"""),1010.0)</f>
        <v>1010</v>
      </c>
      <c r="H438" s="32">
        <f>IFERROR(__xludf.DUMMYFUNCTION("""COMPUTED_VALUE"""),10.0)</f>
        <v>10</v>
      </c>
      <c r="I438" s="32">
        <f>IFERROR(__xludf.DUMMYFUNCTION("""COMPUTED_VALUE"""),20.0)</f>
        <v>20</v>
      </c>
      <c r="J438" s="32">
        <f>IFERROR(__xludf.DUMMYFUNCTION("""COMPUTED_VALUE"""),20.0)</f>
        <v>20</v>
      </c>
      <c r="K438" s="32">
        <f>IFERROR(__xludf.DUMMYFUNCTION("""COMPUTED_VALUE"""),100.0)</f>
        <v>100</v>
      </c>
      <c r="L438" s="32">
        <f>IFERROR(__xludf.DUMMYFUNCTION("""COMPUTED_VALUE"""),100.0)</f>
        <v>100</v>
      </c>
      <c r="M438" s="32" t="str">
        <f>IFERROR(__xludf.DUMMYFUNCTION("""COMPUTED_VALUE"""),"Nature:Immune, Instant Death:Immune, Banishment:Immune, ")</f>
        <v>Nature:Immune, Instant Death:Immune, Banishment:Immune, </v>
      </c>
      <c r="N438" s="32" t="str">
        <f>IFERROR(__xludf.DUMMYFUNCTION("""COMPUTED_VALUE"""),"Fire:100, Storm:100, ")</f>
        <v>Fire:100, Storm:100, </v>
      </c>
      <c r="O438" s="32"/>
      <c r="P438" s="32"/>
      <c r="Q438" s="32"/>
      <c r="R438" s="32"/>
      <c r="S438" s="32"/>
      <c r="T438" s="32"/>
      <c r="U438" s="32"/>
      <c r="V438" s="32"/>
      <c r="W438" s="32"/>
      <c r="X438" s="32"/>
      <c r="Y438" s="32"/>
      <c r="Z438" s="32"/>
      <c r="AA438" s="32"/>
      <c r="AB438" s="32"/>
      <c r="AC438" s="32"/>
      <c r="AD438" s="32"/>
      <c r="AE438" s="32"/>
      <c r="AF438" s="32"/>
      <c r="AG438" s="32"/>
      <c r="AH438" s="32"/>
      <c r="AI438" s="32"/>
      <c r="AJ438" s="32" t="str">
        <f>IFERROR(__xludf.DUMMYFUNCTION("""COMPUTED_VALUE"""),"Divine Dragon's Breath")</f>
        <v>Divine Dragon's Breath</v>
      </c>
      <c r="AK438" s="32" t="str">
        <f>IFERROR(__xludf.DUMMYFUNCTION("""COMPUTED_VALUE"""),"Bite")</f>
        <v>Bite</v>
      </c>
      <c r="AL438" s="32" t="str">
        <f>IFERROR(__xludf.DUMMYFUNCTION("""COMPUTED_VALUE"""),"Tail Smash")</f>
        <v>Tail Smash</v>
      </c>
      <c r="AM438" s="32" t="str">
        <f>IFERROR(__xludf.DUMMYFUNCTION("""COMPUTED_VALUE"""),"Claws")</f>
        <v>Claws</v>
      </c>
      <c r="AN438" s="32" t="str">
        <f>IFERROR(__xludf.DUMMYFUNCTION("""COMPUTED_VALUE"""),"Berserk")</f>
        <v>Berserk</v>
      </c>
      <c r="AO438" s="32" t="str">
        <f>IFERROR(__xludf.DUMMYFUNCTION("""COMPUTED_VALUE"""),"Multishot")</f>
        <v>Multishot</v>
      </c>
      <c r="AP438" s="32" t="str">
        <f>IFERROR(__xludf.DUMMYFUNCTION("""COMPUTED_VALUE"""),"Draconic Scream")</f>
        <v>Draconic Scream</v>
      </c>
      <c r="AQ438" s="32" t="str">
        <f>IFERROR(__xludf.DUMMYFUNCTION("""COMPUTED_VALUE"""),"Chaincast")</f>
        <v>Chaincast</v>
      </c>
      <c r="AR438" s="32" t="str">
        <f>IFERROR(__xludf.DUMMYFUNCTION("""COMPUTED_VALUE"""),"The Orb of Life")</f>
        <v>The Orb of Life</v>
      </c>
      <c r="AS438" s="32" t="str">
        <f>IFERROR(__xludf.DUMMYFUNCTION("""COMPUTED_VALUE"""),"Regrowth")</f>
        <v>Regrowth</v>
      </c>
      <c r="AT438" s="32" t="str">
        <f>IFERROR(__xludf.DUMMYFUNCTION("""COMPUTED_VALUE"""),"Entangle")</f>
        <v>Entangle</v>
      </c>
      <c r="AU438" s="32" t="str">
        <f>IFERROR(__xludf.DUMMYFUNCTION("""COMPUTED_VALUE"""),"Nature's Embrace")</f>
        <v>Nature's Embrace</v>
      </c>
      <c r="AV438" s="32" t="str">
        <f>IFERROR(__xludf.DUMMYFUNCTION("""COMPUTED_VALUE"""),"Celestial Wrath")</f>
        <v>Celestial Wrath</v>
      </c>
      <c r="AW438" s="32"/>
      <c r="AX438" s="32"/>
      <c r="AY438" s="32"/>
      <c r="AZ438" s="32"/>
      <c r="BA438" s="32"/>
      <c r="BB438" s="32"/>
      <c r="BC438" s="32"/>
      <c r="BD438" s="32">
        <f>IFERROR(__xludf.DUMMYFUNCTION("""COMPUTED_VALUE"""),20.0)</f>
        <v>20</v>
      </c>
      <c r="BE438" s="32">
        <f>IFERROR(__xludf.DUMMYFUNCTION("""COMPUTED_VALUE"""),10.0)</f>
        <v>10</v>
      </c>
      <c r="BF438" s="32" t="str">
        <f>IFERROR(__xludf.DUMMYFUNCTION("""COMPUTED_VALUE"""),"Unaffected by any spells affecting this creature
Dragons Luck II: +10 can be added to this mobs d20 rolls.")</f>
        <v>Unaffected by any spells affecting this creature
Dragons Luck II: +10 can be added to this mobs d20 rolls.</v>
      </c>
      <c r="BG438" s="32" t="str">
        <f>IFERROR(__xludf.DUMMYFUNCTION("""COMPUTED_VALUE"""),"All")</f>
        <v>All</v>
      </c>
      <c r="BH438" s="32" t="str">
        <f>IFERROR(__xludf.DUMMYFUNCTION("""COMPUTED_VALUE"""),"Solreach")</f>
        <v>Solreach</v>
      </c>
      <c r="BI438" s="32"/>
      <c r="BJ438" s="32"/>
      <c r="BK438" s="32"/>
      <c r="BL438" s="32" t="b">
        <f>IFERROR(__xludf.DUMMYFUNCTION("""COMPUTED_VALUE"""),FALSE)</f>
        <v>0</v>
      </c>
      <c r="BM438" s="32"/>
      <c r="BN438" s="32"/>
      <c r="BO438" s="32"/>
      <c r="BP438" s="32"/>
      <c r="BQ438" s="32"/>
    </row>
    <row r="439">
      <c r="A439" s="32" t="str">
        <f>IFERROR(__xludf.DUMMYFUNCTION("""COMPUTED_VALUE"""),"Divine Frost Dragon")</f>
        <v>Divine Frost Dragon</v>
      </c>
      <c r="B439" s="32">
        <f>IFERROR(__xludf.DUMMYFUNCTION("""COMPUTED_VALUE"""),1.0)</f>
        <v>1</v>
      </c>
      <c r="C439" s="32"/>
      <c r="D439" s="32" t="str">
        <f>IFERROR(__xludf.DUMMYFUNCTION("""COMPUTED_VALUE"""),"Draconic")</f>
        <v>Draconic</v>
      </c>
      <c r="E439" s="32">
        <f>IFERROR(__xludf.DUMMYFUNCTION("""COMPUTED_VALUE"""),1010.0)</f>
        <v>1010</v>
      </c>
      <c r="F439" s="33">
        <f>IFERROR(__xludf.DUMMYFUNCTION("""COMPUTED_VALUE"""),1010.0)</f>
        <v>1010</v>
      </c>
      <c r="G439" s="32">
        <f>IFERROR(__xludf.DUMMYFUNCTION("""COMPUTED_VALUE"""),1010.0)</f>
        <v>1010</v>
      </c>
      <c r="H439" s="32">
        <f>IFERROR(__xludf.DUMMYFUNCTION("""COMPUTED_VALUE"""),10.0)</f>
        <v>10</v>
      </c>
      <c r="I439" s="32">
        <f>IFERROR(__xludf.DUMMYFUNCTION("""COMPUTED_VALUE"""),20.0)</f>
        <v>20</v>
      </c>
      <c r="J439" s="32">
        <f>IFERROR(__xludf.DUMMYFUNCTION("""COMPUTED_VALUE"""),20.0)</f>
        <v>20</v>
      </c>
      <c r="K439" s="32">
        <f>IFERROR(__xludf.DUMMYFUNCTION("""COMPUTED_VALUE"""),100.0)</f>
        <v>100</v>
      </c>
      <c r="L439" s="32">
        <f>IFERROR(__xludf.DUMMYFUNCTION("""COMPUTED_VALUE"""),100.0)</f>
        <v>100</v>
      </c>
      <c r="M439" s="32" t="str">
        <f>IFERROR(__xludf.DUMMYFUNCTION("""COMPUTED_VALUE"""),"Water:Immune, Instant Death:Immune, Banishment:Immune, ")</f>
        <v>Water:Immune, Instant Death:Immune, Banishment:Immune, </v>
      </c>
      <c r="N439" s="32" t="str">
        <f>IFERROR(__xludf.DUMMYFUNCTION("""COMPUTED_VALUE"""),"Fire:100, Nature:100, ")</f>
        <v>Fire:100, Nature:100, </v>
      </c>
      <c r="O439" s="32"/>
      <c r="P439" s="32"/>
      <c r="Q439" s="32"/>
      <c r="R439" s="32"/>
      <c r="S439" s="32"/>
      <c r="T439" s="32"/>
      <c r="U439" s="32"/>
      <c r="V439" s="32"/>
      <c r="W439" s="32"/>
      <c r="X439" s="32"/>
      <c r="Y439" s="32"/>
      <c r="Z439" s="32"/>
      <c r="AA439" s="32"/>
      <c r="AB439" s="32"/>
      <c r="AC439" s="32"/>
      <c r="AD439" s="32"/>
      <c r="AE439" s="32"/>
      <c r="AF439" s="32"/>
      <c r="AG439" s="32"/>
      <c r="AH439" s="32"/>
      <c r="AI439" s="32"/>
      <c r="AJ439" s="32" t="str">
        <f>IFERROR(__xludf.DUMMYFUNCTION("""COMPUTED_VALUE"""),"Divine Dragon's Breath")</f>
        <v>Divine Dragon's Breath</v>
      </c>
      <c r="AK439" s="32" t="str">
        <f>IFERROR(__xludf.DUMMYFUNCTION("""COMPUTED_VALUE"""),"Bite")</f>
        <v>Bite</v>
      </c>
      <c r="AL439" s="32" t="str">
        <f>IFERROR(__xludf.DUMMYFUNCTION("""COMPUTED_VALUE"""),"Tail Smash")</f>
        <v>Tail Smash</v>
      </c>
      <c r="AM439" s="32" t="str">
        <f>IFERROR(__xludf.DUMMYFUNCTION("""COMPUTED_VALUE"""),"Claws")</f>
        <v>Claws</v>
      </c>
      <c r="AN439" s="32" t="str">
        <f>IFERROR(__xludf.DUMMYFUNCTION("""COMPUTED_VALUE"""),"Berserk")</f>
        <v>Berserk</v>
      </c>
      <c r="AO439" s="32" t="str">
        <f>IFERROR(__xludf.DUMMYFUNCTION("""COMPUTED_VALUE"""),"Multishot")</f>
        <v>Multishot</v>
      </c>
      <c r="AP439" s="32" t="str">
        <f>IFERROR(__xludf.DUMMYFUNCTION("""COMPUTED_VALUE"""),"Draconic Scream")</f>
        <v>Draconic Scream</v>
      </c>
      <c r="AQ439" s="32" t="str">
        <f>IFERROR(__xludf.DUMMYFUNCTION("""COMPUTED_VALUE"""),"Chaincast")</f>
        <v>Chaincast</v>
      </c>
      <c r="AR439" s="32" t="str">
        <f>IFERROR(__xludf.DUMMYFUNCTION("""COMPUTED_VALUE"""),"Freezing Fog")</f>
        <v>Freezing Fog</v>
      </c>
      <c r="AS439" s="32" t="str">
        <f>IFERROR(__xludf.DUMMYFUNCTION("""COMPUTED_VALUE"""),"HailStorm")</f>
        <v>HailStorm</v>
      </c>
      <c r="AT439" s="32" t="str">
        <f>IFERROR(__xludf.DUMMYFUNCTION("""COMPUTED_VALUE"""),"Blizzard")</f>
        <v>Blizzard</v>
      </c>
      <c r="AU439" s="32" t="str">
        <f>IFERROR(__xludf.DUMMYFUNCTION("""COMPUTED_VALUE"""),"Celestial Wrath")</f>
        <v>Celestial Wrath</v>
      </c>
      <c r="AV439" s="32"/>
      <c r="AW439" s="32"/>
      <c r="AX439" s="32"/>
      <c r="AY439" s="32"/>
      <c r="AZ439" s="32"/>
      <c r="BA439" s="32"/>
      <c r="BB439" s="32"/>
      <c r="BC439" s="32"/>
      <c r="BD439" s="32">
        <f>IFERROR(__xludf.DUMMYFUNCTION("""COMPUTED_VALUE"""),20.0)</f>
        <v>20</v>
      </c>
      <c r="BE439" s="32">
        <f>IFERROR(__xludf.DUMMYFUNCTION("""COMPUTED_VALUE"""),10.0)</f>
        <v>10</v>
      </c>
      <c r="BF439" s="32"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32" t="str">
        <f>IFERROR(__xludf.DUMMYFUNCTION("""COMPUTED_VALUE"""),"All")</f>
        <v>All</v>
      </c>
      <c r="BH439" s="32" t="str">
        <f>IFERROR(__xludf.DUMMYFUNCTION("""COMPUTED_VALUE"""),"Solreach")</f>
        <v>Solreach</v>
      </c>
      <c r="BI439" s="32"/>
      <c r="BJ439" s="32"/>
      <c r="BK439" s="32"/>
      <c r="BL439" s="32" t="b">
        <f>IFERROR(__xludf.DUMMYFUNCTION("""COMPUTED_VALUE"""),FALSE)</f>
        <v>0</v>
      </c>
      <c r="BM439" s="32"/>
      <c r="BN439" s="32"/>
      <c r="BO439" s="32"/>
      <c r="BP439" s="32"/>
      <c r="BQ439" s="32"/>
    </row>
    <row r="440">
      <c r="A440" s="32" t="str">
        <f>IFERROR(__xludf.DUMMYFUNCTION("""COMPUTED_VALUE"""),"Divine Soul Dragon")</f>
        <v>Divine Soul Dragon</v>
      </c>
      <c r="B440" s="32">
        <f>IFERROR(__xludf.DUMMYFUNCTION("""COMPUTED_VALUE"""),1.0)</f>
        <v>1</v>
      </c>
      <c r="C440" s="32"/>
      <c r="D440" s="32" t="str">
        <f>IFERROR(__xludf.DUMMYFUNCTION("""COMPUTED_VALUE"""),"Draconic")</f>
        <v>Draconic</v>
      </c>
      <c r="E440" s="32">
        <f>IFERROR(__xludf.DUMMYFUNCTION("""COMPUTED_VALUE"""),1010.0)</f>
        <v>1010</v>
      </c>
      <c r="F440" s="33">
        <f>IFERROR(__xludf.DUMMYFUNCTION("""COMPUTED_VALUE"""),1010.0)</f>
        <v>1010</v>
      </c>
      <c r="G440" s="32">
        <f>IFERROR(__xludf.DUMMYFUNCTION("""COMPUTED_VALUE"""),1010.0)</f>
        <v>1010</v>
      </c>
      <c r="H440" s="32">
        <f>IFERROR(__xludf.DUMMYFUNCTION("""COMPUTED_VALUE"""),10.0)</f>
        <v>10</v>
      </c>
      <c r="I440" s="32">
        <f>IFERROR(__xludf.DUMMYFUNCTION("""COMPUTED_VALUE"""),20.0)</f>
        <v>20</v>
      </c>
      <c r="J440" s="32">
        <f>IFERROR(__xludf.DUMMYFUNCTION("""COMPUTED_VALUE"""),20.0)</f>
        <v>20</v>
      </c>
      <c r="K440" s="32">
        <f>IFERROR(__xludf.DUMMYFUNCTION("""COMPUTED_VALUE"""),100.0)</f>
        <v>100</v>
      </c>
      <c r="L440" s="32">
        <f>IFERROR(__xludf.DUMMYFUNCTION("""COMPUTED_VALUE"""),100.0)</f>
        <v>100</v>
      </c>
      <c r="M440" s="32" t="str">
        <f>IFERROR(__xludf.DUMMYFUNCTION("""COMPUTED_VALUE"""),"Dark:Immune, Instant Death:Immune, Banishment:Immune, ")</f>
        <v>Dark:Immune, Instant Death:Immune, Banishment:Immune, </v>
      </c>
      <c r="N440" s="32" t="str">
        <f>IFERROR(__xludf.DUMMYFUNCTION("""COMPUTED_VALUE"""),"Fire:100, Light:100, ")</f>
        <v>Fire:100, Light:100, </v>
      </c>
      <c r="O440" s="32"/>
      <c r="P440" s="32"/>
      <c r="Q440" s="32"/>
      <c r="R440" s="32"/>
      <c r="S440" s="32"/>
      <c r="T440" s="32"/>
      <c r="U440" s="32"/>
      <c r="V440" s="32"/>
      <c r="W440" s="32"/>
      <c r="X440" s="32"/>
      <c r="Y440" s="32"/>
      <c r="Z440" s="32"/>
      <c r="AA440" s="32"/>
      <c r="AB440" s="32"/>
      <c r="AC440" s="32"/>
      <c r="AD440" s="32"/>
      <c r="AE440" s="32"/>
      <c r="AF440" s="32"/>
      <c r="AG440" s="32"/>
      <c r="AH440" s="32"/>
      <c r="AI440" s="32"/>
      <c r="AJ440" s="32" t="str">
        <f>IFERROR(__xludf.DUMMYFUNCTION("""COMPUTED_VALUE"""),"Divine Dragon's Breath")</f>
        <v>Divine Dragon's Breath</v>
      </c>
      <c r="AK440" s="32" t="str">
        <f>IFERROR(__xludf.DUMMYFUNCTION("""COMPUTED_VALUE"""),"Bite")</f>
        <v>Bite</v>
      </c>
      <c r="AL440" s="32" t="str">
        <f>IFERROR(__xludf.DUMMYFUNCTION("""COMPUTED_VALUE"""),"Tail Smash")</f>
        <v>Tail Smash</v>
      </c>
      <c r="AM440" s="32" t="str">
        <f>IFERROR(__xludf.DUMMYFUNCTION("""COMPUTED_VALUE"""),"Claws")</f>
        <v>Claws</v>
      </c>
      <c r="AN440" s="32" t="str">
        <f>IFERROR(__xludf.DUMMYFUNCTION("""COMPUTED_VALUE"""),"Berserk")</f>
        <v>Berserk</v>
      </c>
      <c r="AO440" s="32" t="str">
        <f>IFERROR(__xludf.DUMMYFUNCTION("""COMPUTED_VALUE"""),"Multishot")</f>
        <v>Multishot</v>
      </c>
      <c r="AP440" s="32" t="str">
        <f>IFERROR(__xludf.DUMMYFUNCTION("""COMPUTED_VALUE"""),"Draconic Scream")</f>
        <v>Draconic Scream</v>
      </c>
      <c r="AQ440" s="32" t="str">
        <f>IFERROR(__xludf.DUMMYFUNCTION("""COMPUTED_VALUE"""),"Chaincast")</f>
        <v>Chaincast</v>
      </c>
      <c r="AR440" s="32" t="str">
        <f>IFERROR(__xludf.DUMMYFUNCTION("""COMPUTED_VALUE"""),"Spirit Fog")</f>
        <v>Spirit Fog</v>
      </c>
      <c r="AS440" s="32" t="str">
        <f>IFERROR(__xludf.DUMMYFUNCTION("""COMPUTED_VALUE"""),"Rain of Souls")</f>
        <v>Rain of Souls</v>
      </c>
      <c r="AT440" s="32" t="str">
        <f>IFERROR(__xludf.DUMMYFUNCTION("""COMPUTED_VALUE"""),"Soul Trap")</f>
        <v>Soul Trap</v>
      </c>
      <c r="AU440" s="32" t="str">
        <f>IFERROR(__xludf.DUMMYFUNCTION("""COMPUTED_VALUE"""),"Celestial Wrath")</f>
        <v>Celestial Wrath</v>
      </c>
      <c r="AV440" s="32"/>
      <c r="AW440" s="32"/>
      <c r="AX440" s="32"/>
      <c r="AY440" s="32"/>
      <c r="AZ440" s="32"/>
      <c r="BA440" s="32"/>
      <c r="BB440" s="32"/>
      <c r="BC440" s="32"/>
      <c r="BD440" s="32">
        <f>IFERROR(__xludf.DUMMYFUNCTION("""COMPUTED_VALUE"""),20.0)</f>
        <v>20</v>
      </c>
      <c r="BE440" s="32">
        <f>IFERROR(__xludf.DUMMYFUNCTION("""COMPUTED_VALUE"""),10.0)</f>
        <v>10</v>
      </c>
      <c r="BF440" s="32"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32" t="str">
        <f>IFERROR(__xludf.DUMMYFUNCTION("""COMPUTED_VALUE"""),"All")</f>
        <v>All</v>
      </c>
      <c r="BH440" s="32" t="str">
        <f>IFERROR(__xludf.DUMMYFUNCTION("""COMPUTED_VALUE"""),"Solreach")</f>
        <v>Solreach</v>
      </c>
      <c r="BI440" s="32"/>
      <c r="BJ440" s="32"/>
      <c r="BK440" s="32"/>
      <c r="BL440" s="32" t="b">
        <f>IFERROR(__xludf.DUMMYFUNCTION("""COMPUTED_VALUE"""),FALSE)</f>
        <v>0</v>
      </c>
      <c r="BM440" s="32"/>
      <c r="BN440" s="32"/>
      <c r="BO440" s="32"/>
      <c r="BP440" s="32"/>
      <c r="BQ440" s="32"/>
    </row>
    <row r="441">
      <c r="A441" s="32" t="str">
        <f>IFERROR(__xludf.DUMMYFUNCTION("""COMPUTED_VALUE"""),"Divine Spirit Dragon")</f>
        <v>Divine Spirit Dragon</v>
      </c>
      <c r="B441" s="32">
        <f>IFERROR(__xludf.DUMMYFUNCTION("""COMPUTED_VALUE"""),1.0)</f>
        <v>1</v>
      </c>
      <c r="C441" s="32"/>
      <c r="D441" s="32" t="str">
        <f>IFERROR(__xludf.DUMMYFUNCTION("""COMPUTED_VALUE"""),"Draconic")</f>
        <v>Draconic</v>
      </c>
      <c r="E441" s="32">
        <f>IFERROR(__xludf.DUMMYFUNCTION("""COMPUTED_VALUE"""),1010.0)</f>
        <v>1010</v>
      </c>
      <c r="F441" s="33">
        <f>IFERROR(__xludf.DUMMYFUNCTION("""COMPUTED_VALUE"""),1010.0)</f>
        <v>1010</v>
      </c>
      <c r="G441" s="32">
        <f>IFERROR(__xludf.DUMMYFUNCTION("""COMPUTED_VALUE"""),1010.0)</f>
        <v>1010</v>
      </c>
      <c r="H441" s="32">
        <f>IFERROR(__xludf.DUMMYFUNCTION("""COMPUTED_VALUE"""),10.0)</f>
        <v>10</v>
      </c>
      <c r="I441" s="32">
        <f>IFERROR(__xludf.DUMMYFUNCTION("""COMPUTED_VALUE"""),20.0)</f>
        <v>20</v>
      </c>
      <c r="J441" s="32">
        <f>IFERROR(__xludf.DUMMYFUNCTION("""COMPUTED_VALUE"""),20.0)</f>
        <v>20</v>
      </c>
      <c r="K441" s="32">
        <f>IFERROR(__xludf.DUMMYFUNCTION("""COMPUTED_VALUE"""),100.0)</f>
        <v>100</v>
      </c>
      <c r="L441" s="32">
        <f>IFERROR(__xludf.DUMMYFUNCTION("""COMPUTED_VALUE"""),100.0)</f>
        <v>100</v>
      </c>
      <c r="M441" s="32" t="str">
        <f>IFERROR(__xludf.DUMMYFUNCTION("""COMPUTED_VALUE"""),"Dark:Immune, Instant Death:Immune, Banishment:Immune, ")</f>
        <v>Dark:Immune, Instant Death:Immune, Banishment:Immune, </v>
      </c>
      <c r="N441" s="32" t="str">
        <f>IFERROR(__xludf.DUMMYFUNCTION("""COMPUTED_VALUE"""),"Fire:100, Light:100, ")</f>
        <v>Fire:100, Light:100, </v>
      </c>
      <c r="O441" s="32"/>
      <c r="P441" s="32"/>
      <c r="Q441" s="32"/>
      <c r="R441" s="32"/>
      <c r="S441" s="32"/>
      <c r="T441" s="32"/>
      <c r="U441" s="32"/>
      <c r="V441" s="32"/>
      <c r="W441" s="32"/>
      <c r="X441" s="32"/>
      <c r="Y441" s="32"/>
      <c r="Z441" s="32"/>
      <c r="AA441" s="32"/>
      <c r="AB441" s="32"/>
      <c r="AC441" s="32"/>
      <c r="AD441" s="32"/>
      <c r="AE441" s="32"/>
      <c r="AF441" s="32"/>
      <c r="AG441" s="32"/>
      <c r="AH441" s="32"/>
      <c r="AI441" s="32"/>
      <c r="AJ441" s="32" t="str">
        <f>IFERROR(__xludf.DUMMYFUNCTION("""COMPUTED_VALUE"""),"Divine Dragon's Breath")</f>
        <v>Divine Dragon's Breath</v>
      </c>
      <c r="AK441" s="32" t="str">
        <f>IFERROR(__xludf.DUMMYFUNCTION("""COMPUTED_VALUE"""),"Bite")</f>
        <v>Bite</v>
      </c>
      <c r="AL441" s="32" t="str">
        <f>IFERROR(__xludf.DUMMYFUNCTION("""COMPUTED_VALUE"""),"Tail Smash")</f>
        <v>Tail Smash</v>
      </c>
      <c r="AM441" s="32" t="str">
        <f>IFERROR(__xludf.DUMMYFUNCTION("""COMPUTED_VALUE"""),"Claws")</f>
        <v>Claws</v>
      </c>
      <c r="AN441" s="32" t="str">
        <f>IFERROR(__xludf.DUMMYFUNCTION("""COMPUTED_VALUE"""),"Berserk")</f>
        <v>Berserk</v>
      </c>
      <c r="AO441" s="32" t="str">
        <f>IFERROR(__xludf.DUMMYFUNCTION("""COMPUTED_VALUE"""),"Multishot")</f>
        <v>Multishot</v>
      </c>
      <c r="AP441" s="32" t="str">
        <f>IFERROR(__xludf.DUMMYFUNCTION("""COMPUTED_VALUE"""),"Draconic Scream")</f>
        <v>Draconic Scream</v>
      </c>
      <c r="AQ441" s="32" t="str">
        <f>IFERROR(__xludf.DUMMYFUNCTION("""COMPUTED_VALUE"""),"Chaincast")</f>
        <v>Chaincast</v>
      </c>
      <c r="AR441" s="32" t="str">
        <f>IFERROR(__xludf.DUMMYFUNCTION("""COMPUTED_VALUE"""),"A Deal With The Spirit World")</f>
        <v>A Deal With The Spirit World</v>
      </c>
      <c r="AS441" s="32" t="str">
        <f>IFERROR(__xludf.DUMMYFUNCTION("""COMPUTED_VALUE"""),"Spirit Drain")</f>
        <v>Spirit Drain</v>
      </c>
      <c r="AT441" s="32" t="str">
        <f>IFERROR(__xludf.DUMMYFUNCTION("""COMPUTED_VALUE"""),"Possession")</f>
        <v>Possession</v>
      </c>
      <c r="AU441" s="32" t="str">
        <f>IFERROR(__xludf.DUMMYFUNCTION("""COMPUTED_VALUE"""),"Celestial Wrath")</f>
        <v>Celestial Wrath</v>
      </c>
      <c r="AV441" s="32" t="str">
        <f>IFERROR(__xludf.DUMMYFUNCTION("""COMPUTED_VALUE"""),"Spirit Fog")</f>
        <v>Spirit Fog</v>
      </c>
      <c r="AW441" s="32" t="str">
        <f>IFERROR(__xludf.DUMMYFUNCTION("""COMPUTED_VALUE"""),"Burning Dread")</f>
        <v>Burning Dread</v>
      </c>
      <c r="AX441" s="32"/>
      <c r="AY441" s="32"/>
      <c r="AZ441" s="32"/>
      <c r="BA441" s="32"/>
      <c r="BB441" s="32"/>
      <c r="BC441" s="32"/>
      <c r="BD441" s="32">
        <f>IFERROR(__xludf.DUMMYFUNCTION("""COMPUTED_VALUE"""),20.0)</f>
        <v>20</v>
      </c>
      <c r="BE441" s="32">
        <f>IFERROR(__xludf.DUMMYFUNCTION("""COMPUTED_VALUE"""),10.0)</f>
        <v>10</v>
      </c>
      <c r="BF441" s="32"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32" t="str">
        <f>IFERROR(__xludf.DUMMYFUNCTION("""COMPUTED_VALUE"""),"All")</f>
        <v>All</v>
      </c>
      <c r="BH441" s="32" t="str">
        <f>IFERROR(__xludf.DUMMYFUNCTION("""COMPUTED_VALUE"""),"Solreach")</f>
        <v>Solreach</v>
      </c>
      <c r="BI441" s="32"/>
      <c r="BJ441" s="32"/>
      <c r="BK441" s="32"/>
      <c r="BL441" s="32" t="b">
        <f>IFERROR(__xludf.DUMMYFUNCTION("""COMPUTED_VALUE"""),FALSE)</f>
        <v>0</v>
      </c>
      <c r="BM441" s="32"/>
      <c r="BN441" s="32"/>
      <c r="BO441" s="32"/>
      <c r="BP441" s="32"/>
      <c r="BQ441" s="32"/>
    </row>
    <row r="442">
      <c r="A442" s="32" t="str">
        <f>IFERROR(__xludf.DUMMYFUNCTION("""COMPUTED_VALUE"""),"Divine Stone Dragon")</f>
        <v>Divine Stone Dragon</v>
      </c>
      <c r="B442" s="32">
        <f>IFERROR(__xludf.DUMMYFUNCTION("""COMPUTED_VALUE"""),1.0)</f>
        <v>1</v>
      </c>
      <c r="C442" s="32"/>
      <c r="D442" s="32" t="str">
        <f>IFERROR(__xludf.DUMMYFUNCTION("""COMPUTED_VALUE"""),"Draconic")</f>
        <v>Draconic</v>
      </c>
      <c r="E442" s="32">
        <f>IFERROR(__xludf.DUMMYFUNCTION("""COMPUTED_VALUE"""),1010.0)</f>
        <v>1010</v>
      </c>
      <c r="F442" s="33">
        <f>IFERROR(__xludf.DUMMYFUNCTION("""COMPUTED_VALUE"""),1010.0)</f>
        <v>1010</v>
      </c>
      <c r="G442" s="32">
        <f>IFERROR(__xludf.DUMMYFUNCTION("""COMPUTED_VALUE"""),1010.0)</f>
        <v>1010</v>
      </c>
      <c r="H442" s="32">
        <f>IFERROR(__xludf.DUMMYFUNCTION("""COMPUTED_VALUE"""),10.0)</f>
        <v>10</v>
      </c>
      <c r="I442" s="32">
        <f>IFERROR(__xludf.DUMMYFUNCTION("""COMPUTED_VALUE"""),20.0)</f>
        <v>20</v>
      </c>
      <c r="J442" s="32">
        <f>IFERROR(__xludf.DUMMYFUNCTION("""COMPUTED_VALUE"""),20.0)</f>
        <v>20</v>
      </c>
      <c r="K442" s="32">
        <f>IFERROR(__xludf.DUMMYFUNCTION("""COMPUTED_VALUE"""),100.0)</f>
        <v>100</v>
      </c>
      <c r="L442" s="32">
        <f>IFERROR(__xludf.DUMMYFUNCTION("""COMPUTED_VALUE"""),100.0)</f>
        <v>100</v>
      </c>
      <c r="M442" s="32" t="str">
        <f>IFERROR(__xludf.DUMMYFUNCTION("""COMPUTED_VALUE"""),"Earth:Immune, Instant Death:Immune, Banishment:Immune, ")</f>
        <v>Earth:Immune, Instant Death:Immune, Banishment:Immune, </v>
      </c>
      <c r="N442" s="32" t="str">
        <f>IFERROR(__xludf.DUMMYFUNCTION("""COMPUTED_VALUE"""),"Water:100, Storm:100, ")</f>
        <v>Water:100, Storm:100, </v>
      </c>
      <c r="O442" s="32"/>
      <c r="P442" s="32"/>
      <c r="Q442" s="32"/>
      <c r="R442" s="32"/>
      <c r="S442" s="32"/>
      <c r="T442" s="32"/>
      <c r="U442" s="32"/>
      <c r="V442" s="32"/>
      <c r="W442" s="32"/>
      <c r="X442" s="32"/>
      <c r="Y442" s="32"/>
      <c r="Z442" s="32"/>
      <c r="AA442" s="32"/>
      <c r="AB442" s="32"/>
      <c r="AC442" s="32"/>
      <c r="AD442" s="32"/>
      <c r="AE442" s="32"/>
      <c r="AF442" s="32"/>
      <c r="AG442" s="32"/>
      <c r="AH442" s="32"/>
      <c r="AI442" s="32"/>
      <c r="AJ442" s="32" t="str">
        <f>IFERROR(__xludf.DUMMYFUNCTION("""COMPUTED_VALUE"""),"Divine Dragon's Breath")</f>
        <v>Divine Dragon's Breath</v>
      </c>
      <c r="AK442" s="32" t="str">
        <f>IFERROR(__xludf.DUMMYFUNCTION("""COMPUTED_VALUE"""),"Bite")</f>
        <v>Bite</v>
      </c>
      <c r="AL442" s="32" t="str">
        <f>IFERROR(__xludf.DUMMYFUNCTION("""COMPUTED_VALUE"""),"Tail Smash")</f>
        <v>Tail Smash</v>
      </c>
      <c r="AM442" s="32" t="str">
        <f>IFERROR(__xludf.DUMMYFUNCTION("""COMPUTED_VALUE"""),"Claws")</f>
        <v>Claws</v>
      </c>
      <c r="AN442" s="32" t="str">
        <f>IFERROR(__xludf.DUMMYFUNCTION("""COMPUTED_VALUE"""),"Berserk")</f>
        <v>Berserk</v>
      </c>
      <c r="AO442" s="32" t="str">
        <f>IFERROR(__xludf.DUMMYFUNCTION("""COMPUTED_VALUE"""),"Multishot")</f>
        <v>Multishot</v>
      </c>
      <c r="AP442" s="32" t="str">
        <f>IFERROR(__xludf.DUMMYFUNCTION("""COMPUTED_VALUE"""),"Draconic Scream")</f>
        <v>Draconic Scream</v>
      </c>
      <c r="AQ442" s="32" t="str">
        <f>IFERROR(__xludf.DUMMYFUNCTION("""COMPUTED_VALUE"""),"Chaincast")</f>
        <v>Chaincast</v>
      </c>
      <c r="AR442" s="32" t="str">
        <f>IFERROR(__xludf.DUMMYFUNCTION("""COMPUTED_VALUE"""),"Earthquake")</f>
        <v>Earthquake</v>
      </c>
      <c r="AS442" s="32" t="str">
        <f>IFERROR(__xludf.DUMMYFUNCTION("""COMPUTED_VALUE"""),"Rock Cycle")</f>
        <v>Rock Cycle</v>
      </c>
      <c r="AT442" s="32" t="str">
        <f>IFERROR(__xludf.DUMMYFUNCTION("""COMPUTED_VALUE"""),"Quicksand")</f>
        <v>Quicksand</v>
      </c>
      <c r="AU442" s="32" t="str">
        <f>IFERROR(__xludf.DUMMYFUNCTION("""COMPUTED_VALUE"""),"Celestial Wrath")</f>
        <v>Celestial Wrath</v>
      </c>
      <c r="AV442" s="32"/>
      <c r="AW442" s="32"/>
      <c r="AX442" s="32"/>
      <c r="AY442" s="32"/>
      <c r="AZ442" s="32"/>
      <c r="BA442" s="32"/>
      <c r="BB442" s="32"/>
      <c r="BC442" s="32"/>
      <c r="BD442" s="32">
        <f>IFERROR(__xludf.DUMMYFUNCTION("""COMPUTED_VALUE"""),20.0)</f>
        <v>20</v>
      </c>
      <c r="BE442" s="32">
        <f>IFERROR(__xludf.DUMMYFUNCTION("""COMPUTED_VALUE"""),10.0)</f>
        <v>10</v>
      </c>
      <c r="BF442" s="32" t="str">
        <f>IFERROR(__xludf.DUMMYFUNCTION("""COMPUTED_VALUE"""),"Unaffected by any spells affecting this creature
Dragons Luck II: +10 can be added to this mobs d20 rolls.")</f>
        <v>Unaffected by any spells affecting this creature
Dragons Luck II: +10 can be added to this mobs d20 rolls.</v>
      </c>
      <c r="BG442" s="32" t="str">
        <f>IFERROR(__xludf.DUMMYFUNCTION("""COMPUTED_VALUE"""),"All")</f>
        <v>All</v>
      </c>
      <c r="BH442" s="32" t="str">
        <f>IFERROR(__xludf.DUMMYFUNCTION("""COMPUTED_VALUE"""),"Solreach")</f>
        <v>Solreach</v>
      </c>
      <c r="BI442" s="32"/>
      <c r="BJ442" s="32"/>
      <c r="BK442" s="32"/>
      <c r="BL442" s="32" t="b">
        <f>IFERROR(__xludf.DUMMYFUNCTION("""COMPUTED_VALUE"""),FALSE)</f>
        <v>0</v>
      </c>
      <c r="BM442" s="32"/>
      <c r="BN442" s="32"/>
      <c r="BO442" s="32"/>
      <c r="BP442" s="32"/>
      <c r="BQ442" s="32"/>
    </row>
    <row r="443">
      <c r="A443" s="32"/>
      <c r="B443" s="32">
        <f>IFERROR(__xludf.DUMMYFUNCTION("""COMPUTED_VALUE"""),1.0)</f>
        <v>1</v>
      </c>
      <c r="C443" s="32"/>
      <c r="D443" s="32" t="str">
        <f>IFERROR(__xludf.DUMMYFUNCTION("""COMPUTED_VALUE"""),"Draconic")</f>
        <v>Draconic</v>
      </c>
      <c r="E443" s="32">
        <f>IFERROR(__xludf.DUMMYFUNCTION("""COMPUTED_VALUE"""),1010.0)</f>
        <v>1010</v>
      </c>
      <c r="F443" s="33">
        <f>IFERROR(__xludf.DUMMYFUNCTION("""COMPUTED_VALUE"""),1010.0)</f>
        <v>1010</v>
      </c>
      <c r="G443" s="32">
        <f>IFERROR(__xludf.DUMMYFUNCTION("""COMPUTED_VALUE"""),1010.0)</f>
        <v>1010</v>
      </c>
      <c r="H443" s="32">
        <f>IFERROR(__xludf.DUMMYFUNCTION("""COMPUTED_VALUE"""),10.0)</f>
        <v>10</v>
      </c>
      <c r="I443" s="32">
        <f>IFERROR(__xludf.DUMMYFUNCTION("""COMPUTED_VALUE"""),0.0)</f>
        <v>0</v>
      </c>
      <c r="J443" s="32">
        <f>IFERROR(__xludf.DUMMYFUNCTION("""COMPUTED_VALUE"""),0.0)</f>
        <v>0</v>
      </c>
      <c r="K443" s="32">
        <f>IFERROR(__xludf.DUMMYFUNCTION("""COMPUTED_VALUE"""),100.0)</f>
        <v>100</v>
      </c>
      <c r="L443" s="32">
        <f>IFERROR(__xludf.DUMMYFUNCTION("""COMPUTED_VALUE"""),100.0)</f>
        <v>100</v>
      </c>
      <c r="M443" s="32" t="str">
        <f>IFERROR(__xludf.DUMMYFUNCTION("""COMPUTED_VALUE"""),"#N/A")</f>
        <v>#N/A</v>
      </c>
      <c r="N443" s="32" t="str">
        <f>IFERROR(__xludf.DUMMYFUNCTION("""COMPUTED_VALUE"""),"#N/A")</f>
        <v>#N/A</v>
      </c>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f>IFERROR(__xludf.DUMMYFUNCTION("""COMPUTED_VALUE"""),0.0)</f>
        <v>0</v>
      </c>
      <c r="BE443" s="32">
        <f>IFERROR(__xludf.DUMMYFUNCTION("""COMPUTED_VALUE"""),10.0)</f>
        <v>10</v>
      </c>
      <c r="BF443" s="32"/>
      <c r="BG443" s="32"/>
      <c r="BH443" s="32"/>
      <c r="BI443" s="32"/>
      <c r="BJ443" s="32"/>
      <c r="BK443" s="32"/>
      <c r="BL443" s="32" t="b">
        <f>IFERROR(__xludf.DUMMYFUNCTION("""COMPUTED_VALUE"""),FALSE)</f>
        <v>0</v>
      </c>
      <c r="BM443" s="32"/>
      <c r="BN443" s="32"/>
      <c r="BO443" s="32"/>
      <c r="BP443" s="32"/>
      <c r="BQ443" s="32"/>
    </row>
    <row r="444">
      <c r="A444" s="32" t="str">
        <f>IFERROR(__xludf.DUMMYFUNCTION("""COMPUTED_VALUE"""),"Divine Fire Dragon")</f>
        <v>Divine Fire Dragon</v>
      </c>
      <c r="B444" s="32">
        <f>IFERROR(__xludf.DUMMYFUNCTION("""COMPUTED_VALUE"""),1.0)</f>
        <v>1</v>
      </c>
      <c r="C444" s="32"/>
      <c r="D444" s="32" t="str">
        <f>IFERROR(__xludf.DUMMYFUNCTION("""COMPUTED_VALUE"""),"Draconic")</f>
        <v>Draconic</v>
      </c>
      <c r="E444" s="32">
        <f>IFERROR(__xludf.DUMMYFUNCTION("""COMPUTED_VALUE"""),1010.0)</f>
        <v>1010</v>
      </c>
      <c r="F444" s="33">
        <f>IFERROR(__xludf.DUMMYFUNCTION("""COMPUTED_VALUE"""),1010.0)</f>
        <v>1010</v>
      </c>
      <c r="G444" s="32">
        <f>IFERROR(__xludf.DUMMYFUNCTION("""COMPUTED_VALUE"""),1010.0)</f>
        <v>1010</v>
      </c>
      <c r="H444" s="32">
        <f>IFERROR(__xludf.DUMMYFUNCTION("""COMPUTED_VALUE"""),10.0)</f>
        <v>10</v>
      </c>
      <c r="I444" s="32">
        <f>IFERROR(__xludf.DUMMYFUNCTION("""COMPUTED_VALUE"""),20.0)</f>
        <v>20</v>
      </c>
      <c r="J444" s="32">
        <f>IFERROR(__xludf.DUMMYFUNCTION("""COMPUTED_VALUE"""),20.0)</f>
        <v>20</v>
      </c>
      <c r="K444" s="32">
        <f>IFERROR(__xludf.DUMMYFUNCTION("""COMPUTED_VALUE"""),100.0)</f>
        <v>100</v>
      </c>
      <c r="L444" s="32">
        <f>IFERROR(__xludf.DUMMYFUNCTION("""COMPUTED_VALUE"""),100.0)</f>
        <v>100</v>
      </c>
      <c r="M444" s="32" t="str">
        <f>IFERROR(__xludf.DUMMYFUNCTION("""COMPUTED_VALUE"""),"Fire:Immune, Nature:Immune, Instant Death:Immune, Banishment:Immune, ")</f>
        <v>Fire:Immune, Nature:Immune, Instant Death:Immune, Banishment:Immune, </v>
      </c>
      <c r="N444" s="32" t="str">
        <f>IFERROR(__xludf.DUMMYFUNCTION("""COMPUTED_VALUE"""),"Water:100, ")</f>
        <v>Water:100, </v>
      </c>
      <c r="O444" s="32"/>
      <c r="P444" s="32"/>
      <c r="Q444" s="32"/>
      <c r="R444" s="32"/>
      <c r="S444" s="32"/>
      <c r="T444" s="32"/>
      <c r="U444" s="32"/>
      <c r="V444" s="32"/>
      <c r="W444" s="32"/>
      <c r="X444" s="32"/>
      <c r="Y444" s="32"/>
      <c r="Z444" s="32"/>
      <c r="AA444" s="32"/>
      <c r="AB444" s="32"/>
      <c r="AC444" s="32"/>
      <c r="AD444" s="32"/>
      <c r="AE444" s="32"/>
      <c r="AF444" s="32"/>
      <c r="AG444" s="32"/>
      <c r="AH444" s="32"/>
      <c r="AI444" s="32"/>
      <c r="AJ444" s="32" t="str">
        <f>IFERROR(__xludf.DUMMYFUNCTION("""COMPUTED_VALUE"""),"Divine Dragon's Breath")</f>
        <v>Divine Dragon's Breath</v>
      </c>
      <c r="AK444" s="32" t="str">
        <f>IFERROR(__xludf.DUMMYFUNCTION("""COMPUTED_VALUE"""),"Bite")</f>
        <v>Bite</v>
      </c>
      <c r="AL444" s="32" t="str">
        <f>IFERROR(__xludf.DUMMYFUNCTION("""COMPUTED_VALUE"""),"Tail Smash")</f>
        <v>Tail Smash</v>
      </c>
      <c r="AM444" s="32" t="str">
        <f>IFERROR(__xludf.DUMMYFUNCTION("""COMPUTED_VALUE"""),"Claws")</f>
        <v>Claws</v>
      </c>
      <c r="AN444" s="32" t="str">
        <f>IFERROR(__xludf.DUMMYFUNCTION("""COMPUTED_VALUE"""),"Berserk")</f>
        <v>Berserk</v>
      </c>
      <c r="AO444" s="32" t="str">
        <f>IFERROR(__xludf.DUMMYFUNCTION("""COMPUTED_VALUE"""),"Multishot")</f>
        <v>Multishot</v>
      </c>
      <c r="AP444" s="32" t="str">
        <f>IFERROR(__xludf.DUMMYFUNCTION("""COMPUTED_VALUE"""),"Draconic Scream")</f>
        <v>Draconic Scream</v>
      </c>
      <c r="AQ444" s="32" t="str">
        <f>IFERROR(__xludf.DUMMYFUNCTION("""COMPUTED_VALUE"""),"Chaincast")</f>
        <v>Chaincast</v>
      </c>
      <c r="AR444" s="32" t="str">
        <f>IFERROR(__xludf.DUMMYFUNCTION("""COMPUTED_VALUE"""),"Flame Sanctuary")</f>
        <v>Flame Sanctuary</v>
      </c>
      <c r="AS444" s="32" t="str">
        <f>IFERROR(__xludf.DUMMYFUNCTION("""COMPUTED_VALUE"""),"Meteor Shower")</f>
        <v>Meteor Shower</v>
      </c>
      <c r="AT444" s="32" t="str">
        <f>IFERROR(__xludf.DUMMYFUNCTION("""COMPUTED_VALUE"""),"Flame Thrower")</f>
        <v>Flame Thrower</v>
      </c>
      <c r="AU444" s="32" t="str">
        <f>IFERROR(__xludf.DUMMYFUNCTION("""COMPUTED_VALUE"""),"Celestial Wrath")</f>
        <v>Celestial Wrath</v>
      </c>
      <c r="AV444" s="32"/>
      <c r="AW444" s="32"/>
      <c r="AX444" s="32"/>
      <c r="AY444" s="32"/>
      <c r="AZ444" s="32"/>
      <c r="BA444" s="32"/>
      <c r="BB444" s="32"/>
      <c r="BC444" s="32"/>
      <c r="BD444" s="32">
        <f>IFERROR(__xludf.DUMMYFUNCTION("""COMPUTED_VALUE"""),20.0)</f>
        <v>20</v>
      </c>
      <c r="BE444" s="32">
        <f>IFERROR(__xludf.DUMMYFUNCTION("""COMPUTED_VALUE"""),10.0)</f>
        <v>10</v>
      </c>
      <c r="BF444" s="32" t="str">
        <f>IFERROR(__xludf.DUMMYFUNCTION("""COMPUTED_VALUE"""),"Unaffected by any spells affecting this creature
Dragons Luck II: +10 can be added to this mobs d20 rolls.")</f>
        <v>Unaffected by any spells affecting this creature
Dragons Luck II: +10 can be added to this mobs d20 rolls.</v>
      </c>
      <c r="BG444" s="32" t="str">
        <f>IFERROR(__xludf.DUMMYFUNCTION("""COMPUTED_VALUE"""),"All")</f>
        <v>All</v>
      </c>
      <c r="BH444" s="32" t="str">
        <f>IFERROR(__xludf.DUMMYFUNCTION("""COMPUTED_VALUE"""),"Solreach")</f>
        <v>Solreach</v>
      </c>
      <c r="BI444" s="32"/>
      <c r="BJ444" s="32"/>
      <c r="BK444" s="32"/>
      <c r="BL444" s="32" t="b">
        <f>IFERROR(__xludf.DUMMYFUNCTION("""COMPUTED_VALUE"""),FALSE)</f>
        <v>0</v>
      </c>
      <c r="BM444" s="32"/>
      <c r="BN444" s="32"/>
      <c r="BO444" s="32"/>
      <c r="BP444" s="32"/>
      <c r="BQ444" s="32"/>
    </row>
    <row r="445">
      <c r="A445" s="32" t="str">
        <f>IFERROR(__xludf.DUMMYFUNCTION("""COMPUTED_VALUE"""),"Divine Void Dragon")</f>
        <v>Divine Void Dragon</v>
      </c>
      <c r="B445" s="32">
        <f>IFERROR(__xludf.DUMMYFUNCTION("""COMPUTED_VALUE"""),1.0)</f>
        <v>1</v>
      </c>
      <c r="C445" s="32"/>
      <c r="D445" s="32" t="str">
        <f>IFERROR(__xludf.DUMMYFUNCTION("""COMPUTED_VALUE"""),"Draconic")</f>
        <v>Draconic</v>
      </c>
      <c r="E445" s="32">
        <f>IFERROR(__xludf.DUMMYFUNCTION("""COMPUTED_VALUE"""),1010.0)</f>
        <v>1010</v>
      </c>
      <c r="F445" s="33">
        <f>IFERROR(__xludf.DUMMYFUNCTION("""COMPUTED_VALUE"""),1010.0)</f>
        <v>1010</v>
      </c>
      <c r="G445" s="32">
        <f>IFERROR(__xludf.DUMMYFUNCTION("""COMPUTED_VALUE"""),1010.0)</f>
        <v>1010</v>
      </c>
      <c r="H445" s="32">
        <f>IFERROR(__xludf.DUMMYFUNCTION("""COMPUTED_VALUE"""),10.0)</f>
        <v>10</v>
      </c>
      <c r="I445" s="32">
        <f>IFERROR(__xludf.DUMMYFUNCTION("""COMPUTED_VALUE"""),20.0)</f>
        <v>20</v>
      </c>
      <c r="J445" s="32">
        <f>IFERROR(__xludf.DUMMYFUNCTION("""COMPUTED_VALUE"""),20.0)</f>
        <v>20</v>
      </c>
      <c r="K445" s="32">
        <f>IFERROR(__xludf.DUMMYFUNCTION("""COMPUTED_VALUE"""),100.0)</f>
        <v>100</v>
      </c>
      <c r="L445" s="32">
        <f>IFERROR(__xludf.DUMMYFUNCTION("""COMPUTED_VALUE"""),100.0)</f>
        <v>100</v>
      </c>
      <c r="M445" s="32" t="str">
        <f>IFERROR(__xludf.DUMMYFUNCTION("""COMPUTED_VALUE"""),"")</f>
        <v/>
      </c>
      <c r="N445" s="32" t="str">
        <f>IFERROR(__xludf.DUMMYFUNCTION("""COMPUTED_VALUE"""),"")</f>
        <v/>
      </c>
      <c r="O445" s="32"/>
      <c r="P445" s="32"/>
      <c r="Q445" s="32"/>
      <c r="R445" s="32"/>
      <c r="S445" s="32"/>
      <c r="T445" s="32"/>
      <c r="U445" s="32"/>
      <c r="V445" s="32"/>
      <c r="W445" s="32"/>
      <c r="X445" s="32"/>
      <c r="Y445" s="32"/>
      <c r="Z445" s="32"/>
      <c r="AA445" s="32"/>
      <c r="AB445" s="32"/>
      <c r="AC445" s="32"/>
      <c r="AD445" s="32"/>
      <c r="AE445" s="32"/>
      <c r="AF445" s="32"/>
      <c r="AG445" s="32"/>
      <c r="AH445" s="32"/>
      <c r="AI445" s="32"/>
      <c r="AJ445" s="32" t="str">
        <f>IFERROR(__xludf.DUMMYFUNCTION("""COMPUTED_VALUE"""),"Divine Dragon's Breath")</f>
        <v>Divine Dragon's Breath</v>
      </c>
      <c r="AK445" s="32" t="str">
        <f>IFERROR(__xludf.DUMMYFUNCTION("""COMPUTED_VALUE"""),"Bite")</f>
        <v>Bite</v>
      </c>
      <c r="AL445" s="32" t="str">
        <f>IFERROR(__xludf.DUMMYFUNCTION("""COMPUTED_VALUE"""),"Tail Smash")</f>
        <v>Tail Smash</v>
      </c>
      <c r="AM445" s="32" t="str">
        <f>IFERROR(__xludf.DUMMYFUNCTION("""COMPUTED_VALUE"""),"Claws")</f>
        <v>Claws</v>
      </c>
      <c r="AN445" s="32" t="str">
        <f>IFERROR(__xludf.DUMMYFUNCTION("""COMPUTED_VALUE"""),"Berserk")</f>
        <v>Berserk</v>
      </c>
      <c r="AO445" s="32" t="str">
        <f>IFERROR(__xludf.DUMMYFUNCTION("""COMPUTED_VALUE"""),"Multishot")</f>
        <v>Multishot</v>
      </c>
      <c r="AP445" s="32" t="str">
        <f>IFERROR(__xludf.DUMMYFUNCTION("""COMPUTED_VALUE"""),"Draconic Scream")</f>
        <v>Draconic Scream</v>
      </c>
      <c r="AQ445" s="32" t="str">
        <f>IFERROR(__xludf.DUMMYFUNCTION("""COMPUTED_VALUE"""),"Chaincast")</f>
        <v>Chaincast</v>
      </c>
      <c r="AR445" s="32"/>
      <c r="AS445" s="32"/>
      <c r="AT445" s="32"/>
      <c r="AU445" s="32"/>
      <c r="AV445" s="32"/>
      <c r="AW445" s="32"/>
      <c r="AX445" s="32"/>
      <c r="AY445" s="32"/>
      <c r="AZ445" s="32"/>
      <c r="BA445" s="32"/>
      <c r="BB445" s="32"/>
      <c r="BC445" s="32"/>
      <c r="BD445" s="32">
        <f>IFERROR(__xludf.DUMMYFUNCTION("""COMPUTED_VALUE"""),20.0)</f>
        <v>20</v>
      </c>
      <c r="BE445" s="32">
        <f>IFERROR(__xludf.DUMMYFUNCTION("""COMPUTED_VALUE"""),10.0)</f>
        <v>10</v>
      </c>
      <c r="BF445" s="32" t="str">
        <f>IFERROR(__xludf.DUMMYFUNCTION("""COMPUTED_VALUE"""),"Unaffected by any spells affecting this creature
Dragons Luck II: +10 can be added to this mobs d20 rolls.")</f>
        <v>Unaffected by any spells affecting this creature
Dragons Luck II: +10 can be added to this mobs d20 rolls.</v>
      </c>
      <c r="BG445" s="32" t="str">
        <f>IFERROR(__xludf.DUMMYFUNCTION("""COMPUTED_VALUE"""),"All")</f>
        <v>All</v>
      </c>
      <c r="BH445" s="32" t="str">
        <f>IFERROR(__xludf.DUMMYFUNCTION("""COMPUTED_VALUE"""),"Solreach")</f>
        <v>Solreach</v>
      </c>
      <c r="BI445" s="32"/>
      <c r="BJ445" s="32"/>
      <c r="BK445" s="32"/>
      <c r="BL445" s="32" t="b">
        <f>IFERROR(__xludf.DUMMYFUNCTION("""COMPUTED_VALUE"""),FALSE)</f>
        <v>0</v>
      </c>
      <c r="BM445" s="32"/>
      <c r="BN445" s="32"/>
      <c r="BO445" s="32"/>
      <c r="BP445" s="32"/>
      <c r="BQ445" s="32"/>
    </row>
    <row r="446">
      <c r="A446" s="32" t="str">
        <f>IFERROR(__xludf.DUMMYFUNCTION("""COMPUTED_VALUE"""),"Divine Undead Dragon")</f>
        <v>Divine Undead Dragon</v>
      </c>
      <c r="B446" s="32">
        <f>IFERROR(__xludf.DUMMYFUNCTION("""COMPUTED_VALUE"""),1.0)</f>
        <v>1</v>
      </c>
      <c r="C446" s="32"/>
      <c r="D446" s="32" t="str">
        <f>IFERROR(__xludf.DUMMYFUNCTION("""COMPUTED_VALUE"""),"Draconic")</f>
        <v>Draconic</v>
      </c>
      <c r="E446" s="32">
        <f>IFERROR(__xludf.DUMMYFUNCTION("""COMPUTED_VALUE"""),1010.0)</f>
        <v>1010</v>
      </c>
      <c r="F446" s="33">
        <f>IFERROR(__xludf.DUMMYFUNCTION("""COMPUTED_VALUE"""),1010.0)</f>
        <v>1010</v>
      </c>
      <c r="G446" s="32">
        <f>IFERROR(__xludf.DUMMYFUNCTION("""COMPUTED_VALUE"""),1010.0)</f>
        <v>1010</v>
      </c>
      <c r="H446" s="32">
        <f>IFERROR(__xludf.DUMMYFUNCTION("""COMPUTED_VALUE"""),10.0)</f>
        <v>10</v>
      </c>
      <c r="I446" s="32">
        <f>IFERROR(__xludf.DUMMYFUNCTION("""COMPUTED_VALUE"""),20.0)</f>
        <v>20</v>
      </c>
      <c r="J446" s="32">
        <f>IFERROR(__xludf.DUMMYFUNCTION("""COMPUTED_VALUE"""),20.0)</f>
        <v>20</v>
      </c>
      <c r="K446" s="32">
        <f>IFERROR(__xludf.DUMMYFUNCTION("""COMPUTED_VALUE"""),100.0)</f>
        <v>100</v>
      </c>
      <c r="L446" s="32">
        <f>IFERROR(__xludf.DUMMYFUNCTION("""COMPUTED_VALUE"""),100.0)</f>
        <v>100</v>
      </c>
      <c r="M446" s="32" t="str">
        <f>IFERROR(__xludf.DUMMYFUNCTION("""COMPUTED_VALUE"""),"Dark:Immune, Instant Death:Immune, Banishment:Immune, ")</f>
        <v>Dark:Immune, Instant Death:Immune, Banishment:Immune, </v>
      </c>
      <c r="N446" s="32" t="str">
        <f>IFERROR(__xludf.DUMMYFUNCTION("""COMPUTED_VALUE"""),"Fire:100, Light:100, ")</f>
        <v>Fire:100, Light:100, </v>
      </c>
      <c r="O446" s="32"/>
      <c r="P446" s="32"/>
      <c r="Q446" s="32"/>
      <c r="R446" s="32"/>
      <c r="S446" s="32"/>
      <c r="T446" s="32"/>
      <c r="U446" s="32"/>
      <c r="V446" s="32"/>
      <c r="W446" s="32"/>
      <c r="X446" s="32"/>
      <c r="Y446" s="32"/>
      <c r="Z446" s="32"/>
      <c r="AA446" s="32"/>
      <c r="AB446" s="32"/>
      <c r="AC446" s="32"/>
      <c r="AD446" s="32"/>
      <c r="AE446" s="32"/>
      <c r="AF446" s="32"/>
      <c r="AG446" s="32"/>
      <c r="AH446" s="32"/>
      <c r="AI446" s="32"/>
      <c r="AJ446" s="32" t="str">
        <f>IFERROR(__xludf.DUMMYFUNCTION("""COMPUTED_VALUE"""),"Divine Dragon's Breath")</f>
        <v>Divine Dragon's Breath</v>
      </c>
      <c r="AK446" s="32" t="str">
        <f>IFERROR(__xludf.DUMMYFUNCTION("""COMPUTED_VALUE"""),"Bite")</f>
        <v>Bite</v>
      </c>
      <c r="AL446" s="32" t="str">
        <f>IFERROR(__xludf.DUMMYFUNCTION("""COMPUTED_VALUE"""),"Tail Smash")</f>
        <v>Tail Smash</v>
      </c>
      <c r="AM446" s="32" t="str">
        <f>IFERROR(__xludf.DUMMYFUNCTION("""COMPUTED_VALUE"""),"Claws")</f>
        <v>Claws</v>
      </c>
      <c r="AN446" s="32" t="str">
        <f>IFERROR(__xludf.DUMMYFUNCTION("""COMPUTED_VALUE"""),"Berserk")</f>
        <v>Berserk</v>
      </c>
      <c r="AO446" s="32" t="str">
        <f>IFERROR(__xludf.DUMMYFUNCTION("""COMPUTED_VALUE"""),"Multishot")</f>
        <v>Multishot</v>
      </c>
      <c r="AP446" s="32" t="str">
        <f>IFERROR(__xludf.DUMMYFUNCTION("""COMPUTED_VALUE"""),"Draconic Scream")</f>
        <v>Draconic Scream</v>
      </c>
      <c r="AQ446" s="32" t="str">
        <f>IFERROR(__xludf.DUMMYFUNCTION("""COMPUTED_VALUE"""),"Chaincast")</f>
        <v>Chaincast</v>
      </c>
      <c r="AR446" s="32" t="str">
        <f>IFERROR(__xludf.DUMMYFUNCTION("""COMPUTED_VALUE"""),"Dark Curse")</f>
        <v>Dark Curse</v>
      </c>
      <c r="AS446" s="32" t="str">
        <f>IFERROR(__xludf.DUMMYFUNCTION("""COMPUTED_VALUE"""),"Dark Bolt")</f>
        <v>Dark Bolt</v>
      </c>
      <c r="AT446" s="32" t="str">
        <f>IFERROR(__xludf.DUMMYFUNCTION("""COMPUTED_VALUE"""),"Darkest Abyss")</f>
        <v>Darkest Abyss</v>
      </c>
      <c r="AU446" s="32" t="str">
        <f>IFERROR(__xludf.DUMMYFUNCTION("""COMPUTED_VALUE"""),"Celestial Wrath")</f>
        <v>Celestial Wrath</v>
      </c>
      <c r="AV446" s="32"/>
      <c r="AW446" s="32"/>
      <c r="AX446" s="32"/>
      <c r="AY446" s="32"/>
      <c r="AZ446" s="32"/>
      <c r="BA446" s="32"/>
      <c r="BB446" s="32"/>
      <c r="BC446" s="32"/>
      <c r="BD446" s="32">
        <f>IFERROR(__xludf.DUMMYFUNCTION("""COMPUTED_VALUE"""),20.0)</f>
        <v>20</v>
      </c>
      <c r="BE446" s="32">
        <f>IFERROR(__xludf.DUMMYFUNCTION("""COMPUTED_VALUE"""),10.0)</f>
        <v>10</v>
      </c>
      <c r="BF446" s="32"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32" t="str">
        <f>IFERROR(__xludf.DUMMYFUNCTION("""COMPUTED_VALUE"""),"All")</f>
        <v>All</v>
      </c>
      <c r="BH446" s="32" t="str">
        <f>IFERROR(__xludf.DUMMYFUNCTION("""COMPUTED_VALUE"""),"Solreach")</f>
        <v>Solreach</v>
      </c>
      <c r="BI446" s="32"/>
      <c r="BJ446" s="32"/>
      <c r="BK446" s="32"/>
      <c r="BL446" s="32" t="b">
        <f>IFERROR(__xludf.DUMMYFUNCTION("""COMPUTED_VALUE"""),FALSE)</f>
        <v>0</v>
      </c>
      <c r="BM446" s="32"/>
      <c r="BN446" s="32"/>
      <c r="BO446" s="32"/>
      <c r="BP446" s="32"/>
      <c r="BQ446" s="32"/>
    </row>
    <row r="447">
      <c r="A447" s="32" t="str">
        <f>IFERROR(__xludf.DUMMYFUNCTION("""COMPUTED_VALUE"""),"Divine Crystal Dragon")</f>
        <v>Divine Crystal Dragon</v>
      </c>
      <c r="B447" s="32">
        <f>IFERROR(__xludf.DUMMYFUNCTION("""COMPUTED_VALUE"""),1.0)</f>
        <v>1</v>
      </c>
      <c r="C447" s="32"/>
      <c r="D447" s="32" t="str">
        <f>IFERROR(__xludf.DUMMYFUNCTION("""COMPUTED_VALUE"""),"Draconic")</f>
        <v>Draconic</v>
      </c>
      <c r="E447" s="32">
        <f>IFERROR(__xludf.DUMMYFUNCTION("""COMPUTED_VALUE"""),1010.0)</f>
        <v>1010</v>
      </c>
      <c r="F447" s="33">
        <f>IFERROR(__xludf.DUMMYFUNCTION("""COMPUTED_VALUE"""),1010.0)</f>
        <v>1010</v>
      </c>
      <c r="G447" s="32">
        <f>IFERROR(__xludf.DUMMYFUNCTION("""COMPUTED_VALUE"""),1010.0)</f>
        <v>1010</v>
      </c>
      <c r="H447" s="32">
        <f>IFERROR(__xludf.DUMMYFUNCTION("""COMPUTED_VALUE"""),10.0)</f>
        <v>10</v>
      </c>
      <c r="I447" s="32">
        <f>IFERROR(__xludf.DUMMYFUNCTION("""COMPUTED_VALUE"""),20.0)</f>
        <v>20</v>
      </c>
      <c r="J447" s="32">
        <f>IFERROR(__xludf.DUMMYFUNCTION("""COMPUTED_VALUE"""),20.0)</f>
        <v>20</v>
      </c>
      <c r="K447" s="32">
        <f>IFERROR(__xludf.DUMMYFUNCTION("""COMPUTED_VALUE"""),100.0)</f>
        <v>100</v>
      </c>
      <c r="L447" s="32">
        <f>IFERROR(__xludf.DUMMYFUNCTION("""COMPUTED_VALUE"""),100.0)</f>
        <v>100</v>
      </c>
      <c r="M447" s="32" t="str">
        <f>IFERROR(__xludf.DUMMYFUNCTION("""COMPUTED_VALUE"""),"Earth:100, Instant Death:Immune, Banishment:Immune, ")</f>
        <v>Earth:100, Instant Death:Immune, Banishment:Immune, </v>
      </c>
      <c r="N447" s="32" t="str">
        <f>IFERROR(__xludf.DUMMYFUNCTION("""COMPUTED_VALUE"""),"Water:100, Storm:100, ")</f>
        <v>Water:100, Storm:100, </v>
      </c>
      <c r="O447" s="32"/>
      <c r="P447" s="32"/>
      <c r="Q447" s="32"/>
      <c r="R447" s="32"/>
      <c r="S447" s="32"/>
      <c r="T447" s="32"/>
      <c r="U447" s="32"/>
      <c r="V447" s="32"/>
      <c r="W447" s="32"/>
      <c r="X447" s="32"/>
      <c r="Y447" s="32"/>
      <c r="Z447" s="32"/>
      <c r="AA447" s="32"/>
      <c r="AB447" s="32"/>
      <c r="AC447" s="32"/>
      <c r="AD447" s="32"/>
      <c r="AE447" s="32"/>
      <c r="AF447" s="32"/>
      <c r="AG447" s="32"/>
      <c r="AH447" s="32"/>
      <c r="AI447" s="32"/>
      <c r="AJ447" s="32" t="str">
        <f>IFERROR(__xludf.DUMMYFUNCTION("""COMPUTED_VALUE"""),"Divine Dragon's Breath")</f>
        <v>Divine Dragon's Breath</v>
      </c>
      <c r="AK447" s="32" t="str">
        <f>IFERROR(__xludf.DUMMYFUNCTION("""COMPUTED_VALUE"""),"Bite")</f>
        <v>Bite</v>
      </c>
      <c r="AL447" s="32" t="str">
        <f>IFERROR(__xludf.DUMMYFUNCTION("""COMPUTED_VALUE"""),"Tail Smash")</f>
        <v>Tail Smash</v>
      </c>
      <c r="AM447" s="32" t="str">
        <f>IFERROR(__xludf.DUMMYFUNCTION("""COMPUTED_VALUE"""),"Claws")</f>
        <v>Claws</v>
      </c>
      <c r="AN447" s="32" t="str">
        <f>IFERROR(__xludf.DUMMYFUNCTION("""COMPUTED_VALUE"""),"Berserk")</f>
        <v>Berserk</v>
      </c>
      <c r="AO447" s="32" t="str">
        <f>IFERROR(__xludf.DUMMYFUNCTION("""COMPUTED_VALUE"""),"Multishot")</f>
        <v>Multishot</v>
      </c>
      <c r="AP447" s="32" t="str">
        <f>IFERROR(__xludf.DUMMYFUNCTION("""COMPUTED_VALUE"""),"Draconic Scream")</f>
        <v>Draconic Scream</v>
      </c>
      <c r="AQ447" s="32" t="str">
        <f>IFERROR(__xludf.DUMMYFUNCTION("""COMPUTED_VALUE"""),"Chaincast")</f>
        <v>Chaincast</v>
      </c>
      <c r="AR447" s="32" t="str">
        <f>IFERROR(__xludf.DUMMYFUNCTION("""COMPUTED_VALUE"""),"Searing Saphire Strike")</f>
        <v>Searing Saphire Strike</v>
      </c>
      <c r="AS447" s="32" t="str">
        <f>IFERROR(__xludf.DUMMYFUNCTION("""COMPUTED_VALUE"""),"Energizing Emerald Pulse")</f>
        <v>Energizing Emerald Pulse</v>
      </c>
      <c r="AT447" s="32" t="str">
        <f>IFERROR(__xludf.DUMMYFUNCTION("""COMPUTED_VALUE"""),"Molten Ruby Spikes")</f>
        <v>Molten Ruby Spikes</v>
      </c>
      <c r="AU447" s="32" t="str">
        <f>IFERROR(__xludf.DUMMYFUNCTION("""COMPUTED_VALUE"""),"Celestial Wrath")</f>
        <v>Celestial Wrath</v>
      </c>
      <c r="AV447" s="32"/>
      <c r="AW447" s="32"/>
      <c r="AX447" s="32"/>
      <c r="AY447" s="32"/>
      <c r="AZ447" s="32"/>
      <c r="BA447" s="32"/>
      <c r="BB447" s="32"/>
      <c r="BC447" s="32"/>
      <c r="BD447" s="32">
        <f>IFERROR(__xludf.DUMMYFUNCTION("""COMPUTED_VALUE"""),20.0)</f>
        <v>20</v>
      </c>
      <c r="BE447" s="32">
        <f>IFERROR(__xludf.DUMMYFUNCTION("""COMPUTED_VALUE"""),10.0)</f>
        <v>10</v>
      </c>
      <c r="BF447" s="32" t="str">
        <f>IFERROR(__xludf.DUMMYFUNCTION("""COMPUTED_VALUE"""),"Unaffected by any spells affecting this creature
Dragons Luck II: +10 can be added to this mobs d20 rolls.")</f>
        <v>Unaffected by any spells affecting this creature
Dragons Luck II: +10 can be added to this mobs d20 rolls.</v>
      </c>
      <c r="BG447" s="32" t="str">
        <f>IFERROR(__xludf.DUMMYFUNCTION("""COMPUTED_VALUE"""),"All")</f>
        <v>All</v>
      </c>
      <c r="BH447" s="32" t="str">
        <f>IFERROR(__xludf.DUMMYFUNCTION("""COMPUTED_VALUE"""),"Solreach")</f>
        <v>Solreach</v>
      </c>
      <c r="BI447" s="32"/>
      <c r="BJ447" s="32"/>
      <c r="BK447" s="32"/>
      <c r="BL447" s="32" t="b">
        <f>IFERROR(__xludf.DUMMYFUNCTION("""COMPUTED_VALUE"""),FALSE)</f>
        <v>0</v>
      </c>
      <c r="BM447" s="32"/>
      <c r="BN447" s="32"/>
      <c r="BO447" s="32"/>
      <c r="BP447" s="32"/>
      <c r="BQ447" s="32"/>
    </row>
    <row r="448">
      <c r="A448" s="32" t="str">
        <f>IFERROR(__xludf.DUMMYFUNCTION("""COMPUTED_VALUE"""),"Acid Wyrm")</f>
        <v>Acid Wyrm</v>
      </c>
      <c r="B448" s="32">
        <f>IFERROR(__xludf.DUMMYFUNCTION("""COMPUTED_VALUE"""),1.0)</f>
        <v>1</v>
      </c>
      <c r="C448" s="32"/>
      <c r="D448" s="32" t="str">
        <f>IFERROR(__xludf.DUMMYFUNCTION("""COMPUTED_VALUE"""),"Draconic")</f>
        <v>Draconic</v>
      </c>
      <c r="E448" s="32">
        <f>IFERROR(__xludf.DUMMYFUNCTION("""COMPUTED_VALUE"""),1010.0)</f>
        <v>1010</v>
      </c>
      <c r="F448" s="33">
        <f>IFERROR(__xludf.DUMMYFUNCTION("""COMPUTED_VALUE"""),1010.0)</f>
        <v>1010</v>
      </c>
      <c r="G448" s="32">
        <f>IFERROR(__xludf.DUMMYFUNCTION("""COMPUTED_VALUE"""),1010.0)</f>
        <v>1010</v>
      </c>
      <c r="H448" s="32">
        <f>IFERROR(__xludf.DUMMYFUNCTION("""COMPUTED_VALUE"""),10.0)</f>
        <v>10</v>
      </c>
      <c r="I448" s="32">
        <f>IFERROR(__xludf.DUMMYFUNCTION("""COMPUTED_VALUE"""),0.0)</f>
        <v>0</v>
      </c>
      <c r="J448" s="32">
        <f>IFERROR(__xludf.DUMMYFUNCTION("""COMPUTED_VALUE"""),20.0)</f>
        <v>20</v>
      </c>
      <c r="K448" s="32">
        <f>IFERROR(__xludf.DUMMYFUNCTION("""COMPUTED_VALUE"""),100.0)</f>
        <v>100</v>
      </c>
      <c r="L448" s="32">
        <f>IFERROR(__xludf.DUMMYFUNCTION("""COMPUTED_VALUE"""),100.0)</f>
        <v>100</v>
      </c>
      <c r="M448" s="32" t="str">
        <f>IFERROR(__xludf.DUMMYFUNCTION("""COMPUTED_VALUE"""),"Nature:Immune, Instant Death:Immune, Banishment:Immune, ")</f>
        <v>Nature:Immune, Instant Death:Immune, Banishment:Immune, </v>
      </c>
      <c r="N448" s="32" t="str">
        <f>IFERROR(__xludf.DUMMYFUNCTION("""COMPUTED_VALUE"""),"Fire:100, Storm:100, ")</f>
        <v>Fire:100, Storm:100, </v>
      </c>
      <c r="O448" s="32"/>
      <c r="P448" s="32"/>
      <c r="Q448" s="32"/>
      <c r="R448" s="32"/>
      <c r="S448" s="32"/>
      <c r="T448" s="32"/>
      <c r="U448" s="32"/>
      <c r="V448" s="32"/>
      <c r="W448" s="32"/>
      <c r="X448" s="32"/>
      <c r="Y448" s="32"/>
      <c r="Z448" s="32"/>
      <c r="AA448" s="32"/>
      <c r="AB448" s="32"/>
      <c r="AC448" s="32"/>
      <c r="AD448" s="32"/>
      <c r="AE448" s="32"/>
      <c r="AF448" s="32"/>
      <c r="AG448" s="32"/>
      <c r="AH448" s="32"/>
      <c r="AI448" s="32"/>
      <c r="AJ448" s="32" t="str">
        <f>IFERROR(__xludf.DUMMYFUNCTION("""COMPUTED_VALUE"""),"Dragon's Breath")</f>
        <v>Dragon's Breath</v>
      </c>
      <c r="AK448" s="32" t="str">
        <f>IFERROR(__xludf.DUMMYFUNCTION("""COMPUTED_VALUE"""),"Bite")</f>
        <v>Bite</v>
      </c>
      <c r="AL448" s="32" t="str">
        <f>IFERROR(__xludf.DUMMYFUNCTION("""COMPUTED_VALUE"""),"Claws")</f>
        <v>Claws</v>
      </c>
      <c r="AM448" s="32" t="str">
        <f>IFERROR(__xludf.DUMMYFUNCTION("""COMPUTED_VALUE"""),"Berserk")</f>
        <v>Berserk</v>
      </c>
      <c r="AN448" s="32" t="str">
        <f>IFERROR(__xludf.DUMMYFUNCTION("""COMPUTED_VALUE"""),"Draconic Scream")</f>
        <v>Draconic Scream</v>
      </c>
      <c r="AO448" s="32" t="str">
        <f>IFERROR(__xludf.DUMMYFUNCTION("""COMPUTED_VALUE"""),"Poison Fang")</f>
        <v>Poison Fang</v>
      </c>
      <c r="AP448" s="32" t="str">
        <f>IFERROR(__xludf.DUMMYFUNCTION("""COMPUTED_VALUE"""),"Class 3 Poison")</f>
        <v>Class 3 Poison</v>
      </c>
      <c r="AQ448" s="32" t="str">
        <f>IFERROR(__xludf.DUMMYFUNCTION("""COMPUTED_VALUE"""),"1000 Poisons Body")</f>
        <v>1000 Poisons Body</v>
      </c>
      <c r="AR448" s="32" t="str">
        <f>IFERROR(__xludf.DUMMYFUNCTION("""COMPUTED_VALUE"""),"Thorn Bush")</f>
        <v>Thorn Bush</v>
      </c>
      <c r="AS448" s="32" t="str">
        <f>IFERROR(__xludf.DUMMYFUNCTION("""COMPUTED_VALUE"""),"Poisonous Fumes")</f>
        <v>Poisonous Fumes</v>
      </c>
      <c r="AT448" s="32" t="str">
        <f>IFERROR(__xludf.DUMMYFUNCTION("""COMPUTED_VALUE"""),"Celestial Wrath")</f>
        <v>Celestial Wrath</v>
      </c>
      <c r="AU448" s="32"/>
      <c r="AV448" s="32"/>
      <c r="AW448" s="32"/>
      <c r="AX448" s="32"/>
      <c r="AY448" s="32"/>
      <c r="AZ448" s="32"/>
      <c r="BA448" s="32"/>
      <c r="BB448" s="32"/>
      <c r="BC448" s="32"/>
      <c r="BD448" s="32">
        <f>IFERROR(__xludf.DUMMYFUNCTION("""COMPUTED_VALUE"""),0.0)</f>
        <v>0</v>
      </c>
      <c r="BE448" s="32">
        <f>IFERROR(__xludf.DUMMYFUNCTION("""COMPUTED_VALUE"""),10.0)</f>
        <v>10</v>
      </c>
      <c r="BF448" s="32" t="str">
        <f>IFERROR(__xludf.DUMMYFUNCTION("""COMPUTED_VALUE"""),"Dragons Luck: +5 can be added to this mobs d20 rolls.
Immune to poison")</f>
        <v>Dragons Luck: +5 can be added to this mobs d20 rolls.
Immune to poison</v>
      </c>
      <c r="BG448" s="32" t="str">
        <f>IFERROR(__xludf.DUMMYFUNCTION("""COMPUTED_VALUE"""),"All")</f>
        <v>All</v>
      </c>
      <c r="BH448" s="32" t="str">
        <f>IFERROR(__xludf.DUMMYFUNCTION("""COMPUTED_VALUE"""),"Land of Spira")</f>
        <v>Land of Spira</v>
      </c>
      <c r="BI448" s="32"/>
      <c r="BJ448" s="32"/>
      <c r="BK448" s="32"/>
      <c r="BL448" s="32" t="b">
        <f>IFERROR(__xludf.DUMMYFUNCTION("""COMPUTED_VALUE"""),FALSE)</f>
        <v>0</v>
      </c>
      <c r="BM448" s="32"/>
      <c r="BN448" s="32"/>
      <c r="BO448" s="32"/>
      <c r="BP448" s="32"/>
      <c r="BQ448" s="32"/>
    </row>
    <row r="449">
      <c r="A449" s="32" t="str">
        <f>IFERROR(__xludf.DUMMYFUNCTION("""COMPUTED_VALUE"""),"Astral Wyrm")</f>
        <v>Astral Wyrm</v>
      </c>
      <c r="B449" s="32">
        <f>IFERROR(__xludf.DUMMYFUNCTION("""COMPUTED_VALUE"""),1.0)</f>
        <v>1</v>
      </c>
      <c r="C449" s="32"/>
      <c r="D449" s="32" t="str">
        <f>IFERROR(__xludf.DUMMYFUNCTION("""COMPUTED_VALUE"""),"Draconic")</f>
        <v>Draconic</v>
      </c>
      <c r="E449" s="32">
        <f>IFERROR(__xludf.DUMMYFUNCTION("""COMPUTED_VALUE"""),1010.0)</f>
        <v>1010</v>
      </c>
      <c r="F449" s="33">
        <f>IFERROR(__xludf.DUMMYFUNCTION("""COMPUTED_VALUE"""),1010.0)</f>
        <v>1010</v>
      </c>
      <c r="G449" s="32">
        <f>IFERROR(__xludf.DUMMYFUNCTION("""COMPUTED_VALUE"""),1010.0)</f>
        <v>1010</v>
      </c>
      <c r="H449" s="32">
        <f>IFERROR(__xludf.DUMMYFUNCTION("""COMPUTED_VALUE"""),10.0)</f>
        <v>10</v>
      </c>
      <c r="I449" s="32">
        <f>IFERROR(__xludf.DUMMYFUNCTION("""COMPUTED_VALUE"""),0.0)</f>
        <v>0</v>
      </c>
      <c r="J449" s="32">
        <f>IFERROR(__xludf.DUMMYFUNCTION("""COMPUTED_VALUE"""),20.0)</f>
        <v>20</v>
      </c>
      <c r="K449" s="32">
        <f>IFERROR(__xludf.DUMMYFUNCTION("""COMPUTED_VALUE"""),100.0)</f>
        <v>100</v>
      </c>
      <c r="L449" s="32">
        <f>IFERROR(__xludf.DUMMYFUNCTION("""COMPUTED_VALUE"""),100.0)</f>
        <v>100</v>
      </c>
      <c r="M449" s="32" t="str">
        <f>IFERROR(__xludf.DUMMYFUNCTION("""COMPUTED_VALUE"""),"Astral:50, Instant Death:Immune, Banishment:Immune, ")</f>
        <v>Astral:50, Instant Death:Immune, Banishment:Immune, </v>
      </c>
      <c r="N449" s="32" t="str">
        <f>IFERROR(__xludf.DUMMYFUNCTION("""COMPUTED_VALUE"""),"Celestial:100, ")</f>
        <v>Celestial:100, </v>
      </c>
      <c r="O449" s="32"/>
      <c r="P449" s="32"/>
      <c r="Q449" s="32"/>
      <c r="R449" s="32"/>
      <c r="S449" s="32"/>
      <c r="T449" s="32"/>
      <c r="U449" s="32"/>
      <c r="V449" s="32"/>
      <c r="W449" s="32"/>
      <c r="X449" s="32"/>
      <c r="Y449" s="32"/>
      <c r="Z449" s="32"/>
      <c r="AA449" s="32"/>
      <c r="AB449" s="32"/>
      <c r="AC449" s="32"/>
      <c r="AD449" s="32"/>
      <c r="AE449" s="32"/>
      <c r="AF449" s="32"/>
      <c r="AG449" s="32"/>
      <c r="AH449" s="32"/>
      <c r="AI449" s="32"/>
      <c r="AJ449" s="32" t="str">
        <f>IFERROR(__xludf.DUMMYFUNCTION("""COMPUTED_VALUE"""),"Dragon's Breath")</f>
        <v>Dragon's Breath</v>
      </c>
      <c r="AK449" s="32" t="str">
        <f>IFERROR(__xludf.DUMMYFUNCTION("""COMPUTED_VALUE"""),"Bite")</f>
        <v>Bite</v>
      </c>
      <c r="AL449" s="32" t="str">
        <f>IFERROR(__xludf.DUMMYFUNCTION("""COMPUTED_VALUE"""),"Claws")</f>
        <v>Claws</v>
      </c>
      <c r="AM449" s="32" t="str">
        <f>IFERROR(__xludf.DUMMYFUNCTION("""COMPUTED_VALUE"""),"Berserk")</f>
        <v>Berserk</v>
      </c>
      <c r="AN449" s="32" t="str">
        <f>IFERROR(__xludf.DUMMYFUNCTION("""COMPUTED_VALUE"""),"Draconic Scream")</f>
        <v>Draconic Scream</v>
      </c>
      <c r="AO449" s="32" t="str">
        <f>IFERROR(__xludf.DUMMYFUNCTION("""COMPUTED_VALUE"""),"Black Hole")</f>
        <v>Black Hole</v>
      </c>
      <c r="AP449" s="32" t="str">
        <f>IFERROR(__xludf.DUMMYFUNCTION("""COMPUTED_VALUE"""),"Planetary Meteor Storm")</f>
        <v>Planetary Meteor Storm</v>
      </c>
      <c r="AQ449" s="32" t="str">
        <f>IFERROR(__xludf.DUMMYFUNCTION("""COMPUTED_VALUE"""),"Lunar Ward")</f>
        <v>Lunar Ward</v>
      </c>
      <c r="AR449" s="32" t="str">
        <f>IFERROR(__xludf.DUMMYFUNCTION("""COMPUTED_VALUE"""),"Solar Ward")</f>
        <v>Solar Ward</v>
      </c>
      <c r="AS449" s="32" t="str">
        <f>IFERROR(__xludf.DUMMYFUNCTION("""COMPUTED_VALUE"""),"Celestial Wrath")</f>
        <v>Celestial Wrath</v>
      </c>
      <c r="AT449" s="32"/>
      <c r="AU449" s="32"/>
      <c r="AV449" s="32"/>
      <c r="AW449" s="32"/>
      <c r="AX449" s="32"/>
      <c r="AY449" s="32"/>
      <c r="AZ449" s="32"/>
      <c r="BA449" s="32"/>
      <c r="BB449" s="32"/>
      <c r="BC449" s="32"/>
      <c r="BD449" s="32">
        <f>IFERROR(__xludf.DUMMYFUNCTION("""COMPUTED_VALUE"""),0.0)</f>
        <v>0</v>
      </c>
      <c r="BE449" s="32">
        <f>IFERROR(__xludf.DUMMYFUNCTION("""COMPUTED_VALUE"""),10.0)</f>
        <v>10</v>
      </c>
      <c r="BF449" s="32" t="str">
        <f>IFERROR(__xludf.DUMMYFUNCTION("""COMPUTED_VALUE"""),"Dragons Luck: +5 can be added to this mobs d20 rolls.")</f>
        <v>Dragons Luck: +5 can be added to this mobs d20 rolls.</v>
      </c>
      <c r="BG449" s="32" t="str">
        <f>IFERROR(__xludf.DUMMYFUNCTION("""COMPUTED_VALUE"""),"All")</f>
        <v>All</v>
      </c>
      <c r="BH449" s="32" t="str">
        <f>IFERROR(__xludf.DUMMYFUNCTION("""COMPUTED_VALUE"""),"Land of Spira")</f>
        <v>Land of Spira</v>
      </c>
      <c r="BI449" s="32"/>
      <c r="BJ449" s="32"/>
      <c r="BK449" s="32"/>
      <c r="BL449" s="32" t="b">
        <f>IFERROR(__xludf.DUMMYFUNCTION("""COMPUTED_VALUE"""),FALSE)</f>
        <v>0</v>
      </c>
      <c r="BM449" s="32"/>
      <c r="BN449" s="32"/>
      <c r="BO449" s="32"/>
      <c r="BP449" s="32"/>
      <c r="BQ449" s="32"/>
    </row>
    <row r="450">
      <c r="A450" s="32" t="str">
        <f>IFERROR(__xludf.DUMMYFUNCTION("""COMPUTED_VALUE"""),"Celestial Wyrm")</f>
        <v>Celestial Wyrm</v>
      </c>
      <c r="B450" s="32">
        <f>IFERROR(__xludf.DUMMYFUNCTION("""COMPUTED_VALUE"""),1.0)</f>
        <v>1</v>
      </c>
      <c r="C450" s="32"/>
      <c r="D450" s="32" t="str">
        <f>IFERROR(__xludf.DUMMYFUNCTION("""COMPUTED_VALUE"""),"Draconic")</f>
        <v>Draconic</v>
      </c>
      <c r="E450" s="32">
        <f>IFERROR(__xludf.DUMMYFUNCTION("""COMPUTED_VALUE"""),1010.0)</f>
        <v>1010</v>
      </c>
      <c r="F450" s="33">
        <f>IFERROR(__xludf.DUMMYFUNCTION("""COMPUTED_VALUE"""),1010.0)</f>
        <v>1010</v>
      </c>
      <c r="G450" s="32">
        <f>IFERROR(__xludf.DUMMYFUNCTION("""COMPUTED_VALUE"""),1010.0)</f>
        <v>1010</v>
      </c>
      <c r="H450" s="32">
        <f>IFERROR(__xludf.DUMMYFUNCTION("""COMPUTED_VALUE"""),10.0)</f>
        <v>10</v>
      </c>
      <c r="I450" s="32">
        <f>IFERROR(__xludf.DUMMYFUNCTION("""COMPUTED_VALUE"""),0.0)</f>
        <v>0</v>
      </c>
      <c r="J450" s="32">
        <f>IFERROR(__xludf.DUMMYFUNCTION("""COMPUTED_VALUE"""),20.0)</f>
        <v>20</v>
      </c>
      <c r="K450" s="32">
        <f>IFERROR(__xludf.DUMMYFUNCTION("""COMPUTED_VALUE"""),100.0)</f>
        <v>100</v>
      </c>
      <c r="L450" s="32">
        <f>IFERROR(__xludf.DUMMYFUNCTION("""COMPUTED_VALUE"""),100.0)</f>
        <v>100</v>
      </c>
      <c r="M450" s="32" t="str">
        <f>IFERROR(__xludf.DUMMYFUNCTION("""COMPUTED_VALUE"""),"Celestial:50, ")</f>
        <v>Celestial:50, </v>
      </c>
      <c r="N450" s="32" t="str">
        <f>IFERROR(__xludf.DUMMYFUNCTION("""COMPUTED_VALUE"""),"Astral:100, ")</f>
        <v>Astral:100, </v>
      </c>
      <c r="O450" s="32"/>
      <c r="P450" s="32"/>
      <c r="Q450" s="32"/>
      <c r="R450" s="32"/>
      <c r="S450" s="32"/>
      <c r="T450" s="32"/>
      <c r="U450" s="32"/>
      <c r="V450" s="32"/>
      <c r="W450" s="32"/>
      <c r="X450" s="32"/>
      <c r="Y450" s="32"/>
      <c r="Z450" s="32"/>
      <c r="AA450" s="32"/>
      <c r="AB450" s="32"/>
      <c r="AC450" s="32"/>
      <c r="AD450" s="32"/>
      <c r="AE450" s="32"/>
      <c r="AF450" s="32"/>
      <c r="AG450" s="32"/>
      <c r="AH450" s="32"/>
      <c r="AI450" s="32"/>
      <c r="AJ450" s="32" t="str">
        <f>IFERROR(__xludf.DUMMYFUNCTION("""COMPUTED_VALUE"""),"Dragon's Breath")</f>
        <v>Dragon's Breath</v>
      </c>
      <c r="AK450" s="32" t="str">
        <f>IFERROR(__xludf.DUMMYFUNCTION("""COMPUTED_VALUE"""),"Bite")</f>
        <v>Bite</v>
      </c>
      <c r="AL450" s="32" t="str">
        <f>IFERROR(__xludf.DUMMYFUNCTION("""COMPUTED_VALUE"""),"Claws")</f>
        <v>Claws</v>
      </c>
      <c r="AM450" s="32" t="str">
        <f>IFERROR(__xludf.DUMMYFUNCTION("""COMPUTED_VALUE"""),"Berserk")</f>
        <v>Berserk</v>
      </c>
      <c r="AN450" s="32" t="str">
        <f>IFERROR(__xludf.DUMMYFUNCTION("""COMPUTED_VALUE"""),"Draconic Scream")</f>
        <v>Draconic Scream</v>
      </c>
      <c r="AO450" s="32" t="str">
        <f>IFERROR(__xludf.DUMMYFUNCTION("""COMPUTED_VALUE"""),"Mass Destruction")</f>
        <v>Mass Destruction</v>
      </c>
      <c r="AP450" s="32" t="str">
        <f>IFERROR(__xludf.DUMMYFUNCTION("""COMPUTED_VALUE"""),"Vaporize")</f>
        <v>Vaporize</v>
      </c>
      <c r="AQ450" s="32" t="str">
        <f>IFERROR(__xludf.DUMMYFUNCTION("""COMPUTED_VALUE"""),"Celestial Wrath")</f>
        <v>Celestial Wrath</v>
      </c>
      <c r="AR450" s="32"/>
      <c r="AS450" s="32"/>
      <c r="AT450" s="32"/>
      <c r="AU450" s="32"/>
      <c r="AV450" s="32"/>
      <c r="AW450" s="32"/>
      <c r="AX450" s="32"/>
      <c r="AY450" s="32"/>
      <c r="AZ450" s="32"/>
      <c r="BA450" s="32"/>
      <c r="BB450" s="32"/>
      <c r="BC450" s="32"/>
      <c r="BD450" s="32">
        <f>IFERROR(__xludf.DUMMYFUNCTION("""COMPUTED_VALUE"""),0.0)</f>
        <v>0</v>
      </c>
      <c r="BE450" s="32">
        <f>IFERROR(__xludf.DUMMYFUNCTION("""COMPUTED_VALUE"""),10.0)</f>
        <v>10</v>
      </c>
      <c r="BF450" s="32" t="str">
        <f>IFERROR(__xludf.DUMMYFUNCTION("""COMPUTED_VALUE"""),"Dragons Luck: +5 can be added to this mobs d20 rolls.")</f>
        <v>Dragons Luck: +5 can be added to this mobs d20 rolls.</v>
      </c>
      <c r="BG450" s="32" t="str">
        <f>IFERROR(__xludf.DUMMYFUNCTION("""COMPUTED_VALUE"""),"All")</f>
        <v>All</v>
      </c>
      <c r="BH450" s="32" t="str">
        <f>IFERROR(__xludf.DUMMYFUNCTION("""COMPUTED_VALUE"""),"Land of Spira")</f>
        <v>Land of Spira</v>
      </c>
      <c r="BI450" s="32"/>
      <c r="BJ450" s="32"/>
      <c r="BK450" s="32"/>
      <c r="BL450" s="32" t="b">
        <f>IFERROR(__xludf.DUMMYFUNCTION("""COMPUTED_VALUE"""),FALSE)</f>
        <v>0</v>
      </c>
      <c r="BM450" s="32"/>
      <c r="BN450" s="32"/>
      <c r="BO450" s="32"/>
      <c r="BP450" s="32"/>
      <c r="BQ450" s="32"/>
    </row>
    <row r="451">
      <c r="A451" s="32" t="str">
        <f>IFERROR(__xludf.DUMMYFUNCTION("""COMPUTED_VALUE"""),"Chaos Wyrm")</f>
        <v>Chaos Wyrm</v>
      </c>
      <c r="B451" s="32">
        <f>IFERROR(__xludf.DUMMYFUNCTION("""COMPUTED_VALUE"""),1.0)</f>
        <v>1</v>
      </c>
      <c r="C451" s="32"/>
      <c r="D451" s="32" t="str">
        <f>IFERROR(__xludf.DUMMYFUNCTION("""COMPUTED_VALUE"""),"Draconic")</f>
        <v>Draconic</v>
      </c>
      <c r="E451" s="32">
        <f>IFERROR(__xludf.DUMMYFUNCTION("""COMPUTED_VALUE"""),1010.0)</f>
        <v>1010</v>
      </c>
      <c r="F451" s="33">
        <f>IFERROR(__xludf.DUMMYFUNCTION("""COMPUTED_VALUE"""),1010.0)</f>
        <v>1010</v>
      </c>
      <c r="G451" s="32">
        <f>IFERROR(__xludf.DUMMYFUNCTION("""COMPUTED_VALUE"""),1010.0)</f>
        <v>1010</v>
      </c>
      <c r="H451" s="32">
        <f>IFERROR(__xludf.DUMMYFUNCTION("""COMPUTED_VALUE"""),10.0)</f>
        <v>10</v>
      </c>
      <c r="I451" s="32">
        <f>IFERROR(__xludf.DUMMYFUNCTION("""COMPUTED_VALUE"""),0.0)</f>
        <v>0</v>
      </c>
      <c r="J451" s="32">
        <f>IFERROR(__xludf.DUMMYFUNCTION("""COMPUTED_VALUE"""),0.0)</f>
        <v>0</v>
      </c>
      <c r="K451" s="32">
        <f>IFERROR(__xludf.DUMMYFUNCTION("""COMPUTED_VALUE"""),100.0)</f>
        <v>100</v>
      </c>
      <c r="L451" s="32">
        <f>IFERROR(__xludf.DUMMYFUNCTION("""COMPUTED_VALUE"""),100.0)</f>
        <v>100</v>
      </c>
      <c r="M451" s="32" t="str">
        <f>IFERROR(__xludf.DUMMYFUNCTION("""COMPUTED_VALUE"""),"Chaos:50, ")</f>
        <v>Chaos:50, </v>
      </c>
      <c r="N451" s="32" t="str">
        <f>IFERROR(__xludf.DUMMYFUNCTION("""COMPUTED_VALUE"""),"Order:100, ")</f>
        <v>Order:100, </v>
      </c>
      <c r="O451" s="32"/>
      <c r="P451" s="32"/>
      <c r="Q451" s="32"/>
      <c r="R451" s="32"/>
      <c r="S451" s="32"/>
      <c r="T451" s="32"/>
      <c r="U451" s="32"/>
      <c r="V451" s="32"/>
      <c r="W451" s="32"/>
      <c r="X451" s="32"/>
      <c r="Y451" s="32"/>
      <c r="Z451" s="32"/>
      <c r="AA451" s="32"/>
      <c r="AB451" s="32"/>
      <c r="AC451" s="32"/>
      <c r="AD451" s="32"/>
      <c r="AE451" s="32"/>
      <c r="AF451" s="32"/>
      <c r="AG451" s="32"/>
      <c r="AH451" s="32"/>
      <c r="AI451" s="32"/>
      <c r="AJ451" s="32" t="str">
        <f>IFERROR(__xludf.DUMMYFUNCTION("""COMPUTED_VALUE"""),"Dragon's Breath")</f>
        <v>Dragon's Breath</v>
      </c>
      <c r="AK451" s="32" t="str">
        <f>IFERROR(__xludf.DUMMYFUNCTION("""COMPUTED_VALUE"""),"Bite")</f>
        <v>Bite</v>
      </c>
      <c r="AL451" s="32" t="str">
        <f>IFERROR(__xludf.DUMMYFUNCTION("""COMPUTED_VALUE"""),"Claws")</f>
        <v>Claws</v>
      </c>
      <c r="AM451" s="32" t="str">
        <f>IFERROR(__xludf.DUMMYFUNCTION("""COMPUTED_VALUE"""),"Berserk")</f>
        <v>Berserk</v>
      </c>
      <c r="AN451" s="32" t="str">
        <f>IFERROR(__xludf.DUMMYFUNCTION("""COMPUTED_VALUE"""),"Draconic Scream")</f>
        <v>Draconic Scream</v>
      </c>
      <c r="AO451" s="32" t="str">
        <f>IFERROR(__xludf.DUMMYFUNCTION("""COMPUTED_VALUE"""),"Chaos Ward")</f>
        <v>Chaos Ward</v>
      </c>
      <c r="AP451" s="32" t="str">
        <f>IFERROR(__xludf.DUMMYFUNCTION("""COMPUTED_VALUE"""),"Shatter")</f>
        <v>Shatter</v>
      </c>
      <c r="AQ451" s="32" t="str">
        <f>IFERROR(__xludf.DUMMYFUNCTION("""COMPUTED_VALUE"""),"Dimensional Quake")</f>
        <v>Dimensional Quake</v>
      </c>
      <c r="AR451" s="32" t="str">
        <f>IFERROR(__xludf.DUMMYFUNCTION("""COMPUTED_VALUE"""),"Dimension Portal")</f>
        <v>Dimension Portal</v>
      </c>
      <c r="AS451" s="32" t="str">
        <f>IFERROR(__xludf.DUMMYFUNCTION("""COMPUTED_VALUE"""),"Damage With A Cost.")</f>
        <v>Damage With A Cost.</v>
      </c>
      <c r="AT451" s="32" t="str">
        <f>IFERROR(__xludf.DUMMYFUNCTION("""COMPUTED_VALUE"""),"Swallow")</f>
        <v>Swallow</v>
      </c>
      <c r="AU451" s="32" t="str">
        <f>IFERROR(__xludf.DUMMYFUNCTION("""COMPUTED_VALUE"""),"Celestial Wrath")</f>
        <v>Celestial Wrath</v>
      </c>
      <c r="AV451" s="32"/>
      <c r="AW451" s="32"/>
      <c r="AX451" s="32"/>
      <c r="AY451" s="32"/>
      <c r="AZ451" s="32"/>
      <c r="BA451" s="32"/>
      <c r="BB451" s="32"/>
      <c r="BC451" s="32"/>
      <c r="BD451" s="32">
        <f>IFERROR(__xludf.DUMMYFUNCTION("""COMPUTED_VALUE"""),0.0)</f>
        <v>0</v>
      </c>
      <c r="BE451" s="32">
        <f>IFERROR(__xludf.DUMMYFUNCTION("""COMPUTED_VALUE"""),10.0)</f>
        <v>10</v>
      </c>
      <c r="BF451" s="32" t="str">
        <f>IFERROR(__xludf.DUMMYFUNCTION("""COMPUTED_VALUE"""),"Dragons Luck: +5 can be added to this mobs d20 rolls.")</f>
        <v>Dragons Luck: +5 can be added to this mobs d20 rolls.</v>
      </c>
      <c r="BG451" s="32" t="str">
        <f>IFERROR(__xludf.DUMMYFUNCTION("""COMPUTED_VALUE"""),"All")</f>
        <v>All</v>
      </c>
      <c r="BH451" s="32" t="str">
        <f>IFERROR(__xludf.DUMMYFUNCTION("""COMPUTED_VALUE"""),"Land of Spira")</f>
        <v>Land of Spira</v>
      </c>
      <c r="BI451" s="32"/>
      <c r="BJ451" s="32"/>
      <c r="BK451" s="32"/>
      <c r="BL451" s="32" t="b">
        <f>IFERROR(__xludf.DUMMYFUNCTION("""COMPUTED_VALUE"""),FALSE)</f>
        <v>0</v>
      </c>
      <c r="BM451" s="32"/>
      <c r="BN451" s="32"/>
      <c r="BO451" s="32"/>
      <c r="BP451" s="32"/>
      <c r="BQ451" s="32"/>
    </row>
    <row r="452">
      <c r="A452" s="32" t="str">
        <f>IFERROR(__xludf.DUMMYFUNCTION("""COMPUTED_VALUE"""),"Dark Wyrm")</f>
        <v>Dark Wyrm</v>
      </c>
      <c r="B452" s="32">
        <f>IFERROR(__xludf.DUMMYFUNCTION("""COMPUTED_VALUE"""),1.0)</f>
        <v>1</v>
      </c>
      <c r="C452" s="32"/>
      <c r="D452" s="32" t="str">
        <f>IFERROR(__xludf.DUMMYFUNCTION("""COMPUTED_VALUE"""),"Draconic")</f>
        <v>Draconic</v>
      </c>
      <c r="E452" s="32">
        <f>IFERROR(__xludf.DUMMYFUNCTION("""COMPUTED_VALUE"""),1010.0)</f>
        <v>1010</v>
      </c>
      <c r="F452" s="33">
        <f>IFERROR(__xludf.DUMMYFUNCTION("""COMPUTED_VALUE"""),1010.0)</f>
        <v>1010</v>
      </c>
      <c r="G452" s="32">
        <f>IFERROR(__xludf.DUMMYFUNCTION("""COMPUTED_VALUE"""),1010.0)</f>
        <v>1010</v>
      </c>
      <c r="H452" s="32">
        <f>IFERROR(__xludf.DUMMYFUNCTION("""COMPUTED_VALUE"""),10.0)</f>
        <v>10</v>
      </c>
      <c r="I452" s="32">
        <f>IFERROR(__xludf.DUMMYFUNCTION("""COMPUTED_VALUE"""),0.0)</f>
        <v>0</v>
      </c>
      <c r="J452" s="32">
        <f>IFERROR(__xludf.DUMMYFUNCTION("""COMPUTED_VALUE"""),0.0)</f>
        <v>0</v>
      </c>
      <c r="K452" s="32">
        <f>IFERROR(__xludf.DUMMYFUNCTION("""COMPUTED_VALUE"""),100.0)</f>
        <v>100</v>
      </c>
      <c r="L452" s="32">
        <f>IFERROR(__xludf.DUMMYFUNCTION("""COMPUTED_VALUE"""),100.0)</f>
        <v>100</v>
      </c>
      <c r="M452" s="32" t="str">
        <f>IFERROR(__xludf.DUMMYFUNCTION("""COMPUTED_VALUE"""),"Dark:50, ")</f>
        <v>Dark:50, </v>
      </c>
      <c r="N452" s="32" t="str">
        <f>IFERROR(__xludf.DUMMYFUNCTION("""COMPUTED_VALUE"""),"Fire:100, Light:100, ")</f>
        <v>Fire:100, Light:100, </v>
      </c>
      <c r="O452" s="32"/>
      <c r="P452" s="32"/>
      <c r="Q452" s="32"/>
      <c r="R452" s="32"/>
      <c r="S452" s="32"/>
      <c r="T452" s="32"/>
      <c r="U452" s="32"/>
      <c r="V452" s="32"/>
      <c r="W452" s="32"/>
      <c r="X452" s="32"/>
      <c r="Y452" s="32"/>
      <c r="Z452" s="32"/>
      <c r="AA452" s="32"/>
      <c r="AB452" s="32"/>
      <c r="AC452" s="32"/>
      <c r="AD452" s="32"/>
      <c r="AE452" s="32"/>
      <c r="AF452" s="32"/>
      <c r="AG452" s="32"/>
      <c r="AH452" s="32"/>
      <c r="AI452" s="32"/>
      <c r="AJ452" s="32" t="str">
        <f>IFERROR(__xludf.DUMMYFUNCTION("""COMPUTED_VALUE"""),"Dragon's Breath")</f>
        <v>Dragon's Breath</v>
      </c>
      <c r="AK452" s="32" t="str">
        <f>IFERROR(__xludf.DUMMYFUNCTION("""COMPUTED_VALUE"""),"Bite")</f>
        <v>Bite</v>
      </c>
      <c r="AL452" s="32" t="str">
        <f>IFERROR(__xludf.DUMMYFUNCTION("""COMPUTED_VALUE"""),"Claws")</f>
        <v>Claws</v>
      </c>
      <c r="AM452" s="32" t="str">
        <f>IFERROR(__xludf.DUMMYFUNCTION("""COMPUTED_VALUE"""),"Berserk")</f>
        <v>Berserk</v>
      </c>
      <c r="AN452" s="32" t="str">
        <f>IFERROR(__xludf.DUMMYFUNCTION("""COMPUTED_VALUE"""),"Draconic Scream")</f>
        <v>Draconic Scream</v>
      </c>
      <c r="AO452" s="32" t="str">
        <f>IFERROR(__xludf.DUMMYFUNCTION("""COMPUTED_VALUE"""),"Darkest Abyss")</f>
        <v>Darkest Abyss</v>
      </c>
      <c r="AP452" s="32" t="str">
        <f>IFERROR(__xludf.DUMMYFUNCTION("""COMPUTED_VALUE"""),"Devolve")</f>
        <v>Devolve</v>
      </c>
      <c r="AQ452" s="32" t="str">
        <f>IFERROR(__xludf.DUMMYFUNCTION("""COMPUTED_VALUE"""),"Dark Curse")</f>
        <v>Dark Curse</v>
      </c>
      <c r="AR452" s="32" t="str">
        <f>IFERROR(__xludf.DUMMYFUNCTION("""COMPUTED_VALUE"""),"Celestial Wrath")</f>
        <v>Celestial Wrath</v>
      </c>
      <c r="AS452" s="32"/>
      <c r="AT452" s="32"/>
      <c r="AU452" s="32"/>
      <c r="AV452" s="32"/>
      <c r="AW452" s="32"/>
      <c r="AX452" s="32"/>
      <c r="AY452" s="32"/>
      <c r="AZ452" s="32"/>
      <c r="BA452" s="32"/>
      <c r="BB452" s="32"/>
      <c r="BC452" s="32"/>
      <c r="BD452" s="32">
        <f>IFERROR(__xludf.DUMMYFUNCTION("""COMPUTED_VALUE"""),0.0)</f>
        <v>0</v>
      </c>
      <c r="BE452" s="32">
        <f>IFERROR(__xludf.DUMMYFUNCTION("""COMPUTED_VALUE"""),10.0)</f>
        <v>10</v>
      </c>
      <c r="BF452" s="32" t="str">
        <f>IFERROR(__xludf.DUMMYFUNCTION("""COMPUTED_VALUE"""),"Dragons Luck: +5 can be added to this mobs d20 rolls.")</f>
        <v>Dragons Luck: +5 can be added to this mobs d20 rolls.</v>
      </c>
      <c r="BG452" s="32" t="str">
        <f>IFERROR(__xludf.DUMMYFUNCTION("""COMPUTED_VALUE"""),"All")</f>
        <v>All</v>
      </c>
      <c r="BH452" s="32" t="str">
        <f>IFERROR(__xludf.DUMMYFUNCTION("""COMPUTED_VALUE"""),"Land of Spira")</f>
        <v>Land of Spira</v>
      </c>
      <c r="BI452" s="32"/>
      <c r="BJ452" s="32"/>
      <c r="BK452" s="32"/>
      <c r="BL452" s="32" t="b">
        <f>IFERROR(__xludf.DUMMYFUNCTION("""COMPUTED_VALUE"""),FALSE)</f>
        <v>0</v>
      </c>
      <c r="BM452" s="32"/>
      <c r="BN452" s="32"/>
      <c r="BO452" s="32"/>
      <c r="BP452" s="32"/>
      <c r="BQ452" s="32"/>
    </row>
    <row r="453">
      <c r="A453" s="32" t="str">
        <f>IFERROR(__xludf.DUMMYFUNCTION("""COMPUTED_VALUE"""),"Delta Wyrm")</f>
        <v>Delta Wyrm</v>
      </c>
      <c r="B453" s="32">
        <f>IFERROR(__xludf.DUMMYFUNCTION("""COMPUTED_VALUE"""),1.0)</f>
        <v>1</v>
      </c>
      <c r="C453" s="32"/>
      <c r="D453" s="32" t="str">
        <f>IFERROR(__xludf.DUMMYFUNCTION("""COMPUTED_VALUE"""),"Draconic")</f>
        <v>Draconic</v>
      </c>
      <c r="E453" s="32">
        <f>IFERROR(__xludf.DUMMYFUNCTION("""COMPUTED_VALUE"""),1010.0)</f>
        <v>1010</v>
      </c>
      <c r="F453" s="33">
        <f>IFERROR(__xludf.DUMMYFUNCTION("""COMPUTED_VALUE"""),1010.0)</f>
        <v>1010</v>
      </c>
      <c r="G453" s="32">
        <f>IFERROR(__xludf.DUMMYFUNCTION("""COMPUTED_VALUE"""),1010.0)</f>
        <v>1010</v>
      </c>
      <c r="H453" s="32">
        <f>IFERROR(__xludf.DUMMYFUNCTION("""COMPUTED_VALUE"""),10.0)</f>
        <v>10</v>
      </c>
      <c r="I453" s="32">
        <f>IFERROR(__xludf.DUMMYFUNCTION("""COMPUTED_VALUE"""),0.0)</f>
        <v>0</v>
      </c>
      <c r="J453" s="32">
        <f>IFERROR(__xludf.DUMMYFUNCTION("""COMPUTED_VALUE"""),0.0)</f>
        <v>0</v>
      </c>
      <c r="K453" s="32">
        <f>IFERROR(__xludf.DUMMYFUNCTION("""COMPUTED_VALUE"""),100.0)</f>
        <v>100</v>
      </c>
      <c r="L453" s="32">
        <f>IFERROR(__xludf.DUMMYFUNCTION("""COMPUTED_VALUE"""),100.0)</f>
        <v>100</v>
      </c>
      <c r="M453" s="32" t="str">
        <f>IFERROR(__xludf.DUMMYFUNCTION("""COMPUTED_VALUE"""),"")</f>
        <v/>
      </c>
      <c r="N453" s="32" t="str">
        <f>IFERROR(__xludf.DUMMYFUNCTION("""COMPUTED_VALUE"""),"")</f>
        <v/>
      </c>
      <c r="O453" s="32"/>
      <c r="P453" s="32"/>
      <c r="Q453" s="32"/>
      <c r="R453" s="32"/>
      <c r="S453" s="32"/>
      <c r="T453" s="32"/>
      <c r="U453" s="32"/>
      <c r="V453" s="32"/>
      <c r="W453" s="32"/>
      <c r="X453" s="32"/>
      <c r="Y453" s="32"/>
      <c r="Z453" s="32"/>
      <c r="AA453" s="32"/>
      <c r="AB453" s="32"/>
      <c r="AC453" s="32"/>
      <c r="AD453" s="32"/>
      <c r="AE453" s="32"/>
      <c r="AF453" s="32"/>
      <c r="AG453" s="32"/>
      <c r="AH453" s="32"/>
      <c r="AI453" s="32"/>
      <c r="AJ453" s="32" t="str">
        <f>IFERROR(__xludf.DUMMYFUNCTION("""COMPUTED_VALUE"""),"Dragon's Breath")</f>
        <v>Dragon's Breath</v>
      </c>
      <c r="AK453" s="32" t="str">
        <f>IFERROR(__xludf.DUMMYFUNCTION("""COMPUTED_VALUE"""),"Bite")</f>
        <v>Bite</v>
      </c>
      <c r="AL453" s="32" t="str">
        <f>IFERROR(__xludf.DUMMYFUNCTION("""COMPUTED_VALUE"""),"Claws")</f>
        <v>Claws</v>
      </c>
      <c r="AM453" s="32" t="str">
        <f>IFERROR(__xludf.DUMMYFUNCTION("""COMPUTED_VALUE"""),"Berserk")</f>
        <v>Berserk</v>
      </c>
      <c r="AN453" s="32" t="str">
        <f>IFERROR(__xludf.DUMMYFUNCTION("""COMPUTED_VALUE"""),"Draconic Scream")</f>
        <v>Draconic Scream</v>
      </c>
      <c r="AO453" s="32" t="str">
        <f>IFERROR(__xludf.DUMMYFUNCTION("""COMPUTED_VALUE"""),"Delta World")</f>
        <v>Delta World</v>
      </c>
      <c r="AP453" s="32" t="str">
        <f>IFERROR(__xludf.DUMMYFUNCTION("""COMPUTED_VALUE"""),"Chaincast")</f>
        <v>Chaincast</v>
      </c>
      <c r="AQ453" s="32" t="str">
        <f>IFERROR(__xludf.DUMMYFUNCTION("""COMPUTED_VALUE"""),"Delta Rock &amp; Roll")</f>
        <v>Delta Rock &amp; Roll</v>
      </c>
      <c r="AR453" s="32" t="str">
        <f>IFERROR(__xludf.DUMMYFUNCTION("""COMPUTED_VALUE"""),"Elemental Storm")</f>
        <v>Elemental Storm</v>
      </c>
      <c r="AS453" s="32" t="str">
        <f>IFERROR(__xludf.DUMMYFUNCTION("""COMPUTED_VALUE"""),"Dreading Storm")</f>
        <v>Dreading Storm</v>
      </c>
      <c r="AT453" s="32" t="str">
        <f>IFERROR(__xludf.DUMMYFUNCTION("""COMPUTED_VALUE"""),"Stun Negation")</f>
        <v>Stun Negation</v>
      </c>
      <c r="AU453" s="32" t="str">
        <f>IFERROR(__xludf.DUMMYFUNCTION("""COMPUTED_VALUE"""),"Celestial Wrath")</f>
        <v>Celestial Wrath</v>
      </c>
      <c r="AV453" s="32"/>
      <c r="AW453" s="32"/>
      <c r="AX453" s="32"/>
      <c r="AY453" s="32"/>
      <c r="AZ453" s="32"/>
      <c r="BA453" s="32"/>
      <c r="BB453" s="32"/>
      <c r="BC453" s="32"/>
      <c r="BD453" s="32">
        <f>IFERROR(__xludf.DUMMYFUNCTION("""COMPUTED_VALUE"""),0.0)</f>
        <v>0</v>
      </c>
      <c r="BE453" s="32">
        <f>IFERROR(__xludf.DUMMYFUNCTION("""COMPUTED_VALUE"""),10.0)</f>
        <v>10</v>
      </c>
      <c r="BF453" s="32" t="str">
        <f>IFERROR(__xludf.DUMMYFUNCTION("""COMPUTED_VALUE"""),"Dragons Luck: +5 can be added to this mobs d20 rolls.")</f>
        <v>Dragons Luck: +5 can be added to this mobs d20 rolls.</v>
      </c>
      <c r="BG453" s="32" t="str">
        <f>IFERROR(__xludf.DUMMYFUNCTION("""COMPUTED_VALUE"""),"All")</f>
        <v>All</v>
      </c>
      <c r="BH453" s="32" t="str">
        <f>IFERROR(__xludf.DUMMYFUNCTION("""COMPUTED_VALUE"""),"Land of Spira")</f>
        <v>Land of Spira</v>
      </c>
      <c r="BI453" s="32"/>
      <c r="BJ453" s="32"/>
      <c r="BK453" s="32"/>
      <c r="BL453" s="32" t="b">
        <f>IFERROR(__xludf.DUMMYFUNCTION("""COMPUTED_VALUE"""),FALSE)</f>
        <v>0</v>
      </c>
      <c r="BM453" s="32"/>
      <c r="BN453" s="32"/>
      <c r="BO453" s="32"/>
      <c r="BP453" s="32"/>
      <c r="BQ453" s="32"/>
    </row>
    <row r="454">
      <c r="A454" s="32" t="str">
        <f>IFERROR(__xludf.DUMMYFUNCTION("""COMPUTED_VALUE"""),"Frost Wyrm")</f>
        <v>Frost Wyrm</v>
      </c>
      <c r="B454" s="32">
        <f>IFERROR(__xludf.DUMMYFUNCTION("""COMPUTED_VALUE"""),1.0)</f>
        <v>1</v>
      </c>
      <c r="C454" s="32"/>
      <c r="D454" s="32" t="str">
        <f>IFERROR(__xludf.DUMMYFUNCTION("""COMPUTED_VALUE"""),"Draconic")</f>
        <v>Draconic</v>
      </c>
      <c r="E454" s="32">
        <f>IFERROR(__xludf.DUMMYFUNCTION("""COMPUTED_VALUE"""),1010.0)</f>
        <v>1010</v>
      </c>
      <c r="F454" s="33">
        <f>IFERROR(__xludf.DUMMYFUNCTION("""COMPUTED_VALUE"""),1010.0)</f>
        <v>1010</v>
      </c>
      <c r="G454" s="32">
        <f>IFERROR(__xludf.DUMMYFUNCTION("""COMPUTED_VALUE"""),1010.0)</f>
        <v>1010</v>
      </c>
      <c r="H454" s="32">
        <f>IFERROR(__xludf.DUMMYFUNCTION("""COMPUTED_VALUE"""),10.0)</f>
        <v>10</v>
      </c>
      <c r="I454" s="32">
        <f>IFERROR(__xludf.DUMMYFUNCTION("""COMPUTED_VALUE"""),0.0)</f>
        <v>0</v>
      </c>
      <c r="J454" s="32">
        <f>IFERROR(__xludf.DUMMYFUNCTION("""COMPUTED_VALUE"""),0.0)</f>
        <v>0</v>
      </c>
      <c r="K454" s="32">
        <f>IFERROR(__xludf.DUMMYFUNCTION("""COMPUTED_VALUE"""),100.0)</f>
        <v>100</v>
      </c>
      <c r="L454" s="32">
        <f>IFERROR(__xludf.DUMMYFUNCTION("""COMPUTED_VALUE"""),100.0)</f>
        <v>100</v>
      </c>
      <c r="M454" s="32" t="str">
        <f>IFERROR(__xludf.DUMMYFUNCTION("""COMPUTED_VALUE"""),"Water:50, ")</f>
        <v>Water:50, </v>
      </c>
      <c r="N454" s="32" t="str">
        <f>IFERROR(__xludf.DUMMYFUNCTION("""COMPUTED_VALUE"""),"Fire:100, Nature:100, ")</f>
        <v>Fire:100, Nature:100, </v>
      </c>
      <c r="O454" s="32"/>
      <c r="P454" s="32"/>
      <c r="Q454" s="32"/>
      <c r="R454" s="32"/>
      <c r="S454" s="32"/>
      <c r="T454" s="32"/>
      <c r="U454" s="32"/>
      <c r="V454" s="32"/>
      <c r="W454" s="32"/>
      <c r="X454" s="32"/>
      <c r="Y454" s="32"/>
      <c r="Z454" s="32"/>
      <c r="AA454" s="32"/>
      <c r="AB454" s="32"/>
      <c r="AC454" s="32"/>
      <c r="AD454" s="32"/>
      <c r="AE454" s="32"/>
      <c r="AF454" s="32"/>
      <c r="AG454" s="32"/>
      <c r="AH454" s="32"/>
      <c r="AI454" s="32"/>
      <c r="AJ454" s="32" t="str">
        <f>IFERROR(__xludf.DUMMYFUNCTION("""COMPUTED_VALUE"""),"Dragon's Breath")</f>
        <v>Dragon's Breath</v>
      </c>
      <c r="AK454" s="32" t="str">
        <f>IFERROR(__xludf.DUMMYFUNCTION("""COMPUTED_VALUE"""),"Bite")</f>
        <v>Bite</v>
      </c>
      <c r="AL454" s="32" t="str">
        <f>IFERROR(__xludf.DUMMYFUNCTION("""COMPUTED_VALUE"""),"Claws")</f>
        <v>Claws</v>
      </c>
      <c r="AM454" s="32" t="str">
        <f>IFERROR(__xludf.DUMMYFUNCTION("""COMPUTED_VALUE"""),"Berserk")</f>
        <v>Berserk</v>
      </c>
      <c r="AN454" s="32" t="str">
        <f>IFERROR(__xludf.DUMMYFUNCTION("""COMPUTED_VALUE"""),"Draconic Scream")</f>
        <v>Draconic Scream</v>
      </c>
      <c r="AO454" s="32" t="str">
        <f>IFERROR(__xludf.DUMMYFUNCTION("""COMPUTED_VALUE"""),"Draconic Scream")</f>
        <v>Draconic Scream</v>
      </c>
      <c r="AP454" s="32" t="str">
        <f>IFERROR(__xludf.DUMMYFUNCTION("""COMPUTED_VALUE"""),"Freezing Fog")</f>
        <v>Freezing Fog</v>
      </c>
      <c r="AQ454" s="32" t="str">
        <f>IFERROR(__xludf.DUMMYFUNCTION("""COMPUTED_VALUE"""),"HailStorm")</f>
        <v>HailStorm</v>
      </c>
      <c r="AR454" s="32" t="str">
        <f>IFERROR(__xludf.DUMMYFUNCTION("""COMPUTED_VALUE"""),"Blizzard")</f>
        <v>Blizzard</v>
      </c>
      <c r="AS454" s="32" t="str">
        <f>IFERROR(__xludf.DUMMYFUNCTION("""COMPUTED_VALUE"""),"Celestial Wrath")</f>
        <v>Celestial Wrath</v>
      </c>
      <c r="AT454" s="32" t="str">
        <f>IFERROR(__xludf.DUMMYFUNCTION("""COMPUTED_VALUE"""),"Chain Lightning")</f>
        <v>Chain Lightning</v>
      </c>
      <c r="AU454" s="32"/>
      <c r="AV454" s="32"/>
      <c r="AW454" s="32"/>
      <c r="AX454" s="32"/>
      <c r="AY454" s="32"/>
      <c r="AZ454" s="32"/>
      <c r="BA454" s="32"/>
      <c r="BB454" s="32"/>
      <c r="BC454" s="32"/>
      <c r="BD454" s="32">
        <f>IFERROR(__xludf.DUMMYFUNCTION("""COMPUTED_VALUE"""),0.0)</f>
        <v>0</v>
      </c>
      <c r="BE454" s="32">
        <f>IFERROR(__xludf.DUMMYFUNCTION("""COMPUTED_VALUE"""),10.0)</f>
        <v>10</v>
      </c>
      <c r="BF454" s="32" t="str">
        <f>IFERROR(__xludf.DUMMYFUNCTION("""COMPUTED_VALUE"""),"Dragons Luck: +5 can be added to this mobs d20 rolls.
Immune to freezing")</f>
        <v>Dragons Luck: +5 can be added to this mobs d20 rolls.
Immune to freezing</v>
      </c>
      <c r="BG454" s="32" t="str">
        <f>IFERROR(__xludf.DUMMYFUNCTION("""COMPUTED_VALUE"""),"All")</f>
        <v>All</v>
      </c>
      <c r="BH454" s="32" t="str">
        <f>IFERROR(__xludf.DUMMYFUNCTION("""COMPUTED_VALUE"""),"Land of Spira")</f>
        <v>Land of Spira</v>
      </c>
      <c r="BI454" s="32"/>
      <c r="BJ454" s="32"/>
      <c r="BK454" s="32"/>
      <c r="BL454" s="32" t="b">
        <f>IFERROR(__xludf.DUMMYFUNCTION("""COMPUTED_VALUE"""),FALSE)</f>
        <v>0</v>
      </c>
      <c r="BM454" s="32"/>
      <c r="BN454" s="32"/>
      <c r="BO454" s="32"/>
      <c r="BP454" s="32"/>
      <c r="BQ454" s="32"/>
    </row>
    <row r="455">
      <c r="A455" s="32" t="str">
        <f>IFERROR(__xludf.DUMMYFUNCTION("""COMPUTED_VALUE"""),"Soul Wyrm")</f>
        <v>Soul Wyrm</v>
      </c>
      <c r="B455" s="32">
        <f>IFERROR(__xludf.DUMMYFUNCTION("""COMPUTED_VALUE"""),1.0)</f>
        <v>1</v>
      </c>
      <c r="C455" s="32"/>
      <c r="D455" s="32" t="str">
        <f>IFERROR(__xludf.DUMMYFUNCTION("""COMPUTED_VALUE"""),"Draconic")</f>
        <v>Draconic</v>
      </c>
      <c r="E455" s="32">
        <f>IFERROR(__xludf.DUMMYFUNCTION("""COMPUTED_VALUE"""),1010.0)</f>
        <v>1010</v>
      </c>
      <c r="F455" s="33">
        <f>IFERROR(__xludf.DUMMYFUNCTION("""COMPUTED_VALUE"""),1010.0)</f>
        <v>1010</v>
      </c>
      <c r="G455" s="32">
        <f>IFERROR(__xludf.DUMMYFUNCTION("""COMPUTED_VALUE"""),1010.0)</f>
        <v>1010</v>
      </c>
      <c r="H455" s="32">
        <f>IFERROR(__xludf.DUMMYFUNCTION("""COMPUTED_VALUE"""),10.0)</f>
        <v>10</v>
      </c>
      <c r="I455" s="32">
        <f>IFERROR(__xludf.DUMMYFUNCTION("""COMPUTED_VALUE"""),0.0)</f>
        <v>0</v>
      </c>
      <c r="J455" s="32">
        <f>IFERROR(__xludf.DUMMYFUNCTION("""COMPUTED_VALUE"""),0.0)</f>
        <v>0</v>
      </c>
      <c r="K455" s="32">
        <f>IFERROR(__xludf.DUMMYFUNCTION("""COMPUTED_VALUE"""),100.0)</f>
        <v>100</v>
      </c>
      <c r="L455" s="32">
        <f>IFERROR(__xludf.DUMMYFUNCTION("""COMPUTED_VALUE"""),100.0)</f>
        <v>100</v>
      </c>
      <c r="M455" s="32" t="str">
        <f>IFERROR(__xludf.DUMMYFUNCTION("""COMPUTED_VALUE"""),"Spirit:50, ")</f>
        <v>Spirit:50, </v>
      </c>
      <c r="N455" s="32" t="str">
        <f>IFERROR(__xludf.DUMMYFUNCTION("""COMPUTED_VALUE"""),"Fire:100, Light:100, ")</f>
        <v>Fire:100, Light:100, </v>
      </c>
      <c r="O455" s="32"/>
      <c r="P455" s="32"/>
      <c r="Q455" s="32"/>
      <c r="R455" s="32"/>
      <c r="S455" s="32"/>
      <c r="T455" s="32"/>
      <c r="U455" s="32"/>
      <c r="V455" s="32"/>
      <c r="W455" s="32"/>
      <c r="X455" s="32"/>
      <c r="Y455" s="32"/>
      <c r="Z455" s="32"/>
      <c r="AA455" s="32"/>
      <c r="AB455" s="32"/>
      <c r="AC455" s="32"/>
      <c r="AD455" s="32"/>
      <c r="AE455" s="32"/>
      <c r="AF455" s="32"/>
      <c r="AG455" s="32"/>
      <c r="AH455" s="32"/>
      <c r="AI455" s="32"/>
      <c r="AJ455" s="32" t="str">
        <f>IFERROR(__xludf.DUMMYFUNCTION("""COMPUTED_VALUE"""),"Dragon's Breath")</f>
        <v>Dragon's Breath</v>
      </c>
      <c r="AK455" s="32" t="str">
        <f>IFERROR(__xludf.DUMMYFUNCTION("""COMPUTED_VALUE"""),"Bite")</f>
        <v>Bite</v>
      </c>
      <c r="AL455" s="32" t="str">
        <f>IFERROR(__xludf.DUMMYFUNCTION("""COMPUTED_VALUE"""),"Claws")</f>
        <v>Claws</v>
      </c>
      <c r="AM455" s="32" t="str">
        <f>IFERROR(__xludf.DUMMYFUNCTION("""COMPUTED_VALUE"""),"Berserk")</f>
        <v>Berserk</v>
      </c>
      <c r="AN455" s="32" t="str">
        <f>IFERROR(__xludf.DUMMYFUNCTION("""COMPUTED_VALUE"""),"Draconic Scream")</f>
        <v>Draconic Scream</v>
      </c>
      <c r="AO455" s="32" t="str">
        <f>IFERROR(__xludf.DUMMYFUNCTION("""COMPUTED_VALUE"""),"Draconic Scream")</f>
        <v>Draconic Scream</v>
      </c>
      <c r="AP455" s="32" t="str">
        <f>IFERROR(__xludf.DUMMYFUNCTION("""COMPUTED_VALUE"""),"Spirit Fog")</f>
        <v>Spirit Fog</v>
      </c>
      <c r="AQ455" s="32" t="str">
        <f>IFERROR(__xludf.DUMMYFUNCTION("""COMPUTED_VALUE"""),"Rain of Souls")</f>
        <v>Rain of Souls</v>
      </c>
      <c r="AR455" s="32" t="str">
        <f>IFERROR(__xludf.DUMMYFUNCTION("""COMPUTED_VALUE"""),"Soul Trap")</f>
        <v>Soul Trap</v>
      </c>
      <c r="AS455" s="32" t="str">
        <f>IFERROR(__xludf.DUMMYFUNCTION("""COMPUTED_VALUE"""),"Celestial Wrath")</f>
        <v>Celestial Wrath</v>
      </c>
      <c r="AT455" s="32" t="str">
        <f>IFERROR(__xludf.DUMMYFUNCTION("""COMPUTED_VALUE"""),"Spirit Fog")</f>
        <v>Spirit Fog</v>
      </c>
      <c r="AU455" s="32"/>
      <c r="AV455" s="32"/>
      <c r="AW455" s="32"/>
      <c r="AX455" s="32"/>
      <c r="AY455" s="32"/>
      <c r="AZ455" s="32"/>
      <c r="BA455" s="32"/>
      <c r="BB455" s="32"/>
      <c r="BC455" s="32"/>
      <c r="BD455" s="32">
        <f>IFERROR(__xludf.DUMMYFUNCTION("""COMPUTED_VALUE"""),0.0)</f>
        <v>0</v>
      </c>
      <c r="BE455" s="32">
        <f>IFERROR(__xludf.DUMMYFUNCTION("""COMPUTED_VALUE"""),10.0)</f>
        <v>10</v>
      </c>
      <c r="BF455" s="32"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32" t="str">
        <f>IFERROR(__xludf.DUMMYFUNCTION("""COMPUTED_VALUE"""),"All")</f>
        <v>All</v>
      </c>
      <c r="BH455" s="32" t="str">
        <f>IFERROR(__xludf.DUMMYFUNCTION("""COMPUTED_VALUE"""),"Land of Spira")</f>
        <v>Land of Spira</v>
      </c>
      <c r="BI455" s="32"/>
      <c r="BJ455" s="32"/>
      <c r="BK455" s="32"/>
      <c r="BL455" s="32" t="b">
        <f>IFERROR(__xludf.DUMMYFUNCTION("""COMPUTED_VALUE"""),FALSE)</f>
        <v>0</v>
      </c>
      <c r="BM455" s="32"/>
      <c r="BN455" s="32"/>
      <c r="BO455" s="32"/>
      <c r="BP455" s="32"/>
      <c r="BQ455" s="32"/>
    </row>
    <row r="456">
      <c r="A456" s="32" t="str">
        <f>IFERROR(__xludf.DUMMYFUNCTION("""COMPUTED_VALUE"""),"Spirit Wyrm")</f>
        <v>Spirit Wyrm</v>
      </c>
      <c r="B456" s="32">
        <f>IFERROR(__xludf.DUMMYFUNCTION("""COMPUTED_VALUE"""),1.0)</f>
        <v>1</v>
      </c>
      <c r="C456" s="32"/>
      <c r="D456" s="32" t="str">
        <f>IFERROR(__xludf.DUMMYFUNCTION("""COMPUTED_VALUE"""),"Draconic")</f>
        <v>Draconic</v>
      </c>
      <c r="E456" s="32">
        <f>IFERROR(__xludf.DUMMYFUNCTION("""COMPUTED_VALUE"""),1010.0)</f>
        <v>1010</v>
      </c>
      <c r="F456" s="33">
        <f>IFERROR(__xludf.DUMMYFUNCTION("""COMPUTED_VALUE"""),1010.0)</f>
        <v>1010</v>
      </c>
      <c r="G456" s="32">
        <f>IFERROR(__xludf.DUMMYFUNCTION("""COMPUTED_VALUE"""),1010.0)</f>
        <v>1010</v>
      </c>
      <c r="H456" s="32">
        <f>IFERROR(__xludf.DUMMYFUNCTION("""COMPUTED_VALUE"""),10.0)</f>
        <v>10</v>
      </c>
      <c r="I456" s="32">
        <f>IFERROR(__xludf.DUMMYFUNCTION("""COMPUTED_VALUE"""),0.0)</f>
        <v>0</v>
      </c>
      <c r="J456" s="32">
        <f>IFERROR(__xludf.DUMMYFUNCTION("""COMPUTED_VALUE"""),0.0)</f>
        <v>0</v>
      </c>
      <c r="K456" s="32">
        <f>IFERROR(__xludf.DUMMYFUNCTION("""COMPUTED_VALUE"""),100.0)</f>
        <v>100</v>
      </c>
      <c r="L456" s="32">
        <f>IFERROR(__xludf.DUMMYFUNCTION("""COMPUTED_VALUE"""),100.0)</f>
        <v>100</v>
      </c>
      <c r="M456" s="32" t="str">
        <f>IFERROR(__xludf.DUMMYFUNCTION("""COMPUTED_VALUE"""),"Spirit:50, ")</f>
        <v>Spirit:50, </v>
      </c>
      <c r="N456" s="32" t="str">
        <f>IFERROR(__xludf.DUMMYFUNCTION("""COMPUTED_VALUE"""),"Fire:100, Light:100, ")</f>
        <v>Fire:100, Light:100, </v>
      </c>
      <c r="O456" s="32"/>
      <c r="P456" s="32"/>
      <c r="Q456" s="32"/>
      <c r="R456" s="32"/>
      <c r="S456" s="32"/>
      <c r="T456" s="32"/>
      <c r="U456" s="32"/>
      <c r="V456" s="32"/>
      <c r="W456" s="32"/>
      <c r="X456" s="32"/>
      <c r="Y456" s="32"/>
      <c r="Z456" s="32"/>
      <c r="AA456" s="32"/>
      <c r="AB456" s="32"/>
      <c r="AC456" s="32"/>
      <c r="AD456" s="32"/>
      <c r="AE456" s="32"/>
      <c r="AF456" s="32"/>
      <c r="AG456" s="32"/>
      <c r="AH456" s="32"/>
      <c r="AI456" s="32"/>
      <c r="AJ456" s="32" t="str">
        <f>IFERROR(__xludf.DUMMYFUNCTION("""COMPUTED_VALUE"""),"Dragon's Breath")</f>
        <v>Dragon's Breath</v>
      </c>
      <c r="AK456" s="32" t="str">
        <f>IFERROR(__xludf.DUMMYFUNCTION("""COMPUTED_VALUE"""),"Bite")</f>
        <v>Bite</v>
      </c>
      <c r="AL456" s="32" t="str">
        <f>IFERROR(__xludf.DUMMYFUNCTION("""COMPUTED_VALUE"""),"Claws")</f>
        <v>Claws</v>
      </c>
      <c r="AM456" s="32" t="str">
        <f>IFERROR(__xludf.DUMMYFUNCTION("""COMPUTED_VALUE"""),"Berserk")</f>
        <v>Berserk</v>
      </c>
      <c r="AN456" s="32" t="str">
        <f>IFERROR(__xludf.DUMMYFUNCTION("""COMPUTED_VALUE"""),"Draconic Scream")</f>
        <v>Draconic Scream</v>
      </c>
      <c r="AO456" s="32" t="str">
        <f>IFERROR(__xludf.DUMMYFUNCTION("""COMPUTED_VALUE"""),"Draconic Scream")</f>
        <v>Draconic Scream</v>
      </c>
      <c r="AP456" s="32" t="str">
        <f>IFERROR(__xludf.DUMMYFUNCTION("""COMPUTED_VALUE"""),"A Deal With The Spirit World")</f>
        <v>A Deal With The Spirit World</v>
      </c>
      <c r="AQ456" s="32" t="str">
        <f>IFERROR(__xludf.DUMMYFUNCTION("""COMPUTED_VALUE"""),"Spirit Drain")</f>
        <v>Spirit Drain</v>
      </c>
      <c r="AR456" s="32" t="str">
        <f>IFERROR(__xludf.DUMMYFUNCTION("""COMPUTED_VALUE"""),"Possession")</f>
        <v>Possession</v>
      </c>
      <c r="AS456" s="32" t="str">
        <f>IFERROR(__xludf.DUMMYFUNCTION("""COMPUTED_VALUE"""),"Celestial Wrath")</f>
        <v>Celestial Wrath</v>
      </c>
      <c r="AT456" s="32" t="str">
        <f>IFERROR(__xludf.DUMMYFUNCTION("""COMPUTED_VALUE"""),"Spirit Fog")</f>
        <v>Spirit Fog</v>
      </c>
      <c r="AU456" s="32"/>
      <c r="AV456" s="32"/>
      <c r="AW456" s="32"/>
      <c r="AX456" s="32"/>
      <c r="AY456" s="32"/>
      <c r="AZ456" s="32"/>
      <c r="BA456" s="32"/>
      <c r="BB456" s="32"/>
      <c r="BC456" s="32"/>
      <c r="BD456" s="32">
        <f>IFERROR(__xludf.DUMMYFUNCTION("""COMPUTED_VALUE"""),0.0)</f>
        <v>0</v>
      </c>
      <c r="BE456" s="32">
        <f>IFERROR(__xludf.DUMMYFUNCTION("""COMPUTED_VALUE"""),10.0)</f>
        <v>10</v>
      </c>
      <c r="BF456" s="32"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32" t="str">
        <f>IFERROR(__xludf.DUMMYFUNCTION("""COMPUTED_VALUE"""),"All")</f>
        <v>All</v>
      </c>
      <c r="BH456" s="32" t="str">
        <f>IFERROR(__xludf.DUMMYFUNCTION("""COMPUTED_VALUE"""),"Land of Spira")</f>
        <v>Land of Spira</v>
      </c>
      <c r="BI456" s="32"/>
      <c r="BJ456" s="32"/>
      <c r="BK456" s="32"/>
      <c r="BL456" s="32" t="b">
        <f>IFERROR(__xludf.DUMMYFUNCTION("""COMPUTED_VALUE"""),FALSE)</f>
        <v>0</v>
      </c>
      <c r="BM456" s="32"/>
      <c r="BN456" s="32"/>
      <c r="BO456" s="32"/>
      <c r="BP456" s="32"/>
      <c r="BQ456" s="32"/>
    </row>
    <row r="457">
      <c r="A457" s="32"/>
      <c r="B457" s="32">
        <f>IFERROR(__xludf.DUMMYFUNCTION("""COMPUTED_VALUE"""),1.0)</f>
        <v>1</v>
      </c>
      <c r="C457" s="32"/>
      <c r="D457" s="32"/>
      <c r="E457" s="32">
        <f>IFERROR(__xludf.DUMMYFUNCTION("""COMPUTED_VALUE"""),1010.0)</f>
        <v>1010</v>
      </c>
      <c r="F457" s="33">
        <f>IFERROR(__xludf.DUMMYFUNCTION("""COMPUTED_VALUE"""),1010.0)</f>
        <v>1010</v>
      </c>
      <c r="G457" s="32">
        <f>IFERROR(__xludf.DUMMYFUNCTION("""COMPUTED_VALUE"""),1010.0)</f>
        <v>1010</v>
      </c>
      <c r="H457" s="32">
        <f>IFERROR(__xludf.DUMMYFUNCTION("""COMPUTED_VALUE"""),10.0)</f>
        <v>10</v>
      </c>
      <c r="I457" s="32">
        <f>IFERROR(__xludf.DUMMYFUNCTION("""COMPUTED_VALUE"""),0.0)</f>
        <v>0</v>
      </c>
      <c r="J457" s="32">
        <f>IFERROR(__xludf.DUMMYFUNCTION("""COMPUTED_VALUE"""),0.0)</f>
        <v>0</v>
      </c>
      <c r="K457" s="32">
        <f>IFERROR(__xludf.DUMMYFUNCTION("""COMPUTED_VALUE"""),100.0)</f>
        <v>100</v>
      </c>
      <c r="L457" s="32">
        <f>IFERROR(__xludf.DUMMYFUNCTION("""COMPUTED_VALUE"""),100.0)</f>
        <v>100</v>
      </c>
      <c r="M457" s="32" t="str">
        <f>IFERROR(__xludf.DUMMYFUNCTION("""COMPUTED_VALUE"""),"#N/A")</f>
        <v>#N/A</v>
      </c>
      <c r="N457" s="32" t="str">
        <f>IFERROR(__xludf.DUMMYFUNCTION("""COMPUTED_VALUE"""),"#N/A")</f>
        <v>#N/A</v>
      </c>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f>IFERROR(__xludf.DUMMYFUNCTION("""COMPUTED_VALUE"""),0.0)</f>
        <v>0</v>
      </c>
      <c r="BE457" s="32">
        <f>IFERROR(__xludf.DUMMYFUNCTION("""COMPUTED_VALUE"""),10.0)</f>
        <v>10</v>
      </c>
      <c r="BF457" s="32"/>
      <c r="BG457" s="32"/>
      <c r="BH457" s="32"/>
      <c r="BI457" s="32"/>
      <c r="BJ457" s="32"/>
      <c r="BK457" s="32"/>
      <c r="BL457" s="32" t="b">
        <f>IFERROR(__xludf.DUMMYFUNCTION("""COMPUTED_VALUE"""),FALSE)</f>
        <v>0</v>
      </c>
      <c r="BM457" s="32"/>
      <c r="BN457" s="32"/>
      <c r="BO457" s="32"/>
      <c r="BP457" s="32"/>
      <c r="BQ457" s="32"/>
    </row>
    <row r="458">
      <c r="A458" s="32"/>
      <c r="B458" s="32">
        <f>IFERROR(__xludf.DUMMYFUNCTION("""COMPUTED_VALUE"""),1.0)</f>
        <v>1</v>
      </c>
      <c r="C458" s="32"/>
      <c r="D458" s="32"/>
      <c r="E458" s="32">
        <f>IFERROR(__xludf.DUMMYFUNCTION("""COMPUTED_VALUE"""),1010.0)</f>
        <v>1010</v>
      </c>
      <c r="F458" s="33">
        <f>IFERROR(__xludf.DUMMYFUNCTION("""COMPUTED_VALUE"""),1010.0)</f>
        <v>1010</v>
      </c>
      <c r="G458" s="32">
        <f>IFERROR(__xludf.DUMMYFUNCTION("""COMPUTED_VALUE"""),1010.0)</f>
        <v>1010</v>
      </c>
      <c r="H458" s="32">
        <f>IFERROR(__xludf.DUMMYFUNCTION("""COMPUTED_VALUE"""),10.0)</f>
        <v>10</v>
      </c>
      <c r="I458" s="32">
        <f>IFERROR(__xludf.DUMMYFUNCTION("""COMPUTED_VALUE"""),0.0)</f>
        <v>0</v>
      </c>
      <c r="J458" s="32">
        <f>IFERROR(__xludf.DUMMYFUNCTION("""COMPUTED_VALUE"""),0.0)</f>
        <v>0</v>
      </c>
      <c r="K458" s="32">
        <f>IFERROR(__xludf.DUMMYFUNCTION("""COMPUTED_VALUE"""),100.0)</f>
        <v>100</v>
      </c>
      <c r="L458" s="32">
        <f>IFERROR(__xludf.DUMMYFUNCTION("""COMPUTED_VALUE"""),100.0)</f>
        <v>100</v>
      </c>
      <c r="M458" s="32" t="str">
        <f>IFERROR(__xludf.DUMMYFUNCTION("""COMPUTED_VALUE"""),"#N/A")</f>
        <v>#N/A</v>
      </c>
      <c r="N458" s="32" t="str">
        <f>IFERROR(__xludf.DUMMYFUNCTION("""COMPUTED_VALUE"""),"#N/A")</f>
        <v>#N/A</v>
      </c>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f>IFERROR(__xludf.DUMMYFUNCTION("""COMPUTED_VALUE"""),0.0)</f>
        <v>0</v>
      </c>
      <c r="BE458" s="32">
        <f>IFERROR(__xludf.DUMMYFUNCTION("""COMPUTED_VALUE"""),10.0)</f>
        <v>10</v>
      </c>
      <c r="BF458" s="32"/>
      <c r="BG458" s="32"/>
      <c r="BH458" s="32"/>
      <c r="BI458" s="32"/>
      <c r="BJ458" s="32"/>
      <c r="BK458" s="32"/>
      <c r="BL458" s="32" t="b">
        <f>IFERROR(__xludf.DUMMYFUNCTION("""COMPUTED_VALUE"""),FALSE)</f>
        <v>0</v>
      </c>
      <c r="BM458" s="32"/>
      <c r="BN458" s="32"/>
      <c r="BO458" s="32"/>
      <c r="BP458" s="32"/>
      <c r="BQ458" s="32"/>
    </row>
    <row r="459">
      <c r="A459" s="32" t="str">
        <f>IFERROR(__xludf.DUMMYFUNCTION("""COMPUTED_VALUE"""),"Undead Wyrm")</f>
        <v>Undead Wyrm</v>
      </c>
      <c r="B459" s="32">
        <f>IFERROR(__xludf.DUMMYFUNCTION("""COMPUTED_VALUE"""),1.0)</f>
        <v>1</v>
      </c>
      <c r="C459" s="32"/>
      <c r="D459" s="32" t="str">
        <f>IFERROR(__xludf.DUMMYFUNCTION("""COMPUTED_VALUE"""),"Undead")</f>
        <v>Undead</v>
      </c>
      <c r="E459" s="32">
        <f>IFERROR(__xludf.DUMMYFUNCTION("""COMPUTED_VALUE"""),1010.0)</f>
        <v>1010</v>
      </c>
      <c r="F459" s="33">
        <f>IFERROR(__xludf.DUMMYFUNCTION("""COMPUTED_VALUE"""),1010.0)</f>
        <v>1010</v>
      </c>
      <c r="G459" s="32">
        <f>IFERROR(__xludf.DUMMYFUNCTION("""COMPUTED_VALUE"""),1010.0)</f>
        <v>1010</v>
      </c>
      <c r="H459" s="32">
        <f>IFERROR(__xludf.DUMMYFUNCTION("""COMPUTED_VALUE"""),10.0)</f>
        <v>10</v>
      </c>
      <c r="I459" s="32">
        <f>IFERROR(__xludf.DUMMYFUNCTION("""COMPUTED_VALUE"""),0.0)</f>
        <v>0</v>
      </c>
      <c r="J459" s="32">
        <f>IFERROR(__xludf.DUMMYFUNCTION("""COMPUTED_VALUE"""),0.0)</f>
        <v>0</v>
      </c>
      <c r="K459" s="32">
        <f>IFERROR(__xludf.DUMMYFUNCTION("""COMPUTED_VALUE"""),100.0)</f>
        <v>100</v>
      </c>
      <c r="L459" s="32">
        <f>IFERROR(__xludf.DUMMYFUNCTION("""COMPUTED_VALUE"""),100.0)</f>
        <v>100</v>
      </c>
      <c r="M459" s="32" t="str">
        <f>IFERROR(__xludf.DUMMYFUNCTION("""COMPUTED_VALUE"""),"Dark:Immune, ")</f>
        <v>Dark:Immune, </v>
      </c>
      <c r="N459" s="32" t="str">
        <f>IFERROR(__xludf.DUMMYFUNCTION("""COMPUTED_VALUE"""),"Fire:50, Light:50, ")</f>
        <v>Fire:50, Light:50, </v>
      </c>
      <c r="O459" s="32"/>
      <c r="P459" s="32"/>
      <c r="Q459" s="32"/>
      <c r="R459" s="32"/>
      <c r="S459" s="32"/>
      <c r="T459" s="32"/>
      <c r="U459" s="32"/>
      <c r="V459" s="32"/>
      <c r="W459" s="32"/>
      <c r="X459" s="32"/>
      <c r="Y459" s="32"/>
      <c r="Z459" s="32"/>
      <c r="AA459" s="32"/>
      <c r="AB459" s="32"/>
      <c r="AC459" s="32"/>
      <c r="AD459" s="32"/>
      <c r="AE459" s="32"/>
      <c r="AF459" s="32"/>
      <c r="AG459" s="32"/>
      <c r="AH459" s="32"/>
      <c r="AI459" s="32"/>
      <c r="AJ459" s="32" t="str">
        <f>IFERROR(__xludf.DUMMYFUNCTION("""COMPUTED_VALUE"""),"Dragon's Breath")</f>
        <v>Dragon's Breath</v>
      </c>
      <c r="AK459" s="32" t="str">
        <f>IFERROR(__xludf.DUMMYFUNCTION("""COMPUTED_VALUE"""),"Bite")</f>
        <v>Bite</v>
      </c>
      <c r="AL459" s="32" t="str">
        <f>IFERROR(__xludf.DUMMYFUNCTION("""COMPUTED_VALUE"""),"Claws")</f>
        <v>Claws</v>
      </c>
      <c r="AM459" s="32" t="str">
        <f>IFERROR(__xludf.DUMMYFUNCTION("""COMPUTED_VALUE"""),"Berserk")</f>
        <v>Berserk</v>
      </c>
      <c r="AN459" s="32" t="str">
        <f>IFERROR(__xludf.DUMMYFUNCTION("""COMPUTED_VALUE"""),"Draconic Scream")</f>
        <v>Draconic Scream</v>
      </c>
      <c r="AO459" s="32" t="str">
        <f>IFERROR(__xludf.DUMMYFUNCTION("""COMPUTED_VALUE"""),"Chaincast")</f>
        <v>Chaincast</v>
      </c>
      <c r="AP459" s="32" t="str">
        <f>IFERROR(__xludf.DUMMYFUNCTION("""COMPUTED_VALUE"""),"Dark Curse")</f>
        <v>Dark Curse</v>
      </c>
      <c r="AQ459" s="32" t="str">
        <f>IFERROR(__xludf.DUMMYFUNCTION("""COMPUTED_VALUE"""),"Dark Bolt")</f>
        <v>Dark Bolt</v>
      </c>
      <c r="AR459" s="32" t="str">
        <f>IFERROR(__xludf.DUMMYFUNCTION("""COMPUTED_VALUE"""),"Darkest Abyss")</f>
        <v>Darkest Abyss</v>
      </c>
      <c r="AS459" s="32" t="str">
        <f>IFERROR(__xludf.DUMMYFUNCTION("""COMPUTED_VALUE"""),"Celestial Wrath")</f>
        <v>Celestial Wrath</v>
      </c>
      <c r="AT459" s="32"/>
      <c r="AU459" s="32"/>
      <c r="AV459" s="32"/>
      <c r="AW459" s="32"/>
      <c r="AX459" s="32"/>
      <c r="AY459" s="32"/>
      <c r="AZ459" s="32"/>
      <c r="BA459" s="32"/>
      <c r="BB459" s="32"/>
      <c r="BC459" s="32"/>
      <c r="BD459" s="32">
        <f>IFERROR(__xludf.DUMMYFUNCTION("""COMPUTED_VALUE"""),0.0)</f>
        <v>0</v>
      </c>
      <c r="BE459" s="32">
        <f>IFERROR(__xludf.DUMMYFUNCTION("""COMPUTED_VALUE"""),10.0)</f>
        <v>10</v>
      </c>
      <c r="BF459" s="32"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32" t="str">
        <f>IFERROR(__xludf.DUMMYFUNCTION("""COMPUTED_VALUE"""),"All")</f>
        <v>All</v>
      </c>
      <c r="BH459" s="32" t="str">
        <f>IFERROR(__xludf.DUMMYFUNCTION("""COMPUTED_VALUE"""),"Land of Spira")</f>
        <v>Land of Spira</v>
      </c>
      <c r="BI459" s="32"/>
      <c r="BJ459" s="32"/>
      <c r="BK459" s="32"/>
      <c r="BL459" s="32" t="b">
        <f>IFERROR(__xludf.DUMMYFUNCTION("""COMPUTED_VALUE"""),FALSE)</f>
        <v>0</v>
      </c>
      <c r="BM459" s="32"/>
      <c r="BN459" s="32"/>
      <c r="BO459" s="32"/>
      <c r="BP459" s="32"/>
      <c r="BQ459" s="32"/>
    </row>
    <row r="460">
      <c r="A460" s="32" t="str">
        <f>IFERROR(__xludf.DUMMYFUNCTION("""COMPUTED_VALUE"""),"Crystal Wyrm")</f>
        <v>Crystal Wyrm</v>
      </c>
      <c r="B460" s="32">
        <f>IFERROR(__xludf.DUMMYFUNCTION("""COMPUTED_VALUE"""),1.0)</f>
        <v>1</v>
      </c>
      <c r="C460" s="32"/>
      <c r="D460" s="32" t="str">
        <f>IFERROR(__xludf.DUMMYFUNCTION("""COMPUTED_VALUE"""),"Draconic")</f>
        <v>Draconic</v>
      </c>
      <c r="E460" s="32">
        <f>IFERROR(__xludf.DUMMYFUNCTION("""COMPUTED_VALUE"""),1010.0)</f>
        <v>1010</v>
      </c>
      <c r="F460" s="33">
        <f>IFERROR(__xludf.DUMMYFUNCTION("""COMPUTED_VALUE"""),1010.0)</f>
        <v>1010</v>
      </c>
      <c r="G460" s="32">
        <f>IFERROR(__xludf.DUMMYFUNCTION("""COMPUTED_VALUE"""),1010.0)</f>
        <v>1010</v>
      </c>
      <c r="H460" s="32">
        <f>IFERROR(__xludf.DUMMYFUNCTION("""COMPUTED_VALUE"""),10.0)</f>
        <v>10</v>
      </c>
      <c r="I460" s="32">
        <f>IFERROR(__xludf.DUMMYFUNCTION("""COMPUTED_VALUE"""),0.0)</f>
        <v>0</v>
      </c>
      <c r="J460" s="32">
        <f>IFERROR(__xludf.DUMMYFUNCTION("""COMPUTED_VALUE"""),0.0)</f>
        <v>0</v>
      </c>
      <c r="K460" s="32">
        <f>IFERROR(__xludf.DUMMYFUNCTION("""COMPUTED_VALUE"""),100.0)</f>
        <v>100</v>
      </c>
      <c r="L460" s="32">
        <f>IFERROR(__xludf.DUMMYFUNCTION("""COMPUTED_VALUE"""),100.0)</f>
        <v>100</v>
      </c>
      <c r="M460" s="32" t="str">
        <f>IFERROR(__xludf.DUMMYFUNCTION("""COMPUTED_VALUE"""),"")</f>
        <v/>
      </c>
      <c r="N460" s="32" t="str">
        <f>IFERROR(__xludf.DUMMYFUNCTION("""COMPUTED_VALUE"""),"Water:50, Storm:100, ")</f>
        <v>Water:50, Storm:100, </v>
      </c>
      <c r="O460" s="32"/>
      <c r="P460" s="32"/>
      <c r="Q460" s="32"/>
      <c r="R460" s="32"/>
      <c r="S460" s="32"/>
      <c r="T460" s="32"/>
      <c r="U460" s="32"/>
      <c r="V460" s="32"/>
      <c r="W460" s="32"/>
      <c r="X460" s="32"/>
      <c r="Y460" s="32"/>
      <c r="Z460" s="32"/>
      <c r="AA460" s="32"/>
      <c r="AB460" s="32"/>
      <c r="AC460" s="32"/>
      <c r="AD460" s="32"/>
      <c r="AE460" s="32"/>
      <c r="AF460" s="32"/>
      <c r="AG460" s="32"/>
      <c r="AH460" s="32"/>
      <c r="AI460" s="32"/>
      <c r="AJ460" s="32" t="str">
        <f>IFERROR(__xludf.DUMMYFUNCTION("""COMPUTED_VALUE"""),"Dragon's Breath")</f>
        <v>Dragon's Breath</v>
      </c>
      <c r="AK460" s="32" t="str">
        <f>IFERROR(__xludf.DUMMYFUNCTION("""COMPUTED_VALUE"""),"Bite")</f>
        <v>Bite</v>
      </c>
      <c r="AL460" s="32" t="str">
        <f>IFERROR(__xludf.DUMMYFUNCTION("""COMPUTED_VALUE"""),"Claws")</f>
        <v>Claws</v>
      </c>
      <c r="AM460" s="32" t="str">
        <f>IFERROR(__xludf.DUMMYFUNCTION("""COMPUTED_VALUE"""),"Berserk")</f>
        <v>Berserk</v>
      </c>
      <c r="AN460" s="32" t="str">
        <f>IFERROR(__xludf.DUMMYFUNCTION("""COMPUTED_VALUE"""),"Draconic Scream")</f>
        <v>Draconic Scream</v>
      </c>
      <c r="AO460" s="32" t="str">
        <f>IFERROR(__xludf.DUMMYFUNCTION("""COMPUTED_VALUE"""),"Chaincast")</f>
        <v>Chaincast</v>
      </c>
      <c r="AP460" s="32" t="str">
        <f>IFERROR(__xludf.DUMMYFUNCTION("""COMPUTED_VALUE"""),"Searing Saphire Strike")</f>
        <v>Searing Saphire Strike</v>
      </c>
      <c r="AQ460" s="32" t="str">
        <f>IFERROR(__xludf.DUMMYFUNCTION("""COMPUTED_VALUE"""),"Energizing Emerald Pulse")</f>
        <v>Energizing Emerald Pulse</v>
      </c>
      <c r="AR460" s="32" t="str">
        <f>IFERROR(__xludf.DUMMYFUNCTION("""COMPUTED_VALUE"""),"Molten Ruby Spikes")</f>
        <v>Molten Ruby Spikes</v>
      </c>
      <c r="AS460" s="32" t="str">
        <f>IFERROR(__xludf.DUMMYFUNCTION("""COMPUTED_VALUE"""),"Celestial Wrath")</f>
        <v>Celestial Wrath</v>
      </c>
      <c r="AT460" s="32"/>
      <c r="AU460" s="32"/>
      <c r="AV460" s="32"/>
      <c r="AW460" s="32"/>
      <c r="AX460" s="32"/>
      <c r="AY460" s="32"/>
      <c r="AZ460" s="32"/>
      <c r="BA460" s="32"/>
      <c r="BB460" s="32"/>
      <c r="BC460" s="32"/>
      <c r="BD460" s="32">
        <f>IFERROR(__xludf.DUMMYFUNCTION("""COMPUTED_VALUE"""),0.0)</f>
        <v>0</v>
      </c>
      <c r="BE460" s="32">
        <f>IFERROR(__xludf.DUMMYFUNCTION("""COMPUTED_VALUE"""),10.0)</f>
        <v>10</v>
      </c>
      <c r="BF460" s="32" t="str">
        <f>IFERROR(__xludf.DUMMYFUNCTION("""COMPUTED_VALUE"""),"Dragons Luck: +5 can be added to this mobs d20 rolls.")</f>
        <v>Dragons Luck: +5 can be added to this mobs d20 rolls.</v>
      </c>
      <c r="BG460" s="32" t="str">
        <f>IFERROR(__xludf.DUMMYFUNCTION("""COMPUTED_VALUE"""),"All")</f>
        <v>All</v>
      </c>
      <c r="BH460" s="32" t="str">
        <f>IFERROR(__xludf.DUMMYFUNCTION("""COMPUTED_VALUE"""),"Land of Spira")</f>
        <v>Land of Spira</v>
      </c>
      <c r="BI460" s="32"/>
      <c r="BJ460" s="32"/>
      <c r="BK460" s="32"/>
      <c r="BL460" s="32" t="b">
        <f>IFERROR(__xludf.DUMMYFUNCTION("""COMPUTED_VALUE"""),FALSE)</f>
        <v>0</v>
      </c>
      <c r="BM460" s="32"/>
      <c r="BN460" s="32"/>
      <c r="BO460" s="32"/>
      <c r="BP460" s="32"/>
      <c r="BQ460" s="32"/>
    </row>
    <row r="461">
      <c r="A461" s="32" t="str">
        <f>IFERROR(__xludf.DUMMYFUNCTION("""COMPUTED_VALUE"""),"Komodo Dragon")</f>
        <v>Komodo Dragon</v>
      </c>
      <c r="B461" s="32">
        <f>IFERROR(__xludf.DUMMYFUNCTION("""COMPUTED_VALUE"""),1.0)</f>
        <v>1</v>
      </c>
      <c r="C461" s="32"/>
      <c r="D461" s="32" t="str">
        <f>IFERROR(__xludf.DUMMYFUNCTION("""COMPUTED_VALUE"""),"Draconic")</f>
        <v>Draconic</v>
      </c>
      <c r="E461" s="32">
        <f>IFERROR(__xludf.DUMMYFUNCTION("""COMPUTED_VALUE"""),1010.0)</f>
        <v>1010</v>
      </c>
      <c r="F461" s="33">
        <f>IFERROR(__xludf.DUMMYFUNCTION("""COMPUTED_VALUE"""),1010.0)</f>
        <v>1010</v>
      </c>
      <c r="G461" s="32">
        <f>IFERROR(__xludf.DUMMYFUNCTION("""COMPUTED_VALUE"""),1010.0)</f>
        <v>1010</v>
      </c>
      <c r="H461" s="32">
        <f>IFERROR(__xludf.DUMMYFUNCTION("""COMPUTED_VALUE"""),10.0)</f>
        <v>10</v>
      </c>
      <c r="I461" s="32">
        <f>IFERROR(__xludf.DUMMYFUNCTION("""COMPUTED_VALUE"""),0.0)</f>
        <v>0</v>
      </c>
      <c r="J461" s="32">
        <f>IFERROR(__xludf.DUMMYFUNCTION("""COMPUTED_VALUE"""),0.0)</f>
        <v>0</v>
      </c>
      <c r="K461" s="32">
        <f>IFERROR(__xludf.DUMMYFUNCTION("""COMPUTED_VALUE"""),100.0)</f>
        <v>100</v>
      </c>
      <c r="L461" s="32">
        <f>IFERROR(__xludf.DUMMYFUNCTION("""COMPUTED_VALUE"""),100.0)</f>
        <v>100</v>
      </c>
      <c r="M461" s="32" t="str">
        <f>IFERROR(__xludf.DUMMYFUNCTION("""COMPUTED_VALUE"""),"Nature:Immune, ")</f>
        <v>Nature:Immune, </v>
      </c>
      <c r="N461" s="32" t="str">
        <f>IFERROR(__xludf.DUMMYFUNCTION("""COMPUTED_VALUE"""),"")</f>
        <v/>
      </c>
      <c r="O461" s="32"/>
      <c r="P461" s="32"/>
      <c r="Q461" s="32"/>
      <c r="R461" s="32"/>
      <c r="S461" s="32"/>
      <c r="T461" s="32"/>
      <c r="U461" s="32"/>
      <c r="V461" s="32"/>
      <c r="W461" s="32"/>
      <c r="X461" s="32"/>
      <c r="Y461" s="32"/>
      <c r="Z461" s="32"/>
      <c r="AA461" s="32"/>
      <c r="AB461" s="32"/>
      <c r="AC461" s="32"/>
      <c r="AD461" s="32"/>
      <c r="AE461" s="32"/>
      <c r="AF461" s="32"/>
      <c r="AG461" s="32"/>
      <c r="AH461" s="32"/>
      <c r="AI461" s="32"/>
      <c r="AJ461" s="32" t="str">
        <f>IFERROR(__xludf.DUMMYFUNCTION("""COMPUTED_VALUE"""),"Dragon's Breath")</f>
        <v>Dragon's Breath</v>
      </c>
      <c r="AK461" s="32" t="str">
        <f>IFERROR(__xludf.DUMMYFUNCTION("""COMPUTED_VALUE"""),"Acidic Spit")</f>
        <v>Acidic Spit</v>
      </c>
      <c r="AL461" s="32" t="str">
        <f>IFERROR(__xludf.DUMMYFUNCTION("""COMPUTED_VALUE"""),"Acidic Claws")</f>
        <v>Acidic Claws</v>
      </c>
      <c r="AM461" s="32" t="str">
        <f>IFERROR(__xludf.DUMMYFUNCTION("""COMPUTED_VALUE"""),"Acidic Jaws")</f>
        <v>Acidic Jaws</v>
      </c>
      <c r="AN461" s="32" t="str">
        <f>IFERROR(__xludf.DUMMYFUNCTION("""COMPUTED_VALUE"""),"Berserk")</f>
        <v>Berserk</v>
      </c>
      <c r="AO461" s="32" t="str">
        <f>IFERROR(__xludf.DUMMYFUNCTION("""COMPUTED_VALUE"""),"Double Strike")</f>
        <v>Double Strike</v>
      </c>
      <c r="AP461" s="32" t="str">
        <f>IFERROR(__xludf.DUMMYFUNCTION("""COMPUTED_VALUE"""),"Barkskin")</f>
        <v>Barkskin</v>
      </c>
      <c r="AQ461" s="32" t="str">
        <f>IFERROR(__xludf.DUMMYFUNCTION("""COMPUTED_VALUE"""),"Nature Ward")</f>
        <v>Nature Ward</v>
      </c>
      <c r="AR461" s="32" t="str">
        <f>IFERROR(__xludf.DUMMYFUNCTION("""COMPUTED_VALUE"""),"Entangle")</f>
        <v>Entangle</v>
      </c>
      <c r="AS461" s="32"/>
      <c r="AT461" s="32"/>
      <c r="AU461" s="32"/>
      <c r="AV461" s="32"/>
      <c r="AW461" s="32"/>
      <c r="AX461" s="32"/>
      <c r="AY461" s="32"/>
      <c r="AZ461" s="32"/>
      <c r="BA461" s="32"/>
      <c r="BB461" s="32"/>
      <c r="BC461" s="32"/>
      <c r="BD461" s="32">
        <f>IFERROR(__xludf.DUMMYFUNCTION("""COMPUTED_VALUE"""),0.0)</f>
        <v>0</v>
      </c>
      <c r="BE461" s="32">
        <f>IFERROR(__xludf.DUMMYFUNCTION("""COMPUTED_VALUE"""),10.0)</f>
        <v>10</v>
      </c>
      <c r="BF461" s="32"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32" t="str">
        <f>IFERROR(__xludf.DUMMYFUNCTION("""COMPUTED_VALUE"""),"All")</f>
        <v>All</v>
      </c>
      <c r="BH461" s="32" t="str">
        <f>IFERROR(__xludf.DUMMYFUNCTION("""COMPUTED_VALUE"""),"Dragonscale Island")</f>
        <v>Dragonscale Island</v>
      </c>
      <c r="BI461" s="32"/>
      <c r="BJ461" s="32"/>
      <c r="BK461" s="32"/>
      <c r="BL461" s="32" t="b">
        <f>IFERROR(__xludf.DUMMYFUNCTION("""COMPUTED_VALUE"""),FALSE)</f>
        <v>0</v>
      </c>
      <c r="BM461" s="32"/>
      <c r="BN461" s="32"/>
      <c r="BO461" s="32"/>
      <c r="BP461" s="32"/>
      <c r="BQ461" s="32"/>
    </row>
    <row r="462">
      <c r="A462" s="32" t="str">
        <f>IFERROR(__xludf.DUMMYFUNCTION("""COMPUTED_VALUE"""),"Lizardfolk Wizard")</f>
        <v>Lizardfolk Wizard</v>
      </c>
      <c r="B462" s="32">
        <f>IFERROR(__xludf.DUMMYFUNCTION("""COMPUTED_VALUE"""),1.0)</f>
        <v>1</v>
      </c>
      <c r="C462" s="32"/>
      <c r="D462" s="32" t="str">
        <f>IFERROR(__xludf.DUMMYFUNCTION("""COMPUTED_VALUE"""),"Humanoid")</f>
        <v>Humanoid</v>
      </c>
      <c r="E462" s="32">
        <f>IFERROR(__xludf.DUMMYFUNCTION("""COMPUTED_VALUE"""),1010.0)</f>
        <v>1010</v>
      </c>
      <c r="F462" s="33">
        <f>IFERROR(__xludf.DUMMYFUNCTION("""COMPUTED_VALUE"""),1010.0)</f>
        <v>1010</v>
      </c>
      <c r="G462" s="32">
        <f>IFERROR(__xludf.DUMMYFUNCTION("""COMPUTED_VALUE"""),1010.0)</f>
        <v>1010</v>
      </c>
      <c r="H462" s="32">
        <f>IFERROR(__xludf.DUMMYFUNCTION("""COMPUTED_VALUE"""),10.0)</f>
        <v>10</v>
      </c>
      <c r="I462" s="32">
        <f>IFERROR(__xludf.DUMMYFUNCTION("""COMPUTED_VALUE"""),0.0)</f>
        <v>0</v>
      </c>
      <c r="J462" s="32">
        <f>IFERROR(__xludf.DUMMYFUNCTION("""COMPUTED_VALUE"""),0.0)</f>
        <v>0</v>
      </c>
      <c r="K462" s="32">
        <f>IFERROR(__xludf.DUMMYFUNCTION("""COMPUTED_VALUE"""),100.0)</f>
        <v>100</v>
      </c>
      <c r="L462" s="32">
        <f>IFERROR(__xludf.DUMMYFUNCTION("""COMPUTED_VALUE"""),100.0)</f>
        <v>100</v>
      </c>
      <c r="M462" s="32" t="str">
        <f>IFERROR(__xludf.DUMMYFUNCTION("""COMPUTED_VALUE"""),"Fire:Immune, Water:Immune, Storm:Immune, Earth:Immune, Nature:Immune, Instant Death:Immune, ")</f>
        <v>Fire:Immune, Water:Immune, Storm:Immune, Earth:Immune, Nature:Immune, Instant Death:Immune, </v>
      </c>
      <c r="N462" s="32" t="str">
        <f>IFERROR(__xludf.DUMMYFUNCTION("""COMPUTED_VALUE"""),"")</f>
        <v/>
      </c>
      <c r="O462" s="32" t="str">
        <f>IFERROR(__xludf.DUMMYFUNCTION("""COMPUTED_VALUE"""),"Lizard Wizard Hat")</f>
        <v>Lizard Wizard Hat</v>
      </c>
      <c r="P462" s="32"/>
      <c r="Q462" s="32"/>
      <c r="R462" s="32"/>
      <c r="S462" s="32"/>
      <c r="T462" s="32" t="str">
        <f>IFERROR(__xludf.DUMMYFUNCTION("""COMPUTED_VALUE"""),"Lizard Wizard Robes")</f>
        <v>Lizard Wizard Robes</v>
      </c>
      <c r="U462" s="32"/>
      <c r="V462" s="32" t="str">
        <f>IFERROR(__xludf.DUMMYFUNCTION("""COMPUTED_VALUE"""),"Lizard Wizard Staff of Corroding Blizzard")</f>
        <v>Lizard Wizard Staff of Corroding Blizzard</v>
      </c>
      <c r="W462" s="32" t="str">
        <f>IFERROR(__xludf.DUMMYFUNCTION("""COMPUTED_VALUE"""),"Poison Staff")</f>
        <v>Poison Staff</v>
      </c>
      <c r="X462" s="32" t="str">
        <f>IFERROR(__xludf.DUMMYFUNCTION("""COMPUTED_VALUE"""),"Ring o’ Luck and Nature")</f>
        <v>Ring o’ Luck and Nature</v>
      </c>
      <c r="Y462" s="32" t="str">
        <f>IFERROR(__xludf.DUMMYFUNCTION("""COMPUTED_VALUE"""),"Lizard Wizard's Prized Ring")</f>
        <v>Lizard Wizard's Prized Ring</v>
      </c>
      <c r="Z462" s="32"/>
      <c r="AA462" s="32"/>
      <c r="AB462" s="32"/>
      <c r="AC462" s="32"/>
      <c r="AD462" s="32"/>
      <c r="AE462" s="32"/>
      <c r="AF462" s="32"/>
      <c r="AG462" s="32"/>
      <c r="AH462" s="32" t="str">
        <f>IFERROR(__xludf.DUMMYFUNCTION("""COMPUTED_VALUE"""),"Lizard Wizard Leggings")</f>
        <v>Lizard Wizard Leggings</v>
      </c>
      <c r="AI462" s="32" t="str">
        <f>IFERROR(__xludf.DUMMYFUNCTION("""COMPUTED_VALUE"""),"Lizard Wizard Pointed Shoes")</f>
        <v>Lizard Wizard Pointed Shoes</v>
      </c>
      <c r="AJ462" s="32" t="str">
        <f>IFERROR(__xludf.DUMMYFUNCTION("""COMPUTED_VALUE"""),"Acidic Spit")</f>
        <v>Acidic Spit</v>
      </c>
      <c r="AK462" s="32" t="str">
        <f>IFERROR(__xludf.DUMMYFUNCTION("""COMPUTED_VALUE"""),"Acidic Claws")</f>
        <v>Acidic Claws</v>
      </c>
      <c r="AL462" s="32" t="str">
        <f>IFERROR(__xludf.DUMMYFUNCTION("""COMPUTED_VALUE"""),"Berserk")</f>
        <v>Berserk</v>
      </c>
      <c r="AM462" s="32" t="str">
        <f>IFERROR(__xludf.DUMMYFUNCTION("""COMPUTED_VALUE"""),"Double Strike")</f>
        <v>Double Strike</v>
      </c>
      <c r="AN462" s="32" t="str">
        <f>IFERROR(__xludf.DUMMYFUNCTION("""COMPUTED_VALUE"""),"Nature Ward")</f>
        <v>Nature Ward</v>
      </c>
      <c r="AO462" s="32" t="str">
        <f>IFERROR(__xludf.DUMMYFUNCTION("""COMPUTED_VALUE"""),"Entangle")</f>
        <v>Entangle</v>
      </c>
      <c r="AP462" s="32" t="str">
        <f>IFERROR(__xludf.DUMMYFUNCTION("""COMPUTED_VALUE"""),"Landslide")</f>
        <v>Landslide</v>
      </c>
      <c r="AQ462" s="32" t="str">
        <f>IFERROR(__xludf.DUMMYFUNCTION("""COMPUTED_VALUE"""),"Sandstorm")</f>
        <v>Sandstorm</v>
      </c>
      <c r="AR462" s="32" t="str">
        <f>IFERROR(__xludf.DUMMYFUNCTION("""COMPUTED_VALUE"""),"Forgotten Fire")</f>
        <v>Forgotten Fire</v>
      </c>
      <c r="AS462" s="32" t="str">
        <f>IFERROR(__xludf.DUMMYFUNCTION("""COMPUTED_VALUE"""),"Flame Thrower")</f>
        <v>Flame Thrower</v>
      </c>
      <c r="AT462" s="32" t="str">
        <f>IFERROR(__xludf.DUMMYFUNCTION("""COMPUTED_VALUE"""),"Gust of Wind")</f>
        <v>Gust of Wind</v>
      </c>
      <c r="AU462" s="32" t="str">
        <f>IFERROR(__xludf.DUMMYFUNCTION("""COMPUTED_VALUE"""),"Elemental Storm")</f>
        <v>Elemental Storm</v>
      </c>
      <c r="AV462" s="32" t="str">
        <f>IFERROR(__xludf.DUMMYFUNCTION("""COMPUTED_VALUE"""),"Rain Storm")</f>
        <v>Rain Storm</v>
      </c>
      <c r="AW462" s="32" t="str">
        <f>IFERROR(__xludf.DUMMYFUNCTION("""COMPUTED_VALUE"""),"Blizzard")</f>
        <v>Blizzard</v>
      </c>
      <c r="AX462" s="32"/>
      <c r="AY462" s="32"/>
      <c r="AZ462" s="32"/>
      <c r="BA462" s="32"/>
      <c r="BB462" s="32"/>
      <c r="BC462" s="32"/>
      <c r="BD462" s="32">
        <f>IFERROR(__xludf.DUMMYFUNCTION("""COMPUTED_VALUE"""),0.0)</f>
        <v>0</v>
      </c>
      <c r="BE462" s="32">
        <f>IFERROR(__xludf.DUMMYFUNCTION("""COMPUTED_VALUE"""),10.0)</f>
        <v>10</v>
      </c>
      <c r="BF462" s="32"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32" t="str">
        <f>IFERROR(__xludf.DUMMYFUNCTION("""COMPUTED_VALUE"""),"All")</f>
        <v>All</v>
      </c>
      <c r="BH462" s="32" t="str">
        <f>IFERROR(__xludf.DUMMYFUNCTION("""COMPUTED_VALUE"""),"Dragonscale Island")</f>
        <v>Dragonscale Island</v>
      </c>
      <c r="BI462" s="32"/>
      <c r="BJ462" s="32"/>
      <c r="BK462" s="32"/>
      <c r="BL462" s="32" t="b">
        <f>IFERROR(__xludf.DUMMYFUNCTION("""COMPUTED_VALUE"""),FALSE)</f>
        <v>0</v>
      </c>
      <c r="BM462" s="32"/>
      <c r="BN462" s="32"/>
      <c r="BO462" s="32"/>
      <c r="BP462" s="32"/>
      <c r="BQ462" s="32"/>
    </row>
    <row r="463">
      <c r="A463" s="32" t="str">
        <f>IFERROR(__xludf.DUMMYFUNCTION("""COMPUTED_VALUE"""),"Lizardfolk Thief")</f>
        <v>Lizardfolk Thief</v>
      </c>
      <c r="B463" s="32">
        <f>IFERROR(__xludf.DUMMYFUNCTION("""COMPUTED_VALUE"""),1.0)</f>
        <v>1</v>
      </c>
      <c r="C463" s="32"/>
      <c r="D463" s="32" t="str">
        <f>IFERROR(__xludf.DUMMYFUNCTION("""COMPUTED_VALUE"""),"Humanoid")</f>
        <v>Humanoid</v>
      </c>
      <c r="E463" s="32">
        <f>IFERROR(__xludf.DUMMYFUNCTION("""COMPUTED_VALUE"""),1010.0)</f>
        <v>1010</v>
      </c>
      <c r="F463" s="33">
        <f>IFERROR(__xludf.DUMMYFUNCTION("""COMPUTED_VALUE"""),1010.0)</f>
        <v>1010</v>
      </c>
      <c r="G463" s="32">
        <f>IFERROR(__xludf.DUMMYFUNCTION("""COMPUTED_VALUE"""),1010.0)</f>
        <v>1010</v>
      </c>
      <c r="H463" s="32">
        <f>IFERROR(__xludf.DUMMYFUNCTION("""COMPUTED_VALUE"""),10.0)</f>
        <v>10</v>
      </c>
      <c r="I463" s="32">
        <f>IFERROR(__xludf.DUMMYFUNCTION("""COMPUTED_VALUE"""),0.0)</f>
        <v>0</v>
      </c>
      <c r="J463" s="32">
        <f>IFERROR(__xludf.DUMMYFUNCTION("""COMPUTED_VALUE"""),0.0)</f>
        <v>0</v>
      </c>
      <c r="K463" s="32">
        <f>IFERROR(__xludf.DUMMYFUNCTION("""COMPUTED_VALUE"""),100.0)</f>
        <v>100</v>
      </c>
      <c r="L463" s="32">
        <f>IFERROR(__xludf.DUMMYFUNCTION("""COMPUTED_VALUE"""),100.0)</f>
        <v>100</v>
      </c>
      <c r="M463" s="32" t="str">
        <f>IFERROR(__xludf.DUMMYFUNCTION("""COMPUTED_VALUE"""),"Nature:Immune, ")</f>
        <v>Nature:Immune, </v>
      </c>
      <c r="N463" s="32" t="str">
        <f>IFERROR(__xludf.DUMMYFUNCTION("""COMPUTED_VALUE"""),"")</f>
        <v/>
      </c>
      <c r="O463" s="32" t="str">
        <f>IFERROR(__xludf.DUMMYFUNCTION("""COMPUTED_VALUE"""),"Lizard Thief's Bandana")</f>
        <v>Lizard Thief's Bandana</v>
      </c>
      <c r="P463" s="32"/>
      <c r="Q463" s="32"/>
      <c r="R463" s="32"/>
      <c r="S463" s="32"/>
      <c r="T463" s="32" t="str">
        <f>IFERROR(__xludf.DUMMYFUNCTION("""COMPUTED_VALUE"""),"Lizard Thief's Leathers")</f>
        <v>Lizard Thief's Leathers</v>
      </c>
      <c r="U463" s="32"/>
      <c r="V463" s="32" t="str">
        <f>IFERROR(__xludf.DUMMYFUNCTION("""COMPUTED_VALUE"""),"Lizard Thief's Shiny Swiper")</f>
        <v>Lizard Thief's Shiny Swiper</v>
      </c>
      <c r="W463" s="32" t="str">
        <f>IFERROR(__xludf.DUMMYFUNCTION("""COMPUTED_VALUE"""),"Poison Dart Gun")</f>
        <v>Poison Dart Gun</v>
      </c>
      <c r="X463" s="32" t="str">
        <f>IFERROR(__xludf.DUMMYFUNCTION("""COMPUTED_VALUE"""),"Ring o’ Luck and Nature")</f>
        <v>Ring o’ Luck and Nature</v>
      </c>
      <c r="Y463" s="32"/>
      <c r="Z463" s="32"/>
      <c r="AA463" s="32"/>
      <c r="AB463" s="32"/>
      <c r="AC463" s="32"/>
      <c r="AD463" s="32"/>
      <c r="AE463" s="32"/>
      <c r="AF463" s="32"/>
      <c r="AG463" s="32"/>
      <c r="AH463" s="32" t="str">
        <f>IFERROR(__xludf.DUMMYFUNCTION("""COMPUTED_VALUE"""),"Lizard Thief's Pants")</f>
        <v>Lizard Thief's Pants</v>
      </c>
      <c r="AI463" s="32" t="str">
        <f>IFERROR(__xludf.DUMMYFUNCTION("""COMPUTED_VALUE"""),"Lizard Thief's Boots")</f>
        <v>Lizard Thief's Boots</v>
      </c>
      <c r="AJ463" s="32" t="str">
        <f>IFERROR(__xludf.DUMMYFUNCTION("""COMPUTED_VALUE"""),"Acidic Spit")</f>
        <v>Acidic Spit</v>
      </c>
      <c r="AK463" s="32" t="str">
        <f>IFERROR(__xludf.DUMMYFUNCTION("""COMPUTED_VALUE"""),"Acidic Claws")</f>
        <v>Acidic Claws</v>
      </c>
      <c r="AL463" s="32" t="str">
        <f>IFERROR(__xludf.DUMMYFUNCTION("""COMPUTED_VALUE"""),"Berserk")</f>
        <v>Berserk</v>
      </c>
      <c r="AM463" s="32" t="str">
        <f>IFERROR(__xludf.DUMMYFUNCTION("""COMPUTED_VALUE"""),"Double Strike")</f>
        <v>Double Strike</v>
      </c>
      <c r="AN463" s="32" t="str">
        <f>IFERROR(__xludf.DUMMYFUNCTION("""COMPUTED_VALUE"""),"Nature Ward")</f>
        <v>Nature Ward</v>
      </c>
      <c r="AO463" s="32" t="str">
        <f>IFERROR(__xludf.DUMMYFUNCTION("""COMPUTED_VALUE"""),"Entangle")</f>
        <v>Entangle</v>
      </c>
      <c r="AP463" s="32" t="str">
        <f>IFERROR(__xludf.DUMMYFUNCTION("""COMPUTED_VALUE"""),"Confiscate")</f>
        <v>Confiscate</v>
      </c>
      <c r="AQ463" s="32" t="str">
        <f>IFERROR(__xludf.DUMMYFUNCTION("""COMPUTED_VALUE"""),"Take")</f>
        <v>Take</v>
      </c>
      <c r="AR463" s="32" t="str">
        <f>IFERROR(__xludf.DUMMYFUNCTION("""COMPUTED_VALUE"""),"Pick Pocket")</f>
        <v>Pick Pocket</v>
      </c>
      <c r="AS463" s="32"/>
      <c r="AT463" s="32"/>
      <c r="AU463" s="32"/>
      <c r="AV463" s="32"/>
      <c r="AW463" s="32"/>
      <c r="AX463" s="32"/>
      <c r="AY463" s="32"/>
      <c r="AZ463" s="32"/>
      <c r="BA463" s="32"/>
      <c r="BB463" s="32"/>
      <c r="BC463" s="32"/>
      <c r="BD463" s="32">
        <f>IFERROR(__xludf.DUMMYFUNCTION("""COMPUTED_VALUE"""),0.0)</f>
        <v>0</v>
      </c>
      <c r="BE463" s="32">
        <f>IFERROR(__xludf.DUMMYFUNCTION("""COMPUTED_VALUE"""),10.0)</f>
        <v>10</v>
      </c>
      <c r="BF463" s="32"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32" t="str">
        <f>IFERROR(__xludf.DUMMYFUNCTION("""COMPUTED_VALUE"""),"All")</f>
        <v>All</v>
      </c>
      <c r="BH463" s="32" t="str">
        <f>IFERROR(__xludf.DUMMYFUNCTION("""COMPUTED_VALUE"""),"Dragonscale Island")</f>
        <v>Dragonscale Island</v>
      </c>
      <c r="BI463" s="32"/>
      <c r="BJ463" s="32"/>
      <c r="BK463" s="32"/>
      <c r="BL463" s="32" t="b">
        <f>IFERROR(__xludf.DUMMYFUNCTION("""COMPUTED_VALUE"""),FALSE)</f>
        <v>0</v>
      </c>
      <c r="BM463" s="32"/>
      <c r="BN463" s="32"/>
      <c r="BO463" s="32"/>
      <c r="BP463" s="32"/>
      <c r="BQ463" s="32"/>
    </row>
    <row r="464">
      <c r="A464" s="32" t="str">
        <f>IFERROR(__xludf.DUMMYFUNCTION("""COMPUTED_VALUE"""),"Lizardfolk Warrior")</f>
        <v>Lizardfolk Warrior</v>
      </c>
      <c r="B464" s="32">
        <f>IFERROR(__xludf.DUMMYFUNCTION("""COMPUTED_VALUE"""),1.0)</f>
        <v>1</v>
      </c>
      <c r="C464" s="32"/>
      <c r="D464" s="32" t="str">
        <f>IFERROR(__xludf.DUMMYFUNCTION("""COMPUTED_VALUE"""),"Humanoid")</f>
        <v>Humanoid</v>
      </c>
      <c r="E464" s="32">
        <f>IFERROR(__xludf.DUMMYFUNCTION("""COMPUTED_VALUE"""),1010.0)</f>
        <v>1010</v>
      </c>
      <c r="F464" s="33">
        <f>IFERROR(__xludf.DUMMYFUNCTION("""COMPUTED_VALUE"""),1010.0)</f>
        <v>1010</v>
      </c>
      <c r="G464" s="32">
        <f>IFERROR(__xludf.DUMMYFUNCTION("""COMPUTED_VALUE"""),1010.0)</f>
        <v>1010</v>
      </c>
      <c r="H464" s="32">
        <f>IFERROR(__xludf.DUMMYFUNCTION("""COMPUTED_VALUE"""),10.0)</f>
        <v>10</v>
      </c>
      <c r="I464" s="32">
        <f>IFERROR(__xludf.DUMMYFUNCTION("""COMPUTED_VALUE"""),0.0)</f>
        <v>0</v>
      </c>
      <c r="J464" s="32">
        <f>IFERROR(__xludf.DUMMYFUNCTION("""COMPUTED_VALUE"""),0.0)</f>
        <v>0</v>
      </c>
      <c r="K464" s="32">
        <f>IFERROR(__xludf.DUMMYFUNCTION("""COMPUTED_VALUE"""),100.0)</f>
        <v>100</v>
      </c>
      <c r="L464" s="32">
        <f>IFERROR(__xludf.DUMMYFUNCTION("""COMPUTED_VALUE"""),100.0)</f>
        <v>100</v>
      </c>
      <c r="M464" s="32" t="str">
        <f>IFERROR(__xludf.DUMMYFUNCTION("""COMPUTED_VALUE"""),"Nature:Immune, Physical:100, ")</f>
        <v>Nature:Immune, Physical:100, </v>
      </c>
      <c r="N464" s="32" t="str">
        <f>IFERROR(__xludf.DUMMYFUNCTION("""COMPUTED_VALUE"""),"")</f>
        <v/>
      </c>
      <c r="O464" s="32" t="str">
        <f>IFERROR(__xludf.DUMMYFUNCTION("""COMPUTED_VALUE"""),"Lizard Warrior's Scale Helm")</f>
        <v>Lizard Warrior's Scale Helm</v>
      </c>
      <c r="P464" s="32"/>
      <c r="Q464" s="32"/>
      <c r="R464" s="32"/>
      <c r="S464" s="32" t="str">
        <f>IFERROR(__xludf.DUMMYFUNCTION("""COMPUTED_VALUE"""),"Lizard Warrior's Scaled Pauldrons")</f>
        <v>Lizard Warrior's Scaled Pauldrons</v>
      </c>
      <c r="T464" s="32" t="str">
        <f>IFERROR(__xludf.DUMMYFUNCTION("""COMPUTED_VALUE"""),"Lizard Warrior's Scaled Chest")</f>
        <v>Lizard Warrior's Scaled Chest</v>
      </c>
      <c r="U464" s="32" t="str">
        <f>IFERROR(__xludf.DUMMYFUNCTION("""COMPUTED_VALUE"""),"Lizard Warrior's Scaled Arms")</f>
        <v>Lizard Warrior's Scaled Arms</v>
      </c>
      <c r="V464" s="32" t="str">
        <f>IFERROR(__xludf.DUMMYFUNCTION("""COMPUTED_VALUE"""),"Lizard Warrior's Claw")</f>
        <v>Lizard Warrior's Claw</v>
      </c>
      <c r="W464" s="32" t="str">
        <f>IFERROR(__xludf.DUMMYFUNCTION("""COMPUTED_VALUE"""),"Lizard Warrior Guantlet")</f>
        <v>Lizard Warrior Guantlet</v>
      </c>
      <c r="X464" s="32" t="str">
        <f>IFERROR(__xludf.DUMMYFUNCTION("""COMPUTED_VALUE"""),"Ring o’ Luck and Nature")</f>
        <v>Ring o’ Luck and Nature</v>
      </c>
      <c r="Y464" s="32"/>
      <c r="Z464" s="32"/>
      <c r="AA464" s="32"/>
      <c r="AB464" s="32"/>
      <c r="AC464" s="32"/>
      <c r="AD464" s="32"/>
      <c r="AE464" s="32"/>
      <c r="AF464" s="32"/>
      <c r="AG464" s="32"/>
      <c r="AH464" s="32" t="str">
        <f>IFERROR(__xludf.DUMMYFUNCTION("""COMPUTED_VALUE"""),"Lizard Warrior's Scaled Legs")</f>
        <v>Lizard Warrior's Scaled Legs</v>
      </c>
      <c r="AI464" s="32" t="str">
        <f>IFERROR(__xludf.DUMMYFUNCTION("""COMPUTED_VALUE"""),"Lizard Warrior's Scaled Boots")</f>
        <v>Lizard Warrior's Scaled Boots</v>
      </c>
      <c r="AJ464" s="32" t="str">
        <f>IFERROR(__xludf.DUMMYFUNCTION("""COMPUTED_VALUE"""),"Acidic Spit")</f>
        <v>Acidic Spit</v>
      </c>
      <c r="AK464" s="32" t="str">
        <f>IFERROR(__xludf.DUMMYFUNCTION("""COMPUTED_VALUE"""),"Acidic Claws")</f>
        <v>Acidic Claws</v>
      </c>
      <c r="AL464" s="32" t="str">
        <f>IFERROR(__xludf.DUMMYFUNCTION("""COMPUTED_VALUE"""),"Berserk")</f>
        <v>Berserk</v>
      </c>
      <c r="AM464" s="32" t="str">
        <f>IFERROR(__xludf.DUMMYFUNCTION("""COMPUTED_VALUE"""),"Double Strike")</f>
        <v>Double Strike</v>
      </c>
      <c r="AN464" s="32" t="str">
        <f>IFERROR(__xludf.DUMMYFUNCTION("""COMPUTED_VALUE"""),"Nature Ward")</f>
        <v>Nature Ward</v>
      </c>
      <c r="AO464" s="32" t="str">
        <f>IFERROR(__xludf.DUMMYFUNCTION("""COMPUTED_VALUE"""),"Entangle")</f>
        <v>Entangle</v>
      </c>
      <c r="AP464" s="32"/>
      <c r="AQ464" s="32"/>
      <c r="AR464" s="32"/>
      <c r="AS464" s="32"/>
      <c r="AT464" s="32"/>
      <c r="AU464" s="32"/>
      <c r="AV464" s="32"/>
      <c r="AW464" s="32"/>
      <c r="AX464" s="32"/>
      <c r="AY464" s="32"/>
      <c r="AZ464" s="32"/>
      <c r="BA464" s="32"/>
      <c r="BB464" s="32"/>
      <c r="BC464" s="32"/>
      <c r="BD464" s="32">
        <f>IFERROR(__xludf.DUMMYFUNCTION("""COMPUTED_VALUE"""),0.0)</f>
        <v>0</v>
      </c>
      <c r="BE464" s="32">
        <f>IFERROR(__xludf.DUMMYFUNCTION("""COMPUTED_VALUE"""),10.0)</f>
        <v>10</v>
      </c>
      <c r="BF464" s="32"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32" t="str">
        <f>IFERROR(__xludf.DUMMYFUNCTION("""COMPUTED_VALUE"""),"All")</f>
        <v>All</v>
      </c>
      <c r="BH464" s="32" t="str">
        <f>IFERROR(__xludf.DUMMYFUNCTION("""COMPUTED_VALUE"""),"Dragonscale Island")</f>
        <v>Dragonscale Island</v>
      </c>
      <c r="BI464" s="32"/>
      <c r="BJ464" s="32"/>
      <c r="BK464" s="32"/>
      <c r="BL464" s="32" t="b">
        <f>IFERROR(__xludf.DUMMYFUNCTION("""COMPUTED_VALUE"""),FALSE)</f>
        <v>0</v>
      </c>
      <c r="BM464" s="32"/>
      <c r="BN464" s="32"/>
      <c r="BO464" s="32"/>
      <c r="BP464" s="32"/>
      <c r="BQ464" s="32"/>
    </row>
    <row r="465">
      <c r="A465" s="32" t="str">
        <f>IFERROR(__xludf.DUMMYFUNCTION("""COMPUTED_VALUE"""),"Iguanian  Assassin")</f>
        <v>Iguanian  Assassin</v>
      </c>
      <c r="B465" s="32">
        <f>IFERROR(__xludf.DUMMYFUNCTION("""COMPUTED_VALUE"""),1.0)</f>
        <v>1</v>
      </c>
      <c r="C465" s="32"/>
      <c r="D465" s="32" t="str">
        <f>IFERROR(__xludf.DUMMYFUNCTION("""COMPUTED_VALUE"""),"Humanoid")</f>
        <v>Humanoid</v>
      </c>
      <c r="E465" s="32">
        <f>IFERROR(__xludf.DUMMYFUNCTION("""COMPUTED_VALUE"""),1010.0)</f>
        <v>1010</v>
      </c>
      <c r="F465" s="33">
        <f>IFERROR(__xludf.DUMMYFUNCTION("""COMPUTED_VALUE"""),1010.0)</f>
        <v>1010</v>
      </c>
      <c r="G465" s="32">
        <f>IFERROR(__xludf.DUMMYFUNCTION("""COMPUTED_VALUE"""),1010.0)</f>
        <v>1010</v>
      </c>
      <c r="H465" s="32">
        <f>IFERROR(__xludf.DUMMYFUNCTION("""COMPUTED_VALUE"""),10.0)</f>
        <v>10</v>
      </c>
      <c r="I465" s="32">
        <f>IFERROR(__xludf.DUMMYFUNCTION("""COMPUTED_VALUE"""),0.0)</f>
        <v>0</v>
      </c>
      <c r="J465" s="32">
        <f>IFERROR(__xludf.DUMMYFUNCTION("""COMPUTED_VALUE"""),0.0)</f>
        <v>0</v>
      </c>
      <c r="K465" s="32">
        <f>IFERROR(__xludf.DUMMYFUNCTION("""COMPUTED_VALUE"""),100.0)</f>
        <v>100</v>
      </c>
      <c r="L465" s="32">
        <f>IFERROR(__xludf.DUMMYFUNCTION("""COMPUTED_VALUE"""),100.0)</f>
        <v>100</v>
      </c>
      <c r="M465" s="32" t="str">
        <f>IFERROR(__xludf.DUMMYFUNCTION("""COMPUTED_VALUE"""),"Water:100, Instant Death:Immune, ")</f>
        <v>Water:100, Instant Death:Immune, </v>
      </c>
      <c r="N465" s="32" t="str">
        <f>IFERROR(__xludf.DUMMYFUNCTION("""COMPUTED_VALUE"""),"Nature:100, ")</f>
        <v>Nature:100, </v>
      </c>
      <c r="O465" s="32"/>
      <c r="P465" s="32"/>
      <c r="Q465" s="32"/>
      <c r="R465" s="32"/>
      <c r="S465" s="32"/>
      <c r="T465" s="32"/>
      <c r="U465" s="32"/>
      <c r="V465" s="32"/>
      <c r="W465" s="32" t="str">
        <f>IFERROR(__xludf.DUMMYFUNCTION("""COMPUTED_VALUE"""),"Dimensional Dagger")</f>
        <v>Dimensional Dagger</v>
      </c>
      <c r="X465" s="32" t="str">
        <f>IFERROR(__xludf.DUMMYFUNCTION("""COMPUTED_VALUE"""),"Ring o’ Luck and Nature")</f>
        <v>Ring o’ Luck and Nature</v>
      </c>
      <c r="Y465" s="32"/>
      <c r="Z465" s="32"/>
      <c r="AA465" s="32"/>
      <c r="AB465" s="32"/>
      <c r="AC465" s="32"/>
      <c r="AD465" s="32"/>
      <c r="AE465" s="32"/>
      <c r="AF465" s="32"/>
      <c r="AG465" s="32"/>
      <c r="AH465" s="32"/>
      <c r="AI465" s="32"/>
      <c r="AJ465" s="32" t="str">
        <f>IFERROR(__xludf.DUMMYFUNCTION("""COMPUTED_VALUE"""),"Distracting Blow")</f>
        <v>Distracting Blow</v>
      </c>
      <c r="AK465" s="32" t="str">
        <f>IFERROR(__xludf.DUMMYFUNCTION("""COMPUTED_VALUE"""),"Tackle")</f>
        <v>Tackle</v>
      </c>
      <c r="AL465" s="32" t="str">
        <f>IFERROR(__xludf.DUMMYFUNCTION("""COMPUTED_VALUE"""),"Berserk")</f>
        <v>Berserk</v>
      </c>
      <c r="AM465" s="32" t="str">
        <f>IFERROR(__xludf.DUMMYFUNCTION("""COMPUTED_VALUE"""),"Double Strike")</f>
        <v>Double Strike</v>
      </c>
      <c r="AN465" s="32" t="str">
        <f>IFERROR(__xludf.DUMMYFUNCTION("""COMPUTED_VALUE"""),"Nature Ward")</f>
        <v>Nature Ward</v>
      </c>
      <c r="AO465" s="32" t="str">
        <f>IFERROR(__xludf.DUMMYFUNCTION("""COMPUTED_VALUE"""),"Entangle")</f>
        <v>Entangle</v>
      </c>
      <c r="AP465" s="32" t="str">
        <f>IFERROR(__xludf.DUMMYFUNCTION("""COMPUTED_VALUE"""),"Landslide")</f>
        <v>Landslide</v>
      </c>
      <c r="AQ465" s="32" t="str">
        <f>IFERROR(__xludf.DUMMYFUNCTION("""COMPUTED_VALUE"""),"Avalanche")</f>
        <v>Avalanche</v>
      </c>
      <c r="AR465" s="32" t="str">
        <f>IFERROR(__xludf.DUMMYFUNCTION("""COMPUTED_VALUE"""),"Conceal")</f>
        <v>Conceal</v>
      </c>
      <c r="AS465" s="32" t="str">
        <f>IFERROR(__xludf.DUMMYFUNCTION("""COMPUTED_VALUE"""),"Shadow Vanish")</f>
        <v>Shadow Vanish</v>
      </c>
      <c r="AT465" s="32"/>
      <c r="AU465" s="32"/>
      <c r="AV465" s="32"/>
      <c r="AW465" s="32"/>
      <c r="AX465" s="32"/>
      <c r="AY465" s="32"/>
      <c r="AZ465" s="32"/>
      <c r="BA465" s="32"/>
      <c r="BB465" s="32"/>
      <c r="BC465" s="32"/>
      <c r="BD465" s="32">
        <f>IFERROR(__xludf.DUMMYFUNCTION("""COMPUTED_VALUE"""),0.0)</f>
        <v>0</v>
      </c>
      <c r="BE465" s="32">
        <f>IFERROR(__xludf.DUMMYFUNCTION("""COMPUTED_VALUE"""),10.0)</f>
        <v>10</v>
      </c>
      <c r="BF465" s="32"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32" t="str">
        <f>IFERROR(__xludf.DUMMYFUNCTION("""COMPUTED_VALUE"""),"All")</f>
        <v>All</v>
      </c>
      <c r="BH465" s="32" t="str">
        <f>IFERROR(__xludf.DUMMYFUNCTION("""COMPUTED_VALUE"""),"Dragonscale Island")</f>
        <v>Dragonscale Island</v>
      </c>
      <c r="BI465" s="32"/>
      <c r="BJ465" s="32"/>
      <c r="BK465" s="32"/>
      <c r="BL465" s="32" t="b">
        <f>IFERROR(__xludf.DUMMYFUNCTION("""COMPUTED_VALUE"""),FALSE)</f>
        <v>0</v>
      </c>
      <c r="BM465" s="32"/>
      <c r="BN465" s="32"/>
      <c r="BO465" s="32"/>
      <c r="BP465" s="32"/>
      <c r="BQ465" s="32"/>
    </row>
    <row r="466">
      <c r="A466" s="32" t="str">
        <f>IFERROR(__xludf.DUMMYFUNCTION("""COMPUTED_VALUE"""),"Iguanian Brawler")</f>
        <v>Iguanian Brawler</v>
      </c>
      <c r="B466" s="32">
        <f>IFERROR(__xludf.DUMMYFUNCTION("""COMPUTED_VALUE"""),1.0)</f>
        <v>1</v>
      </c>
      <c r="C466" s="32"/>
      <c r="D466" s="32" t="str">
        <f>IFERROR(__xludf.DUMMYFUNCTION("""COMPUTED_VALUE"""),"Humanoid")</f>
        <v>Humanoid</v>
      </c>
      <c r="E466" s="32">
        <f>IFERROR(__xludf.DUMMYFUNCTION("""COMPUTED_VALUE"""),1010.0)</f>
        <v>1010</v>
      </c>
      <c r="F466" s="33">
        <f>IFERROR(__xludf.DUMMYFUNCTION("""COMPUTED_VALUE"""),1010.0)</f>
        <v>1010</v>
      </c>
      <c r="G466" s="32">
        <f>IFERROR(__xludf.DUMMYFUNCTION("""COMPUTED_VALUE"""),1010.0)</f>
        <v>1010</v>
      </c>
      <c r="H466" s="32">
        <f>IFERROR(__xludf.DUMMYFUNCTION("""COMPUTED_VALUE"""),10.0)</f>
        <v>10</v>
      </c>
      <c r="I466" s="32">
        <f>IFERROR(__xludf.DUMMYFUNCTION("""COMPUTED_VALUE"""),0.0)</f>
        <v>0</v>
      </c>
      <c r="J466" s="32">
        <f>IFERROR(__xludf.DUMMYFUNCTION("""COMPUTED_VALUE"""),0.0)</f>
        <v>0</v>
      </c>
      <c r="K466" s="32">
        <f>IFERROR(__xludf.DUMMYFUNCTION("""COMPUTED_VALUE"""),100.0)</f>
        <v>100</v>
      </c>
      <c r="L466" s="32">
        <f>IFERROR(__xludf.DUMMYFUNCTION("""COMPUTED_VALUE"""),100.0)</f>
        <v>100</v>
      </c>
      <c r="M466" s="32" t="str">
        <f>IFERROR(__xludf.DUMMYFUNCTION("""COMPUTED_VALUE"""),"Water:100, Physical:100, Natural:Immune, ")</f>
        <v>Water:100, Physical:100, Natural:Immune, </v>
      </c>
      <c r="N466" s="32" t="str">
        <f>IFERROR(__xludf.DUMMYFUNCTION("""COMPUTED_VALUE"""),"Nature:100, ")</f>
        <v>Nature:100, </v>
      </c>
      <c r="O466" s="32"/>
      <c r="P466" s="32"/>
      <c r="Q466" s="32"/>
      <c r="R466" s="32"/>
      <c r="S466" s="32"/>
      <c r="T466" s="32"/>
      <c r="U466" s="32"/>
      <c r="V466" s="32"/>
      <c r="W466" s="32" t="str">
        <f>IFERROR(__xludf.DUMMYFUNCTION("""COMPUTED_VALUE"""),"Eagles Claw")</f>
        <v>Eagles Claw</v>
      </c>
      <c r="X466" s="32" t="str">
        <f>IFERROR(__xludf.DUMMYFUNCTION("""COMPUTED_VALUE"""),"Ring o’ Luck and Nature")</f>
        <v>Ring o’ Luck and Nature</v>
      </c>
      <c r="Y466" s="32"/>
      <c r="Z466" s="32"/>
      <c r="AA466" s="32"/>
      <c r="AB466" s="32"/>
      <c r="AC466" s="32"/>
      <c r="AD466" s="32"/>
      <c r="AE466" s="32"/>
      <c r="AF466" s="32"/>
      <c r="AG466" s="32"/>
      <c r="AH466" s="32"/>
      <c r="AI466" s="32"/>
      <c r="AJ466" s="32" t="str">
        <f>IFERROR(__xludf.DUMMYFUNCTION("""COMPUTED_VALUE"""),"Distracting Blow")</f>
        <v>Distracting Blow</v>
      </c>
      <c r="AK466" s="32" t="str">
        <f>IFERROR(__xludf.DUMMYFUNCTION("""COMPUTED_VALUE"""),"Tackle")</f>
        <v>Tackle</v>
      </c>
      <c r="AL466" s="32" t="str">
        <f>IFERROR(__xludf.DUMMYFUNCTION("""COMPUTED_VALUE"""),"Berserk")</f>
        <v>Berserk</v>
      </c>
      <c r="AM466" s="32" t="str">
        <f>IFERROR(__xludf.DUMMYFUNCTION("""COMPUTED_VALUE"""),"Double Strike")</f>
        <v>Double Strike</v>
      </c>
      <c r="AN466" s="32" t="str">
        <f>IFERROR(__xludf.DUMMYFUNCTION("""COMPUTED_VALUE"""),"Nature Ward")</f>
        <v>Nature Ward</v>
      </c>
      <c r="AO466" s="32" t="str">
        <f>IFERROR(__xludf.DUMMYFUNCTION("""COMPUTED_VALUE"""),"Entangle")</f>
        <v>Entangle</v>
      </c>
      <c r="AP466" s="32" t="str">
        <f>IFERROR(__xludf.DUMMYFUNCTION("""COMPUTED_VALUE"""),"Landslide")</f>
        <v>Landslide</v>
      </c>
      <c r="AQ466" s="32" t="str">
        <f>IFERROR(__xludf.DUMMYFUNCTION("""COMPUTED_VALUE"""),"Avalanche")</f>
        <v>Avalanche</v>
      </c>
      <c r="AR466" s="32"/>
      <c r="AS466" s="32"/>
      <c r="AT466" s="32"/>
      <c r="AU466" s="32"/>
      <c r="AV466" s="32"/>
      <c r="AW466" s="32"/>
      <c r="AX466" s="32"/>
      <c r="AY466" s="32"/>
      <c r="AZ466" s="32"/>
      <c r="BA466" s="32"/>
      <c r="BB466" s="32"/>
      <c r="BC466" s="32"/>
      <c r="BD466" s="32">
        <f>IFERROR(__xludf.DUMMYFUNCTION("""COMPUTED_VALUE"""),0.0)</f>
        <v>0</v>
      </c>
      <c r="BE466" s="32">
        <f>IFERROR(__xludf.DUMMYFUNCTION("""COMPUTED_VALUE"""),10.0)</f>
        <v>10</v>
      </c>
      <c r="BF466" s="32"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32" t="str">
        <f>IFERROR(__xludf.DUMMYFUNCTION("""COMPUTED_VALUE"""),"All")</f>
        <v>All</v>
      </c>
      <c r="BH466" s="32" t="str">
        <f>IFERROR(__xludf.DUMMYFUNCTION("""COMPUTED_VALUE"""),"Dragonscale Island")</f>
        <v>Dragonscale Island</v>
      </c>
      <c r="BI466" s="32"/>
      <c r="BJ466" s="32"/>
      <c r="BK466" s="32"/>
      <c r="BL466" s="32" t="b">
        <f>IFERROR(__xludf.DUMMYFUNCTION("""COMPUTED_VALUE"""),FALSE)</f>
        <v>0</v>
      </c>
      <c r="BM466" s="32"/>
      <c r="BN466" s="32"/>
      <c r="BO466" s="32"/>
      <c r="BP466" s="32"/>
      <c r="BQ466" s="32"/>
    </row>
    <row r="467">
      <c r="A467" s="32" t="str">
        <f>IFERROR(__xludf.DUMMYFUNCTION("""COMPUTED_VALUE"""),"Iguanian Mage")</f>
        <v>Iguanian Mage</v>
      </c>
      <c r="B467" s="32">
        <f>IFERROR(__xludf.DUMMYFUNCTION("""COMPUTED_VALUE"""),1.0)</f>
        <v>1</v>
      </c>
      <c r="C467" s="32"/>
      <c r="D467" s="32" t="str">
        <f>IFERROR(__xludf.DUMMYFUNCTION("""COMPUTED_VALUE"""),"Humanoid")</f>
        <v>Humanoid</v>
      </c>
      <c r="E467" s="32">
        <f>IFERROR(__xludf.DUMMYFUNCTION("""COMPUTED_VALUE"""),1010.0)</f>
        <v>1010</v>
      </c>
      <c r="F467" s="33">
        <f>IFERROR(__xludf.DUMMYFUNCTION("""COMPUTED_VALUE"""),1010.0)</f>
        <v>1010</v>
      </c>
      <c r="G467" s="32">
        <f>IFERROR(__xludf.DUMMYFUNCTION("""COMPUTED_VALUE"""),1010.0)</f>
        <v>1010</v>
      </c>
      <c r="H467" s="32">
        <f>IFERROR(__xludf.DUMMYFUNCTION("""COMPUTED_VALUE"""),10.0)</f>
        <v>10</v>
      </c>
      <c r="I467" s="32">
        <f>IFERROR(__xludf.DUMMYFUNCTION("""COMPUTED_VALUE"""),0.0)</f>
        <v>0</v>
      </c>
      <c r="J467" s="32">
        <f>IFERROR(__xludf.DUMMYFUNCTION("""COMPUTED_VALUE"""),0.0)</f>
        <v>0</v>
      </c>
      <c r="K467" s="32">
        <f>IFERROR(__xludf.DUMMYFUNCTION("""COMPUTED_VALUE"""),100.0)</f>
        <v>100</v>
      </c>
      <c r="L467" s="32">
        <f>IFERROR(__xludf.DUMMYFUNCTION("""COMPUTED_VALUE"""),100.0)</f>
        <v>100</v>
      </c>
      <c r="M467" s="32" t="str">
        <f>IFERROR(__xludf.DUMMYFUNCTION("""COMPUTED_VALUE"""),"Water:100, Blood:100, ")</f>
        <v>Water:100, Blood:100, </v>
      </c>
      <c r="N467" s="32" t="str">
        <f>IFERROR(__xludf.DUMMYFUNCTION("""COMPUTED_VALUE"""),"Nature:100, ")</f>
        <v>Nature:100, </v>
      </c>
      <c r="O467" s="32"/>
      <c r="P467" s="32"/>
      <c r="Q467" s="32"/>
      <c r="R467" s="32"/>
      <c r="S467" s="32"/>
      <c r="T467" s="32"/>
      <c r="U467" s="32"/>
      <c r="V467" s="32"/>
      <c r="W467" s="32" t="str">
        <f>IFERROR(__xludf.DUMMYFUNCTION("""COMPUTED_VALUE"""),"Tundra Staff")</f>
        <v>Tundra Staff</v>
      </c>
      <c r="X467" s="32" t="str">
        <f>IFERROR(__xludf.DUMMYFUNCTION("""COMPUTED_VALUE"""),"Ring o’ Luck and Nature")</f>
        <v>Ring o’ Luck and Nature</v>
      </c>
      <c r="Y467" s="32"/>
      <c r="Z467" s="32"/>
      <c r="AA467" s="32"/>
      <c r="AB467" s="32"/>
      <c r="AC467" s="32"/>
      <c r="AD467" s="32"/>
      <c r="AE467" s="32"/>
      <c r="AF467" s="32"/>
      <c r="AG467" s="32"/>
      <c r="AH467" s="32"/>
      <c r="AI467" s="32"/>
      <c r="AJ467" s="32" t="str">
        <f>IFERROR(__xludf.DUMMYFUNCTION("""COMPUTED_VALUE"""),"Distracting Blow")</f>
        <v>Distracting Blow</v>
      </c>
      <c r="AK467" s="32" t="str">
        <f>IFERROR(__xludf.DUMMYFUNCTION("""COMPUTED_VALUE"""),"Tackle")</f>
        <v>Tackle</v>
      </c>
      <c r="AL467" s="32" t="str">
        <f>IFERROR(__xludf.DUMMYFUNCTION("""COMPUTED_VALUE"""),"Berserk")</f>
        <v>Berserk</v>
      </c>
      <c r="AM467" s="32" t="str">
        <f>IFERROR(__xludf.DUMMYFUNCTION("""COMPUTED_VALUE"""),"Double Strike")</f>
        <v>Double Strike</v>
      </c>
      <c r="AN467" s="32" t="str">
        <f>IFERROR(__xludf.DUMMYFUNCTION("""COMPUTED_VALUE"""),"Nature Ward")</f>
        <v>Nature Ward</v>
      </c>
      <c r="AO467" s="32" t="str">
        <f>IFERROR(__xludf.DUMMYFUNCTION("""COMPUTED_VALUE"""),"Entangle")</f>
        <v>Entangle</v>
      </c>
      <c r="AP467" s="32" t="str">
        <f>IFERROR(__xludf.DUMMYFUNCTION("""COMPUTED_VALUE"""),"Landslide")</f>
        <v>Landslide</v>
      </c>
      <c r="AQ467" s="32" t="str">
        <f>IFERROR(__xludf.DUMMYFUNCTION("""COMPUTED_VALUE"""),"Avalanche")</f>
        <v>Avalanche</v>
      </c>
      <c r="AR467" s="32"/>
      <c r="AS467" s="32"/>
      <c r="AT467" s="32"/>
      <c r="AU467" s="32"/>
      <c r="AV467" s="32"/>
      <c r="AW467" s="32"/>
      <c r="AX467" s="32"/>
      <c r="AY467" s="32"/>
      <c r="AZ467" s="32"/>
      <c r="BA467" s="32"/>
      <c r="BB467" s="32"/>
      <c r="BC467" s="32"/>
      <c r="BD467" s="32">
        <f>IFERROR(__xludf.DUMMYFUNCTION("""COMPUTED_VALUE"""),0.0)</f>
        <v>0</v>
      </c>
      <c r="BE467" s="32">
        <f>IFERROR(__xludf.DUMMYFUNCTION("""COMPUTED_VALUE"""),10.0)</f>
        <v>10</v>
      </c>
      <c r="BF467" s="32"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32" t="str">
        <f>IFERROR(__xludf.DUMMYFUNCTION("""COMPUTED_VALUE"""),"All")</f>
        <v>All</v>
      </c>
      <c r="BH467" s="32" t="str">
        <f>IFERROR(__xludf.DUMMYFUNCTION("""COMPUTED_VALUE"""),"Dragonscale Island")</f>
        <v>Dragonscale Island</v>
      </c>
      <c r="BI467" s="32"/>
      <c r="BJ467" s="32"/>
      <c r="BK467" s="32"/>
      <c r="BL467" s="32" t="b">
        <f>IFERROR(__xludf.DUMMYFUNCTION("""COMPUTED_VALUE"""),FALSE)</f>
        <v>0</v>
      </c>
      <c r="BM467" s="32"/>
      <c r="BN467" s="32"/>
      <c r="BO467" s="32"/>
      <c r="BP467" s="32"/>
      <c r="BQ467" s="32"/>
    </row>
    <row r="468">
      <c r="A468" s="32" t="str">
        <f>IFERROR(__xludf.DUMMYFUNCTION("""COMPUTED_VALUE"""),"Salamandrith Ranger")</f>
        <v>Salamandrith Ranger</v>
      </c>
      <c r="B468" s="32">
        <f>IFERROR(__xludf.DUMMYFUNCTION("""COMPUTED_VALUE"""),1.0)</f>
        <v>1</v>
      </c>
      <c r="C468" s="32"/>
      <c r="D468" s="32" t="str">
        <f>IFERROR(__xludf.DUMMYFUNCTION("""COMPUTED_VALUE"""),"Humanoid")</f>
        <v>Humanoid</v>
      </c>
      <c r="E468" s="32">
        <f>IFERROR(__xludf.DUMMYFUNCTION("""COMPUTED_VALUE"""),1010.0)</f>
        <v>1010</v>
      </c>
      <c r="F468" s="33">
        <f>IFERROR(__xludf.DUMMYFUNCTION("""COMPUTED_VALUE"""),1010.0)</f>
        <v>1010</v>
      </c>
      <c r="G468" s="32">
        <f>IFERROR(__xludf.DUMMYFUNCTION("""COMPUTED_VALUE"""),1010.0)</f>
        <v>1010</v>
      </c>
      <c r="H468" s="32">
        <f>IFERROR(__xludf.DUMMYFUNCTION("""COMPUTED_VALUE"""),10.0)</f>
        <v>10</v>
      </c>
      <c r="I468" s="32">
        <f>IFERROR(__xludf.DUMMYFUNCTION("""COMPUTED_VALUE"""),0.0)</f>
        <v>0</v>
      </c>
      <c r="J468" s="32">
        <f>IFERROR(__xludf.DUMMYFUNCTION("""COMPUTED_VALUE"""),0.0)</f>
        <v>0</v>
      </c>
      <c r="K468" s="32">
        <f>IFERROR(__xludf.DUMMYFUNCTION("""COMPUTED_VALUE"""),100.0)</f>
        <v>100</v>
      </c>
      <c r="L468" s="32">
        <f>IFERROR(__xludf.DUMMYFUNCTION("""COMPUTED_VALUE"""),100.0)</f>
        <v>100</v>
      </c>
      <c r="M468" s="32" t="str">
        <f>IFERROR(__xludf.DUMMYFUNCTION("""COMPUTED_VALUE"""),"Fire:100, Nature:100, ")</f>
        <v>Fire:100, Nature:100, </v>
      </c>
      <c r="N468" s="32" t="str">
        <f>IFERROR(__xludf.DUMMYFUNCTION("""COMPUTED_VALUE"""),"Water:100, ")</f>
        <v>Water:100, </v>
      </c>
      <c r="O468" s="32"/>
      <c r="P468" s="32"/>
      <c r="Q468" s="32"/>
      <c r="R468" s="32"/>
      <c r="S468" s="32"/>
      <c r="T468" s="32"/>
      <c r="U468" s="32"/>
      <c r="V468" s="32"/>
      <c r="W468" s="32" t="str">
        <f>IFERROR(__xludf.DUMMYFUNCTION("""COMPUTED_VALUE"""),"The Bow of the Pandarian")</f>
        <v>The Bow of the Pandarian</v>
      </c>
      <c r="X468" s="32" t="str">
        <f>IFERROR(__xludf.DUMMYFUNCTION("""COMPUTED_VALUE"""),"Ring o’ Luck and Nature")</f>
        <v>Ring o’ Luck and Nature</v>
      </c>
      <c r="Y468" s="32"/>
      <c r="Z468" s="32"/>
      <c r="AA468" s="32"/>
      <c r="AB468" s="32"/>
      <c r="AC468" s="32"/>
      <c r="AD468" s="32"/>
      <c r="AE468" s="32"/>
      <c r="AF468" s="32"/>
      <c r="AG468" s="32"/>
      <c r="AH468" s="32"/>
      <c r="AI468" s="32"/>
      <c r="AJ468" s="32" t="str">
        <f>IFERROR(__xludf.DUMMYFUNCTION("""COMPUTED_VALUE"""),"Distracting Blow")</f>
        <v>Distracting Blow</v>
      </c>
      <c r="AK468" s="32" t="str">
        <f>IFERROR(__xludf.DUMMYFUNCTION("""COMPUTED_VALUE"""),"Tackle")</f>
        <v>Tackle</v>
      </c>
      <c r="AL468" s="32" t="str">
        <f>IFERROR(__xludf.DUMMYFUNCTION("""COMPUTED_VALUE"""),"Berserk")</f>
        <v>Berserk</v>
      </c>
      <c r="AM468" s="32" t="str">
        <f>IFERROR(__xludf.DUMMYFUNCTION("""COMPUTED_VALUE"""),"Double Strike")</f>
        <v>Double Strike</v>
      </c>
      <c r="AN468" s="32" t="str">
        <f>IFERROR(__xludf.DUMMYFUNCTION("""COMPUTED_VALUE"""),"Nature Ward")</f>
        <v>Nature Ward</v>
      </c>
      <c r="AO468" s="32" t="str">
        <f>IFERROR(__xludf.DUMMYFUNCTION("""COMPUTED_VALUE"""),"Entangle")</f>
        <v>Entangle</v>
      </c>
      <c r="AP468" s="32" t="str">
        <f>IFERROR(__xludf.DUMMYFUNCTION("""COMPUTED_VALUE"""),"Landslide")</f>
        <v>Landslide</v>
      </c>
      <c r="AQ468" s="32" t="str">
        <f>IFERROR(__xludf.DUMMYFUNCTION("""COMPUTED_VALUE"""),"Solar Storm")</f>
        <v>Solar Storm</v>
      </c>
      <c r="AR468" s="32" t="str">
        <f>IFERROR(__xludf.DUMMYFUNCTION("""COMPUTED_VALUE"""),"Thousand Arrows")</f>
        <v>Thousand Arrows</v>
      </c>
      <c r="AS468" s="32" t="str">
        <f>IFERROR(__xludf.DUMMYFUNCTION("""COMPUTED_VALUE"""),"Bullseye")</f>
        <v>Bullseye</v>
      </c>
      <c r="AT468" s="32" t="str">
        <f>IFERROR(__xludf.DUMMYFUNCTION("""COMPUTED_VALUE"""),"Lock On")</f>
        <v>Lock On</v>
      </c>
      <c r="AU468" s="32" t="str">
        <f>IFERROR(__xludf.DUMMYFUNCTION("""COMPUTED_VALUE"""),"Spiritual Meld")</f>
        <v>Spiritual Meld</v>
      </c>
      <c r="AV468" s="32"/>
      <c r="AW468" s="32"/>
      <c r="AX468" s="32"/>
      <c r="AY468" s="32"/>
      <c r="AZ468" s="32"/>
      <c r="BA468" s="32"/>
      <c r="BB468" s="32"/>
      <c r="BC468" s="32"/>
      <c r="BD468" s="32">
        <f>IFERROR(__xludf.DUMMYFUNCTION("""COMPUTED_VALUE"""),0.0)</f>
        <v>0</v>
      </c>
      <c r="BE468" s="32">
        <f>IFERROR(__xludf.DUMMYFUNCTION("""COMPUTED_VALUE"""),10.0)</f>
        <v>10</v>
      </c>
      <c r="BF468" s="32"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32" t="str">
        <f>IFERROR(__xludf.DUMMYFUNCTION("""COMPUTED_VALUE"""),"All")</f>
        <v>All</v>
      </c>
      <c r="BH468" s="32" t="str">
        <f>IFERROR(__xludf.DUMMYFUNCTION("""COMPUTED_VALUE"""),"Dragonscale Island")</f>
        <v>Dragonscale Island</v>
      </c>
      <c r="BI468" s="32"/>
      <c r="BJ468" s="32"/>
      <c r="BK468" s="32"/>
      <c r="BL468" s="32" t="b">
        <f>IFERROR(__xludf.DUMMYFUNCTION("""COMPUTED_VALUE"""),FALSE)</f>
        <v>0</v>
      </c>
      <c r="BM468" s="32"/>
      <c r="BN468" s="32"/>
      <c r="BO468" s="32"/>
      <c r="BP468" s="32"/>
      <c r="BQ468" s="32"/>
    </row>
    <row r="469">
      <c r="A469" s="32" t="str">
        <f>IFERROR(__xludf.DUMMYFUNCTION("""COMPUTED_VALUE"""),"Salamandrith Cultist")</f>
        <v>Salamandrith Cultist</v>
      </c>
      <c r="B469" s="32">
        <f>IFERROR(__xludf.DUMMYFUNCTION("""COMPUTED_VALUE"""),1.0)</f>
        <v>1</v>
      </c>
      <c r="C469" s="32"/>
      <c r="D469" s="32" t="str">
        <f>IFERROR(__xludf.DUMMYFUNCTION("""COMPUTED_VALUE"""),"Humanoid")</f>
        <v>Humanoid</v>
      </c>
      <c r="E469" s="32">
        <f>IFERROR(__xludf.DUMMYFUNCTION("""COMPUTED_VALUE"""),1010.0)</f>
        <v>1010</v>
      </c>
      <c r="F469" s="33">
        <f>IFERROR(__xludf.DUMMYFUNCTION("""COMPUTED_VALUE"""),1010.0)</f>
        <v>1010</v>
      </c>
      <c r="G469" s="32">
        <f>IFERROR(__xludf.DUMMYFUNCTION("""COMPUTED_VALUE"""),1010.0)</f>
        <v>1010</v>
      </c>
      <c r="H469" s="32">
        <f>IFERROR(__xludf.DUMMYFUNCTION("""COMPUTED_VALUE"""),10.0)</f>
        <v>10</v>
      </c>
      <c r="I469" s="32">
        <f>IFERROR(__xludf.DUMMYFUNCTION("""COMPUTED_VALUE"""),0.0)</f>
        <v>0</v>
      </c>
      <c r="J469" s="32">
        <f>IFERROR(__xludf.DUMMYFUNCTION("""COMPUTED_VALUE"""),0.0)</f>
        <v>0</v>
      </c>
      <c r="K469" s="32">
        <f>IFERROR(__xludf.DUMMYFUNCTION("""COMPUTED_VALUE"""),100.0)</f>
        <v>100</v>
      </c>
      <c r="L469" s="32">
        <f>IFERROR(__xludf.DUMMYFUNCTION("""COMPUTED_VALUE"""),100.0)</f>
        <v>100</v>
      </c>
      <c r="M469" s="32" t="str">
        <f>IFERROR(__xludf.DUMMYFUNCTION("""COMPUTED_VALUE"""),"Fire:100, Dark:100, Nature:100, Instant Death:Immune, ")</f>
        <v>Fire:100, Dark:100, Nature:100, Instant Death:Immune, </v>
      </c>
      <c r="N469" s="32" t="str">
        <f>IFERROR(__xludf.DUMMYFUNCTION("""COMPUTED_VALUE"""),"Water:100, Light:100, ")</f>
        <v>Water:100, Light:100, </v>
      </c>
      <c r="O469" s="32" t="str">
        <f>IFERROR(__xludf.DUMMYFUNCTION("""COMPUTED_VALUE"""),"Mask of the Cultist")</f>
        <v>Mask of the Cultist</v>
      </c>
      <c r="P469" s="32"/>
      <c r="Q469" s="32"/>
      <c r="R469" s="32"/>
      <c r="S469" s="32"/>
      <c r="T469" s="32" t="str">
        <f>IFERROR(__xludf.DUMMYFUNCTION("""COMPUTED_VALUE"""),"Robe of The Cultist")</f>
        <v>Robe of The Cultist</v>
      </c>
      <c r="U469" s="32"/>
      <c r="V469" s="32"/>
      <c r="W469" s="32" t="str">
        <f>IFERROR(__xludf.DUMMYFUNCTION("""COMPUTED_VALUE"""),"Dagger of The Cultist")</f>
        <v>Dagger of The Cultist</v>
      </c>
      <c r="X469" s="32" t="str">
        <f>IFERROR(__xludf.DUMMYFUNCTION("""COMPUTED_VALUE"""),"Ring o’ Luck and Nature")</f>
        <v>Ring o’ Luck and Nature</v>
      </c>
      <c r="Y469" s="32"/>
      <c r="Z469" s="32"/>
      <c r="AA469" s="32"/>
      <c r="AB469" s="32"/>
      <c r="AC469" s="32"/>
      <c r="AD469" s="32"/>
      <c r="AE469" s="32"/>
      <c r="AF469" s="32"/>
      <c r="AG469" s="32"/>
      <c r="AH469" s="32"/>
      <c r="AI469" s="32"/>
      <c r="AJ469" s="32" t="str">
        <f>IFERROR(__xludf.DUMMYFUNCTION("""COMPUTED_VALUE"""),"Distracting Blow")</f>
        <v>Distracting Blow</v>
      </c>
      <c r="AK469" s="32" t="str">
        <f>IFERROR(__xludf.DUMMYFUNCTION("""COMPUTED_VALUE"""),"Tackle")</f>
        <v>Tackle</v>
      </c>
      <c r="AL469" s="32" t="str">
        <f>IFERROR(__xludf.DUMMYFUNCTION("""COMPUTED_VALUE"""),"Berserk")</f>
        <v>Berserk</v>
      </c>
      <c r="AM469" s="32" t="str">
        <f>IFERROR(__xludf.DUMMYFUNCTION("""COMPUTED_VALUE"""),"Double Strike")</f>
        <v>Double Strike</v>
      </c>
      <c r="AN469" s="32" t="str">
        <f>IFERROR(__xludf.DUMMYFUNCTION("""COMPUTED_VALUE"""),"Nature Ward")</f>
        <v>Nature Ward</v>
      </c>
      <c r="AO469" s="32" t="str">
        <f>IFERROR(__xludf.DUMMYFUNCTION("""COMPUTED_VALUE"""),"Entangle")</f>
        <v>Entangle</v>
      </c>
      <c r="AP469" s="32" t="str">
        <f>IFERROR(__xludf.DUMMYFUNCTION("""COMPUTED_VALUE"""),"Landslide")</f>
        <v>Landslide</v>
      </c>
      <c r="AQ469" s="32" t="str">
        <f>IFERROR(__xludf.DUMMYFUNCTION("""COMPUTED_VALUE"""),"Solar Storm")</f>
        <v>Solar Storm</v>
      </c>
      <c r="AR469" s="32" t="str">
        <f>IFERROR(__xludf.DUMMYFUNCTION("""COMPUTED_VALUE"""),"Darkest Abyss")</f>
        <v>Darkest Abyss</v>
      </c>
      <c r="AS469" s="32" t="str">
        <f>IFERROR(__xludf.DUMMYFUNCTION("""COMPUTED_VALUE"""),"Dimensional Quake")</f>
        <v>Dimensional Quake</v>
      </c>
      <c r="AT469" s="32" t="str">
        <f>IFERROR(__xludf.DUMMYFUNCTION("""COMPUTED_VALUE"""),"Dark Curse")</f>
        <v>Dark Curse</v>
      </c>
      <c r="AU469" s="32" t="str">
        <f>IFERROR(__xludf.DUMMYFUNCTION("""COMPUTED_VALUE"""),"Spiritual Meld")</f>
        <v>Spiritual Meld</v>
      </c>
      <c r="AV469" s="32"/>
      <c r="AW469" s="32"/>
      <c r="AX469" s="32"/>
      <c r="AY469" s="32"/>
      <c r="AZ469" s="32"/>
      <c r="BA469" s="32"/>
      <c r="BB469" s="32"/>
      <c r="BC469" s="32"/>
      <c r="BD469" s="32">
        <f>IFERROR(__xludf.DUMMYFUNCTION("""COMPUTED_VALUE"""),0.0)</f>
        <v>0</v>
      </c>
      <c r="BE469" s="32">
        <f>IFERROR(__xludf.DUMMYFUNCTION("""COMPUTED_VALUE"""),10.0)</f>
        <v>10</v>
      </c>
      <c r="BF469" s="32"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32" t="str">
        <f>IFERROR(__xludf.DUMMYFUNCTION("""COMPUTED_VALUE"""),"All")</f>
        <v>All</v>
      </c>
      <c r="BH469" s="32" t="str">
        <f>IFERROR(__xludf.DUMMYFUNCTION("""COMPUTED_VALUE"""),"Dragonscale Island")</f>
        <v>Dragonscale Island</v>
      </c>
      <c r="BI469" s="32"/>
      <c r="BJ469" s="32"/>
      <c r="BK469" s="32"/>
      <c r="BL469" s="32" t="b">
        <f>IFERROR(__xludf.DUMMYFUNCTION("""COMPUTED_VALUE"""),FALSE)</f>
        <v>0</v>
      </c>
      <c r="BM469" s="32"/>
      <c r="BN469" s="32"/>
      <c r="BO469" s="32"/>
      <c r="BP469" s="32"/>
      <c r="BQ469" s="32"/>
    </row>
    <row r="470">
      <c r="A470" s="32" t="str">
        <f>IFERROR(__xludf.DUMMYFUNCTION("""COMPUTED_VALUE"""),"Salamandrith Shaman")</f>
        <v>Salamandrith Shaman</v>
      </c>
      <c r="B470" s="32">
        <f>IFERROR(__xludf.DUMMYFUNCTION("""COMPUTED_VALUE"""),1.0)</f>
        <v>1</v>
      </c>
      <c r="C470" s="32"/>
      <c r="D470" s="32" t="str">
        <f>IFERROR(__xludf.DUMMYFUNCTION("""COMPUTED_VALUE"""),"Humanoid")</f>
        <v>Humanoid</v>
      </c>
      <c r="E470" s="32">
        <f>IFERROR(__xludf.DUMMYFUNCTION("""COMPUTED_VALUE"""),1010.0)</f>
        <v>1010</v>
      </c>
      <c r="F470" s="33">
        <f>IFERROR(__xludf.DUMMYFUNCTION("""COMPUTED_VALUE"""),1010.0)</f>
        <v>1010</v>
      </c>
      <c r="G470" s="32">
        <f>IFERROR(__xludf.DUMMYFUNCTION("""COMPUTED_VALUE"""),1010.0)</f>
        <v>1010</v>
      </c>
      <c r="H470" s="32">
        <f>IFERROR(__xludf.DUMMYFUNCTION("""COMPUTED_VALUE"""),10.0)</f>
        <v>10</v>
      </c>
      <c r="I470" s="32">
        <f>IFERROR(__xludf.DUMMYFUNCTION("""COMPUTED_VALUE"""),0.0)</f>
        <v>0</v>
      </c>
      <c r="J470" s="32">
        <f>IFERROR(__xludf.DUMMYFUNCTION("""COMPUTED_VALUE"""),0.0)</f>
        <v>0</v>
      </c>
      <c r="K470" s="32">
        <f>IFERROR(__xludf.DUMMYFUNCTION("""COMPUTED_VALUE"""),100.0)</f>
        <v>100</v>
      </c>
      <c r="L470" s="32">
        <f>IFERROR(__xludf.DUMMYFUNCTION("""COMPUTED_VALUE"""),100.0)</f>
        <v>100</v>
      </c>
      <c r="M470" s="32" t="str">
        <f>IFERROR(__xludf.DUMMYFUNCTION("""COMPUTED_VALUE"""),"Fire:100, Nature:100, Voodoo:100, ")</f>
        <v>Fire:100, Nature:100, Voodoo:100, </v>
      </c>
      <c r="N470" s="32" t="str">
        <f>IFERROR(__xludf.DUMMYFUNCTION("""COMPUTED_VALUE"""),"Water:100, Spirit:100, ")</f>
        <v>Water:100, Spirit:100, </v>
      </c>
      <c r="O470" s="32"/>
      <c r="P470" s="32"/>
      <c r="Q470" s="32"/>
      <c r="R470" s="32"/>
      <c r="S470" s="32"/>
      <c r="T470" s="32"/>
      <c r="U470" s="32"/>
      <c r="V470" s="32"/>
      <c r="W470" s="32" t="str">
        <f>IFERROR(__xludf.DUMMYFUNCTION("""COMPUTED_VALUE"""),"Shamanic Staff")</f>
        <v>Shamanic Staff</v>
      </c>
      <c r="X470" s="32" t="str">
        <f>IFERROR(__xludf.DUMMYFUNCTION("""COMPUTED_VALUE"""),"Ring o’ Luck and Nature")</f>
        <v>Ring o’ Luck and Nature</v>
      </c>
      <c r="Y470" s="32"/>
      <c r="Z470" s="32"/>
      <c r="AA470" s="32"/>
      <c r="AB470" s="32"/>
      <c r="AC470" s="32"/>
      <c r="AD470" s="32"/>
      <c r="AE470" s="32"/>
      <c r="AF470" s="32"/>
      <c r="AG470" s="32"/>
      <c r="AH470" s="32"/>
      <c r="AI470" s="32"/>
      <c r="AJ470" s="32" t="str">
        <f>IFERROR(__xludf.DUMMYFUNCTION("""COMPUTED_VALUE"""),"Distracting Blow")</f>
        <v>Distracting Blow</v>
      </c>
      <c r="AK470" s="32" t="str">
        <f>IFERROR(__xludf.DUMMYFUNCTION("""COMPUTED_VALUE"""),"Tackle")</f>
        <v>Tackle</v>
      </c>
      <c r="AL470" s="32" t="str">
        <f>IFERROR(__xludf.DUMMYFUNCTION("""COMPUTED_VALUE"""),"Berserk")</f>
        <v>Berserk</v>
      </c>
      <c r="AM470" s="32" t="str">
        <f>IFERROR(__xludf.DUMMYFUNCTION("""COMPUTED_VALUE"""),"Double Strike")</f>
        <v>Double Strike</v>
      </c>
      <c r="AN470" s="32" t="str">
        <f>IFERROR(__xludf.DUMMYFUNCTION("""COMPUTED_VALUE"""),"Nature Ward")</f>
        <v>Nature Ward</v>
      </c>
      <c r="AO470" s="32" t="str">
        <f>IFERROR(__xludf.DUMMYFUNCTION("""COMPUTED_VALUE"""),"Entangle")</f>
        <v>Entangle</v>
      </c>
      <c r="AP470" s="32" t="str">
        <f>IFERROR(__xludf.DUMMYFUNCTION("""COMPUTED_VALUE"""),"Landslide")</f>
        <v>Landslide</v>
      </c>
      <c r="AQ470" s="32" t="str">
        <f>IFERROR(__xludf.DUMMYFUNCTION("""COMPUTED_VALUE"""),"Solar Storm")</f>
        <v>Solar Storm</v>
      </c>
      <c r="AR470" s="32" t="str">
        <f>IFERROR(__xludf.DUMMYFUNCTION("""COMPUTED_VALUE"""),"Spiritual Meld")</f>
        <v>Spiritual Meld</v>
      </c>
      <c r="AS470" s="32"/>
      <c r="AT470" s="32"/>
      <c r="AU470" s="32"/>
      <c r="AV470" s="32"/>
      <c r="AW470" s="32"/>
      <c r="AX470" s="32"/>
      <c r="AY470" s="32"/>
      <c r="AZ470" s="32"/>
      <c r="BA470" s="32"/>
      <c r="BB470" s="32"/>
      <c r="BC470" s="32"/>
      <c r="BD470" s="32">
        <f>IFERROR(__xludf.DUMMYFUNCTION("""COMPUTED_VALUE"""),0.0)</f>
        <v>0</v>
      </c>
      <c r="BE470" s="32">
        <f>IFERROR(__xludf.DUMMYFUNCTION("""COMPUTED_VALUE"""),10.0)</f>
        <v>10</v>
      </c>
      <c r="BF470" s="32"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32" t="str">
        <f>IFERROR(__xludf.DUMMYFUNCTION("""COMPUTED_VALUE"""),"All")</f>
        <v>All</v>
      </c>
      <c r="BH470" s="32" t="str">
        <f>IFERROR(__xludf.DUMMYFUNCTION("""COMPUTED_VALUE"""),"Dragonscale Island")</f>
        <v>Dragonscale Island</v>
      </c>
      <c r="BI470" s="32"/>
      <c r="BJ470" s="32"/>
      <c r="BK470" s="32"/>
      <c r="BL470" s="32" t="b">
        <f>IFERROR(__xludf.DUMMYFUNCTION("""COMPUTED_VALUE"""),FALSE)</f>
        <v>0</v>
      </c>
      <c r="BM470" s="32"/>
      <c r="BN470" s="32"/>
      <c r="BO470" s="32"/>
      <c r="BP470" s="32"/>
      <c r="BQ470" s="32"/>
    </row>
    <row r="471">
      <c r="A471" s="32" t="str">
        <f>IFERROR(__xludf.DUMMYFUNCTION("""COMPUTED_VALUE"""),"Geckorian Wandering Sword")</f>
        <v>Geckorian Wandering Sword</v>
      </c>
      <c r="B471" s="32">
        <f>IFERROR(__xludf.DUMMYFUNCTION("""COMPUTED_VALUE"""),1.0)</f>
        <v>1</v>
      </c>
      <c r="C471" s="32"/>
      <c r="D471" s="32" t="str">
        <f>IFERROR(__xludf.DUMMYFUNCTION("""COMPUTED_VALUE"""),"Humanoid")</f>
        <v>Humanoid</v>
      </c>
      <c r="E471" s="32">
        <f>IFERROR(__xludf.DUMMYFUNCTION("""COMPUTED_VALUE"""),1010.0)</f>
        <v>1010</v>
      </c>
      <c r="F471" s="33">
        <f>IFERROR(__xludf.DUMMYFUNCTION("""COMPUTED_VALUE"""),1010.0)</f>
        <v>1010</v>
      </c>
      <c r="G471" s="32">
        <f>IFERROR(__xludf.DUMMYFUNCTION("""COMPUTED_VALUE"""),1010.0)</f>
        <v>1010</v>
      </c>
      <c r="H471" s="32">
        <f>IFERROR(__xludf.DUMMYFUNCTION("""COMPUTED_VALUE"""),10.0)</f>
        <v>10</v>
      </c>
      <c r="I471" s="32">
        <f>IFERROR(__xludf.DUMMYFUNCTION("""COMPUTED_VALUE"""),0.0)</f>
        <v>0</v>
      </c>
      <c r="J471" s="32">
        <f>IFERROR(__xludf.DUMMYFUNCTION("""COMPUTED_VALUE"""),0.0)</f>
        <v>0</v>
      </c>
      <c r="K471" s="32">
        <f>IFERROR(__xludf.DUMMYFUNCTION("""COMPUTED_VALUE"""),100.0)</f>
        <v>100</v>
      </c>
      <c r="L471" s="32">
        <f>IFERROR(__xludf.DUMMYFUNCTION("""COMPUTED_VALUE"""),100.0)</f>
        <v>100</v>
      </c>
      <c r="M471" s="32" t="str">
        <f>IFERROR(__xludf.DUMMYFUNCTION("""COMPUTED_VALUE"""),"Light:100, Zen:100, ")</f>
        <v>Light:100, Zen:100, </v>
      </c>
      <c r="N471" s="32" t="str">
        <f>IFERROR(__xludf.DUMMYFUNCTION("""COMPUTED_VALUE"""),"Dark:100, ")</f>
        <v>Dark:100, </v>
      </c>
      <c r="O471" s="32"/>
      <c r="P471" s="32"/>
      <c r="Q471" s="32"/>
      <c r="R471" s="32"/>
      <c r="S471" s="32"/>
      <c r="T471" s="32"/>
      <c r="U471" s="32"/>
      <c r="V471" s="32" t="str">
        <f>IFERROR(__xludf.DUMMYFUNCTION("""COMPUTED_VALUE"""),"Cursed Blade")</f>
        <v>Cursed Blade</v>
      </c>
      <c r="W471" s="32" t="str">
        <f>IFERROR(__xludf.DUMMYFUNCTION("""COMPUTED_VALUE"""),"Cursed Blade")</f>
        <v>Cursed Blade</v>
      </c>
      <c r="X471" s="32" t="str">
        <f>IFERROR(__xludf.DUMMYFUNCTION("""COMPUTED_VALUE"""),"Ring o’ Luck and Nature")</f>
        <v>Ring o’ Luck and Nature</v>
      </c>
      <c r="Y471" s="32"/>
      <c r="Z471" s="32"/>
      <c r="AA471" s="32"/>
      <c r="AB471" s="32"/>
      <c r="AC471" s="32"/>
      <c r="AD471" s="32"/>
      <c r="AE471" s="32"/>
      <c r="AF471" s="32"/>
      <c r="AG471" s="32"/>
      <c r="AH471" s="32"/>
      <c r="AI471" s="32"/>
      <c r="AJ471" s="32" t="str">
        <f>IFERROR(__xludf.DUMMYFUNCTION("""COMPUTED_VALUE"""),"Distracting Blow")</f>
        <v>Distracting Blow</v>
      </c>
      <c r="AK471" s="32" t="str">
        <f>IFERROR(__xludf.DUMMYFUNCTION("""COMPUTED_VALUE"""),"Tackle")</f>
        <v>Tackle</v>
      </c>
      <c r="AL471" s="32" t="str">
        <f>IFERROR(__xludf.DUMMYFUNCTION("""COMPUTED_VALUE"""),"Berserk")</f>
        <v>Berserk</v>
      </c>
      <c r="AM471" s="32" t="str">
        <f>IFERROR(__xludf.DUMMYFUNCTION("""COMPUTED_VALUE"""),"Double Strike")</f>
        <v>Double Strike</v>
      </c>
      <c r="AN471" s="32" t="str">
        <f>IFERROR(__xludf.DUMMYFUNCTION("""COMPUTED_VALUE"""),"Nature Ward")</f>
        <v>Nature Ward</v>
      </c>
      <c r="AO471" s="32" t="str">
        <f>IFERROR(__xludf.DUMMYFUNCTION("""COMPUTED_VALUE"""),"Entangle")</f>
        <v>Entangle</v>
      </c>
      <c r="AP471" s="32" t="str">
        <f>IFERROR(__xludf.DUMMYFUNCTION("""COMPUTED_VALUE"""),"Obliterating Light of Blindness")</f>
        <v>Obliterating Light of Blindness</v>
      </c>
      <c r="AQ471" s="32" t="str">
        <f>IFERROR(__xludf.DUMMYFUNCTION("""COMPUTED_VALUE"""),"Hygiene")</f>
        <v>Hygiene</v>
      </c>
      <c r="AR471" s="32" t="str">
        <f>IFERROR(__xludf.DUMMYFUNCTION("""COMPUTED_VALUE"""),"Curse Of The Samurai")</f>
        <v>Curse Of The Samurai</v>
      </c>
      <c r="AS471" s="32" t="str">
        <f>IFERROR(__xludf.DUMMYFUNCTION("""COMPUTED_VALUE"""),"Pay Back")</f>
        <v>Pay Back</v>
      </c>
      <c r="AT471" s="32"/>
      <c r="AU471" s="32"/>
      <c r="AV471" s="32"/>
      <c r="AW471" s="32"/>
      <c r="AX471" s="32"/>
      <c r="AY471" s="32"/>
      <c r="AZ471" s="32"/>
      <c r="BA471" s="32"/>
      <c r="BB471" s="32"/>
      <c r="BC471" s="32"/>
      <c r="BD471" s="32">
        <f>IFERROR(__xludf.DUMMYFUNCTION("""COMPUTED_VALUE"""),0.0)</f>
        <v>0</v>
      </c>
      <c r="BE471" s="32">
        <f>IFERROR(__xludf.DUMMYFUNCTION("""COMPUTED_VALUE"""),10.0)</f>
        <v>10</v>
      </c>
      <c r="BF471" s="32"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32" t="str">
        <f>IFERROR(__xludf.DUMMYFUNCTION("""COMPUTED_VALUE"""),"All")</f>
        <v>All</v>
      </c>
      <c r="BH471" s="32" t="str">
        <f>IFERROR(__xludf.DUMMYFUNCTION("""COMPUTED_VALUE"""),"Dragonscale Island")</f>
        <v>Dragonscale Island</v>
      </c>
      <c r="BI471" s="32"/>
      <c r="BJ471" s="32"/>
      <c r="BK471" s="32"/>
      <c r="BL471" s="32" t="b">
        <f>IFERROR(__xludf.DUMMYFUNCTION("""COMPUTED_VALUE"""),FALSE)</f>
        <v>0</v>
      </c>
      <c r="BM471" s="32"/>
      <c r="BN471" s="32"/>
      <c r="BO471" s="32"/>
      <c r="BP471" s="32"/>
      <c r="BQ471" s="32"/>
    </row>
    <row r="472">
      <c r="A472" s="32" t="str">
        <f>IFERROR(__xludf.DUMMYFUNCTION("""COMPUTED_VALUE"""),"Geckorian Minstrel")</f>
        <v>Geckorian Minstrel</v>
      </c>
      <c r="B472" s="32">
        <f>IFERROR(__xludf.DUMMYFUNCTION("""COMPUTED_VALUE"""),1.0)</f>
        <v>1</v>
      </c>
      <c r="C472" s="32"/>
      <c r="D472" s="32" t="str">
        <f>IFERROR(__xludf.DUMMYFUNCTION("""COMPUTED_VALUE"""),"Humanoid")</f>
        <v>Humanoid</v>
      </c>
      <c r="E472" s="32">
        <f>IFERROR(__xludf.DUMMYFUNCTION("""COMPUTED_VALUE"""),1010.0)</f>
        <v>1010</v>
      </c>
      <c r="F472" s="33">
        <f>IFERROR(__xludf.DUMMYFUNCTION("""COMPUTED_VALUE"""),1010.0)</f>
        <v>1010</v>
      </c>
      <c r="G472" s="32">
        <f>IFERROR(__xludf.DUMMYFUNCTION("""COMPUTED_VALUE"""),1010.0)</f>
        <v>1010</v>
      </c>
      <c r="H472" s="32">
        <f>IFERROR(__xludf.DUMMYFUNCTION("""COMPUTED_VALUE"""),10.0)</f>
        <v>10</v>
      </c>
      <c r="I472" s="32">
        <f>IFERROR(__xludf.DUMMYFUNCTION("""COMPUTED_VALUE"""),0.0)</f>
        <v>0</v>
      </c>
      <c r="J472" s="32">
        <f>IFERROR(__xludf.DUMMYFUNCTION("""COMPUTED_VALUE"""),0.0)</f>
        <v>0</v>
      </c>
      <c r="K472" s="32">
        <f>IFERROR(__xludf.DUMMYFUNCTION("""COMPUTED_VALUE"""),100.0)</f>
        <v>100</v>
      </c>
      <c r="L472" s="32">
        <f>IFERROR(__xludf.DUMMYFUNCTION("""COMPUTED_VALUE"""),100.0)</f>
        <v>100</v>
      </c>
      <c r="M472" s="32" t="str">
        <f>IFERROR(__xludf.DUMMYFUNCTION("""COMPUTED_VALUE"""),"Light:100, ")</f>
        <v>Light:100, </v>
      </c>
      <c r="N472" s="32" t="str">
        <f>IFERROR(__xludf.DUMMYFUNCTION("""COMPUTED_VALUE"""),"Dark:100, ")</f>
        <v>Dark:100, </v>
      </c>
      <c r="O472" s="32"/>
      <c r="P472" s="32"/>
      <c r="Q472" s="32"/>
      <c r="R472" s="32"/>
      <c r="S472" s="32"/>
      <c r="T472" s="32"/>
      <c r="U472" s="32"/>
      <c r="V472" s="32"/>
      <c r="W472" s="32" t="str">
        <f>IFERROR(__xludf.DUMMYFUNCTION("""COMPUTED_VALUE"""),"Flute of The Majestic Forest")</f>
        <v>Flute of The Majestic Forest</v>
      </c>
      <c r="X472" s="32" t="str">
        <f>IFERROR(__xludf.DUMMYFUNCTION("""COMPUTED_VALUE"""),"Ring o’ Luck and Nature")</f>
        <v>Ring o’ Luck and Nature</v>
      </c>
      <c r="Y472" s="32"/>
      <c r="Z472" s="32"/>
      <c r="AA472" s="32"/>
      <c r="AB472" s="32"/>
      <c r="AC472" s="32"/>
      <c r="AD472" s="32"/>
      <c r="AE472" s="32"/>
      <c r="AF472" s="32"/>
      <c r="AG472" s="32"/>
      <c r="AH472" s="32"/>
      <c r="AI472" s="32"/>
      <c r="AJ472" s="32" t="str">
        <f>IFERROR(__xludf.DUMMYFUNCTION("""COMPUTED_VALUE"""),"Distracting Blow")</f>
        <v>Distracting Blow</v>
      </c>
      <c r="AK472" s="32" t="str">
        <f>IFERROR(__xludf.DUMMYFUNCTION("""COMPUTED_VALUE"""),"Tackle")</f>
        <v>Tackle</v>
      </c>
      <c r="AL472" s="32" t="str">
        <f>IFERROR(__xludf.DUMMYFUNCTION("""COMPUTED_VALUE"""),"Berserk")</f>
        <v>Berserk</v>
      </c>
      <c r="AM472" s="32" t="str">
        <f>IFERROR(__xludf.DUMMYFUNCTION("""COMPUTED_VALUE"""),"Double Strike")</f>
        <v>Double Strike</v>
      </c>
      <c r="AN472" s="32" t="str">
        <f>IFERROR(__xludf.DUMMYFUNCTION("""COMPUTED_VALUE"""),"Nature Ward")</f>
        <v>Nature Ward</v>
      </c>
      <c r="AO472" s="32" t="str">
        <f>IFERROR(__xludf.DUMMYFUNCTION("""COMPUTED_VALUE"""),"Entangle")</f>
        <v>Entangle</v>
      </c>
      <c r="AP472" s="32" t="str">
        <f>IFERROR(__xludf.DUMMYFUNCTION("""COMPUTED_VALUE"""),"Obliterating Light of Blindness")</f>
        <v>Obliterating Light of Blindness</v>
      </c>
      <c r="AQ472" s="32" t="str">
        <f>IFERROR(__xludf.DUMMYFUNCTION("""COMPUTED_VALUE"""),"Hygiene")</f>
        <v>Hygiene</v>
      </c>
      <c r="AR472" s="32" t="str">
        <f>IFERROR(__xludf.DUMMYFUNCTION("""COMPUTED_VALUE"""),"Choir of 1000 Voices")</f>
        <v>Choir of 1000 Voices</v>
      </c>
      <c r="AS472" s="32" t="str">
        <f>IFERROR(__xludf.DUMMYFUNCTION("""COMPUTED_VALUE"""),"Thrash Sesh")</f>
        <v>Thrash Sesh</v>
      </c>
      <c r="AT472" s="32" t="str">
        <f>IFERROR(__xludf.DUMMYFUNCTION("""COMPUTED_VALUE"""),"Intimidating Song")</f>
        <v>Intimidating Song</v>
      </c>
      <c r="AU472" s="32"/>
      <c r="AV472" s="32"/>
      <c r="AW472" s="32"/>
      <c r="AX472" s="32"/>
      <c r="AY472" s="32"/>
      <c r="AZ472" s="32"/>
      <c r="BA472" s="32"/>
      <c r="BB472" s="32"/>
      <c r="BC472" s="32"/>
      <c r="BD472" s="32">
        <f>IFERROR(__xludf.DUMMYFUNCTION("""COMPUTED_VALUE"""),0.0)</f>
        <v>0</v>
      </c>
      <c r="BE472" s="32">
        <f>IFERROR(__xludf.DUMMYFUNCTION("""COMPUTED_VALUE"""),10.0)</f>
        <v>10</v>
      </c>
      <c r="BF472" s="32"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32" t="str">
        <f>IFERROR(__xludf.DUMMYFUNCTION("""COMPUTED_VALUE"""),"All")</f>
        <v>All</v>
      </c>
      <c r="BH472" s="32" t="str">
        <f>IFERROR(__xludf.DUMMYFUNCTION("""COMPUTED_VALUE"""),"Dragonscale Island")</f>
        <v>Dragonscale Island</v>
      </c>
      <c r="BI472" s="32"/>
      <c r="BJ472" s="32"/>
      <c r="BK472" s="32"/>
      <c r="BL472" s="32" t="b">
        <f>IFERROR(__xludf.DUMMYFUNCTION("""COMPUTED_VALUE"""),FALSE)</f>
        <v>0</v>
      </c>
      <c r="BM472" s="32"/>
      <c r="BN472" s="32"/>
      <c r="BO472" s="32"/>
      <c r="BP472" s="32"/>
      <c r="BQ472" s="32"/>
    </row>
    <row r="473">
      <c r="A473" s="32" t="str">
        <f>IFERROR(__xludf.DUMMYFUNCTION("""COMPUTED_VALUE"""),"Geckorian Warden")</f>
        <v>Geckorian Warden</v>
      </c>
      <c r="B473" s="32">
        <f>IFERROR(__xludf.DUMMYFUNCTION("""COMPUTED_VALUE"""),1.0)</f>
        <v>1</v>
      </c>
      <c r="C473" s="32"/>
      <c r="D473" s="32" t="str">
        <f>IFERROR(__xludf.DUMMYFUNCTION("""COMPUTED_VALUE"""),"Humanoid")</f>
        <v>Humanoid</v>
      </c>
      <c r="E473" s="32">
        <f>IFERROR(__xludf.DUMMYFUNCTION("""COMPUTED_VALUE"""),1010.0)</f>
        <v>1010</v>
      </c>
      <c r="F473" s="33">
        <f>IFERROR(__xludf.DUMMYFUNCTION("""COMPUTED_VALUE"""),1010.0)</f>
        <v>1010</v>
      </c>
      <c r="G473" s="32">
        <f>IFERROR(__xludf.DUMMYFUNCTION("""COMPUTED_VALUE"""),1010.0)</f>
        <v>1010</v>
      </c>
      <c r="H473" s="32">
        <f>IFERROR(__xludf.DUMMYFUNCTION("""COMPUTED_VALUE"""),10.0)</f>
        <v>10</v>
      </c>
      <c r="I473" s="32">
        <f>IFERROR(__xludf.DUMMYFUNCTION("""COMPUTED_VALUE"""),0.0)</f>
        <v>0</v>
      </c>
      <c r="J473" s="32">
        <f>IFERROR(__xludf.DUMMYFUNCTION("""COMPUTED_VALUE"""),0.0)</f>
        <v>0</v>
      </c>
      <c r="K473" s="32">
        <f>IFERROR(__xludf.DUMMYFUNCTION("""COMPUTED_VALUE"""),100.0)</f>
        <v>100</v>
      </c>
      <c r="L473" s="32">
        <f>IFERROR(__xludf.DUMMYFUNCTION("""COMPUTED_VALUE"""),100.0)</f>
        <v>100</v>
      </c>
      <c r="M473" s="32" t="str">
        <f>IFERROR(__xludf.DUMMYFUNCTION("""COMPUTED_VALUE"""),"Light:100, Order:100, Physical:100, ")</f>
        <v>Light:100, Order:100, Physical:100, </v>
      </c>
      <c r="N473" s="32" t="str">
        <f>IFERROR(__xludf.DUMMYFUNCTION("""COMPUTED_VALUE"""),"Dark:100, ")</f>
        <v>Dark:100, </v>
      </c>
      <c r="O473" s="32"/>
      <c r="P473" s="32"/>
      <c r="Q473" s="32"/>
      <c r="R473" s="32"/>
      <c r="S473" s="32"/>
      <c r="T473" s="32"/>
      <c r="U473" s="32"/>
      <c r="V473" s="32"/>
      <c r="W473" s="32" t="str">
        <f>IFERROR(__xludf.DUMMYFUNCTION("""COMPUTED_VALUE"""),"Guard Sword")</f>
        <v>Guard Sword</v>
      </c>
      <c r="X473" s="32" t="str">
        <f>IFERROR(__xludf.DUMMYFUNCTION("""COMPUTED_VALUE"""),"Ring o’ Luck and Nature")</f>
        <v>Ring o’ Luck and Nature</v>
      </c>
      <c r="Y473" s="32"/>
      <c r="Z473" s="32"/>
      <c r="AA473" s="32"/>
      <c r="AB473" s="32"/>
      <c r="AC473" s="32"/>
      <c r="AD473" s="32"/>
      <c r="AE473" s="32"/>
      <c r="AF473" s="32"/>
      <c r="AG473" s="32"/>
      <c r="AH473" s="32"/>
      <c r="AI473" s="32"/>
      <c r="AJ473" s="32" t="str">
        <f>IFERROR(__xludf.DUMMYFUNCTION("""COMPUTED_VALUE"""),"Distracting Blow")</f>
        <v>Distracting Blow</v>
      </c>
      <c r="AK473" s="32" t="str">
        <f>IFERROR(__xludf.DUMMYFUNCTION("""COMPUTED_VALUE"""),"Tackle")</f>
        <v>Tackle</v>
      </c>
      <c r="AL473" s="32" t="str">
        <f>IFERROR(__xludf.DUMMYFUNCTION("""COMPUTED_VALUE"""),"Berserk")</f>
        <v>Berserk</v>
      </c>
      <c r="AM473" s="32" t="str">
        <f>IFERROR(__xludf.DUMMYFUNCTION("""COMPUTED_VALUE"""),"Double Strike")</f>
        <v>Double Strike</v>
      </c>
      <c r="AN473" s="32" t="str">
        <f>IFERROR(__xludf.DUMMYFUNCTION("""COMPUTED_VALUE"""),"Nature Ward")</f>
        <v>Nature Ward</v>
      </c>
      <c r="AO473" s="32" t="str">
        <f>IFERROR(__xludf.DUMMYFUNCTION("""COMPUTED_VALUE"""),"Entangle")</f>
        <v>Entangle</v>
      </c>
      <c r="AP473" s="32" t="str">
        <f>IFERROR(__xludf.DUMMYFUNCTION("""COMPUTED_VALUE"""),"Arrest")</f>
        <v>Arrest</v>
      </c>
      <c r="AQ473" s="32" t="str">
        <f>IFERROR(__xludf.DUMMYFUNCTION("""COMPUTED_VALUE"""),"Obliterating Light of Blindness")</f>
        <v>Obliterating Light of Blindness</v>
      </c>
      <c r="AR473" s="32" t="str">
        <f>IFERROR(__xludf.DUMMYFUNCTION("""COMPUTED_VALUE"""),"Hygiene")</f>
        <v>Hygiene</v>
      </c>
      <c r="AS473" s="32"/>
      <c r="AT473" s="32"/>
      <c r="AU473" s="32"/>
      <c r="AV473" s="32"/>
      <c r="AW473" s="32"/>
      <c r="AX473" s="32"/>
      <c r="AY473" s="32"/>
      <c r="AZ473" s="32"/>
      <c r="BA473" s="32"/>
      <c r="BB473" s="32"/>
      <c r="BC473" s="32"/>
      <c r="BD473" s="32">
        <f>IFERROR(__xludf.DUMMYFUNCTION("""COMPUTED_VALUE"""),0.0)</f>
        <v>0</v>
      </c>
      <c r="BE473" s="32">
        <f>IFERROR(__xludf.DUMMYFUNCTION("""COMPUTED_VALUE"""),10.0)</f>
        <v>10</v>
      </c>
      <c r="BF473" s="32"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32" t="str">
        <f>IFERROR(__xludf.DUMMYFUNCTION("""COMPUTED_VALUE"""),"All")</f>
        <v>All</v>
      </c>
      <c r="BH473" s="32" t="str">
        <f>IFERROR(__xludf.DUMMYFUNCTION("""COMPUTED_VALUE"""),"Dragonscale Island")</f>
        <v>Dragonscale Island</v>
      </c>
      <c r="BI473" s="32"/>
      <c r="BJ473" s="32"/>
      <c r="BK473" s="32"/>
      <c r="BL473" s="32" t="b">
        <f>IFERROR(__xludf.DUMMYFUNCTION("""COMPUTED_VALUE"""),FALSE)</f>
        <v>0</v>
      </c>
      <c r="BM473" s="32"/>
      <c r="BN473" s="32"/>
      <c r="BO473" s="32"/>
      <c r="BP473" s="32"/>
      <c r="BQ473" s="32"/>
    </row>
    <row r="474">
      <c r="A474" s="32" t="str">
        <f>IFERROR(__xludf.DUMMYFUNCTION("""COMPUTED_VALUE"""),"Chameldrian Infiltrator")</f>
        <v>Chameldrian Infiltrator</v>
      </c>
      <c r="B474" s="32">
        <f>IFERROR(__xludf.DUMMYFUNCTION("""COMPUTED_VALUE"""),1.0)</f>
        <v>1</v>
      </c>
      <c r="C474" s="32"/>
      <c r="D474" s="32" t="str">
        <f>IFERROR(__xludf.DUMMYFUNCTION("""COMPUTED_VALUE"""),"Humanoid")</f>
        <v>Humanoid</v>
      </c>
      <c r="E474" s="32">
        <f>IFERROR(__xludf.DUMMYFUNCTION("""COMPUTED_VALUE"""),1010.0)</f>
        <v>1010</v>
      </c>
      <c r="F474" s="33">
        <f>IFERROR(__xludf.DUMMYFUNCTION("""COMPUTED_VALUE"""),1010.0)</f>
        <v>1010</v>
      </c>
      <c r="G474" s="32">
        <f>IFERROR(__xludf.DUMMYFUNCTION("""COMPUTED_VALUE"""),1010.0)</f>
        <v>1010</v>
      </c>
      <c r="H474" s="32">
        <f>IFERROR(__xludf.DUMMYFUNCTION("""COMPUTED_VALUE"""),10.0)</f>
        <v>10</v>
      </c>
      <c r="I474" s="32">
        <f>IFERROR(__xludf.DUMMYFUNCTION("""COMPUTED_VALUE"""),0.0)</f>
        <v>0</v>
      </c>
      <c r="J474" s="32">
        <f>IFERROR(__xludf.DUMMYFUNCTION("""COMPUTED_VALUE"""),0.0)</f>
        <v>0</v>
      </c>
      <c r="K474" s="32">
        <f>IFERROR(__xludf.DUMMYFUNCTION("""COMPUTED_VALUE"""),100.0)</f>
        <v>100</v>
      </c>
      <c r="L474" s="32">
        <f>IFERROR(__xludf.DUMMYFUNCTION("""COMPUTED_VALUE"""),100.0)</f>
        <v>100</v>
      </c>
      <c r="M474" s="32" t="str">
        <f>IFERROR(__xludf.DUMMYFUNCTION("""COMPUTED_VALUE"""),"Physical:100, ")</f>
        <v>Physical:100, </v>
      </c>
      <c r="N474" s="32" t="str">
        <f>IFERROR(__xludf.DUMMYFUNCTION("""COMPUTED_VALUE"""),"Order:100, ")</f>
        <v>Order:100, </v>
      </c>
      <c r="O474" s="32"/>
      <c r="P474" s="32"/>
      <c r="Q474" s="32"/>
      <c r="R474" s="32"/>
      <c r="S474" s="32"/>
      <c r="T474" s="32" t="str">
        <f>IFERROR(__xludf.DUMMYFUNCTION("""COMPUTED_VALUE"""),"Robe of Vanish")</f>
        <v>Robe of Vanish</v>
      </c>
      <c r="U474" s="32"/>
      <c r="V474" s="32"/>
      <c r="W474" s="32"/>
      <c r="X474" s="32" t="str">
        <f>IFERROR(__xludf.DUMMYFUNCTION("""COMPUTED_VALUE"""),"Ring o’ Luck and Nature")</f>
        <v>Ring o’ Luck and Nature</v>
      </c>
      <c r="Y474" s="32"/>
      <c r="Z474" s="32"/>
      <c r="AA474" s="32"/>
      <c r="AB474" s="32"/>
      <c r="AC474" s="32"/>
      <c r="AD474" s="32"/>
      <c r="AE474" s="32"/>
      <c r="AF474" s="32"/>
      <c r="AG474" s="32"/>
      <c r="AH474" s="32"/>
      <c r="AI474" s="32"/>
      <c r="AJ474" s="32" t="str">
        <f>IFERROR(__xludf.DUMMYFUNCTION("""COMPUTED_VALUE"""),"Camouflage")</f>
        <v>Camouflage</v>
      </c>
      <c r="AK474" s="32" t="str">
        <f>IFERROR(__xludf.DUMMYFUNCTION("""COMPUTED_VALUE"""),"Distracting Blow")</f>
        <v>Distracting Blow</v>
      </c>
      <c r="AL474" s="32" t="str">
        <f>IFERROR(__xludf.DUMMYFUNCTION("""COMPUTED_VALUE"""),"Berserk")</f>
        <v>Berserk</v>
      </c>
      <c r="AM474" s="32" t="str">
        <f>IFERROR(__xludf.DUMMYFUNCTION("""COMPUTED_VALUE"""),"Double Strike")</f>
        <v>Double Strike</v>
      </c>
      <c r="AN474" s="32" t="str">
        <f>IFERROR(__xludf.DUMMYFUNCTION("""COMPUTED_VALUE"""),"Nature Ward")</f>
        <v>Nature Ward</v>
      </c>
      <c r="AO474" s="32" t="str">
        <f>IFERROR(__xludf.DUMMYFUNCTION("""COMPUTED_VALUE"""),"Entangle")</f>
        <v>Entangle</v>
      </c>
      <c r="AP474" s="32" t="str">
        <f>IFERROR(__xludf.DUMMYFUNCTION("""COMPUTED_VALUE"""),"Landslide")</f>
        <v>Landslide</v>
      </c>
      <c r="AQ474" s="32" t="str">
        <f>IFERROR(__xludf.DUMMYFUNCTION("""COMPUTED_VALUE"""),"Beast Form")</f>
        <v>Beast Form</v>
      </c>
      <c r="AR474" s="32" t="str">
        <f>IFERROR(__xludf.DUMMYFUNCTION("""COMPUTED_VALUE"""),"Chameldrian Camoflauge")</f>
        <v>Chameldrian Camoflauge</v>
      </c>
      <c r="AS474" s="32"/>
      <c r="AT474" s="32"/>
      <c r="AU474" s="32"/>
      <c r="AV474" s="32"/>
      <c r="AW474" s="32"/>
      <c r="AX474" s="32"/>
      <c r="AY474" s="32"/>
      <c r="AZ474" s="32"/>
      <c r="BA474" s="32"/>
      <c r="BB474" s="32"/>
      <c r="BC474" s="32"/>
      <c r="BD474" s="32">
        <f>IFERROR(__xludf.DUMMYFUNCTION("""COMPUTED_VALUE"""),0.0)</f>
        <v>0</v>
      </c>
      <c r="BE474" s="32">
        <f>IFERROR(__xludf.DUMMYFUNCTION("""COMPUTED_VALUE"""),10.0)</f>
        <v>10</v>
      </c>
      <c r="BF474" s="32"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32" t="str">
        <f>IFERROR(__xludf.DUMMYFUNCTION("""COMPUTED_VALUE"""),"All")</f>
        <v>All</v>
      </c>
      <c r="BH474" s="32" t="str">
        <f>IFERROR(__xludf.DUMMYFUNCTION("""COMPUTED_VALUE"""),"Dragonscale Island")</f>
        <v>Dragonscale Island</v>
      </c>
      <c r="BI474" s="32"/>
      <c r="BJ474" s="32"/>
      <c r="BK474" s="32"/>
      <c r="BL474" s="32" t="b">
        <f>IFERROR(__xludf.DUMMYFUNCTION("""COMPUTED_VALUE"""),FALSE)</f>
        <v>0</v>
      </c>
      <c r="BM474" s="32"/>
      <c r="BN474" s="32"/>
      <c r="BO474" s="32"/>
      <c r="BP474" s="32"/>
      <c r="BQ474" s="32"/>
    </row>
    <row r="475">
      <c r="A475" s="32" t="str">
        <f>IFERROR(__xludf.DUMMYFUNCTION("""COMPUTED_VALUE"""),"Chameldrian Druid")</f>
        <v>Chameldrian Druid</v>
      </c>
      <c r="B475" s="32">
        <f>IFERROR(__xludf.DUMMYFUNCTION("""COMPUTED_VALUE"""),1.0)</f>
        <v>1</v>
      </c>
      <c r="C475" s="32"/>
      <c r="D475" s="32" t="str">
        <f>IFERROR(__xludf.DUMMYFUNCTION("""COMPUTED_VALUE"""),"Humanoid")</f>
        <v>Humanoid</v>
      </c>
      <c r="E475" s="32">
        <f>IFERROR(__xludf.DUMMYFUNCTION("""COMPUTED_VALUE"""),1010.0)</f>
        <v>1010</v>
      </c>
      <c r="F475" s="33">
        <f>IFERROR(__xludf.DUMMYFUNCTION("""COMPUTED_VALUE"""),1010.0)</f>
        <v>1010</v>
      </c>
      <c r="G475" s="32">
        <f>IFERROR(__xludf.DUMMYFUNCTION("""COMPUTED_VALUE"""),1010.0)</f>
        <v>1010</v>
      </c>
      <c r="H475" s="32">
        <f>IFERROR(__xludf.DUMMYFUNCTION("""COMPUTED_VALUE"""),10.0)</f>
        <v>10</v>
      </c>
      <c r="I475" s="32">
        <f>IFERROR(__xludf.DUMMYFUNCTION("""COMPUTED_VALUE"""),0.0)</f>
        <v>0</v>
      </c>
      <c r="J475" s="32">
        <f>IFERROR(__xludf.DUMMYFUNCTION("""COMPUTED_VALUE"""),0.0)</f>
        <v>0</v>
      </c>
      <c r="K475" s="32">
        <f>IFERROR(__xludf.DUMMYFUNCTION("""COMPUTED_VALUE"""),100.0)</f>
        <v>100</v>
      </c>
      <c r="L475" s="32">
        <f>IFERROR(__xludf.DUMMYFUNCTION("""COMPUTED_VALUE"""),100.0)</f>
        <v>100</v>
      </c>
      <c r="M475" s="32" t="str">
        <f>IFERROR(__xludf.DUMMYFUNCTION("""COMPUTED_VALUE"""),"Nature:100, Physical:100, ")</f>
        <v>Nature:100, Physical:100, </v>
      </c>
      <c r="N475" s="32" t="str">
        <f>IFERROR(__xludf.DUMMYFUNCTION("""COMPUTED_VALUE"""),"Fire:100, Order:100, ")</f>
        <v>Fire:100, Order:100, </v>
      </c>
      <c r="O475" s="32"/>
      <c r="P475" s="32"/>
      <c r="Q475" s="32"/>
      <c r="R475" s="32"/>
      <c r="S475" s="32"/>
      <c r="T475" s="32"/>
      <c r="U475" s="32"/>
      <c r="V475" s="32"/>
      <c r="W475" s="32" t="str">
        <f>IFERROR(__xludf.DUMMYFUNCTION("""COMPUTED_VALUE"""),"Chameldrians Staff of Thriving Blossoms")</f>
        <v>Chameldrians Staff of Thriving Blossoms</v>
      </c>
      <c r="X475" s="32" t="str">
        <f>IFERROR(__xludf.DUMMYFUNCTION("""COMPUTED_VALUE"""),"Ring o’ Luck and Nature")</f>
        <v>Ring o’ Luck and Nature</v>
      </c>
      <c r="Y475" s="32"/>
      <c r="Z475" s="32"/>
      <c r="AA475" s="32"/>
      <c r="AB475" s="32"/>
      <c r="AC475" s="32"/>
      <c r="AD475" s="32"/>
      <c r="AE475" s="32"/>
      <c r="AF475" s="32"/>
      <c r="AG475" s="32"/>
      <c r="AH475" s="32"/>
      <c r="AI475" s="32"/>
      <c r="AJ475" s="32" t="str">
        <f>IFERROR(__xludf.DUMMYFUNCTION("""COMPUTED_VALUE"""),"Camouflage")</f>
        <v>Camouflage</v>
      </c>
      <c r="AK475" s="32" t="str">
        <f>IFERROR(__xludf.DUMMYFUNCTION("""COMPUTED_VALUE"""),"Distracting Blow")</f>
        <v>Distracting Blow</v>
      </c>
      <c r="AL475" s="32" t="str">
        <f>IFERROR(__xludf.DUMMYFUNCTION("""COMPUTED_VALUE"""),"Berserk")</f>
        <v>Berserk</v>
      </c>
      <c r="AM475" s="32" t="str">
        <f>IFERROR(__xludf.DUMMYFUNCTION("""COMPUTED_VALUE"""),"Double Strike")</f>
        <v>Double Strike</v>
      </c>
      <c r="AN475" s="32" t="str">
        <f>IFERROR(__xludf.DUMMYFUNCTION("""COMPUTED_VALUE"""),"Nature Ward")</f>
        <v>Nature Ward</v>
      </c>
      <c r="AO475" s="32" t="str">
        <f>IFERROR(__xludf.DUMMYFUNCTION("""COMPUTED_VALUE"""),"Entangle")</f>
        <v>Entangle</v>
      </c>
      <c r="AP475" s="32" t="str">
        <f>IFERROR(__xludf.DUMMYFUNCTION("""COMPUTED_VALUE"""),"Landslide")</f>
        <v>Landslide</v>
      </c>
      <c r="AQ475" s="32" t="str">
        <f>IFERROR(__xludf.DUMMYFUNCTION("""COMPUTED_VALUE"""),"The World Tree")</f>
        <v>The World Tree</v>
      </c>
      <c r="AR475" s="32" t="str">
        <f>IFERROR(__xludf.DUMMYFUNCTION("""COMPUTED_VALUE"""),"The Orb of Life")</f>
        <v>The Orb of Life</v>
      </c>
      <c r="AS475" s="32" t="str">
        <f>IFERROR(__xludf.DUMMYFUNCTION("""COMPUTED_VALUE"""),"Chameldrian Camoflauge")</f>
        <v>Chameldrian Camoflauge</v>
      </c>
      <c r="AT475" s="32"/>
      <c r="AU475" s="32"/>
      <c r="AV475" s="32"/>
      <c r="AW475" s="32"/>
      <c r="AX475" s="32"/>
      <c r="AY475" s="32"/>
      <c r="AZ475" s="32"/>
      <c r="BA475" s="32"/>
      <c r="BB475" s="32"/>
      <c r="BC475" s="32"/>
      <c r="BD475" s="32">
        <f>IFERROR(__xludf.DUMMYFUNCTION("""COMPUTED_VALUE"""),0.0)</f>
        <v>0</v>
      </c>
      <c r="BE475" s="32">
        <f>IFERROR(__xludf.DUMMYFUNCTION("""COMPUTED_VALUE"""),10.0)</f>
        <v>10</v>
      </c>
      <c r="BF475" s="32"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32" t="str">
        <f>IFERROR(__xludf.DUMMYFUNCTION("""COMPUTED_VALUE"""),"All")</f>
        <v>All</v>
      </c>
      <c r="BH475" s="32" t="str">
        <f>IFERROR(__xludf.DUMMYFUNCTION("""COMPUTED_VALUE"""),"Dragonscale Island")</f>
        <v>Dragonscale Island</v>
      </c>
      <c r="BI475" s="32"/>
      <c r="BJ475" s="32"/>
      <c r="BK475" s="32"/>
      <c r="BL475" s="32" t="b">
        <f>IFERROR(__xludf.DUMMYFUNCTION("""COMPUTED_VALUE"""),FALSE)</f>
        <v>0</v>
      </c>
      <c r="BM475" s="32"/>
      <c r="BN475" s="32"/>
      <c r="BO475" s="32"/>
      <c r="BP475" s="32"/>
      <c r="BQ475" s="32"/>
    </row>
    <row r="476">
      <c r="A476" s="32" t="str">
        <f>IFERROR(__xludf.DUMMYFUNCTION("""COMPUTED_VALUE"""),"Chameldrian Berserker")</f>
        <v>Chameldrian Berserker</v>
      </c>
      <c r="B476" s="32">
        <f>IFERROR(__xludf.DUMMYFUNCTION("""COMPUTED_VALUE"""),1.0)</f>
        <v>1</v>
      </c>
      <c r="C476" s="32"/>
      <c r="D476" s="32" t="str">
        <f>IFERROR(__xludf.DUMMYFUNCTION("""COMPUTED_VALUE"""),"Humanoid")</f>
        <v>Humanoid</v>
      </c>
      <c r="E476" s="32">
        <f>IFERROR(__xludf.DUMMYFUNCTION("""COMPUTED_VALUE"""),1010.0)</f>
        <v>1010</v>
      </c>
      <c r="F476" s="33">
        <f>IFERROR(__xludf.DUMMYFUNCTION("""COMPUTED_VALUE"""),1010.0)</f>
        <v>1010</v>
      </c>
      <c r="G476" s="32">
        <f>IFERROR(__xludf.DUMMYFUNCTION("""COMPUTED_VALUE"""),1010.0)</f>
        <v>1010</v>
      </c>
      <c r="H476" s="32">
        <f>IFERROR(__xludf.DUMMYFUNCTION("""COMPUTED_VALUE"""),10.0)</f>
        <v>10</v>
      </c>
      <c r="I476" s="32">
        <f>IFERROR(__xludf.DUMMYFUNCTION("""COMPUTED_VALUE"""),0.0)</f>
        <v>0</v>
      </c>
      <c r="J476" s="32">
        <f>IFERROR(__xludf.DUMMYFUNCTION("""COMPUTED_VALUE"""),0.0)</f>
        <v>0</v>
      </c>
      <c r="K476" s="32">
        <f>IFERROR(__xludf.DUMMYFUNCTION("""COMPUTED_VALUE"""),100.0)</f>
        <v>100</v>
      </c>
      <c r="L476" s="32">
        <f>IFERROR(__xludf.DUMMYFUNCTION("""COMPUTED_VALUE"""),100.0)</f>
        <v>100</v>
      </c>
      <c r="M476" s="32" t="str">
        <f>IFERROR(__xludf.DUMMYFUNCTION("""COMPUTED_VALUE"""),"Physical:100, ")</f>
        <v>Physical:100, </v>
      </c>
      <c r="N476" s="32" t="str">
        <f>IFERROR(__xludf.DUMMYFUNCTION("""COMPUTED_VALUE"""),"Order:100, ")</f>
        <v>Order:100, </v>
      </c>
      <c r="O476" s="32"/>
      <c r="P476" s="32"/>
      <c r="Q476" s="32"/>
      <c r="R476" s="32"/>
      <c r="S476" s="32"/>
      <c r="T476" s="32"/>
      <c r="U476" s="32"/>
      <c r="V476" s="32"/>
      <c r="W476" s="32" t="str">
        <f>IFERROR(__xludf.DUMMYFUNCTION("""COMPUTED_VALUE"""),"Nature's Sword")</f>
        <v>Nature's Sword</v>
      </c>
      <c r="X476" s="32" t="str">
        <f>IFERROR(__xludf.DUMMYFUNCTION("""COMPUTED_VALUE"""),"Ring o’ Luck and Nature")</f>
        <v>Ring o’ Luck and Nature</v>
      </c>
      <c r="Y476" s="32"/>
      <c r="Z476" s="32"/>
      <c r="AA476" s="32"/>
      <c r="AB476" s="32"/>
      <c r="AC476" s="32"/>
      <c r="AD476" s="32"/>
      <c r="AE476" s="32"/>
      <c r="AF476" s="32"/>
      <c r="AG476" s="32"/>
      <c r="AH476" s="32"/>
      <c r="AI476" s="32"/>
      <c r="AJ476" s="32" t="str">
        <f>IFERROR(__xludf.DUMMYFUNCTION("""COMPUTED_VALUE"""),"Camouflage")</f>
        <v>Camouflage</v>
      </c>
      <c r="AK476" s="32" t="str">
        <f>IFERROR(__xludf.DUMMYFUNCTION("""COMPUTED_VALUE"""),"Distracting Blow")</f>
        <v>Distracting Blow</v>
      </c>
      <c r="AL476" s="32" t="str">
        <f>IFERROR(__xludf.DUMMYFUNCTION("""COMPUTED_VALUE"""),"Berserk")</f>
        <v>Berserk</v>
      </c>
      <c r="AM476" s="32" t="str">
        <f>IFERROR(__xludf.DUMMYFUNCTION("""COMPUTED_VALUE"""),"Double Strike")</f>
        <v>Double Strike</v>
      </c>
      <c r="AN476" s="32" t="str">
        <f>IFERROR(__xludf.DUMMYFUNCTION("""COMPUTED_VALUE"""),"Nature Ward")</f>
        <v>Nature Ward</v>
      </c>
      <c r="AO476" s="32" t="str">
        <f>IFERROR(__xludf.DUMMYFUNCTION("""COMPUTED_VALUE"""),"Entangle")</f>
        <v>Entangle</v>
      </c>
      <c r="AP476" s="32" t="str">
        <f>IFERROR(__xludf.DUMMYFUNCTION("""COMPUTED_VALUE"""),"Landslide")</f>
        <v>Landslide</v>
      </c>
      <c r="AQ476" s="32" t="str">
        <f>IFERROR(__xludf.DUMMYFUNCTION("""COMPUTED_VALUE"""),"Chameldrian Camoflauge")</f>
        <v>Chameldrian Camoflauge</v>
      </c>
      <c r="AR476" s="32"/>
      <c r="AS476" s="32"/>
      <c r="AT476" s="32"/>
      <c r="AU476" s="32"/>
      <c r="AV476" s="32"/>
      <c r="AW476" s="32"/>
      <c r="AX476" s="32"/>
      <c r="AY476" s="32"/>
      <c r="AZ476" s="32"/>
      <c r="BA476" s="32"/>
      <c r="BB476" s="32"/>
      <c r="BC476" s="32"/>
      <c r="BD476" s="32">
        <f>IFERROR(__xludf.DUMMYFUNCTION("""COMPUTED_VALUE"""),0.0)</f>
        <v>0</v>
      </c>
      <c r="BE476" s="32">
        <f>IFERROR(__xludf.DUMMYFUNCTION("""COMPUTED_VALUE"""),10.0)</f>
        <v>10</v>
      </c>
      <c r="BF476" s="32"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32" t="str">
        <f>IFERROR(__xludf.DUMMYFUNCTION("""COMPUTED_VALUE"""),"All")</f>
        <v>All</v>
      </c>
      <c r="BH476" s="32" t="str">
        <f>IFERROR(__xludf.DUMMYFUNCTION("""COMPUTED_VALUE"""),"Dragonscale Island")</f>
        <v>Dragonscale Island</v>
      </c>
      <c r="BI476" s="32"/>
      <c r="BJ476" s="32"/>
      <c r="BK476" s="32"/>
      <c r="BL476" s="32" t="b">
        <f>IFERROR(__xludf.DUMMYFUNCTION("""COMPUTED_VALUE"""),FALSE)</f>
        <v>0</v>
      </c>
      <c r="BM476" s="32"/>
      <c r="BN476" s="32"/>
      <c r="BO476" s="32"/>
      <c r="BP476" s="32"/>
      <c r="BQ476" s="32"/>
    </row>
    <row r="477">
      <c r="A477" s="32" t="str">
        <f>IFERROR(__xludf.DUMMYFUNCTION("""COMPUTED_VALUE"""),"Ancient Wood Dragon")</f>
        <v>Ancient Wood Dragon</v>
      </c>
      <c r="B477" s="32">
        <f>IFERROR(__xludf.DUMMYFUNCTION("""COMPUTED_VALUE"""),1.0)</f>
        <v>1</v>
      </c>
      <c r="C477" s="32"/>
      <c r="D477" s="32" t="str">
        <f>IFERROR(__xludf.DUMMYFUNCTION("""COMPUTED_VALUE"""),"Draconic")</f>
        <v>Draconic</v>
      </c>
      <c r="E477" s="32">
        <f>IFERROR(__xludf.DUMMYFUNCTION("""COMPUTED_VALUE"""),1010.0)</f>
        <v>1010</v>
      </c>
      <c r="F477" s="33">
        <f>IFERROR(__xludf.DUMMYFUNCTION("""COMPUTED_VALUE"""),1010.0)</f>
        <v>1010</v>
      </c>
      <c r="G477" s="32">
        <f>IFERROR(__xludf.DUMMYFUNCTION("""COMPUTED_VALUE"""),1010.0)</f>
        <v>1010</v>
      </c>
      <c r="H477" s="32">
        <f>IFERROR(__xludf.DUMMYFUNCTION("""COMPUTED_VALUE"""),10.0)</f>
        <v>10</v>
      </c>
      <c r="I477" s="32">
        <f>IFERROR(__xludf.DUMMYFUNCTION("""COMPUTED_VALUE"""),0.0)</f>
        <v>0</v>
      </c>
      <c r="J477" s="32">
        <f>IFERROR(__xludf.DUMMYFUNCTION("""COMPUTED_VALUE"""),0.0)</f>
        <v>0</v>
      </c>
      <c r="K477" s="32">
        <f>IFERROR(__xludf.DUMMYFUNCTION("""COMPUTED_VALUE"""),100.0)</f>
        <v>100</v>
      </c>
      <c r="L477" s="32">
        <f>IFERROR(__xludf.DUMMYFUNCTION("""COMPUTED_VALUE"""),100.0)</f>
        <v>100</v>
      </c>
      <c r="M477" s="32" t="str">
        <f>IFERROR(__xludf.DUMMYFUNCTION("""COMPUTED_VALUE"""),"Water:100, Nature:Immune, Instant Death:Immune, Banishment:Immune, ")</f>
        <v>Water:100, Nature:Immune, Instant Death:Immune, Banishment:Immune, </v>
      </c>
      <c r="N477" s="32" t="str">
        <f>IFERROR(__xludf.DUMMYFUNCTION("""COMPUTED_VALUE"""),"Fire:100, ")</f>
        <v>Fire:100, </v>
      </c>
      <c r="O477" s="32"/>
      <c r="P477" s="32"/>
      <c r="Q477" s="32"/>
      <c r="R477" s="32"/>
      <c r="S477" s="32"/>
      <c r="T477" s="32"/>
      <c r="U477" s="32"/>
      <c r="V477" s="32"/>
      <c r="W477" s="32"/>
      <c r="X477" s="32"/>
      <c r="Y477" s="32"/>
      <c r="Z477" s="32"/>
      <c r="AA477" s="32"/>
      <c r="AB477" s="32"/>
      <c r="AC477" s="32"/>
      <c r="AD477" s="32"/>
      <c r="AE477" s="32"/>
      <c r="AF477" s="32"/>
      <c r="AG477" s="32"/>
      <c r="AH477" s="32"/>
      <c r="AI477" s="32"/>
      <c r="AJ477" s="32" t="str">
        <f>IFERROR(__xludf.DUMMYFUNCTION("""COMPUTED_VALUE"""),"Greater Dragon's Breath")</f>
        <v>Greater Dragon's Breath</v>
      </c>
      <c r="AK477" s="32" t="str">
        <f>IFERROR(__xludf.DUMMYFUNCTION("""COMPUTED_VALUE"""),"Claws")</f>
        <v>Claws</v>
      </c>
      <c r="AL477" s="32" t="str">
        <f>IFERROR(__xludf.DUMMYFUNCTION("""COMPUTED_VALUE"""),"The World Tree")</f>
        <v>The World Tree</v>
      </c>
      <c r="AM477" s="32" t="str">
        <f>IFERROR(__xludf.DUMMYFUNCTION("""COMPUTED_VALUE"""),"Cancel")</f>
        <v>Cancel</v>
      </c>
      <c r="AN477" s="32" t="str">
        <f>IFERROR(__xludf.DUMMYFUNCTION("""COMPUTED_VALUE"""),"Nature Ward")</f>
        <v>Nature Ward</v>
      </c>
      <c r="AO477" s="32" t="str">
        <f>IFERROR(__xludf.DUMMYFUNCTION("""COMPUTED_VALUE"""),"Nature's Wrath")</f>
        <v>Nature's Wrath</v>
      </c>
      <c r="AP477" s="32" t="str">
        <f>IFERROR(__xludf.DUMMYFUNCTION("""COMPUTED_VALUE"""),"Grounds")</f>
        <v>Grounds</v>
      </c>
      <c r="AQ477" s="32" t="str">
        <f>IFERROR(__xludf.DUMMYFUNCTION("""COMPUTED_VALUE"""),"Berserk")</f>
        <v>Berserk</v>
      </c>
      <c r="AR477" s="32" t="str">
        <f>IFERROR(__xludf.DUMMYFUNCTION("""COMPUTED_VALUE"""),"Multishot")</f>
        <v>Multishot</v>
      </c>
      <c r="AS477" s="32" t="str">
        <f>IFERROR(__xludf.DUMMYFUNCTION("""COMPUTED_VALUE"""),"Chaincast")</f>
        <v>Chaincast</v>
      </c>
      <c r="AT477" s="32" t="str">
        <f>IFERROR(__xludf.DUMMYFUNCTION("""COMPUTED_VALUE"""),"Mass Destruction")</f>
        <v>Mass Destruction</v>
      </c>
      <c r="AU477" s="32"/>
      <c r="AV477" s="32"/>
      <c r="AW477" s="32"/>
      <c r="AX477" s="32"/>
      <c r="AY477" s="32"/>
      <c r="AZ477" s="32"/>
      <c r="BA477" s="32"/>
      <c r="BB477" s="32"/>
      <c r="BC477" s="32"/>
      <c r="BD477" s="32">
        <f>IFERROR(__xludf.DUMMYFUNCTION("""COMPUTED_VALUE"""),0.0)</f>
        <v>0</v>
      </c>
      <c r="BE477" s="32">
        <f>IFERROR(__xludf.DUMMYFUNCTION("""COMPUTED_VALUE"""),10.0)</f>
        <v>10</v>
      </c>
      <c r="BF477" s="32"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32" t="str">
        <f>IFERROR(__xludf.DUMMYFUNCTION("""COMPUTED_VALUE"""),"Wildwood")</f>
        <v>Wildwood</v>
      </c>
      <c r="BH477" s="32" t="str">
        <f>IFERROR(__xludf.DUMMYFUNCTION("""COMPUTED_VALUE"""),"Land of Spira")</f>
        <v>Land of Spira</v>
      </c>
      <c r="BI477" s="32"/>
      <c r="BJ477" s="32" t="str">
        <f>IFERROR(__xludf.DUMMYFUNCTION("""COMPUTED_VALUE"""),"Lunar New Year")</f>
        <v>Lunar New Year</v>
      </c>
      <c r="BK477" s="32"/>
      <c r="BL477" s="32" t="b">
        <f>IFERROR(__xludf.DUMMYFUNCTION("""COMPUTED_VALUE"""),FALSE)</f>
        <v>0</v>
      </c>
      <c r="BM477" s="32"/>
      <c r="BN477" s="32"/>
      <c r="BO477" s="32"/>
      <c r="BP477" s="32"/>
      <c r="BQ477" s="32"/>
    </row>
    <row r="478">
      <c r="A478" s="32" t="str">
        <f>IFERROR(__xludf.DUMMYFUNCTION("""COMPUTED_VALUE"""),"Nereid")</f>
        <v>Nereid</v>
      </c>
      <c r="B478" s="32">
        <f>IFERROR(__xludf.DUMMYFUNCTION("""COMPUTED_VALUE"""),1.0)</f>
        <v>1</v>
      </c>
      <c r="C478" s="32"/>
      <c r="D478" s="32" t="str">
        <f>IFERROR(__xludf.DUMMYFUNCTION("""COMPUTED_VALUE"""),"Spirit")</f>
        <v>Spirit</v>
      </c>
      <c r="E478" s="32">
        <f>IFERROR(__xludf.DUMMYFUNCTION("""COMPUTED_VALUE"""),1010.0)</f>
        <v>1010</v>
      </c>
      <c r="F478" s="33">
        <f>IFERROR(__xludf.DUMMYFUNCTION("""COMPUTED_VALUE"""),31010.0)</f>
        <v>31010</v>
      </c>
      <c r="G478" s="32">
        <f>IFERROR(__xludf.DUMMYFUNCTION("""COMPUTED_VALUE"""),1010.0)</f>
        <v>1010</v>
      </c>
      <c r="H478" s="32">
        <f>IFERROR(__xludf.DUMMYFUNCTION("""COMPUTED_VALUE"""),10.0)</f>
        <v>10</v>
      </c>
      <c r="I478" s="32">
        <f>IFERROR(__xludf.DUMMYFUNCTION("""COMPUTED_VALUE"""),0.0)</f>
        <v>0</v>
      </c>
      <c r="J478" s="32">
        <f>IFERROR(__xludf.DUMMYFUNCTION("""COMPUTED_VALUE"""),20.0)</f>
        <v>20</v>
      </c>
      <c r="K478" s="32">
        <f>IFERROR(__xludf.DUMMYFUNCTION("""COMPUTED_VALUE"""),100.0)</f>
        <v>100</v>
      </c>
      <c r="L478" s="33">
        <f>IFERROR(__xludf.DUMMYFUNCTION("""COMPUTED_VALUE"""),500100.0)</f>
        <v>500100</v>
      </c>
      <c r="M478" s="32" t="str">
        <f>IFERROR(__xludf.DUMMYFUNCTION("""COMPUTED_VALUE"""),"Fire:Immune, Water:Immune, Blood:Immune, Instant Death:Immune, ")</f>
        <v>Fire:Immune, Water:Immune, Blood:Immune, Instant Death:Immune, </v>
      </c>
      <c r="N478" s="32" t="str">
        <f>IFERROR(__xludf.DUMMYFUNCTION("""COMPUTED_VALUE"""),"Spirit:100, Nature:100, ")</f>
        <v>Spirit:100, Nature:100, </v>
      </c>
      <c r="O478" s="32"/>
      <c r="P478" s="32"/>
      <c r="Q478" s="32"/>
      <c r="R478" s="32"/>
      <c r="S478" s="32"/>
      <c r="T478" s="32"/>
      <c r="U478" s="32"/>
      <c r="V478" s="32"/>
      <c r="W478" s="32"/>
      <c r="X478" s="32"/>
      <c r="Y478" s="32"/>
      <c r="Z478" s="32"/>
      <c r="AA478" s="32"/>
      <c r="AB478" s="32"/>
      <c r="AC478" s="32"/>
      <c r="AD478" s="32"/>
      <c r="AE478" s="32"/>
      <c r="AF478" s="32"/>
      <c r="AG478" s="32"/>
      <c r="AH478" s="32"/>
      <c r="AI478" s="32"/>
      <c r="AJ478" s="32" t="str">
        <f>IFERROR(__xludf.DUMMYFUNCTION("""COMPUTED_VALUE"""),"Torrential Downpour")</f>
        <v>Torrential Downpour</v>
      </c>
      <c r="AK478" s="32" t="str">
        <f>IFERROR(__xludf.DUMMYFUNCTION("""COMPUTED_VALUE"""),"Water Ward")</f>
        <v>Water Ward</v>
      </c>
      <c r="AL478" s="32" t="str">
        <f>IFERROR(__xludf.DUMMYFUNCTION("""COMPUTED_VALUE"""),"Hyper Whirlpool")</f>
        <v>Hyper Whirlpool</v>
      </c>
      <c r="AM478" s="32" t="str">
        <f>IFERROR(__xludf.DUMMYFUNCTION("""COMPUTED_VALUE"""),"Deep Freeze")</f>
        <v>Deep Freeze</v>
      </c>
      <c r="AN478" s="32" t="str">
        <f>IFERROR(__xludf.DUMMYFUNCTION("""COMPUTED_VALUE"""),"Vengeful Strike")</f>
        <v>Vengeful Strike</v>
      </c>
      <c r="AO478" s="32"/>
      <c r="AP478" s="32" t="str">
        <f>IFERROR(__xludf.DUMMYFUNCTION("""COMPUTED_VALUE"""),"Celestial Blast")</f>
        <v>Celestial Blast</v>
      </c>
      <c r="AQ478" s="32"/>
      <c r="AR478" s="32"/>
      <c r="AS478" s="32"/>
      <c r="AT478" s="32"/>
      <c r="AU478" s="32"/>
      <c r="AV478" s="32"/>
      <c r="AW478" s="32"/>
      <c r="AX478" s="32"/>
      <c r="AY478" s="32"/>
      <c r="AZ478" s="32"/>
      <c r="BA478" s="32"/>
      <c r="BB478" s="32"/>
      <c r="BC478" s="32"/>
      <c r="BD478" s="32">
        <f>IFERROR(__xludf.DUMMYFUNCTION("""COMPUTED_VALUE"""),0.0)</f>
        <v>0</v>
      </c>
      <c r="BE478" s="32">
        <f>IFERROR(__xludf.DUMMYFUNCTION("""COMPUTED_VALUE"""),10.0)</f>
        <v>10</v>
      </c>
      <c r="BF478" s="32"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32" t="str">
        <f>IFERROR(__xludf.DUMMYFUNCTION("""COMPUTED_VALUE"""),"Ocean")</f>
        <v>Ocean</v>
      </c>
      <c r="BH478" s="32" t="str">
        <f>IFERROR(__xludf.DUMMYFUNCTION("""COMPUTED_VALUE"""),"Dragonscale Island")</f>
        <v>Dragonscale Island</v>
      </c>
      <c r="BI478" s="32"/>
      <c r="BJ478" s="32"/>
      <c r="BK478" s="32"/>
      <c r="BL478" s="32" t="b">
        <f>IFERROR(__xludf.DUMMYFUNCTION("""COMPUTED_VALUE"""),FALSE)</f>
        <v>0</v>
      </c>
      <c r="BM478" s="32"/>
      <c r="BN478" s="32"/>
      <c r="BO478" s="32"/>
      <c r="BP478" s="32"/>
      <c r="BQ478" s="32"/>
    </row>
    <row r="479">
      <c r="A479" s="32" t="str">
        <f>IFERROR(__xludf.DUMMYFUNCTION("""COMPUTED_VALUE"""),"Ancient Water Elemental")</f>
        <v>Ancient Water Elemental</v>
      </c>
      <c r="B479" s="32">
        <f>IFERROR(__xludf.DUMMYFUNCTION("""COMPUTED_VALUE"""),1.0)</f>
        <v>1</v>
      </c>
      <c r="C479" s="32"/>
      <c r="D479" s="32" t="str">
        <f>IFERROR(__xludf.DUMMYFUNCTION("""COMPUTED_VALUE"""),"Spirit")</f>
        <v>Spirit</v>
      </c>
      <c r="E479" s="32">
        <f>IFERROR(__xludf.DUMMYFUNCTION("""COMPUTED_VALUE"""),1010.0)</f>
        <v>1010</v>
      </c>
      <c r="F479" s="33">
        <f>IFERROR(__xludf.DUMMYFUNCTION("""COMPUTED_VALUE"""),1010.0)</f>
        <v>1010</v>
      </c>
      <c r="G479" s="32">
        <f>IFERROR(__xludf.DUMMYFUNCTION("""COMPUTED_VALUE"""),1010.0)</f>
        <v>1010</v>
      </c>
      <c r="H479" s="32">
        <f>IFERROR(__xludf.DUMMYFUNCTION("""COMPUTED_VALUE"""),20.0)</f>
        <v>20</v>
      </c>
      <c r="I479" s="32">
        <f>IFERROR(__xludf.DUMMYFUNCTION("""COMPUTED_VALUE"""),0.0)</f>
        <v>0</v>
      </c>
      <c r="J479" s="32">
        <f>IFERROR(__xludf.DUMMYFUNCTION("""COMPUTED_VALUE"""),20.0)</f>
        <v>20</v>
      </c>
      <c r="K479" s="32">
        <f>IFERROR(__xludf.DUMMYFUNCTION("""COMPUTED_VALUE"""),100.0)</f>
        <v>100</v>
      </c>
      <c r="L479" s="32">
        <f>IFERROR(__xludf.DUMMYFUNCTION("""COMPUTED_VALUE"""),100.0)</f>
        <v>100</v>
      </c>
      <c r="M479" s="32" t="str">
        <f>IFERROR(__xludf.DUMMYFUNCTION("""COMPUTED_VALUE"""),"Fire:Immune, Water:Immune, Blood:Immune, Instant Death:Immune, Banishment:Immune, ")</f>
        <v>Fire:Immune, Water:Immune, Blood:Immune, Instant Death:Immune, Banishment:Immune, </v>
      </c>
      <c r="N479" s="32" t="str">
        <f>IFERROR(__xludf.DUMMYFUNCTION("""COMPUTED_VALUE"""),"Spirit:50, Nature:50, ")</f>
        <v>Spirit:50, Nature:50, </v>
      </c>
      <c r="O479" s="32"/>
      <c r="P479" s="32"/>
      <c r="Q479" s="32"/>
      <c r="R479" s="32"/>
      <c r="S479" s="32"/>
      <c r="T479" s="32"/>
      <c r="U479" s="32"/>
      <c r="V479" s="32"/>
      <c r="W479" s="32"/>
      <c r="X479" s="32"/>
      <c r="Y479" s="32"/>
      <c r="Z479" s="32"/>
      <c r="AA479" s="32"/>
      <c r="AB479" s="32"/>
      <c r="AC479" s="32"/>
      <c r="AD479" s="32"/>
      <c r="AE479" s="32"/>
      <c r="AF479" s="32"/>
      <c r="AG479" s="32"/>
      <c r="AH479" s="32"/>
      <c r="AI479" s="32"/>
      <c r="AJ479" s="32" t="str">
        <f>IFERROR(__xludf.DUMMYFUNCTION("""COMPUTED_VALUE"""),"Torrential Downpour")</f>
        <v>Torrential Downpour</v>
      </c>
      <c r="AK479" s="32" t="str">
        <f>IFERROR(__xludf.DUMMYFUNCTION("""COMPUTED_VALUE"""),"Water Ward")</f>
        <v>Water Ward</v>
      </c>
      <c r="AL479" s="32" t="str">
        <f>IFERROR(__xludf.DUMMYFUNCTION("""COMPUTED_VALUE"""),"Hyper Whirlpool")</f>
        <v>Hyper Whirlpool</v>
      </c>
      <c r="AM479" s="32" t="str">
        <f>IFERROR(__xludf.DUMMYFUNCTION("""COMPUTED_VALUE"""),"Deep Freeze")</f>
        <v>Deep Freeze</v>
      </c>
      <c r="AN479" s="32" t="str">
        <f>IFERROR(__xludf.DUMMYFUNCTION("""COMPUTED_VALUE"""),"Geyser (Enhanced)")</f>
        <v>Geyser (Enhanced)</v>
      </c>
      <c r="AO479" s="32" t="str">
        <f>IFERROR(__xludf.DUMMYFUNCTION("""COMPUTED_VALUE"""),"Tower Of Atlantis")</f>
        <v>Tower Of Atlantis</v>
      </c>
      <c r="AP479" s="32"/>
      <c r="AQ479" s="32"/>
      <c r="AR479" s="32" t="str">
        <f>IFERROR(__xludf.DUMMYFUNCTION("""COMPUTED_VALUE"""),"Mass Destruction")</f>
        <v>Mass Destruction</v>
      </c>
      <c r="AS479" s="32" t="str">
        <f>IFERROR(__xludf.DUMMYFUNCTION("""COMPUTED_VALUE"""),"Celestial Blast")</f>
        <v>Celestial Blast</v>
      </c>
      <c r="AT479" s="32" t="str">
        <f>IFERROR(__xludf.DUMMYFUNCTION("""COMPUTED_VALUE"""),"Chaincast")</f>
        <v>Chaincast</v>
      </c>
      <c r="AU479" s="32" t="str">
        <f>IFERROR(__xludf.DUMMYFUNCTION("""COMPUTED_VALUE"""),"Multishot")</f>
        <v>Multishot</v>
      </c>
      <c r="AV479" s="32"/>
      <c r="AW479" s="32"/>
      <c r="AX479" s="32"/>
      <c r="AY479" s="32"/>
      <c r="AZ479" s="32"/>
      <c r="BA479" s="32"/>
      <c r="BB479" s="32"/>
      <c r="BC479" s="32"/>
      <c r="BD479" s="32">
        <f>IFERROR(__xludf.DUMMYFUNCTION("""COMPUTED_VALUE"""),0.0)</f>
        <v>0</v>
      </c>
      <c r="BE479" s="32">
        <f>IFERROR(__xludf.DUMMYFUNCTION("""COMPUTED_VALUE"""),10.0)</f>
        <v>10</v>
      </c>
      <c r="BF479" s="32"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32" t="str">
        <f>IFERROR(__xludf.DUMMYFUNCTION("""COMPUTED_VALUE"""),"Dungeon")</f>
        <v>Dungeon</v>
      </c>
      <c r="BH479" s="32" t="str">
        <f>IFERROR(__xludf.DUMMYFUNCTION("""COMPUTED_VALUE"""),"Dragonscale Island")</f>
        <v>Dragonscale Island</v>
      </c>
      <c r="BI479" s="32"/>
      <c r="BJ479" s="32"/>
      <c r="BK479" s="32"/>
      <c r="BL479" s="32" t="b">
        <f>IFERROR(__xludf.DUMMYFUNCTION("""COMPUTED_VALUE"""),FALSE)</f>
        <v>0</v>
      </c>
      <c r="BM479" s="32"/>
      <c r="BN479" s="32"/>
      <c r="BO479" s="32"/>
      <c r="BP479" s="32"/>
      <c r="BQ479" s="32"/>
    </row>
    <row r="480">
      <c r="A480" s="32" t="str">
        <f>IFERROR(__xludf.DUMMYFUNCTION("""COMPUTED_VALUE"""),"Fire Elemental")</f>
        <v>Fire Elemental</v>
      </c>
      <c r="B480" s="32">
        <f>IFERROR(__xludf.DUMMYFUNCTION("""COMPUTED_VALUE"""),1.0)</f>
        <v>1</v>
      </c>
      <c r="C480" s="32"/>
      <c r="D480" s="32" t="str">
        <f>IFERROR(__xludf.DUMMYFUNCTION("""COMPUTED_VALUE"""),"Spirit")</f>
        <v>Spirit</v>
      </c>
      <c r="E480" s="32">
        <f>IFERROR(__xludf.DUMMYFUNCTION("""COMPUTED_VALUE"""),1010.0)</f>
        <v>1010</v>
      </c>
      <c r="F480" s="33">
        <f>IFERROR(__xludf.DUMMYFUNCTION("""COMPUTED_VALUE"""),1010.0)</f>
        <v>1010</v>
      </c>
      <c r="G480" s="32">
        <f>IFERROR(__xludf.DUMMYFUNCTION("""COMPUTED_VALUE"""),1010.0)</f>
        <v>1010</v>
      </c>
      <c r="H480" s="32">
        <f>IFERROR(__xludf.DUMMYFUNCTION("""COMPUTED_VALUE"""),10.0)</f>
        <v>10</v>
      </c>
      <c r="I480" s="32">
        <f>IFERROR(__xludf.DUMMYFUNCTION("""COMPUTED_VALUE"""),0.0)</f>
        <v>0</v>
      </c>
      <c r="J480" s="32">
        <f>IFERROR(__xludf.DUMMYFUNCTION("""COMPUTED_VALUE"""),0.0)</f>
        <v>0</v>
      </c>
      <c r="K480" s="32">
        <f>IFERROR(__xludf.DUMMYFUNCTION("""COMPUTED_VALUE"""),100.0)</f>
        <v>100</v>
      </c>
      <c r="L480" s="32">
        <f>IFERROR(__xludf.DUMMYFUNCTION("""COMPUTED_VALUE"""),100.0)</f>
        <v>100</v>
      </c>
      <c r="M480" s="32" t="str">
        <f>IFERROR(__xludf.DUMMYFUNCTION("""COMPUTED_VALUE"""),"Fire:Immune, Nature:100, Blood:Immune, Instant Death:Immune, Banishment:Immune, ")</f>
        <v>Fire:Immune, Nature:100, Blood:Immune, Instant Death:Immune, Banishment:Immune, </v>
      </c>
      <c r="N480" s="32" t="str">
        <f>IFERROR(__xludf.DUMMYFUNCTION("""COMPUTED_VALUE"""),"Water:100, Spirit:100, ")</f>
        <v>Water:100, Spirit:100, </v>
      </c>
      <c r="O480" s="32"/>
      <c r="P480" s="32"/>
      <c r="Q480" s="32"/>
      <c r="R480" s="32"/>
      <c r="S480" s="32"/>
      <c r="T480" s="32"/>
      <c r="U480" s="32"/>
      <c r="V480" s="32"/>
      <c r="W480" s="32"/>
      <c r="X480" s="32"/>
      <c r="Y480" s="32"/>
      <c r="Z480" s="32"/>
      <c r="AA480" s="32"/>
      <c r="AB480" s="32"/>
      <c r="AC480" s="32"/>
      <c r="AD480" s="32"/>
      <c r="AE480" s="32"/>
      <c r="AF480" s="32"/>
      <c r="AG480" s="32"/>
      <c r="AH480" s="32"/>
      <c r="AI480" s="32"/>
      <c r="AJ480" s="32" t="str">
        <f>IFERROR(__xludf.DUMMYFUNCTION("""COMPUTED_VALUE"""),"Fire Bolt")</f>
        <v>Fire Bolt</v>
      </c>
      <c r="AK480" s="32" t="str">
        <f>IFERROR(__xludf.DUMMYFUNCTION("""COMPUTED_VALUE"""),"Last Resort")</f>
        <v>Last Resort</v>
      </c>
      <c r="AL480" s="32" t="str">
        <f>IFERROR(__xludf.DUMMYFUNCTION("""COMPUTED_VALUE"""),"Flame Thrower")</f>
        <v>Flame Thrower</v>
      </c>
      <c r="AM480" s="32" t="str">
        <f>IFERROR(__xludf.DUMMYFUNCTION("""COMPUTED_VALUE"""),"Volcanic Wall")</f>
        <v>Volcanic Wall</v>
      </c>
      <c r="AN480" s="32" t="str">
        <f>IFERROR(__xludf.DUMMYFUNCTION("""COMPUTED_VALUE"""),"Flame Thrower")</f>
        <v>Flame Thrower</v>
      </c>
      <c r="AO480" s="32"/>
      <c r="AP480" s="32"/>
      <c r="AQ480" s="32"/>
      <c r="AR480" s="32"/>
      <c r="AS480" s="32"/>
      <c r="AT480" s="32"/>
      <c r="AU480" s="32"/>
      <c r="AV480" s="32"/>
      <c r="AW480" s="32"/>
      <c r="AX480" s="32"/>
      <c r="AY480" s="32"/>
      <c r="AZ480" s="32"/>
      <c r="BA480" s="32"/>
      <c r="BB480" s="32"/>
      <c r="BC480" s="32"/>
      <c r="BD480" s="32">
        <f>IFERROR(__xludf.DUMMYFUNCTION("""COMPUTED_VALUE"""),0.0)</f>
        <v>0</v>
      </c>
      <c r="BE480" s="32">
        <f>IFERROR(__xludf.DUMMYFUNCTION("""COMPUTED_VALUE"""),10.0)</f>
        <v>10</v>
      </c>
      <c r="BF480" s="32"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32" t="str">
        <f>IFERROR(__xludf.DUMMYFUNCTION("""COMPUTED_VALUE"""),"All")</f>
        <v>All</v>
      </c>
      <c r="BH480" s="32" t="str">
        <f>IFERROR(__xludf.DUMMYFUNCTION("""COMPUTED_VALUE"""),"Land of Spira")</f>
        <v>Land of Spira</v>
      </c>
      <c r="BI480" s="32"/>
      <c r="BJ480" s="32"/>
      <c r="BK480" s="32"/>
      <c r="BL480" s="32" t="b">
        <f>IFERROR(__xludf.DUMMYFUNCTION("""COMPUTED_VALUE"""),FALSE)</f>
        <v>0</v>
      </c>
      <c r="BM480" s="32"/>
      <c r="BN480" s="32"/>
      <c r="BO480" s="32"/>
      <c r="BP480" s="32"/>
      <c r="BQ480" s="32"/>
    </row>
    <row r="481">
      <c r="A481" s="32" t="str">
        <f>IFERROR(__xludf.DUMMYFUNCTION("""COMPUTED_VALUE"""),"Volcanic Elemental")</f>
        <v>Volcanic Elemental</v>
      </c>
      <c r="B481" s="32">
        <f>IFERROR(__xludf.DUMMYFUNCTION("""COMPUTED_VALUE"""),1.0)</f>
        <v>1</v>
      </c>
      <c r="C481" s="32"/>
      <c r="D481" s="32" t="str">
        <f>IFERROR(__xludf.DUMMYFUNCTION("""COMPUTED_VALUE"""),"Spirit")</f>
        <v>Spirit</v>
      </c>
      <c r="E481" s="32">
        <f>IFERROR(__xludf.DUMMYFUNCTION("""COMPUTED_VALUE"""),1010.0)</f>
        <v>1010</v>
      </c>
      <c r="F481" s="33">
        <f>IFERROR(__xludf.DUMMYFUNCTION("""COMPUTED_VALUE"""),1010.0)</f>
        <v>1010</v>
      </c>
      <c r="G481" s="32">
        <f>IFERROR(__xludf.DUMMYFUNCTION("""COMPUTED_VALUE"""),1010.0)</f>
        <v>1010</v>
      </c>
      <c r="H481" s="32">
        <f>IFERROR(__xludf.DUMMYFUNCTION("""COMPUTED_VALUE"""),10.0)</f>
        <v>10</v>
      </c>
      <c r="I481" s="32">
        <f>IFERROR(__xludf.DUMMYFUNCTION("""COMPUTED_VALUE"""),0.0)</f>
        <v>0</v>
      </c>
      <c r="J481" s="32">
        <f>IFERROR(__xludf.DUMMYFUNCTION("""COMPUTED_VALUE"""),0.0)</f>
        <v>0</v>
      </c>
      <c r="K481" s="32">
        <f>IFERROR(__xludf.DUMMYFUNCTION("""COMPUTED_VALUE"""),100.0)</f>
        <v>100</v>
      </c>
      <c r="L481" s="32">
        <f>IFERROR(__xludf.DUMMYFUNCTION("""COMPUTED_VALUE"""),100.0)</f>
        <v>100</v>
      </c>
      <c r="M481" s="32" t="str">
        <f>IFERROR(__xludf.DUMMYFUNCTION("""COMPUTED_VALUE"""),"Fire:Immune, Nature:500, Blood:Immune, Instant Death:Immune, ")</f>
        <v>Fire:Immune, Nature:500, Blood:Immune, Instant Death:Immune, </v>
      </c>
      <c r="N481" s="32" t="str">
        <f>IFERROR(__xludf.DUMMYFUNCTION("""COMPUTED_VALUE"""),"Water:50, Spirit:50, ")</f>
        <v>Water:50, Spirit:50, </v>
      </c>
      <c r="O481" s="32"/>
      <c r="P481" s="32"/>
      <c r="Q481" s="32"/>
      <c r="R481" s="32"/>
      <c r="S481" s="32"/>
      <c r="T481" s="32"/>
      <c r="U481" s="32"/>
      <c r="V481" s="32"/>
      <c r="W481" s="32"/>
      <c r="X481" s="32"/>
      <c r="Y481" s="32"/>
      <c r="Z481" s="32"/>
      <c r="AA481" s="32"/>
      <c r="AB481" s="32"/>
      <c r="AC481" s="32"/>
      <c r="AD481" s="32"/>
      <c r="AE481" s="32"/>
      <c r="AF481" s="32"/>
      <c r="AG481" s="32"/>
      <c r="AH481" s="32"/>
      <c r="AI481" s="32"/>
      <c r="AJ481" s="32" t="str">
        <f>IFERROR(__xludf.DUMMYFUNCTION("""COMPUTED_VALUE"""),"Forgotten Fire")</f>
        <v>Forgotten Fire</v>
      </c>
      <c r="AK481" s="32" t="str">
        <f>IFERROR(__xludf.DUMMYFUNCTION("""COMPUTED_VALUE"""),"Ignite")</f>
        <v>Ignite</v>
      </c>
      <c r="AL481" s="32" t="str">
        <f>IFERROR(__xludf.DUMMYFUNCTION("""COMPUTED_VALUE"""),"Last Resort")</f>
        <v>Last Resort</v>
      </c>
      <c r="AM481" s="32" t="str">
        <f>IFERROR(__xludf.DUMMYFUNCTION("""COMPUTED_VALUE"""),"Flame Sanctuary")</f>
        <v>Flame Sanctuary</v>
      </c>
      <c r="AN481" s="32" t="str">
        <f>IFERROR(__xludf.DUMMYFUNCTION("""COMPUTED_VALUE"""),"Meteor Shower")</f>
        <v>Meteor Shower</v>
      </c>
      <c r="AO481" s="32" t="str">
        <f>IFERROR(__xludf.DUMMYFUNCTION("""COMPUTED_VALUE"""),"Volcanic Rain")</f>
        <v>Volcanic Rain</v>
      </c>
      <c r="AP481" s="32" t="str">
        <f>IFERROR(__xludf.DUMMYFUNCTION("""COMPUTED_VALUE"""),"Volcanic Wall")</f>
        <v>Volcanic Wall</v>
      </c>
      <c r="AQ481" s="32" t="str">
        <f>IFERROR(__xludf.DUMMYFUNCTION("""COMPUTED_VALUE"""),"Mass Ignition")</f>
        <v>Mass Ignition</v>
      </c>
      <c r="AR481" s="32" t="str">
        <f>IFERROR(__xludf.DUMMYFUNCTION("""COMPUTED_VALUE"""),"Multishot")</f>
        <v>Multishot</v>
      </c>
      <c r="AS481" s="32"/>
      <c r="AT481" s="32"/>
      <c r="AU481" s="32"/>
      <c r="AV481" s="32"/>
      <c r="AW481" s="32"/>
      <c r="AX481" s="32"/>
      <c r="AY481" s="32"/>
      <c r="AZ481" s="32"/>
      <c r="BA481" s="32"/>
      <c r="BB481" s="32"/>
      <c r="BC481" s="32"/>
      <c r="BD481" s="32">
        <f>IFERROR(__xludf.DUMMYFUNCTION("""COMPUTED_VALUE"""),0.0)</f>
        <v>0</v>
      </c>
      <c r="BE481" s="32">
        <f>IFERROR(__xludf.DUMMYFUNCTION("""COMPUTED_VALUE"""),10.0)</f>
        <v>10</v>
      </c>
      <c r="BF481" s="32"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32" t="str">
        <f>IFERROR(__xludf.DUMMYFUNCTION("""COMPUTED_VALUE"""),"All")</f>
        <v>All</v>
      </c>
      <c r="BH481" s="32" t="str">
        <f>IFERROR(__xludf.DUMMYFUNCTION("""COMPUTED_VALUE"""),"Dragonscale Island")</f>
        <v>Dragonscale Island</v>
      </c>
      <c r="BI481" s="32"/>
      <c r="BJ481" s="32"/>
      <c r="BK481" s="32"/>
      <c r="BL481" s="32" t="b">
        <f>IFERROR(__xludf.DUMMYFUNCTION("""COMPUTED_VALUE"""),FALSE)</f>
        <v>0</v>
      </c>
      <c r="BM481" s="32"/>
      <c r="BN481" s="32"/>
      <c r="BO481" s="32"/>
      <c r="BP481" s="32"/>
      <c r="BQ481" s="32"/>
    </row>
    <row r="482">
      <c r="A482" s="32" t="str">
        <f>IFERROR(__xludf.DUMMYFUNCTION("""COMPUTED_VALUE"""),"Ancient Fire Elemental")</f>
        <v>Ancient Fire Elemental</v>
      </c>
      <c r="B482" s="32">
        <f>IFERROR(__xludf.DUMMYFUNCTION("""COMPUTED_VALUE"""),1.0)</f>
        <v>1</v>
      </c>
      <c r="C482" s="32"/>
      <c r="D482" s="32" t="str">
        <f>IFERROR(__xludf.DUMMYFUNCTION("""COMPUTED_VALUE"""),"Spirit")</f>
        <v>Spirit</v>
      </c>
      <c r="E482" s="32">
        <f>IFERROR(__xludf.DUMMYFUNCTION("""COMPUTED_VALUE"""),1010.0)</f>
        <v>1010</v>
      </c>
      <c r="F482" s="33">
        <f>IFERROR(__xludf.DUMMYFUNCTION("""COMPUTED_VALUE"""),1010.0)</f>
        <v>1010</v>
      </c>
      <c r="G482" s="32">
        <f>IFERROR(__xludf.DUMMYFUNCTION("""COMPUTED_VALUE"""),1010.0)</f>
        <v>1010</v>
      </c>
      <c r="H482" s="32">
        <f>IFERROR(__xludf.DUMMYFUNCTION("""COMPUTED_VALUE"""),10.0)</f>
        <v>10</v>
      </c>
      <c r="I482" s="32">
        <f>IFERROR(__xludf.DUMMYFUNCTION("""COMPUTED_VALUE"""),0.0)</f>
        <v>0</v>
      </c>
      <c r="J482" s="32">
        <f>IFERROR(__xludf.DUMMYFUNCTION("""COMPUTED_VALUE"""),25.0)</f>
        <v>25</v>
      </c>
      <c r="K482" s="32">
        <f>IFERROR(__xludf.DUMMYFUNCTION("""COMPUTED_VALUE"""),100.0)</f>
        <v>100</v>
      </c>
      <c r="L482" s="32">
        <f>IFERROR(__xludf.DUMMYFUNCTION("""COMPUTED_VALUE"""),100.0)</f>
        <v>100</v>
      </c>
      <c r="M482" s="32" t="str">
        <f>IFERROR(__xludf.DUMMYFUNCTION("""COMPUTED_VALUE"""),"Fire:Immune, Nature:Immune, Blood:Immune, Instant Death:Immune, Banishment:Immune, ")</f>
        <v>Fire:Immune, Nature:Immune, Blood:Immune, Instant Death:Immune, Banishment:Immune, </v>
      </c>
      <c r="N482" s="32" t="str">
        <f>IFERROR(__xludf.DUMMYFUNCTION("""COMPUTED_VALUE"""),"Water:50, Spirit:50, ")</f>
        <v>Water:50, Spirit:50, </v>
      </c>
      <c r="O482" s="32"/>
      <c r="P482" s="32"/>
      <c r="Q482" s="32"/>
      <c r="R482" s="32"/>
      <c r="S482" s="32"/>
      <c r="T482" s="32"/>
      <c r="U482" s="32"/>
      <c r="V482" s="32"/>
      <c r="W482" s="32"/>
      <c r="X482" s="32"/>
      <c r="Y482" s="32"/>
      <c r="Z482" s="32"/>
      <c r="AA482" s="32"/>
      <c r="AB482" s="32"/>
      <c r="AC482" s="32"/>
      <c r="AD482" s="32"/>
      <c r="AE482" s="32"/>
      <c r="AF482" s="32"/>
      <c r="AG482" s="32"/>
      <c r="AH482" s="32"/>
      <c r="AI482" s="32"/>
      <c r="AJ482" s="32" t="str">
        <f>IFERROR(__xludf.DUMMYFUNCTION("""COMPUTED_VALUE"""),"Forgotten Fire")</f>
        <v>Forgotten Fire</v>
      </c>
      <c r="AK482" s="32" t="str">
        <f>IFERROR(__xludf.DUMMYFUNCTION("""COMPUTED_VALUE"""),"Ignite")</f>
        <v>Ignite</v>
      </c>
      <c r="AL482" s="32" t="str">
        <f>IFERROR(__xludf.DUMMYFUNCTION("""COMPUTED_VALUE"""),"Meteor Shower")</f>
        <v>Meteor Shower</v>
      </c>
      <c r="AM482" s="32" t="str">
        <f>IFERROR(__xludf.DUMMYFUNCTION("""COMPUTED_VALUE"""),"Solar Storm")</f>
        <v>Solar Storm</v>
      </c>
      <c r="AN482" s="32" t="str">
        <f>IFERROR(__xludf.DUMMYFUNCTION("""COMPUTED_VALUE"""),"Flame Sanctuary")</f>
        <v>Flame Sanctuary</v>
      </c>
      <c r="AO482" s="32" t="str">
        <f>IFERROR(__xludf.DUMMYFUNCTION("""COMPUTED_VALUE"""),"Mass Ignition")</f>
        <v>Mass Ignition</v>
      </c>
      <c r="AP482" s="32" t="str">
        <f>IFERROR(__xludf.DUMMYFUNCTION("""COMPUTED_VALUE"""),"Volcanic Rain")</f>
        <v>Volcanic Rain</v>
      </c>
      <c r="AQ482" s="32" t="str">
        <f>IFERROR(__xludf.DUMMYFUNCTION("""COMPUTED_VALUE"""),"Volcanic Wall")</f>
        <v>Volcanic Wall</v>
      </c>
      <c r="AR482" s="32" t="str">
        <f>IFERROR(__xludf.DUMMYFUNCTION("""COMPUTED_VALUE"""),"Meltdown")</f>
        <v>Meltdown</v>
      </c>
      <c r="AS482" s="32" t="str">
        <f>IFERROR(__xludf.DUMMYFUNCTION("""COMPUTED_VALUE"""),"Multishot")</f>
        <v>Multishot</v>
      </c>
      <c r="AT482" s="32" t="str">
        <f>IFERROR(__xludf.DUMMYFUNCTION("""COMPUTED_VALUE"""),"Chaincast")</f>
        <v>Chaincast</v>
      </c>
      <c r="AU482" s="32"/>
      <c r="AV482" s="32"/>
      <c r="AW482" s="32"/>
      <c r="AX482" s="32"/>
      <c r="AY482" s="32"/>
      <c r="AZ482" s="32"/>
      <c r="BA482" s="32"/>
      <c r="BB482" s="32"/>
      <c r="BC482" s="32"/>
      <c r="BD482" s="32">
        <f>IFERROR(__xludf.DUMMYFUNCTION("""COMPUTED_VALUE"""),0.0)</f>
        <v>0</v>
      </c>
      <c r="BE482" s="32">
        <f>IFERROR(__xludf.DUMMYFUNCTION("""COMPUTED_VALUE"""),10.0)</f>
        <v>10</v>
      </c>
      <c r="BF482" s="32"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32" t="str">
        <f>IFERROR(__xludf.DUMMYFUNCTION("""COMPUTED_VALUE"""),"Dungeon")</f>
        <v>Dungeon</v>
      </c>
      <c r="BH482" s="32" t="str">
        <f>IFERROR(__xludf.DUMMYFUNCTION("""COMPUTED_VALUE"""),"Land of Spira")</f>
        <v>Land of Spira</v>
      </c>
      <c r="BI482" s="32"/>
      <c r="BJ482" s="32"/>
      <c r="BK482" s="32"/>
      <c r="BL482" s="32" t="b">
        <f>IFERROR(__xludf.DUMMYFUNCTION("""COMPUTED_VALUE"""),FALSE)</f>
        <v>0</v>
      </c>
      <c r="BM482" s="32"/>
      <c r="BN482" s="32"/>
      <c r="BO482" s="32"/>
      <c r="BP482" s="32"/>
      <c r="BQ482" s="32"/>
    </row>
    <row r="483">
      <c r="A483" s="32" t="str">
        <f>IFERROR(__xludf.DUMMYFUNCTION("""COMPUTED_VALUE"""),"Nature Elemental")</f>
        <v>Nature Elemental</v>
      </c>
      <c r="B483" s="32">
        <f>IFERROR(__xludf.DUMMYFUNCTION("""COMPUTED_VALUE"""),1.0)</f>
        <v>1</v>
      </c>
      <c r="C483" s="32"/>
      <c r="D483" s="32" t="str">
        <f>IFERROR(__xludf.DUMMYFUNCTION("""COMPUTED_VALUE"""),"Spirit")</f>
        <v>Spirit</v>
      </c>
      <c r="E483" s="32">
        <f>IFERROR(__xludf.DUMMYFUNCTION("""COMPUTED_VALUE"""),1010.0)</f>
        <v>1010</v>
      </c>
      <c r="F483" s="33">
        <f>IFERROR(__xludf.DUMMYFUNCTION("""COMPUTED_VALUE"""),1010.0)</f>
        <v>1010</v>
      </c>
      <c r="G483" s="32">
        <f>IFERROR(__xludf.DUMMYFUNCTION("""COMPUTED_VALUE"""),1010.0)</f>
        <v>1010</v>
      </c>
      <c r="H483" s="32">
        <f>IFERROR(__xludf.DUMMYFUNCTION("""COMPUTED_VALUE"""),10.0)</f>
        <v>10</v>
      </c>
      <c r="I483" s="32">
        <f>IFERROR(__xludf.DUMMYFUNCTION("""COMPUTED_VALUE"""),0.0)</f>
        <v>0</v>
      </c>
      <c r="J483" s="32">
        <f>IFERROR(__xludf.DUMMYFUNCTION("""COMPUTED_VALUE"""),0.0)</f>
        <v>0</v>
      </c>
      <c r="K483" s="32">
        <f>IFERROR(__xludf.DUMMYFUNCTION("""COMPUTED_VALUE"""),100.0)</f>
        <v>100</v>
      </c>
      <c r="L483" s="32">
        <f>IFERROR(__xludf.DUMMYFUNCTION("""COMPUTED_VALUE"""),100.0)</f>
        <v>100</v>
      </c>
      <c r="M483" s="32" t="str">
        <f>IFERROR(__xludf.DUMMYFUNCTION("""COMPUTED_VALUE"""),"Water:Immune, Nature:Immune, Blood:Immune, Instant Death:Immune, ")</f>
        <v>Water:Immune, Nature:Immune, Blood:Immune, Instant Death:Immune, </v>
      </c>
      <c r="N483" s="32" t="str">
        <f>IFERROR(__xludf.DUMMYFUNCTION("""COMPUTED_VALUE"""),"Fire:150, Storm:150, Spirit:150, ")</f>
        <v>Fire:150, Storm:150, Spirit:150, </v>
      </c>
      <c r="O483" s="32"/>
      <c r="P483" s="32"/>
      <c r="Q483" s="32"/>
      <c r="R483" s="32"/>
      <c r="S483" s="32"/>
      <c r="T483" s="32"/>
      <c r="U483" s="32"/>
      <c r="V483" s="32"/>
      <c r="W483" s="32"/>
      <c r="X483" s="32"/>
      <c r="Y483" s="32"/>
      <c r="Z483" s="32"/>
      <c r="AA483" s="32"/>
      <c r="AB483" s="32"/>
      <c r="AC483" s="32"/>
      <c r="AD483" s="32"/>
      <c r="AE483" s="32"/>
      <c r="AF483" s="32"/>
      <c r="AG483" s="32"/>
      <c r="AH483" s="32"/>
      <c r="AI483" s="32"/>
      <c r="AJ483" s="32" t="str">
        <f>IFERROR(__xludf.DUMMYFUNCTION("""COMPUTED_VALUE"""),"Vine Whip")</f>
        <v>Vine Whip</v>
      </c>
      <c r="AK483" s="32" t="str">
        <f>IFERROR(__xludf.DUMMYFUNCTION("""COMPUTED_VALUE"""),"Poison Ivy")</f>
        <v>Poison Ivy</v>
      </c>
      <c r="AL483" s="32" t="str">
        <f>IFERROR(__xludf.DUMMYFUNCTION("""COMPUTED_VALUE"""),"Razor Leaves")</f>
        <v>Razor Leaves</v>
      </c>
      <c r="AM483" s="32" t="str">
        <f>IFERROR(__xludf.DUMMYFUNCTION("""COMPUTED_VALUE"""),"Thorn Bush")</f>
        <v>Thorn Bush</v>
      </c>
      <c r="AN483" s="32" t="str">
        <f>IFERROR(__xludf.DUMMYFUNCTION("""COMPUTED_VALUE"""),"Tree Stance")</f>
        <v>Tree Stance</v>
      </c>
      <c r="AO483" s="32" t="str">
        <f>IFERROR(__xludf.DUMMYFUNCTION("""COMPUTED_VALUE"""),"Tower Of The Forest")</f>
        <v>Tower Of The Forest</v>
      </c>
      <c r="AP483" s="32" t="str">
        <f>IFERROR(__xludf.DUMMYFUNCTION("""COMPUTED_VALUE"""),"Cocoon")</f>
        <v>Cocoon</v>
      </c>
      <c r="AQ483" s="32" t="str">
        <f>IFERROR(__xludf.DUMMYFUNCTION("""COMPUTED_VALUE"""),"Nature's Light")</f>
        <v>Nature's Light</v>
      </c>
      <c r="AR483" s="32" t="str">
        <f>IFERROR(__xludf.DUMMYFUNCTION("""COMPUTED_VALUE"""),"Soul Shot")</f>
        <v>Soul Shot</v>
      </c>
      <c r="AS483" s="32" t="str">
        <f>IFERROR(__xludf.DUMMYFUNCTION("""COMPUTED_VALUE"""),"Dread")</f>
        <v>Dread</v>
      </c>
      <c r="AT483" s="32" t="str">
        <f>IFERROR(__xludf.DUMMYFUNCTION("""COMPUTED_VALUE"""),"Spirit Fog")</f>
        <v>Spirit Fog</v>
      </c>
      <c r="AU483" s="32" t="str">
        <f>IFERROR(__xludf.DUMMYFUNCTION("""COMPUTED_VALUE"""),"Burning Dread")</f>
        <v>Burning Dread</v>
      </c>
      <c r="AV483" s="32" t="str">
        <f>IFERROR(__xludf.DUMMYFUNCTION("""COMPUTED_VALUE"""),"Spectral Lash")</f>
        <v>Spectral Lash</v>
      </c>
      <c r="AW483" s="32" t="str">
        <f>IFERROR(__xludf.DUMMYFUNCTION("""COMPUTED_VALUE"""),"Incorporeal Form")</f>
        <v>Incorporeal Form</v>
      </c>
      <c r="AX483" s="32"/>
      <c r="AY483" s="32"/>
      <c r="AZ483" s="32"/>
      <c r="BA483" s="32"/>
      <c r="BB483" s="32"/>
      <c r="BC483" s="32"/>
      <c r="BD483" s="32">
        <f>IFERROR(__xludf.DUMMYFUNCTION("""COMPUTED_VALUE"""),0.0)</f>
        <v>0</v>
      </c>
      <c r="BE483" s="32">
        <f>IFERROR(__xludf.DUMMYFUNCTION("""COMPUTED_VALUE"""),10.0)</f>
        <v>10</v>
      </c>
      <c r="BF483" s="32" t="str">
        <f>IFERROR(__xludf.DUMMYFUNCTION("""COMPUTED_VALUE"""),"Nature Elemental: X6 Nature damage
10% chance to stun any enemy that attacks this mob for 2 rounds.")</f>
        <v>Nature Elemental: X6 Nature damage
10% chance to stun any enemy that attacks this mob for 2 rounds.</v>
      </c>
      <c r="BG483" s="32" t="str">
        <f>IFERROR(__xludf.DUMMYFUNCTION("""COMPUTED_VALUE"""),"All")</f>
        <v>All</v>
      </c>
      <c r="BH483" s="32" t="str">
        <f>IFERROR(__xludf.DUMMYFUNCTION("""COMPUTED_VALUE"""),"Land of Spira")</f>
        <v>Land of Spira</v>
      </c>
      <c r="BI483" s="32"/>
      <c r="BJ483" s="32"/>
      <c r="BK483" s="32"/>
      <c r="BL483" s="32" t="b">
        <f>IFERROR(__xludf.DUMMYFUNCTION("""COMPUTED_VALUE"""),FALSE)</f>
        <v>0</v>
      </c>
      <c r="BM483" s="32"/>
      <c r="BN483" s="32"/>
      <c r="BO483" s="32"/>
      <c r="BP483" s="32"/>
      <c r="BQ483" s="32"/>
    </row>
    <row r="484">
      <c r="A484" s="32" t="str">
        <f>IFERROR(__xludf.DUMMYFUNCTION("""COMPUTED_VALUE"""),"Forest Elemental")</f>
        <v>Forest Elemental</v>
      </c>
      <c r="B484" s="32">
        <f>IFERROR(__xludf.DUMMYFUNCTION("""COMPUTED_VALUE"""),1.0)</f>
        <v>1</v>
      </c>
      <c r="C484" s="32"/>
      <c r="D484" s="32" t="str">
        <f>IFERROR(__xludf.DUMMYFUNCTION("""COMPUTED_VALUE"""),"Spirit")</f>
        <v>Spirit</v>
      </c>
      <c r="E484" s="32">
        <f>IFERROR(__xludf.DUMMYFUNCTION("""COMPUTED_VALUE"""),1010.0)</f>
        <v>1010</v>
      </c>
      <c r="F484" s="33">
        <f>IFERROR(__xludf.DUMMYFUNCTION("""COMPUTED_VALUE"""),1010.0)</f>
        <v>1010</v>
      </c>
      <c r="G484" s="32">
        <f>IFERROR(__xludf.DUMMYFUNCTION("""COMPUTED_VALUE"""),1010.0)</f>
        <v>1010</v>
      </c>
      <c r="H484" s="32">
        <f>IFERROR(__xludf.DUMMYFUNCTION("""COMPUTED_VALUE"""),10.0)</f>
        <v>10</v>
      </c>
      <c r="I484" s="32">
        <f>IFERROR(__xludf.DUMMYFUNCTION("""COMPUTED_VALUE"""),0.0)</f>
        <v>0</v>
      </c>
      <c r="J484" s="32">
        <f>IFERROR(__xludf.DUMMYFUNCTION("""COMPUTED_VALUE"""),0.0)</f>
        <v>0</v>
      </c>
      <c r="K484" s="32">
        <f>IFERROR(__xludf.DUMMYFUNCTION("""COMPUTED_VALUE"""),100.0)</f>
        <v>100</v>
      </c>
      <c r="L484" s="32">
        <f>IFERROR(__xludf.DUMMYFUNCTION("""COMPUTED_VALUE"""),100.0)</f>
        <v>100</v>
      </c>
      <c r="M484" s="32" t="str">
        <f>IFERROR(__xludf.DUMMYFUNCTION("""COMPUTED_VALUE"""),"Water:Immune, Nature:Immune, Blood:Immune, Instant Death:Immune, ")</f>
        <v>Water:Immune, Nature:Immune, Blood:Immune, Instant Death:Immune, </v>
      </c>
      <c r="N484" s="32" t="str">
        <f>IFERROR(__xludf.DUMMYFUNCTION("""COMPUTED_VALUE"""),"Fire:100, Storm:100, Spirit:100, ")</f>
        <v>Fire:100, Storm:100, Spirit:100, </v>
      </c>
      <c r="O484" s="32"/>
      <c r="P484" s="32"/>
      <c r="Q484" s="32"/>
      <c r="R484" s="32"/>
      <c r="S484" s="32"/>
      <c r="T484" s="32"/>
      <c r="U484" s="32"/>
      <c r="V484" s="32"/>
      <c r="W484" s="32"/>
      <c r="X484" s="32"/>
      <c r="Y484" s="32"/>
      <c r="Z484" s="32"/>
      <c r="AA484" s="32"/>
      <c r="AB484" s="32"/>
      <c r="AC484" s="32"/>
      <c r="AD484" s="32"/>
      <c r="AE484" s="32"/>
      <c r="AF484" s="32"/>
      <c r="AG484" s="32"/>
      <c r="AH484" s="32"/>
      <c r="AI484" s="32"/>
      <c r="AJ484" s="32" t="str">
        <f>IFERROR(__xludf.DUMMYFUNCTION("""COMPUTED_VALUE"""),"Vine Whip")</f>
        <v>Vine Whip</v>
      </c>
      <c r="AK484" s="32" t="str">
        <f>IFERROR(__xludf.DUMMYFUNCTION("""COMPUTED_VALUE"""),"Poison Ivy")</f>
        <v>Poison Ivy</v>
      </c>
      <c r="AL484" s="32" t="str">
        <f>IFERROR(__xludf.DUMMYFUNCTION("""COMPUTED_VALUE"""),"Razor Leaves")</f>
        <v>Razor Leaves</v>
      </c>
      <c r="AM484" s="32" t="str">
        <f>IFERROR(__xludf.DUMMYFUNCTION("""COMPUTED_VALUE"""),"Thorn Bush")</f>
        <v>Thorn Bush</v>
      </c>
      <c r="AN484" s="32" t="str">
        <f>IFERROR(__xludf.DUMMYFUNCTION("""COMPUTED_VALUE"""),"Tree Stance")</f>
        <v>Tree Stance</v>
      </c>
      <c r="AO484" s="32" t="str">
        <f>IFERROR(__xludf.DUMMYFUNCTION("""COMPUTED_VALUE"""),"Tower Of The Forest")</f>
        <v>Tower Of The Forest</v>
      </c>
      <c r="AP484" s="32" t="str">
        <f>IFERROR(__xludf.DUMMYFUNCTION("""COMPUTED_VALUE"""),"Cocoon")</f>
        <v>Cocoon</v>
      </c>
      <c r="AQ484" s="32" t="str">
        <f>IFERROR(__xludf.DUMMYFUNCTION("""COMPUTED_VALUE"""),"Nature's Light")</f>
        <v>Nature's Light</v>
      </c>
      <c r="AR484" s="32" t="str">
        <f>IFERROR(__xludf.DUMMYFUNCTION("""COMPUTED_VALUE"""),"Nature Ward")</f>
        <v>Nature Ward</v>
      </c>
      <c r="AS484" s="32" t="str">
        <f>IFERROR(__xludf.DUMMYFUNCTION("""COMPUTED_VALUE"""),"Soul Shot")</f>
        <v>Soul Shot</v>
      </c>
      <c r="AT484" s="32" t="str">
        <f>IFERROR(__xludf.DUMMYFUNCTION("""COMPUTED_VALUE"""),"Dread")</f>
        <v>Dread</v>
      </c>
      <c r="AU484" s="32" t="str">
        <f>IFERROR(__xludf.DUMMYFUNCTION("""COMPUTED_VALUE"""),"Spirit Fog")</f>
        <v>Spirit Fog</v>
      </c>
      <c r="AV484" s="32" t="str">
        <f>IFERROR(__xludf.DUMMYFUNCTION("""COMPUTED_VALUE"""),"Burning Dread")</f>
        <v>Burning Dread</v>
      </c>
      <c r="AW484" s="32" t="str">
        <f>IFERROR(__xludf.DUMMYFUNCTION("""COMPUTED_VALUE"""),"Spectral Lash")</f>
        <v>Spectral Lash</v>
      </c>
      <c r="AX484" s="32" t="str">
        <f>IFERROR(__xludf.DUMMYFUNCTION("""COMPUTED_VALUE"""),"Incorporeal Form")</f>
        <v>Incorporeal Form</v>
      </c>
      <c r="AY484" s="32" t="str">
        <f>IFERROR(__xludf.DUMMYFUNCTION("""COMPUTED_VALUE"""),"Multishot")</f>
        <v>Multishot</v>
      </c>
      <c r="AZ484" s="32" t="str">
        <f>IFERROR(__xludf.DUMMYFUNCTION("""COMPUTED_VALUE"""),"Mass Destruction")</f>
        <v>Mass Destruction</v>
      </c>
      <c r="BA484" s="32"/>
      <c r="BB484" s="32"/>
      <c r="BC484" s="32"/>
      <c r="BD484" s="32">
        <f>IFERROR(__xludf.DUMMYFUNCTION("""COMPUTED_VALUE"""),0.0)</f>
        <v>0</v>
      </c>
      <c r="BE484" s="32">
        <f>IFERROR(__xludf.DUMMYFUNCTION("""COMPUTED_VALUE"""),10.0)</f>
        <v>10</v>
      </c>
      <c r="BF484" s="32"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32" t="str">
        <f>IFERROR(__xludf.DUMMYFUNCTION("""COMPUTED_VALUE"""),"All")</f>
        <v>All</v>
      </c>
      <c r="BH484" s="32" t="str">
        <f>IFERROR(__xludf.DUMMYFUNCTION("""COMPUTED_VALUE"""),"Dragonscale Island")</f>
        <v>Dragonscale Island</v>
      </c>
      <c r="BI484" s="32"/>
      <c r="BJ484" s="32"/>
      <c r="BK484" s="32"/>
      <c r="BL484" s="32" t="b">
        <f>IFERROR(__xludf.DUMMYFUNCTION("""COMPUTED_VALUE"""),FALSE)</f>
        <v>0</v>
      </c>
      <c r="BM484" s="32"/>
      <c r="BN484" s="32"/>
      <c r="BO484" s="32"/>
      <c r="BP484" s="32"/>
      <c r="BQ484" s="32"/>
    </row>
    <row r="485">
      <c r="A485" s="32" t="str">
        <f>IFERROR(__xludf.DUMMYFUNCTION("""COMPUTED_VALUE"""),"Ancient Nature Elemental")</f>
        <v>Ancient Nature Elemental</v>
      </c>
      <c r="B485" s="32">
        <f>IFERROR(__xludf.DUMMYFUNCTION("""COMPUTED_VALUE"""),1.0)</f>
        <v>1</v>
      </c>
      <c r="C485" s="32"/>
      <c r="D485" s="32" t="str">
        <f>IFERROR(__xludf.DUMMYFUNCTION("""COMPUTED_VALUE"""),"Spirit")</f>
        <v>Spirit</v>
      </c>
      <c r="E485" s="32">
        <f>IFERROR(__xludf.DUMMYFUNCTION("""COMPUTED_VALUE"""),1010.0)</f>
        <v>1010</v>
      </c>
      <c r="F485" s="33">
        <f>IFERROR(__xludf.DUMMYFUNCTION("""COMPUTED_VALUE"""),1010.0)</f>
        <v>1010</v>
      </c>
      <c r="G485" s="32">
        <f>IFERROR(__xludf.DUMMYFUNCTION("""COMPUTED_VALUE"""),1010.0)</f>
        <v>1010</v>
      </c>
      <c r="H485" s="32">
        <f>IFERROR(__xludf.DUMMYFUNCTION("""COMPUTED_VALUE"""),10.0)</f>
        <v>10</v>
      </c>
      <c r="I485" s="32">
        <f>IFERROR(__xludf.DUMMYFUNCTION("""COMPUTED_VALUE"""),0.0)</f>
        <v>0</v>
      </c>
      <c r="J485" s="32">
        <f>IFERROR(__xludf.DUMMYFUNCTION("""COMPUTED_VALUE"""),25.0)</f>
        <v>25</v>
      </c>
      <c r="K485" s="32">
        <f>IFERROR(__xludf.DUMMYFUNCTION("""COMPUTED_VALUE"""),100.0)</f>
        <v>100</v>
      </c>
      <c r="L485" s="32">
        <f>IFERROR(__xludf.DUMMYFUNCTION("""COMPUTED_VALUE"""),100.0)</f>
        <v>100</v>
      </c>
      <c r="M485" s="32" t="str">
        <f>IFERROR(__xludf.DUMMYFUNCTION("""COMPUTED_VALUE"""),"Water:Immune, Nature:Immune, Blood:Immune, Instant Death:Immune, Banishment:Immune, ")</f>
        <v>Water:Immune, Nature:Immune, Blood:Immune, Instant Death:Immune, Banishment:Immune, </v>
      </c>
      <c r="N485" s="32" t="str">
        <f>IFERROR(__xludf.DUMMYFUNCTION("""COMPUTED_VALUE"""),"Fire:50, Storm:50, Spirit:50, ")</f>
        <v>Fire:50, Storm:50, Spirit:50, </v>
      </c>
      <c r="O485" s="32"/>
      <c r="P485" s="32"/>
      <c r="Q485" s="32"/>
      <c r="R485" s="32"/>
      <c r="S485" s="32"/>
      <c r="T485" s="32"/>
      <c r="U485" s="32"/>
      <c r="V485" s="32"/>
      <c r="W485" s="32"/>
      <c r="X485" s="32"/>
      <c r="Y485" s="32"/>
      <c r="Z485" s="32"/>
      <c r="AA485" s="32"/>
      <c r="AB485" s="32"/>
      <c r="AC485" s="32"/>
      <c r="AD485" s="32"/>
      <c r="AE485" s="32"/>
      <c r="AF485" s="32"/>
      <c r="AG485" s="32"/>
      <c r="AH485" s="32"/>
      <c r="AI485" s="32"/>
      <c r="AJ485" s="32" t="str">
        <f>IFERROR(__xludf.DUMMYFUNCTION("""COMPUTED_VALUE"""),"Vine Whip")</f>
        <v>Vine Whip</v>
      </c>
      <c r="AK485" s="32" t="str">
        <f>IFERROR(__xludf.DUMMYFUNCTION("""COMPUTED_VALUE"""),"Poison Ivy")</f>
        <v>Poison Ivy</v>
      </c>
      <c r="AL485" s="32" t="str">
        <f>IFERROR(__xludf.DUMMYFUNCTION("""COMPUTED_VALUE"""),"Razor Leaves")</f>
        <v>Razor Leaves</v>
      </c>
      <c r="AM485" s="32" t="str">
        <f>IFERROR(__xludf.DUMMYFUNCTION("""COMPUTED_VALUE"""),"Thorn Bush")</f>
        <v>Thorn Bush</v>
      </c>
      <c r="AN485" s="32" t="str">
        <f>IFERROR(__xludf.DUMMYFUNCTION("""COMPUTED_VALUE"""),"Tower Of The Forest")</f>
        <v>Tower Of The Forest</v>
      </c>
      <c r="AO485" s="32" t="str">
        <f>IFERROR(__xludf.DUMMYFUNCTION("""COMPUTED_VALUE"""),"Cocoon")</f>
        <v>Cocoon</v>
      </c>
      <c r="AP485" s="32" t="str">
        <f>IFERROR(__xludf.DUMMYFUNCTION("""COMPUTED_VALUE"""),"Nature's Light")</f>
        <v>Nature's Light</v>
      </c>
      <c r="AQ485" s="32" t="str">
        <f>IFERROR(__xludf.DUMMYFUNCTION("""COMPUTED_VALUE"""),"Nature's Wrath")</f>
        <v>Nature's Wrath</v>
      </c>
      <c r="AR485" s="32" t="str">
        <f>IFERROR(__xludf.DUMMYFUNCTION("""COMPUTED_VALUE"""),"Cancel")</f>
        <v>Cancel</v>
      </c>
      <c r="AS485" s="32" t="str">
        <f>IFERROR(__xludf.DUMMYFUNCTION("""COMPUTED_VALUE"""),"Nature Ward")</f>
        <v>Nature Ward</v>
      </c>
      <c r="AT485" s="32" t="str">
        <f>IFERROR(__xludf.DUMMYFUNCTION("""COMPUTED_VALUE"""),"Soul Shot")</f>
        <v>Soul Shot</v>
      </c>
      <c r="AU485" s="32" t="str">
        <f>IFERROR(__xludf.DUMMYFUNCTION("""COMPUTED_VALUE"""),"Dread")</f>
        <v>Dread</v>
      </c>
      <c r="AV485" s="32" t="str">
        <f>IFERROR(__xludf.DUMMYFUNCTION("""COMPUTED_VALUE"""),"Spirit Fog")</f>
        <v>Spirit Fog</v>
      </c>
      <c r="AW485" s="32" t="str">
        <f>IFERROR(__xludf.DUMMYFUNCTION("""COMPUTED_VALUE"""),"Burning Dread")</f>
        <v>Burning Dread</v>
      </c>
      <c r="AX485" s="32" t="str">
        <f>IFERROR(__xludf.DUMMYFUNCTION("""COMPUTED_VALUE"""),"Spectral Lash")</f>
        <v>Spectral Lash</v>
      </c>
      <c r="AY485" s="32" t="str">
        <f>IFERROR(__xludf.DUMMYFUNCTION("""COMPUTED_VALUE"""),"Incorporeal Form")</f>
        <v>Incorporeal Form</v>
      </c>
      <c r="AZ485" s="32" t="str">
        <f>IFERROR(__xludf.DUMMYFUNCTION("""COMPUTED_VALUE"""),"Multishot")</f>
        <v>Multishot</v>
      </c>
      <c r="BA485" s="32" t="str">
        <f>IFERROR(__xludf.DUMMYFUNCTION("""COMPUTED_VALUE"""),"Mass Destruction")</f>
        <v>Mass Destruction</v>
      </c>
      <c r="BB485" s="32"/>
      <c r="BC485" s="32"/>
      <c r="BD485" s="32">
        <f>IFERROR(__xludf.DUMMYFUNCTION("""COMPUTED_VALUE"""),0.0)</f>
        <v>0</v>
      </c>
      <c r="BE485" s="32">
        <f>IFERROR(__xludf.DUMMYFUNCTION("""COMPUTED_VALUE"""),10.0)</f>
        <v>10</v>
      </c>
      <c r="BF485" s="32"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32" t="str">
        <f>IFERROR(__xludf.DUMMYFUNCTION("""COMPUTED_VALUE"""),"Dungeon")</f>
        <v>Dungeon</v>
      </c>
      <c r="BH485" s="32" t="str">
        <f>IFERROR(__xludf.DUMMYFUNCTION("""COMPUTED_VALUE"""),"Dragonscale Island")</f>
        <v>Dragonscale Island</v>
      </c>
      <c r="BI485" s="32"/>
      <c r="BJ485" s="32"/>
      <c r="BK485" s="32"/>
      <c r="BL485" s="32" t="b">
        <f>IFERROR(__xludf.DUMMYFUNCTION("""COMPUTED_VALUE"""),FALSE)</f>
        <v>0</v>
      </c>
      <c r="BM485" s="32"/>
      <c r="BN485" s="32"/>
      <c r="BO485" s="32"/>
      <c r="BP485" s="32"/>
      <c r="BQ485" s="32"/>
    </row>
    <row r="486">
      <c r="A486" s="32" t="str">
        <f>IFERROR(__xludf.DUMMYFUNCTION("""COMPUTED_VALUE"""),"Earth Elemental")</f>
        <v>Earth Elemental</v>
      </c>
      <c r="B486" s="32">
        <f>IFERROR(__xludf.DUMMYFUNCTION("""COMPUTED_VALUE"""),1.0)</f>
        <v>1</v>
      </c>
      <c r="C486" s="32"/>
      <c r="D486" s="32" t="str">
        <f>IFERROR(__xludf.DUMMYFUNCTION("""COMPUTED_VALUE"""),"Spirit")</f>
        <v>Spirit</v>
      </c>
      <c r="E486" s="32">
        <f>IFERROR(__xludf.DUMMYFUNCTION("""COMPUTED_VALUE"""),1010.0)</f>
        <v>1010</v>
      </c>
      <c r="F486" s="33">
        <f>IFERROR(__xludf.DUMMYFUNCTION("""COMPUTED_VALUE"""),1010.0)</f>
        <v>1010</v>
      </c>
      <c r="G486" s="32">
        <f>IFERROR(__xludf.DUMMYFUNCTION("""COMPUTED_VALUE"""),1010.0)</f>
        <v>1010</v>
      </c>
      <c r="H486" s="32">
        <f>IFERROR(__xludf.DUMMYFUNCTION("""COMPUTED_VALUE"""),10.0)</f>
        <v>10</v>
      </c>
      <c r="I486" s="32">
        <f>IFERROR(__xludf.DUMMYFUNCTION("""COMPUTED_VALUE"""),0.0)</f>
        <v>0</v>
      </c>
      <c r="J486" s="32">
        <f>IFERROR(__xludf.DUMMYFUNCTION("""COMPUTED_VALUE"""),0.0)</f>
        <v>0</v>
      </c>
      <c r="K486" s="32">
        <f>IFERROR(__xludf.DUMMYFUNCTION("""COMPUTED_VALUE"""),100.0)</f>
        <v>100</v>
      </c>
      <c r="L486" s="32">
        <f>IFERROR(__xludf.DUMMYFUNCTION("""COMPUTED_VALUE"""),100.0)</f>
        <v>100</v>
      </c>
      <c r="M486" s="32" t="str">
        <f>IFERROR(__xludf.DUMMYFUNCTION("""COMPUTED_VALUE"""),"Fire:Immune, Blood:Immune, Instant Death:Immune, ")</f>
        <v>Fire:Immune, Blood:Immune, Instant Death:Immune, </v>
      </c>
      <c r="N486" s="32" t="str">
        <f>IFERROR(__xludf.DUMMYFUNCTION("""COMPUTED_VALUE"""),"Water:150, Storm:150, Spirit:150, ")</f>
        <v>Water:150, Storm:150, Spirit:150, </v>
      </c>
      <c r="O486" s="32"/>
      <c r="P486" s="32"/>
      <c r="Q486" s="32"/>
      <c r="R486" s="32"/>
      <c r="S486" s="32"/>
      <c r="T486" s="32"/>
      <c r="U486" s="32"/>
      <c r="V486" s="32"/>
      <c r="W486" s="32"/>
      <c r="X486" s="32"/>
      <c r="Y486" s="32"/>
      <c r="Z486" s="32"/>
      <c r="AA486" s="32"/>
      <c r="AB486" s="32"/>
      <c r="AC486" s="32"/>
      <c r="AD486" s="32"/>
      <c r="AE486" s="32"/>
      <c r="AF486" s="32"/>
      <c r="AG486" s="32"/>
      <c r="AH486" s="32"/>
      <c r="AI486" s="32"/>
      <c r="AJ486" s="32" t="str">
        <f>IFERROR(__xludf.DUMMYFUNCTION("""COMPUTED_VALUE"""),"Ancient Monolith Of Earth")</f>
        <v>Ancient Monolith Of Earth</v>
      </c>
      <c r="AK486" s="32" t="str">
        <f>IFERROR(__xludf.DUMMYFUNCTION("""COMPUTED_VALUE"""),"Rock Shot")</f>
        <v>Rock Shot</v>
      </c>
      <c r="AL486" s="32" t="str">
        <f>IFERROR(__xludf.DUMMYFUNCTION("""COMPUTED_VALUE"""),"Breaking Earth")</f>
        <v>Breaking Earth</v>
      </c>
      <c r="AM486" s="32" t="str">
        <f>IFERROR(__xludf.DUMMYFUNCTION("""COMPUTED_VALUE"""),"Petrification")</f>
        <v>Petrification</v>
      </c>
      <c r="AN486" s="32" t="str">
        <f>IFERROR(__xludf.DUMMYFUNCTION("""COMPUTED_VALUE"""),"Mass Petrification")</f>
        <v>Mass Petrification</v>
      </c>
      <c r="AO486" s="32" t="str">
        <f>IFERROR(__xludf.DUMMYFUNCTION("""COMPUTED_VALUE"""),"Sling Stone")</f>
        <v>Sling Stone</v>
      </c>
      <c r="AP486" s="32" t="str">
        <f>IFERROR(__xludf.DUMMYFUNCTION("""COMPUTED_VALUE"""),"Mud Sling")</f>
        <v>Mud Sling</v>
      </c>
      <c r="AQ486" s="32" t="str">
        <f>IFERROR(__xludf.DUMMYFUNCTION("""COMPUTED_VALUE"""),"Soul Shot")</f>
        <v>Soul Shot</v>
      </c>
      <c r="AR486" s="32" t="str">
        <f>IFERROR(__xludf.DUMMYFUNCTION("""COMPUTED_VALUE"""),"Spirit Fog")</f>
        <v>Spirit Fog</v>
      </c>
      <c r="AS486" s="32" t="str">
        <f>IFERROR(__xludf.DUMMYFUNCTION("""COMPUTED_VALUE"""),"Dread")</f>
        <v>Dread</v>
      </c>
      <c r="AT486" s="32" t="str">
        <f>IFERROR(__xludf.DUMMYFUNCTION("""COMPUTED_VALUE"""),"Burning Dread")</f>
        <v>Burning Dread</v>
      </c>
      <c r="AU486" s="32" t="str">
        <f>IFERROR(__xludf.DUMMYFUNCTION("""COMPUTED_VALUE"""),"Vengeful Strike")</f>
        <v>Vengeful Strike</v>
      </c>
      <c r="AV486" s="32" t="str">
        <f>IFERROR(__xludf.DUMMYFUNCTION("""COMPUTED_VALUE"""),"Spectral Lash")</f>
        <v>Spectral Lash</v>
      </c>
      <c r="AW486" s="32" t="str">
        <f>IFERROR(__xludf.DUMMYFUNCTION("""COMPUTED_VALUE"""),"Celestial Wave")</f>
        <v>Celestial Wave</v>
      </c>
      <c r="AX486" s="32"/>
      <c r="AY486" s="32"/>
      <c r="AZ486" s="32"/>
      <c r="BA486" s="32"/>
      <c r="BB486" s="32"/>
      <c r="BC486" s="32"/>
      <c r="BD486" s="32">
        <f>IFERROR(__xludf.DUMMYFUNCTION("""COMPUTED_VALUE"""),0.0)</f>
        <v>0</v>
      </c>
      <c r="BE486" s="32">
        <f>IFERROR(__xludf.DUMMYFUNCTION("""COMPUTED_VALUE"""),10.0)</f>
        <v>10</v>
      </c>
      <c r="BF486" s="32" t="str">
        <f>IFERROR(__xludf.DUMMYFUNCTION("""COMPUTED_VALUE"""),"Earth Elemental: X6 Earth Damage
10% chance to be unaffected by any natural power, spell, or item effect")</f>
        <v>Earth Elemental: X6 Earth Damage
10% chance to be unaffected by any natural power, spell, or item effect</v>
      </c>
      <c r="BG486" s="32" t="str">
        <f>IFERROR(__xludf.DUMMYFUNCTION("""COMPUTED_VALUE"""),"All")</f>
        <v>All</v>
      </c>
      <c r="BH486" s="32" t="str">
        <f>IFERROR(__xludf.DUMMYFUNCTION("""COMPUTED_VALUE"""),"Land of Spira")</f>
        <v>Land of Spira</v>
      </c>
      <c r="BI486" s="32"/>
      <c r="BJ486" s="32"/>
      <c r="BK486" s="32"/>
      <c r="BL486" s="32" t="b">
        <f>IFERROR(__xludf.DUMMYFUNCTION("""COMPUTED_VALUE"""),FALSE)</f>
        <v>0</v>
      </c>
      <c r="BM486" s="32"/>
      <c r="BN486" s="32"/>
      <c r="BO486" s="32"/>
      <c r="BP486" s="32"/>
      <c r="BQ486" s="32"/>
    </row>
    <row r="487">
      <c r="A487" s="32" t="str">
        <f>IFERROR(__xludf.DUMMYFUNCTION("""COMPUTED_VALUE"""),"Mountain Elemental")</f>
        <v>Mountain Elemental</v>
      </c>
      <c r="B487" s="32">
        <f>IFERROR(__xludf.DUMMYFUNCTION("""COMPUTED_VALUE"""),1.0)</f>
        <v>1</v>
      </c>
      <c r="C487" s="32"/>
      <c r="D487" s="32" t="str">
        <f>IFERROR(__xludf.DUMMYFUNCTION("""COMPUTED_VALUE"""),"Spirit")</f>
        <v>Spirit</v>
      </c>
      <c r="E487" s="32">
        <f>IFERROR(__xludf.DUMMYFUNCTION("""COMPUTED_VALUE"""),1010.0)</f>
        <v>1010</v>
      </c>
      <c r="F487" s="33">
        <f>IFERROR(__xludf.DUMMYFUNCTION("""COMPUTED_VALUE"""),1010.0)</f>
        <v>1010</v>
      </c>
      <c r="G487" s="32">
        <f>IFERROR(__xludf.DUMMYFUNCTION("""COMPUTED_VALUE"""),1010.0)</f>
        <v>1010</v>
      </c>
      <c r="H487" s="32">
        <f>IFERROR(__xludf.DUMMYFUNCTION("""COMPUTED_VALUE"""),10.0)</f>
        <v>10</v>
      </c>
      <c r="I487" s="32">
        <f>IFERROR(__xludf.DUMMYFUNCTION("""COMPUTED_VALUE"""),0.0)</f>
        <v>0</v>
      </c>
      <c r="J487" s="32">
        <f>IFERROR(__xludf.DUMMYFUNCTION("""COMPUTED_VALUE"""),0.0)</f>
        <v>0</v>
      </c>
      <c r="K487" s="32">
        <f>IFERROR(__xludf.DUMMYFUNCTION("""COMPUTED_VALUE"""),100.0)</f>
        <v>100</v>
      </c>
      <c r="L487" s="32">
        <f>IFERROR(__xludf.DUMMYFUNCTION("""COMPUTED_VALUE"""),100.0)</f>
        <v>100</v>
      </c>
      <c r="M487" s="32" t="str">
        <f>IFERROR(__xludf.DUMMYFUNCTION("""COMPUTED_VALUE"""),"Fire:Immune, Blood:Immune, Instant Death:Immune, ")</f>
        <v>Fire:Immune, Blood:Immune, Instant Death:Immune, </v>
      </c>
      <c r="N487" s="32" t="str">
        <f>IFERROR(__xludf.DUMMYFUNCTION("""COMPUTED_VALUE"""),"Water:100, Storm:100, Spirit:100, ")</f>
        <v>Water:100, Storm:100, Spirit:100, </v>
      </c>
      <c r="O487" s="32"/>
      <c r="P487" s="32"/>
      <c r="Q487" s="32"/>
      <c r="R487" s="32"/>
      <c r="S487" s="32"/>
      <c r="T487" s="32"/>
      <c r="U487" s="32"/>
      <c r="V487" s="32"/>
      <c r="W487" s="32"/>
      <c r="X487" s="32"/>
      <c r="Y487" s="32"/>
      <c r="Z487" s="32"/>
      <c r="AA487" s="32"/>
      <c r="AB487" s="32"/>
      <c r="AC487" s="32"/>
      <c r="AD487" s="32"/>
      <c r="AE487" s="32"/>
      <c r="AF487" s="32"/>
      <c r="AG487" s="32"/>
      <c r="AH487" s="32"/>
      <c r="AI487" s="32"/>
      <c r="AJ487" s="32" t="str">
        <f>IFERROR(__xludf.DUMMYFUNCTION("""COMPUTED_VALUE"""),"Ancient Monolith Of Earth")</f>
        <v>Ancient Monolith Of Earth</v>
      </c>
      <c r="AK487" s="32" t="str">
        <f>IFERROR(__xludf.DUMMYFUNCTION("""COMPUTED_VALUE"""),"Rock Shot")</f>
        <v>Rock Shot</v>
      </c>
      <c r="AL487" s="32" t="str">
        <f>IFERROR(__xludf.DUMMYFUNCTION("""COMPUTED_VALUE"""),"Breaking Earth")</f>
        <v>Breaking Earth</v>
      </c>
      <c r="AM487" s="32" t="str">
        <f>IFERROR(__xludf.DUMMYFUNCTION("""COMPUTED_VALUE"""),"Petrification")</f>
        <v>Petrification</v>
      </c>
      <c r="AN487" s="32" t="str">
        <f>IFERROR(__xludf.DUMMYFUNCTION("""COMPUTED_VALUE"""),"Mass Petrification")</f>
        <v>Mass Petrification</v>
      </c>
      <c r="AO487" s="32" t="str">
        <f>IFERROR(__xludf.DUMMYFUNCTION("""COMPUTED_VALUE"""),"Sling Stone")</f>
        <v>Sling Stone</v>
      </c>
      <c r="AP487" s="32" t="str">
        <f>IFERROR(__xludf.DUMMYFUNCTION("""COMPUTED_VALUE"""),"Sand Hole")</f>
        <v>Sand Hole</v>
      </c>
      <c r="AQ487" s="32" t="str">
        <f>IFERROR(__xludf.DUMMYFUNCTION("""COMPUTED_VALUE"""),"Rock Cycle")</f>
        <v>Rock Cycle</v>
      </c>
      <c r="AR487" s="32" t="str">
        <f>IFERROR(__xludf.DUMMYFUNCTION("""COMPUTED_VALUE"""),"Mud Wave")</f>
        <v>Mud Wave</v>
      </c>
      <c r="AS487" s="32" t="str">
        <f>IFERROR(__xludf.DUMMYFUNCTION("""COMPUTED_VALUE"""),"Soul Shot")</f>
        <v>Soul Shot</v>
      </c>
      <c r="AT487" s="32" t="str">
        <f>IFERROR(__xludf.DUMMYFUNCTION("""COMPUTED_VALUE"""),"Spirit Fog")</f>
        <v>Spirit Fog</v>
      </c>
      <c r="AU487" s="32" t="str">
        <f>IFERROR(__xludf.DUMMYFUNCTION("""COMPUTED_VALUE"""),"Dread")</f>
        <v>Dread</v>
      </c>
      <c r="AV487" s="32" t="str">
        <f>IFERROR(__xludf.DUMMYFUNCTION("""COMPUTED_VALUE"""),"Burning Dread")</f>
        <v>Burning Dread</v>
      </c>
      <c r="AW487" s="32" t="str">
        <f>IFERROR(__xludf.DUMMYFUNCTION("""COMPUTED_VALUE"""),"Vengeful Strike")</f>
        <v>Vengeful Strike</v>
      </c>
      <c r="AX487" s="32" t="str">
        <f>IFERROR(__xludf.DUMMYFUNCTION("""COMPUTED_VALUE"""),"Spectral Lash")</f>
        <v>Spectral Lash</v>
      </c>
      <c r="AY487" s="32" t="str">
        <f>IFERROR(__xludf.DUMMYFUNCTION("""COMPUTED_VALUE"""),"Celestial Wave")</f>
        <v>Celestial Wave</v>
      </c>
      <c r="AZ487" s="32"/>
      <c r="BA487" s="32"/>
      <c r="BB487" s="32"/>
      <c r="BC487" s="32"/>
      <c r="BD487" s="32">
        <f>IFERROR(__xludf.DUMMYFUNCTION("""COMPUTED_VALUE"""),0.0)</f>
        <v>0</v>
      </c>
      <c r="BE487" s="32">
        <f>IFERROR(__xludf.DUMMYFUNCTION("""COMPUTED_VALUE"""),10.0)</f>
        <v>10</v>
      </c>
      <c r="BF487" s="32"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32" t="str">
        <f>IFERROR(__xludf.DUMMYFUNCTION("""COMPUTED_VALUE"""),"All")</f>
        <v>All</v>
      </c>
      <c r="BH487" s="32" t="str">
        <f>IFERROR(__xludf.DUMMYFUNCTION("""COMPUTED_VALUE"""),"Dragonscale Island")</f>
        <v>Dragonscale Island</v>
      </c>
      <c r="BI487" s="32"/>
      <c r="BJ487" s="32"/>
      <c r="BK487" s="32"/>
      <c r="BL487" s="32" t="b">
        <f>IFERROR(__xludf.DUMMYFUNCTION("""COMPUTED_VALUE"""),FALSE)</f>
        <v>0</v>
      </c>
      <c r="BM487" s="32"/>
      <c r="BN487" s="32"/>
      <c r="BO487" s="32"/>
      <c r="BP487" s="32"/>
      <c r="BQ487" s="32"/>
    </row>
    <row r="488">
      <c r="A488" s="32" t="str">
        <f>IFERROR(__xludf.DUMMYFUNCTION("""COMPUTED_VALUE"""),"Ancient Earth Elemental")</f>
        <v>Ancient Earth Elemental</v>
      </c>
      <c r="B488" s="32">
        <f>IFERROR(__xludf.DUMMYFUNCTION("""COMPUTED_VALUE"""),1.0)</f>
        <v>1</v>
      </c>
      <c r="C488" s="32"/>
      <c r="D488" s="32" t="str">
        <f>IFERROR(__xludf.DUMMYFUNCTION("""COMPUTED_VALUE"""),"Spirit")</f>
        <v>Spirit</v>
      </c>
      <c r="E488" s="32">
        <f>IFERROR(__xludf.DUMMYFUNCTION("""COMPUTED_VALUE"""),1010.0)</f>
        <v>1010</v>
      </c>
      <c r="F488" s="33">
        <f>IFERROR(__xludf.DUMMYFUNCTION("""COMPUTED_VALUE"""),1010.0)</f>
        <v>1010</v>
      </c>
      <c r="G488" s="32">
        <f>IFERROR(__xludf.DUMMYFUNCTION("""COMPUTED_VALUE"""),1010.0)</f>
        <v>1010</v>
      </c>
      <c r="H488" s="32">
        <f>IFERROR(__xludf.DUMMYFUNCTION("""COMPUTED_VALUE"""),10.0)</f>
        <v>10</v>
      </c>
      <c r="I488" s="32">
        <f>IFERROR(__xludf.DUMMYFUNCTION("""COMPUTED_VALUE"""),0.0)</f>
        <v>0</v>
      </c>
      <c r="J488" s="32">
        <f>IFERROR(__xludf.DUMMYFUNCTION("""COMPUTED_VALUE"""),25.0)</f>
        <v>25</v>
      </c>
      <c r="K488" s="32">
        <f>IFERROR(__xludf.DUMMYFUNCTION("""COMPUTED_VALUE"""),100.0)</f>
        <v>100</v>
      </c>
      <c r="L488" s="32">
        <f>IFERROR(__xludf.DUMMYFUNCTION("""COMPUTED_VALUE"""),100.0)</f>
        <v>100</v>
      </c>
      <c r="M488" s="32" t="str">
        <f>IFERROR(__xludf.DUMMYFUNCTION("""COMPUTED_VALUE"""),"Fire:Immune, Blood:Immune, Instant Death:Immune, Banishment:Immune, ")</f>
        <v>Fire:Immune, Blood:Immune, Instant Death:Immune, Banishment:Immune, </v>
      </c>
      <c r="N488" s="32" t="str">
        <f>IFERROR(__xludf.DUMMYFUNCTION("""COMPUTED_VALUE"""),"Water:50, Storm:50, Spirit:50, ")</f>
        <v>Water:50, Storm:50, Spirit:50, </v>
      </c>
      <c r="O488" s="32"/>
      <c r="P488" s="32"/>
      <c r="Q488" s="32"/>
      <c r="R488" s="32"/>
      <c r="S488" s="32"/>
      <c r="T488" s="32"/>
      <c r="U488" s="32"/>
      <c r="V488" s="32"/>
      <c r="W488" s="32"/>
      <c r="X488" s="32"/>
      <c r="Y488" s="32"/>
      <c r="Z488" s="32"/>
      <c r="AA488" s="32"/>
      <c r="AB488" s="32"/>
      <c r="AC488" s="32"/>
      <c r="AD488" s="32"/>
      <c r="AE488" s="32"/>
      <c r="AF488" s="32"/>
      <c r="AG488" s="32"/>
      <c r="AH488" s="32"/>
      <c r="AI488" s="32"/>
      <c r="AJ488" s="32" t="str">
        <f>IFERROR(__xludf.DUMMYFUNCTION("""COMPUTED_VALUE"""),"Ancient Monolith Of Earth")</f>
        <v>Ancient Monolith Of Earth</v>
      </c>
      <c r="AK488" s="32" t="str">
        <f>IFERROR(__xludf.DUMMYFUNCTION("""COMPUTED_VALUE"""),"Rock Shot")</f>
        <v>Rock Shot</v>
      </c>
      <c r="AL488" s="32" t="str">
        <f>IFERROR(__xludf.DUMMYFUNCTION("""COMPUTED_VALUE"""),"Breaking Earth")</f>
        <v>Breaking Earth</v>
      </c>
      <c r="AM488" s="32" t="str">
        <f>IFERROR(__xludf.DUMMYFUNCTION("""COMPUTED_VALUE"""),"Petrification")</f>
        <v>Petrification</v>
      </c>
      <c r="AN488" s="32" t="str">
        <f>IFERROR(__xludf.DUMMYFUNCTION("""COMPUTED_VALUE"""),"Mass Petrification")</f>
        <v>Mass Petrification</v>
      </c>
      <c r="AO488" s="32" t="str">
        <f>IFERROR(__xludf.DUMMYFUNCTION("""COMPUTED_VALUE"""),"Sling Stone")</f>
        <v>Sling Stone</v>
      </c>
      <c r="AP488" s="32" t="str">
        <f>IFERROR(__xludf.DUMMYFUNCTION("""COMPUTED_VALUE"""),"Sand Hole")</f>
        <v>Sand Hole</v>
      </c>
      <c r="AQ488" s="32" t="str">
        <f>IFERROR(__xludf.DUMMYFUNCTION("""COMPUTED_VALUE"""),"Rock Cycle")</f>
        <v>Rock Cycle</v>
      </c>
      <c r="AR488" s="32" t="str">
        <f>IFERROR(__xludf.DUMMYFUNCTION("""COMPUTED_VALUE"""),"Mud Wave")</f>
        <v>Mud Wave</v>
      </c>
      <c r="AS488" s="32" t="str">
        <f>IFERROR(__xludf.DUMMYFUNCTION("""COMPUTED_VALUE"""),"Soul Shot")</f>
        <v>Soul Shot</v>
      </c>
      <c r="AT488" s="32" t="str">
        <f>IFERROR(__xludf.DUMMYFUNCTION("""COMPUTED_VALUE"""),"Spirit Fog")</f>
        <v>Spirit Fog</v>
      </c>
      <c r="AU488" s="32" t="str">
        <f>IFERROR(__xludf.DUMMYFUNCTION("""COMPUTED_VALUE"""),"Dread")</f>
        <v>Dread</v>
      </c>
      <c r="AV488" s="32" t="str">
        <f>IFERROR(__xludf.DUMMYFUNCTION("""COMPUTED_VALUE"""),"Burning Dread")</f>
        <v>Burning Dread</v>
      </c>
      <c r="AW488" s="32" t="str">
        <f>IFERROR(__xludf.DUMMYFUNCTION("""COMPUTED_VALUE"""),"Spectral Lash")</f>
        <v>Spectral Lash</v>
      </c>
      <c r="AX488" s="32" t="str">
        <f>IFERROR(__xludf.DUMMYFUNCTION("""COMPUTED_VALUE"""),"Celestial Wave")</f>
        <v>Celestial Wave</v>
      </c>
      <c r="AY488" s="32"/>
      <c r="AZ488" s="32"/>
      <c r="BA488" s="32"/>
      <c r="BB488" s="32"/>
      <c r="BC488" s="32"/>
      <c r="BD488" s="32">
        <f>IFERROR(__xludf.DUMMYFUNCTION("""COMPUTED_VALUE"""),0.0)</f>
        <v>0</v>
      </c>
      <c r="BE488" s="32">
        <f>IFERROR(__xludf.DUMMYFUNCTION("""COMPUTED_VALUE"""),10.0)</f>
        <v>10</v>
      </c>
      <c r="BF488" s="32"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32" t="str">
        <f>IFERROR(__xludf.DUMMYFUNCTION("""COMPUTED_VALUE"""),"Dungeon")</f>
        <v>Dungeon</v>
      </c>
      <c r="BH488" s="32" t="str">
        <f>IFERROR(__xludf.DUMMYFUNCTION("""COMPUTED_VALUE"""),"Dragonscale Island")</f>
        <v>Dragonscale Island</v>
      </c>
      <c r="BI488" s="32"/>
      <c r="BJ488" s="32"/>
      <c r="BK488" s="32"/>
      <c r="BL488" s="32" t="b">
        <f>IFERROR(__xludf.DUMMYFUNCTION("""COMPUTED_VALUE"""),FALSE)</f>
        <v>0</v>
      </c>
      <c r="BM488" s="32"/>
      <c r="BN488" s="32"/>
      <c r="BO488" s="32"/>
      <c r="BP488" s="32"/>
      <c r="BQ488" s="32"/>
    </row>
    <row r="489">
      <c r="A489" s="32" t="str">
        <f>IFERROR(__xludf.DUMMYFUNCTION("""COMPUTED_VALUE"""),"Storm Elemental")</f>
        <v>Storm Elemental</v>
      </c>
      <c r="B489" s="32">
        <f>IFERROR(__xludf.DUMMYFUNCTION("""COMPUTED_VALUE"""),1.0)</f>
        <v>1</v>
      </c>
      <c r="C489" s="32"/>
      <c r="D489" s="32" t="str">
        <f>IFERROR(__xludf.DUMMYFUNCTION("""COMPUTED_VALUE"""),"Spirit")</f>
        <v>Spirit</v>
      </c>
      <c r="E489" s="32">
        <f>IFERROR(__xludf.DUMMYFUNCTION("""COMPUTED_VALUE"""),1010.0)</f>
        <v>1010</v>
      </c>
      <c r="F489" s="33">
        <f>IFERROR(__xludf.DUMMYFUNCTION("""COMPUTED_VALUE"""),1010.0)</f>
        <v>1010</v>
      </c>
      <c r="G489" s="32">
        <f>IFERROR(__xludf.DUMMYFUNCTION("""COMPUTED_VALUE"""),1010.0)</f>
        <v>1010</v>
      </c>
      <c r="H489" s="32">
        <f>IFERROR(__xludf.DUMMYFUNCTION("""COMPUTED_VALUE"""),10.0)</f>
        <v>10</v>
      </c>
      <c r="I489" s="32">
        <f>IFERROR(__xludf.DUMMYFUNCTION("""COMPUTED_VALUE"""),0.0)</f>
        <v>0</v>
      </c>
      <c r="J489" s="32">
        <f>IFERROR(__xludf.DUMMYFUNCTION("""COMPUTED_VALUE"""),0.0)</f>
        <v>0</v>
      </c>
      <c r="K489" s="32">
        <f>IFERROR(__xludf.DUMMYFUNCTION("""COMPUTED_VALUE"""),100.0)</f>
        <v>100</v>
      </c>
      <c r="L489" s="32">
        <f>IFERROR(__xludf.DUMMYFUNCTION("""COMPUTED_VALUE"""),100.0)</f>
        <v>100</v>
      </c>
      <c r="M489" s="32" t="str">
        <f>IFERROR(__xludf.DUMMYFUNCTION("""COMPUTED_VALUE"""),"Storm:Immune, Earth:Immune, Nature:Immune, Blood:Immune, Instant Death:Immune, ")</f>
        <v>Storm:Immune, Earth:Immune, Nature:Immune, Blood:Immune, Instant Death:Immune, </v>
      </c>
      <c r="N489" s="32" t="str">
        <f>IFERROR(__xludf.DUMMYFUNCTION("""COMPUTED_VALUE"""),"Spirit:150, ")</f>
        <v>Spirit:150, </v>
      </c>
      <c r="O489" s="32"/>
      <c r="P489" s="32"/>
      <c r="Q489" s="32"/>
      <c r="R489" s="32"/>
      <c r="S489" s="32"/>
      <c r="T489" s="32"/>
      <c r="U489" s="32"/>
      <c r="V489" s="32"/>
      <c r="W489" s="32"/>
      <c r="X489" s="32"/>
      <c r="Y489" s="32"/>
      <c r="Z489" s="32"/>
      <c r="AA489" s="32"/>
      <c r="AB489" s="32"/>
      <c r="AC489" s="32"/>
      <c r="AD489" s="32"/>
      <c r="AE489" s="32"/>
      <c r="AF489" s="32"/>
      <c r="AG489" s="32"/>
      <c r="AH489" s="32"/>
      <c r="AI489" s="32"/>
      <c r="AJ489" s="32" t="str">
        <f>IFERROR(__xludf.DUMMYFUNCTION("""COMPUTED_VALUE"""),"Lightning Strike")</f>
        <v>Lightning Strike</v>
      </c>
      <c r="AK489" s="32" t="str">
        <f>IFERROR(__xludf.DUMMYFUNCTION("""COMPUTED_VALUE"""),"Chain Lightning")</f>
        <v>Chain Lightning</v>
      </c>
      <c r="AL489" s="32" t="str">
        <f>IFERROR(__xludf.DUMMYFUNCTION("""COMPUTED_VALUE"""),"Shocking Touch")</f>
        <v>Shocking Touch</v>
      </c>
      <c r="AM489" s="32" t="str">
        <f>IFERROR(__xludf.DUMMYFUNCTION("""COMPUTED_VALUE"""),"Mass Charge")</f>
        <v>Mass Charge</v>
      </c>
      <c r="AN489" s="32" t="str">
        <f>IFERROR(__xludf.DUMMYFUNCTION("""COMPUTED_VALUE"""),"Tower Of Storm")</f>
        <v>Tower Of Storm</v>
      </c>
      <c r="AO489" s="32" t="str">
        <f>IFERROR(__xludf.DUMMYFUNCTION("""COMPUTED_VALUE"""),"Stun Wave")</f>
        <v>Stun Wave</v>
      </c>
      <c r="AP489" s="32" t="str">
        <f>IFERROR(__xludf.DUMMYFUNCTION("""COMPUTED_VALUE"""),"Brewing Storm")</f>
        <v>Brewing Storm</v>
      </c>
      <c r="AQ489" s="32" t="str">
        <f>IFERROR(__xludf.DUMMYFUNCTION("""COMPUTED_VALUE"""),"Soul Shot")</f>
        <v>Soul Shot</v>
      </c>
      <c r="AR489" s="32" t="str">
        <f>IFERROR(__xludf.DUMMYFUNCTION("""COMPUTED_VALUE"""),"Spirit Fog")</f>
        <v>Spirit Fog</v>
      </c>
      <c r="AS489" s="32" t="str">
        <f>IFERROR(__xludf.DUMMYFUNCTION("""COMPUTED_VALUE"""),"Dread")</f>
        <v>Dread</v>
      </c>
      <c r="AT489" s="32" t="str">
        <f>IFERROR(__xludf.DUMMYFUNCTION("""COMPUTED_VALUE"""),"Burning Dread")</f>
        <v>Burning Dread</v>
      </c>
      <c r="AU489" s="32" t="str">
        <f>IFERROR(__xludf.DUMMYFUNCTION("""COMPUTED_VALUE"""),"Vengeful Strike")</f>
        <v>Vengeful Strike</v>
      </c>
      <c r="AV489" s="32" t="str">
        <f>IFERROR(__xludf.DUMMYFUNCTION("""COMPUTED_VALUE"""),"Spectral Lash")</f>
        <v>Spectral Lash</v>
      </c>
      <c r="AW489" s="32" t="str">
        <f>IFERROR(__xludf.DUMMYFUNCTION("""COMPUTED_VALUE"""),"Celestial Wave")</f>
        <v>Celestial Wave</v>
      </c>
      <c r="AX489" s="32"/>
      <c r="AY489" s="32"/>
      <c r="AZ489" s="32"/>
      <c r="BA489" s="32"/>
      <c r="BB489" s="32"/>
      <c r="BC489" s="32"/>
      <c r="BD489" s="32">
        <f>IFERROR(__xludf.DUMMYFUNCTION("""COMPUTED_VALUE"""),0.0)</f>
        <v>0</v>
      </c>
      <c r="BE489" s="32">
        <f>IFERROR(__xludf.DUMMYFUNCTION("""COMPUTED_VALUE"""),10.0)</f>
        <v>10</v>
      </c>
      <c r="BF489" s="32" t="str">
        <f>IFERROR(__xludf.DUMMYFUNCTION("""COMPUTED_VALUE"""),"Storm Elemental: X6 Storm Damage
10% chance to stun any enemy who targets this creature for 2 rounds")</f>
        <v>Storm Elemental: X6 Storm Damage
10% chance to stun any enemy who targets this creature for 2 rounds</v>
      </c>
      <c r="BG489" s="32" t="str">
        <f>IFERROR(__xludf.DUMMYFUNCTION("""COMPUTED_VALUE"""),"All")</f>
        <v>All</v>
      </c>
      <c r="BH489" s="32" t="str">
        <f>IFERROR(__xludf.DUMMYFUNCTION("""COMPUTED_VALUE"""),"Land of Spira")</f>
        <v>Land of Spira</v>
      </c>
      <c r="BI489" s="32"/>
      <c r="BJ489" s="32"/>
      <c r="BK489" s="32"/>
      <c r="BL489" s="32" t="b">
        <f>IFERROR(__xludf.DUMMYFUNCTION("""COMPUTED_VALUE"""),FALSE)</f>
        <v>0</v>
      </c>
      <c r="BM489" s="32"/>
      <c r="BN489" s="32"/>
      <c r="BO489" s="32"/>
      <c r="BP489" s="32"/>
      <c r="BQ489" s="32"/>
    </row>
    <row r="490">
      <c r="A490" s="32" t="str">
        <f>IFERROR(__xludf.DUMMYFUNCTION("""COMPUTED_VALUE"""),"Lightning Elemental")</f>
        <v>Lightning Elemental</v>
      </c>
      <c r="B490" s="32">
        <f>IFERROR(__xludf.DUMMYFUNCTION("""COMPUTED_VALUE"""),1.0)</f>
        <v>1</v>
      </c>
      <c r="C490" s="32"/>
      <c r="D490" s="32" t="str">
        <f>IFERROR(__xludf.DUMMYFUNCTION("""COMPUTED_VALUE"""),"Spirit")</f>
        <v>Spirit</v>
      </c>
      <c r="E490" s="32">
        <f>IFERROR(__xludf.DUMMYFUNCTION("""COMPUTED_VALUE"""),1010.0)</f>
        <v>1010</v>
      </c>
      <c r="F490" s="33">
        <f>IFERROR(__xludf.DUMMYFUNCTION("""COMPUTED_VALUE"""),1010.0)</f>
        <v>1010</v>
      </c>
      <c r="G490" s="32">
        <f>IFERROR(__xludf.DUMMYFUNCTION("""COMPUTED_VALUE"""),1010.0)</f>
        <v>1010</v>
      </c>
      <c r="H490" s="32">
        <f>IFERROR(__xludf.DUMMYFUNCTION("""COMPUTED_VALUE"""),10.0)</f>
        <v>10</v>
      </c>
      <c r="I490" s="32">
        <f>IFERROR(__xludf.DUMMYFUNCTION("""COMPUTED_VALUE"""),0.0)</f>
        <v>0</v>
      </c>
      <c r="J490" s="32">
        <f>IFERROR(__xludf.DUMMYFUNCTION("""COMPUTED_VALUE"""),0.0)</f>
        <v>0</v>
      </c>
      <c r="K490" s="32">
        <f>IFERROR(__xludf.DUMMYFUNCTION("""COMPUTED_VALUE"""),100.0)</f>
        <v>100</v>
      </c>
      <c r="L490" s="32">
        <f>IFERROR(__xludf.DUMMYFUNCTION("""COMPUTED_VALUE"""),100.0)</f>
        <v>100</v>
      </c>
      <c r="M490" s="32" t="str">
        <f>IFERROR(__xludf.DUMMYFUNCTION("""COMPUTED_VALUE"""),"Storm:Immune, Earth:Immune, Nature:Immune, Blood:Immune, Instant Death:Immune, ")</f>
        <v>Storm:Immune, Earth:Immune, Nature:Immune, Blood:Immune, Instant Death:Immune, </v>
      </c>
      <c r="N490" s="32" t="str">
        <f>IFERROR(__xludf.DUMMYFUNCTION("""COMPUTED_VALUE"""),"Spirit:100, ")</f>
        <v>Spirit:100, </v>
      </c>
      <c r="O490" s="32"/>
      <c r="P490" s="32"/>
      <c r="Q490" s="32"/>
      <c r="R490" s="32"/>
      <c r="S490" s="32"/>
      <c r="T490" s="32"/>
      <c r="U490" s="32"/>
      <c r="V490" s="32"/>
      <c r="W490" s="32"/>
      <c r="X490" s="32"/>
      <c r="Y490" s="32"/>
      <c r="Z490" s="32"/>
      <c r="AA490" s="32"/>
      <c r="AB490" s="32"/>
      <c r="AC490" s="32"/>
      <c r="AD490" s="32"/>
      <c r="AE490" s="32"/>
      <c r="AF490" s="32"/>
      <c r="AG490" s="32"/>
      <c r="AH490" s="32"/>
      <c r="AI490" s="32"/>
      <c r="AJ490" s="32" t="str">
        <f>IFERROR(__xludf.DUMMYFUNCTION("""COMPUTED_VALUE"""),"Lightning Strike")</f>
        <v>Lightning Strike</v>
      </c>
      <c r="AK490" s="32" t="str">
        <f>IFERROR(__xludf.DUMMYFUNCTION("""COMPUTED_VALUE"""),"Chain Lightning")</f>
        <v>Chain Lightning</v>
      </c>
      <c r="AL490" s="32" t="str">
        <f>IFERROR(__xludf.DUMMYFUNCTION("""COMPUTED_VALUE"""),"Shocking Touch")</f>
        <v>Shocking Touch</v>
      </c>
      <c r="AM490" s="32" t="str">
        <f>IFERROR(__xludf.DUMMYFUNCTION("""COMPUTED_VALUE"""),"Mass Charge")</f>
        <v>Mass Charge</v>
      </c>
      <c r="AN490" s="32" t="str">
        <f>IFERROR(__xludf.DUMMYFUNCTION("""COMPUTED_VALUE"""),"Tower Of Storm")</f>
        <v>Tower Of Storm</v>
      </c>
      <c r="AO490" s="32" t="str">
        <f>IFERROR(__xludf.DUMMYFUNCTION("""COMPUTED_VALUE"""),"Stun Wave")</f>
        <v>Stun Wave</v>
      </c>
      <c r="AP490" s="32" t="str">
        <f>IFERROR(__xludf.DUMMYFUNCTION("""COMPUTED_VALUE"""),"Brewing Storm")</f>
        <v>Brewing Storm</v>
      </c>
      <c r="AQ490" s="32" t="str">
        <f>IFERROR(__xludf.DUMMYFUNCTION("""COMPUTED_VALUE"""),"Soul Shot")</f>
        <v>Soul Shot</v>
      </c>
      <c r="AR490" s="32" t="str">
        <f>IFERROR(__xludf.DUMMYFUNCTION("""COMPUTED_VALUE"""),"Spirit Fog")</f>
        <v>Spirit Fog</v>
      </c>
      <c r="AS490" s="32" t="str">
        <f>IFERROR(__xludf.DUMMYFUNCTION("""COMPUTED_VALUE"""),"Dread")</f>
        <v>Dread</v>
      </c>
      <c r="AT490" s="32" t="str">
        <f>IFERROR(__xludf.DUMMYFUNCTION("""COMPUTED_VALUE"""),"Burning Dread")</f>
        <v>Burning Dread</v>
      </c>
      <c r="AU490" s="32" t="str">
        <f>IFERROR(__xludf.DUMMYFUNCTION("""COMPUTED_VALUE"""),"Vengeful Strike")</f>
        <v>Vengeful Strike</v>
      </c>
      <c r="AV490" s="32" t="str">
        <f>IFERROR(__xludf.DUMMYFUNCTION("""COMPUTED_VALUE"""),"Spectral Lash")</f>
        <v>Spectral Lash</v>
      </c>
      <c r="AW490" s="32" t="str">
        <f>IFERROR(__xludf.DUMMYFUNCTION("""COMPUTED_VALUE"""),"Celestial Wave")</f>
        <v>Celestial Wave</v>
      </c>
      <c r="AX490" s="32"/>
      <c r="AY490" s="32"/>
      <c r="AZ490" s="32"/>
      <c r="BA490" s="32"/>
      <c r="BB490" s="32"/>
      <c r="BC490" s="32"/>
      <c r="BD490" s="32">
        <f>IFERROR(__xludf.DUMMYFUNCTION("""COMPUTED_VALUE"""),0.0)</f>
        <v>0</v>
      </c>
      <c r="BE490" s="32">
        <f>IFERROR(__xludf.DUMMYFUNCTION("""COMPUTED_VALUE"""),10.0)</f>
        <v>10</v>
      </c>
      <c r="BF490" s="32"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32" t="str">
        <f>IFERROR(__xludf.DUMMYFUNCTION("""COMPUTED_VALUE"""),"All")</f>
        <v>All</v>
      </c>
      <c r="BH490" s="32" t="str">
        <f>IFERROR(__xludf.DUMMYFUNCTION("""COMPUTED_VALUE"""),"Dragonscale Island")</f>
        <v>Dragonscale Island</v>
      </c>
      <c r="BI490" s="32"/>
      <c r="BJ490" s="32"/>
      <c r="BK490" s="32"/>
      <c r="BL490" s="32" t="b">
        <f>IFERROR(__xludf.DUMMYFUNCTION("""COMPUTED_VALUE"""),FALSE)</f>
        <v>0</v>
      </c>
      <c r="BM490" s="32"/>
      <c r="BN490" s="32"/>
      <c r="BO490" s="32"/>
      <c r="BP490" s="32"/>
      <c r="BQ490" s="32"/>
    </row>
    <row r="491">
      <c r="A491" s="32" t="str">
        <f>IFERROR(__xludf.DUMMYFUNCTION("""COMPUTED_VALUE"""),"Ancient Storm Elemental")</f>
        <v>Ancient Storm Elemental</v>
      </c>
      <c r="B491" s="32">
        <f>IFERROR(__xludf.DUMMYFUNCTION("""COMPUTED_VALUE"""),1.0)</f>
        <v>1</v>
      </c>
      <c r="C491" s="32"/>
      <c r="D491" s="32" t="str">
        <f>IFERROR(__xludf.DUMMYFUNCTION("""COMPUTED_VALUE"""),"Spirit")</f>
        <v>Spirit</v>
      </c>
      <c r="E491" s="32">
        <f>IFERROR(__xludf.DUMMYFUNCTION("""COMPUTED_VALUE"""),1010.0)</f>
        <v>1010</v>
      </c>
      <c r="F491" s="33">
        <f>IFERROR(__xludf.DUMMYFUNCTION("""COMPUTED_VALUE"""),1010.0)</f>
        <v>1010</v>
      </c>
      <c r="G491" s="32">
        <f>IFERROR(__xludf.DUMMYFUNCTION("""COMPUTED_VALUE"""),1010.0)</f>
        <v>1010</v>
      </c>
      <c r="H491" s="32">
        <f>IFERROR(__xludf.DUMMYFUNCTION("""COMPUTED_VALUE"""),10.0)</f>
        <v>10</v>
      </c>
      <c r="I491" s="32">
        <f>IFERROR(__xludf.DUMMYFUNCTION("""COMPUTED_VALUE"""),0.0)</f>
        <v>0</v>
      </c>
      <c r="J491" s="32">
        <f>IFERROR(__xludf.DUMMYFUNCTION("""COMPUTED_VALUE"""),25.0)</f>
        <v>25</v>
      </c>
      <c r="K491" s="32">
        <f>IFERROR(__xludf.DUMMYFUNCTION("""COMPUTED_VALUE"""),100.0)</f>
        <v>100</v>
      </c>
      <c r="L491" s="32">
        <f>IFERROR(__xludf.DUMMYFUNCTION("""COMPUTED_VALUE"""),100.0)</f>
        <v>100</v>
      </c>
      <c r="M491" s="32" t="str">
        <f>IFERROR(__xludf.DUMMYFUNCTION("""COMPUTED_VALUE"""),"Storm:Immune, Earth:Immune, Nature:Immune, Blood:Immune, Instant Death:Immune, Banishment:Immune, ")</f>
        <v>Storm:Immune, Earth:Immune, Nature:Immune, Blood:Immune, Instant Death:Immune, Banishment:Immune, </v>
      </c>
      <c r="N491" s="32" t="str">
        <f>IFERROR(__xludf.DUMMYFUNCTION("""COMPUTED_VALUE"""),"Spirit:50, ")</f>
        <v>Spirit:50, </v>
      </c>
      <c r="O491" s="32"/>
      <c r="P491" s="32"/>
      <c r="Q491" s="32"/>
      <c r="R491" s="32"/>
      <c r="S491" s="32"/>
      <c r="T491" s="32"/>
      <c r="U491" s="32"/>
      <c r="V491" s="32"/>
      <c r="W491" s="32"/>
      <c r="X491" s="32"/>
      <c r="Y491" s="32"/>
      <c r="Z491" s="32"/>
      <c r="AA491" s="32"/>
      <c r="AB491" s="32"/>
      <c r="AC491" s="32"/>
      <c r="AD491" s="32"/>
      <c r="AE491" s="32"/>
      <c r="AF491" s="32"/>
      <c r="AG491" s="32"/>
      <c r="AH491" s="32"/>
      <c r="AI491" s="32"/>
      <c r="AJ491" s="32" t="str">
        <f>IFERROR(__xludf.DUMMYFUNCTION("""COMPUTED_VALUE"""),"Lightning Strike")</f>
        <v>Lightning Strike</v>
      </c>
      <c r="AK491" s="32" t="str">
        <f>IFERROR(__xludf.DUMMYFUNCTION("""COMPUTED_VALUE"""),"Chain Lightning")</f>
        <v>Chain Lightning</v>
      </c>
      <c r="AL491" s="32" t="str">
        <f>IFERROR(__xludf.DUMMYFUNCTION("""COMPUTED_VALUE"""),"Shocking Touch")</f>
        <v>Shocking Touch</v>
      </c>
      <c r="AM491" s="32" t="str">
        <f>IFERROR(__xludf.DUMMYFUNCTION("""COMPUTED_VALUE"""),"Mass Charge")</f>
        <v>Mass Charge</v>
      </c>
      <c r="AN491" s="32" t="str">
        <f>IFERROR(__xludf.DUMMYFUNCTION("""COMPUTED_VALUE"""),"Tower Of Storm")</f>
        <v>Tower Of Storm</v>
      </c>
      <c r="AO491" s="32" t="str">
        <f>IFERROR(__xludf.DUMMYFUNCTION("""COMPUTED_VALUE"""),"Freezing Fog")</f>
        <v>Freezing Fog</v>
      </c>
      <c r="AP491" s="32" t="str">
        <f>IFERROR(__xludf.DUMMYFUNCTION("""COMPUTED_VALUE"""),"Gust of Wind")</f>
        <v>Gust of Wind</v>
      </c>
      <c r="AQ491" s="32" t="str">
        <f>IFERROR(__xludf.DUMMYFUNCTION("""COMPUTED_VALUE"""),"Stun Wave")</f>
        <v>Stun Wave</v>
      </c>
      <c r="AR491" s="32" t="str">
        <f>IFERROR(__xludf.DUMMYFUNCTION("""COMPUTED_VALUE"""),"Brewing Storm")</f>
        <v>Brewing Storm</v>
      </c>
      <c r="AS491" s="32" t="str">
        <f>IFERROR(__xludf.DUMMYFUNCTION("""COMPUTED_VALUE"""),"Soul Shot")</f>
        <v>Soul Shot</v>
      </c>
      <c r="AT491" s="32" t="str">
        <f>IFERROR(__xludf.DUMMYFUNCTION("""COMPUTED_VALUE"""),"Spirit Fog")</f>
        <v>Spirit Fog</v>
      </c>
      <c r="AU491" s="32" t="str">
        <f>IFERROR(__xludf.DUMMYFUNCTION("""COMPUTED_VALUE"""),"Dread")</f>
        <v>Dread</v>
      </c>
      <c r="AV491" s="32" t="str">
        <f>IFERROR(__xludf.DUMMYFUNCTION("""COMPUTED_VALUE"""),"Burning Dread")</f>
        <v>Burning Dread</v>
      </c>
      <c r="AW491" s="32" t="str">
        <f>IFERROR(__xludf.DUMMYFUNCTION("""COMPUTED_VALUE"""),"Vengeful Strike")</f>
        <v>Vengeful Strike</v>
      </c>
      <c r="AX491" s="32" t="str">
        <f>IFERROR(__xludf.DUMMYFUNCTION("""COMPUTED_VALUE"""),"Spectral Lash")</f>
        <v>Spectral Lash</v>
      </c>
      <c r="AY491" s="32" t="str">
        <f>IFERROR(__xludf.DUMMYFUNCTION("""COMPUTED_VALUE"""),"Celestial Wave")</f>
        <v>Celestial Wave</v>
      </c>
      <c r="AZ491" s="32"/>
      <c r="BA491" s="32"/>
      <c r="BB491" s="32"/>
      <c r="BC491" s="32"/>
      <c r="BD491" s="32">
        <f>IFERROR(__xludf.DUMMYFUNCTION("""COMPUTED_VALUE"""),0.0)</f>
        <v>0</v>
      </c>
      <c r="BE491" s="32">
        <f>IFERROR(__xludf.DUMMYFUNCTION("""COMPUTED_VALUE"""),10.0)</f>
        <v>10</v>
      </c>
      <c r="BF491" s="32"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32" t="str">
        <f>IFERROR(__xludf.DUMMYFUNCTION("""COMPUTED_VALUE"""),"Dungeon")</f>
        <v>Dungeon</v>
      </c>
      <c r="BH491" s="32" t="str">
        <f>IFERROR(__xludf.DUMMYFUNCTION("""COMPUTED_VALUE"""),"Dragonscale Island")</f>
        <v>Dragonscale Island</v>
      </c>
      <c r="BI491" s="32"/>
      <c r="BJ491" s="32"/>
      <c r="BK491" s="32"/>
      <c r="BL491" s="32" t="b">
        <f>IFERROR(__xludf.DUMMYFUNCTION("""COMPUTED_VALUE"""),FALSE)</f>
        <v>0</v>
      </c>
      <c r="BM491" s="32"/>
      <c r="BN491" s="32"/>
      <c r="BO491" s="32"/>
      <c r="BP491" s="32"/>
      <c r="BQ491" s="32"/>
    </row>
    <row r="492">
      <c r="A492" s="32" t="str">
        <f>IFERROR(__xludf.DUMMYFUNCTION("""COMPUTED_VALUE"""),"Lathom, Ancient Penumbral Elemental of Insanity")</f>
        <v>Lathom, Ancient Penumbral Elemental of Insanity</v>
      </c>
      <c r="B492" s="32">
        <f>IFERROR(__xludf.DUMMYFUNCTION("""COMPUTED_VALUE"""),1.0)</f>
        <v>1</v>
      </c>
      <c r="C492" s="32"/>
      <c r="D492" s="32" t="str">
        <f>IFERROR(__xludf.DUMMYFUNCTION("""COMPUTED_VALUE"""),"Spirit")</f>
        <v>Spirit</v>
      </c>
      <c r="E492" s="32">
        <f>IFERROR(__xludf.DUMMYFUNCTION("""COMPUTED_VALUE"""),1010.0)</f>
        <v>1010</v>
      </c>
      <c r="F492" s="33">
        <f>IFERROR(__xludf.DUMMYFUNCTION("""COMPUTED_VALUE"""),1010.0)</f>
        <v>1010</v>
      </c>
      <c r="G492" s="32">
        <f>IFERROR(__xludf.DUMMYFUNCTION("""COMPUTED_VALUE"""),1010.0)</f>
        <v>1010</v>
      </c>
      <c r="H492" s="32">
        <f>IFERROR(__xludf.DUMMYFUNCTION("""COMPUTED_VALUE"""),15.0)</f>
        <v>15</v>
      </c>
      <c r="I492" s="32">
        <f>IFERROR(__xludf.DUMMYFUNCTION("""COMPUTED_VALUE"""),0.0)</f>
        <v>0</v>
      </c>
      <c r="J492" s="32">
        <f>IFERROR(__xludf.DUMMYFUNCTION("""COMPUTED_VALUE"""),35.0)</f>
        <v>35</v>
      </c>
      <c r="K492" s="32">
        <f>IFERROR(__xludf.DUMMYFUNCTION("""COMPUTED_VALUE"""),100.0)</f>
        <v>100</v>
      </c>
      <c r="L492" s="32">
        <f>IFERROR(__xludf.DUMMYFUNCTION("""COMPUTED_VALUE"""),100.0)</f>
        <v>100</v>
      </c>
      <c r="M492" s="32"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32" t="str">
        <f>IFERROR(__xludf.DUMMYFUNCTION("""COMPUTED_VALUE"""),"Light:25, Spirit:25, Order:25, ")</f>
        <v>Light:25, Spirit:25, Order:25, </v>
      </c>
      <c r="O492" s="32"/>
      <c r="P492" s="32"/>
      <c r="Q492" s="32"/>
      <c r="R492" s="32"/>
      <c r="S492" s="32"/>
      <c r="T492" s="32"/>
      <c r="U492" s="32"/>
      <c r="V492" s="32"/>
      <c r="W492" s="32"/>
      <c r="X492" s="32"/>
      <c r="Y492" s="32"/>
      <c r="Z492" s="32"/>
      <c r="AA492" s="32"/>
      <c r="AB492" s="32"/>
      <c r="AC492" s="32"/>
      <c r="AD492" s="32"/>
      <c r="AE492" s="32"/>
      <c r="AF492" s="32"/>
      <c r="AG492" s="32"/>
      <c r="AH492" s="32"/>
      <c r="AI492" s="32"/>
      <c r="AJ492" s="32" t="str">
        <f>IFERROR(__xludf.DUMMYFUNCTION("""COMPUTED_VALUE"""),"Insanity Pulse")</f>
        <v>Insanity Pulse</v>
      </c>
      <c r="AK492" s="32" t="str">
        <f>IFERROR(__xludf.DUMMYFUNCTION("""COMPUTED_VALUE"""),"Chaos Beam")</f>
        <v>Chaos Beam</v>
      </c>
      <c r="AL492" s="32" t="str">
        <f>IFERROR(__xludf.DUMMYFUNCTION("""COMPUTED_VALUE"""),"Chaotic Implosion")</f>
        <v>Chaotic Implosion</v>
      </c>
      <c r="AM492" s="32" t="str">
        <f>IFERROR(__xludf.DUMMYFUNCTION("""COMPUTED_VALUE"""),"Chaotic Collapse")</f>
        <v>Chaotic Collapse</v>
      </c>
      <c r="AN492" s="32" t="str">
        <f>IFERROR(__xludf.DUMMYFUNCTION("""COMPUTED_VALUE"""),"Mass Chaotic Collapse")</f>
        <v>Mass Chaotic Collapse</v>
      </c>
      <c r="AO492" s="32" t="str">
        <f>IFERROR(__xludf.DUMMYFUNCTION("""COMPUTED_VALUE"""),"Dimensional Quake")</f>
        <v>Dimensional Quake</v>
      </c>
      <c r="AP492" s="32" t="str">
        <f>IFERROR(__xludf.DUMMYFUNCTION("""COMPUTED_VALUE"""),"Disruption")</f>
        <v>Disruption</v>
      </c>
      <c r="AQ492" s="32" t="str">
        <f>IFERROR(__xludf.DUMMYFUNCTION("""COMPUTED_VALUE"""),"Mad shot")</f>
        <v>Mad shot</v>
      </c>
      <c r="AR492" s="32" t="str">
        <f>IFERROR(__xludf.DUMMYFUNCTION("""COMPUTED_VALUE"""),"Deflect (Random)")</f>
        <v>Deflect (Random)</v>
      </c>
      <c r="AS492" s="32" t="str">
        <f>IFERROR(__xludf.DUMMYFUNCTION("""COMPUTED_VALUE"""),"Spirit Fog")</f>
        <v>Spirit Fog</v>
      </c>
      <c r="AT492" s="32" t="str">
        <f>IFERROR(__xludf.DUMMYFUNCTION("""COMPUTED_VALUE"""),"Dread")</f>
        <v>Dread</v>
      </c>
      <c r="AU492" s="32" t="str">
        <f>IFERROR(__xludf.DUMMYFUNCTION("""COMPUTED_VALUE"""),"Burning Dread")</f>
        <v>Burning Dread</v>
      </c>
      <c r="AV492" s="32" t="str">
        <f>IFERROR(__xludf.DUMMYFUNCTION("""COMPUTED_VALUE"""),"Vengeful Strike")</f>
        <v>Vengeful Strike</v>
      </c>
      <c r="AW492" s="32" t="str">
        <f>IFERROR(__xludf.DUMMYFUNCTION("""COMPUTED_VALUE"""),"Spectral Lash")</f>
        <v>Spectral Lash</v>
      </c>
      <c r="AX492" s="32" t="str">
        <f>IFERROR(__xludf.DUMMYFUNCTION("""COMPUTED_VALUE"""),"Mass Destruction")</f>
        <v>Mass Destruction</v>
      </c>
      <c r="AY492" s="32" t="str">
        <f>IFERROR(__xludf.DUMMYFUNCTION("""COMPUTED_VALUE"""),"Devolve")</f>
        <v>Devolve</v>
      </c>
      <c r="AZ492" s="32" t="str">
        <f>IFERROR(__xludf.DUMMYFUNCTION("""COMPUTED_VALUE"""),"Chaincast")</f>
        <v>Chaincast</v>
      </c>
      <c r="BA492" s="32" t="str">
        <f>IFERROR(__xludf.DUMMYFUNCTION("""COMPUTED_VALUE"""),"Darkest Abyss")</f>
        <v>Darkest Abyss</v>
      </c>
      <c r="BB492" s="32"/>
      <c r="BC492" s="32"/>
      <c r="BD492" s="32">
        <f>IFERROR(__xludf.DUMMYFUNCTION("""COMPUTED_VALUE"""),0.0)</f>
        <v>0</v>
      </c>
      <c r="BE492" s="32">
        <f>IFERROR(__xludf.DUMMYFUNCTION("""COMPUTED_VALUE"""),10.0)</f>
        <v>10</v>
      </c>
      <c r="BF492" s="32"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32" t="str">
        <f>IFERROR(__xludf.DUMMYFUNCTION("""COMPUTED_VALUE"""),"Dungeon")</f>
        <v>Dungeon</v>
      </c>
      <c r="BH492" s="32" t="str">
        <f>IFERROR(__xludf.DUMMYFUNCTION("""COMPUTED_VALUE"""),"Dragonscale Island")</f>
        <v>Dragonscale Island</v>
      </c>
      <c r="BI492" s="32"/>
      <c r="BJ492" s="32"/>
      <c r="BK492" s="32"/>
      <c r="BL492" s="32" t="b">
        <f>IFERROR(__xludf.DUMMYFUNCTION("""COMPUTED_VALUE"""),FALSE)</f>
        <v>0</v>
      </c>
      <c r="BM492" s="32"/>
      <c r="BN492" s="32"/>
      <c r="BO492" s="32"/>
      <c r="BP492" s="32"/>
      <c r="BQ492" s="32"/>
    </row>
    <row r="493">
      <c r="A493" s="32" t="str">
        <f>IFERROR(__xludf.DUMMYFUNCTION("""COMPUTED_VALUE"""),"Aspect of The First Dragon Keeper (Easy)")</f>
        <v>Aspect of The First Dragon Keeper (Easy)</v>
      </c>
      <c r="B493" s="32">
        <f>IFERROR(__xludf.DUMMYFUNCTION("""COMPUTED_VALUE"""),1.0)</f>
        <v>1</v>
      </c>
      <c r="C493" s="32"/>
      <c r="D493" s="32" t="str">
        <f>IFERROR(__xludf.DUMMYFUNCTION("""COMPUTED_VALUE"""),"Construct")</f>
        <v>Construct</v>
      </c>
      <c r="E493" s="32">
        <f>IFERROR(__xludf.DUMMYFUNCTION("""COMPUTED_VALUE"""),1010.0)</f>
        <v>1010</v>
      </c>
      <c r="F493" s="33">
        <f>IFERROR(__xludf.DUMMYFUNCTION("""COMPUTED_VALUE"""),1010.0)</f>
        <v>1010</v>
      </c>
      <c r="G493" s="32">
        <f>IFERROR(__xludf.DUMMYFUNCTION("""COMPUTED_VALUE"""),1010.0)</f>
        <v>1010</v>
      </c>
      <c r="H493" s="32">
        <f>IFERROR(__xludf.DUMMYFUNCTION("""COMPUTED_VALUE"""),10.0)</f>
        <v>10</v>
      </c>
      <c r="I493" s="32">
        <f>IFERROR(__xludf.DUMMYFUNCTION("""COMPUTED_VALUE"""),0.0)</f>
        <v>0</v>
      </c>
      <c r="J493" s="32">
        <f>IFERROR(__xludf.DUMMYFUNCTION("""COMPUTED_VALUE"""),0.0)</f>
        <v>0</v>
      </c>
      <c r="K493" s="32">
        <f>IFERROR(__xludf.DUMMYFUNCTION("""COMPUTED_VALUE"""),100.0)</f>
        <v>100</v>
      </c>
      <c r="L493" s="32">
        <f>IFERROR(__xludf.DUMMYFUNCTION("""COMPUTED_VALUE"""),100.0)</f>
        <v>100</v>
      </c>
      <c r="M493" s="32"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32" t="str">
        <f>IFERROR(__xludf.DUMMYFUNCTION("""COMPUTED_VALUE"""),"")</f>
        <v/>
      </c>
      <c r="O493" s="32"/>
      <c r="P493" s="32"/>
      <c r="Q493" s="32"/>
      <c r="R493" s="32"/>
      <c r="S493" s="32"/>
      <c r="T493" s="32"/>
      <c r="U493" s="32"/>
      <c r="V493" s="32"/>
      <c r="W493" s="32"/>
      <c r="X493" s="32"/>
      <c r="Y493" s="32"/>
      <c r="Z493" s="32"/>
      <c r="AA493" s="32"/>
      <c r="AB493" s="32"/>
      <c r="AC493" s="32"/>
      <c r="AD493" s="32"/>
      <c r="AE493" s="32"/>
      <c r="AF493" s="32"/>
      <c r="AG493" s="32"/>
      <c r="AH493" s="32"/>
      <c r="AI493" s="32"/>
      <c r="AJ493" s="32" t="str">
        <f>IFERROR(__xludf.DUMMYFUNCTION("""COMPUTED_VALUE"""),"Chaincast")</f>
        <v>Chaincast</v>
      </c>
      <c r="AK493" s="32" t="str">
        <f>IFERROR(__xludf.DUMMYFUNCTION("""COMPUTED_VALUE"""),"Chaos Ward")</f>
        <v>Chaos Ward</v>
      </c>
      <c r="AL493" s="32" t="str">
        <f>IFERROR(__xludf.DUMMYFUNCTION("""COMPUTED_VALUE"""),"Conceal")</f>
        <v>Conceal</v>
      </c>
      <c r="AM493" s="32" t="str">
        <f>IFERROR(__xludf.DUMMYFUNCTION("""COMPUTED_VALUE"""),"Last Gamble")</f>
        <v>Last Gamble</v>
      </c>
      <c r="AN493" s="32" t="str">
        <f>IFERROR(__xludf.DUMMYFUNCTION("""COMPUTED_VALUE"""),"Cancel")</f>
        <v>Cancel</v>
      </c>
      <c r="AO493" s="32" t="str">
        <f>IFERROR(__xludf.DUMMYFUNCTION("""COMPUTED_VALUE"""),"Dimension Portal")</f>
        <v>Dimension Portal</v>
      </c>
      <c r="AP493" s="32" t="str">
        <f>IFERROR(__xludf.DUMMYFUNCTION("""COMPUTED_VALUE"""),"Celestial Summon")</f>
        <v>Celestial Summon</v>
      </c>
      <c r="AQ493" s="32" t="str">
        <f>IFERROR(__xludf.DUMMYFUNCTION("""COMPUTED_VALUE"""),"Devolve")</f>
        <v>Devolve</v>
      </c>
      <c r="AR493" s="32" t="str">
        <f>IFERROR(__xludf.DUMMYFUNCTION("""COMPUTED_VALUE"""),"Berserk")</f>
        <v>Berserk</v>
      </c>
      <c r="AS493" s="32"/>
      <c r="AT493" s="32"/>
      <c r="AU493" s="32"/>
      <c r="AV493" s="32"/>
      <c r="AW493" s="32"/>
      <c r="AX493" s="32"/>
      <c r="AY493" s="32"/>
      <c r="AZ493" s="32"/>
      <c r="BA493" s="32"/>
      <c r="BB493" s="32"/>
      <c r="BC493" s="32"/>
      <c r="BD493" s="32">
        <f>IFERROR(__xludf.DUMMYFUNCTION("""COMPUTED_VALUE"""),0.0)</f>
        <v>0</v>
      </c>
      <c r="BE493" s="32">
        <f>IFERROR(__xludf.DUMMYFUNCTION("""COMPUTED_VALUE"""),10.0)</f>
        <v>10</v>
      </c>
      <c r="BF493" s="32"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32" t="str">
        <f>IFERROR(__xludf.DUMMYFUNCTION("""COMPUTED_VALUE"""),"Dungeon")</f>
        <v>Dungeon</v>
      </c>
      <c r="BH493" s="32" t="str">
        <f>IFERROR(__xludf.DUMMYFUNCTION("""COMPUTED_VALUE"""),"Dragonscale Island")</f>
        <v>Dragonscale Island</v>
      </c>
      <c r="BI493" s="32"/>
      <c r="BJ493" s="32"/>
      <c r="BK493" s="32"/>
      <c r="BL493" s="32" t="b">
        <f>IFERROR(__xludf.DUMMYFUNCTION("""COMPUTED_VALUE"""),FALSE)</f>
        <v>0</v>
      </c>
      <c r="BM493" s="32"/>
      <c r="BN493" s="32"/>
      <c r="BO493" s="32"/>
      <c r="BP493" s="32"/>
      <c r="BQ493" s="32"/>
    </row>
    <row r="494">
      <c r="A494" s="32" t="str">
        <f>IFERROR(__xludf.DUMMYFUNCTION("""COMPUTED_VALUE"""),"Aspect of The First Dragon Keeper (Medium)")</f>
        <v>Aspect of The First Dragon Keeper (Medium)</v>
      </c>
      <c r="B494" s="32">
        <f>IFERROR(__xludf.DUMMYFUNCTION("""COMPUTED_VALUE"""),1.0)</f>
        <v>1</v>
      </c>
      <c r="C494" s="32"/>
      <c r="D494" s="32" t="str">
        <f>IFERROR(__xludf.DUMMYFUNCTION("""COMPUTED_VALUE"""),"Construct")</f>
        <v>Construct</v>
      </c>
      <c r="E494" s="32">
        <f>IFERROR(__xludf.DUMMYFUNCTION("""COMPUTED_VALUE"""),1010.0)</f>
        <v>1010</v>
      </c>
      <c r="F494" s="33">
        <f>IFERROR(__xludf.DUMMYFUNCTION("""COMPUTED_VALUE"""),1010.0)</f>
        <v>1010</v>
      </c>
      <c r="G494" s="32">
        <f>IFERROR(__xludf.DUMMYFUNCTION("""COMPUTED_VALUE"""),1010.0)</f>
        <v>1010</v>
      </c>
      <c r="H494" s="32">
        <f>IFERROR(__xludf.DUMMYFUNCTION("""COMPUTED_VALUE"""),10.0)</f>
        <v>10</v>
      </c>
      <c r="I494" s="32">
        <f>IFERROR(__xludf.DUMMYFUNCTION("""COMPUTED_VALUE"""),0.0)</f>
        <v>0</v>
      </c>
      <c r="J494" s="32">
        <f>IFERROR(__xludf.DUMMYFUNCTION("""COMPUTED_VALUE"""),0.0)</f>
        <v>0</v>
      </c>
      <c r="K494" s="32">
        <f>IFERROR(__xludf.DUMMYFUNCTION("""COMPUTED_VALUE"""),100.0)</f>
        <v>100</v>
      </c>
      <c r="L494" s="32">
        <f>IFERROR(__xludf.DUMMYFUNCTION("""COMPUTED_VALUE"""),100.0)</f>
        <v>100</v>
      </c>
      <c r="M494" s="32"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32" t="str">
        <f>IFERROR(__xludf.DUMMYFUNCTION("""COMPUTED_VALUE"""),"")</f>
        <v/>
      </c>
      <c r="O494" s="32"/>
      <c r="P494" s="32"/>
      <c r="Q494" s="32"/>
      <c r="R494" s="32"/>
      <c r="S494" s="32"/>
      <c r="T494" s="32"/>
      <c r="U494" s="32"/>
      <c r="V494" s="32"/>
      <c r="W494" s="32"/>
      <c r="X494" s="32"/>
      <c r="Y494" s="32"/>
      <c r="Z494" s="32"/>
      <c r="AA494" s="32"/>
      <c r="AB494" s="32"/>
      <c r="AC494" s="32"/>
      <c r="AD494" s="32"/>
      <c r="AE494" s="32"/>
      <c r="AF494" s="32"/>
      <c r="AG494" s="32"/>
      <c r="AH494" s="32"/>
      <c r="AI494" s="32"/>
      <c r="AJ494" s="32" t="str">
        <f>IFERROR(__xludf.DUMMYFUNCTION("""COMPUTED_VALUE"""),"Chaincast")</f>
        <v>Chaincast</v>
      </c>
      <c r="AK494" s="32" t="str">
        <f>IFERROR(__xludf.DUMMYFUNCTION("""COMPUTED_VALUE"""),"Chaos Ward")</f>
        <v>Chaos Ward</v>
      </c>
      <c r="AL494" s="32" t="str">
        <f>IFERROR(__xludf.DUMMYFUNCTION("""COMPUTED_VALUE"""),"Conceal")</f>
        <v>Conceal</v>
      </c>
      <c r="AM494" s="32" t="str">
        <f>IFERROR(__xludf.DUMMYFUNCTION("""COMPUTED_VALUE"""),"Last Gamble")</f>
        <v>Last Gamble</v>
      </c>
      <c r="AN494" s="32" t="str">
        <f>IFERROR(__xludf.DUMMYFUNCTION("""COMPUTED_VALUE"""),"Cancel")</f>
        <v>Cancel</v>
      </c>
      <c r="AO494" s="32" t="str">
        <f>IFERROR(__xludf.DUMMYFUNCTION("""COMPUTED_VALUE"""),"Dimension Portal")</f>
        <v>Dimension Portal</v>
      </c>
      <c r="AP494" s="32" t="str">
        <f>IFERROR(__xludf.DUMMYFUNCTION("""COMPUTED_VALUE"""),"Celestial Summon")</f>
        <v>Celestial Summon</v>
      </c>
      <c r="AQ494" s="32" t="str">
        <f>IFERROR(__xludf.DUMMYFUNCTION("""COMPUTED_VALUE"""),"Devolve")</f>
        <v>Devolve</v>
      </c>
      <c r="AR494" s="32" t="str">
        <f>IFERROR(__xludf.DUMMYFUNCTION("""COMPUTED_VALUE"""),"Berserk")</f>
        <v>Berserk</v>
      </c>
      <c r="AS494" s="32"/>
      <c r="AT494" s="32"/>
      <c r="AU494" s="32"/>
      <c r="AV494" s="32"/>
      <c r="AW494" s="32"/>
      <c r="AX494" s="32"/>
      <c r="AY494" s="32"/>
      <c r="AZ494" s="32"/>
      <c r="BA494" s="32"/>
      <c r="BB494" s="32"/>
      <c r="BC494" s="32"/>
      <c r="BD494" s="32">
        <f>IFERROR(__xludf.DUMMYFUNCTION("""COMPUTED_VALUE"""),0.0)</f>
        <v>0</v>
      </c>
      <c r="BE494" s="32">
        <f>IFERROR(__xludf.DUMMYFUNCTION("""COMPUTED_VALUE"""),10.0)</f>
        <v>10</v>
      </c>
      <c r="BF494" s="32"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32" t="str">
        <f>IFERROR(__xludf.DUMMYFUNCTION("""COMPUTED_VALUE"""),"Dungeon")</f>
        <v>Dungeon</v>
      </c>
      <c r="BH494" s="32" t="str">
        <f>IFERROR(__xludf.DUMMYFUNCTION("""COMPUTED_VALUE"""),"Dragonscale Island")</f>
        <v>Dragonscale Island</v>
      </c>
      <c r="BI494" s="32"/>
      <c r="BJ494" s="32"/>
      <c r="BK494" s="32"/>
      <c r="BL494" s="32" t="b">
        <f>IFERROR(__xludf.DUMMYFUNCTION("""COMPUTED_VALUE"""),FALSE)</f>
        <v>0</v>
      </c>
      <c r="BM494" s="32"/>
      <c r="BN494" s="32"/>
      <c r="BO494" s="32"/>
      <c r="BP494" s="32"/>
      <c r="BQ494" s="32"/>
    </row>
    <row r="495">
      <c r="A495" s="32" t="str">
        <f>IFERROR(__xludf.DUMMYFUNCTION("""COMPUTED_VALUE"""),"Aspect of The First Dragon Keeper (Hard)")</f>
        <v>Aspect of The First Dragon Keeper (Hard)</v>
      </c>
      <c r="B495" s="32">
        <f>IFERROR(__xludf.DUMMYFUNCTION("""COMPUTED_VALUE"""),1.0)</f>
        <v>1</v>
      </c>
      <c r="C495" s="32"/>
      <c r="D495" s="32" t="str">
        <f>IFERROR(__xludf.DUMMYFUNCTION("""COMPUTED_VALUE"""),"Construct")</f>
        <v>Construct</v>
      </c>
      <c r="E495" s="32">
        <f>IFERROR(__xludf.DUMMYFUNCTION("""COMPUTED_VALUE"""),1010.0)</f>
        <v>1010</v>
      </c>
      <c r="F495" s="33">
        <f>IFERROR(__xludf.DUMMYFUNCTION("""COMPUTED_VALUE"""),1010.0)</f>
        <v>1010</v>
      </c>
      <c r="G495" s="32">
        <f>IFERROR(__xludf.DUMMYFUNCTION("""COMPUTED_VALUE"""),1010.0)</f>
        <v>1010</v>
      </c>
      <c r="H495" s="32">
        <f>IFERROR(__xludf.DUMMYFUNCTION("""COMPUTED_VALUE"""),10.0)</f>
        <v>10</v>
      </c>
      <c r="I495" s="32">
        <f>IFERROR(__xludf.DUMMYFUNCTION("""COMPUTED_VALUE"""),0.0)</f>
        <v>0</v>
      </c>
      <c r="J495" s="32">
        <f>IFERROR(__xludf.DUMMYFUNCTION("""COMPUTED_VALUE"""),0.0)</f>
        <v>0</v>
      </c>
      <c r="K495" s="32">
        <f>IFERROR(__xludf.DUMMYFUNCTION("""COMPUTED_VALUE"""),100.0)</f>
        <v>100</v>
      </c>
      <c r="L495" s="32">
        <f>IFERROR(__xludf.DUMMYFUNCTION("""COMPUTED_VALUE"""),100.0)</f>
        <v>100</v>
      </c>
      <c r="M495" s="32"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32" t="str">
        <f>IFERROR(__xludf.DUMMYFUNCTION("""COMPUTED_VALUE"""),"")</f>
        <v/>
      </c>
      <c r="O495" s="32"/>
      <c r="P495" s="32"/>
      <c r="Q495" s="32"/>
      <c r="R495" s="32"/>
      <c r="S495" s="32"/>
      <c r="T495" s="32"/>
      <c r="U495" s="32"/>
      <c r="V495" s="32"/>
      <c r="W495" s="32"/>
      <c r="X495" s="32"/>
      <c r="Y495" s="32"/>
      <c r="Z495" s="32"/>
      <c r="AA495" s="32"/>
      <c r="AB495" s="32"/>
      <c r="AC495" s="32"/>
      <c r="AD495" s="32"/>
      <c r="AE495" s="32"/>
      <c r="AF495" s="32"/>
      <c r="AG495" s="32"/>
      <c r="AH495" s="32"/>
      <c r="AI495" s="32"/>
      <c r="AJ495" s="32" t="str">
        <f>IFERROR(__xludf.DUMMYFUNCTION("""COMPUTED_VALUE"""),"Chaincast")</f>
        <v>Chaincast</v>
      </c>
      <c r="AK495" s="32" t="str">
        <f>IFERROR(__xludf.DUMMYFUNCTION("""COMPUTED_VALUE"""),"Chaos Ward")</f>
        <v>Chaos Ward</v>
      </c>
      <c r="AL495" s="32" t="str">
        <f>IFERROR(__xludf.DUMMYFUNCTION("""COMPUTED_VALUE"""),"Conceal")</f>
        <v>Conceal</v>
      </c>
      <c r="AM495" s="32" t="str">
        <f>IFERROR(__xludf.DUMMYFUNCTION("""COMPUTED_VALUE"""),"Last Gamble")</f>
        <v>Last Gamble</v>
      </c>
      <c r="AN495" s="32" t="str">
        <f>IFERROR(__xludf.DUMMYFUNCTION("""COMPUTED_VALUE"""),"Cancel")</f>
        <v>Cancel</v>
      </c>
      <c r="AO495" s="32" t="str">
        <f>IFERROR(__xludf.DUMMYFUNCTION("""COMPUTED_VALUE"""),"Dimension Portal")</f>
        <v>Dimension Portal</v>
      </c>
      <c r="AP495" s="32" t="str">
        <f>IFERROR(__xludf.DUMMYFUNCTION("""COMPUTED_VALUE"""),"Celestial Summon")</f>
        <v>Celestial Summon</v>
      </c>
      <c r="AQ495" s="32" t="str">
        <f>IFERROR(__xludf.DUMMYFUNCTION("""COMPUTED_VALUE"""),"Devolve")</f>
        <v>Devolve</v>
      </c>
      <c r="AR495" s="32" t="str">
        <f>IFERROR(__xludf.DUMMYFUNCTION("""COMPUTED_VALUE"""),"Berserk")</f>
        <v>Berserk</v>
      </c>
      <c r="AS495" s="32" t="str">
        <f>IFERROR(__xludf.DUMMYFUNCTION("""COMPUTED_VALUE"""),"Cannon Bombardment")</f>
        <v>Cannon Bombardment</v>
      </c>
      <c r="AT495" s="32" t="str">
        <f>IFERROR(__xludf.DUMMYFUNCTION("""COMPUTED_VALUE"""),"Thousand Arrows")</f>
        <v>Thousand Arrows</v>
      </c>
      <c r="AU495" s="32" t="str">
        <f>IFERROR(__xludf.DUMMYFUNCTION("""COMPUTED_VALUE"""),"Bullseye")</f>
        <v>Bullseye</v>
      </c>
      <c r="AV495" s="32" t="str">
        <f>IFERROR(__xludf.DUMMYFUNCTION("""COMPUTED_VALUE"""),"Good shot")</f>
        <v>Good shot</v>
      </c>
      <c r="AW495" s="32" t="str">
        <f>IFERROR(__xludf.DUMMYFUNCTION("""COMPUTED_VALUE"""),"Accuracy Boost")</f>
        <v>Accuracy Boost</v>
      </c>
      <c r="AX495" s="32"/>
      <c r="AY495" s="32"/>
      <c r="AZ495" s="32"/>
      <c r="BA495" s="32"/>
      <c r="BB495" s="32"/>
      <c r="BC495" s="32"/>
      <c r="BD495" s="32">
        <f>IFERROR(__xludf.DUMMYFUNCTION("""COMPUTED_VALUE"""),0.0)</f>
        <v>0</v>
      </c>
      <c r="BE495" s="32">
        <f>IFERROR(__xludf.DUMMYFUNCTION("""COMPUTED_VALUE"""),10.0)</f>
        <v>10</v>
      </c>
      <c r="BF495" s="32"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32" t="str">
        <f>IFERROR(__xludf.DUMMYFUNCTION("""COMPUTED_VALUE"""),"Dungeon")</f>
        <v>Dungeon</v>
      </c>
      <c r="BH495" s="32" t="str">
        <f>IFERROR(__xludf.DUMMYFUNCTION("""COMPUTED_VALUE"""),"Dragonscale Island")</f>
        <v>Dragonscale Island</v>
      </c>
      <c r="BI495" s="32"/>
      <c r="BJ495" s="32"/>
      <c r="BK495" s="32"/>
      <c r="BL495" s="32" t="b">
        <f>IFERROR(__xludf.DUMMYFUNCTION("""COMPUTED_VALUE"""),FALSE)</f>
        <v>0</v>
      </c>
      <c r="BM495" s="32"/>
      <c r="BN495" s="32"/>
      <c r="BO495" s="32"/>
      <c r="BP495" s="32"/>
      <c r="BQ495" s="32"/>
    </row>
    <row r="496">
      <c r="A496" s="32" t="str">
        <f>IFERROR(__xludf.DUMMYFUNCTION("""COMPUTED_VALUE"""),"Aspect of The First Dragon Keeper (Insane)")</f>
        <v>Aspect of The First Dragon Keeper (Insane)</v>
      </c>
      <c r="B496" s="32">
        <f>IFERROR(__xludf.DUMMYFUNCTION("""COMPUTED_VALUE"""),1.0)</f>
        <v>1</v>
      </c>
      <c r="C496" s="32"/>
      <c r="D496" s="32" t="str">
        <f>IFERROR(__xludf.DUMMYFUNCTION("""COMPUTED_VALUE"""),"Construct")</f>
        <v>Construct</v>
      </c>
      <c r="E496" s="32">
        <f>IFERROR(__xludf.DUMMYFUNCTION("""COMPUTED_VALUE"""),1010.0)</f>
        <v>1010</v>
      </c>
      <c r="F496" s="33">
        <f>IFERROR(__xludf.DUMMYFUNCTION("""COMPUTED_VALUE"""),1010.0)</f>
        <v>1010</v>
      </c>
      <c r="G496" s="32">
        <f>IFERROR(__xludf.DUMMYFUNCTION("""COMPUTED_VALUE"""),1010.0)</f>
        <v>1010</v>
      </c>
      <c r="H496" s="32">
        <f>IFERROR(__xludf.DUMMYFUNCTION("""COMPUTED_VALUE"""),10.0)</f>
        <v>10</v>
      </c>
      <c r="I496" s="32">
        <f>IFERROR(__xludf.DUMMYFUNCTION("""COMPUTED_VALUE"""),0.0)</f>
        <v>0</v>
      </c>
      <c r="J496" s="32">
        <f>IFERROR(__xludf.DUMMYFUNCTION("""COMPUTED_VALUE"""),0.0)</f>
        <v>0</v>
      </c>
      <c r="K496" s="32">
        <f>IFERROR(__xludf.DUMMYFUNCTION("""COMPUTED_VALUE"""),100.0)</f>
        <v>100</v>
      </c>
      <c r="L496" s="32">
        <f>IFERROR(__xludf.DUMMYFUNCTION("""COMPUTED_VALUE"""),100.0)</f>
        <v>100</v>
      </c>
      <c r="M496" s="32"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32" t="str">
        <f>IFERROR(__xludf.DUMMYFUNCTION("""COMPUTED_VALUE"""),"")</f>
        <v/>
      </c>
      <c r="O496" s="32"/>
      <c r="P496" s="32"/>
      <c r="Q496" s="32"/>
      <c r="R496" s="32"/>
      <c r="S496" s="32"/>
      <c r="T496" s="32"/>
      <c r="U496" s="32"/>
      <c r="V496" s="32"/>
      <c r="W496" s="32"/>
      <c r="X496" s="32"/>
      <c r="Y496" s="32"/>
      <c r="Z496" s="32"/>
      <c r="AA496" s="32"/>
      <c r="AB496" s="32"/>
      <c r="AC496" s="32"/>
      <c r="AD496" s="32"/>
      <c r="AE496" s="32"/>
      <c r="AF496" s="32"/>
      <c r="AG496" s="32"/>
      <c r="AH496" s="32"/>
      <c r="AI496" s="32"/>
      <c r="AJ496" s="32" t="str">
        <f>IFERROR(__xludf.DUMMYFUNCTION("""COMPUTED_VALUE"""),"Chaincast")</f>
        <v>Chaincast</v>
      </c>
      <c r="AK496" s="32" t="str">
        <f>IFERROR(__xludf.DUMMYFUNCTION("""COMPUTED_VALUE"""),"Chaos Ward")</f>
        <v>Chaos Ward</v>
      </c>
      <c r="AL496" s="32" t="str">
        <f>IFERROR(__xludf.DUMMYFUNCTION("""COMPUTED_VALUE"""),"Conceal")</f>
        <v>Conceal</v>
      </c>
      <c r="AM496" s="32" t="str">
        <f>IFERROR(__xludf.DUMMYFUNCTION("""COMPUTED_VALUE"""),"Last Gamble")</f>
        <v>Last Gamble</v>
      </c>
      <c r="AN496" s="32" t="str">
        <f>IFERROR(__xludf.DUMMYFUNCTION("""COMPUTED_VALUE"""),"Cancel")</f>
        <v>Cancel</v>
      </c>
      <c r="AO496" s="32" t="str">
        <f>IFERROR(__xludf.DUMMYFUNCTION("""COMPUTED_VALUE"""),"Dimension Portal")</f>
        <v>Dimension Portal</v>
      </c>
      <c r="AP496" s="32" t="str">
        <f>IFERROR(__xludf.DUMMYFUNCTION("""COMPUTED_VALUE"""),"Celestial Summon")</f>
        <v>Celestial Summon</v>
      </c>
      <c r="AQ496" s="32" t="str">
        <f>IFERROR(__xludf.DUMMYFUNCTION("""COMPUTED_VALUE"""),"Devolve")</f>
        <v>Devolve</v>
      </c>
      <c r="AR496" s="32" t="str">
        <f>IFERROR(__xludf.DUMMYFUNCTION("""COMPUTED_VALUE"""),"Berserk")</f>
        <v>Berserk</v>
      </c>
      <c r="AS496" s="32"/>
      <c r="AT496" s="32"/>
      <c r="AU496" s="32"/>
      <c r="AV496" s="32"/>
      <c r="AW496" s="32"/>
      <c r="AX496" s="32"/>
      <c r="AY496" s="32"/>
      <c r="AZ496" s="32"/>
      <c r="BA496" s="32"/>
      <c r="BB496" s="32"/>
      <c r="BC496" s="32"/>
      <c r="BD496" s="32">
        <f>IFERROR(__xludf.DUMMYFUNCTION("""COMPUTED_VALUE"""),0.0)</f>
        <v>0</v>
      </c>
      <c r="BE496" s="32">
        <f>IFERROR(__xludf.DUMMYFUNCTION("""COMPUTED_VALUE"""),10.0)</f>
        <v>10</v>
      </c>
      <c r="BF496" s="32"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32" t="str">
        <f>IFERROR(__xludf.DUMMYFUNCTION("""COMPUTED_VALUE"""),"Dungeon")</f>
        <v>Dungeon</v>
      </c>
      <c r="BH496" s="32" t="str">
        <f>IFERROR(__xludf.DUMMYFUNCTION("""COMPUTED_VALUE"""),"Dragonscale Island")</f>
        <v>Dragonscale Island</v>
      </c>
      <c r="BI496" s="32"/>
      <c r="BJ496" s="32"/>
      <c r="BK496" s="32"/>
      <c r="BL496" s="32" t="b">
        <f>IFERROR(__xludf.DUMMYFUNCTION("""COMPUTED_VALUE"""),FALSE)</f>
        <v>0</v>
      </c>
      <c r="BM496" s="32"/>
      <c r="BN496" s="32"/>
      <c r="BO496" s="32"/>
      <c r="BP496" s="32"/>
      <c r="BQ496" s="32"/>
    </row>
    <row r="497">
      <c r="A497" s="32" t="str">
        <f>IFERROR(__xludf.DUMMYFUNCTION("""COMPUTED_VALUE"""),"Slime Dragon")</f>
        <v>Slime Dragon</v>
      </c>
      <c r="B497" s="32">
        <f>IFERROR(__xludf.DUMMYFUNCTION("""COMPUTED_VALUE"""),1.0)</f>
        <v>1</v>
      </c>
      <c r="C497" s="32"/>
      <c r="D497" s="33" t="str">
        <f>IFERROR(__xludf.DUMMYFUNCTION("""COMPUTED_VALUE"""),"Draconic")</f>
        <v>Draconic</v>
      </c>
      <c r="E497" s="33">
        <f>IFERROR(__xludf.DUMMYFUNCTION("""COMPUTED_VALUE"""),1010.0)</f>
        <v>1010</v>
      </c>
      <c r="F497" s="33">
        <f>IFERROR(__xludf.DUMMYFUNCTION("""COMPUTED_VALUE"""),1010.0)</f>
        <v>1010</v>
      </c>
      <c r="G497" s="33">
        <f>IFERROR(__xludf.DUMMYFUNCTION("""COMPUTED_VALUE"""),1010.0)</f>
        <v>1010</v>
      </c>
      <c r="H497" s="32">
        <f>IFERROR(__xludf.DUMMYFUNCTION("""COMPUTED_VALUE"""),10.0)</f>
        <v>10</v>
      </c>
      <c r="I497" s="32">
        <f>IFERROR(__xludf.DUMMYFUNCTION("""COMPUTED_VALUE"""),0.0)</f>
        <v>0</v>
      </c>
      <c r="J497" s="32">
        <f>IFERROR(__xludf.DUMMYFUNCTION("""COMPUTED_VALUE"""),0.0)</f>
        <v>0</v>
      </c>
      <c r="K497" s="32">
        <f>IFERROR(__xludf.DUMMYFUNCTION("""COMPUTED_VALUE"""),100.0)</f>
        <v>100</v>
      </c>
      <c r="L497" s="32">
        <f>IFERROR(__xludf.DUMMYFUNCTION("""COMPUTED_VALUE"""),100.0)</f>
        <v>100</v>
      </c>
      <c r="M497" s="32" t="str">
        <f>IFERROR(__xludf.DUMMYFUNCTION("""COMPUTED_VALUE"""),"")</f>
        <v/>
      </c>
      <c r="N497" s="32" t="str">
        <f>IFERROR(__xludf.DUMMYFUNCTION("""COMPUTED_VALUE"""),"")</f>
        <v/>
      </c>
      <c r="O497" s="32"/>
      <c r="P497" s="32"/>
      <c r="Q497" s="32"/>
      <c r="R497" s="32"/>
      <c r="S497" s="32"/>
      <c r="T497" s="32"/>
      <c r="U497" s="32"/>
      <c r="V497" s="32"/>
      <c r="W497" s="32"/>
      <c r="X497" s="32"/>
      <c r="Y497" s="32"/>
      <c r="Z497" s="32"/>
      <c r="AA497" s="32"/>
      <c r="AB497" s="32"/>
      <c r="AC497" s="32"/>
      <c r="AD497" s="32"/>
      <c r="AE497" s="32"/>
      <c r="AF497" s="32"/>
      <c r="AG497" s="32"/>
      <c r="AH497" s="32"/>
      <c r="AI497" s="32"/>
      <c r="AJ497" s="32" t="str">
        <f>IFERROR(__xludf.DUMMYFUNCTION("""COMPUTED_VALUE"""),"Latch on")</f>
        <v>Latch on</v>
      </c>
      <c r="AK497" s="32" t="str">
        <f>IFERROR(__xludf.DUMMYFUNCTION("""COMPUTED_VALUE"""),"Absorb")</f>
        <v>Absorb</v>
      </c>
      <c r="AL497" s="32" t="str">
        <f>IFERROR(__xludf.DUMMYFUNCTION("""COMPUTED_VALUE"""),"Absorb Enemy ")</f>
        <v>Absorb Enemy </v>
      </c>
      <c r="AM497" s="32" t="str">
        <f>IFERROR(__xludf.DUMMYFUNCTION("""COMPUTED_VALUE"""),"Dragon's Breath")</f>
        <v>Dragon's Breath</v>
      </c>
      <c r="AN497" s="32" t="str">
        <f>IFERROR(__xludf.DUMMYFUNCTION("""COMPUTED_VALUE"""),"Bite")</f>
        <v>Bite</v>
      </c>
      <c r="AO497" s="32" t="str">
        <f>IFERROR(__xludf.DUMMYFUNCTION("""COMPUTED_VALUE"""),"Tail Smash")</f>
        <v>Tail Smash</v>
      </c>
      <c r="AP497" s="32" t="str">
        <f>IFERROR(__xludf.DUMMYFUNCTION("""COMPUTED_VALUE"""),"Claws")</f>
        <v>Claws</v>
      </c>
      <c r="AQ497" s="32" t="str">
        <f>IFERROR(__xludf.DUMMYFUNCTION("""COMPUTED_VALUE"""),"Berserk")</f>
        <v>Berserk</v>
      </c>
      <c r="AR497" s="32" t="str">
        <f>IFERROR(__xludf.DUMMYFUNCTION("""COMPUTED_VALUE"""),"Multishot")</f>
        <v>Multishot</v>
      </c>
      <c r="AS497" s="32" t="str">
        <f>IFERROR(__xludf.DUMMYFUNCTION("""COMPUTED_VALUE"""),"Draconic Scream")</f>
        <v>Draconic Scream</v>
      </c>
      <c r="AT497" s="32" t="str">
        <f>IFERROR(__xludf.DUMMYFUNCTION("""COMPUTED_VALUE"""),"Chaincast")</f>
        <v>Chaincast</v>
      </c>
      <c r="AU497" s="32"/>
      <c r="AV497" s="32"/>
      <c r="AW497" s="32"/>
      <c r="AX497" s="32"/>
      <c r="AY497" s="32"/>
      <c r="AZ497" s="32"/>
      <c r="BA497" s="32"/>
      <c r="BB497" s="32"/>
      <c r="BC497" s="32"/>
      <c r="BD497" s="32">
        <f>IFERROR(__xludf.DUMMYFUNCTION("""COMPUTED_VALUE"""),0.0)</f>
        <v>0</v>
      </c>
      <c r="BE497" s="32">
        <f>IFERROR(__xludf.DUMMYFUNCTION("""COMPUTED_VALUE"""),15.0)</f>
        <v>15</v>
      </c>
      <c r="BF497" s="32"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32" t="str">
        <f>IFERROR(__xludf.DUMMYFUNCTION("""COMPUTED_VALUE"""),"All")</f>
        <v>All</v>
      </c>
      <c r="BH497" s="32" t="str">
        <f>IFERROR(__xludf.DUMMYFUNCTION("""COMPUTED_VALUE"""),"Dragonscale Island")</f>
        <v>Dragonscale Island</v>
      </c>
      <c r="BI497" s="32"/>
      <c r="BJ497" s="32"/>
      <c r="BK497" s="32"/>
      <c r="BL497" s="32" t="b">
        <f>IFERROR(__xludf.DUMMYFUNCTION("""COMPUTED_VALUE"""),FALSE)</f>
        <v>0</v>
      </c>
      <c r="BM497" s="32"/>
      <c r="BN497" s="32"/>
      <c r="BO497" s="32"/>
      <c r="BP497" s="32"/>
      <c r="BQ497" s="32"/>
    </row>
    <row r="498">
      <c r="A498" s="32" t="str">
        <f>IFERROR(__xludf.DUMMYFUNCTION("""COMPUTED_VALUE"""),"Elder Slime Dragon")</f>
        <v>Elder Slime Dragon</v>
      </c>
      <c r="B498" s="32">
        <f>IFERROR(__xludf.DUMMYFUNCTION("""COMPUTED_VALUE"""),1.0)</f>
        <v>1</v>
      </c>
      <c r="C498" s="32"/>
      <c r="D498" s="33" t="str">
        <f>IFERROR(__xludf.DUMMYFUNCTION("""COMPUTED_VALUE"""),"Draconic")</f>
        <v>Draconic</v>
      </c>
      <c r="E498" s="33">
        <f>IFERROR(__xludf.DUMMYFUNCTION("""COMPUTED_VALUE"""),1010.0)</f>
        <v>1010</v>
      </c>
      <c r="F498" s="33">
        <f>IFERROR(__xludf.DUMMYFUNCTION("""COMPUTED_VALUE"""),1010.0)</f>
        <v>1010</v>
      </c>
      <c r="G498" s="33">
        <f>IFERROR(__xludf.DUMMYFUNCTION("""COMPUTED_VALUE"""),1010.0)</f>
        <v>1010</v>
      </c>
      <c r="H498" s="32">
        <f>IFERROR(__xludf.DUMMYFUNCTION("""COMPUTED_VALUE"""),10.0)</f>
        <v>10</v>
      </c>
      <c r="I498" s="32">
        <f>IFERROR(__xludf.DUMMYFUNCTION("""COMPUTED_VALUE"""),0.0)</f>
        <v>0</v>
      </c>
      <c r="J498" s="32">
        <f>IFERROR(__xludf.DUMMYFUNCTION("""COMPUTED_VALUE"""),0.0)</f>
        <v>0</v>
      </c>
      <c r="K498" s="32">
        <f>IFERROR(__xludf.DUMMYFUNCTION("""COMPUTED_VALUE"""),100.0)</f>
        <v>100</v>
      </c>
      <c r="L498" s="32">
        <f>IFERROR(__xludf.DUMMYFUNCTION("""COMPUTED_VALUE"""),100.0)</f>
        <v>100</v>
      </c>
      <c r="M498" s="32" t="str">
        <f>IFERROR(__xludf.DUMMYFUNCTION("""COMPUTED_VALUE"""),"")</f>
        <v/>
      </c>
      <c r="N498" s="32" t="str">
        <f>IFERROR(__xludf.DUMMYFUNCTION("""COMPUTED_VALUE"""),"")</f>
        <v/>
      </c>
      <c r="O498" s="32"/>
      <c r="P498" s="32"/>
      <c r="Q498" s="32"/>
      <c r="R498" s="32"/>
      <c r="S498" s="32"/>
      <c r="T498" s="32"/>
      <c r="U498" s="32"/>
      <c r="V498" s="32"/>
      <c r="W498" s="32"/>
      <c r="X498" s="32"/>
      <c r="Y498" s="32"/>
      <c r="Z498" s="32"/>
      <c r="AA498" s="32"/>
      <c r="AB498" s="32"/>
      <c r="AC498" s="32"/>
      <c r="AD498" s="32"/>
      <c r="AE498" s="32"/>
      <c r="AF498" s="32"/>
      <c r="AG498" s="32"/>
      <c r="AH498" s="32"/>
      <c r="AI498" s="32"/>
      <c r="AJ498" s="32" t="str">
        <f>IFERROR(__xludf.DUMMYFUNCTION("""COMPUTED_VALUE"""),"Latch on")</f>
        <v>Latch on</v>
      </c>
      <c r="AK498" s="32" t="str">
        <f>IFERROR(__xludf.DUMMYFUNCTION("""COMPUTED_VALUE"""),"Absorb")</f>
        <v>Absorb</v>
      </c>
      <c r="AL498" s="32" t="str">
        <f>IFERROR(__xludf.DUMMYFUNCTION("""COMPUTED_VALUE"""),"Absorb Enemy ")</f>
        <v>Absorb Enemy </v>
      </c>
      <c r="AM498" s="32" t="str">
        <f>IFERROR(__xludf.DUMMYFUNCTION("""COMPUTED_VALUE"""),"Greater Dragon's Breath")</f>
        <v>Greater Dragon's Breath</v>
      </c>
      <c r="AN498" s="32" t="str">
        <f>IFERROR(__xludf.DUMMYFUNCTION("""COMPUTED_VALUE"""),"Bite")</f>
        <v>Bite</v>
      </c>
      <c r="AO498" s="32" t="str">
        <f>IFERROR(__xludf.DUMMYFUNCTION("""COMPUTED_VALUE"""),"Tail Smash")</f>
        <v>Tail Smash</v>
      </c>
      <c r="AP498" s="32" t="str">
        <f>IFERROR(__xludf.DUMMYFUNCTION("""COMPUTED_VALUE"""),"Claws")</f>
        <v>Claws</v>
      </c>
      <c r="AQ498" s="32" t="str">
        <f>IFERROR(__xludf.DUMMYFUNCTION("""COMPUTED_VALUE"""),"Berserk")</f>
        <v>Berserk</v>
      </c>
      <c r="AR498" s="32" t="str">
        <f>IFERROR(__xludf.DUMMYFUNCTION("""COMPUTED_VALUE"""),"Multishot")</f>
        <v>Multishot</v>
      </c>
      <c r="AS498" s="32" t="str">
        <f>IFERROR(__xludf.DUMMYFUNCTION("""COMPUTED_VALUE"""),"Draconic Scream")</f>
        <v>Draconic Scream</v>
      </c>
      <c r="AT498" s="32" t="str">
        <f>IFERROR(__xludf.DUMMYFUNCTION("""COMPUTED_VALUE"""),"Chaincast")</f>
        <v>Chaincast</v>
      </c>
      <c r="AU498" s="32"/>
      <c r="AV498" s="32"/>
      <c r="AW498" s="32"/>
      <c r="AX498" s="32"/>
      <c r="AY498" s="32"/>
      <c r="AZ498" s="32"/>
      <c r="BA498" s="32"/>
      <c r="BB498" s="32"/>
      <c r="BC498" s="32"/>
      <c r="BD498" s="32">
        <f>IFERROR(__xludf.DUMMYFUNCTION("""COMPUTED_VALUE"""),0.0)</f>
        <v>0</v>
      </c>
      <c r="BE498" s="32">
        <f>IFERROR(__xludf.DUMMYFUNCTION("""COMPUTED_VALUE"""),15.0)</f>
        <v>15</v>
      </c>
      <c r="BF498" s="32"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32" t="str">
        <f>IFERROR(__xludf.DUMMYFUNCTION("""COMPUTED_VALUE"""),"All")</f>
        <v>All</v>
      </c>
      <c r="BH498" s="32" t="str">
        <f>IFERROR(__xludf.DUMMYFUNCTION("""COMPUTED_VALUE"""),"Dragonscale Island")</f>
        <v>Dragonscale Island</v>
      </c>
      <c r="BI498" s="32"/>
      <c r="BJ498" s="32"/>
      <c r="BK498" s="32"/>
      <c r="BL498" s="32" t="b">
        <f>IFERROR(__xludf.DUMMYFUNCTION("""COMPUTED_VALUE"""),FALSE)</f>
        <v>0</v>
      </c>
      <c r="BM498" s="32"/>
      <c r="BN498" s="32"/>
      <c r="BO498" s="32"/>
      <c r="BP498" s="32"/>
      <c r="BQ498" s="32"/>
    </row>
    <row r="499">
      <c r="A499" s="32" t="str">
        <f>IFERROR(__xludf.DUMMYFUNCTION("""COMPUTED_VALUE"""),"Ancient Slime Dragon")</f>
        <v>Ancient Slime Dragon</v>
      </c>
      <c r="B499" s="32">
        <f>IFERROR(__xludf.DUMMYFUNCTION("""COMPUTED_VALUE"""),1.0)</f>
        <v>1</v>
      </c>
      <c r="C499" s="32"/>
      <c r="D499" s="33" t="str">
        <f>IFERROR(__xludf.DUMMYFUNCTION("""COMPUTED_VALUE"""),"Draconic")</f>
        <v>Draconic</v>
      </c>
      <c r="E499" s="33">
        <f>IFERROR(__xludf.DUMMYFUNCTION("""COMPUTED_VALUE"""),1010.0)</f>
        <v>1010</v>
      </c>
      <c r="F499" s="33">
        <f>IFERROR(__xludf.DUMMYFUNCTION("""COMPUTED_VALUE"""),1010.0)</f>
        <v>1010</v>
      </c>
      <c r="G499" s="33">
        <f>IFERROR(__xludf.DUMMYFUNCTION("""COMPUTED_VALUE"""),1010.0)</f>
        <v>1010</v>
      </c>
      <c r="H499" s="32">
        <f>IFERROR(__xludf.DUMMYFUNCTION("""COMPUTED_VALUE"""),10.0)</f>
        <v>10</v>
      </c>
      <c r="I499" s="32">
        <f>IFERROR(__xludf.DUMMYFUNCTION("""COMPUTED_VALUE"""),0.0)</f>
        <v>0</v>
      </c>
      <c r="J499" s="32">
        <f>IFERROR(__xludf.DUMMYFUNCTION("""COMPUTED_VALUE"""),0.0)</f>
        <v>0</v>
      </c>
      <c r="K499" s="32">
        <f>IFERROR(__xludf.DUMMYFUNCTION("""COMPUTED_VALUE"""),100.0)</f>
        <v>100</v>
      </c>
      <c r="L499" s="32">
        <f>IFERROR(__xludf.DUMMYFUNCTION("""COMPUTED_VALUE"""),100.0)</f>
        <v>100</v>
      </c>
      <c r="M499" s="32" t="str">
        <f>IFERROR(__xludf.DUMMYFUNCTION("""COMPUTED_VALUE"""),"")</f>
        <v/>
      </c>
      <c r="N499" s="32" t="str">
        <f>IFERROR(__xludf.DUMMYFUNCTION("""COMPUTED_VALUE"""),"")</f>
        <v/>
      </c>
      <c r="O499" s="32"/>
      <c r="P499" s="32"/>
      <c r="Q499" s="32"/>
      <c r="R499" s="32"/>
      <c r="S499" s="32"/>
      <c r="T499" s="32"/>
      <c r="U499" s="32"/>
      <c r="V499" s="32"/>
      <c r="W499" s="32"/>
      <c r="X499" s="32"/>
      <c r="Y499" s="32"/>
      <c r="Z499" s="32"/>
      <c r="AA499" s="32"/>
      <c r="AB499" s="32"/>
      <c r="AC499" s="32"/>
      <c r="AD499" s="32"/>
      <c r="AE499" s="32"/>
      <c r="AF499" s="32"/>
      <c r="AG499" s="32"/>
      <c r="AH499" s="32"/>
      <c r="AI499" s="32"/>
      <c r="AJ499" s="32" t="str">
        <f>IFERROR(__xludf.DUMMYFUNCTION("""COMPUTED_VALUE"""),"Latch on")</f>
        <v>Latch on</v>
      </c>
      <c r="AK499" s="32" t="str">
        <f>IFERROR(__xludf.DUMMYFUNCTION("""COMPUTED_VALUE"""),"Absorb")</f>
        <v>Absorb</v>
      </c>
      <c r="AL499" s="32" t="str">
        <f>IFERROR(__xludf.DUMMYFUNCTION("""COMPUTED_VALUE"""),"Absorb Enemy ")</f>
        <v>Absorb Enemy </v>
      </c>
      <c r="AM499" s="32" t="str">
        <f>IFERROR(__xludf.DUMMYFUNCTION("""COMPUTED_VALUE"""),"Greater Dragon's Breath")</f>
        <v>Greater Dragon's Breath</v>
      </c>
      <c r="AN499" s="32" t="str">
        <f>IFERROR(__xludf.DUMMYFUNCTION("""COMPUTED_VALUE"""),"Bite")</f>
        <v>Bite</v>
      </c>
      <c r="AO499" s="32" t="str">
        <f>IFERROR(__xludf.DUMMYFUNCTION("""COMPUTED_VALUE"""),"Tail Smash")</f>
        <v>Tail Smash</v>
      </c>
      <c r="AP499" s="32" t="str">
        <f>IFERROR(__xludf.DUMMYFUNCTION("""COMPUTED_VALUE"""),"Claws")</f>
        <v>Claws</v>
      </c>
      <c r="AQ499" s="32" t="str">
        <f>IFERROR(__xludf.DUMMYFUNCTION("""COMPUTED_VALUE"""),"Berserk")</f>
        <v>Berserk</v>
      </c>
      <c r="AR499" s="32" t="str">
        <f>IFERROR(__xludf.DUMMYFUNCTION("""COMPUTED_VALUE"""),"Multishot")</f>
        <v>Multishot</v>
      </c>
      <c r="AS499" s="32" t="str">
        <f>IFERROR(__xludf.DUMMYFUNCTION("""COMPUTED_VALUE"""),"Draconic Scream")</f>
        <v>Draconic Scream</v>
      </c>
      <c r="AT499" s="32" t="str">
        <f>IFERROR(__xludf.DUMMYFUNCTION("""COMPUTED_VALUE"""),"Chaincast")</f>
        <v>Chaincast</v>
      </c>
      <c r="AU499" s="32"/>
      <c r="AV499" s="32"/>
      <c r="AW499" s="32"/>
      <c r="AX499" s="32"/>
      <c r="AY499" s="32"/>
      <c r="AZ499" s="32"/>
      <c r="BA499" s="32"/>
      <c r="BB499" s="32"/>
      <c r="BC499" s="32"/>
      <c r="BD499" s="32">
        <f>IFERROR(__xludf.DUMMYFUNCTION("""COMPUTED_VALUE"""),0.0)</f>
        <v>0</v>
      </c>
      <c r="BE499" s="32">
        <f>IFERROR(__xludf.DUMMYFUNCTION("""COMPUTED_VALUE"""),15.0)</f>
        <v>15</v>
      </c>
      <c r="BF499" s="32"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32" t="str">
        <f>IFERROR(__xludf.DUMMYFUNCTION("""COMPUTED_VALUE"""),"All")</f>
        <v>All</v>
      </c>
      <c r="BH499" s="32" t="str">
        <f>IFERROR(__xludf.DUMMYFUNCTION("""COMPUTED_VALUE"""),"Dragonscale Island")</f>
        <v>Dragonscale Island</v>
      </c>
      <c r="BI499" s="32"/>
      <c r="BJ499" s="32"/>
      <c r="BK499" s="32"/>
      <c r="BL499" s="32" t="b">
        <f>IFERROR(__xludf.DUMMYFUNCTION("""COMPUTED_VALUE"""),FALSE)</f>
        <v>0</v>
      </c>
      <c r="BM499" s="32"/>
      <c r="BN499" s="32"/>
      <c r="BO499" s="32"/>
      <c r="BP499" s="32"/>
      <c r="BQ499" s="32"/>
    </row>
    <row r="500">
      <c r="A500" s="32" t="str">
        <f>IFERROR(__xludf.DUMMYFUNCTION("""COMPUTED_VALUE"""),"Divine Slime Dragon")</f>
        <v>Divine Slime Dragon</v>
      </c>
      <c r="B500" s="32">
        <f>IFERROR(__xludf.DUMMYFUNCTION("""COMPUTED_VALUE"""),1.0)</f>
        <v>1</v>
      </c>
      <c r="C500" s="32"/>
      <c r="D500" s="33" t="str">
        <f>IFERROR(__xludf.DUMMYFUNCTION("""COMPUTED_VALUE"""),"Draconic")</f>
        <v>Draconic</v>
      </c>
      <c r="E500" s="33">
        <f>IFERROR(__xludf.DUMMYFUNCTION("""COMPUTED_VALUE"""),1010.0)</f>
        <v>1010</v>
      </c>
      <c r="F500" s="33">
        <f>IFERROR(__xludf.DUMMYFUNCTION("""COMPUTED_VALUE"""),1010.0)</f>
        <v>1010</v>
      </c>
      <c r="G500" s="33">
        <f>IFERROR(__xludf.DUMMYFUNCTION("""COMPUTED_VALUE"""),1010.0)</f>
        <v>1010</v>
      </c>
      <c r="H500" s="32">
        <f>IFERROR(__xludf.DUMMYFUNCTION("""COMPUTED_VALUE"""),10.0)</f>
        <v>10</v>
      </c>
      <c r="I500" s="32">
        <f>IFERROR(__xludf.DUMMYFUNCTION("""COMPUTED_VALUE"""),0.0)</f>
        <v>0</v>
      </c>
      <c r="J500" s="32">
        <f>IFERROR(__xludf.DUMMYFUNCTION("""COMPUTED_VALUE"""),0.0)</f>
        <v>0</v>
      </c>
      <c r="K500" s="32">
        <f>IFERROR(__xludf.DUMMYFUNCTION("""COMPUTED_VALUE"""),100.0)</f>
        <v>100</v>
      </c>
      <c r="L500" s="32">
        <f>IFERROR(__xludf.DUMMYFUNCTION("""COMPUTED_VALUE"""),100.0)</f>
        <v>100</v>
      </c>
      <c r="M500" s="32" t="str">
        <f>IFERROR(__xludf.DUMMYFUNCTION("""COMPUTED_VALUE"""),"")</f>
        <v/>
      </c>
      <c r="N500" s="32" t="str">
        <f>IFERROR(__xludf.DUMMYFUNCTION("""COMPUTED_VALUE"""),"")</f>
        <v/>
      </c>
      <c r="O500" s="32"/>
      <c r="P500" s="32"/>
      <c r="Q500" s="32"/>
      <c r="R500" s="32"/>
      <c r="S500" s="32"/>
      <c r="T500" s="32"/>
      <c r="U500" s="32"/>
      <c r="V500" s="32"/>
      <c r="W500" s="32"/>
      <c r="X500" s="32"/>
      <c r="Y500" s="32"/>
      <c r="Z500" s="32"/>
      <c r="AA500" s="32"/>
      <c r="AB500" s="32"/>
      <c r="AC500" s="32"/>
      <c r="AD500" s="32"/>
      <c r="AE500" s="32"/>
      <c r="AF500" s="32"/>
      <c r="AG500" s="32"/>
      <c r="AH500" s="32"/>
      <c r="AI500" s="32"/>
      <c r="AJ500" s="32" t="str">
        <f>IFERROR(__xludf.DUMMYFUNCTION("""COMPUTED_VALUE"""),"Latch on")</f>
        <v>Latch on</v>
      </c>
      <c r="AK500" s="32" t="str">
        <f>IFERROR(__xludf.DUMMYFUNCTION("""COMPUTED_VALUE"""),"Absorb")</f>
        <v>Absorb</v>
      </c>
      <c r="AL500" s="32" t="str">
        <f>IFERROR(__xludf.DUMMYFUNCTION("""COMPUTED_VALUE"""),"Absorb Enemy ")</f>
        <v>Absorb Enemy </v>
      </c>
      <c r="AM500" s="32" t="str">
        <f>IFERROR(__xludf.DUMMYFUNCTION("""COMPUTED_VALUE"""),"Divine Dragon's Breath")</f>
        <v>Divine Dragon's Breath</v>
      </c>
      <c r="AN500" s="32" t="str">
        <f>IFERROR(__xludf.DUMMYFUNCTION("""COMPUTED_VALUE"""),"Bite")</f>
        <v>Bite</v>
      </c>
      <c r="AO500" s="32" t="str">
        <f>IFERROR(__xludf.DUMMYFUNCTION("""COMPUTED_VALUE"""),"Tail Smash")</f>
        <v>Tail Smash</v>
      </c>
      <c r="AP500" s="32" t="str">
        <f>IFERROR(__xludf.DUMMYFUNCTION("""COMPUTED_VALUE"""),"Claws")</f>
        <v>Claws</v>
      </c>
      <c r="AQ500" s="32" t="str">
        <f>IFERROR(__xludf.DUMMYFUNCTION("""COMPUTED_VALUE"""),"Berserk")</f>
        <v>Berserk</v>
      </c>
      <c r="AR500" s="32" t="str">
        <f>IFERROR(__xludf.DUMMYFUNCTION("""COMPUTED_VALUE"""),"Multishot")</f>
        <v>Multishot</v>
      </c>
      <c r="AS500" s="32" t="str">
        <f>IFERROR(__xludf.DUMMYFUNCTION("""COMPUTED_VALUE"""),"Draconic Scream")</f>
        <v>Draconic Scream</v>
      </c>
      <c r="AT500" s="32" t="str">
        <f>IFERROR(__xludf.DUMMYFUNCTION("""COMPUTED_VALUE"""),"Chaincast")</f>
        <v>Chaincast</v>
      </c>
      <c r="AU500" s="32"/>
      <c r="AV500" s="32"/>
      <c r="AW500" s="32"/>
      <c r="AX500" s="32"/>
      <c r="AY500" s="32"/>
      <c r="AZ500" s="32"/>
      <c r="BA500" s="32"/>
      <c r="BB500" s="32"/>
      <c r="BC500" s="32"/>
      <c r="BD500" s="32">
        <f>IFERROR(__xludf.DUMMYFUNCTION("""COMPUTED_VALUE"""),0.0)</f>
        <v>0</v>
      </c>
      <c r="BE500" s="32">
        <f>IFERROR(__xludf.DUMMYFUNCTION("""COMPUTED_VALUE"""),15.0)</f>
        <v>15</v>
      </c>
      <c r="BF500" s="32"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32" t="str">
        <f>IFERROR(__xludf.DUMMYFUNCTION("""COMPUTED_VALUE"""),"All")</f>
        <v>All</v>
      </c>
      <c r="BH500" s="32" t="str">
        <f>IFERROR(__xludf.DUMMYFUNCTION("""COMPUTED_VALUE"""),"Dragonscale Island")</f>
        <v>Dragonscale Island</v>
      </c>
      <c r="BI500" s="32"/>
      <c r="BJ500" s="32"/>
      <c r="BK500" s="32"/>
      <c r="BL500" s="32" t="b">
        <f>IFERROR(__xludf.DUMMYFUNCTION("""COMPUTED_VALUE"""),FALSE)</f>
        <v>0</v>
      </c>
      <c r="BM500" s="32"/>
      <c r="BN500" s="32"/>
      <c r="BO500" s="32"/>
      <c r="BP500" s="32"/>
      <c r="BQ500" s="32"/>
    </row>
    <row r="501">
      <c r="A501" s="32" t="str">
        <f>IFERROR(__xludf.DUMMYFUNCTION("""COMPUTED_VALUE"""),"Slime Wyrm")</f>
        <v>Slime Wyrm</v>
      </c>
      <c r="B501" s="32">
        <f>IFERROR(__xludf.DUMMYFUNCTION("""COMPUTED_VALUE"""),1.0)</f>
        <v>1</v>
      </c>
      <c r="C501" s="32"/>
      <c r="D501" s="33" t="str">
        <f>IFERROR(__xludf.DUMMYFUNCTION("""COMPUTED_VALUE"""),"Draconic")</f>
        <v>Draconic</v>
      </c>
      <c r="E501" s="33">
        <f>IFERROR(__xludf.DUMMYFUNCTION("""COMPUTED_VALUE"""),1010.0)</f>
        <v>1010</v>
      </c>
      <c r="F501" s="33">
        <f>IFERROR(__xludf.DUMMYFUNCTION("""COMPUTED_VALUE"""),1010.0)</f>
        <v>1010</v>
      </c>
      <c r="G501" s="33">
        <f>IFERROR(__xludf.DUMMYFUNCTION("""COMPUTED_VALUE"""),1010.0)</f>
        <v>1010</v>
      </c>
      <c r="H501" s="32">
        <f>IFERROR(__xludf.DUMMYFUNCTION("""COMPUTED_VALUE"""),10.0)</f>
        <v>10</v>
      </c>
      <c r="I501" s="32">
        <f>IFERROR(__xludf.DUMMYFUNCTION("""COMPUTED_VALUE"""),0.0)</f>
        <v>0</v>
      </c>
      <c r="J501" s="32">
        <f>IFERROR(__xludf.DUMMYFUNCTION("""COMPUTED_VALUE"""),0.0)</f>
        <v>0</v>
      </c>
      <c r="K501" s="32">
        <f>IFERROR(__xludf.DUMMYFUNCTION("""COMPUTED_VALUE"""),100.0)</f>
        <v>100</v>
      </c>
      <c r="L501" s="32">
        <f>IFERROR(__xludf.DUMMYFUNCTION("""COMPUTED_VALUE"""),100.0)</f>
        <v>100</v>
      </c>
      <c r="M501" s="32" t="str">
        <f>IFERROR(__xludf.DUMMYFUNCTION("""COMPUTED_VALUE"""),"")</f>
        <v/>
      </c>
      <c r="N501" s="32" t="str">
        <f>IFERROR(__xludf.DUMMYFUNCTION("""COMPUTED_VALUE"""),"")</f>
        <v/>
      </c>
      <c r="O501" s="32"/>
      <c r="P501" s="32"/>
      <c r="Q501" s="32"/>
      <c r="R501" s="32"/>
      <c r="S501" s="32"/>
      <c r="T501" s="32"/>
      <c r="U501" s="32"/>
      <c r="V501" s="32"/>
      <c r="W501" s="32"/>
      <c r="X501" s="32"/>
      <c r="Y501" s="32"/>
      <c r="Z501" s="32"/>
      <c r="AA501" s="32"/>
      <c r="AB501" s="32"/>
      <c r="AC501" s="32"/>
      <c r="AD501" s="32"/>
      <c r="AE501" s="32"/>
      <c r="AF501" s="32"/>
      <c r="AG501" s="32"/>
      <c r="AH501" s="32"/>
      <c r="AI501" s="32"/>
      <c r="AJ501" s="32" t="str">
        <f>IFERROR(__xludf.DUMMYFUNCTION("""COMPUTED_VALUE"""),"Latch on")</f>
        <v>Latch on</v>
      </c>
      <c r="AK501" s="32" t="str">
        <f>IFERROR(__xludf.DUMMYFUNCTION("""COMPUTED_VALUE"""),"Absorb")</f>
        <v>Absorb</v>
      </c>
      <c r="AL501" s="32" t="str">
        <f>IFERROR(__xludf.DUMMYFUNCTION("""COMPUTED_VALUE"""),"Absorb Enemy ")</f>
        <v>Absorb Enemy </v>
      </c>
      <c r="AM501" s="32" t="str">
        <f>IFERROR(__xludf.DUMMYFUNCTION("""COMPUTED_VALUE"""),"Dragon's Breath")</f>
        <v>Dragon's Breath</v>
      </c>
      <c r="AN501" s="32" t="str">
        <f>IFERROR(__xludf.DUMMYFUNCTION("""COMPUTED_VALUE"""),"Bite")</f>
        <v>Bite</v>
      </c>
      <c r="AO501" s="32" t="str">
        <f>IFERROR(__xludf.DUMMYFUNCTION("""COMPUTED_VALUE"""),"Tail Smash")</f>
        <v>Tail Smash</v>
      </c>
      <c r="AP501" s="32" t="str">
        <f>IFERROR(__xludf.DUMMYFUNCTION("""COMPUTED_VALUE"""),"Claws")</f>
        <v>Claws</v>
      </c>
      <c r="AQ501" s="32" t="str">
        <f>IFERROR(__xludf.DUMMYFUNCTION("""COMPUTED_VALUE"""),"Berserk")</f>
        <v>Berserk</v>
      </c>
      <c r="AR501" s="32" t="str">
        <f>IFERROR(__xludf.DUMMYFUNCTION("""COMPUTED_VALUE"""),"Multishot")</f>
        <v>Multishot</v>
      </c>
      <c r="AS501" s="32" t="str">
        <f>IFERROR(__xludf.DUMMYFUNCTION("""COMPUTED_VALUE"""),"Draconic Scream")</f>
        <v>Draconic Scream</v>
      </c>
      <c r="AT501" s="32" t="str">
        <f>IFERROR(__xludf.DUMMYFUNCTION("""COMPUTED_VALUE"""),"Chaincast")</f>
        <v>Chaincast</v>
      </c>
      <c r="AU501" s="32"/>
      <c r="AV501" s="32"/>
      <c r="AW501" s="32"/>
      <c r="AX501" s="32"/>
      <c r="AY501" s="32"/>
      <c r="AZ501" s="32"/>
      <c r="BA501" s="32"/>
      <c r="BB501" s="32"/>
      <c r="BC501" s="32"/>
      <c r="BD501" s="32">
        <f>IFERROR(__xludf.DUMMYFUNCTION("""COMPUTED_VALUE"""),0.0)</f>
        <v>0</v>
      </c>
      <c r="BE501" s="32">
        <f>IFERROR(__xludf.DUMMYFUNCTION("""COMPUTED_VALUE"""),15.0)</f>
        <v>15</v>
      </c>
      <c r="BF501" s="32" t="str">
        <f>IFERROR(__xludf.DUMMYFUNCTION("""COMPUTED_VALUE"""),"Absorption: 15% chance to absorb a spell or attack affecting this creature")</f>
        <v>Absorption: 15% chance to absorb a spell or attack affecting this creature</v>
      </c>
      <c r="BG501" s="32" t="str">
        <f>IFERROR(__xludf.DUMMYFUNCTION("""COMPUTED_VALUE"""),"All")</f>
        <v>All</v>
      </c>
      <c r="BH501" s="32" t="str">
        <f>IFERROR(__xludf.DUMMYFUNCTION("""COMPUTED_VALUE"""),"Dragonscale Island")</f>
        <v>Dragonscale Island</v>
      </c>
      <c r="BI501" s="32"/>
      <c r="BJ501" s="32"/>
      <c r="BK501" s="32"/>
      <c r="BL501" s="32" t="b">
        <f>IFERROR(__xludf.DUMMYFUNCTION("""COMPUTED_VALUE"""),FALSE)</f>
        <v>0</v>
      </c>
      <c r="BM501" s="32"/>
      <c r="BN501" s="32"/>
      <c r="BO501" s="32"/>
      <c r="BP501" s="32"/>
      <c r="BQ501" s="32"/>
    </row>
    <row r="502">
      <c r="A502" s="32" t="str">
        <f>IFERROR(__xludf.DUMMYFUNCTION("""COMPUTED_VALUE"""),"Dragonian Inmate")</f>
        <v>Dragonian Inmate</v>
      </c>
      <c r="B502" s="32">
        <f>IFERROR(__xludf.DUMMYFUNCTION("""COMPUTED_VALUE"""),1.0)</f>
        <v>1</v>
      </c>
      <c r="C502" s="32"/>
      <c r="D502" s="32" t="str">
        <f>IFERROR(__xludf.DUMMYFUNCTION("""COMPUTED_VALUE"""),"Draconic")</f>
        <v>Draconic</v>
      </c>
      <c r="E502" s="32">
        <f>IFERROR(__xludf.DUMMYFUNCTION("""COMPUTED_VALUE"""),1010.0)</f>
        <v>1010</v>
      </c>
      <c r="F502" s="33">
        <f>IFERROR(__xludf.DUMMYFUNCTION("""COMPUTED_VALUE"""),1010.0)</f>
        <v>1010</v>
      </c>
      <c r="G502" s="32">
        <f>IFERROR(__xludf.DUMMYFUNCTION("""COMPUTED_VALUE"""),1010.0)</f>
        <v>1010</v>
      </c>
      <c r="H502" s="32">
        <f>IFERROR(__xludf.DUMMYFUNCTION("""COMPUTED_VALUE"""),20.0)</f>
        <v>20</v>
      </c>
      <c r="I502" s="32">
        <f>IFERROR(__xludf.DUMMYFUNCTION("""COMPUTED_VALUE"""),0.0)</f>
        <v>0</v>
      </c>
      <c r="J502" s="32">
        <f>IFERROR(__xludf.DUMMYFUNCTION("""COMPUTED_VALUE"""),0.0)</f>
        <v>0</v>
      </c>
      <c r="K502" s="32">
        <f>IFERROR(__xludf.DUMMYFUNCTION("""COMPUTED_VALUE"""),100.0)</f>
        <v>100</v>
      </c>
      <c r="L502" s="32">
        <f>IFERROR(__xludf.DUMMYFUNCTION("""COMPUTED_VALUE"""),100.0)</f>
        <v>100</v>
      </c>
      <c r="M502" s="32" t="str">
        <f>IFERROR(__xludf.DUMMYFUNCTION("""COMPUTED_VALUE"""),"Order:100, ")</f>
        <v>Order:100, </v>
      </c>
      <c r="N502" s="32" t="str">
        <f>IFERROR(__xludf.DUMMYFUNCTION("""COMPUTED_VALUE"""),"Order:100, Stasis:100, ")</f>
        <v>Order:100, Stasis:100, </v>
      </c>
      <c r="O502" s="32" t="str">
        <f>IFERROR(__xludf.DUMMYFUNCTION("""COMPUTED_VALUE"""),"Inmate's Cap")</f>
        <v>Inmate's Cap</v>
      </c>
      <c r="P502" s="32" t="str">
        <f>IFERROR(__xludf.DUMMYFUNCTION("""COMPUTED_VALUE"""),"Confining Collar")</f>
        <v>Confining Collar</v>
      </c>
      <c r="Q502" s="32"/>
      <c r="R502" s="32"/>
      <c r="S502" s="32"/>
      <c r="T502" s="32" t="str">
        <f>IFERROR(__xludf.DUMMYFUNCTION("""COMPUTED_VALUE"""),"Inmate's Shirt")</f>
        <v>Inmate's Shirt</v>
      </c>
      <c r="U502" s="32"/>
      <c r="V502" s="32" t="str">
        <f>IFERROR(__xludf.DUMMYFUNCTION("""COMPUTED_VALUE"""),"Shiv")</f>
        <v>Shiv</v>
      </c>
      <c r="W502" s="32"/>
      <c r="X502" s="32"/>
      <c r="Y502" s="32"/>
      <c r="Z502" s="32"/>
      <c r="AA502" s="32"/>
      <c r="AB502" s="32"/>
      <c r="AC502" s="32"/>
      <c r="AD502" s="32"/>
      <c r="AE502" s="32"/>
      <c r="AF502" s="32"/>
      <c r="AG502" s="32"/>
      <c r="AH502" s="32" t="str">
        <f>IFERROR(__xludf.DUMMYFUNCTION("""COMPUTED_VALUE"""),"Inmate's Pants")</f>
        <v>Inmate's Pants</v>
      </c>
      <c r="AI502" s="32"/>
      <c r="AJ502" s="32" t="str">
        <f>IFERROR(__xludf.DUMMYFUNCTION("""COMPUTED_VALUE"""),"Berserk")</f>
        <v>Berserk</v>
      </c>
      <c r="AK502" s="32" t="str">
        <f>IFERROR(__xludf.DUMMYFUNCTION("""COMPUTED_VALUE"""),"Heighten Reflexes")</f>
        <v>Heighten Reflexes</v>
      </c>
      <c r="AL502" s="32" t="str">
        <f>IFERROR(__xludf.DUMMYFUNCTION("""COMPUTED_VALUE"""),"Increase")</f>
        <v>Increase</v>
      </c>
      <c r="AM502" s="32" t="str">
        <f>IFERROR(__xludf.DUMMYFUNCTION("""COMPUTED_VALUE"""),"Taunt (Mob)")</f>
        <v>Taunt (Mob)</v>
      </c>
      <c r="AN502" s="32" t="str">
        <f>IFERROR(__xludf.DUMMYFUNCTION("""COMPUTED_VALUE"""),"Melee Boost")</f>
        <v>Melee Boost</v>
      </c>
      <c r="AO502" s="32" t="str">
        <f>IFERROR(__xludf.DUMMYFUNCTION("""COMPUTED_VALUE"""),"Go For The Vitals")</f>
        <v>Go For The Vitals</v>
      </c>
      <c r="AP502" s="32" t="str">
        <f>IFERROR(__xludf.DUMMYFUNCTION("""COMPUTED_VALUE"""),"Marauder's Rage")</f>
        <v>Marauder's Rage</v>
      </c>
      <c r="AQ502" s="32" t="str">
        <f>IFERROR(__xludf.DUMMYFUNCTION("""COMPUTED_VALUE"""),"Defender's Tenacity")</f>
        <v>Defender's Tenacity</v>
      </c>
      <c r="AR502" s="32" t="str">
        <f>IFERROR(__xludf.DUMMYFUNCTION("""COMPUTED_VALUE"""),"Protection")</f>
        <v>Protection</v>
      </c>
      <c r="AS502" s="32"/>
      <c r="AT502" s="32"/>
      <c r="AU502" s="32"/>
      <c r="AV502" s="32"/>
      <c r="AW502" s="32"/>
      <c r="AX502" s="32"/>
      <c r="AY502" s="32"/>
      <c r="AZ502" s="32"/>
      <c r="BA502" s="32"/>
      <c r="BB502" s="32"/>
      <c r="BC502" s="32"/>
      <c r="BD502" s="32">
        <f>IFERROR(__xludf.DUMMYFUNCTION("""COMPUTED_VALUE"""),0.0)</f>
        <v>0</v>
      </c>
      <c r="BE502" s="32">
        <f>IFERROR(__xludf.DUMMYFUNCTION("""COMPUTED_VALUE"""),15.0)</f>
        <v>15</v>
      </c>
      <c r="BF502" s="32" t="str">
        <f>IFERROR(__xludf.DUMMYFUNCTION("""COMPUTED_VALUE"""),"25% chance to resist arrest")</f>
        <v>25% chance to resist arrest</v>
      </c>
      <c r="BG502" s="32" t="str">
        <f>IFERROR(__xludf.DUMMYFUNCTION("""COMPUTED_VALUE"""),"Dungeon")</f>
        <v>Dungeon</v>
      </c>
      <c r="BH502" s="32" t="str">
        <f>IFERROR(__xludf.DUMMYFUNCTION("""COMPUTED_VALUE"""),"Dragonscale Island")</f>
        <v>Dragonscale Island</v>
      </c>
      <c r="BI502" s="32"/>
      <c r="BJ502" s="32"/>
      <c r="BK502" s="32"/>
      <c r="BL502" s="32" t="b">
        <f>IFERROR(__xludf.DUMMYFUNCTION("""COMPUTED_VALUE"""),FALSE)</f>
        <v>0</v>
      </c>
      <c r="BM502" s="32"/>
      <c r="BN502" s="32"/>
      <c r="BO502" s="32"/>
      <c r="BP502" s="32"/>
      <c r="BQ502" s="32"/>
    </row>
    <row r="503">
      <c r="A503" s="32" t="str">
        <f>IFERROR(__xludf.DUMMYFUNCTION("""COMPUTED_VALUE"""),"Dragonian Warden")</f>
        <v>Dragonian Warden</v>
      </c>
      <c r="B503" s="32">
        <f>IFERROR(__xludf.DUMMYFUNCTION("""COMPUTED_VALUE"""),1.0)</f>
        <v>1</v>
      </c>
      <c r="C503" s="32"/>
      <c r="D503" s="32" t="str">
        <f>IFERROR(__xludf.DUMMYFUNCTION("""COMPUTED_VALUE"""),"Draconic")</f>
        <v>Draconic</v>
      </c>
      <c r="E503" s="32">
        <f>IFERROR(__xludf.DUMMYFUNCTION("""COMPUTED_VALUE"""),1010.0)</f>
        <v>1010</v>
      </c>
      <c r="F503" s="33">
        <f>IFERROR(__xludf.DUMMYFUNCTION("""COMPUTED_VALUE"""),1010.0)</f>
        <v>1010</v>
      </c>
      <c r="G503" s="32">
        <f>IFERROR(__xludf.DUMMYFUNCTION("""COMPUTED_VALUE"""),1010.0)</f>
        <v>1010</v>
      </c>
      <c r="H503" s="32">
        <f>IFERROR(__xludf.DUMMYFUNCTION("""COMPUTED_VALUE"""),10.0)</f>
        <v>10</v>
      </c>
      <c r="I503" s="32">
        <f>IFERROR(__xludf.DUMMYFUNCTION("""COMPUTED_VALUE"""),0.0)</f>
        <v>0</v>
      </c>
      <c r="J503" s="32">
        <f>IFERROR(__xludf.DUMMYFUNCTION("""COMPUTED_VALUE"""),0.0)</f>
        <v>0</v>
      </c>
      <c r="K503" s="32">
        <f>IFERROR(__xludf.DUMMYFUNCTION("""COMPUTED_VALUE"""),100.0)</f>
        <v>100</v>
      </c>
      <c r="L503" s="32">
        <f>IFERROR(__xludf.DUMMYFUNCTION("""COMPUTED_VALUE"""),100.0)</f>
        <v>100</v>
      </c>
      <c r="M503" s="32" t="str">
        <f>IFERROR(__xludf.DUMMYFUNCTION("""COMPUTED_VALUE"""),"Chaos:100, Instant Death:Immune, Banishment:Immune, ")</f>
        <v>Chaos:100, Instant Death:Immune, Banishment:Immune, </v>
      </c>
      <c r="N503" s="32" t="str">
        <f>IFERROR(__xludf.DUMMYFUNCTION("""COMPUTED_VALUE"""),"Dark:100, Chaos:100, ")</f>
        <v>Dark:100, Chaos:100, </v>
      </c>
      <c r="O503" s="32" t="str">
        <f>IFERROR(__xludf.DUMMYFUNCTION("""COMPUTED_VALUE"""),"Warden's Cap")</f>
        <v>Warden's Cap</v>
      </c>
      <c r="P503" s="32"/>
      <c r="Q503" s="32"/>
      <c r="R503" s="32"/>
      <c r="S503" s="32"/>
      <c r="T503" s="32" t="str">
        <f>IFERROR(__xludf.DUMMYFUNCTION("""COMPUTED_VALUE"""),"Warden's Shirt")</f>
        <v>Warden's Shirt</v>
      </c>
      <c r="U503" s="32"/>
      <c r="V503" s="32"/>
      <c r="W503" s="32"/>
      <c r="X503" s="32"/>
      <c r="Y503" s="32"/>
      <c r="Z503" s="32"/>
      <c r="AA503" s="32"/>
      <c r="AB503" s="32"/>
      <c r="AC503" s="32"/>
      <c r="AD503" s="32"/>
      <c r="AE503" s="32"/>
      <c r="AF503" s="32"/>
      <c r="AG503" s="32"/>
      <c r="AH503" s="32" t="str">
        <f>IFERROR(__xludf.DUMMYFUNCTION("""COMPUTED_VALUE"""),"Warden's Pants")</f>
        <v>Warden's Pants</v>
      </c>
      <c r="AI503" s="32" t="str">
        <f>IFERROR(__xludf.DUMMYFUNCTION("""COMPUTED_VALUE"""),"Warden's Boots")</f>
        <v>Warden's Boots</v>
      </c>
      <c r="AJ503" s="32" t="str">
        <f>IFERROR(__xludf.DUMMYFUNCTION("""COMPUTED_VALUE"""),"Confiscate (Enhanced)")</f>
        <v>Confiscate (Enhanced)</v>
      </c>
      <c r="AK503" s="32" t="str">
        <f>IFERROR(__xludf.DUMMYFUNCTION("""COMPUTED_VALUE"""),"Berserk")</f>
        <v>Berserk</v>
      </c>
      <c r="AL503" s="32" t="str">
        <f>IFERROR(__xludf.DUMMYFUNCTION("""COMPUTED_VALUE"""),"Increase")</f>
        <v>Increase</v>
      </c>
      <c r="AM503" s="32" t="str">
        <f>IFERROR(__xludf.DUMMYFUNCTION("""COMPUTED_VALUE"""),"Tackle")</f>
        <v>Tackle</v>
      </c>
      <c r="AN503" s="32" t="str">
        <f>IFERROR(__xludf.DUMMYFUNCTION("""COMPUTED_VALUE"""),"Taunt (Mob)")</f>
        <v>Taunt (Mob)</v>
      </c>
      <c r="AO503" s="32" t="str">
        <f>IFERROR(__xludf.DUMMYFUNCTION("""COMPUTED_VALUE"""),"Parry")</f>
        <v>Parry</v>
      </c>
      <c r="AP503" s="32" t="str">
        <f>IFERROR(__xludf.DUMMYFUNCTION("""COMPUTED_VALUE"""),"Melee Boost")</f>
        <v>Melee Boost</v>
      </c>
      <c r="AQ503" s="32" t="str">
        <f>IFERROR(__xludf.DUMMYFUNCTION("""COMPUTED_VALUE"""),"Go For The Vitals")</f>
        <v>Go For The Vitals</v>
      </c>
      <c r="AR503" s="32" t="str">
        <f>IFERROR(__xludf.DUMMYFUNCTION("""COMPUTED_VALUE"""),"Marauder's Rage")</f>
        <v>Marauder's Rage</v>
      </c>
      <c r="AS503" s="32" t="str">
        <f>IFERROR(__xludf.DUMMYFUNCTION("""COMPUTED_VALUE"""),"Defender's Tenacity")</f>
        <v>Defender's Tenacity</v>
      </c>
      <c r="AT503" s="32" t="str">
        <f>IFERROR(__xludf.DUMMYFUNCTION("""COMPUTED_VALUE"""),"Mass Judgement")</f>
        <v>Mass Judgement</v>
      </c>
      <c r="AU503" s="32" t="str">
        <f>IFERROR(__xludf.DUMMYFUNCTION("""COMPUTED_VALUE"""),"Cancel")</f>
        <v>Cancel</v>
      </c>
      <c r="AV503" s="32" t="str">
        <f>IFERROR(__xludf.DUMMYFUNCTION("""COMPUTED_VALUE"""),"Protection")</f>
        <v>Protection</v>
      </c>
      <c r="AW503" s="32" t="str">
        <f>IFERROR(__xludf.DUMMYFUNCTION("""COMPUTED_VALUE"""),"Warden Call")</f>
        <v>Warden Call</v>
      </c>
      <c r="AX503" s="32" t="str">
        <f>IFERROR(__xludf.DUMMYFUNCTION("""COMPUTED_VALUE"""),"Confine")</f>
        <v>Confine</v>
      </c>
      <c r="AY503" s="32"/>
      <c r="AZ503" s="32"/>
      <c r="BA503" s="32"/>
      <c r="BB503" s="32"/>
      <c r="BC503" s="32"/>
      <c r="BD503" s="32">
        <f>IFERROR(__xludf.DUMMYFUNCTION("""COMPUTED_VALUE"""),0.0)</f>
        <v>0</v>
      </c>
      <c r="BE503" s="32">
        <f>IFERROR(__xludf.DUMMYFUNCTION("""COMPUTED_VALUE"""),15.0)</f>
        <v>15</v>
      </c>
      <c r="BF503" s="32" t="str">
        <f>IFERROR(__xludf.DUMMYFUNCTION("""COMPUTED_VALUE"""),"For every enemy wearing a Confinement Collar, +5 Mobility and +20000 ATK")</f>
        <v>For every enemy wearing a Confinement Collar, +5 Mobility and +20000 ATK</v>
      </c>
      <c r="BG503" s="32" t="str">
        <f>IFERROR(__xludf.DUMMYFUNCTION("""COMPUTED_VALUE"""),"Dungeon")</f>
        <v>Dungeon</v>
      </c>
      <c r="BH503" s="32" t="str">
        <f>IFERROR(__xludf.DUMMYFUNCTION("""COMPUTED_VALUE"""),"Dragonscale Island")</f>
        <v>Dragonscale Island</v>
      </c>
      <c r="BI503" s="32"/>
      <c r="BJ503" s="32"/>
      <c r="BK503" s="32"/>
      <c r="BL503" s="32" t="b">
        <f>IFERROR(__xludf.DUMMYFUNCTION("""COMPUTED_VALUE"""),FALSE)</f>
        <v>0</v>
      </c>
      <c r="BM503" s="32"/>
      <c r="BN503" s="32"/>
      <c r="BO503" s="32"/>
      <c r="BP503" s="32"/>
      <c r="BQ503" s="32"/>
    </row>
    <row r="504">
      <c r="A504" s="32" t="str">
        <f>IFERROR(__xludf.DUMMYFUNCTION("""COMPUTED_VALUE"""),"Sand Worm Queen")</f>
        <v>Sand Worm Queen</v>
      </c>
      <c r="B504" s="32">
        <f>IFERROR(__xludf.DUMMYFUNCTION("""COMPUTED_VALUE"""),1.0)</f>
        <v>1</v>
      </c>
      <c r="C504" s="32"/>
      <c r="D504" s="32" t="str">
        <f>IFERROR(__xludf.DUMMYFUNCTION("""COMPUTED_VALUE"""),"Beast")</f>
        <v>Beast</v>
      </c>
      <c r="E504" s="32">
        <f>IFERROR(__xludf.DUMMYFUNCTION("""COMPUTED_VALUE"""),1010.0)</f>
        <v>1010</v>
      </c>
      <c r="F504" s="33">
        <f>IFERROR(__xludf.DUMMYFUNCTION("""COMPUTED_VALUE"""),1010.0)</f>
        <v>1010</v>
      </c>
      <c r="G504" s="32">
        <f>IFERROR(__xludf.DUMMYFUNCTION("""COMPUTED_VALUE"""),1010.0)</f>
        <v>1010</v>
      </c>
      <c r="H504" s="32">
        <f>IFERROR(__xludf.DUMMYFUNCTION("""COMPUTED_VALUE"""),10.0)</f>
        <v>10</v>
      </c>
      <c r="I504" s="32">
        <f>IFERROR(__xludf.DUMMYFUNCTION("""COMPUTED_VALUE"""),0.0)</f>
        <v>0</v>
      </c>
      <c r="J504" s="32">
        <f>IFERROR(__xludf.DUMMYFUNCTION("""COMPUTED_VALUE"""),0.0)</f>
        <v>0</v>
      </c>
      <c r="K504" s="32">
        <f>IFERROR(__xludf.DUMMYFUNCTION("""COMPUTED_VALUE"""),100.0)</f>
        <v>100</v>
      </c>
      <c r="L504" s="32">
        <f>IFERROR(__xludf.DUMMYFUNCTION("""COMPUTED_VALUE"""),100.0)</f>
        <v>100</v>
      </c>
      <c r="M504" s="32" t="str">
        <f>IFERROR(__xludf.DUMMYFUNCTION("""COMPUTED_VALUE"""),"Fire:Immune, Water:Immune, Instant Death:Immune, Banishment:Immune, ")</f>
        <v>Fire:Immune, Water:Immune, Instant Death:Immune, Banishment:Immune, </v>
      </c>
      <c r="N504" s="32" t="str">
        <f>IFERROR(__xludf.DUMMYFUNCTION("""COMPUTED_VALUE"""),"Storm:100, ")</f>
        <v>Storm:100, </v>
      </c>
      <c r="O504" s="32"/>
      <c r="P504" s="32"/>
      <c r="Q504" s="32"/>
      <c r="R504" s="32"/>
      <c r="S504" s="32"/>
      <c r="T504" s="32"/>
      <c r="U504" s="32"/>
      <c r="V504" s="32"/>
      <c r="W504" s="32"/>
      <c r="X504" s="32"/>
      <c r="Y504" s="32"/>
      <c r="Z504" s="32"/>
      <c r="AA504" s="32"/>
      <c r="AB504" s="32"/>
      <c r="AC504" s="32"/>
      <c r="AD504" s="32"/>
      <c r="AE504" s="32"/>
      <c r="AF504" s="32"/>
      <c r="AG504" s="32"/>
      <c r="AH504" s="32"/>
      <c r="AI504" s="32"/>
      <c r="AJ504" s="32" t="str">
        <f>IFERROR(__xludf.DUMMYFUNCTION("""COMPUTED_VALUE"""),"Absorb Enemy ")</f>
        <v>Absorb Enemy </v>
      </c>
      <c r="AK504" s="32" t="str">
        <f>IFERROR(__xludf.DUMMYFUNCTION("""COMPUTED_VALUE"""),"Rock Shot")</f>
        <v>Rock Shot</v>
      </c>
      <c r="AL504" s="32" t="str">
        <f>IFERROR(__xludf.DUMMYFUNCTION("""COMPUTED_VALUE"""),"Sand Hole")</f>
        <v>Sand Hole</v>
      </c>
      <c r="AM504" s="32" t="str">
        <f>IFERROR(__xludf.DUMMYFUNCTION("""COMPUTED_VALUE"""),"Quicksand")</f>
        <v>Quicksand</v>
      </c>
      <c r="AN504" s="32" t="str">
        <f>IFERROR(__xludf.DUMMYFUNCTION("""COMPUTED_VALUE"""),"Earthquake")</f>
        <v>Earthquake</v>
      </c>
      <c r="AO504" s="32" t="str">
        <f>IFERROR(__xludf.DUMMYFUNCTION("""COMPUTED_VALUE"""),"Rock Cycle")</f>
        <v>Rock Cycle</v>
      </c>
      <c r="AP504" s="32" t="str">
        <f>IFERROR(__xludf.DUMMYFUNCTION("""COMPUTED_VALUE"""),"Taunt (Mob)")</f>
        <v>Taunt (Mob)</v>
      </c>
      <c r="AQ504" s="32"/>
      <c r="AR504" s="32"/>
      <c r="AS504" s="32"/>
      <c r="AT504" s="32"/>
      <c r="AU504" s="32"/>
      <c r="AV504" s="32"/>
      <c r="AW504" s="32"/>
      <c r="AX504" s="32"/>
      <c r="AY504" s="32"/>
      <c r="AZ504" s="32"/>
      <c r="BA504" s="32"/>
      <c r="BB504" s="32"/>
      <c r="BC504" s="32"/>
      <c r="BD504" s="32">
        <f>IFERROR(__xludf.DUMMYFUNCTION("""COMPUTED_VALUE"""),0.0)</f>
        <v>0</v>
      </c>
      <c r="BE504" s="32">
        <f>IFERROR(__xludf.DUMMYFUNCTION("""COMPUTED_VALUE"""),10.0)</f>
        <v>10</v>
      </c>
      <c r="BF504" s="32" t="str">
        <f>IFERROR(__xludf.DUMMYFUNCTION("""COMPUTED_VALUE"""),"Absorption II: has a 75% to absorb an attack or spell affecting this creature.")</f>
        <v>Absorption II: has a 75% to absorb an attack or spell affecting this creature.</v>
      </c>
      <c r="BG504" s="32" t="str">
        <f>IFERROR(__xludf.DUMMYFUNCTION("""COMPUTED_VALUE"""),"Desert")</f>
        <v>Desert</v>
      </c>
      <c r="BH504" s="32" t="str">
        <f>IFERROR(__xludf.DUMMYFUNCTION("""COMPUTED_VALUE"""),"Land of Spira")</f>
        <v>Land of Spira</v>
      </c>
      <c r="BI504" s="32"/>
      <c r="BJ504" s="32"/>
      <c r="BK504" s="32"/>
      <c r="BL504" s="32" t="b">
        <f>IFERROR(__xludf.DUMMYFUNCTION("""COMPUTED_VALUE"""),FALSE)</f>
        <v>0</v>
      </c>
      <c r="BM504" s="32"/>
      <c r="BN504" s="32"/>
      <c r="BO504" s="32"/>
      <c r="BP504" s="32"/>
      <c r="BQ504" s="32"/>
    </row>
    <row r="505">
      <c r="A505" s="32"/>
      <c r="B505" s="32">
        <f>IFERROR(__xludf.DUMMYFUNCTION("""COMPUTED_VALUE"""),1.0)</f>
        <v>1</v>
      </c>
      <c r="C505" s="32"/>
      <c r="D505" s="32"/>
      <c r="E505" s="32">
        <f>IFERROR(__xludf.DUMMYFUNCTION("""COMPUTED_VALUE"""),1010.0)</f>
        <v>1010</v>
      </c>
      <c r="F505" s="33">
        <f>IFERROR(__xludf.DUMMYFUNCTION("""COMPUTED_VALUE"""),1010.0)</f>
        <v>1010</v>
      </c>
      <c r="G505" s="32">
        <f>IFERROR(__xludf.DUMMYFUNCTION("""COMPUTED_VALUE"""),1010.0)</f>
        <v>1010</v>
      </c>
      <c r="H505" s="32">
        <f>IFERROR(__xludf.DUMMYFUNCTION("""COMPUTED_VALUE"""),10.0)</f>
        <v>10</v>
      </c>
      <c r="I505" s="32">
        <f>IFERROR(__xludf.DUMMYFUNCTION("""COMPUTED_VALUE"""),0.0)</f>
        <v>0</v>
      </c>
      <c r="J505" s="32">
        <f>IFERROR(__xludf.DUMMYFUNCTION("""COMPUTED_VALUE"""),0.0)</f>
        <v>0</v>
      </c>
      <c r="K505" s="32">
        <f>IFERROR(__xludf.DUMMYFUNCTION("""COMPUTED_VALUE"""),100.0)</f>
        <v>100</v>
      </c>
      <c r="L505" s="32">
        <f>IFERROR(__xludf.DUMMYFUNCTION("""COMPUTED_VALUE"""),100.0)</f>
        <v>100</v>
      </c>
      <c r="M505" s="32" t="str">
        <f>IFERROR(__xludf.DUMMYFUNCTION("""COMPUTED_VALUE"""),"#N/A")</f>
        <v>#N/A</v>
      </c>
      <c r="N505" s="32" t="str">
        <f>IFERROR(__xludf.DUMMYFUNCTION("""COMPUTED_VALUE"""),"#N/A")</f>
        <v>#N/A</v>
      </c>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f>IFERROR(__xludf.DUMMYFUNCTION("""COMPUTED_VALUE"""),0.0)</f>
        <v>0</v>
      </c>
      <c r="BE505" s="32">
        <f>IFERROR(__xludf.DUMMYFUNCTION("""COMPUTED_VALUE"""),10.0)</f>
        <v>10</v>
      </c>
      <c r="BF505" s="32"/>
      <c r="BG505" s="32"/>
      <c r="BH505" s="32"/>
      <c r="BI505" s="32"/>
      <c r="BJ505" s="32"/>
      <c r="BK505" s="32"/>
      <c r="BL505" s="32" t="b">
        <f>IFERROR(__xludf.DUMMYFUNCTION("""COMPUTED_VALUE"""),FALSE)</f>
        <v>0</v>
      </c>
      <c r="BM505" s="32"/>
      <c r="BN505" s="32"/>
      <c r="BO505" s="32"/>
      <c r="BP505" s="32"/>
      <c r="BQ505" s="32"/>
    </row>
    <row r="506">
      <c r="A506" s="32"/>
      <c r="B506" s="32">
        <f>IFERROR(__xludf.DUMMYFUNCTION("""COMPUTED_VALUE"""),1.0)</f>
        <v>1</v>
      </c>
      <c r="C506" s="32"/>
      <c r="D506" s="32"/>
      <c r="E506" s="32">
        <f>IFERROR(__xludf.DUMMYFUNCTION("""COMPUTED_VALUE"""),1010.0)</f>
        <v>1010</v>
      </c>
      <c r="F506" s="33">
        <f>IFERROR(__xludf.DUMMYFUNCTION("""COMPUTED_VALUE"""),1010.0)</f>
        <v>1010</v>
      </c>
      <c r="G506" s="32">
        <f>IFERROR(__xludf.DUMMYFUNCTION("""COMPUTED_VALUE"""),1010.0)</f>
        <v>1010</v>
      </c>
      <c r="H506" s="32">
        <f>IFERROR(__xludf.DUMMYFUNCTION("""COMPUTED_VALUE"""),10.0)</f>
        <v>10</v>
      </c>
      <c r="I506" s="32">
        <f>IFERROR(__xludf.DUMMYFUNCTION("""COMPUTED_VALUE"""),0.0)</f>
        <v>0</v>
      </c>
      <c r="J506" s="32">
        <f>IFERROR(__xludf.DUMMYFUNCTION("""COMPUTED_VALUE"""),0.0)</f>
        <v>0</v>
      </c>
      <c r="K506" s="32">
        <f>IFERROR(__xludf.DUMMYFUNCTION("""COMPUTED_VALUE"""),100.0)</f>
        <v>100</v>
      </c>
      <c r="L506" s="32">
        <f>IFERROR(__xludf.DUMMYFUNCTION("""COMPUTED_VALUE"""),100.0)</f>
        <v>100</v>
      </c>
      <c r="M506" s="32" t="str">
        <f>IFERROR(__xludf.DUMMYFUNCTION("""COMPUTED_VALUE"""),"#N/A")</f>
        <v>#N/A</v>
      </c>
      <c r="N506" s="32" t="str">
        <f>IFERROR(__xludf.DUMMYFUNCTION("""COMPUTED_VALUE"""),"#N/A")</f>
        <v>#N/A</v>
      </c>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f>IFERROR(__xludf.DUMMYFUNCTION("""COMPUTED_VALUE"""),0.0)</f>
        <v>0</v>
      </c>
      <c r="BE506" s="32">
        <f>IFERROR(__xludf.DUMMYFUNCTION("""COMPUTED_VALUE"""),10.0)</f>
        <v>10</v>
      </c>
      <c r="BF506" s="32"/>
      <c r="BG506" s="32"/>
      <c r="BH506" s="32"/>
      <c r="BI506" s="32"/>
      <c r="BJ506" s="32"/>
      <c r="BK506" s="32"/>
      <c r="BL506" s="32" t="b">
        <f>IFERROR(__xludf.DUMMYFUNCTION("""COMPUTED_VALUE"""),FALSE)</f>
        <v>0</v>
      </c>
      <c r="BM506" s="32"/>
      <c r="BN506" s="32"/>
      <c r="BO506" s="32"/>
      <c r="BP506" s="32"/>
      <c r="BQ506" s="32"/>
    </row>
    <row r="507">
      <c r="A507" s="32"/>
      <c r="B507" s="32">
        <f>IFERROR(__xludf.DUMMYFUNCTION("""COMPUTED_VALUE"""),1.0)</f>
        <v>1</v>
      </c>
      <c r="C507" s="32"/>
      <c r="D507" s="32"/>
      <c r="E507" s="32">
        <f>IFERROR(__xludf.DUMMYFUNCTION("""COMPUTED_VALUE"""),1010.0)</f>
        <v>1010</v>
      </c>
      <c r="F507" s="33">
        <f>IFERROR(__xludf.DUMMYFUNCTION("""COMPUTED_VALUE"""),1010.0)</f>
        <v>1010</v>
      </c>
      <c r="G507" s="32">
        <f>IFERROR(__xludf.DUMMYFUNCTION("""COMPUTED_VALUE"""),1010.0)</f>
        <v>1010</v>
      </c>
      <c r="H507" s="32">
        <f>IFERROR(__xludf.DUMMYFUNCTION("""COMPUTED_VALUE"""),10.0)</f>
        <v>10</v>
      </c>
      <c r="I507" s="32">
        <f>IFERROR(__xludf.DUMMYFUNCTION("""COMPUTED_VALUE"""),0.0)</f>
        <v>0</v>
      </c>
      <c r="J507" s="32">
        <f>IFERROR(__xludf.DUMMYFUNCTION("""COMPUTED_VALUE"""),0.0)</f>
        <v>0</v>
      </c>
      <c r="K507" s="32">
        <f>IFERROR(__xludf.DUMMYFUNCTION("""COMPUTED_VALUE"""),100.0)</f>
        <v>100</v>
      </c>
      <c r="L507" s="32">
        <f>IFERROR(__xludf.DUMMYFUNCTION("""COMPUTED_VALUE"""),100.0)</f>
        <v>100</v>
      </c>
      <c r="M507" s="32" t="str">
        <f>IFERROR(__xludf.DUMMYFUNCTION("""COMPUTED_VALUE"""),"#N/A")</f>
        <v>#N/A</v>
      </c>
      <c r="N507" s="32" t="str">
        <f>IFERROR(__xludf.DUMMYFUNCTION("""COMPUTED_VALUE"""),"#N/A")</f>
        <v>#N/A</v>
      </c>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f>IFERROR(__xludf.DUMMYFUNCTION("""COMPUTED_VALUE"""),0.0)</f>
        <v>0</v>
      </c>
      <c r="BE507" s="32">
        <f>IFERROR(__xludf.DUMMYFUNCTION("""COMPUTED_VALUE"""),10.0)</f>
        <v>10</v>
      </c>
      <c r="BF507" s="32"/>
      <c r="BG507" s="32"/>
      <c r="BH507" s="32"/>
      <c r="BI507" s="32"/>
      <c r="BJ507" s="32"/>
      <c r="BK507" s="32"/>
      <c r="BL507" s="32" t="b">
        <f>IFERROR(__xludf.DUMMYFUNCTION("""COMPUTED_VALUE"""),FALSE)</f>
        <v>0</v>
      </c>
      <c r="BM507" s="32"/>
      <c r="BN507" s="32"/>
      <c r="BO507" s="32"/>
      <c r="BP507" s="32"/>
      <c r="BQ507" s="32"/>
    </row>
    <row r="508">
      <c r="A508" s="32"/>
      <c r="B508" s="32">
        <f>IFERROR(__xludf.DUMMYFUNCTION("""COMPUTED_VALUE"""),1.0)</f>
        <v>1</v>
      </c>
      <c r="C508" s="32"/>
      <c r="D508" s="32"/>
      <c r="E508" s="32">
        <f>IFERROR(__xludf.DUMMYFUNCTION("""COMPUTED_VALUE"""),1010.0)</f>
        <v>1010</v>
      </c>
      <c r="F508" s="33">
        <f>IFERROR(__xludf.DUMMYFUNCTION("""COMPUTED_VALUE"""),1010.0)</f>
        <v>1010</v>
      </c>
      <c r="G508" s="32">
        <f>IFERROR(__xludf.DUMMYFUNCTION("""COMPUTED_VALUE"""),1010.0)</f>
        <v>1010</v>
      </c>
      <c r="H508" s="32">
        <f>IFERROR(__xludf.DUMMYFUNCTION("""COMPUTED_VALUE"""),10.0)</f>
        <v>10</v>
      </c>
      <c r="I508" s="32">
        <f>IFERROR(__xludf.DUMMYFUNCTION("""COMPUTED_VALUE"""),0.0)</f>
        <v>0</v>
      </c>
      <c r="J508" s="32">
        <f>IFERROR(__xludf.DUMMYFUNCTION("""COMPUTED_VALUE"""),0.0)</f>
        <v>0</v>
      </c>
      <c r="K508" s="32">
        <f>IFERROR(__xludf.DUMMYFUNCTION("""COMPUTED_VALUE"""),100.0)</f>
        <v>100</v>
      </c>
      <c r="L508" s="32">
        <f>IFERROR(__xludf.DUMMYFUNCTION("""COMPUTED_VALUE"""),100.0)</f>
        <v>100</v>
      </c>
      <c r="M508" s="32" t="str">
        <f>IFERROR(__xludf.DUMMYFUNCTION("""COMPUTED_VALUE"""),"#N/A")</f>
        <v>#N/A</v>
      </c>
      <c r="N508" s="32" t="str">
        <f>IFERROR(__xludf.DUMMYFUNCTION("""COMPUTED_VALUE"""),"#N/A")</f>
        <v>#N/A</v>
      </c>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f>IFERROR(__xludf.DUMMYFUNCTION("""COMPUTED_VALUE"""),0.0)</f>
        <v>0</v>
      </c>
      <c r="BE508" s="32">
        <f>IFERROR(__xludf.DUMMYFUNCTION("""COMPUTED_VALUE"""),10.0)</f>
        <v>10</v>
      </c>
      <c r="BF508" s="32"/>
      <c r="BG508" s="32"/>
      <c r="BH508" s="32"/>
      <c r="BI508" s="32"/>
      <c r="BJ508" s="32"/>
      <c r="BK508" s="32"/>
      <c r="BL508" s="32" t="b">
        <f>IFERROR(__xludf.DUMMYFUNCTION("""COMPUTED_VALUE"""),FALSE)</f>
        <v>0</v>
      </c>
      <c r="BM508" s="32"/>
      <c r="BN508" s="32"/>
      <c r="BO508" s="32"/>
      <c r="BP508" s="32"/>
      <c r="BQ508" s="32"/>
    </row>
    <row r="509">
      <c r="A509" s="32"/>
      <c r="B509" s="32">
        <f>IFERROR(__xludf.DUMMYFUNCTION("""COMPUTED_VALUE"""),1.0)</f>
        <v>1</v>
      </c>
      <c r="C509" s="32"/>
      <c r="D509" s="32"/>
      <c r="E509" s="32">
        <f>IFERROR(__xludf.DUMMYFUNCTION("""COMPUTED_VALUE"""),1010.0)</f>
        <v>1010</v>
      </c>
      <c r="F509" s="33">
        <f>IFERROR(__xludf.DUMMYFUNCTION("""COMPUTED_VALUE"""),1010.0)</f>
        <v>1010</v>
      </c>
      <c r="G509" s="32">
        <f>IFERROR(__xludf.DUMMYFUNCTION("""COMPUTED_VALUE"""),1010.0)</f>
        <v>1010</v>
      </c>
      <c r="H509" s="32">
        <f>IFERROR(__xludf.DUMMYFUNCTION("""COMPUTED_VALUE"""),10.0)</f>
        <v>10</v>
      </c>
      <c r="I509" s="32">
        <f>IFERROR(__xludf.DUMMYFUNCTION("""COMPUTED_VALUE"""),0.0)</f>
        <v>0</v>
      </c>
      <c r="J509" s="32">
        <f>IFERROR(__xludf.DUMMYFUNCTION("""COMPUTED_VALUE"""),0.0)</f>
        <v>0</v>
      </c>
      <c r="K509" s="32">
        <f>IFERROR(__xludf.DUMMYFUNCTION("""COMPUTED_VALUE"""),100.0)</f>
        <v>100</v>
      </c>
      <c r="L509" s="32">
        <f>IFERROR(__xludf.DUMMYFUNCTION("""COMPUTED_VALUE"""),100.0)</f>
        <v>100</v>
      </c>
      <c r="M509" s="32" t="str">
        <f>IFERROR(__xludf.DUMMYFUNCTION("""COMPUTED_VALUE"""),"#N/A")</f>
        <v>#N/A</v>
      </c>
      <c r="N509" s="32" t="str">
        <f>IFERROR(__xludf.DUMMYFUNCTION("""COMPUTED_VALUE"""),"#N/A")</f>
        <v>#N/A</v>
      </c>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f>IFERROR(__xludf.DUMMYFUNCTION("""COMPUTED_VALUE"""),0.0)</f>
        <v>0</v>
      </c>
      <c r="BE509" s="32">
        <f>IFERROR(__xludf.DUMMYFUNCTION("""COMPUTED_VALUE"""),10.0)</f>
        <v>10</v>
      </c>
      <c r="BF509" s="32"/>
      <c r="BG509" s="32"/>
      <c r="BH509" s="32"/>
      <c r="BI509" s="32"/>
      <c r="BJ509" s="32"/>
      <c r="BK509" s="32"/>
      <c r="BL509" s="32" t="b">
        <f>IFERROR(__xludf.DUMMYFUNCTION("""COMPUTED_VALUE"""),FALSE)</f>
        <v>0</v>
      </c>
      <c r="BM509" s="32"/>
      <c r="BN509" s="32"/>
      <c r="BO509" s="32"/>
      <c r="BP509" s="32"/>
      <c r="BQ509" s="32"/>
    </row>
    <row r="510">
      <c r="A510" s="32"/>
      <c r="B510" s="32">
        <f>IFERROR(__xludf.DUMMYFUNCTION("""COMPUTED_VALUE"""),1.0)</f>
        <v>1</v>
      </c>
      <c r="C510" s="32"/>
      <c r="D510" s="32"/>
      <c r="E510" s="32">
        <f>IFERROR(__xludf.DUMMYFUNCTION("""COMPUTED_VALUE"""),1010.0)</f>
        <v>1010</v>
      </c>
      <c r="F510" s="33">
        <f>IFERROR(__xludf.DUMMYFUNCTION("""COMPUTED_VALUE"""),1010.0)</f>
        <v>1010</v>
      </c>
      <c r="G510" s="32">
        <f>IFERROR(__xludf.DUMMYFUNCTION("""COMPUTED_VALUE"""),1010.0)</f>
        <v>1010</v>
      </c>
      <c r="H510" s="32">
        <f>IFERROR(__xludf.DUMMYFUNCTION("""COMPUTED_VALUE"""),10.0)</f>
        <v>10</v>
      </c>
      <c r="I510" s="32">
        <f>IFERROR(__xludf.DUMMYFUNCTION("""COMPUTED_VALUE"""),0.0)</f>
        <v>0</v>
      </c>
      <c r="J510" s="32">
        <f>IFERROR(__xludf.DUMMYFUNCTION("""COMPUTED_VALUE"""),0.0)</f>
        <v>0</v>
      </c>
      <c r="K510" s="32">
        <f>IFERROR(__xludf.DUMMYFUNCTION("""COMPUTED_VALUE"""),100.0)</f>
        <v>100</v>
      </c>
      <c r="L510" s="32">
        <f>IFERROR(__xludf.DUMMYFUNCTION("""COMPUTED_VALUE"""),100.0)</f>
        <v>100</v>
      </c>
      <c r="M510" s="32" t="str">
        <f>IFERROR(__xludf.DUMMYFUNCTION("""COMPUTED_VALUE"""),"#N/A")</f>
        <v>#N/A</v>
      </c>
      <c r="N510" s="32" t="str">
        <f>IFERROR(__xludf.DUMMYFUNCTION("""COMPUTED_VALUE"""),"#N/A")</f>
        <v>#N/A</v>
      </c>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f>IFERROR(__xludf.DUMMYFUNCTION("""COMPUTED_VALUE"""),0.0)</f>
        <v>0</v>
      </c>
      <c r="BE510" s="32">
        <f>IFERROR(__xludf.DUMMYFUNCTION("""COMPUTED_VALUE"""),10.0)</f>
        <v>10</v>
      </c>
      <c r="BF510" s="32"/>
      <c r="BG510" s="32"/>
      <c r="BH510" s="32"/>
      <c r="BI510" s="32"/>
      <c r="BJ510" s="32"/>
      <c r="BK510" s="32"/>
      <c r="BL510" s="32" t="b">
        <f>IFERROR(__xludf.DUMMYFUNCTION("""COMPUTED_VALUE"""),FALSE)</f>
        <v>0</v>
      </c>
      <c r="BM510" s="32"/>
      <c r="BN510" s="32"/>
      <c r="BO510" s="32"/>
      <c r="BP510" s="32"/>
      <c r="BQ510" s="32"/>
    </row>
    <row r="511">
      <c r="A511" s="32"/>
      <c r="B511" s="32">
        <f>IFERROR(__xludf.DUMMYFUNCTION("""COMPUTED_VALUE"""),1.0)</f>
        <v>1</v>
      </c>
      <c r="C511" s="32"/>
      <c r="D511" s="32"/>
      <c r="E511" s="32">
        <f>IFERROR(__xludf.DUMMYFUNCTION("""COMPUTED_VALUE"""),1010.0)</f>
        <v>1010</v>
      </c>
      <c r="F511" s="33">
        <f>IFERROR(__xludf.DUMMYFUNCTION("""COMPUTED_VALUE"""),1010.0)</f>
        <v>1010</v>
      </c>
      <c r="G511" s="32">
        <f>IFERROR(__xludf.DUMMYFUNCTION("""COMPUTED_VALUE"""),1010.0)</f>
        <v>1010</v>
      </c>
      <c r="H511" s="32">
        <f>IFERROR(__xludf.DUMMYFUNCTION("""COMPUTED_VALUE"""),10.0)</f>
        <v>10</v>
      </c>
      <c r="I511" s="32">
        <f>IFERROR(__xludf.DUMMYFUNCTION("""COMPUTED_VALUE"""),0.0)</f>
        <v>0</v>
      </c>
      <c r="J511" s="32">
        <f>IFERROR(__xludf.DUMMYFUNCTION("""COMPUTED_VALUE"""),0.0)</f>
        <v>0</v>
      </c>
      <c r="K511" s="32">
        <f>IFERROR(__xludf.DUMMYFUNCTION("""COMPUTED_VALUE"""),100.0)</f>
        <v>100</v>
      </c>
      <c r="L511" s="32">
        <f>IFERROR(__xludf.DUMMYFUNCTION("""COMPUTED_VALUE"""),100.0)</f>
        <v>100</v>
      </c>
      <c r="M511" s="32" t="str">
        <f>IFERROR(__xludf.DUMMYFUNCTION("""COMPUTED_VALUE"""),"#N/A")</f>
        <v>#N/A</v>
      </c>
      <c r="N511" s="32" t="str">
        <f>IFERROR(__xludf.DUMMYFUNCTION("""COMPUTED_VALUE"""),"#N/A")</f>
        <v>#N/A</v>
      </c>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f>IFERROR(__xludf.DUMMYFUNCTION("""COMPUTED_VALUE"""),0.0)</f>
        <v>0</v>
      </c>
      <c r="BE511" s="32">
        <f>IFERROR(__xludf.DUMMYFUNCTION("""COMPUTED_VALUE"""),10.0)</f>
        <v>10</v>
      </c>
      <c r="BF511" s="32"/>
      <c r="BG511" s="32"/>
      <c r="BH511" s="32"/>
      <c r="BI511" s="32"/>
      <c r="BJ511" s="32"/>
      <c r="BK511" s="32"/>
      <c r="BL511" s="32" t="b">
        <f>IFERROR(__xludf.DUMMYFUNCTION("""COMPUTED_VALUE"""),FALSE)</f>
        <v>0</v>
      </c>
      <c r="BM511" s="32"/>
      <c r="BN511" s="32"/>
      <c r="BO511" s="32"/>
      <c r="BP511" s="32"/>
      <c r="BQ511" s="32"/>
    </row>
    <row r="512">
      <c r="A512" s="32"/>
      <c r="B512" s="32">
        <f>IFERROR(__xludf.DUMMYFUNCTION("""COMPUTED_VALUE"""),1.0)</f>
        <v>1</v>
      </c>
      <c r="C512" s="32"/>
      <c r="D512" s="32"/>
      <c r="E512" s="32">
        <f>IFERROR(__xludf.DUMMYFUNCTION("""COMPUTED_VALUE"""),1010.0)</f>
        <v>1010</v>
      </c>
      <c r="F512" s="33">
        <f>IFERROR(__xludf.DUMMYFUNCTION("""COMPUTED_VALUE"""),1010.0)</f>
        <v>1010</v>
      </c>
      <c r="G512" s="32">
        <f>IFERROR(__xludf.DUMMYFUNCTION("""COMPUTED_VALUE"""),1010.0)</f>
        <v>1010</v>
      </c>
      <c r="H512" s="32">
        <f>IFERROR(__xludf.DUMMYFUNCTION("""COMPUTED_VALUE"""),10.0)</f>
        <v>10</v>
      </c>
      <c r="I512" s="32">
        <f>IFERROR(__xludf.DUMMYFUNCTION("""COMPUTED_VALUE"""),0.0)</f>
        <v>0</v>
      </c>
      <c r="J512" s="32">
        <f>IFERROR(__xludf.DUMMYFUNCTION("""COMPUTED_VALUE"""),0.0)</f>
        <v>0</v>
      </c>
      <c r="K512" s="32">
        <f>IFERROR(__xludf.DUMMYFUNCTION("""COMPUTED_VALUE"""),100.0)</f>
        <v>100</v>
      </c>
      <c r="L512" s="32">
        <f>IFERROR(__xludf.DUMMYFUNCTION("""COMPUTED_VALUE"""),100.0)</f>
        <v>100</v>
      </c>
      <c r="M512" s="32" t="str">
        <f>IFERROR(__xludf.DUMMYFUNCTION("""COMPUTED_VALUE"""),"#N/A")</f>
        <v>#N/A</v>
      </c>
      <c r="N512" s="32" t="str">
        <f>IFERROR(__xludf.DUMMYFUNCTION("""COMPUTED_VALUE"""),"#N/A")</f>
        <v>#N/A</v>
      </c>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f>IFERROR(__xludf.DUMMYFUNCTION("""COMPUTED_VALUE"""),0.0)</f>
        <v>0</v>
      </c>
      <c r="BE512" s="32">
        <f>IFERROR(__xludf.DUMMYFUNCTION("""COMPUTED_VALUE"""),10.0)</f>
        <v>10</v>
      </c>
      <c r="BF512" s="32"/>
      <c r="BG512" s="32"/>
      <c r="BH512" s="32"/>
      <c r="BI512" s="32"/>
      <c r="BJ512" s="32"/>
      <c r="BK512" s="32"/>
      <c r="BL512" s="32" t="b">
        <f>IFERROR(__xludf.DUMMYFUNCTION("""COMPUTED_VALUE"""),FALSE)</f>
        <v>0</v>
      </c>
      <c r="BM512" s="32"/>
      <c r="BN512" s="32"/>
      <c r="BO512" s="32"/>
      <c r="BP512" s="32"/>
      <c r="BQ512" s="32"/>
    </row>
    <row r="513">
      <c r="A513" s="32"/>
      <c r="B513" s="32">
        <f>IFERROR(__xludf.DUMMYFUNCTION("""COMPUTED_VALUE"""),1.0)</f>
        <v>1</v>
      </c>
      <c r="C513" s="32"/>
      <c r="D513" s="32"/>
      <c r="E513" s="32">
        <f>IFERROR(__xludf.DUMMYFUNCTION("""COMPUTED_VALUE"""),1010.0)</f>
        <v>1010</v>
      </c>
      <c r="F513" s="33">
        <f>IFERROR(__xludf.DUMMYFUNCTION("""COMPUTED_VALUE"""),1010.0)</f>
        <v>1010</v>
      </c>
      <c r="G513" s="32">
        <f>IFERROR(__xludf.DUMMYFUNCTION("""COMPUTED_VALUE"""),1010.0)</f>
        <v>1010</v>
      </c>
      <c r="H513" s="32">
        <f>IFERROR(__xludf.DUMMYFUNCTION("""COMPUTED_VALUE"""),10.0)</f>
        <v>10</v>
      </c>
      <c r="I513" s="32">
        <f>IFERROR(__xludf.DUMMYFUNCTION("""COMPUTED_VALUE"""),0.0)</f>
        <v>0</v>
      </c>
      <c r="J513" s="32">
        <f>IFERROR(__xludf.DUMMYFUNCTION("""COMPUTED_VALUE"""),0.0)</f>
        <v>0</v>
      </c>
      <c r="K513" s="32">
        <f>IFERROR(__xludf.DUMMYFUNCTION("""COMPUTED_VALUE"""),100.0)</f>
        <v>100</v>
      </c>
      <c r="L513" s="32">
        <f>IFERROR(__xludf.DUMMYFUNCTION("""COMPUTED_VALUE"""),100.0)</f>
        <v>100</v>
      </c>
      <c r="M513" s="32" t="str">
        <f>IFERROR(__xludf.DUMMYFUNCTION("""COMPUTED_VALUE"""),"#N/A")</f>
        <v>#N/A</v>
      </c>
      <c r="N513" s="32" t="str">
        <f>IFERROR(__xludf.DUMMYFUNCTION("""COMPUTED_VALUE"""),"#N/A")</f>
        <v>#N/A</v>
      </c>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f>IFERROR(__xludf.DUMMYFUNCTION("""COMPUTED_VALUE"""),0.0)</f>
        <v>0</v>
      </c>
      <c r="BE513" s="32">
        <f>IFERROR(__xludf.DUMMYFUNCTION("""COMPUTED_VALUE"""),10.0)</f>
        <v>10</v>
      </c>
      <c r="BF513" s="32"/>
      <c r="BG513" s="32"/>
      <c r="BH513" s="32"/>
      <c r="BI513" s="32"/>
      <c r="BJ513" s="32"/>
      <c r="BK513" s="32"/>
      <c r="BL513" s="32" t="b">
        <f>IFERROR(__xludf.DUMMYFUNCTION("""COMPUTED_VALUE"""),FALSE)</f>
        <v>0</v>
      </c>
      <c r="BM513" s="32"/>
      <c r="BN513" s="32"/>
      <c r="BO513" s="32"/>
      <c r="BP513" s="32"/>
      <c r="BQ513" s="32"/>
    </row>
    <row r="514">
      <c r="A514" s="32"/>
      <c r="B514" s="32">
        <f>IFERROR(__xludf.DUMMYFUNCTION("""COMPUTED_VALUE"""),1.0)</f>
        <v>1</v>
      </c>
      <c r="C514" s="32"/>
      <c r="D514" s="32"/>
      <c r="E514" s="32">
        <f>IFERROR(__xludf.DUMMYFUNCTION("""COMPUTED_VALUE"""),1010.0)</f>
        <v>1010</v>
      </c>
      <c r="F514" s="33">
        <f>IFERROR(__xludf.DUMMYFUNCTION("""COMPUTED_VALUE"""),1010.0)</f>
        <v>1010</v>
      </c>
      <c r="G514" s="32">
        <f>IFERROR(__xludf.DUMMYFUNCTION("""COMPUTED_VALUE"""),1010.0)</f>
        <v>1010</v>
      </c>
      <c r="H514" s="32">
        <f>IFERROR(__xludf.DUMMYFUNCTION("""COMPUTED_VALUE"""),10.0)</f>
        <v>10</v>
      </c>
      <c r="I514" s="32">
        <f>IFERROR(__xludf.DUMMYFUNCTION("""COMPUTED_VALUE"""),0.0)</f>
        <v>0</v>
      </c>
      <c r="J514" s="32">
        <f>IFERROR(__xludf.DUMMYFUNCTION("""COMPUTED_VALUE"""),0.0)</f>
        <v>0</v>
      </c>
      <c r="K514" s="32">
        <f>IFERROR(__xludf.DUMMYFUNCTION("""COMPUTED_VALUE"""),100.0)</f>
        <v>100</v>
      </c>
      <c r="L514" s="32">
        <f>IFERROR(__xludf.DUMMYFUNCTION("""COMPUTED_VALUE"""),100.0)</f>
        <v>100</v>
      </c>
      <c r="M514" s="32" t="str">
        <f>IFERROR(__xludf.DUMMYFUNCTION("""COMPUTED_VALUE"""),"#N/A")</f>
        <v>#N/A</v>
      </c>
      <c r="N514" s="32" t="str">
        <f>IFERROR(__xludf.DUMMYFUNCTION("""COMPUTED_VALUE"""),"#N/A")</f>
        <v>#N/A</v>
      </c>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f>IFERROR(__xludf.DUMMYFUNCTION("""COMPUTED_VALUE"""),0.0)</f>
        <v>0</v>
      </c>
      <c r="BE514" s="32">
        <f>IFERROR(__xludf.DUMMYFUNCTION("""COMPUTED_VALUE"""),10.0)</f>
        <v>10</v>
      </c>
      <c r="BF514" s="32"/>
      <c r="BG514" s="32"/>
      <c r="BH514" s="32"/>
      <c r="BI514" s="32"/>
      <c r="BJ514" s="32"/>
      <c r="BK514" s="32"/>
      <c r="BL514" s="32" t="b">
        <f>IFERROR(__xludf.DUMMYFUNCTION("""COMPUTED_VALUE"""),FALSE)</f>
        <v>0</v>
      </c>
      <c r="BM514" s="32"/>
      <c r="BN514" s="32"/>
      <c r="BO514" s="32"/>
      <c r="BP514" s="32"/>
      <c r="BQ514" s="32"/>
    </row>
    <row r="515">
      <c r="A515" s="32"/>
      <c r="B515" s="32">
        <f>IFERROR(__xludf.DUMMYFUNCTION("""COMPUTED_VALUE"""),1.0)</f>
        <v>1</v>
      </c>
      <c r="C515" s="32"/>
      <c r="D515" s="32"/>
      <c r="E515" s="32">
        <f>IFERROR(__xludf.DUMMYFUNCTION("""COMPUTED_VALUE"""),1010.0)</f>
        <v>1010</v>
      </c>
      <c r="F515" s="33">
        <f>IFERROR(__xludf.DUMMYFUNCTION("""COMPUTED_VALUE"""),1010.0)</f>
        <v>1010</v>
      </c>
      <c r="G515" s="32">
        <f>IFERROR(__xludf.DUMMYFUNCTION("""COMPUTED_VALUE"""),1010.0)</f>
        <v>1010</v>
      </c>
      <c r="H515" s="32">
        <f>IFERROR(__xludf.DUMMYFUNCTION("""COMPUTED_VALUE"""),10.0)</f>
        <v>10</v>
      </c>
      <c r="I515" s="32">
        <f>IFERROR(__xludf.DUMMYFUNCTION("""COMPUTED_VALUE"""),0.0)</f>
        <v>0</v>
      </c>
      <c r="J515" s="32">
        <f>IFERROR(__xludf.DUMMYFUNCTION("""COMPUTED_VALUE"""),0.0)</f>
        <v>0</v>
      </c>
      <c r="K515" s="32">
        <f>IFERROR(__xludf.DUMMYFUNCTION("""COMPUTED_VALUE"""),100.0)</f>
        <v>100</v>
      </c>
      <c r="L515" s="32">
        <f>IFERROR(__xludf.DUMMYFUNCTION("""COMPUTED_VALUE"""),100.0)</f>
        <v>100</v>
      </c>
      <c r="M515" s="32" t="str">
        <f>IFERROR(__xludf.DUMMYFUNCTION("""COMPUTED_VALUE"""),"#N/A")</f>
        <v>#N/A</v>
      </c>
      <c r="N515" s="32" t="str">
        <f>IFERROR(__xludf.DUMMYFUNCTION("""COMPUTED_VALUE"""),"#N/A")</f>
        <v>#N/A</v>
      </c>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f>IFERROR(__xludf.DUMMYFUNCTION("""COMPUTED_VALUE"""),0.0)</f>
        <v>0</v>
      </c>
      <c r="BE515" s="32">
        <f>IFERROR(__xludf.DUMMYFUNCTION("""COMPUTED_VALUE"""),10.0)</f>
        <v>10</v>
      </c>
      <c r="BF515" s="32"/>
      <c r="BG515" s="32"/>
      <c r="BH515" s="32"/>
      <c r="BI515" s="32"/>
      <c r="BJ515" s="32"/>
      <c r="BK515" s="32"/>
      <c r="BL515" s="32" t="b">
        <f>IFERROR(__xludf.DUMMYFUNCTION("""COMPUTED_VALUE"""),FALSE)</f>
        <v>0</v>
      </c>
      <c r="BM515" s="32"/>
      <c r="BN515" s="32"/>
      <c r="BO515" s="32"/>
      <c r="BP515" s="32"/>
      <c r="BQ515" s="32"/>
    </row>
    <row r="516">
      <c r="A516" s="32"/>
      <c r="B516" s="32">
        <f>IFERROR(__xludf.DUMMYFUNCTION("""COMPUTED_VALUE"""),1.0)</f>
        <v>1</v>
      </c>
      <c r="C516" s="32"/>
      <c r="D516" s="32"/>
      <c r="E516" s="32">
        <f>IFERROR(__xludf.DUMMYFUNCTION("""COMPUTED_VALUE"""),1010.0)</f>
        <v>1010</v>
      </c>
      <c r="F516" s="33">
        <f>IFERROR(__xludf.DUMMYFUNCTION("""COMPUTED_VALUE"""),1010.0)</f>
        <v>1010</v>
      </c>
      <c r="G516" s="32">
        <f>IFERROR(__xludf.DUMMYFUNCTION("""COMPUTED_VALUE"""),1010.0)</f>
        <v>1010</v>
      </c>
      <c r="H516" s="32">
        <f>IFERROR(__xludf.DUMMYFUNCTION("""COMPUTED_VALUE"""),10.0)</f>
        <v>10</v>
      </c>
      <c r="I516" s="32">
        <f>IFERROR(__xludf.DUMMYFUNCTION("""COMPUTED_VALUE"""),0.0)</f>
        <v>0</v>
      </c>
      <c r="J516" s="32">
        <f>IFERROR(__xludf.DUMMYFUNCTION("""COMPUTED_VALUE"""),0.0)</f>
        <v>0</v>
      </c>
      <c r="K516" s="32">
        <f>IFERROR(__xludf.DUMMYFUNCTION("""COMPUTED_VALUE"""),100.0)</f>
        <v>100</v>
      </c>
      <c r="L516" s="32">
        <f>IFERROR(__xludf.DUMMYFUNCTION("""COMPUTED_VALUE"""),100.0)</f>
        <v>100</v>
      </c>
      <c r="M516" s="32" t="str">
        <f>IFERROR(__xludf.DUMMYFUNCTION("""COMPUTED_VALUE"""),"#N/A")</f>
        <v>#N/A</v>
      </c>
      <c r="N516" s="32" t="str">
        <f>IFERROR(__xludf.DUMMYFUNCTION("""COMPUTED_VALUE"""),"#N/A")</f>
        <v>#N/A</v>
      </c>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f>IFERROR(__xludf.DUMMYFUNCTION("""COMPUTED_VALUE"""),0.0)</f>
        <v>0</v>
      </c>
      <c r="BE516" s="32">
        <f>IFERROR(__xludf.DUMMYFUNCTION("""COMPUTED_VALUE"""),10.0)</f>
        <v>10</v>
      </c>
      <c r="BF516" s="32"/>
      <c r="BG516" s="32"/>
      <c r="BH516" s="32"/>
      <c r="BI516" s="32"/>
      <c r="BJ516" s="32"/>
      <c r="BK516" s="32"/>
      <c r="BL516" s="32" t="b">
        <f>IFERROR(__xludf.DUMMYFUNCTION("""COMPUTED_VALUE"""),FALSE)</f>
        <v>0</v>
      </c>
      <c r="BM516" s="32"/>
      <c r="BN516" s="32"/>
      <c r="BO516" s="32"/>
      <c r="BP516" s="32"/>
      <c r="BQ516" s="32"/>
    </row>
    <row r="517">
      <c r="A517" s="32"/>
      <c r="B517" s="32">
        <f>IFERROR(__xludf.DUMMYFUNCTION("""COMPUTED_VALUE"""),1.0)</f>
        <v>1</v>
      </c>
      <c r="C517" s="32"/>
      <c r="D517" s="32"/>
      <c r="E517" s="32">
        <f>IFERROR(__xludf.DUMMYFUNCTION("""COMPUTED_VALUE"""),1010.0)</f>
        <v>1010</v>
      </c>
      <c r="F517" s="33">
        <f>IFERROR(__xludf.DUMMYFUNCTION("""COMPUTED_VALUE"""),1010.0)</f>
        <v>1010</v>
      </c>
      <c r="G517" s="32">
        <f>IFERROR(__xludf.DUMMYFUNCTION("""COMPUTED_VALUE"""),1010.0)</f>
        <v>1010</v>
      </c>
      <c r="H517" s="32">
        <f>IFERROR(__xludf.DUMMYFUNCTION("""COMPUTED_VALUE"""),10.0)</f>
        <v>10</v>
      </c>
      <c r="I517" s="32">
        <f>IFERROR(__xludf.DUMMYFUNCTION("""COMPUTED_VALUE"""),0.0)</f>
        <v>0</v>
      </c>
      <c r="J517" s="32">
        <f>IFERROR(__xludf.DUMMYFUNCTION("""COMPUTED_VALUE"""),0.0)</f>
        <v>0</v>
      </c>
      <c r="K517" s="32">
        <f>IFERROR(__xludf.DUMMYFUNCTION("""COMPUTED_VALUE"""),100.0)</f>
        <v>100</v>
      </c>
      <c r="L517" s="32">
        <f>IFERROR(__xludf.DUMMYFUNCTION("""COMPUTED_VALUE"""),100.0)</f>
        <v>100</v>
      </c>
      <c r="M517" s="32" t="str">
        <f>IFERROR(__xludf.DUMMYFUNCTION("""COMPUTED_VALUE"""),"#N/A")</f>
        <v>#N/A</v>
      </c>
      <c r="N517" s="32" t="str">
        <f>IFERROR(__xludf.DUMMYFUNCTION("""COMPUTED_VALUE"""),"#N/A")</f>
        <v>#N/A</v>
      </c>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f>IFERROR(__xludf.DUMMYFUNCTION("""COMPUTED_VALUE"""),0.0)</f>
        <v>0</v>
      </c>
      <c r="BE517" s="32">
        <f>IFERROR(__xludf.DUMMYFUNCTION("""COMPUTED_VALUE"""),10.0)</f>
        <v>10</v>
      </c>
      <c r="BF517" s="32"/>
      <c r="BG517" s="32"/>
      <c r="BH517" s="32"/>
      <c r="BI517" s="32"/>
      <c r="BJ517" s="32"/>
      <c r="BK517" s="32"/>
      <c r="BL517" s="32" t="b">
        <f>IFERROR(__xludf.DUMMYFUNCTION("""COMPUTED_VALUE"""),FALSE)</f>
        <v>0</v>
      </c>
      <c r="BM517" s="32"/>
      <c r="BN517" s="32"/>
      <c r="BO517" s="32"/>
      <c r="BP517" s="32"/>
      <c r="BQ517" s="32"/>
    </row>
    <row r="518">
      <c r="A518" s="32"/>
      <c r="B518" s="32">
        <f>IFERROR(__xludf.DUMMYFUNCTION("""COMPUTED_VALUE"""),1.0)</f>
        <v>1</v>
      </c>
      <c r="C518" s="32"/>
      <c r="D518" s="32"/>
      <c r="E518" s="32">
        <f>IFERROR(__xludf.DUMMYFUNCTION("""COMPUTED_VALUE"""),1010.0)</f>
        <v>1010</v>
      </c>
      <c r="F518" s="33">
        <f>IFERROR(__xludf.DUMMYFUNCTION("""COMPUTED_VALUE"""),1010.0)</f>
        <v>1010</v>
      </c>
      <c r="G518" s="32">
        <f>IFERROR(__xludf.DUMMYFUNCTION("""COMPUTED_VALUE"""),1010.0)</f>
        <v>1010</v>
      </c>
      <c r="H518" s="32">
        <f>IFERROR(__xludf.DUMMYFUNCTION("""COMPUTED_VALUE"""),10.0)</f>
        <v>10</v>
      </c>
      <c r="I518" s="32">
        <f>IFERROR(__xludf.DUMMYFUNCTION("""COMPUTED_VALUE"""),0.0)</f>
        <v>0</v>
      </c>
      <c r="J518" s="32">
        <f>IFERROR(__xludf.DUMMYFUNCTION("""COMPUTED_VALUE"""),0.0)</f>
        <v>0</v>
      </c>
      <c r="K518" s="32">
        <f>IFERROR(__xludf.DUMMYFUNCTION("""COMPUTED_VALUE"""),100.0)</f>
        <v>100</v>
      </c>
      <c r="L518" s="32">
        <f>IFERROR(__xludf.DUMMYFUNCTION("""COMPUTED_VALUE"""),100.0)</f>
        <v>100</v>
      </c>
      <c r="M518" s="32" t="str">
        <f>IFERROR(__xludf.DUMMYFUNCTION("""COMPUTED_VALUE"""),"#N/A")</f>
        <v>#N/A</v>
      </c>
      <c r="N518" s="32" t="str">
        <f>IFERROR(__xludf.DUMMYFUNCTION("""COMPUTED_VALUE"""),"#N/A")</f>
        <v>#N/A</v>
      </c>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f>IFERROR(__xludf.DUMMYFUNCTION("""COMPUTED_VALUE"""),0.0)</f>
        <v>0</v>
      </c>
      <c r="BE518" s="32">
        <f>IFERROR(__xludf.DUMMYFUNCTION("""COMPUTED_VALUE"""),10.0)</f>
        <v>10</v>
      </c>
      <c r="BF518" s="32"/>
      <c r="BG518" s="32"/>
      <c r="BH518" s="32"/>
      <c r="BI518" s="32"/>
      <c r="BJ518" s="32"/>
      <c r="BK518" s="32"/>
      <c r="BL518" s="32" t="b">
        <f>IFERROR(__xludf.DUMMYFUNCTION("""COMPUTED_VALUE"""),FALSE)</f>
        <v>0</v>
      </c>
      <c r="BM518" s="32"/>
      <c r="BN518" s="32"/>
      <c r="BO518" s="32"/>
      <c r="BP518" s="32"/>
      <c r="BQ518" s="32"/>
    </row>
    <row r="519">
      <c r="A519" s="32"/>
      <c r="B519" s="32">
        <f>IFERROR(__xludf.DUMMYFUNCTION("""COMPUTED_VALUE"""),1.0)</f>
        <v>1</v>
      </c>
      <c r="C519" s="32"/>
      <c r="D519" s="32"/>
      <c r="E519" s="32">
        <f>IFERROR(__xludf.DUMMYFUNCTION("""COMPUTED_VALUE"""),1010.0)</f>
        <v>1010</v>
      </c>
      <c r="F519" s="33">
        <f>IFERROR(__xludf.DUMMYFUNCTION("""COMPUTED_VALUE"""),1010.0)</f>
        <v>1010</v>
      </c>
      <c r="G519" s="32">
        <f>IFERROR(__xludf.DUMMYFUNCTION("""COMPUTED_VALUE"""),1010.0)</f>
        <v>1010</v>
      </c>
      <c r="H519" s="32">
        <f>IFERROR(__xludf.DUMMYFUNCTION("""COMPUTED_VALUE"""),10.0)</f>
        <v>10</v>
      </c>
      <c r="I519" s="32">
        <f>IFERROR(__xludf.DUMMYFUNCTION("""COMPUTED_VALUE"""),0.0)</f>
        <v>0</v>
      </c>
      <c r="J519" s="32">
        <f>IFERROR(__xludf.DUMMYFUNCTION("""COMPUTED_VALUE"""),0.0)</f>
        <v>0</v>
      </c>
      <c r="K519" s="32">
        <f>IFERROR(__xludf.DUMMYFUNCTION("""COMPUTED_VALUE"""),100.0)</f>
        <v>100</v>
      </c>
      <c r="L519" s="32">
        <f>IFERROR(__xludf.DUMMYFUNCTION("""COMPUTED_VALUE"""),100.0)</f>
        <v>100</v>
      </c>
      <c r="M519" s="32" t="str">
        <f>IFERROR(__xludf.DUMMYFUNCTION("""COMPUTED_VALUE"""),"#N/A")</f>
        <v>#N/A</v>
      </c>
      <c r="N519" s="32" t="str">
        <f>IFERROR(__xludf.DUMMYFUNCTION("""COMPUTED_VALUE"""),"#N/A")</f>
        <v>#N/A</v>
      </c>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f>IFERROR(__xludf.DUMMYFUNCTION("""COMPUTED_VALUE"""),0.0)</f>
        <v>0</v>
      </c>
      <c r="BE519" s="32">
        <f>IFERROR(__xludf.DUMMYFUNCTION("""COMPUTED_VALUE"""),10.0)</f>
        <v>10</v>
      </c>
      <c r="BF519" s="32"/>
      <c r="BG519" s="32"/>
      <c r="BH519" s="32"/>
      <c r="BI519" s="32"/>
      <c r="BJ519" s="32"/>
      <c r="BK519" s="32"/>
      <c r="BL519" s="32" t="b">
        <f>IFERROR(__xludf.DUMMYFUNCTION("""COMPUTED_VALUE"""),FALSE)</f>
        <v>0</v>
      </c>
      <c r="BM519" s="32"/>
      <c r="BN519" s="32"/>
      <c r="BO519" s="32"/>
      <c r="BP519" s="32"/>
      <c r="BQ519" s="32"/>
    </row>
    <row r="520">
      <c r="A520" s="32"/>
      <c r="B520" s="32">
        <f>IFERROR(__xludf.DUMMYFUNCTION("""COMPUTED_VALUE"""),1.0)</f>
        <v>1</v>
      </c>
      <c r="C520" s="32"/>
      <c r="D520" s="32"/>
      <c r="E520" s="32">
        <f>IFERROR(__xludf.DUMMYFUNCTION("""COMPUTED_VALUE"""),1010.0)</f>
        <v>1010</v>
      </c>
      <c r="F520" s="33">
        <f>IFERROR(__xludf.DUMMYFUNCTION("""COMPUTED_VALUE"""),1010.0)</f>
        <v>1010</v>
      </c>
      <c r="G520" s="32">
        <f>IFERROR(__xludf.DUMMYFUNCTION("""COMPUTED_VALUE"""),1010.0)</f>
        <v>1010</v>
      </c>
      <c r="H520" s="32">
        <f>IFERROR(__xludf.DUMMYFUNCTION("""COMPUTED_VALUE"""),10.0)</f>
        <v>10</v>
      </c>
      <c r="I520" s="32">
        <f>IFERROR(__xludf.DUMMYFUNCTION("""COMPUTED_VALUE"""),0.0)</f>
        <v>0</v>
      </c>
      <c r="J520" s="32">
        <f>IFERROR(__xludf.DUMMYFUNCTION("""COMPUTED_VALUE"""),0.0)</f>
        <v>0</v>
      </c>
      <c r="K520" s="32">
        <f>IFERROR(__xludf.DUMMYFUNCTION("""COMPUTED_VALUE"""),100.0)</f>
        <v>100</v>
      </c>
      <c r="L520" s="32">
        <f>IFERROR(__xludf.DUMMYFUNCTION("""COMPUTED_VALUE"""),100.0)</f>
        <v>100</v>
      </c>
      <c r="M520" s="32" t="str">
        <f>IFERROR(__xludf.DUMMYFUNCTION("""COMPUTED_VALUE"""),"#N/A")</f>
        <v>#N/A</v>
      </c>
      <c r="N520" s="32" t="str">
        <f>IFERROR(__xludf.DUMMYFUNCTION("""COMPUTED_VALUE"""),"#N/A")</f>
        <v>#N/A</v>
      </c>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f>IFERROR(__xludf.DUMMYFUNCTION("""COMPUTED_VALUE"""),0.0)</f>
        <v>0</v>
      </c>
      <c r="BE520" s="32">
        <f>IFERROR(__xludf.DUMMYFUNCTION("""COMPUTED_VALUE"""),10.0)</f>
        <v>10</v>
      </c>
      <c r="BF520" s="32"/>
      <c r="BG520" s="32"/>
      <c r="BH520" s="32"/>
      <c r="BI520" s="32"/>
      <c r="BJ520" s="32"/>
      <c r="BK520" s="32"/>
      <c r="BL520" s="32" t="b">
        <f>IFERROR(__xludf.DUMMYFUNCTION("""COMPUTED_VALUE"""),FALSE)</f>
        <v>0</v>
      </c>
      <c r="BM520" s="32"/>
      <c r="BN520" s="32"/>
      <c r="BO520" s="32"/>
      <c r="BP520" s="32"/>
      <c r="BQ520" s="32"/>
    </row>
    <row r="521">
      <c r="A521" s="32"/>
      <c r="B521" s="32">
        <f>IFERROR(__xludf.DUMMYFUNCTION("""COMPUTED_VALUE"""),1.0)</f>
        <v>1</v>
      </c>
      <c r="C521" s="32"/>
      <c r="D521" s="32"/>
      <c r="E521" s="32">
        <f>IFERROR(__xludf.DUMMYFUNCTION("""COMPUTED_VALUE"""),1010.0)</f>
        <v>1010</v>
      </c>
      <c r="F521" s="33">
        <f>IFERROR(__xludf.DUMMYFUNCTION("""COMPUTED_VALUE"""),1010.0)</f>
        <v>1010</v>
      </c>
      <c r="G521" s="32">
        <f>IFERROR(__xludf.DUMMYFUNCTION("""COMPUTED_VALUE"""),1010.0)</f>
        <v>1010</v>
      </c>
      <c r="H521" s="32">
        <f>IFERROR(__xludf.DUMMYFUNCTION("""COMPUTED_VALUE"""),10.0)</f>
        <v>10</v>
      </c>
      <c r="I521" s="32">
        <f>IFERROR(__xludf.DUMMYFUNCTION("""COMPUTED_VALUE"""),0.0)</f>
        <v>0</v>
      </c>
      <c r="J521" s="32">
        <f>IFERROR(__xludf.DUMMYFUNCTION("""COMPUTED_VALUE"""),0.0)</f>
        <v>0</v>
      </c>
      <c r="K521" s="32">
        <f>IFERROR(__xludf.DUMMYFUNCTION("""COMPUTED_VALUE"""),100.0)</f>
        <v>100</v>
      </c>
      <c r="L521" s="32">
        <f>IFERROR(__xludf.DUMMYFUNCTION("""COMPUTED_VALUE"""),100.0)</f>
        <v>100</v>
      </c>
      <c r="M521" s="32" t="str">
        <f>IFERROR(__xludf.DUMMYFUNCTION("""COMPUTED_VALUE"""),"#N/A")</f>
        <v>#N/A</v>
      </c>
      <c r="N521" s="32" t="str">
        <f>IFERROR(__xludf.DUMMYFUNCTION("""COMPUTED_VALUE"""),"#N/A")</f>
        <v>#N/A</v>
      </c>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f>IFERROR(__xludf.DUMMYFUNCTION("""COMPUTED_VALUE"""),0.0)</f>
        <v>0</v>
      </c>
      <c r="BE521" s="32">
        <f>IFERROR(__xludf.DUMMYFUNCTION("""COMPUTED_VALUE"""),10.0)</f>
        <v>10</v>
      </c>
      <c r="BF521" s="32"/>
      <c r="BG521" s="32"/>
      <c r="BH521" s="32"/>
      <c r="BI521" s="32"/>
      <c r="BJ521" s="32"/>
      <c r="BK521" s="32"/>
      <c r="BL521" s="32" t="b">
        <f>IFERROR(__xludf.DUMMYFUNCTION("""COMPUTED_VALUE"""),FALSE)</f>
        <v>0</v>
      </c>
      <c r="BM521" s="32"/>
      <c r="BN521" s="32"/>
      <c r="BO521" s="32"/>
      <c r="BP521" s="32"/>
      <c r="BQ521" s="32"/>
    </row>
    <row r="522">
      <c r="A522" s="32"/>
      <c r="B522" s="32">
        <f>IFERROR(__xludf.DUMMYFUNCTION("""COMPUTED_VALUE"""),1.0)</f>
        <v>1</v>
      </c>
      <c r="C522" s="32"/>
      <c r="D522" s="32"/>
      <c r="E522" s="32">
        <f>IFERROR(__xludf.DUMMYFUNCTION("""COMPUTED_VALUE"""),1010.0)</f>
        <v>1010</v>
      </c>
      <c r="F522" s="33">
        <f>IFERROR(__xludf.DUMMYFUNCTION("""COMPUTED_VALUE"""),1010.0)</f>
        <v>1010</v>
      </c>
      <c r="G522" s="32">
        <f>IFERROR(__xludf.DUMMYFUNCTION("""COMPUTED_VALUE"""),1010.0)</f>
        <v>1010</v>
      </c>
      <c r="H522" s="32">
        <f>IFERROR(__xludf.DUMMYFUNCTION("""COMPUTED_VALUE"""),10.0)</f>
        <v>10</v>
      </c>
      <c r="I522" s="32">
        <f>IFERROR(__xludf.DUMMYFUNCTION("""COMPUTED_VALUE"""),0.0)</f>
        <v>0</v>
      </c>
      <c r="J522" s="32">
        <f>IFERROR(__xludf.DUMMYFUNCTION("""COMPUTED_VALUE"""),0.0)</f>
        <v>0</v>
      </c>
      <c r="K522" s="32">
        <f>IFERROR(__xludf.DUMMYFUNCTION("""COMPUTED_VALUE"""),100.0)</f>
        <v>100</v>
      </c>
      <c r="L522" s="32">
        <f>IFERROR(__xludf.DUMMYFUNCTION("""COMPUTED_VALUE"""),100.0)</f>
        <v>100</v>
      </c>
      <c r="M522" s="32" t="str">
        <f>IFERROR(__xludf.DUMMYFUNCTION("""COMPUTED_VALUE"""),"#N/A")</f>
        <v>#N/A</v>
      </c>
      <c r="N522" s="32" t="str">
        <f>IFERROR(__xludf.DUMMYFUNCTION("""COMPUTED_VALUE"""),"#N/A")</f>
        <v>#N/A</v>
      </c>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f>IFERROR(__xludf.DUMMYFUNCTION("""COMPUTED_VALUE"""),0.0)</f>
        <v>0</v>
      </c>
      <c r="BE522" s="32">
        <f>IFERROR(__xludf.DUMMYFUNCTION("""COMPUTED_VALUE"""),10.0)</f>
        <v>10</v>
      </c>
      <c r="BF522" s="32"/>
      <c r="BG522" s="32"/>
      <c r="BH522" s="32"/>
      <c r="BI522" s="32"/>
      <c r="BJ522" s="32"/>
      <c r="BK522" s="32"/>
      <c r="BL522" s="32" t="b">
        <f>IFERROR(__xludf.DUMMYFUNCTION("""COMPUTED_VALUE"""),FALSE)</f>
        <v>0</v>
      </c>
      <c r="BM522" s="32"/>
      <c r="BN522" s="32"/>
      <c r="BO522" s="32"/>
      <c r="BP522" s="32"/>
      <c r="BQ522" s="32"/>
    </row>
    <row r="523">
      <c r="A523" s="32"/>
      <c r="B523" s="32">
        <f>IFERROR(__xludf.DUMMYFUNCTION("""COMPUTED_VALUE"""),1.0)</f>
        <v>1</v>
      </c>
      <c r="C523" s="32"/>
      <c r="D523" s="32"/>
      <c r="E523" s="32">
        <f>IFERROR(__xludf.DUMMYFUNCTION("""COMPUTED_VALUE"""),1010.0)</f>
        <v>1010</v>
      </c>
      <c r="F523" s="33">
        <f>IFERROR(__xludf.DUMMYFUNCTION("""COMPUTED_VALUE"""),1010.0)</f>
        <v>1010</v>
      </c>
      <c r="G523" s="32">
        <f>IFERROR(__xludf.DUMMYFUNCTION("""COMPUTED_VALUE"""),1010.0)</f>
        <v>1010</v>
      </c>
      <c r="H523" s="32">
        <f>IFERROR(__xludf.DUMMYFUNCTION("""COMPUTED_VALUE"""),10.0)</f>
        <v>10</v>
      </c>
      <c r="I523" s="32">
        <f>IFERROR(__xludf.DUMMYFUNCTION("""COMPUTED_VALUE"""),0.0)</f>
        <v>0</v>
      </c>
      <c r="J523" s="32">
        <f>IFERROR(__xludf.DUMMYFUNCTION("""COMPUTED_VALUE"""),0.0)</f>
        <v>0</v>
      </c>
      <c r="K523" s="32">
        <f>IFERROR(__xludf.DUMMYFUNCTION("""COMPUTED_VALUE"""),100.0)</f>
        <v>100</v>
      </c>
      <c r="L523" s="32">
        <f>IFERROR(__xludf.DUMMYFUNCTION("""COMPUTED_VALUE"""),100.0)</f>
        <v>100</v>
      </c>
      <c r="M523" s="32" t="str">
        <f>IFERROR(__xludf.DUMMYFUNCTION("""COMPUTED_VALUE"""),"#N/A")</f>
        <v>#N/A</v>
      </c>
      <c r="N523" s="32" t="str">
        <f>IFERROR(__xludf.DUMMYFUNCTION("""COMPUTED_VALUE"""),"#N/A")</f>
        <v>#N/A</v>
      </c>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f>IFERROR(__xludf.DUMMYFUNCTION("""COMPUTED_VALUE"""),0.0)</f>
        <v>0</v>
      </c>
      <c r="BE523" s="32">
        <f>IFERROR(__xludf.DUMMYFUNCTION("""COMPUTED_VALUE"""),10.0)</f>
        <v>10</v>
      </c>
      <c r="BF523" s="32"/>
      <c r="BG523" s="32"/>
      <c r="BH523" s="32"/>
      <c r="BI523" s="32"/>
      <c r="BJ523" s="32"/>
      <c r="BK523" s="32"/>
      <c r="BL523" s="32" t="b">
        <f>IFERROR(__xludf.DUMMYFUNCTION("""COMPUTED_VALUE"""),FALSE)</f>
        <v>0</v>
      </c>
      <c r="BM523" s="32"/>
      <c r="BN523" s="32"/>
      <c r="BO523" s="32"/>
      <c r="BP523" s="32"/>
      <c r="BQ523" s="32"/>
    </row>
    <row r="524">
      <c r="A524" s="32"/>
      <c r="B524" s="32">
        <f>IFERROR(__xludf.DUMMYFUNCTION("""COMPUTED_VALUE"""),1.0)</f>
        <v>1</v>
      </c>
      <c r="C524" s="32"/>
      <c r="D524" s="32"/>
      <c r="E524" s="32">
        <f>IFERROR(__xludf.DUMMYFUNCTION("""COMPUTED_VALUE"""),1010.0)</f>
        <v>1010</v>
      </c>
      <c r="F524" s="33">
        <f>IFERROR(__xludf.DUMMYFUNCTION("""COMPUTED_VALUE"""),1010.0)</f>
        <v>1010</v>
      </c>
      <c r="G524" s="32">
        <f>IFERROR(__xludf.DUMMYFUNCTION("""COMPUTED_VALUE"""),1010.0)</f>
        <v>1010</v>
      </c>
      <c r="H524" s="32">
        <f>IFERROR(__xludf.DUMMYFUNCTION("""COMPUTED_VALUE"""),10.0)</f>
        <v>10</v>
      </c>
      <c r="I524" s="32">
        <f>IFERROR(__xludf.DUMMYFUNCTION("""COMPUTED_VALUE"""),0.0)</f>
        <v>0</v>
      </c>
      <c r="J524" s="32">
        <f>IFERROR(__xludf.DUMMYFUNCTION("""COMPUTED_VALUE"""),0.0)</f>
        <v>0</v>
      </c>
      <c r="K524" s="32">
        <f>IFERROR(__xludf.DUMMYFUNCTION("""COMPUTED_VALUE"""),100.0)</f>
        <v>100</v>
      </c>
      <c r="L524" s="32">
        <f>IFERROR(__xludf.DUMMYFUNCTION("""COMPUTED_VALUE"""),100.0)</f>
        <v>100</v>
      </c>
      <c r="M524" s="32" t="str">
        <f>IFERROR(__xludf.DUMMYFUNCTION("""COMPUTED_VALUE"""),"#N/A")</f>
        <v>#N/A</v>
      </c>
      <c r="N524" s="32" t="str">
        <f>IFERROR(__xludf.DUMMYFUNCTION("""COMPUTED_VALUE"""),"#N/A")</f>
        <v>#N/A</v>
      </c>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f>IFERROR(__xludf.DUMMYFUNCTION("""COMPUTED_VALUE"""),0.0)</f>
        <v>0</v>
      </c>
      <c r="BE524" s="32">
        <f>IFERROR(__xludf.DUMMYFUNCTION("""COMPUTED_VALUE"""),10.0)</f>
        <v>10</v>
      </c>
      <c r="BF524" s="32"/>
      <c r="BG524" s="32"/>
      <c r="BH524" s="32"/>
      <c r="BI524" s="32"/>
      <c r="BJ524" s="32"/>
      <c r="BK524" s="32"/>
      <c r="BL524" s="32" t="b">
        <f>IFERROR(__xludf.DUMMYFUNCTION("""COMPUTED_VALUE"""),FALSE)</f>
        <v>0</v>
      </c>
      <c r="BM524" s="32"/>
      <c r="BN524" s="32"/>
      <c r="BO524" s="32"/>
      <c r="BP524" s="32"/>
      <c r="BQ524" s="32"/>
    </row>
    <row r="525">
      <c r="A525" s="32"/>
      <c r="B525" s="32">
        <f>IFERROR(__xludf.DUMMYFUNCTION("""COMPUTED_VALUE"""),1.0)</f>
        <v>1</v>
      </c>
      <c r="C525" s="32"/>
      <c r="D525" s="32"/>
      <c r="E525" s="32">
        <f>IFERROR(__xludf.DUMMYFUNCTION("""COMPUTED_VALUE"""),1010.0)</f>
        <v>1010</v>
      </c>
      <c r="F525" s="33">
        <f>IFERROR(__xludf.DUMMYFUNCTION("""COMPUTED_VALUE"""),1010.0)</f>
        <v>1010</v>
      </c>
      <c r="G525" s="32">
        <f>IFERROR(__xludf.DUMMYFUNCTION("""COMPUTED_VALUE"""),1010.0)</f>
        <v>1010</v>
      </c>
      <c r="H525" s="32">
        <f>IFERROR(__xludf.DUMMYFUNCTION("""COMPUTED_VALUE"""),10.0)</f>
        <v>10</v>
      </c>
      <c r="I525" s="32">
        <f>IFERROR(__xludf.DUMMYFUNCTION("""COMPUTED_VALUE"""),0.0)</f>
        <v>0</v>
      </c>
      <c r="J525" s="32">
        <f>IFERROR(__xludf.DUMMYFUNCTION("""COMPUTED_VALUE"""),0.0)</f>
        <v>0</v>
      </c>
      <c r="K525" s="32">
        <f>IFERROR(__xludf.DUMMYFUNCTION("""COMPUTED_VALUE"""),100.0)</f>
        <v>100</v>
      </c>
      <c r="L525" s="32">
        <f>IFERROR(__xludf.DUMMYFUNCTION("""COMPUTED_VALUE"""),100.0)</f>
        <v>100</v>
      </c>
      <c r="M525" s="32" t="str">
        <f>IFERROR(__xludf.DUMMYFUNCTION("""COMPUTED_VALUE"""),"#N/A")</f>
        <v>#N/A</v>
      </c>
      <c r="N525" s="32" t="str">
        <f>IFERROR(__xludf.DUMMYFUNCTION("""COMPUTED_VALUE"""),"#N/A")</f>
        <v>#N/A</v>
      </c>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f>IFERROR(__xludf.DUMMYFUNCTION("""COMPUTED_VALUE"""),0.0)</f>
        <v>0</v>
      </c>
      <c r="BE525" s="32">
        <f>IFERROR(__xludf.DUMMYFUNCTION("""COMPUTED_VALUE"""),10.0)</f>
        <v>10</v>
      </c>
      <c r="BF525" s="32"/>
      <c r="BG525" s="32"/>
      <c r="BH525" s="32"/>
      <c r="BI525" s="32"/>
      <c r="BJ525" s="32"/>
      <c r="BK525" s="32"/>
      <c r="BL525" s="32" t="b">
        <f>IFERROR(__xludf.DUMMYFUNCTION("""COMPUTED_VALUE"""),FALSE)</f>
        <v>0</v>
      </c>
      <c r="BM525" s="32"/>
      <c r="BN525" s="32"/>
      <c r="BO525" s="32"/>
      <c r="BP525" s="32"/>
      <c r="BQ525" s="32"/>
    </row>
    <row r="526">
      <c r="A526" s="32"/>
      <c r="B526" s="32">
        <f>IFERROR(__xludf.DUMMYFUNCTION("""COMPUTED_VALUE"""),1.0)</f>
        <v>1</v>
      </c>
      <c r="C526" s="32"/>
      <c r="D526" s="32"/>
      <c r="E526" s="32">
        <f>IFERROR(__xludf.DUMMYFUNCTION("""COMPUTED_VALUE"""),1010.0)</f>
        <v>1010</v>
      </c>
      <c r="F526" s="33">
        <f>IFERROR(__xludf.DUMMYFUNCTION("""COMPUTED_VALUE"""),1010.0)</f>
        <v>1010</v>
      </c>
      <c r="G526" s="32">
        <f>IFERROR(__xludf.DUMMYFUNCTION("""COMPUTED_VALUE"""),1010.0)</f>
        <v>1010</v>
      </c>
      <c r="H526" s="32">
        <f>IFERROR(__xludf.DUMMYFUNCTION("""COMPUTED_VALUE"""),10.0)</f>
        <v>10</v>
      </c>
      <c r="I526" s="32">
        <f>IFERROR(__xludf.DUMMYFUNCTION("""COMPUTED_VALUE"""),0.0)</f>
        <v>0</v>
      </c>
      <c r="J526" s="32">
        <f>IFERROR(__xludf.DUMMYFUNCTION("""COMPUTED_VALUE"""),0.0)</f>
        <v>0</v>
      </c>
      <c r="K526" s="32">
        <f>IFERROR(__xludf.DUMMYFUNCTION("""COMPUTED_VALUE"""),100.0)</f>
        <v>100</v>
      </c>
      <c r="L526" s="32">
        <f>IFERROR(__xludf.DUMMYFUNCTION("""COMPUTED_VALUE"""),100.0)</f>
        <v>100</v>
      </c>
      <c r="M526" s="32" t="str">
        <f>IFERROR(__xludf.DUMMYFUNCTION("""COMPUTED_VALUE"""),"#N/A")</f>
        <v>#N/A</v>
      </c>
      <c r="N526" s="32" t="str">
        <f>IFERROR(__xludf.DUMMYFUNCTION("""COMPUTED_VALUE"""),"#N/A")</f>
        <v>#N/A</v>
      </c>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f>IFERROR(__xludf.DUMMYFUNCTION("""COMPUTED_VALUE"""),0.0)</f>
        <v>0</v>
      </c>
      <c r="BE526" s="32">
        <f>IFERROR(__xludf.DUMMYFUNCTION("""COMPUTED_VALUE"""),10.0)</f>
        <v>10</v>
      </c>
      <c r="BF526" s="32"/>
      <c r="BG526" s="32"/>
      <c r="BH526" s="32"/>
      <c r="BI526" s="32"/>
      <c r="BJ526" s="32"/>
      <c r="BK526" s="32"/>
      <c r="BL526" s="32" t="b">
        <f>IFERROR(__xludf.DUMMYFUNCTION("""COMPUTED_VALUE"""),FALSE)</f>
        <v>0</v>
      </c>
      <c r="BM526" s="32"/>
      <c r="BN526" s="32"/>
      <c r="BO526" s="32"/>
      <c r="BP526" s="32"/>
      <c r="BQ526" s="32"/>
    </row>
    <row r="527">
      <c r="A527" s="32"/>
      <c r="B527" s="32">
        <f>IFERROR(__xludf.DUMMYFUNCTION("""COMPUTED_VALUE"""),1.0)</f>
        <v>1</v>
      </c>
      <c r="C527" s="32"/>
      <c r="D527" s="32"/>
      <c r="E527" s="32">
        <f>IFERROR(__xludf.DUMMYFUNCTION("""COMPUTED_VALUE"""),1010.0)</f>
        <v>1010</v>
      </c>
      <c r="F527" s="33">
        <f>IFERROR(__xludf.DUMMYFUNCTION("""COMPUTED_VALUE"""),1010.0)</f>
        <v>1010</v>
      </c>
      <c r="G527" s="32">
        <f>IFERROR(__xludf.DUMMYFUNCTION("""COMPUTED_VALUE"""),1010.0)</f>
        <v>1010</v>
      </c>
      <c r="H527" s="32">
        <f>IFERROR(__xludf.DUMMYFUNCTION("""COMPUTED_VALUE"""),10.0)</f>
        <v>10</v>
      </c>
      <c r="I527" s="32">
        <f>IFERROR(__xludf.DUMMYFUNCTION("""COMPUTED_VALUE"""),0.0)</f>
        <v>0</v>
      </c>
      <c r="J527" s="32">
        <f>IFERROR(__xludf.DUMMYFUNCTION("""COMPUTED_VALUE"""),0.0)</f>
        <v>0</v>
      </c>
      <c r="K527" s="32">
        <f>IFERROR(__xludf.DUMMYFUNCTION("""COMPUTED_VALUE"""),100.0)</f>
        <v>100</v>
      </c>
      <c r="L527" s="32">
        <f>IFERROR(__xludf.DUMMYFUNCTION("""COMPUTED_VALUE"""),100.0)</f>
        <v>100</v>
      </c>
      <c r="M527" s="32" t="str">
        <f>IFERROR(__xludf.DUMMYFUNCTION("""COMPUTED_VALUE"""),"#N/A")</f>
        <v>#N/A</v>
      </c>
      <c r="N527" s="32" t="str">
        <f>IFERROR(__xludf.DUMMYFUNCTION("""COMPUTED_VALUE"""),"#N/A")</f>
        <v>#N/A</v>
      </c>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f>IFERROR(__xludf.DUMMYFUNCTION("""COMPUTED_VALUE"""),0.0)</f>
        <v>0</v>
      </c>
      <c r="BE527" s="32">
        <f>IFERROR(__xludf.DUMMYFUNCTION("""COMPUTED_VALUE"""),10.0)</f>
        <v>10</v>
      </c>
      <c r="BF527" s="32"/>
      <c r="BG527" s="32"/>
      <c r="BH527" s="32"/>
      <c r="BI527" s="32"/>
      <c r="BJ527" s="32"/>
      <c r="BK527" s="32"/>
      <c r="BL527" s="32" t="b">
        <f>IFERROR(__xludf.DUMMYFUNCTION("""COMPUTED_VALUE"""),FALSE)</f>
        <v>0</v>
      </c>
      <c r="BM527" s="32"/>
      <c r="BN527" s="32"/>
      <c r="BO527" s="32"/>
      <c r="BP527" s="32"/>
      <c r="BQ527" s="32"/>
    </row>
    <row r="528">
      <c r="A528" s="32"/>
      <c r="B528" s="32">
        <f>IFERROR(__xludf.DUMMYFUNCTION("""COMPUTED_VALUE"""),1.0)</f>
        <v>1</v>
      </c>
      <c r="C528" s="32"/>
      <c r="D528" s="32"/>
      <c r="E528" s="32">
        <f>IFERROR(__xludf.DUMMYFUNCTION("""COMPUTED_VALUE"""),1010.0)</f>
        <v>1010</v>
      </c>
      <c r="F528" s="33">
        <f>IFERROR(__xludf.DUMMYFUNCTION("""COMPUTED_VALUE"""),1010.0)</f>
        <v>1010</v>
      </c>
      <c r="G528" s="32">
        <f>IFERROR(__xludf.DUMMYFUNCTION("""COMPUTED_VALUE"""),1010.0)</f>
        <v>1010</v>
      </c>
      <c r="H528" s="32">
        <f>IFERROR(__xludf.DUMMYFUNCTION("""COMPUTED_VALUE"""),10.0)</f>
        <v>10</v>
      </c>
      <c r="I528" s="32">
        <f>IFERROR(__xludf.DUMMYFUNCTION("""COMPUTED_VALUE"""),0.0)</f>
        <v>0</v>
      </c>
      <c r="J528" s="32">
        <f>IFERROR(__xludf.DUMMYFUNCTION("""COMPUTED_VALUE"""),0.0)</f>
        <v>0</v>
      </c>
      <c r="K528" s="32">
        <f>IFERROR(__xludf.DUMMYFUNCTION("""COMPUTED_VALUE"""),100.0)</f>
        <v>100</v>
      </c>
      <c r="L528" s="32">
        <f>IFERROR(__xludf.DUMMYFUNCTION("""COMPUTED_VALUE"""),100.0)</f>
        <v>100</v>
      </c>
      <c r="M528" s="32" t="str">
        <f>IFERROR(__xludf.DUMMYFUNCTION("""COMPUTED_VALUE"""),"#N/A")</f>
        <v>#N/A</v>
      </c>
      <c r="N528" s="32" t="str">
        <f>IFERROR(__xludf.DUMMYFUNCTION("""COMPUTED_VALUE"""),"#N/A")</f>
        <v>#N/A</v>
      </c>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f>IFERROR(__xludf.DUMMYFUNCTION("""COMPUTED_VALUE"""),0.0)</f>
        <v>0</v>
      </c>
      <c r="BE528" s="32">
        <f>IFERROR(__xludf.DUMMYFUNCTION("""COMPUTED_VALUE"""),10.0)</f>
        <v>10</v>
      </c>
      <c r="BF528" s="32"/>
      <c r="BG528" s="32"/>
      <c r="BH528" s="32"/>
      <c r="BI528" s="32"/>
      <c r="BJ528" s="32"/>
      <c r="BK528" s="32"/>
      <c r="BL528" s="32" t="b">
        <f>IFERROR(__xludf.DUMMYFUNCTION("""COMPUTED_VALUE"""),FALSE)</f>
        <v>0</v>
      </c>
      <c r="BM528" s="32"/>
      <c r="BN528" s="32"/>
      <c r="BO528" s="32"/>
      <c r="BP528" s="32"/>
      <c r="BQ528" s="32"/>
    </row>
    <row r="529">
      <c r="A529" s="32"/>
      <c r="B529" s="32">
        <f>IFERROR(__xludf.DUMMYFUNCTION("""COMPUTED_VALUE"""),1.0)</f>
        <v>1</v>
      </c>
      <c r="C529" s="32"/>
      <c r="D529" s="32"/>
      <c r="E529" s="32">
        <f>IFERROR(__xludf.DUMMYFUNCTION("""COMPUTED_VALUE"""),1010.0)</f>
        <v>1010</v>
      </c>
      <c r="F529" s="33">
        <f>IFERROR(__xludf.DUMMYFUNCTION("""COMPUTED_VALUE"""),1010.0)</f>
        <v>1010</v>
      </c>
      <c r="G529" s="32">
        <f>IFERROR(__xludf.DUMMYFUNCTION("""COMPUTED_VALUE"""),1010.0)</f>
        <v>1010</v>
      </c>
      <c r="H529" s="32">
        <f>IFERROR(__xludf.DUMMYFUNCTION("""COMPUTED_VALUE"""),10.0)</f>
        <v>10</v>
      </c>
      <c r="I529" s="32">
        <f>IFERROR(__xludf.DUMMYFUNCTION("""COMPUTED_VALUE"""),0.0)</f>
        <v>0</v>
      </c>
      <c r="J529" s="32">
        <f>IFERROR(__xludf.DUMMYFUNCTION("""COMPUTED_VALUE"""),0.0)</f>
        <v>0</v>
      </c>
      <c r="K529" s="32">
        <f>IFERROR(__xludf.DUMMYFUNCTION("""COMPUTED_VALUE"""),100.0)</f>
        <v>100</v>
      </c>
      <c r="L529" s="32">
        <f>IFERROR(__xludf.DUMMYFUNCTION("""COMPUTED_VALUE"""),100.0)</f>
        <v>100</v>
      </c>
      <c r="M529" s="32" t="str">
        <f>IFERROR(__xludf.DUMMYFUNCTION("""COMPUTED_VALUE"""),"#N/A")</f>
        <v>#N/A</v>
      </c>
      <c r="N529" s="32" t="str">
        <f>IFERROR(__xludf.DUMMYFUNCTION("""COMPUTED_VALUE"""),"#N/A")</f>
        <v>#N/A</v>
      </c>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f>IFERROR(__xludf.DUMMYFUNCTION("""COMPUTED_VALUE"""),0.0)</f>
        <v>0</v>
      </c>
      <c r="BE529" s="32">
        <f>IFERROR(__xludf.DUMMYFUNCTION("""COMPUTED_VALUE"""),10.0)</f>
        <v>10</v>
      </c>
      <c r="BF529" s="32"/>
      <c r="BG529" s="32"/>
      <c r="BH529" s="32"/>
      <c r="BI529" s="32"/>
      <c r="BJ529" s="32"/>
      <c r="BK529" s="32"/>
      <c r="BL529" s="32" t="b">
        <f>IFERROR(__xludf.DUMMYFUNCTION("""COMPUTED_VALUE"""),FALSE)</f>
        <v>0</v>
      </c>
      <c r="BM529" s="32"/>
      <c r="BN529" s="32"/>
      <c r="BO529" s="32"/>
      <c r="BP529" s="32"/>
      <c r="BQ529" s="32"/>
    </row>
    <row r="530">
      <c r="A530" s="32"/>
      <c r="B530" s="32">
        <f>IFERROR(__xludf.DUMMYFUNCTION("""COMPUTED_VALUE"""),1.0)</f>
        <v>1</v>
      </c>
      <c r="C530" s="32"/>
      <c r="D530" s="32"/>
      <c r="E530" s="32">
        <f>IFERROR(__xludf.DUMMYFUNCTION("""COMPUTED_VALUE"""),1010.0)</f>
        <v>1010</v>
      </c>
      <c r="F530" s="33">
        <f>IFERROR(__xludf.DUMMYFUNCTION("""COMPUTED_VALUE"""),1010.0)</f>
        <v>1010</v>
      </c>
      <c r="G530" s="32">
        <f>IFERROR(__xludf.DUMMYFUNCTION("""COMPUTED_VALUE"""),1010.0)</f>
        <v>1010</v>
      </c>
      <c r="H530" s="32">
        <f>IFERROR(__xludf.DUMMYFUNCTION("""COMPUTED_VALUE"""),10.0)</f>
        <v>10</v>
      </c>
      <c r="I530" s="32">
        <f>IFERROR(__xludf.DUMMYFUNCTION("""COMPUTED_VALUE"""),0.0)</f>
        <v>0</v>
      </c>
      <c r="J530" s="32">
        <f>IFERROR(__xludf.DUMMYFUNCTION("""COMPUTED_VALUE"""),0.0)</f>
        <v>0</v>
      </c>
      <c r="K530" s="32">
        <f>IFERROR(__xludf.DUMMYFUNCTION("""COMPUTED_VALUE"""),100.0)</f>
        <v>100</v>
      </c>
      <c r="L530" s="32">
        <f>IFERROR(__xludf.DUMMYFUNCTION("""COMPUTED_VALUE"""),100.0)</f>
        <v>100</v>
      </c>
      <c r="M530" s="32" t="str">
        <f>IFERROR(__xludf.DUMMYFUNCTION("""COMPUTED_VALUE"""),"#N/A")</f>
        <v>#N/A</v>
      </c>
      <c r="N530" s="32" t="str">
        <f>IFERROR(__xludf.DUMMYFUNCTION("""COMPUTED_VALUE"""),"#N/A")</f>
        <v>#N/A</v>
      </c>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f>IFERROR(__xludf.DUMMYFUNCTION("""COMPUTED_VALUE"""),0.0)</f>
        <v>0</v>
      </c>
      <c r="BE530" s="32">
        <f>IFERROR(__xludf.DUMMYFUNCTION("""COMPUTED_VALUE"""),10.0)</f>
        <v>10</v>
      </c>
      <c r="BF530" s="32"/>
      <c r="BG530" s="32"/>
      <c r="BH530" s="32"/>
      <c r="BI530" s="32"/>
      <c r="BJ530" s="32"/>
      <c r="BK530" s="32"/>
      <c r="BL530" s="32" t="b">
        <f>IFERROR(__xludf.DUMMYFUNCTION("""COMPUTED_VALUE"""),FALSE)</f>
        <v>0</v>
      </c>
      <c r="BM530" s="32"/>
      <c r="BN530" s="32"/>
      <c r="BO530" s="32"/>
      <c r="BP530" s="32"/>
      <c r="BQ530" s="32"/>
    </row>
    <row r="531">
      <c r="A531" s="32"/>
      <c r="B531" s="32">
        <f>IFERROR(__xludf.DUMMYFUNCTION("""COMPUTED_VALUE"""),1.0)</f>
        <v>1</v>
      </c>
      <c r="C531" s="32"/>
      <c r="D531" s="32"/>
      <c r="E531" s="32">
        <f>IFERROR(__xludf.DUMMYFUNCTION("""COMPUTED_VALUE"""),1010.0)</f>
        <v>1010</v>
      </c>
      <c r="F531" s="33">
        <f>IFERROR(__xludf.DUMMYFUNCTION("""COMPUTED_VALUE"""),1010.0)</f>
        <v>1010</v>
      </c>
      <c r="G531" s="32">
        <f>IFERROR(__xludf.DUMMYFUNCTION("""COMPUTED_VALUE"""),1010.0)</f>
        <v>1010</v>
      </c>
      <c r="H531" s="32">
        <f>IFERROR(__xludf.DUMMYFUNCTION("""COMPUTED_VALUE"""),10.0)</f>
        <v>10</v>
      </c>
      <c r="I531" s="32">
        <f>IFERROR(__xludf.DUMMYFUNCTION("""COMPUTED_VALUE"""),0.0)</f>
        <v>0</v>
      </c>
      <c r="J531" s="32">
        <f>IFERROR(__xludf.DUMMYFUNCTION("""COMPUTED_VALUE"""),0.0)</f>
        <v>0</v>
      </c>
      <c r="K531" s="32">
        <f>IFERROR(__xludf.DUMMYFUNCTION("""COMPUTED_VALUE"""),100.0)</f>
        <v>100</v>
      </c>
      <c r="L531" s="32">
        <f>IFERROR(__xludf.DUMMYFUNCTION("""COMPUTED_VALUE"""),100.0)</f>
        <v>100</v>
      </c>
      <c r="M531" s="32" t="str">
        <f>IFERROR(__xludf.DUMMYFUNCTION("""COMPUTED_VALUE"""),"#N/A")</f>
        <v>#N/A</v>
      </c>
      <c r="N531" s="32" t="str">
        <f>IFERROR(__xludf.DUMMYFUNCTION("""COMPUTED_VALUE"""),"#N/A")</f>
        <v>#N/A</v>
      </c>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f>IFERROR(__xludf.DUMMYFUNCTION("""COMPUTED_VALUE"""),0.0)</f>
        <v>0</v>
      </c>
      <c r="BE531" s="32">
        <f>IFERROR(__xludf.DUMMYFUNCTION("""COMPUTED_VALUE"""),10.0)</f>
        <v>10</v>
      </c>
      <c r="BF531" s="32"/>
      <c r="BG531" s="32"/>
      <c r="BH531" s="32"/>
      <c r="BI531" s="32"/>
      <c r="BJ531" s="32"/>
      <c r="BK531" s="32"/>
      <c r="BL531" s="32" t="b">
        <f>IFERROR(__xludf.DUMMYFUNCTION("""COMPUTED_VALUE"""),FALSE)</f>
        <v>0</v>
      </c>
      <c r="BM531" s="32"/>
      <c r="BN531" s="32"/>
      <c r="BO531" s="32"/>
      <c r="BP531" s="32"/>
      <c r="BQ531" s="32"/>
    </row>
    <row r="532">
      <c r="A532" s="32"/>
      <c r="B532" s="32">
        <f>IFERROR(__xludf.DUMMYFUNCTION("""COMPUTED_VALUE"""),1.0)</f>
        <v>1</v>
      </c>
      <c r="C532" s="32"/>
      <c r="D532" s="32"/>
      <c r="E532" s="32">
        <f>IFERROR(__xludf.DUMMYFUNCTION("""COMPUTED_VALUE"""),1010.0)</f>
        <v>1010</v>
      </c>
      <c r="F532" s="33">
        <f>IFERROR(__xludf.DUMMYFUNCTION("""COMPUTED_VALUE"""),1010.0)</f>
        <v>1010</v>
      </c>
      <c r="G532" s="32">
        <f>IFERROR(__xludf.DUMMYFUNCTION("""COMPUTED_VALUE"""),1010.0)</f>
        <v>1010</v>
      </c>
      <c r="H532" s="32">
        <f>IFERROR(__xludf.DUMMYFUNCTION("""COMPUTED_VALUE"""),10.0)</f>
        <v>10</v>
      </c>
      <c r="I532" s="32">
        <f>IFERROR(__xludf.DUMMYFUNCTION("""COMPUTED_VALUE"""),0.0)</f>
        <v>0</v>
      </c>
      <c r="J532" s="32">
        <f>IFERROR(__xludf.DUMMYFUNCTION("""COMPUTED_VALUE"""),0.0)</f>
        <v>0</v>
      </c>
      <c r="K532" s="32">
        <f>IFERROR(__xludf.DUMMYFUNCTION("""COMPUTED_VALUE"""),100.0)</f>
        <v>100</v>
      </c>
      <c r="L532" s="32">
        <f>IFERROR(__xludf.DUMMYFUNCTION("""COMPUTED_VALUE"""),100.0)</f>
        <v>100</v>
      </c>
      <c r="M532" s="32" t="str">
        <f>IFERROR(__xludf.DUMMYFUNCTION("""COMPUTED_VALUE"""),"#N/A")</f>
        <v>#N/A</v>
      </c>
      <c r="N532" s="32" t="str">
        <f>IFERROR(__xludf.DUMMYFUNCTION("""COMPUTED_VALUE"""),"#N/A")</f>
        <v>#N/A</v>
      </c>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f>IFERROR(__xludf.DUMMYFUNCTION("""COMPUTED_VALUE"""),0.0)</f>
        <v>0</v>
      </c>
      <c r="BE532" s="32">
        <f>IFERROR(__xludf.DUMMYFUNCTION("""COMPUTED_VALUE"""),10.0)</f>
        <v>10</v>
      </c>
      <c r="BF532" s="32"/>
      <c r="BG532" s="32"/>
      <c r="BH532" s="32"/>
      <c r="BI532" s="32"/>
      <c r="BJ532" s="32"/>
      <c r="BK532" s="32"/>
      <c r="BL532" s="32" t="b">
        <f>IFERROR(__xludf.DUMMYFUNCTION("""COMPUTED_VALUE"""),FALSE)</f>
        <v>0</v>
      </c>
      <c r="BM532" s="32"/>
      <c r="BN532" s="32"/>
      <c r="BO532" s="32"/>
      <c r="BP532" s="32"/>
      <c r="BQ532" s="32"/>
    </row>
    <row r="533">
      <c r="A533" s="32"/>
      <c r="B533" s="32">
        <f>IFERROR(__xludf.DUMMYFUNCTION("""COMPUTED_VALUE"""),1.0)</f>
        <v>1</v>
      </c>
      <c r="C533" s="32"/>
      <c r="D533" s="32"/>
      <c r="E533" s="32">
        <f>IFERROR(__xludf.DUMMYFUNCTION("""COMPUTED_VALUE"""),1010.0)</f>
        <v>1010</v>
      </c>
      <c r="F533" s="33">
        <f>IFERROR(__xludf.DUMMYFUNCTION("""COMPUTED_VALUE"""),1010.0)</f>
        <v>1010</v>
      </c>
      <c r="G533" s="32">
        <f>IFERROR(__xludf.DUMMYFUNCTION("""COMPUTED_VALUE"""),1010.0)</f>
        <v>1010</v>
      </c>
      <c r="H533" s="32">
        <f>IFERROR(__xludf.DUMMYFUNCTION("""COMPUTED_VALUE"""),10.0)</f>
        <v>10</v>
      </c>
      <c r="I533" s="32">
        <f>IFERROR(__xludf.DUMMYFUNCTION("""COMPUTED_VALUE"""),0.0)</f>
        <v>0</v>
      </c>
      <c r="J533" s="32">
        <f>IFERROR(__xludf.DUMMYFUNCTION("""COMPUTED_VALUE"""),0.0)</f>
        <v>0</v>
      </c>
      <c r="K533" s="32">
        <f>IFERROR(__xludf.DUMMYFUNCTION("""COMPUTED_VALUE"""),100.0)</f>
        <v>100</v>
      </c>
      <c r="L533" s="32">
        <f>IFERROR(__xludf.DUMMYFUNCTION("""COMPUTED_VALUE"""),100.0)</f>
        <v>100</v>
      </c>
      <c r="M533" s="32" t="str">
        <f>IFERROR(__xludf.DUMMYFUNCTION("""COMPUTED_VALUE"""),"#N/A")</f>
        <v>#N/A</v>
      </c>
      <c r="N533" s="32" t="str">
        <f>IFERROR(__xludf.DUMMYFUNCTION("""COMPUTED_VALUE"""),"#N/A")</f>
        <v>#N/A</v>
      </c>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f>IFERROR(__xludf.DUMMYFUNCTION("""COMPUTED_VALUE"""),0.0)</f>
        <v>0</v>
      </c>
      <c r="BE533" s="32">
        <f>IFERROR(__xludf.DUMMYFUNCTION("""COMPUTED_VALUE"""),10.0)</f>
        <v>10</v>
      </c>
      <c r="BF533" s="32"/>
      <c r="BG533" s="32"/>
      <c r="BH533" s="32"/>
      <c r="BI533" s="32"/>
      <c r="BJ533" s="32"/>
      <c r="BK533" s="32"/>
      <c r="BL533" s="32" t="b">
        <f>IFERROR(__xludf.DUMMYFUNCTION("""COMPUTED_VALUE"""),FALSE)</f>
        <v>0</v>
      </c>
      <c r="BM533" s="32"/>
      <c r="BN533" s="32"/>
      <c r="BO533" s="32"/>
      <c r="BP533" s="32"/>
      <c r="BQ533" s="32"/>
    </row>
    <row r="534">
      <c r="A534" s="32"/>
      <c r="B534" s="32">
        <f>IFERROR(__xludf.DUMMYFUNCTION("""COMPUTED_VALUE"""),1.0)</f>
        <v>1</v>
      </c>
      <c r="C534" s="32"/>
      <c r="D534" s="32"/>
      <c r="E534" s="32">
        <f>IFERROR(__xludf.DUMMYFUNCTION("""COMPUTED_VALUE"""),1010.0)</f>
        <v>1010</v>
      </c>
      <c r="F534" s="33">
        <f>IFERROR(__xludf.DUMMYFUNCTION("""COMPUTED_VALUE"""),1010.0)</f>
        <v>1010</v>
      </c>
      <c r="G534" s="32">
        <f>IFERROR(__xludf.DUMMYFUNCTION("""COMPUTED_VALUE"""),1010.0)</f>
        <v>1010</v>
      </c>
      <c r="H534" s="32">
        <f>IFERROR(__xludf.DUMMYFUNCTION("""COMPUTED_VALUE"""),10.0)</f>
        <v>10</v>
      </c>
      <c r="I534" s="32">
        <f>IFERROR(__xludf.DUMMYFUNCTION("""COMPUTED_VALUE"""),0.0)</f>
        <v>0</v>
      </c>
      <c r="J534" s="32">
        <f>IFERROR(__xludf.DUMMYFUNCTION("""COMPUTED_VALUE"""),0.0)</f>
        <v>0</v>
      </c>
      <c r="K534" s="32">
        <f>IFERROR(__xludf.DUMMYFUNCTION("""COMPUTED_VALUE"""),100.0)</f>
        <v>100</v>
      </c>
      <c r="L534" s="32">
        <f>IFERROR(__xludf.DUMMYFUNCTION("""COMPUTED_VALUE"""),100.0)</f>
        <v>100</v>
      </c>
      <c r="M534" s="32" t="str">
        <f>IFERROR(__xludf.DUMMYFUNCTION("""COMPUTED_VALUE"""),"#N/A")</f>
        <v>#N/A</v>
      </c>
      <c r="N534" s="32" t="str">
        <f>IFERROR(__xludf.DUMMYFUNCTION("""COMPUTED_VALUE"""),"#N/A")</f>
        <v>#N/A</v>
      </c>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f>IFERROR(__xludf.DUMMYFUNCTION("""COMPUTED_VALUE"""),0.0)</f>
        <v>0</v>
      </c>
      <c r="BE534" s="32">
        <f>IFERROR(__xludf.DUMMYFUNCTION("""COMPUTED_VALUE"""),10.0)</f>
        <v>10</v>
      </c>
      <c r="BF534" s="32"/>
      <c r="BG534" s="32"/>
      <c r="BH534" s="32"/>
      <c r="BI534" s="32"/>
      <c r="BJ534" s="32"/>
      <c r="BK534" s="32"/>
      <c r="BL534" s="32" t="b">
        <f>IFERROR(__xludf.DUMMYFUNCTION("""COMPUTED_VALUE"""),FALSE)</f>
        <v>0</v>
      </c>
      <c r="BM534" s="32"/>
      <c r="BN534" s="32"/>
      <c r="BO534" s="32"/>
      <c r="BP534" s="32"/>
      <c r="BQ534" s="32"/>
    </row>
    <row r="535">
      <c r="A535" s="32"/>
      <c r="B535" s="32">
        <f>IFERROR(__xludf.DUMMYFUNCTION("""COMPUTED_VALUE"""),1.0)</f>
        <v>1</v>
      </c>
      <c r="C535" s="32"/>
      <c r="D535" s="32"/>
      <c r="E535" s="32">
        <f>IFERROR(__xludf.DUMMYFUNCTION("""COMPUTED_VALUE"""),1010.0)</f>
        <v>1010</v>
      </c>
      <c r="F535" s="33">
        <f>IFERROR(__xludf.DUMMYFUNCTION("""COMPUTED_VALUE"""),1010.0)</f>
        <v>1010</v>
      </c>
      <c r="G535" s="32">
        <f>IFERROR(__xludf.DUMMYFUNCTION("""COMPUTED_VALUE"""),1010.0)</f>
        <v>1010</v>
      </c>
      <c r="H535" s="32">
        <f>IFERROR(__xludf.DUMMYFUNCTION("""COMPUTED_VALUE"""),10.0)</f>
        <v>10</v>
      </c>
      <c r="I535" s="32">
        <f>IFERROR(__xludf.DUMMYFUNCTION("""COMPUTED_VALUE"""),0.0)</f>
        <v>0</v>
      </c>
      <c r="J535" s="32">
        <f>IFERROR(__xludf.DUMMYFUNCTION("""COMPUTED_VALUE"""),0.0)</f>
        <v>0</v>
      </c>
      <c r="K535" s="32">
        <f>IFERROR(__xludf.DUMMYFUNCTION("""COMPUTED_VALUE"""),100.0)</f>
        <v>100</v>
      </c>
      <c r="L535" s="32">
        <f>IFERROR(__xludf.DUMMYFUNCTION("""COMPUTED_VALUE"""),100.0)</f>
        <v>100</v>
      </c>
      <c r="M535" s="32" t="str">
        <f>IFERROR(__xludf.DUMMYFUNCTION("""COMPUTED_VALUE"""),"#N/A")</f>
        <v>#N/A</v>
      </c>
      <c r="N535" s="32" t="str">
        <f>IFERROR(__xludf.DUMMYFUNCTION("""COMPUTED_VALUE"""),"#N/A")</f>
        <v>#N/A</v>
      </c>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f>IFERROR(__xludf.DUMMYFUNCTION("""COMPUTED_VALUE"""),0.0)</f>
        <v>0</v>
      </c>
      <c r="BE535" s="32">
        <f>IFERROR(__xludf.DUMMYFUNCTION("""COMPUTED_VALUE"""),10.0)</f>
        <v>10</v>
      </c>
      <c r="BF535" s="32"/>
      <c r="BG535" s="32"/>
      <c r="BH535" s="32"/>
      <c r="BI535" s="32"/>
      <c r="BJ535" s="32"/>
      <c r="BK535" s="32"/>
      <c r="BL535" s="32" t="b">
        <f>IFERROR(__xludf.DUMMYFUNCTION("""COMPUTED_VALUE"""),FALSE)</f>
        <v>0</v>
      </c>
      <c r="BM535" s="32"/>
      <c r="BN535" s="32"/>
      <c r="BO535" s="32"/>
      <c r="BP535" s="32"/>
      <c r="BQ535" s="32"/>
    </row>
    <row r="536">
      <c r="A536" s="32"/>
      <c r="B536" s="32">
        <f>IFERROR(__xludf.DUMMYFUNCTION("""COMPUTED_VALUE"""),1.0)</f>
        <v>1</v>
      </c>
      <c r="C536" s="32"/>
      <c r="D536" s="32"/>
      <c r="E536" s="32">
        <f>IFERROR(__xludf.DUMMYFUNCTION("""COMPUTED_VALUE"""),1010.0)</f>
        <v>1010</v>
      </c>
      <c r="F536" s="33">
        <f>IFERROR(__xludf.DUMMYFUNCTION("""COMPUTED_VALUE"""),1010.0)</f>
        <v>1010</v>
      </c>
      <c r="G536" s="32">
        <f>IFERROR(__xludf.DUMMYFUNCTION("""COMPUTED_VALUE"""),1010.0)</f>
        <v>1010</v>
      </c>
      <c r="H536" s="32">
        <f>IFERROR(__xludf.DUMMYFUNCTION("""COMPUTED_VALUE"""),10.0)</f>
        <v>10</v>
      </c>
      <c r="I536" s="32">
        <f>IFERROR(__xludf.DUMMYFUNCTION("""COMPUTED_VALUE"""),0.0)</f>
        <v>0</v>
      </c>
      <c r="J536" s="32">
        <f>IFERROR(__xludf.DUMMYFUNCTION("""COMPUTED_VALUE"""),0.0)</f>
        <v>0</v>
      </c>
      <c r="K536" s="32">
        <f>IFERROR(__xludf.DUMMYFUNCTION("""COMPUTED_VALUE"""),100.0)</f>
        <v>100</v>
      </c>
      <c r="L536" s="32">
        <f>IFERROR(__xludf.DUMMYFUNCTION("""COMPUTED_VALUE"""),100.0)</f>
        <v>100</v>
      </c>
      <c r="M536" s="32" t="str">
        <f>IFERROR(__xludf.DUMMYFUNCTION("""COMPUTED_VALUE"""),"#N/A")</f>
        <v>#N/A</v>
      </c>
      <c r="N536" s="32" t="str">
        <f>IFERROR(__xludf.DUMMYFUNCTION("""COMPUTED_VALUE"""),"#N/A")</f>
        <v>#N/A</v>
      </c>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f>IFERROR(__xludf.DUMMYFUNCTION("""COMPUTED_VALUE"""),0.0)</f>
        <v>0</v>
      </c>
      <c r="BE536" s="32">
        <f>IFERROR(__xludf.DUMMYFUNCTION("""COMPUTED_VALUE"""),10.0)</f>
        <v>10</v>
      </c>
      <c r="BF536" s="32"/>
      <c r="BG536" s="32"/>
      <c r="BH536" s="32"/>
      <c r="BI536" s="32"/>
      <c r="BJ536" s="32"/>
      <c r="BK536" s="32"/>
      <c r="BL536" s="32" t="b">
        <f>IFERROR(__xludf.DUMMYFUNCTION("""COMPUTED_VALUE"""),FALSE)</f>
        <v>0</v>
      </c>
      <c r="BM536" s="32"/>
      <c r="BN536" s="32"/>
      <c r="BO536" s="32"/>
      <c r="BP536" s="32"/>
      <c r="BQ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t="b">
        <f>IFERROR(__xludf.DUMMYFUNCTION("""COMPUTED_VALUE"""),FALSE)</f>
        <v>0</v>
      </c>
      <c r="BM537" s="32"/>
      <c r="BN537" s="32"/>
      <c r="BO537" s="32"/>
      <c r="BP537" s="32"/>
      <c r="BQ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t="b">
        <f>IFERROR(__xludf.DUMMYFUNCTION("""COMPUTED_VALUE"""),FALSE)</f>
        <v>0</v>
      </c>
      <c r="BM538" s="32"/>
      <c r="BN538" s="32"/>
      <c r="BO538" s="32"/>
      <c r="BP538" s="32"/>
      <c r="BQ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t="b">
        <f>IFERROR(__xludf.DUMMYFUNCTION("""COMPUTED_VALUE"""),FALSE)</f>
        <v>0</v>
      </c>
      <c r="BM539" s="32"/>
      <c r="BN539" s="32"/>
      <c r="BO539" s="32"/>
      <c r="BP539" s="32"/>
      <c r="BQ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t="b">
        <f>IFERROR(__xludf.DUMMYFUNCTION("""COMPUTED_VALUE"""),FALSE)</f>
        <v>0</v>
      </c>
      <c r="BM540" s="32"/>
      <c r="BN540" s="32"/>
      <c r="BO540" s="32"/>
      <c r="BP540" s="32"/>
      <c r="BQ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t="b">
        <f>IFERROR(__xludf.DUMMYFUNCTION("""COMPUTED_VALUE"""),FALSE)</f>
        <v>0</v>
      </c>
      <c r="BM541" s="32"/>
      <c r="BN541" s="32"/>
      <c r="BO541" s="32"/>
      <c r="BP541" s="32"/>
      <c r="BQ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t="b">
        <f>IFERROR(__xludf.DUMMYFUNCTION("""COMPUTED_VALUE"""),FALSE)</f>
        <v>0</v>
      </c>
      <c r="BM542" s="32"/>
      <c r="BN542" s="32"/>
      <c r="BO542" s="32"/>
      <c r="BP542" s="32"/>
      <c r="BQ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t="b">
        <f>IFERROR(__xludf.DUMMYFUNCTION("""COMPUTED_VALUE"""),FALSE)</f>
        <v>0</v>
      </c>
      <c r="BM543" s="32"/>
      <c r="BN543" s="32"/>
      <c r="BO543" s="32"/>
      <c r="BP543" s="32"/>
      <c r="BQ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t="b">
        <f>IFERROR(__xludf.DUMMYFUNCTION("""COMPUTED_VALUE"""),FALSE)</f>
        <v>0</v>
      </c>
      <c r="BM544" s="32"/>
      <c r="BN544" s="32"/>
      <c r="BO544" s="32"/>
      <c r="BP544" s="32"/>
      <c r="BQ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t="b">
        <f>IFERROR(__xludf.DUMMYFUNCTION("""COMPUTED_VALUE"""),FALSE)</f>
        <v>0</v>
      </c>
      <c r="BM545" s="32"/>
      <c r="BN545" s="32"/>
      <c r="BO545" s="32"/>
      <c r="BP545" s="32"/>
      <c r="BQ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t="b">
        <f>IFERROR(__xludf.DUMMYFUNCTION("""COMPUTED_VALUE"""),FALSE)</f>
        <v>0</v>
      </c>
      <c r="BM546" s="32"/>
      <c r="BN546" s="32"/>
      <c r="BO546" s="32"/>
      <c r="BP546" s="32"/>
      <c r="BQ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t="b">
        <f>IFERROR(__xludf.DUMMYFUNCTION("""COMPUTED_VALUE"""),FALSE)</f>
        <v>0</v>
      </c>
      <c r="BM547" s="32"/>
      <c r="BN547" s="32"/>
      <c r="BO547" s="32"/>
      <c r="BP547" s="32"/>
      <c r="BQ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t="b">
        <f>IFERROR(__xludf.DUMMYFUNCTION("""COMPUTED_VALUE"""),FALSE)</f>
        <v>0</v>
      </c>
      <c r="BM548" s="32"/>
      <c r="BN548" s="32"/>
      <c r="BO548" s="32"/>
      <c r="BP548" s="32"/>
      <c r="BQ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t="b">
        <f>IFERROR(__xludf.DUMMYFUNCTION("""COMPUTED_VALUE"""),FALSE)</f>
        <v>0</v>
      </c>
      <c r="BM549" s="32"/>
      <c r="BN549" s="32"/>
      <c r="BO549" s="32"/>
      <c r="BP549" s="32"/>
      <c r="BQ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t="b">
        <f>IFERROR(__xludf.DUMMYFUNCTION("""COMPUTED_VALUE"""),FALSE)</f>
        <v>0</v>
      </c>
      <c r="BM550" s="32"/>
      <c r="BN550" s="32"/>
      <c r="BO550" s="32"/>
      <c r="BP550" s="32"/>
      <c r="BQ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t="b">
        <f>IFERROR(__xludf.DUMMYFUNCTION("""COMPUTED_VALUE"""),FALSE)</f>
        <v>0</v>
      </c>
      <c r="BM551" s="32"/>
      <c r="BN551" s="32"/>
      <c r="BO551" s="32"/>
      <c r="BP551" s="32"/>
      <c r="BQ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t="b">
        <f>IFERROR(__xludf.DUMMYFUNCTION("""COMPUTED_VALUE"""),FALSE)</f>
        <v>0</v>
      </c>
      <c r="BM552" s="32"/>
      <c r="BN552" s="32"/>
      <c r="BO552" s="32"/>
      <c r="BP552" s="32"/>
      <c r="BQ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t="b">
        <f>IFERROR(__xludf.DUMMYFUNCTION("""COMPUTED_VALUE"""),FALSE)</f>
        <v>0</v>
      </c>
      <c r="BM553" s="32"/>
      <c r="BN553" s="32"/>
      <c r="BO553" s="32"/>
      <c r="BP553" s="32"/>
      <c r="BQ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t="b">
        <f>IFERROR(__xludf.DUMMYFUNCTION("""COMPUTED_VALUE"""),FALSE)</f>
        <v>0</v>
      </c>
      <c r="BM554" s="32"/>
      <c r="BN554" s="32"/>
      <c r="BO554" s="32"/>
      <c r="BP554" s="32"/>
      <c r="BQ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t="b">
        <f>IFERROR(__xludf.DUMMYFUNCTION("""COMPUTED_VALUE"""),FALSE)</f>
        <v>0</v>
      </c>
      <c r="BM555" s="32"/>
      <c r="BN555" s="32"/>
      <c r="BO555" s="32"/>
      <c r="BP555" s="32"/>
      <c r="BQ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t="b">
        <f>IFERROR(__xludf.DUMMYFUNCTION("""COMPUTED_VALUE"""),FALSE)</f>
        <v>0</v>
      </c>
      <c r="BM556" s="32"/>
      <c r="BN556" s="32"/>
      <c r="BO556" s="32"/>
      <c r="BP556" s="32"/>
      <c r="BQ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t="b">
        <f>IFERROR(__xludf.DUMMYFUNCTION("""COMPUTED_VALUE"""),FALSE)</f>
        <v>0</v>
      </c>
      <c r="BM557" s="32"/>
      <c r="BN557" s="32"/>
      <c r="BO557" s="32"/>
      <c r="BP557" s="32"/>
      <c r="BQ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t="b">
        <f>IFERROR(__xludf.DUMMYFUNCTION("""COMPUTED_VALUE"""),FALSE)</f>
        <v>0</v>
      </c>
      <c r="BM558" s="32"/>
      <c r="BN558" s="32"/>
      <c r="BO558" s="32"/>
      <c r="BP558" s="32"/>
      <c r="BQ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t="b">
        <f>IFERROR(__xludf.DUMMYFUNCTION("""COMPUTED_VALUE"""),FALSE)</f>
        <v>0</v>
      </c>
      <c r="BM559" s="32"/>
      <c r="BN559" s="32"/>
      <c r="BO559" s="32"/>
      <c r="BP559" s="32"/>
      <c r="BQ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t="b">
        <f>IFERROR(__xludf.DUMMYFUNCTION("""COMPUTED_VALUE"""),FALSE)</f>
        <v>0</v>
      </c>
      <c r="BM560" s="32"/>
      <c r="BN560" s="32"/>
      <c r="BO560" s="32"/>
      <c r="BP560" s="32"/>
      <c r="BQ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t="b">
        <f>IFERROR(__xludf.DUMMYFUNCTION("""COMPUTED_VALUE"""),FALSE)</f>
        <v>0</v>
      </c>
      <c r="BM561" s="32"/>
      <c r="BN561" s="32"/>
      <c r="BO561" s="32"/>
      <c r="BP561" s="32"/>
      <c r="BQ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t="b">
        <f>IFERROR(__xludf.DUMMYFUNCTION("""COMPUTED_VALUE"""),FALSE)</f>
        <v>0</v>
      </c>
      <c r="BM562" s="32"/>
      <c r="BN562" s="32"/>
      <c r="BO562" s="32"/>
      <c r="BP562" s="32"/>
      <c r="BQ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t="b">
        <f>IFERROR(__xludf.DUMMYFUNCTION("""COMPUTED_VALUE"""),FALSE)</f>
        <v>0</v>
      </c>
      <c r="BM563" s="32"/>
      <c r="BN563" s="32"/>
      <c r="BO563" s="32"/>
      <c r="BP563" s="32"/>
      <c r="BQ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t="b">
        <f>IFERROR(__xludf.DUMMYFUNCTION("""COMPUTED_VALUE"""),FALSE)</f>
        <v>0</v>
      </c>
      <c r="BM564" s="32"/>
      <c r="BN564" s="32"/>
      <c r="BO564" s="32"/>
      <c r="BP564" s="32"/>
      <c r="BQ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t="b">
        <f>IFERROR(__xludf.DUMMYFUNCTION("""COMPUTED_VALUE"""),FALSE)</f>
        <v>0</v>
      </c>
      <c r="BM565" s="32"/>
      <c r="BN565" s="32"/>
      <c r="BO565" s="32"/>
      <c r="BP565" s="32"/>
      <c r="BQ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t="b">
        <f>IFERROR(__xludf.DUMMYFUNCTION("""COMPUTED_VALUE"""),FALSE)</f>
        <v>0</v>
      </c>
      <c r="BM566" s="32"/>
      <c r="BN566" s="32"/>
      <c r="BO566" s="32"/>
      <c r="BP566" s="32"/>
      <c r="BQ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t="b">
        <f>IFERROR(__xludf.DUMMYFUNCTION("""COMPUTED_VALUE"""),FALSE)</f>
        <v>0</v>
      </c>
      <c r="BM567" s="32"/>
      <c r="BN567" s="32"/>
      <c r="BO567" s="32"/>
      <c r="BP567" s="32"/>
      <c r="BQ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t="b">
        <f>IFERROR(__xludf.DUMMYFUNCTION("""COMPUTED_VALUE"""),FALSE)</f>
        <v>0</v>
      </c>
      <c r="BM568" s="32"/>
      <c r="BN568" s="32"/>
      <c r="BO568" s="32"/>
      <c r="BP568" s="32"/>
      <c r="BQ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t="b">
        <f>IFERROR(__xludf.DUMMYFUNCTION("""COMPUTED_VALUE"""),FALSE)</f>
        <v>0</v>
      </c>
      <c r="BM569" s="32"/>
      <c r="BN569" s="32"/>
      <c r="BO569" s="32"/>
      <c r="BP569" s="32"/>
      <c r="BQ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t="b">
        <f>IFERROR(__xludf.DUMMYFUNCTION("""COMPUTED_VALUE"""),FALSE)</f>
        <v>0</v>
      </c>
      <c r="BM570" s="32"/>
      <c r="BN570" s="32"/>
      <c r="BO570" s="32"/>
      <c r="BP570" s="32"/>
      <c r="BQ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t="b">
        <f>IFERROR(__xludf.DUMMYFUNCTION("""COMPUTED_VALUE"""),FALSE)</f>
        <v>0</v>
      </c>
      <c r="BM571" s="32"/>
      <c r="BN571" s="32"/>
      <c r="BO571" s="32"/>
      <c r="BP571" s="32"/>
      <c r="BQ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t="b">
        <f>IFERROR(__xludf.DUMMYFUNCTION("""COMPUTED_VALUE"""),FALSE)</f>
        <v>0</v>
      </c>
      <c r="BM572" s="32"/>
      <c r="BN572" s="32"/>
      <c r="BO572" s="32"/>
      <c r="BP572" s="32"/>
      <c r="BQ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t="b">
        <f>IFERROR(__xludf.DUMMYFUNCTION("""COMPUTED_VALUE"""),FALSE)</f>
        <v>0</v>
      </c>
      <c r="BM573" s="32"/>
      <c r="BN573" s="32"/>
      <c r="BO573" s="32"/>
      <c r="BP573" s="32"/>
      <c r="BQ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t="b">
        <f>IFERROR(__xludf.DUMMYFUNCTION("""COMPUTED_VALUE"""),FALSE)</f>
        <v>0</v>
      </c>
      <c r="BM574" s="32"/>
      <c r="BN574" s="32"/>
      <c r="BO574" s="32"/>
      <c r="BP574" s="32"/>
      <c r="BQ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t="b">
        <f>IFERROR(__xludf.DUMMYFUNCTION("""COMPUTED_VALUE"""),FALSE)</f>
        <v>0</v>
      </c>
      <c r="BM575" s="32"/>
      <c r="BN575" s="32"/>
      <c r="BO575" s="32"/>
      <c r="BP575" s="32"/>
      <c r="BQ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t="b">
        <f>IFERROR(__xludf.DUMMYFUNCTION("""COMPUTED_VALUE"""),FALSE)</f>
        <v>0</v>
      </c>
      <c r="BM576" s="32"/>
      <c r="BN576" s="32"/>
      <c r="BO576" s="32"/>
      <c r="BP576" s="32"/>
      <c r="BQ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t="b">
        <f>IFERROR(__xludf.DUMMYFUNCTION("""COMPUTED_VALUE"""),FALSE)</f>
        <v>0</v>
      </c>
      <c r="BM577" s="32"/>
      <c r="BN577" s="32"/>
      <c r="BO577" s="32"/>
      <c r="BP577" s="32"/>
      <c r="BQ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t="b">
        <f>IFERROR(__xludf.DUMMYFUNCTION("""COMPUTED_VALUE"""),FALSE)</f>
        <v>0</v>
      </c>
      <c r="BM578" s="32"/>
      <c r="BN578" s="32"/>
      <c r="BO578" s="32"/>
      <c r="BP578" s="32"/>
      <c r="BQ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t="b">
        <f>IFERROR(__xludf.DUMMYFUNCTION("""COMPUTED_VALUE"""),FALSE)</f>
        <v>0</v>
      </c>
      <c r="BM579" s="32"/>
      <c r="BN579" s="32"/>
      <c r="BO579" s="32"/>
      <c r="BP579" s="32"/>
      <c r="BQ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t="b">
        <f>IFERROR(__xludf.DUMMYFUNCTION("""COMPUTED_VALUE"""),FALSE)</f>
        <v>0</v>
      </c>
      <c r="BM580" s="32"/>
      <c r="BN580" s="32"/>
      <c r="BO580" s="32"/>
      <c r="BP580" s="32"/>
      <c r="BQ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t="b">
        <f>IFERROR(__xludf.DUMMYFUNCTION("""COMPUTED_VALUE"""),FALSE)</f>
        <v>0</v>
      </c>
      <c r="BM581" s="32"/>
      <c r="BN581" s="32"/>
      <c r="BO581" s="32"/>
      <c r="BP581" s="32"/>
      <c r="BQ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t="b">
        <f>IFERROR(__xludf.DUMMYFUNCTION("""COMPUTED_VALUE"""),FALSE)</f>
        <v>0</v>
      </c>
      <c r="BM582" s="32"/>
      <c r="BN582" s="32"/>
      <c r="BO582" s="32"/>
      <c r="BP582" s="32"/>
      <c r="BQ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t="b">
        <f>IFERROR(__xludf.DUMMYFUNCTION("""COMPUTED_VALUE"""),FALSE)</f>
        <v>0</v>
      </c>
      <c r="BM583" s="32"/>
      <c r="BN583" s="32"/>
      <c r="BO583" s="32"/>
      <c r="BP583" s="32"/>
      <c r="BQ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t="b">
        <f>IFERROR(__xludf.DUMMYFUNCTION("""COMPUTED_VALUE"""),FALSE)</f>
        <v>0</v>
      </c>
      <c r="BM584" s="32"/>
      <c r="BN584" s="32"/>
      <c r="BO584" s="32"/>
      <c r="BP584" s="32"/>
      <c r="BQ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t="b">
        <f>IFERROR(__xludf.DUMMYFUNCTION("""COMPUTED_VALUE"""),FALSE)</f>
        <v>0</v>
      </c>
      <c r="BM585" s="32"/>
      <c r="BN585" s="32"/>
      <c r="BO585" s="32"/>
      <c r="BP585" s="32"/>
      <c r="BQ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t="b">
        <f>IFERROR(__xludf.DUMMYFUNCTION("""COMPUTED_VALUE"""),FALSE)</f>
        <v>0</v>
      </c>
      <c r="BM586" s="32"/>
      <c r="BN586" s="32"/>
      <c r="BO586" s="32"/>
      <c r="BP586" s="32"/>
      <c r="BQ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t="b">
        <f>IFERROR(__xludf.DUMMYFUNCTION("""COMPUTED_VALUE"""),FALSE)</f>
        <v>0</v>
      </c>
      <c r="BM587" s="32"/>
      <c r="BN587" s="32"/>
      <c r="BO587" s="32"/>
      <c r="BP587" s="32"/>
      <c r="BQ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t="b">
        <f>IFERROR(__xludf.DUMMYFUNCTION("""COMPUTED_VALUE"""),FALSE)</f>
        <v>0</v>
      </c>
      <c r="BM588" s="32"/>
      <c r="BN588" s="32"/>
      <c r="BO588" s="32"/>
      <c r="BP588" s="32"/>
      <c r="BQ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t="b">
        <f>IFERROR(__xludf.DUMMYFUNCTION("""COMPUTED_VALUE"""),FALSE)</f>
        <v>0</v>
      </c>
      <c r="BM589" s="32"/>
      <c r="BN589" s="32"/>
      <c r="BO589" s="32"/>
      <c r="BP589" s="32"/>
      <c r="BQ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t="b">
        <f>IFERROR(__xludf.DUMMYFUNCTION("""COMPUTED_VALUE"""),FALSE)</f>
        <v>0</v>
      </c>
      <c r="BM590" s="32"/>
      <c r="BN590" s="32"/>
      <c r="BO590" s="32"/>
      <c r="BP590" s="32"/>
      <c r="BQ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t="b">
        <f>IFERROR(__xludf.DUMMYFUNCTION("""COMPUTED_VALUE"""),FALSE)</f>
        <v>0</v>
      </c>
      <c r="BM591" s="32"/>
      <c r="BN591" s="32"/>
      <c r="BO591" s="32"/>
      <c r="BP591" s="32"/>
      <c r="BQ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t="b">
        <f>IFERROR(__xludf.DUMMYFUNCTION("""COMPUTED_VALUE"""),FALSE)</f>
        <v>0</v>
      </c>
      <c r="BM592" s="32"/>
      <c r="BN592" s="32"/>
      <c r="BO592" s="32"/>
      <c r="BP592" s="32"/>
      <c r="BQ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t="b">
        <f>IFERROR(__xludf.DUMMYFUNCTION("""COMPUTED_VALUE"""),FALSE)</f>
        <v>0</v>
      </c>
      <c r="BM593" s="32"/>
      <c r="BN593" s="32"/>
      <c r="BO593" s="32"/>
      <c r="BP593" s="32"/>
      <c r="BQ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t="b">
        <f>IFERROR(__xludf.DUMMYFUNCTION("""COMPUTED_VALUE"""),FALSE)</f>
        <v>0</v>
      </c>
      <c r="BM594" s="32"/>
      <c r="BN594" s="32"/>
      <c r="BO594" s="32"/>
      <c r="BP594" s="32"/>
      <c r="BQ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t="b">
        <f>IFERROR(__xludf.DUMMYFUNCTION("""COMPUTED_VALUE"""),FALSE)</f>
        <v>0</v>
      </c>
      <c r="BM595" s="32"/>
      <c r="BN595" s="32"/>
      <c r="BO595" s="32"/>
      <c r="BP595" s="32"/>
      <c r="BQ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t="b">
        <f>IFERROR(__xludf.DUMMYFUNCTION("""COMPUTED_VALUE"""),FALSE)</f>
        <v>0</v>
      </c>
      <c r="BM596" s="32"/>
      <c r="BN596" s="32"/>
      <c r="BO596" s="32"/>
      <c r="BP596" s="32"/>
      <c r="BQ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t="b">
        <f>IFERROR(__xludf.DUMMYFUNCTION("""COMPUTED_VALUE"""),FALSE)</f>
        <v>0</v>
      </c>
      <c r="BM597" s="32"/>
      <c r="BN597" s="32"/>
      <c r="BO597" s="32"/>
      <c r="BP597" s="32"/>
      <c r="BQ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t="b">
        <f>IFERROR(__xludf.DUMMYFUNCTION("""COMPUTED_VALUE"""),FALSE)</f>
        <v>0</v>
      </c>
      <c r="BM598" s="32"/>
      <c r="BN598" s="32"/>
      <c r="BO598" s="32"/>
      <c r="BP598" s="32"/>
      <c r="BQ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t="b">
        <f>IFERROR(__xludf.DUMMYFUNCTION("""COMPUTED_VALUE"""),FALSE)</f>
        <v>0</v>
      </c>
      <c r="BM599" s="32"/>
      <c r="BN599" s="32"/>
      <c r="BO599" s="32"/>
      <c r="BP599" s="32"/>
      <c r="BQ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t="b">
        <f>IFERROR(__xludf.DUMMYFUNCTION("""COMPUTED_VALUE"""),FALSE)</f>
        <v>0</v>
      </c>
      <c r="BM600" s="32"/>
      <c r="BN600" s="32"/>
      <c r="BO600" s="32"/>
      <c r="BP600" s="32"/>
      <c r="BQ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t="b">
        <f>IFERROR(__xludf.DUMMYFUNCTION("""COMPUTED_VALUE"""),FALSE)</f>
        <v>0</v>
      </c>
      <c r="BM601" s="32"/>
      <c r="BN601" s="32"/>
      <c r="BO601" s="32"/>
      <c r="BP601" s="32"/>
      <c r="BQ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t="b">
        <f>IFERROR(__xludf.DUMMYFUNCTION("""COMPUTED_VALUE"""),FALSE)</f>
        <v>0</v>
      </c>
      <c r="BM602" s="32"/>
      <c r="BN602" s="32"/>
      <c r="BO602" s="32"/>
      <c r="BP602" s="32"/>
      <c r="BQ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t="b">
        <f>IFERROR(__xludf.DUMMYFUNCTION("""COMPUTED_VALUE"""),FALSE)</f>
        <v>0</v>
      </c>
      <c r="BM603" s="32"/>
      <c r="BN603" s="32"/>
      <c r="BO603" s="32"/>
      <c r="BP603" s="32"/>
      <c r="BQ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t="b">
        <f>IFERROR(__xludf.DUMMYFUNCTION("""COMPUTED_VALUE"""),FALSE)</f>
        <v>0</v>
      </c>
      <c r="BM604" s="32"/>
      <c r="BN604" s="32"/>
      <c r="BO604" s="32"/>
      <c r="BP604" s="32"/>
      <c r="BQ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t="b">
        <f>IFERROR(__xludf.DUMMYFUNCTION("""COMPUTED_VALUE"""),FALSE)</f>
        <v>0</v>
      </c>
      <c r="BM605" s="32"/>
      <c r="BN605" s="32"/>
      <c r="BO605" s="32"/>
      <c r="BP605" s="32"/>
      <c r="BQ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t="b">
        <f>IFERROR(__xludf.DUMMYFUNCTION("""COMPUTED_VALUE"""),FALSE)</f>
        <v>0</v>
      </c>
      <c r="BM606" s="32"/>
      <c r="BN606" s="32"/>
      <c r="BO606" s="32"/>
      <c r="BP606" s="32"/>
      <c r="BQ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t="b">
        <f>IFERROR(__xludf.DUMMYFUNCTION("""COMPUTED_VALUE"""),FALSE)</f>
        <v>0</v>
      </c>
      <c r="BM607" s="32"/>
      <c r="BN607" s="32"/>
      <c r="BO607" s="32"/>
      <c r="BP607" s="32"/>
      <c r="BQ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t="b">
        <f>IFERROR(__xludf.DUMMYFUNCTION("""COMPUTED_VALUE"""),FALSE)</f>
        <v>0</v>
      </c>
      <c r="BM608" s="32"/>
      <c r="BN608" s="32"/>
      <c r="BO608" s="32"/>
      <c r="BP608" s="32"/>
      <c r="BQ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t="b">
        <f>IFERROR(__xludf.DUMMYFUNCTION("""COMPUTED_VALUE"""),FALSE)</f>
        <v>0</v>
      </c>
      <c r="BM609" s="32"/>
      <c r="BN609" s="32"/>
      <c r="BO609" s="32"/>
      <c r="BP609" s="32"/>
      <c r="BQ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t="b">
        <f>IFERROR(__xludf.DUMMYFUNCTION("""COMPUTED_VALUE"""),FALSE)</f>
        <v>0</v>
      </c>
      <c r="BM610" s="32"/>
      <c r="BN610" s="32"/>
      <c r="BO610" s="32"/>
      <c r="BP610" s="32"/>
      <c r="BQ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t="b">
        <f>IFERROR(__xludf.DUMMYFUNCTION("""COMPUTED_VALUE"""),FALSE)</f>
        <v>0</v>
      </c>
      <c r="BM611" s="32"/>
      <c r="BN611" s="32"/>
      <c r="BO611" s="32"/>
      <c r="BP611" s="32"/>
      <c r="BQ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t="b">
        <f>IFERROR(__xludf.DUMMYFUNCTION("""COMPUTED_VALUE"""),FALSE)</f>
        <v>0</v>
      </c>
      <c r="BM612" s="32"/>
      <c r="BN612" s="32"/>
      <c r="BO612" s="32"/>
      <c r="BP612" s="32"/>
      <c r="BQ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t="b">
        <f>IFERROR(__xludf.DUMMYFUNCTION("""COMPUTED_VALUE"""),FALSE)</f>
        <v>0</v>
      </c>
      <c r="BM613" s="32"/>
      <c r="BN613" s="32"/>
      <c r="BO613" s="32"/>
      <c r="BP613" s="32"/>
      <c r="BQ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t="b">
        <f>IFERROR(__xludf.DUMMYFUNCTION("""COMPUTED_VALUE"""),FALSE)</f>
        <v>0</v>
      </c>
      <c r="BM614" s="32"/>
      <c r="BN614" s="32"/>
      <c r="BO614" s="32"/>
      <c r="BP614" s="32"/>
      <c r="BQ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t="b">
        <f>IFERROR(__xludf.DUMMYFUNCTION("""COMPUTED_VALUE"""),FALSE)</f>
        <v>0</v>
      </c>
      <c r="BM615" s="32"/>
      <c r="BN615" s="32"/>
      <c r="BO615" s="32"/>
      <c r="BP615" s="32"/>
      <c r="BQ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t="b">
        <f>IFERROR(__xludf.DUMMYFUNCTION("""COMPUTED_VALUE"""),FALSE)</f>
        <v>0</v>
      </c>
      <c r="BM616" s="32"/>
      <c r="BN616" s="32"/>
      <c r="BO616" s="32"/>
      <c r="BP616" s="32"/>
      <c r="BQ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t="b">
        <f>IFERROR(__xludf.DUMMYFUNCTION("""COMPUTED_VALUE"""),FALSE)</f>
        <v>0</v>
      </c>
      <c r="BM617" s="32"/>
      <c r="BN617" s="32"/>
      <c r="BO617" s="32"/>
      <c r="BP617" s="32"/>
      <c r="BQ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t="b">
        <f>IFERROR(__xludf.DUMMYFUNCTION("""COMPUTED_VALUE"""),FALSE)</f>
        <v>0</v>
      </c>
      <c r="BM618" s="32"/>
      <c r="BN618" s="32"/>
      <c r="BO618" s="32"/>
      <c r="BP618" s="32"/>
      <c r="BQ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t="b">
        <f>IFERROR(__xludf.DUMMYFUNCTION("""COMPUTED_VALUE"""),FALSE)</f>
        <v>0</v>
      </c>
      <c r="BM619" s="32"/>
      <c r="BN619" s="32"/>
      <c r="BO619" s="32"/>
      <c r="BP619" s="32"/>
      <c r="BQ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t="b">
        <f>IFERROR(__xludf.DUMMYFUNCTION("""COMPUTED_VALUE"""),FALSE)</f>
        <v>0</v>
      </c>
      <c r="BM620" s="32"/>
      <c r="BN620" s="32"/>
      <c r="BO620" s="32"/>
      <c r="BP620" s="32"/>
      <c r="BQ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t="b">
        <f>IFERROR(__xludf.DUMMYFUNCTION("""COMPUTED_VALUE"""),FALSE)</f>
        <v>0</v>
      </c>
      <c r="BM621" s="32"/>
      <c r="BN621" s="32"/>
      <c r="BO621" s="32"/>
      <c r="BP621" s="32"/>
      <c r="BQ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t="b">
        <f>IFERROR(__xludf.DUMMYFUNCTION("""COMPUTED_VALUE"""),FALSE)</f>
        <v>0</v>
      </c>
      <c r="BM622" s="32"/>
      <c r="BN622" s="32"/>
      <c r="BO622" s="32"/>
      <c r="BP622" s="32"/>
      <c r="BQ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t="b">
        <f>IFERROR(__xludf.DUMMYFUNCTION("""COMPUTED_VALUE"""),FALSE)</f>
        <v>0</v>
      </c>
      <c r="BM623" s="32"/>
      <c r="BN623" s="32"/>
      <c r="BO623" s="32"/>
      <c r="BP623" s="32"/>
      <c r="BQ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t="b">
        <f>IFERROR(__xludf.DUMMYFUNCTION("""COMPUTED_VALUE"""),FALSE)</f>
        <v>0</v>
      </c>
      <c r="BM624" s="32"/>
      <c r="BN624" s="32"/>
      <c r="BO624" s="32"/>
      <c r="BP624" s="32"/>
      <c r="BQ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t="b">
        <f>IFERROR(__xludf.DUMMYFUNCTION("""COMPUTED_VALUE"""),FALSE)</f>
        <v>0</v>
      </c>
      <c r="BM625" s="32"/>
      <c r="BN625" s="32"/>
      <c r="BO625" s="32"/>
      <c r="BP625" s="32"/>
      <c r="BQ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t="b">
        <f>IFERROR(__xludf.DUMMYFUNCTION("""COMPUTED_VALUE"""),FALSE)</f>
        <v>0</v>
      </c>
      <c r="BM626" s="32"/>
      <c r="BN626" s="32"/>
      <c r="BO626" s="32"/>
      <c r="BP626" s="32"/>
      <c r="BQ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t="b">
        <f>IFERROR(__xludf.DUMMYFUNCTION("""COMPUTED_VALUE"""),FALSE)</f>
        <v>0</v>
      </c>
      <c r="BM627" s="32"/>
      <c r="BN627" s="32"/>
      <c r="BO627" s="32"/>
      <c r="BP627" s="32"/>
      <c r="BQ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t="b">
        <f>IFERROR(__xludf.DUMMYFUNCTION("""COMPUTED_VALUE"""),FALSE)</f>
        <v>0</v>
      </c>
      <c r="BM628" s="32"/>
      <c r="BN628" s="32"/>
      <c r="BO628" s="32"/>
      <c r="BP628" s="32"/>
      <c r="BQ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t="b">
        <f>IFERROR(__xludf.DUMMYFUNCTION("""COMPUTED_VALUE"""),FALSE)</f>
        <v>0</v>
      </c>
      <c r="BM629" s="32"/>
      <c r="BN629" s="32"/>
      <c r="BO629" s="32"/>
      <c r="BP629" s="32"/>
      <c r="BQ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t="b">
        <f>IFERROR(__xludf.DUMMYFUNCTION("""COMPUTED_VALUE"""),FALSE)</f>
        <v>0</v>
      </c>
      <c r="BM630" s="32"/>
      <c r="BN630" s="32"/>
      <c r="BO630" s="32"/>
      <c r="BP630" s="32"/>
      <c r="BQ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t="b">
        <f>IFERROR(__xludf.DUMMYFUNCTION("""COMPUTED_VALUE"""),FALSE)</f>
        <v>0</v>
      </c>
      <c r="BM631" s="32"/>
      <c r="BN631" s="32"/>
      <c r="BO631" s="32"/>
      <c r="BP631" s="32"/>
      <c r="BQ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t="b">
        <f>IFERROR(__xludf.DUMMYFUNCTION("""COMPUTED_VALUE"""),FALSE)</f>
        <v>0</v>
      </c>
      <c r="BM632" s="32"/>
      <c r="BN632" s="32"/>
      <c r="BO632" s="32"/>
      <c r="BP632" s="32"/>
      <c r="BQ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t="b">
        <f>IFERROR(__xludf.DUMMYFUNCTION("""COMPUTED_VALUE"""),FALSE)</f>
        <v>0</v>
      </c>
      <c r="BM633" s="32"/>
      <c r="BN633" s="32"/>
      <c r="BO633" s="32"/>
      <c r="BP633" s="32"/>
      <c r="BQ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t="b">
        <f>IFERROR(__xludf.DUMMYFUNCTION("""COMPUTED_VALUE"""),FALSE)</f>
        <v>0</v>
      </c>
      <c r="BM634" s="32"/>
      <c r="BN634" s="32"/>
      <c r="BO634" s="32"/>
      <c r="BP634" s="32"/>
      <c r="BQ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t="b">
        <f>IFERROR(__xludf.DUMMYFUNCTION("""COMPUTED_VALUE"""),FALSE)</f>
        <v>0</v>
      </c>
      <c r="BM635" s="32"/>
      <c r="BN635" s="32"/>
      <c r="BO635" s="32"/>
      <c r="BP635" s="32"/>
      <c r="BQ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t="b">
        <f>IFERROR(__xludf.DUMMYFUNCTION("""COMPUTED_VALUE"""),FALSE)</f>
        <v>0</v>
      </c>
      <c r="BM636" s="32"/>
      <c r="BN636" s="32"/>
      <c r="BO636" s="32"/>
      <c r="BP636" s="32"/>
      <c r="BQ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t="b">
        <f>IFERROR(__xludf.DUMMYFUNCTION("""COMPUTED_VALUE"""),FALSE)</f>
        <v>0</v>
      </c>
      <c r="BM637" s="32"/>
      <c r="BN637" s="32"/>
      <c r="BO637" s="32"/>
      <c r="BP637" s="32"/>
      <c r="BQ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t="b">
        <f>IFERROR(__xludf.DUMMYFUNCTION("""COMPUTED_VALUE"""),FALSE)</f>
        <v>0</v>
      </c>
      <c r="BM638" s="32"/>
      <c r="BN638" s="32"/>
      <c r="BO638" s="32"/>
      <c r="BP638" s="32"/>
      <c r="BQ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t="b">
        <f>IFERROR(__xludf.DUMMYFUNCTION("""COMPUTED_VALUE"""),FALSE)</f>
        <v>0</v>
      </c>
      <c r="BM639" s="32"/>
      <c r="BN639" s="32"/>
      <c r="BO639" s="32"/>
      <c r="BP639" s="32"/>
      <c r="BQ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t="b">
        <f>IFERROR(__xludf.DUMMYFUNCTION("""COMPUTED_VALUE"""),FALSE)</f>
        <v>0</v>
      </c>
      <c r="BM640" s="32"/>
      <c r="BN640" s="32"/>
      <c r="BO640" s="32"/>
      <c r="BP640" s="32"/>
      <c r="BQ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t="b">
        <f>IFERROR(__xludf.DUMMYFUNCTION("""COMPUTED_VALUE"""),FALSE)</f>
        <v>0</v>
      </c>
      <c r="BM641" s="32"/>
      <c r="BN641" s="32"/>
      <c r="BO641" s="32"/>
      <c r="BP641" s="32"/>
      <c r="BQ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t="b">
        <f>IFERROR(__xludf.DUMMYFUNCTION("""COMPUTED_VALUE"""),FALSE)</f>
        <v>0</v>
      </c>
      <c r="BM642" s="32"/>
      <c r="BN642" s="32"/>
      <c r="BO642" s="32"/>
      <c r="BP642" s="32"/>
      <c r="BQ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t="b">
        <f>IFERROR(__xludf.DUMMYFUNCTION("""COMPUTED_VALUE"""),FALSE)</f>
        <v>0</v>
      </c>
      <c r="BM643" s="32"/>
      <c r="BN643" s="32"/>
      <c r="BO643" s="32"/>
      <c r="BP643" s="32"/>
      <c r="BQ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t="b">
        <f>IFERROR(__xludf.DUMMYFUNCTION("""COMPUTED_VALUE"""),FALSE)</f>
        <v>0</v>
      </c>
      <c r="BM644" s="32"/>
      <c r="BN644" s="32"/>
      <c r="BO644" s="32"/>
      <c r="BP644" s="32"/>
      <c r="BQ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t="b">
        <f>IFERROR(__xludf.DUMMYFUNCTION("""COMPUTED_VALUE"""),FALSE)</f>
        <v>0</v>
      </c>
      <c r="BM645" s="32"/>
      <c r="BN645" s="32"/>
      <c r="BO645" s="32"/>
      <c r="BP645" s="32"/>
      <c r="BQ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t="b">
        <f>IFERROR(__xludf.DUMMYFUNCTION("""COMPUTED_VALUE"""),FALSE)</f>
        <v>0</v>
      </c>
      <c r="BM646" s="32"/>
      <c r="BN646" s="32"/>
      <c r="BO646" s="32"/>
      <c r="BP646" s="32"/>
      <c r="BQ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t="b">
        <f>IFERROR(__xludf.DUMMYFUNCTION("""COMPUTED_VALUE"""),FALSE)</f>
        <v>0</v>
      </c>
      <c r="BM647" s="32"/>
      <c r="BN647" s="32"/>
      <c r="BO647" s="32"/>
      <c r="BP647" s="32"/>
      <c r="BQ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t="b">
        <f>IFERROR(__xludf.DUMMYFUNCTION("""COMPUTED_VALUE"""),FALSE)</f>
        <v>0</v>
      </c>
      <c r="BM648" s="32"/>
      <c r="BN648" s="32"/>
      <c r="BO648" s="32"/>
      <c r="BP648" s="32"/>
      <c r="BQ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t="b">
        <f>IFERROR(__xludf.DUMMYFUNCTION("""COMPUTED_VALUE"""),FALSE)</f>
        <v>0</v>
      </c>
      <c r="BM649" s="32"/>
      <c r="BN649" s="32"/>
      <c r="BO649" s="32"/>
      <c r="BP649" s="32"/>
      <c r="BQ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t="b">
        <f>IFERROR(__xludf.DUMMYFUNCTION("""COMPUTED_VALUE"""),FALSE)</f>
        <v>0</v>
      </c>
      <c r="BM650" s="32"/>
      <c r="BN650" s="32"/>
      <c r="BO650" s="32"/>
      <c r="BP650" s="32"/>
      <c r="BQ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t="b">
        <f>IFERROR(__xludf.DUMMYFUNCTION("""COMPUTED_VALUE"""),FALSE)</f>
        <v>0</v>
      </c>
      <c r="BM651" s="32"/>
      <c r="BN651" s="32"/>
      <c r="BO651" s="32"/>
      <c r="BP651" s="32"/>
      <c r="BQ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t="b">
        <f>IFERROR(__xludf.DUMMYFUNCTION("""COMPUTED_VALUE"""),FALSE)</f>
        <v>0</v>
      </c>
      <c r="BM652" s="32"/>
      <c r="BN652" s="32"/>
      <c r="BO652" s="32"/>
      <c r="BP652" s="32"/>
      <c r="BQ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t="b">
        <f>IFERROR(__xludf.DUMMYFUNCTION("""COMPUTED_VALUE"""),FALSE)</f>
        <v>0</v>
      </c>
      <c r="BM653" s="32"/>
      <c r="BN653" s="32"/>
      <c r="BO653" s="32"/>
      <c r="BP653" s="32"/>
      <c r="BQ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t="b">
        <f>IFERROR(__xludf.DUMMYFUNCTION("""COMPUTED_VALUE"""),FALSE)</f>
        <v>0</v>
      </c>
      <c r="BM654" s="32"/>
      <c r="BN654" s="32"/>
      <c r="BO654" s="32"/>
      <c r="BP654" s="32"/>
      <c r="BQ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t="b">
        <f>IFERROR(__xludf.DUMMYFUNCTION("""COMPUTED_VALUE"""),FALSE)</f>
        <v>0</v>
      </c>
      <c r="BM655" s="32"/>
      <c r="BN655" s="32"/>
      <c r="BO655" s="32"/>
      <c r="BP655" s="32"/>
      <c r="BQ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t="b">
        <f>IFERROR(__xludf.DUMMYFUNCTION("""COMPUTED_VALUE"""),FALSE)</f>
        <v>0</v>
      </c>
      <c r="BM656" s="32"/>
      <c r="BN656" s="32"/>
      <c r="BO656" s="32"/>
      <c r="BP656" s="32"/>
      <c r="BQ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t="b">
        <f>IFERROR(__xludf.DUMMYFUNCTION("""COMPUTED_VALUE"""),FALSE)</f>
        <v>0</v>
      </c>
      <c r="BM657" s="32"/>
      <c r="BN657" s="32"/>
      <c r="BO657" s="32"/>
      <c r="BP657" s="32"/>
      <c r="BQ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t="b">
        <f>IFERROR(__xludf.DUMMYFUNCTION("""COMPUTED_VALUE"""),FALSE)</f>
        <v>0</v>
      </c>
      <c r="BM658" s="32"/>
      <c r="BN658" s="32"/>
      <c r="BO658" s="32"/>
      <c r="BP658" s="32"/>
      <c r="BQ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t="b">
        <f>IFERROR(__xludf.DUMMYFUNCTION("""COMPUTED_VALUE"""),FALSE)</f>
        <v>0</v>
      </c>
      <c r="BM659" s="32"/>
      <c r="BN659" s="32"/>
      <c r="BO659" s="32"/>
      <c r="BP659" s="32"/>
      <c r="BQ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t="b">
        <f>IFERROR(__xludf.DUMMYFUNCTION("""COMPUTED_VALUE"""),FALSE)</f>
        <v>0</v>
      </c>
      <c r="BM660" s="32"/>
      <c r="BN660" s="32"/>
      <c r="BO660" s="32"/>
      <c r="BP660" s="32"/>
      <c r="BQ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t="b">
        <f>IFERROR(__xludf.DUMMYFUNCTION("""COMPUTED_VALUE"""),FALSE)</f>
        <v>0</v>
      </c>
      <c r="BM661" s="32"/>
      <c r="BN661" s="32"/>
      <c r="BO661" s="32"/>
      <c r="BP661" s="32"/>
      <c r="BQ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t="b">
        <f>IFERROR(__xludf.DUMMYFUNCTION("""COMPUTED_VALUE"""),FALSE)</f>
        <v>0</v>
      </c>
      <c r="BM662" s="32"/>
      <c r="BN662" s="32"/>
      <c r="BO662" s="32"/>
      <c r="BP662" s="32"/>
      <c r="BQ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t="b">
        <f>IFERROR(__xludf.DUMMYFUNCTION("""COMPUTED_VALUE"""),FALSE)</f>
        <v>0</v>
      </c>
      <c r="BM663" s="32"/>
      <c r="BN663" s="32"/>
      <c r="BO663" s="32"/>
      <c r="BP663" s="32"/>
      <c r="BQ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t="b">
        <f>IFERROR(__xludf.DUMMYFUNCTION("""COMPUTED_VALUE"""),FALSE)</f>
        <v>0</v>
      </c>
      <c r="BM664" s="32"/>
      <c r="BN664" s="32"/>
      <c r="BO664" s="32"/>
      <c r="BP664" s="32"/>
      <c r="BQ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t="b">
        <f>IFERROR(__xludf.DUMMYFUNCTION("""COMPUTED_VALUE"""),FALSE)</f>
        <v>0</v>
      </c>
      <c r="BM665" s="32"/>
      <c r="BN665" s="32"/>
      <c r="BO665" s="32"/>
      <c r="BP665" s="32"/>
      <c r="BQ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t="b">
        <f>IFERROR(__xludf.DUMMYFUNCTION("""COMPUTED_VALUE"""),FALSE)</f>
        <v>0</v>
      </c>
      <c r="BM666" s="32"/>
      <c r="BN666" s="32"/>
      <c r="BO666" s="32"/>
      <c r="BP666" s="32"/>
      <c r="BQ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t="b">
        <f>IFERROR(__xludf.DUMMYFUNCTION("""COMPUTED_VALUE"""),FALSE)</f>
        <v>0</v>
      </c>
      <c r="BM667" s="32"/>
      <c r="BN667" s="32"/>
      <c r="BO667" s="32"/>
      <c r="BP667" s="32"/>
      <c r="BQ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t="b">
        <f>IFERROR(__xludf.DUMMYFUNCTION("""COMPUTED_VALUE"""),FALSE)</f>
        <v>0</v>
      </c>
      <c r="BM668" s="32"/>
      <c r="BN668" s="32"/>
      <c r="BO668" s="32"/>
      <c r="BP668" s="32"/>
      <c r="BQ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t="b">
        <f>IFERROR(__xludf.DUMMYFUNCTION("""COMPUTED_VALUE"""),FALSE)</f>
        <v>0</v>
      </c>
      <c r="BM669" s="32"/>
      <c r="BN669" s="32"/>
      <c r="BO669" s="32"/>
      <c r="BP669" s="32"/>
      <c r="BQ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t="b">
        <f>IFERROR(__xludf.DUMMYFUNCTION("""COMPUTED_VALUE"""),FALSE)</f>
        <v>0</v>
      </c>
      <c r="BM670" s="32"/>
      <c r="BN670" s="32"/>
      <c r="BO670" s="32"/>
      <c r="BP670" s="32"/>
      <c r="BQ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t="b">
        <f>IFERROR(__xludf.DUMMYFUNCTION("""COMPUTED_VALUE"""),FALSE)</f>
        <v>0</v>
      </c>
      <c r="BM671" s="32"/>
      <c r="BN671" s="32"/>
      <c r="BO671" s="32"/>
      <c r="BP671" s="32"/>
      <c r="BQ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t="b">
        <f>IFERROR(__xludf.DUMMYFUNCTION("""COMPUTED_VALUE"""),FALSE)</f>
        <v>0</v>
      </c>
      <c r="BM672" s="32"/>
      <c r="BN672" s="32"/>
      <c r="BO672" s="32"/>
      <c r="BP672" s="32"/>
      <c r="BQ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t="b">
        <f>IFERROR(__xludf.DUMMYFUNCTION("""COMPUTED_VALUE"""),FALSE)</f>
        <v>0</v>
      </c>
      <c r="BM673" s="32"/>
      <c r="BN673" s="32"/>
      <c r="BO673" s="32"/>
      <c r="BP673" s="32"/>
      <c r="BQ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t="b">
        <f>IFERROR(__xludf.DUMMYFUNCTION("""COMPUTED_VALUE"""),FALSE)</f>
        <v>0</v>
      </c>
      <c r="BM674" s="32"/>
      <c r="BN674" s="32"/>
      <c r="BO674" s="32"/>
      <c r="BP674" s="32"/>
      <c r="BQ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t="b">
        <f>IFERROR(__xludf.DUMMYFUNCTION("""COMPUTED_VALUE"""),FALSE)</f>
        <v>0</v>
      </c>
      <c r="BM675" s="32"/>
      <c r="BN675" s="32"/>
      <c r="BO675" s="32"/>
      <c r="BP675" s="32"/>
      <c r="BQ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t="b">
        <f>IFERROR(__xludf.DUMMYFUNCTION("""COMPUTED_VALUE"""),FALSE)</f>
        <v>0</v>
      </c>
      <c r="BM676" s="32"/>
      <c r="BN676" s="32"/>
      <c r="BO676" s="32"/>
      <c r="BP676" s="32"/>
      <c r="BQ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t="b">
        <f>IFERROR(__xludf.DUMMYFUNCTION("""COMPUTED_VALUE"""),FALSE)</f>
        <v>0</v>
      </c>
      <c r="BM677" s="32"/>
      <c r="BN677" s="32"/>
      <c r="BO677" s="32"/>
      <c r="BP677" s="32"/>
      <c r="BQ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t="b">
        <f>IFERROR(__xludf.DUMMYFUNCTION("""COMPUTED_VALUE"""),FALSE)</f>
        <v>0</v>
      </c>
      <c r="BM678" s="32"/>
      <c r="BN678" s="32"/>
      <c r="BO678" s="32"/>
      <c r="BP678" s="32"/>
      <c r="BQ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t="b">
        <f>IFERROR(__xludf.DUMMYFUNCTION("""COMPUTED_VALUE"""),FALSE)</f>
        <v>0</v>
      </c>
      <c r="BM679" s="32"/>
      <c r="BN679" s="32"/>
      <c r="BO679" s="32"/>
      <c r="BP679" s="32"/>
      <c r="BQ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t="b">
        <f>IFERROR(__xludf.DUMMYFUNCTION("""COMPUTED_VALUE"""),FALSE)</f>
        <v>0</v>
      </c>
      <c r="BM680" s="32"/>
      <c r="BN680" s="32"/>
      <c r="BO680" s="32"/>
      <c r="BP680" s="32"/>
      <c r="BQ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t="b">
        <f>IFERROR(__xludf.DUMMYFUNCTION("""COMPUTED_VALUE"""),FALSE)</f>
        <v>0</v>
      </c>
      <c r="BM681" s="32"/>
      <c r="BN681" s="32"/>
      <c r="BO681" s="32"/>
      <c r="BP681" s="32"/>
      <c r="BQ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t="b">
        <f>IFERROR(__xludf.DUMMYFUNCTION("""COMPUTED_VALUE"""),FALSE)</f>
        <v>0</v>
      </c>
      <c r="BM682" s="32"/>
      <c r="BN682" s="32"/>
      <c r="BO682" s="32"/>
      <c r="BP682" s="32"/>
      <c r="BQ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t="b">
        <f>IFERROR(__xludf.DUMMYFUNCTION("""COMPUTED_VALUE"""),FALSE)</f>
        <v>0</v>
      </c>
      <c r="BM683" s="32"/>
      <c r="BN683" s="32"/>
      <c r="BO683" s="32"/>
      <c r="BP683" s="32"/>
      <c r="BQ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t="b">
        <f>IFERROR(__xludf.DUMMYFUNCTION("""COMPUTED_VALUE"""),FALSE)</f>
        <v>0</v>
      </c>
      <c r="BM684" s="32"/>
      <c r="BN684" s="32"/>
      <c r="BO684" s="32"/>
      <c r="BP684" s="32"/>
      <c r="BQ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t="b">
        <f>IFERROR(__xludf.DUMMYFUNCTION("""COMPUTED_VALUE"""),FALSE)</f>
        <v>0</v>
      </c>
      <c r="BM685" s="32"/>
      <c r="BN685" s="32"/>
      <c r="BO685" s="32"/>
      <c r="BP685" s="32"/>
      <c r="BQ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t="b">
        <f>IFERROR(__xludf.DUMMYFUNCTION("""COMPUTED_VALUE"""),FALSE)</f>
        <v>0</v>
      </c>
      <c r="BM686" s="32"/>
      <c r="BN686" s="32"/>
      <c r="BO686" s="32"/>
      <c r="BP686" s="32"/>
      <c r="BQ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t="b">
        <f>IFERROR(__xludf.DUMMYFUNCTION("""COMPUTED_VALUE"""),FALSE)</f>
        <v>0</v>
      </c>
      <c r="BM687" s="32"/>
      <c r="BN687" s="32"/>
      <c r="BO687" s="32"/>
      <c r="BP687" s="32"/>
      <c r="BQ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t="b">
        <f>IFERROR(__xludf.DUMMYFUNCTION("""COMPUTED_VALUE"""),FALSE)</f>
        <v>0</v>
      </c>
      <c r="BM688" s="32"/>
      <c r="BN688" s="32"/>
      <c r="BO688" s="32"/>
      <c r="BP688" s="32"/>
      <c r="BQ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t="b">
        <f>IFERROR(__xludf.DUMMYFUNCTION("""COMPUTED_VALUE"""),FALSE)</f>
        <v>0</v>
      </c>
      <c r="BM689" s="32"/>
      <c r="BN689" s="32"/>
      <c r="BO689" s="32"/>
      <c r="BP689" s="32"/>
      <c r="BQ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t="b">
        <f>IFERROR(__xludf.DUMMYFUNCTION("""COMPUTED_VALUE"""),FALSE)</f>
        <v>0</v>
      </c>
      <c r="BM690" s="32"/>
      <c r="BN690" s="32"/>
      <c r="BO690" s="32"/>
      <c r="BP690" s="32"/>
      <c r="BQ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t="b">
        <f>IFERROR(__xludf.DUMMYFUNCTION("""COMPUTED_VALUE"""),FALSE)</f>
        <v>0</v>
      </c>
      <c r="BM691" s="32"/>
      <c r="BN691" s="32"/>
      <c r="BO691" s="32"/>
      <c r="BP691" s="32"/>
      <c r="BQ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t="b">
        <f>IFERROR(__xludf.DUMMYFUNCTION("""COMPUTED_VALUE"""),FALSE)</f>
        <v>0</v>
      </c>
      <c r="BM692" s="32"/>
      <c r="BN692" s="32"/>
      <c r="BO692" s="32"/>
      <c r="BP692" s="32"/>
      <c r="BQ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t="b">
        <f>IFERROR(__xludf.DUMMYFUNCTION("""COMPUTED_VALUE"""),FALSE)</f>
        <v>0</v>
      </c>
      <c r="BM693" s="32"/>
      <c r="BN693" s="32"/>
      <c r="BO693" s="32"/>
      <c r="BP693" s="32"/>
      <c r="BQ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t="b">
        <f>IFERROR(__xludf.DUMMYFUNCTION("""COMPUTED_VALUE"""),FALSE)</f>
        <v>0</v>
      </c>
      <c r="BM694" s="32"/>
      <c r="BN694" s="32"/>
      <c r="BO694" s="32"/>
      <c r="BP694" s="32"/>
      <c r="BQ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t="b">
        <f>IFERROR(__xludf.DUMMYFUNCTION("""COMPUTED_VALUE"""),FALSE)</f>
        <v>0</v>
      </c>
      <c r="BM695" s="32"/>
      <c r="BN695" s="32"/>
      <c r="BO695" s="32"/>
      <c r="BP695" s="32"/>
      <c r="BQ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t="b">
        <f>IFERROR(__xludf.DUMMYFUNCTION("""COMPUTED_VALUE"""),FALSE)</f>
        <v>0</v>
      </c>
      <c r="BM696" s="32"/>
      <c r="BN696" s="32"/>
      <c r="BO696" s="32"/>
      <c r="BP696" s="32"/>
      <c r="BQ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t="b">
        <f>IFERROR(__xludf.DUMMYFUNCTION("""COMPUTED_VALUE"""),FALSE)</f>
        <v>0</v>
      </c>
      <c r="BM697" s="32"/>
      <c r="BN697" s="32"/>
      <c r="BO697" s="32"/>
      <c r="BP697" s="32"/>
      <c r="BQ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t="b">
        <f>IFERROR(__xludf.DUMMYFUNCTION("""COMPUTED_VALUE"""),FALSE)</f>
        <v>0</v>
      </c>
      <c r="BM698" s="32"/>
      <c r="BN698" s="32"/>
      <c r="BO698" s="32"/>
      <c r="BP698" s="32"/>
      <c r="BQ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t="b">
        <f>IFERROR(__xludf.DUMMYFUNCTION("""COMPUTED_VALUE"""),FALSE)</f>
        <v>0</v>
      </c>
      <c r="BM699" s="32"/>
      <c r="BN699" s="32"/>
      <c r="BO699" s="32"/>
      <c r="BP699" s="32"/>
      <c r="BQ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t="b">
        <f>IFERROR(__xludf.DUMMYFUNCTION("""COMPUTED_VALUE"""),FALSE)</f>
        <v>0</v>
      </c>
      <c r="BM700" s="32"/>
      <c r="BN700" s="32"/>
      <c r="BO700" s="32"/>
      <c r="BP700" s="32"/>
      <c r="BQ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t="b">
        <f>IFERROR(__xludf.DUMMYFUNCTION("""COMPUTED_VALUE"""),FALSE)</f>
        <v>0</v>
      </c>
      <c r="BM701" s="32"/>
      <c r="BN701" s="32"/>
      <c r="BO701" s="32"/>
      <c r="BP701" s="32"/>
      <c r="BQ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t="b">
        <f>IFERROR(__xludf.DUMMYFUNCTION("""COMPUTED_VALUE"""),FALSE)</f>
        <v>0</v>
      </c>
      <c r="BM702" s="32"/>
      <c r="BN702" s="32"/>
      <c r="BO702" s="32"/>
      <c r="BP702" s="32"/>
      <c r="BQ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t="b">
        <f>IFERROR(__xludf.DUMMYFUNCTION("""COMPUTED_VALUE"""),FALSE)</f>
        <v>0</v>
      </c>
      <c r="BM703" s="32"/>
      <c r="BN703" s="32"/>
      <c r="BO703" s="32"/>
      <c r="BP703" s="32"/>
      <c r="BQ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t="b">
        <f>IFERROR(__xludf.DUMMYFUNCTION("""COMPUTED_VALUE"""),FALSE)</f>
        <v>0</v>
      </c>
      <c r="BM704" s="32"/>
      <c r="BN704" s="32"/>
      <c r="BO704" s="32"/>
      <c r="BP704" s="32"/>
      <c r="BQ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t="b">
        <f>IFERROR(__xludf.DUMMYFUNCTION("""COMPUTED_VALUE"""),FALSE)</f>
        <v>0</v>
      </c>
      <c r="BM705" s="32"/>
      <c r="BN705" s="32"/>
      <c r="BO705" s="32"/>
      <c r="BP705" s="32"/>
      <c r="BQ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t="b">
        <f>IFERROR(__xludf.DUMMYFUNCTION("""COMPUTED_VALUE"""),FALSE)</f>
        <v>0</v>
      </c>
      <c r="BM706" s="32"/>
      <c r="BN706" s="32"/>
      <c r="BO706" s="32"/>
      <c r="BP706" s="32"/>
      <c r="BQ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t="b">
        <f>IFERROR(__xludf.DUMMYFUNCTION("""COMPUTED_VALUE"""),FALSE)</f>
        <v>0</v>
      </c>
      <c r="BM707" s="32"/>
      <c r="BN707" s="32"/>
      <c r="BO707" s="32"/>
      <c r="BP707" s="32"/>
      <c r="BQ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t="b">
        <f>IFERROR(__xludf.DUMMYFUNCTION("""COMPUTED_VALUE"""),FALSE)</f>
        <v>0</v>
      </c>
      <c r="BM708" s="32"/>
      <c r="BN708" s="32"/>
      <c r="BO708" s="32"/>
      <c r="BP708" s="32"/>
      <c r="BQ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t="b">
        <f>IFERROR(__xludf.DUMMYFUNCTION("""COMPUTED_VALUE"""),FALSE)</f>
        <v>0</v>
      </c>
      <c r="BM709" s="32"/>
      <c r="BN709" s="32"/>
      <c r="BO709" s="32"/>
      <c r="BP709" s="32"/>
      <c r="BQ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t="b">
        <f>IFERROR(__xludf.DUMMYFUNCTION("""COMPUTED_VALUE"""),FALSE)</f>
        <v>0</v>
      </c>
      <c r="BM710" s="32"/>
      <c r="BN710" s="32"/>
      <c r="BO710" s="32"/>
      <c r="BP710" s="32"/>
      <c r="BQ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t="b">
        <f>IFERROR(__xludf.DUMMYFUNCTION("""COMPUTED_VALUE"""),FALSE)</f>
        <v>0</v>
      </c>
      <c r="BM711" s="32"/>
      <c r="BN711" s="32"/>
      <c r="BO711" s="32"/>
      <c r="BP711" s="32"/>
      <c r="BQ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t="b">
        <f>IFERROR(__xludf.DUMMYFUNCTION("""COMPUTED_VALUE"""),FALSE)</f>
        <v>0</v>
      </c>
      <c r="BM712" s="32"/>
      <c r="BN712" s="32"/>
      <c r="BO712" s="32"/>
      <c r="BP712" s="32"/>
      <c r="BQ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t="b">
        <f>IFERROR(__xludf.DUMMYFUNCTION("""COMPUTED_VALUE"""),FALSE)</f>
        <v>0</v>
      </c>
      <c r="BM713" s="32"/>
      <c r="BN713" s="32"/>
      <c r="BO713" s="32"/>
      <c r="BP713" s="32"/>
      <c r="BQ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t="b">
        <f>IFERROR(__xludf.DUMMYFUNCTION("""COMPUTED_VALUE"""),FALSE)</f>
        <v>0</v>
      </c>
      <c r="BM714" s="32"/>
      <c r="BN714" s="32"/>
      <c r="BO714" s="32"/>
      <c r="BP714" s="32"/>
      <c r="BQ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t="b">
        <f>IFERROR(__xludf.DUMMYFUNCTION("""COMPUTED_VALUE"""),FALSE)</f>
        <v>0</v>
      </c>
      <c r="BM715" s="32"/>
      <c r="BN715" s="32"/>
      <c r="BO715" s="32"/>
      <c r="BP715" s="32"/>
      <c r="BQ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t="b">
        <f>IFERROR(__xludf.DUMMYFUNCTION("""COMPUTED_VALUE"""),FALSE)</f>
        <v>0</v>
      </c>
      <c r="BM716" s="32"/>
      <c r="BN716" s="32"/>
      <c r="BO716" s="32"/>
      <c r="BP716" s="32"/>
      <c r="BQ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t="b">
        <f>IFERROR(__xludf.DUMMYFUNCTION("""COMPUTED_VALUE"""),FALSE)</f>
        <v>0</v>
      </c>
      <c r="BM717" s="32"/>
      <c r="BN717" s="32"/>
      <c r="BO717" s="32"/>
      <c r="BP717" s="32"/>
      <c r="BQ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t="b">
        <f>IFERROR(__xludf.DUMMYFUNCTION("""COMPUTED_VALUE"""),FALSE)</f>
        <v>0</v>
      </c>
      <c r="BM718" s="32"/>
      <c r="BN718" s="32"/>
      <c r="BO718" s="32"/>
      <c r="BP718" s="32"/>
      <c r="BQ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t="b">
        <f>IFERROR(__xludf.DUMMYFUNCTION("""COMPUTED_VALUE"""),FALSE)</f>
        <v>0</v>
      </c>
      <c r="BM719" s="32"/>
      <c r="BN719" s="32"/>
      <c r="BO719" s="32"/>
      <c r="BP719" s="32"/>
      <c r="BQ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t="b">
        <f>IFERROR(__xludf.DUMMYFUNCTION("""COMPUTED_VALUE"""),FALSE)</f>
        <v>0</v>
      </c>
      <c r="BM720" s="32"/>
      <c r="BN720" s="32"/>
      <c r="BO720" s="32"/>
      <c r="BP720" s="32"/>
      <c r="BQ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t="b">
        <f>IFERROR(__xludf.DUMMYFUNCTION("""COMPUTED_VALUE"""),FALSE)</f>
        <v>0</v>
      </c>
      <c r="BM721" s="32"/>
      <c r="BN721" s="32"/>
      <c r="BO721" s="32"/>
      <c r="BP721" s="32"/>
      <c r="BQ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t="b">
        <f>IFERROR(__xludf.DUMMYFUNCTION("""COMPUTED_VALUE"""),FALSE)</f>
        <v>0</v>
      </c>
      <c r="BM722" s="32"/>
      <c r="BN722" s="32"/>
      <c r="BO722" s="32"/>
      <c r="BP722" s="32"/>
      <c r="BQ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t="b">
        <f>IFERROR(__xludf.DUMMYFUNCTION("""COMPUTED_VALUE"""),FALSE)</f>
        <v>0</v>
      </c>
      <c r="BM723" s="32"/>
      <c r="BN723" s="32"/>
      <c r="BO723" s="32"/>
      <c r="BP723" s="32"/>
      <c r="BQ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t="b">
        <f>IFERROR(__xludf.DUMMYFUNCTION("""COMPUTED_VALUE"""),FALSE)</f>
        <v>0</v>
      </c>
      <c r="BM724" s="32"/>
      <c r="BN724" s="32"/>
      <c r="BO724" s="32"/>
      <c r="BP724" s="32"/>
      <c r="BQ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t="b">
        <f>IFERROR(__xludf.DUMMYFUNCTION("""COMPUTED_VALUE"""),FALSE)</f>
        <v>0</v>
      </c>
      <c r="BM725" s="32"/>
      <c r="BN725" s="32"/>
      <c r="BO725" s="32"/>
      <c r="BP725" s="32"/>
      <c r="BQ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t="b">
        <f>IFERROR(__xludf.DUMMYFUNCTION("""COMPUTED_VALUE"""),FALSE)</f>
        <v>0</v>
      </c>
      <c r="BM726" s="32"/>
      <c r="BN726" s="32"/>
      <c r="BO726" s="32"/>
      <c r="BP726" s="32"/>
      <c r="BQ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t="b">
        <f>IFERROR(__xludf.DUMMYFUNCTION("""COMPUTED_VALUE"""),FALSE)</f>
        <v>0</v>
      </c>
      <c r="BM727" s="32"/>
      <c r="BN727" s="32"/>
      <c r="BO727" s="32"/>
      <c r="BP727" s="32"/>
      <c r="BQ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t="b">
        <f>IFERROR(__xludf.DUMMYFUNCTION("""COMPUTED_VALUE"""),FALSE)</f>
        <v>0</v>
      </c>
      <c r="BM728" s="32"/>
      <c r="BN728" s="32"/>
      <c r="BO728" s="32"/>
      <c r="BP728" s="32"/>
      <c r="BQ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t="b">
        <f>IFERROR(__xludf.DUMMYFUNCTION("""COMPUTED_VALUE"""),FALSE)</f>
        <v>0</v>
      </c>
      <c r="BM729" s="32"/>
      <c r="BN729" s="32"/>
      <c r="BO729" s="32"/>
      <c r="BP729" s="32"/>
      <c r="BQ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t="b">
        <f>IFERROR(__xludf.DUMMYFUNCTION("""COMPUTED_VALUE"""),FALSE)</f>
        <v>0</v>
      </c>
      <c r="BM730" s="32"/>
      <c r="BN730" s="32"/>
      <c r="BO730" s="32"/>
      <c r="BP730" s="32"/>
      <c r="BQ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t="b">
        <f>IFERROR(__xludf.DUMMYFUNCTION("""COMPUTED_VALUE"""),FALSE)</f>
        <v>0</v>
      </c>
      <c r="BM731" s="32"/>
      <c r="BN731" s="32"/>
      <c r="BO731" s="32"/>
      <c r="BP731" s="32"/>
      <c r="BQ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t="b">
        <f>IFERROR(__xludf.DUMMYFUNCTION("""COMPUTED_VALUE"""),FALSE)</f>
        <v>0</v>
      </c>
      <c r="BM732" s="32"/>
      <c r="BN732" s="32"/>
      <c r="BO732" s="32"/>
      <c r="BP732" s="32"/>
      <c r="BQ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t="b">
        <f>IFERROR(__xludf.DUMMYFUNCTION("""COMPUTED_VALUE"""),FALSE)</f>
        <v>0</v>
      </c>
      <c r="BM733" s="32"/>
      <c r="BN733" s="32"/>
      <c r="BO733" s="32"/>
      <c r="BP733" s="32"/>
      <c r="BQ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t="b">
        <f>IFERROR(__xludf.DUMMYFUNCTION("""COMPUTED_VALUE"""),FALSE)</f>
        <v>0</v>
      </c>
      <c r="BM734" s="32"/>
      <c r="BN734" s="32"/>
      <c r="BO734" s="32"/>
      <c r="BP734" s="32"/>
      <c r="BQ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t="b">
        <f>IFERROR(__xludf.DUMMYFUNCTION("""COMPUTED_VALUE"""),FALSE)</f>
        <v>0</v>
      </c>
      <c r="BM735" s="32"/>
      <c r="BN735" s="32"/>
      <c r="BO735" s="32"/>
      <c r="BP735" s="32"/>
      <c r="BQ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t="b">
        <f>IFERROR(__xludf.DUMMYFUNCTION("""COMPUTED_VALUE"""),FALSE)</f>
        <v>0</v>
      </c>
      <c r="BM736" s="32"/>
      <c r="BN736" s="32"/>
      <c r="BO736" s="32"/>
      <c r="BP736" s="32"/>
      <c r="BQ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t="b">
        <f>IFERROR(__xludf.DUMMYFUNCTION("""COMPUTED_VALUE"""),FALSE)</f>
        <v>0</v>
      </c>
      <c r="BM737" s="32"/>
      <c r="BN737" s="32"/>
      <c r="BO737" s="32"/>
      <c r="BP737" s="32"/>
      <c r="BQ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t="b">
        <f>IFERROR(__xludf.DUMMYFUNCTION("""COMPUTED_VALUE"""),FALSE)</f>
        <v>0</v>
      </c>
      <c r="BM738" s="32"/>
      <c r="BN738" s="32"/>
      <c r="BO738" s="32"/>
      <c r="BP738" s="32"/>
      <c r="BQ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t="b">
        <f>IFERROR(__xludf.DUMMYFUNCTION("""COMPUTED_VALUE"""),FALSE)</f>
        <v>0</v>
      </c>
      <c r="BM739" s="32"/>
      <c r="BN739" s="32"/>
      <c r="BO739" s="32"/>
      <c r="BP739" s="32"/>
      <c r="BQ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t="b">
        <f>IFERROR(__xludf.DUMMYFUNCTION("""COMPUTED_VALUE"""),FALSE)</f>
        <v>0</v>
      </c>
      <c r="BM740" s="32"/>
      <c r="BN740" s="32"/>
      <c r="BO740" s="32"/>
      <c r="BP740" s="32"/>
      <c r="BQ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t="b">
        <f>IFERROR(__xludf.DUMMYFUNCTION("""COMPUTED_VALUE"""),FALSE)</f>
        <v>0</v>
      </c>
      <c r="BM741" s="32"/>
      <c r="BN741" s="32"/>
      <c r="BO741" s="32"/>
      <c r="BP741" s="32"/>
      <c r="BQ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t="b">
        <f>IFERROR(__xludf.DUMMYFUNCTION("""COMPUTED_VALUE"""),FALSE)</f>
        <v>0</v>
      </c>
      <c r="BM742" s="32"/>
      <c r="BN742" s="32"/>
      <c r="BO742" s="32"/>
      <c r="BP742" s="32"/>
      <c r="BQ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t="b">
        <f>IFERROR(__xludf.DUMMYFUNCTION("""COMPUTED_VALUE"""),FALSE)</f>
        <v>0</v>
      </c>
      <c r="BM743" s="32"/>
      <c r="BN743" s="32"/>
      <c r="BO743" s="32"/>
      <c r="BP743" s="32"/>
      <c r="BQ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t="b">
        <f>IFERROR(__xludf.DUMMYFUNCTION("""COMPUTED_VALUE"""),FALSE)</f>
        <v>0</v>
      </c>
      <c r="BM744" s="32"/>
      <c r="BN744" s="32"/>
      <c r="BO744" s="32"/>
      <c r="BP744" s="32"/>
      <c r="BQ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t="b">
        <f>IFERROR(__xludf.DUMMYFUNCTION("""COMPUTED_VALUE"""),FALSE)</f>
        <v>0</v>
      </c>
      <c r="BM745" s="32"/>
      <c r="BN745" s="32"/>
      <c r="BO745" s="32"/>
      <c r="BP745" s="32"/>
      <c r="BQ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t="b">
        <f>IFERROR(__xludf.DUMMYFUNCTION("""COMPUTED_VALUE"""),FALSE)</f>
        <v>0</v>
      </c>
      <c r="BM746" s="32"/>
      <c r="BN746" s="32"/>
      <c r="BO746" s="32"/>
      <c r="BP746" s="32"/>
      <c r="BQ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t="b">
        <f>IFERROR(__xludf.DUMMYFUNCTION("""COMPUTED_VALUE"""),FALSE)</f>
        <v>0</v>
      </c>
      <c r="BM747" s="32"/>
      <c r="BN747" s="32"/>
      <c r="BO747" s="32"/>
      <c r="BP747" s="32"/>
      <c r="BQ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t="b">
        <f>IFERROR(__xludf.DUMMYFUNCTION("""COMPUTED_VALUE"""),FALSE)</f>
        <v>0</v>
      </c>
      <c r="BM748" s="32"/>
      <c r="BN748" s="32"/>
      <c r="BO748" s="32"/>
      <c r="BP748" s="32"/>
      <c r="BQ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t="b">
        <f>IFERROR(__xludf.DUMMYFUNCTION("""COMPUTED_VALUE"""),FALSE)</f>
        <v>0</v>
      </c>
      <c r="BM749" s="32"/>
      <c r="BN749" s="32"/>
      <c r="BO749" s="32"/>
      <c r="BP749" s="32"/>
      <c r="BQ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t="b">
        <f>IFERROR(__xludf.DUMMYFUNCTION("""COMPUTED_VALUE"""),FALSE)</f>
        <v>0</v>
      </c>
      <c r="BM750" s="32"/>
      <c r="BN750" s="32"/>
      <c r="BO750" s="32"/>
      <c r="BP750" s="32"/>
      <c r="BQ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t="b">
        <f>IFERROR(__xludf.DUMMYFUNCTION("""COMPUTED_VALUE"""),FALSE)</f>
        <v>0</v>
      </c>
      <c r="BM751" s="32"/>
      <c r="BN751" s="32"/>
      <c r="BO751" s="32"/>
      <c r="BP751" s="32"/>
      <c r="BQ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t="b">
        <f>IFERROR(__xludf.DUMMYFUNCTION("""COMPUTED_VALUE"""),FALSE)</f>
        <v>0</v>
      </c>
      <c r="BM752" s="32"/>
      <c r="BN752" s="32"/>
      <c r="BO752" s="32"/>
      <c r="BP752" s="32"/>
      <c r="BQ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t="b">
        <f>IFERROR(__xludf.DUMMYFUNCTION("""COMPUTED_VALUE"""),FALSE)</f>
        <v>0</v>
      </c>
      <c r="BM753" s="32"/>
      <c r="BN753" s="32"/>
      <c r="BO753" s="32"/>
      <c r="BP753" s="32"/>
      <c r="BQ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t="b">
        <f>IFERROR(__xludf.DUMMYFUNCTION("""COMPUTED_VALUE"""),FALSE)</f>
        <v>0</v>
      </c>
      <c r="BM754" s="32"/>
      <c r="BN754" s="32"/>
      <c r="BO754" s="32"/>
      <c r="BP754" s="32"/>
      <c r="BQ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t="b">
        <f>IFERROR(__xludf.DUMMYFUNCTION("""COMPUTED_VALUE"""),FALSE)</f>
        <v>0</v>
      </c>
      <c r="BM755" s="32"/>
      <c r="BN755" s="32"/>
      <c r="BO755" s="32"/>
      <c r="BP755" s="32"/>
      <c r="BQ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t="b">
        <f>IFERROR(__xludf.DUMMYFUNCTION("""COMPUTED_VALUE"""),FALSE)</f>
        <v>0</v>
      </c>
      <c r="BM756" s="32"/>
      <c r="BN756" s="32"/>
      <c r="BO756" s="32"/>
      <c r="BP756" s="32"/>
      <c r="BQ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t="b">
        <f>IFERROR(__xludf.DUMMYFUNCTION("""COMPUTED_VALUE"""),FALSE)</f>
        <v>0</v>
      </c>
      <c r="BM757" s="32"/>
      <c r="BN757" s="32"/>
      <c r="BO757" s="32"/>
      <c r="BP757" s="32"/>
      <c r="BQ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t="b">
        <f>IFERROR(__xludf.DUMMYFUNCTION("""COMPUTED_VALUE"""),FALSE)</f>
        <v>0</v>
      </c>
      <c r="BM758" s="32"/>
      <c r="BN758" s="32"/>
      <c r="BO758" s="32"/>
      <c r="BP758" s="32"/>
      <c r="BQ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t="b">
        <f>IFERROR(__xludf.DUMMYFUNCTION("""COMPUTED_VALUE"""),FALSE)</f>
        <v>0</v>
      </c>
      <c r="BM759" s="32"/>
      <c r="BN759" s="32"/>
      <c r="BO759" s="32"/>
      <c r="BP759" s="32"/>
      <c r="BQ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t="b">
        <f>IFERROR(__xludf.DUMMYFUNCTION("""COMPUTED_VALUE"""),FALSE)</f>
        <v>0</v>
      </c>
      <c r="BM760" s="32"/>
      <c r="BN760" s="32"/>
      <c r="BO760" s="32"/>
      <c r="BP760" s="32"/>
      <c r="BQ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t="b">
        <f>IFERROR(__xludf.DUMMYFUNCTION("""COMPUTED_VALUE"""),FALSE)</f>
        <v>0</v>
      </c>
      <c r="BM761" s="32"/>
      <c r="BN761" s="32"/>
      <c r="BO761" s="32"/>
      <c r="BP761" s="32"/>
      <c r="BQ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t="b">
        <f>IFERROR(__xludf.DUMMYFUNCTION("""COMPUTED_VALUE"""),FALSE)</f>
        <v>0</v>
      </c>
      <c r="BM762" s="32"/>
      <c r="BN762" s="32"/>
      <c r="BO762" s="32"/>
      <c r="BP762" s="32"/>
      <c r="BQ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t="b">
        <f>IFERROR(__xludf.DUMMYFUNCTION("""COMPUTED_VALUE"""),FALSE)</f>
        <v>0</v>
      </c>
      <c r="BM763" s="32"/>
      <c r="BN763" s="32"/>
      <c r="BO763" s="32"/>
      <c r="BP763" s="32"/>
      <c r="BQ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t="b">
        <f>IFERROR(__xludf.DUMMYFUNCTION("""COMPUTED_VALUE"""),FALSE)</f>
        <v>0</v>
      </c>
      <c r="BM764" s="32"/>
      <c r="BN764" s="32"/>
      <c r="BO764" s="32"/>
      <c r="BP764" s="32"/>
      <c r="BQ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t="b">
        <f>IFERROR(__xludf.DUMMYFUNCTION("""COMPUTED_VALUE"""),FALSE)</f>
        <v>0</v>
      </c>
      <c r="BM765" s="32"/>
      <c r="BN765" s="32"/>
      <c r="BO765" s="32"/>
      <c r="BP765" s="32"/>
      <c r="BQ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t="b">
        <f>IFERROR(__xludf.DUMMYFUNCTION("""COMPUTED_VALUE"""),FALSE)</f>
        <v>0</v>
      </c>
      <c r="BM766" s="32"/>
      <c r="BN766" s="32"/>
      <c r="BO766" s="32"/>
      <c r="BP766" s="32"/>
      <c r="BQ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t="b">
        <f>IFERROR(__xludf.DUMMYFUNCTION("""COMPUTED_VALUE"""),FALSE)</f>
        <v>0</v>
      </c>
      <c r="BM767" s="32"/>
      <c r="BN767" s="32"/>
      <c r="BO767" s="32"/>
      <c r="BP767" s="32"/>
      <c r="BQ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t="b">
        <f>IFERROR(__xludf.DUMMYFUNCTION("""COMPUTED_VALUE"""),FALSE)</f>
        <v>0</v>
      </c>
      <c r="BM768" s="32"/>
      <c r="BN768" s="32"/>
      <c r="BO768" s="32"/>
      <c r="BP768" s="32"/>
      <c r="BQ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t="b">
        <f>IFERROR(__xludf.DUMMYFUNCTION("""COMPUTED_VALUE"""),FALSE)</f>
        <v>0</v>
      </c>
      <c r="BM769" s="32"/>
      <c r="BN769" s="32"/>
      <c r="BO769" s="32"/>
      <c r="BP769" s="32"/>
      <c r="BQ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t="b">
        <f>IFERROR(__xludf.DUMMYFUNCTION("""COMPUTED_VALUE"""),FALSE)</f>
        <v>0</v>
      </c>
      <c r="BM770" s="32"/>
      <c r="BN770" s="32"/>
      <c r="BO770" s="32"/>
      <c r="BP770" s="32"/>
      <c r="BQ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t="b">
        <f>IFERROR(__xludf.DUMMYFUNCTION("""COMPUTED_VALUE"""),FALSE)</f>
        <v>0</v>
      </c>
      <c r="BM771" s="32"/>
      <c r="BN771" s="32"/>
      <c r="BO771" s="32"/>
      <c r="BP771" s="32"/>
      <c r="BQ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t="b">
        <f>IFERROR(__xludf.DUMMYFUNCTION("""COMPUTED_VALUE"""),FALSE)</f>
        <v>0</v>
      </c>
      <c r="BM772" s="32"/>
      <c r="BN772" s="32"/>
      <c r="BO772" s="32"/>
      <c r="BP772" s="32"/>
      <c r="BQ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t="b">
        <f>IFERROR(__xludf.DUMMYFUNCTION("""COMPUTED_VALUE"""),FALSE)</f>
        <v>0</v>
      </c>
      <c r="BM773" s="32"/>
      <c r="BN773" s="32"/>
      <c r="BO773" s="32"/>
      <c r="BP773" s="32"/>
      <c r="BQ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t="b">
        <f>IFERROR(__xludf.DUMMYFUNCTION("""COMPUTED_VALUE"""),FALSE)</f>
        <v>0</v>
      </c>
      <c r="BM774" s="32"/>
      <c r="BN774" s="32"/>
      <c r="BO774" s="32"/>
      <c r="BP774" s="32"/>
      <c r="BQ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t="b">
        <f>IFERROR(__xludf.DUMMYFUNCTION("""COMPUTED_VALUE"""),FALSE)</f>
        <v>0</v>
      </c>
      <c r="BM775" s="32"/>
      <c r="BN775" s="32"/>
      <c r="BO775" s="32"/>
      <c r="BP775" s="32"/>
      <c r="BQ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t="b">
        <f>IFERROR(__xludf.DUMMYFUNCTION("""COMPUTED_VALUE"""),FALSE)</f>
        <v>0</v>
      </c>
      <c r="BM776" s="32"/>
      <c r="BN776" s="32"/>
      <c r="BO776" s="32"/>
      <c r="BP776" s="32"/>
      <c r="BQ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t="b">
        <f>IFERROR(__xludf.DUMMYFUNCTION("""COMPUTED_VALUE"""),FALSE)</f>
        <v>0</v>
      </c>
      <c r="BM777" s="32"/>
      <c r="BN777" s="32"/>
      <c r="BO777" s="32"/>
      <c r="BP777" s="32"/>
      <c r="BQ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t="b">
        <f>IFERROR(__xludf.DUMMYFUNCTION("""COMPUTED_VALUE"""),FALSE)</f>
        <v>0</v>
      </c>
      <c r="BM778" s="32"/>
      <c r="BN778" s="32"/>
      <c r="BO778" s="32"/>
      <c r="BP778" s="32"/>
      <c r="BQ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t="b">
        <f>IFERROR(__xludf.DUMMYFUNCTION("""COMPUTED_VALUE"""),FALSE)</f>
        <v>0</v>
      </c>
      <c r="BM779" s="32"/>
      <c r="BN779" s="32"/>
      <c r="BO779" s="32"/>
      <c r="BP779" s="32"/>
      <c r="BQ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t="b">
        <f>IFERROR(__xludf.DUMMYFUNCTION("""COMPUTED_VALUE"""),FALSE)</f>
        <v>0</v>
      </c>
      <c r="BM780" s="32"/>
      <c r="BN780" s="32"/>
      <c r="BO780" s="32"/>
      <c r="BP780" s="32"/>
      <c r="BQ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t="b">
        <f>IFERROR(__xludf.DUMMYFUNCTION("""COMPUTED_VALUE"""),FALSE)</f>
        <v>0</v>
      </c>
      <c r="BM781" s="32"/>
      <c r="BN781" s="32"/>
      <c r="BO781" s="32"/>
      <c r="BP781" s="32"/>
      <c r="BQ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t="b">
        <f>IFERROR(__xludf.DUMMYFUNCTION("""COMPUTED_VALUE"""),FALSE)</f>
        <v>0</v>
      </c>
      <c r="BM782" s="32"/>
      <c r="BN782" s="32"/>
      <c r="BO782" s="32"/>
      <c r="BP782" s="32"/>
      <c r="BQ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t="b">
        <f>IFERROR(__xludf.DUMMYFUNCTION("""COMPUTED_VALUE"""),FALSE)</f>
        <v>0</v>
      </c>
      <c r="BM783" s="32"/>
      <c r="BN783" s="32"/>
      <c r="BO783" s="32"/>
      <c r="BP783" s="32"/>
      <c r="BQ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t="b">
        <f>IFERROR(__xludf.DUMMYFUNCTION("""COMPUTED_VALUE"""),FALSE)</f>
        <v>0</v>
      </c>
      <c r="BM784" s="32"/>
      <c r="BN784" s="32"/>
      <c r="BO784" s="32"/>
      <c r="BP784" s="32"/>
      <c r="BQ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t="b">
        <f>IFERROR(__xludf.DUMMYFUNCTION("""COMPUTED_VALUE"""),FALSE)</f>
        <v>0</v>
      </c>
      <c r="BM785" s="32"/>
      <c r="BN785" s="32"/>
      <c r="BO785" s="32"/>
      <c r="BP785" s="32"/>
      <c r="BQ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t="b">
        <f>IFERROR(__xludf.DUMMYFUNCTION("""COMPUTED_VALUE"""),FALSE)</f>
        <v>0</v>
      </c>
      <c r="BM786" s="32"/>
      <c r="BN786" s="32"/>
      <c r="BO786" s="32"/>
      <c r="BP786" s="32"/>
      <c r="BQ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t="b">
        <f>IFERROR(__xludf.DUMMYFUNCTION("""COMPUTED_VALUE"""),FALSE)</f>
        <v>0</v>
      </c>
      <c r="BM787" s="32"/>
      <c r="BN787" s="32"/>
      <c r="BO787" s="32"/>
      <c r="BP787" s="32"/>
      <c r="BQ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t="b">
        <f>IFERROR(__xludf.DUMMYFUNCTION("""COMPUTED_VALUE"""),FALSE)</f>
        <v>0</v>
      </c>
      <c r="BM788" s="32"/>
      <c r="BN788" s="32"/>
      <c r="BO788" s="32"/>
      <c r="BP788" s="32"/>
      <c r="BQ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t="b">
        <f>IFERROR(__xludf.DUMMYFUNCTION("""COMPUTED_VALUE"""),FALSE)</f>
        <v>0</v>
      </c>
      <c r="BM789" s="32"/>
      <c r="BN789" s="32"/>
      <c r="BO789" s="32"/>
      <c r="BP789" s="32"/>
      <c r="BQ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t="b">
        <f>IFERROR(__xludf.DUMMYFUNCTION("""COMPUTED_VALUE"""),FALSE)</f>
        <v>0</v>
      </c>
      <c r="BM790" s="32"/>
      <c r="BN790" s="32"/>
      <c r="BO790" s="32"/>
      <c r="BP790" s="32"/>
      <c r="BQ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t="b">
        <f>IFERROR(__xludf.DUMMYFUNCTION("""COMPUTED_VALUE"""),FALSE)</f>
        <v>0</v>
      </c>
      <c r="BM791" s="32"/>
      <c r="BN791" s="32"/>
      <c r="BO791" s="32"/>
      <c r="BP791" s="32"/>
      <c r="BQ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t="b">
        <f>IFERROR(__xludf.DUMMYFUNCTION("""COMPUTED_VALUE"""),FALSE)</f>
        <v>0</v>
      </c>
      <c r="BM792" s="32"/>
      <c r="BN792" s="32"/>
      <c r="BO792" s="32"/>
      <c r="BP792" s="32"/>
      <c r="BQ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t="b">
        <f>IFERROR(__xludf.DUMMYFUNCTION("""COMPUTED_VALUE"""),FALSE)</f>
        <v>0</v>
      </c>
      <c r="BM793" s="32"/>
      <c r="BN793" s="32"/>
      <c r="BO793" s="32"/>
      <c r="BP793" s="32"/>
      <c r="BQ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t="b">
        <f>IFERROR(__xludf.DUMMYFUNCTION("""COMPUTED_VALUE"""),FALSE)</f>
        <v>0</v>
      </c>
      <c r="BM794" s="32"/>
      <c r="BN794" s="32"/>
      <c r="BO794" s="32"/>
      <c r="BP794" s="32"/>
      <c r="BQ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t="b">
        <f>IFERROR(__xludf.DUMMYFUNCTION("""COMPUTED_VALUE"""),FALSE)</f>
        <v>0</v>
      </c>
      <c r="BM795" s="32"/>
      <c r="BN795" s="32"/>
      <c r="BO795" s="32"/>
      <c r="BP795" s="32"/>
      <c r="BQ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t="b">
        <f>IFERROR(__xludf.DUMMYFUNCTION("""COMPUTED_VALUE"""),FALSE)</f>
        <v>0</v>
      </c>
      <c r="BM796" s="32"/>
      <c r="BN796" s="32"/>
      <c r="BO796" s="32"/>
      <c r="BP796" s="32"/>
      <c r="BQ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t="b">
        <f>IFERROR(__xludf.DUMMYFUNCTION("""COMPUTED_VALUE"""),FALSE)</f>
        <v>0</v>
      </c>
      <c r="BM797" s="32"/>
      <c r="BN797" s="32"/>
      <c r="BO797" s="32"/>
      <c r="BP797" s="32"/>
      <c r="BQ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t="b">
        <f>IFERROR(__xludf.DUMMYFUNCTION("""COMPUTED_VALUE"""),FALSE)</f>
        <v>0</v>
      </c>
      <c r="BM798" s="32"/>
      <c r="BN798" s="32"/>
      <c r="BO798" s="32"/>
      <c r="BP798" s="32"/>
      <c r="BQ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t="b">
        <f>IFERROR(__xludf.DUMMYFUNCTION("""COMPUTED_VALUE"""),FALSE)</f>
        <v>0</v>
      </c>
      <c r="BM799" s="32"/>
      <c r="BN799" s="32"/>
      <c r="BO799" s="32"/>
      <c r="BP799" s="32"/>
      <c r="BQ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t="b">
        <f>IFERROR(__xludf.DUMMYFUNCTION("""COMPUTED_VALUE"""),FALSE)</f>
        <v>0</v>
      </c>
      <c r="BM800" s="32"/>
      <c r="BN800" s="32"/>
      <c r="BO800" s="32"/>
      <c r="BP800" s="32"/>
      <c r="BQ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t="b">
        <f>IFERROR(__xludf.DUMMYFUNCTION("""COMPUTED_VALUE"""),FALSE)</f>
        <v>0</v>
      </c>
      <c r="BM801" s="32"/>
      <c r="BN801" s="32"/>
      <c r="BO801" s="32"/>
      <c r="BP801" s="32"/>
      <c r="BQ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t="b">
        <f>IFERROR(__xludf.DUMMYFUNCTION("""COMPUTED_VALUE"""),FALSE)</f>
        <v>0</v>
      </c>
      <c r="BM802" s="32"/>
      <c r="BN802" s="32"/>
      <c r="BO802" s="32"/>
      <c r="BP802" s="32"/>
      <c r="BQ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t="b">
        <f>IFERROR(__xludf.DUMMYFUNCTION("""COMPUTED_VALUE"""),FALSE)</f>
        <v>0</v>
      </c>
      <c r="BM803" s="32"/>
      <c r="BN803" s="32"/>
      <c r="BO803" s="32"/>
      <c r="BP803" s="32"/>
      <c r="BQ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t="b">
        <f>IFERROR(__xludf.DUMMYFUNCTION("""COMPUTED_VALUE"""),FALSE)</f>
        <v>0</v>
      </c>
      <c r="BM804" s="32"/>
      <c r="BN804" s="32"/>
      <c r="BO804" s="32"/>
      <c r="BP804" s="32"/>
      <c r="BQ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t="b">
        <f>IFERROR(__xludf.DUMMYFUNCTION("""COMPUTED_VALUE"""),FALSE)</f>
        <v>0</v>
      </c>
      <c r="BM805" s="32"/>
      <c r="BN805" s="32"/>
      <c r="BO805" s="32"/>
      <c r="BP805" s="32"/>
      <c r="BQ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t="b">
        <f>IFERROR(__xludf.DUMMYFUNCTION("""COMPUTED_VALUE"""),FALSE)</f>
        <v>0</v>
      </c>
      <c r="BM806" s="32"/>
      <c r="BN806" s="32"/>
      <c r="BO806" s="32"/>
      <c r="BP806" s="32"/>
      <c r="BQ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t="b">
        <f>IFERROR(__xludf.DUMMYFUNCTION("""COMPUTED_VALUE"""),FALSE)</f>
        <v>0</v>
      </c>
      <c r="BM807" s="32"/>
      <c r="BN807" s="32"/>
      <c r="BO807" s="32"/>
      <c r="BP807" s="32"/>
      <c r="BQ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t="b">
        <f>IFERROR(__xludf.DUMMYFUNCTION("""COMPUTED_VALUE"""),FALSE)</f>
        <v>0</v>
      </c>
      <c r="BM808" s="32"/>
      <c r="BN808" s="32"/>
      <c r="BO808" s="32"/>
      <c r="BP808" s="32"/>
      <c r="BQ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t="b">
        <f>IFERROR(__xludf.DUMMYFUNCTION("""COMPUTED_VALUE"""),FALSE)</f>
        <v>0</v>
      </c>
      <c r="BM809" s="32"/>
      <c r="BN809" s="32"/>
      <c r="BO809" s="32"/>
      <c r="BP809" s="32"/>
      <c r="BQ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t="b">
        <f>IFERROR(__xludf.DUMMYFUNCTION("""COMPUTED_VALUE"""),FALSE)</f>
        <v>0</v>
      </c>
      <c r="BM810" s="32"/>
      <c r="BN810" s="32"/>
      <c r="BO810" s="32"/>
      <c r="BP810" s="32"/>
      <c r="BQ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t="b">
        <f>IFERROR(__xludf.DUMMYFUNCTION("""COMPUTED_VALUE"""),FALSE)</f>
        <v>0</v>
      </c>
      <c r="BM811" s="32"/>
      <c r="BN811" s="32"/>
      <c r="BO811" s="32"/>
      <c r="BP811" s="32"/>
      <c r="BQ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t="b">
        <f>IFERROR(__xludf.DUMMYFUNCTION("""COMPUTED_VALUE"""),FALSE)</f>
        <v>0</v>
      </c>
      <c r="BM812" s="32"/>
      <c r="BN812" s="32"/>
      <c r="BO812" s="32"/>
      <c r="BP812" s="32"/>
      <c r="BQ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t="b">
        <f>IFERROR(__xludf.DUMMYFUNCTION("""COMPUTED_VALUE"""),FALSE)</f>
        <v>0</v>
      </c>
      <c r="BM813" s="32"/>
      <c r="BN813" s="32"/>
      <c r="BO813" s="32"/>
      <c r="BP813" s="32"/>
      <c r="BQ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t="b">
        <f>IFERROR(__xludf.DUMMYFUNCTION("""COMPUTED_VALUE"""),FALSE)</f>
        <v>0</v>
      </c>
      <c r="BM814" s="32"/>
      <c r="BN814" s="32"/>
      <c r="BO814" s="32"/>
      <c r="BP814" s="32"/>
      <c r="BQ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t="b">
        <f>IFERROR(__xludf.DUMMYFUNCTION("""COMPUTED_VALUE"""),FALSE)</f>
        <v>0</v>
      </c>
      <c r="BM815" s="32"/>
      <c r="BN815" s="32"/>
      <c r="BO815" s="32"/>
      <c r="BP815" s="32"/>
      <c r="BQ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t="b">
        <f>IFERROR(__xludf.DUMMYFUNCTION("""COMPUTED_VALUE"""),FALSE)</f>
        <v>0</v>
      </c>
      <c r="BM816" s="32"/>
      <c r="BN816" s="32"/>
      <c r="BO816" s="32"/>
      <c r="BP816" s="32"/>
      <c r="BQ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t="b">
        <f>IFERROR(__xludf.DUMMYFUNCTION("""COMPUTED_VALUE"""),FALSE)</f>
        <v>0</v>
      </c>
      <c r="BM817" s="32"/>
      <c r="BN817" s="32"/>
      <c r="BO817" s="32"/>
      <c r="BP817" s="32"/>
      <c r="BQ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t="b">
        <f>IFERROR(__xludf.DUMMYFUNCTION("""COMPUTED_VALUE"""),FALSE)</f>
        <v>0</v>
      </c>
      <c r="BM818" s="32"/>
      <c r="BN818" s="32"/>
      <c r="BO818" s="32"/>
      <c r="BP818" s="32"/>
      <c r="BQ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t="b">
        <f>IFERROR(__xludf.DUMMYFUNCTION("""COMPUTED_VALUE"""),FALSE)</f>
        <v>0</v>
      </c>
      <c r="BM819" s="32"/>
      <c r="BN819" s="32"/>
      <c r="BO819" s="32"/>
      <c r="BP819" s="32"/>
      <c r="BQ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t="b">
        <f>IFERROR(__xludf.DUMMYFUNCTION("""COMPUTED_VALUE"""),FALSE)</f>
        <v>0</v>
      </c>
      <c r="BM820" s="32"/>
      <c r="BN820" s="32"/>
      <c r="BO820" s="32"/>
      <c r="BP820" s="32"/>
      <c r="BQ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t="b">
        <f>IFERROR(__xludf.DUMMYFUNCTION("""COMPUTED_VALUE"""),FALSE)</f>
        <v>0</v>
      </c>
      <c r="BM821" s="32"/>
      <c r="BN821" s="32"/>
      <c r="BO821" s="32"/>
      <c r="BP821" s="32"/>
      <c r="BQ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t="b">
        <f>IFERROR(__xludf.DUMMYFUNCTION("""COMPUTED_VALUE"""),FALSE)</f>
        <v>0</v>
      </c>
      <c r="BM822" s="32"/>
      <c r="BN822" s="32"/>
      <c r="BO822" s="32"/>
      <c r="BP822" s="32"/>
      <c r="BQ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t="b">
        <f>IFERROR(__xludf.DUMMYFUNCTION("""COMPUTED_VALUE"""),FALSE)</f>
        <v>0</v>
      </c>
      <c r="BM823" s="32"/>
      <c r="BN823" s="32"/>
      <c r="BO823" s="32"/>
      <c r="BP823" s="32"/>
      <c r="BQ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t="b">
        <f>IFERROR(__xludf.DUMMYFUNCTION("""COMPUTED_VALUE"""),FALSE)</f>
        <v>0</v>
      </c>
      <c r="BM824" s="32"/>
      <c r="BN824" s="32"/>
      <c r="BO824" s="32"/>
      <c r="BP824" s="32"/>
      <c r="BQ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t="b">
        <f>IFERROR(__xludf.DUMMYFUNCTION("""COMPUTED_VALUE"""),FALSE)</f>
        <v>0</v>
      </c>
      <c r="BM825" s="32"/>
      <c r="BN825" s="32"/>
      <c r="BO825" s="32"/>
      <c r="BP825" s="32"/>
      <c r="BQ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t="b">
        <f>IFERROR(__xludf.DUMMYFUNCTION("""COMPUTED_VALUE"""),FALSE)</f>
        <v>0</v>
      </c>
      <c r="BM826" s="32"/>
      <c r="BN826" s="32"/>
      <c r="BO826" s="32"/>
      <c r="BP826" s="32"/>
      <c r="BQ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t="b">
        <f>IFERROR(__xludf.DUMMYFUNCTION("""COMPUTED_VALUE"""),FALSE)</f>
        <v>0</v>
      </c>
      <c r="BM827" s="32"/>
      <c r="BN827" s="32"/>
      <c r="BO827" s="32"/>
      <c r="BP827" s="32"/>
      <c r="BQ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t="b">
        <f>IFERROR(__xludf.DUMMYFUNCTION("""COMPUTED_VALUE"""),FALSE)</f>
        <v>0</v>
      </c>
      <c r="BM828" s="32"/>
      <c r="BN828" s="32"/>
      <c r="BO828" s="32"/>
      <c r="BP828" s="32"/>
      <c r="BQ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t="b">
        <f>IFERROR(__xludf.DUMMYFUNCTION("""COMPUTED_VALUE"""),FALSE)</f>
        <v>0</v>
      </c>
      <c r="BM829" s="32"/>
      <c r="BN829" s="32"/>
      <c r="BO829" s="32"/>
      <c r="BP829" s="32"/>
      <c r="BQ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t="b">
        <f>IFERROR(__xludf.DUMMYFUNCTION("""COMPUTED_VALUE"""),FALSE)</f>
        <v>0</v>
      </c>
      <c r="BM830" s="32"/>
      <c r="BN830" s="32"/>
      <c r="BO830" s="32"/>
      <c r="BP830" s="32"/>
      <c r="BQ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t="b">
        <f>IFERROR(__xludf.DUMMYFUNCTION("""COMPUTED_VALUE"""),FALSE)</f>
        <v>0</v>
      </c>
      <c r="BM831" s="32"/>
      <c r="BN831" s="32"/>
      <c r="BO831" s="32"/>
      <c r="BP831" s="32"/>
      <c r="BQ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t="b">
        <f>IFERROR(__xludf.DUMMYFUNCTION("""COMPUTED_VALUE"""),FALSE)</f>
        <v>0</v>
      </c>
      <c r="BM832" s="32"/>
      <c r="BN832" s="32"/>
      <c r="BO832" s="32"/>
      <c r="BP832" s="32"/>
      <c r="BQ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t="b">
        <f>IFERROR(__xludf.DUMMYFUNCTION("""COMPUTED_VALUE"""),FALSE)</f>
        <v>0</v>
      </c>
      <c r="BM833" s="32"/>
      <c r="BN833" s="32"/>
      <c r="BO833" s="32"/>
      <c r="BP833" s="32"/>
      <c r="BQ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t="b">
        <f>IFERROR(__xludf.DUMMYFUNCTION("""COMPUTED_VALUE"""),FALSE)</f>
        <v>0</v>
      </c>
      <c r="BM834" s="32"/>
      <c r="BN834" s="32"/>
      <c r="BO834" s="32"/>
      <c r="BP834" s="32"/>
      <c r="BQ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t="b">
        <f>IFERROR(__xludf.DUMMYFUNCTION("""COMPUTED_VALUE"""),FALSE)</f>
        <v>0</v>
      </c>
      <c r="BM835" s="32"/>
      <c r="BN835" s="32"/>
      <c r="BO835" s="32"/>
      <c r="BP835" s="32"/>
      <c r="BQ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t="b">
        <f>IFERROR(__xludf.DUMMYFUNCTION("""COMPUTED_VALUE"""),FALSE)</f>
        <v>0</v>
      </c>
      <c r="BM836" s="32"/>
      <c r="BN836" s="32"/>
      <c r="BO836" s="32"/>
      <c r="BP836" s="32"/>
      <c r="BQ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t="b">
        <f>IFERROR(__xludf.DUMMYFUNCTION("""COMPUTED_VALUE"""),FALSE)</f>
        <v>0</v>
      </c>
      <c r="BM837" s="32"/>
      <c r="BN837" s="32"/>
      <c r="BO837" s="32"/>
      <c r="BP837" s="32"/>
      <c r="BQ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t="b">
        <f>IFERROR(__xludf.DUMMYFUNCTION("""COMPUTED_VALUE"""),FALSE)</f>
        <v>0</v>
      </c>
      <c r="BM838" s="32"/>
      <c r="BN838" s="32"/>
      <c r="BO838" s="32"/>
      <c r="BP838" s="32"/>
      <c r="BQ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t="b">
        <f>IFERROR(__xludf.DUMMYFUNCTION("""COMPUTED_VALUE"""),FALSE)</f>
        <v>0</v>
      </c>
      <c r="BM839" s="32"/>
      <c r="BN839" s="32"/>
      <c r="BO839" s="32"/>
      <c r="BP839" s="32"/>
      <c r="BQ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t="b">
        <f>IFERROR(__xludf.DUMMYFUNCTION("""COMPUTED_VALUE"""),FALSE)</f>
        <v>0</v>
      </c>
      <c r="BM840" s="32"/>
      <c r="BN840" s="32"/>
      <c r="BO840" s="32"/>
      <c r="BP840" s="32"/>
      <c r="BQ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t="b">
        <f>IFERROR(__xludf.DUMMYFUNCTION("""COMPUTED_VALUE"""),FALSE)</f>
        <v>0</v>
      </c>
      <c r="BM841" s="32"/>
      <c r="BN841" s="32"/>
      <c r="BO841" s="32"/>
      <c r="BP841" s="32"/>
      <c r="BQ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t="b">
        <f>IFERROR(__xludf.DUMMYFUNCTION("""COMPUTED_VALUE"""),FALSE)</f>
        <v>0</v>
      </c>
      <c r="BM842" s="32"/>
      <c r="BN842" s="32"/>
      <c r="BO842" s="32"/>
      <c r="BP842" s="32"/>
      <c r="BQ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t="b">
        <f>IFERROR(__xludf.DUMMYFUNCTION("""COMPUTED_VALUE"""),FALSE)</f>
        <v>0</v>
      </c>
      <c r="BM843" s="32"/>
      <c r="BN843" s="32"/>
      <c r="BO843" s="32"/>
      <c r="BP843" s="32"/>
      <c r="BQ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t="b">
        <f>IFERROR(__xludf.DUMMYFUNCTION("""COMPUTED_VALUE"""),FALSE)</f>
        <v>0</v>
      </c>
      <c r="BM844" s="32"/>
      <c r="BN844" s="32"/>
      <c r="BO844" s="32"/>
      <c r="BP844" s="32"/>
      <c r="BQ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t="b">
        <f>IFERROR(__xludf.DUMMYFUNCTION("""COMPUTED_VALUE"""),FALSE)</f>
        <v>0</v>
      </c>
      <c r="BM845" s="32"/>
      <c r="BN845" s="32"/>
      <c r="BO845" s="32"/>
      <c r="BP845" s="32"/>
      <c r="BQ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t="b">
        <f>IFERROR(__xludf.DUMMYFUNCTION("""COMPUTED_VALUE"""),FALSE)</f>
        <v>0</v>
      </c>
      <c r="BM846" s="32"/>
      <c r="BN846" s="32"/>
      <c r="BO846" s="32"/>
      <c r="BP846" s="32"/>
      <c r="BQ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t="b">
        <f>IFERROR(__xludf.DUMMYFUNCTION("""COMPUTED_VALUE"""),FALSE)</f>
        <v>0</v>
      </c>
      <c r="BM847" s="32"/>
      <c r="BN847" s="32"/>
      <c r="BO847" s="32"/>
      <c r="BP847" s="32"/>
      <c r="BQ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t="b">
        <f>IFERROR(__xludf.DUMMYFUNCTION("""COMPUTED_VALUE"""),FALSE)</f>
        <v>0</v>
      </c>
      <c r="BM848" s="32"/>
      <c r="BN848" s="32"/>
      <c r="BO848" s="32"/>
      <c r="BP848" s="32"/>
      <c r="BQ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t="b">
        <f>IFERROR(__xludf.DUMMYFUNCTION("""COMPUTED_VALUE"""),FALSE)</f>
        <v>0</v>
      </c>
      <c r="BM849" s="32"/>
      <c r="BN849" s="32"/>
      <c r="BO849" s="32"/>
      <c r="BP849" s="32"/>
      <c r="BQ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t="b">
        <f>IFERROR(__xludf.DUMMYFUNCTION("""COMPUTED_VALUE"""),FALSE)</f>
        <v>0</v>
      </c>
      <c r="BM850" s="32"/>
      <c r="BN850" s="32"/>
      <c r="BO850" s="32"/>
      <c r="BP850" s="32"/>
      <c r="BQ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t="b">
        <f>IFERROR(__xludf.DUMMYFUNCTION("""COMPUTED_VALUE"""),FALSE)</f>
        <v>0</v>
      </c>
      <c r="BM851" s="32"/>
      <c r="BN851" s="32"/>
      <c r="BO851" s="32"/>
      <c r="BP851" s="32"/>
      <c r="BQ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t="b">
        <f>IFERROR(__xludf.DUMMYFUNCTION("""COMPUTED_VALUE"""),FALSE)</f>
        <v>0</v>
      </c>
      <c r="BM852" s="32"/>
      <c r="BN852" s="32"/>
      <c r="BO852" s="32"/>
      <c r="BP852" s="32"/>
      <c r="BQ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t="b">
        <f>IFERROR(__xludf.DUMMYFUNCTION("""COMPUTED_VALUE"""),FALSE)</f>
        <v>0</v>
      </c>
      <c r="BM853" s="32"/>
      <c r="BN853" s="32"/>
      <c r="BO853" s="32"/>
      <c r="BP853" s="32"/>
      <c r="BQ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t="b">
        <f>IFERROR(__xludf.DUMMYFUNCTION("""COMPUTED_VALUE"""),FALSE)</f>
        <v>0</v>
      </c>
      <c r="BM854" s="32"/>
      <c r="BN854" s="32"/>
      <c r="BO854" s="32"/>
      <c r="BP854" s="32"/>
      <c r="BQ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t="b">
        <f>IFERROR(__xludf.DUMMYFUNCTION("""COMPUTED_VALUE"""),FALSE)</f>
        <v>0</v>
      </c>
      <c r="BM855" s="32"/>
      <c r="BN855" s="32"/>
      <c r="BO855" s="32"/>
      <c r="BP855" s="32"/>
      <c r="BQ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t="b">
        <f>IFERROR(__xludf.DUMMYFUNCTION("""COMPUTED_VALUE"""),FALSE)</f>
        <v>0</v>
      </c>
      <c r="BM856" s="32"/>
      <c r="BN856" s="32"/>
      <c r="BO856" s="32"/>
      <c r="BP856" s="32"/>
      <c r="BQ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t="b">
        <f>IFERROR(__xludf.DUMMYFUNCTION("""COMPUTED_VALUE"""),FALSE)</f>
        <v>0</v>
      </c>
      <c r="BM857" s="32"/>
      <c r="BN857" s="32"/>
      <c r="BO857" s="32"/>
      <c r="BP857" s="32"/>
      <c r="BQ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t="b">
        <f>IFERROR(__xludf.DUMMYFUNCTION("""COMPUTED_VALUE"""),FALSE)</f>
        <v>0</v>
      </c>
      <c r="BM858" s="32"/>
      <c r="BN858" s="32"/>
      <c r="BO858" s="32"/>
      <c r="BP858" s="32"/>
      <c r="BQ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t="b">
        <f>IFERROR(__xludf.DUMMYFUNCTION("""COMPUTED_VALUE"""),FALSE)</f>
        <v>0</v>
      </c>
      <c r="BM859" s="32"/>
      <c r="BN859" s="32"/>
      <c r="BO859" s="32"/>
      <c r="BP859" s="32"/>
      <c r="BQ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t="b">
        <f>IFERROR(__xludf.DUMMYFUNCTION("""COMPUTED_VALUE"""),FALSE)</f>
        <v>0</v>
      </c>
      <c r="BM860" s="32"/>
      <c r="BN860" s="32"/>
      <c r="BO860" s="32"/>
      <c r="BP860" s="32"/>
      <c r="BQ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t="b">
        <f>IFERROR(__xludf.DUMMYFUNCTION("""COMPUTED_VALUE"""),FALSE)</f>
        <v>0</v>
      </c>
      <c r="BM861" s="32"/>
      <c r="BN861" s="32"/>
      <c r="BO861" s="32"/>
      <c r="BP861" s="32"/>
      <c r="BQ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t="b">
        <f>IFERROR(__xludf.DUMMYFUNCTION("""COMPUTED_VALUE"""),FALSE)</f>
        <v>0</v>
      </c>
      <c r="BM862" s="32"/>
      <c r="BN862" s="32"/>
      <c r="BO862" s="32"/>
      <c r="BP862" s="32"/>
      <c r="BQ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t="b">
        <f>IFERROR(__xludf.DUMMYFUNCTION("""COMPUTED_VALUE"""),FALSE)</f>
        <v>0</v>
      </c>
      <c r="BM863" s="32"/>
      <c r="BN863" s="32"/>
      <c r="BO863" s="32"/>
      <c r="BP863" s="32"/>
      <c r="BQ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t="b">
        <f>IFERROR(__xludf.DUMMYFUNCTION("""COMPUTED_VALUE"""),FALSE)</f>
        <v>0</v>
      </c>
      <c r="BM864" s="32"/>
      <c r="BN864" s="32"/>
      <c r="BO864" s="32"/>
      <c r="BP864" s="32"/>
      <c r="BQ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t="b">
        <f>IFERROR(__xludf.DUMMYFUNCTION("""COMPUTED_VALUE"""),FALSE)</f>
        <v>0</v>
      </c>
      <c r="BM865" s="32"/>
      <c r="BN865" s="32"/>
      <c r="BO865" s="32"/>
      <c r="BP865" s="32"/>
      <c r="BQ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t="b">
        <f>IFERROR(__xludf.DUMMYFUNCTION("""COMPUTED_VALUE"""),FALSE)</f>
        <v>0</v>
      </c>
      <c r="BM866" s="32"/>
      <c r="BN866" s="32"/>
      <c r="BO866" s="32"/>
      <c r="BP866" s="32"/>
      <c r="BQ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t="b">
        <f>IFERROR(__xludf.DUMMYFUNCTION("""COMPUTED_VALUE"""),FALSE)</f>
        <v>0</v>
      </c>
      <c r="BM867" s="32"/>
      <c r="BN867" s="32"/>
      <c r="BO867" s="32"/>
      <c r="BP867" s="32"/>
      <c r="BQ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t="b">
        <f>IFERROR(__xludf.DUMMYFUNCTION("""COMPUTED_VALUE"""),FALSE)</f>
        <v>0</v>
      </c>
      <c r="BM868" s="32"/>
      <c r="BN868" s="32"/>
      <c r="BO868" s="32"/>
      <c r="BP868" s="32"/>
      <c r="BQ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t="b">
        <f>IFERROR(__xludf.DUMMYFUNCTION("""COMPUTED_VALUE"""),FALSE)</f>
        <v>0</v>
      </c>
      <c r="BM869" s="32"/>
      <c r="BN869" s="32"/>
      <c r="BO869" s="32"/>
      <c r="BP869" s="32"/>
      <c r="BQ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t="b">
        <f>IFERROR(__xludf.DUMMYFUNCTION("""COMPUTED_VALUE"""),FALSE)</f>
        <v>0</v>
      </c>
      <c r="BM870" s="32"/>
      <c r="BN870" s="32"/>
      <c r="BO870" s="32"/>
      <c r="BP870" s="32"/>
      <c r="BQ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t="b">
        <f>IFERROR(__xludf.DUMMYFUNCTION("""COMPUTED_VALUE"""),FALSE)</f>
        <v>0</v>
      </c>
      <c r="BM871" s="32"/>
      <c r="BN871" s="32"/>
      <c r="BO871" s="32"/>
      <c r="BP871" s="32"/>
      <c r="BQ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t="b">
        <f>IFERROR(__xludf.DUMMYFUNCTION("""COMPUTED_VALUE"""),FALSE)</f>
        <v>0</v>
      </c>
      <c r="BM872" s="32"/>
      <c r="BN872" s="32"/>
      <c r="BO872" s="32"/>
      <c r="BP872" s="32"/>
      <c r="BQ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t="b">
        <f>IFERROR(__xludf.DUMMYFUNCTION("""COMPUTED_VALUE"""),FALSE)</f>
        <v>0</v>
      </c>
      <c r="BM873" s="32"/>
      <c r="BN873" s="32"/>
      <c r="BO873" s="32"/>
      <c r="BP873" s="32"/>
      <c r="BQ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t="b">
        <f>IFERROR(__xludf.DUMMYFUNCTION("""COMPUTED_VALUE"""),FALSE)</f>
        <v>0</v>
      </c>
      <c r="BM874" s="32"/>
      <c r="BN874" s="32"/>
      <c r="BO874" s="32"/>
      <c r="BP874" s="32"/>
      <c r="BQ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t="b">
        <f>IFERROR(__xludf.DUMMYFUNCTION("""COMPUTED_VALUE"""),FALSE)</f>
        <v>0</v>
      </c>
      <c r="BM875" s="32"/>
      <c r="BN875" s="32"/>
      <c r="BO875" s="32"/>
      <c r="BP875" s="32"/>
      <c r="BQ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t="b">
        <f>IFERROR(__xludf.DUMMYFUNCTION("""COMPUTED_VALUE"""),FALSE)</f>
        <v>0</v>
      </c>
      <c r="BM876" s="32"/>
      <c r="BN876" s="32"/>
      <c r="BO876" s="32"/>
      <c r="BP876" s="32"/>
      <c r="BQ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t="b">
        <f>IFERROR(__xludf.DUMMYFUNCTION("""COMPUTED_VALUE"""),FALSE)</f>
        <v>0</v>
      </c>
      <c r="BM877" s="32"/>
      <c r="BN877" s="32"/>
      <c r="BO877" s="32"/>
      <c r="BP877" s="32"/>
      <c r="BQ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t="b">
        <f>IFERROR(__xludf.DUMMYFUNCTION("""COMPUTED_VALUE"""),FALSE)</f>
        <v>0</v>
      </c>
      <c r="BM878" s="32"/>
      <c r="BN878" s="32"/>
      <c r="BO878" s="32"/>
      <c r="BP878" s="32"/>
      <c r="BQ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t="b">
        <f>IFERROR(__xludf.DUMMYFUNCTION("""COMPUTED_VALUE"""),FALSE)</f>
        <v>0</v>
      </c>
      <c r="BM879" s="32"/>
      <c r="BN879" s="32"/>
      <c r="BO879" s="32"/>
      <c r="BP879" s="32"/>
      <c r="BQ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t="b">
        <f>IFERROR(__xludf.DUMMYFUNCTION("""COMPUTED_VALUE"""),FALSE)</f>
        <v>0</v>
      </c>
      <c r="BM880" s="32"/>
      <c r="BN880" s="32"/>
      <c r="BO880" s="32"/>
      <c r="BP880" s="32"/>
      <c r="BQ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t="b">
        <f>IFERROR(__xludf.DUMMYFUNCTION("""COMPUTED_VALUE"""),FALSE)</f>
        <v>0</v>
      </c>
      <c r="BM881" s="32"/>
      <c r="BN881" s="32"/>
      <c r="BO881" s="32"/>
      <c r="BP881" s="32"/>
      <c r="BQ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t="b">
        <f>IFERROR(__xludf.DUMMYFUNCTION("""COMPUTED_VALUE"""),FALSE)</f>
        <v>0</v>
      </c>
      <c r="BM882" s="32"/>
      <c r="BN882" s="32"/>
      <c r="BO882" s="32"/>
      <c r="BP882" s="32"/>
      <c r="BQ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t="b">
        <f>IFERROR(__xludf.DUMMYFUNCTION("""COMPUTED_VALUE"""),FALSE)</f>
        <v>0</v>
      </c>
      <c r="BM883" s="32"/>
      <c r="BN883" s="32"/>
      <c r="BO883" s="32"/>
      <c r="BP883" s="32"/>
      <c r="BQ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t="b">
        <f>IFERROR(__xludf.DUMMYFUNCTION("""COMPUTED_VALUE"""),FALSE)</f>
        <v>0</v>
      </c>
      <c r="BM884" s="32"/>
      <c r="BN884" s="32"/>
      <c r="BO884" s="32"/>
      <c r="BP884" s="32"/>
      <c r="BQ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t="b">
        <f>IFERROR(__xludf.DUMMYFUNCTION("""COMPUTED_VALUE"""),FALSE)</f>
        <v>0</v>
      </c>
      <c r="BM885" s="32"/>
      <c r="BN885" s="32"/>
      <c r="BO885" s="32"/>
      <c r="BP885" s="32"/>
      <c r="BQ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t="b">
        <f>IFERROR(__xludf.DUMMYFUNCTION("""COMPUTED_VALUE"""),FALSE)</f>
        <v>0</v>
      </c>
      <c r="BM886" s="32"/>
      <c r="BN886" s="32"/>
      <c r="BO886" s="32"/>
      <c r="BP886" s="32"/>
      <c r="BQ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t="b">
        <f>IFERROR(__xludf.DUMMYFUNCTION("""COMPUTED_VALUE"""),FALSE)</f>
        <v>0</v>
      </c>
      <c r="BM887" s="32"/>
      <c r="BN887" s="32"/>
      <c r="BO887" s="32"/>
      <c r="BP887" s="32"/>
      <c r="BQ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t="b">
        <f>IFERROR(__xludf.DUMMYFUNCTION("""COMPUTED_VALUE"""),FALSE)</f>
        <v>0</v>
      </c>
      <c r="BM888" s="32"/>
      <c r="BN888" s="32"/>
      <c r="BO888" s="32"/>
      <c r="BP888" s="32"/>
      <c r="BQ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t="b">
        <f>IFERROR(__xludf.DUMMYFUNCTION("""COMPUTED_VALUE"""),FALSE)</f>
        <v>0</v>
      </c>
      <c r="BM889" s="32"/>
      <c r="BN889" s="32"/>
      <c r="BO889" s="32"/>
      <c r="BP889" s="32"/>
      <c r="BQ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t="b">
        <f>IFERROR(__xludf.DUMMYFUNCTION("""COMPUTED_VALUE"""),FALSE)</f>
        <v>0</v>
      </c>
      <c r="BM890" s="32"/>
      <c r="BN890" s="32"/>
      <c r="BO890" s="32"/>
      <c r="BP890" s="32"/>
      <c r="BQ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t="b">
        <f>IFERROR(__xludf.DUMMYFUNCTION("""COMPUTED_VALUE"""),FALSE)</f>
        <v>0</v>
      </c>
      <c r="BM891" s="32"/>
      <c r="BN891" s="32"/>
      <c r="BO891" s="32"/>
      <c r="BP891" s="32"/>
      <c r="BQ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t="b">
        <f>IFERROR(__xludf.DUMMYFUNCTION("""COMPUTED_VALUE"""),FALSE)</f>
        <v>0</v>
      </c>
      <c r="BM892" s="32"/>
      <c r="BN892" s="32"/>
      <c r="BO892" s="32"/>
      <c r="BP892" s="32"/>
      <c r="BQ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t="b">
        <f>IFERROR(__xludf.DUMMYFUNCTION("""COMPUTED_VALUE"""),FALSE)</f>
        <v>0</v>
      </c>
      <c r="BM893" s="32"/>
      <c r="BN893" s="32"/>
      <c r="BO893" s="32"/>
      <c r="BP893" s="32"/>
      <c r="BQ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t="b">
        <f>IFERROR(__xludf.DUMMYFUNCTION("""COMPUTED_VALUE"""),FALSE)</f>
        <v>0</v>
      </c>
      <c r="BM894" s="32"/>
      <c r="BN894" s="32"/>
      <c r="BO894" s="32"/>
      <c r="BP894" s="32"/>
      <c r="BQ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t="b">
        <f>IFERROR(__xludf.DUMMYFUNCTION("""COMPUTED_VALUE"""),FALSE)</f>
        <v>0</v>
      </c>
      <c r="BM895" s="32"/>
      <c r="BN895" s="32"/>
      <c r="BO895" s="32"/>
      <c r="BP895" s="32"/>
      <c r="BQ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t="b">
        <f>IFERROR(__xludf.DUMMYFUNCTION("""COMPUTED_VALUE"""),FALSE)</f>
        <v>0</v>
      </c>
      <c r="BM896" s="32"/>
      <c r="BN896" s="32"/>
      <c r="BO896" s="32"/>
      <c r="BP896" s="32"/>
      <c r="BQ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t="b">
        <f>IFERROR(__xludf.DUMMYFUNCTION("""COMPUTED_VALUE"""),FALSE)</f>
        <v>0</v>
      </c>
      <c r="BM897" s="32"/>
      <c r="BN897" s="32"/>
      <c r="BO897" s="32"/>
      <c r="BP897" s="32"/>
      <c r="BQ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t="b">
        <f>IFERROR(__xludf.DUMMYFUNCTION("""COMPUTED_VALUE"""),FALSE)</f>
        <v>0</v>
      </c>
      <c r="BM898" s="32"/>
      <c r="BN898" s="32"/>
      <c r="BO898" s="32"/>
      <c r="BP898" s="32"/>
      <c r="BQ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t="b">
        <f>IFERROR(__xludf.DUMMYFUNCTION("""COMPUTED_VALUE"""),FALSE)</f>
        <v>0</v>
      </c>
      <c r="BM899" s="32"/>
      <c r="BN899" s="32"/>
      <c r="BO899" s="32"/>
      <c r="BP899" s="32"/>
      <c r="BQ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t="b">
        <f>IFERROR(__xludf.DUMMYFUNCTION("""COMPUTED_VALUE"""),FALSE)</f>
        <v>0</v>
      </c>
      <c r="BM900" s="32"/>
      <c r="BN900" s="32"/>
      <c r="BO900" s="32"/>
      <c r="BP900" s="32"/>
      <c r="BQ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t="b">
        <f>IFERROR(__xludf.DUMMYFUNCTION("""COMPUTED_VALUE"""),FALSE)</f>
        <v>0</v>
      </c>
      <c r="BM901" s="32"/>
      <c r="BN901" s="32"/>
      <c r="BO901" s="32"/>
      <c r="BP901" s="32"/>
      <c r="BQ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t="b">
        <f>IFERROR(__xludf.DUMMYFUNCTION("""COMPUTED_VALUE"""),FALSE)</f>
        <v>0</v>
      </c>
      <c r="BM902" s="32"/>
      <c r="BN902" s="32"/>
      <c r="BO902" s="32"/>
      <c r="BP902" s="32"/>
      <c r="BQ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t="b">
        <f>IFERROR(__xludf.DUMMYFUNCTION("""COMPUTED_VALUE"""),FALSE)</f>
        <v>0</v>
      </c>
      <c r="BM903" s="32"/>
      <c r="BN903" s="32"/>
      <c r="BO903" s="32"/>
      <c r="BP903" s="32"/>
      <c r="BQ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t="b">
        <f>IFERROR(__xludf.DUMMYFUNCTION("""COMPUTED_VALUE"""),FALSE)</f>
        <v>0</v>
      </c>
      <c r="BM904" s="32"/>
      <c r="BN904" s="32"/>
      <c r="BO904" s="32"/>
      <c r="BP904" s="32"/>
      <c r="BQ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t="b">
        <f>IFERROR(__xludf.DUMMYFUNCTION("""COMPUTED_VALUE"""),FALSE)</f>
        <v>0</v>
      </c>
      <c r="BM905" s="32"/>
      <c r="BN905" s="32"/>
      <c r="BO905" s="32"/>
      <c r="BP905" s="32"/>
      <c r="BQ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t="b">
        <f>IFERROR(__xludf.DUMMYFUNCTION("""COMPUTED_VALUE"""),FALSE)</f>
        <v>0</v>
      </c>
      <c r="BM906" s="32"/>
      <c r="BN906" s="32"/>
      <c r="BO906" s="32"/>
      <c r="BP906" s="32"/>
      <c r="BQ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t="b">
        <f>IFERROR(__xludf.DUMMYFUNCTION("""COMPUTED_VALUE"""),FALSE)</f>
        <v>0</v>
      </c>
      <c r="BM907" s="32"/>
      <c r="BN907" s="32"/>
      <c r="BO907" s="32"/>
      <c r="BP907" s="32"/>
      <c r="BQ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t="b">
        <f>IFERROR(__xludf.DUMMYFUNCTION("""COMPUTED_VALUE"""),FALSE)</f>
        <v>0</v>
      </c>
      <c r="BM908" s="32"/>
      <c r="BN908" s="32"/>
      <c r="BO908" s="32"/>
      <c r="BP908" s="32"/>
      <c r="BQ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t="b">
        <f>IFERROR(__xludf.DUMMYFUNCTION("""COMPUTED_VALUE"""),FALSE)</f>
        <v>0</v>
      </c>
      <c r="BM909" s="32"/>
      <c r="BN909" s="32"/>
      <c r="BO909" s="32"/>
      <c r="BP909" s="32"/>
      <c r="BQ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t="b">
        <f>IFERROR(__xludf.DUMMYFUNCTION("""COMPUTED_VALUE"""),FALSE)</f>
        <v>0</v>
      </c>
      <c r="BM910" s="32"/>
      <c r="BN910" s="32"/>
      <c r="BO910" s="32"/>
      <c r="BP910" s="32"/>
      <c r="BQ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t="b">
        <f>IFERROR(__xludf.DUMMYFUNCTION("""COMPUTED_VALUE"""),FALSE)</f>
        <v>0</v>
      </c>
      <c r="BM911" s="32"/>
      <c r="BN911" s="32"/>
      <c r="BO911" s="32"/>
      <c r="BP911" s="32"/>
      <c r="BQ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t="b">
        <f>IFERROR(__xludf.DUMMYFUNCTION("""COMPUTED_VALUE"""),FALSE)</f>
        <v>0</v>
      </c>
      <c r="BM912" s="32"/>
      <c r="BN912" s="32"/>
      <c r="BO912" s="32"/>
      <c r="BP912" s="32"/>
      <c r="BQ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t="b">
        <f>IFERROR(__xludf.DUMMYFUNCTION("""COMPUTED_VALUE"""),FALSE)</f>
        <v>0</v>
      </c>
      <c r="BM913" s="32"/>
      <c r="BN913" s="32"/>
      <c r="BO913" s="32"/>
      <c r="BP913" s="32"/>
      <c r="BQ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t="b">
        <f>IFERROR(__xludf.DUMMYFUNCTION("""COMPUTED_VALUE"""),FALSE)</f>
        <v>0</v>
      </c>
      <c r="BM914" s="32"/>
      <c r="BN914" s="32"/>
      <c r="BO914" s="32"/>
      <c r="BP914" s="32"/>
      <c r="BQ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t="b">
        <f>IFERROR(__xludf.DUMMYFUNCTION("""COMPUTED_VALUE"""),FALSE)</f>
        <v>0</v>
      </c>
      <c r="BM915" s="32"/>
      <c r="BN915" s="32"/>
      <c r="BO915" s="32"/>
      <c r="BP915" s="32"/>
      <c r="BQ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t="b">
        <f>IFERROR(__xludf.DUMMYFUNCTION("""COMPUTED_VALUE"""),FALSE)</f>
        <v>0</v>
      </c>
      <c r="BM916" s="32"/>
      <c r="BN916" s="32"/>
      <c r="BO916" s="32"/>
      <c r="BP916" s="32"/>
      <c r="BQ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t="b">
        <f>IFERROR(__xludf.DUMMYFUNCTION("""COMPUTED_VALUE"""),FALSE)</f>
        <v>0</v>
      </c>
      <c r="BM917" s="32"/>
      <c r="BN917" s="32"/>
      <c r="BO917" s="32"/>
      <c r="BP917" s="32"/>
      <c r="BQ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t="b">
        <f>IFERROR(__xludf.DUMMYFUNCTION("""COMPUTED_VALUE"""),FALSE)</f>
        <v>0</v>
      </c>
      <c r="BM918" s="32"/>
      <c r="BN918" s="32"/>
      <c r="BO918" s="32"/>
      <c r="BP918" s="32"/>
      <c r="BQ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t="b">
        <f>IFERROR(__xludf.DUMMYFUNCTION("""COMPUTED_VALUE"""),FALSE)</f>
        <v>0</v>
      </c>
      <c r="BM919" s="32"/>
      <c r="BN919" s="32"/>
      <c r="BO919" s="32"/>
      <c r="BP919" s="32"/>
      <c r="BQ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t="b">
        <f>IFERROR(__xludf.DUMMYFUNCTION("""COMPUTED_VALUE"""),FALSE)</f>
        <v>0</v>
      </c>
      <c r="BM920" s="32"/>
      <c r="BN920" s="32"/>
      <c r="BO920" s="32"/>
      <c r="BP920" s="32"/>
      <c r="BQ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t="b">
        <f>IFERROR(__xludf.DUMMYFUNCTION("""COMPUTED_VALUE"""),FALSE)</f>
        <v>0</v>
      </c>
      <c r="BM921" s="32"/>
      <c r="BN921" s="32"/>
      <c r="BO921" s="32"/>
      <c r="BP921" s="32"/>
      <c r="BQ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t="b">
        <f>IFERROR(__xludf.DUMMYFUNCTION("""COMPUTED_VALUE"""),FALSE)</f>
        <v>0</v>
      </c>
      <c r="BM922" s="32"/>
      <c r="BN922" s="32"/>
      <c r="BO922" s="32"/>
      <c r="BP922" s="32"/>
      <c r="BQ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t="b">
        <f>IFERROR(__xludf.DUMMYFUNCTION("""COMPUTED_VALUE"""),FALSE)</f>
        <v>0</v>
      </c>
      <c r="BM923" s="32"/>
      <c r="BN923" s="32"/>
      <c r="BO923" s="32"/>
      <c r="BP923" s="32"/>
      <c r="BQ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t="b">
        <f>IFERROR(__xludf.DUMMYFUNCTION("""COMPUTED_VALUE"""),FALSE)</f>
        <v>0</v>
      </c>
      <c r="BM924" s="32"/>
      <c r="BN924" s="32"/>
      <c r="BO924" s="32"/>
      <c r="BP924" s="32"/>
      <c r="BQ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t="b">
        <f>IFERROR(__xludf.DUMMYFUNCTION("""COMPUTED_VALUE"""),FALSE)</f>
        <v>0</v>
      </c>
      <c r="BM925" s="32"/>
      <c r="BN925" s="32"/>
      <c r="BO925" s="32"/>
      <c r="BP925" s="32"/>
      <c r="BQ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t="b">
        <f>IFERROR(__xludf.DUMMYFUNCTION("""COMPUTED_VALUE"""),FALSE)</f>
        <v>0</v>
      </c>
      <c r="BM926" s="32"/>
      <c r="BN926" s="32"/>
      <c r="BO926" s="32"/>
      <c r="BP926" s="32"/>
      <c r="BQ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t="b">
        <f>IFERROR(__xludf.DUMMYFUNCTION("""COMPUTED_VALUE"""),FALSE)</f>
        <v>0</v>
      </c>
      <c r="BM927" s="32"/>
      <c r="BN927" s="32"/>
      <c r="BO927" s="32"/>
      <c r="BP927" s="32"/>
      <c r="BQ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t="b">
        <f>IFERROR(__xludf.DUMMYFUNCTION("""COMPUTED_VALUE"""),FALSE)</f>
        <v>0</v>
      </c>
      <c r="BM928" s="32"/>
      <c r="BN928" s="32"/>
      <c r="BO928" s="32"/>
      <c r="BP928" s="32"/>
      <c r="BQ928"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tr">
        <f>IFERROR(__xludf.DUMMYFUNCTION("IMPORTRANGE(""https://docs.google.com/spreadsheets/d/1HXoAI5UG3zq1UHqU5n7fPdbQk93qOha2VQb1r7iRi1o"",""SpellsNatPowers!A:N"")"),"Name")</f>
        <v>Name</v>
      </c>
      <c r="B1" s="34" t="str">
        <f>IFERROR(__xludf.DUMMYFUNCTION("""COMPUTED_VALUE"""),"Rank")</f>
        <v>Rank</v>
      </c>
      <c r="C1" s="32" t="str">
        <f>IFERROR(__xludf.DUMMYFUNCTION("""COMPUTED_VALUE"""),"SP Cost")</f>
        <v>SP Cost</v>
      </c>
      <c r="D1" s="32" t="str">
        <f>IFERROR(__xludf.DUMMYFUNCTION("""COMPUTED_VALUE"""),"HP Cost")</f>
        <v>HP Cost</v>
      </c>
      <c r="E1" s="32" t="str">
        <f>IFERROR(__xludf.DUMMYFUNCTION("""COMPUTED_VALUE"""),"Effect")</f>
        <v>Effect</v>
      </c>
      <c r="F1" s="32" t="str">
        <f>IFERROR(__xludf.DUMMYFUNCTION("""COMPUTED_VALUE"""),"Type")</f>
        <v>Type</v>
      </c>
      <c r="G1" s="32" t="str">
        <f>IFERROR(__xludf.DUMMYFUNCTION("""COMPUTED_VALUE"""),"Target Amount")</f>
        <v>Target Amount</v>
      </c>
      <c r="H1" s="32" t="str">
        <f>IFERROR(__xludf.DUMMYFUNCTION("""COMPUTED_VALUE"""),"Element")</f>
        <v>Element</v>
      </c>
      <c r="I1" s="32" t="str">
        <f>IFERROR(__xludf.DUMMYFUNCTION("""COMPUTED_VALUE"""),"Player/Mob")</f>
        <v>Player/Mob</v>
      </c>
      <c r="J1" s="32" t="str">
        <f>IFERROR(__xludf.DUMMYFUNCTION("""COMPUTED_VALUE"""),"Restricted")</f>
        <v>Restricted</v>
      </c>
      <c r="K1" s="32" t="str">
        <f>IFERROR(__xludf.DUMMYFUNCTION("""COMPUTED_VALUE"""),"Restricted Info")</f>
        <v>Restricted Info</v>
      </c>
      <c r="L1" s="32" t="str">
        <f>IFERROR(__xludf.DUMMYFUNCTION("""COMPUTED_VALUE"""),"Undefendable")</f>
        <v>Undefendable</v>
      </c>
      <c r="M1" s="32" t="str">
        <f>IFERROR(__xludf.DUMMYFUNCTION("""COMPUTED_VALUE"""),"Bypass Resist/Immune")</f>
        <v>Bypass Resist/Immune</v>
      </c>
      <c r="N1" s="32" t="str">
        <f>IFERROR(__xludf.DUMMYFUNCTION("""COMPUTED_VALUE"""),"SpellWorldOrigin")</f>
        <v>SpellWorldOrigin</v>
      </c>
    </row>
    <row r="2">
      <c r="A2" s="32" t="str">
        <f>IFERROR(__xludf.DUMMYFUNCTION("""COMPUTED_VALUE"""),"Acoustic Slam")</f>
        <v>Acoustic Slam</v>
      </c>
      <c r="B2" s="34">
        <f>IFERROR(__xludf.DUMMYFUNCTION("""COMPUTED_VALUE"""),1.0)</f>
        <v>1</v>
      </c>
      <c r="C2" s="32">
        <f>IFERROR(__xludf.DUMMYFUNCTION("""COMPUTED_VALUE"""),0.0)</f>
        <v>0</v>
      </c>
      <c r="D2" s="32"/>
      <c r="E2" s="32" t="str">
        <f>IFERROR(__xludf.DUMMYFUNCTION("""COMPUTED_VALUE"""),"Deals X*Charisma Acoustic Damage Where X equals the users Accuracy")</f>
        <v>Deals X*Charisma Acoustic Damage Where X equals the users Accuracy</v>
      </c>
      <c r="F2" s="32" t="str">
        <f>IFERROR(__xludf.DUMMYFUNCTION("""COMPUTED_VALUE"""),"Natural/Fail or Succeed")</f>
        <v>Natural/Fail or Succeed</v>
      </c>
      <c r="G2" s="32">
        <f>IFERROR(__xludf.DUMMYFUNCTION("""COMPUTED_VALUE"""),1.0)</f>
        <v>1</v>
      </c>
      <c r="H2" s="32" t="str">
        <f>IFERROR(__xludf.DUMMYFUNCTION("""COMPUTED_VALUE"""),"Acoustic")</f>
        <v>Acoustic</v>
      </c>
      <c r="I2" s="32" t="str">
        <f>IFERROR(__xludf.DUMMYFUNCTION("""COMPUTED_VALUE"""),"Player")</f>
        <v>Player</v>
      </c>
      <c r="J2" s="32" t="b">
        <f>IFERROR(__xludf.DUMMYFUNCTION("""COMPUTED_VALUE"""),FALSE)</f>
        <v>0</v>
      </c>
      <c r="K2" s="32"/>
      <c r="L2" s="32" t="b">
        <f>IFERROR(__xludf.DUMMYFUNCTION("""COMPUTED_VALUE"""),TRUE)</f>
        <v>1</v>
      </c>
      <c r="M2" s="32" t="b">
        <f>IFERROR(__xludf.DUMMYFUNCTION("""COMPUTED_VALUE"""),FALSE)</f>
        <v>0</v>
      </c>
      <c r="N2" s="32"/>
    </row>
    <row r="3">
      <c r="A3" s="32" t="str">
        <f>IFERROR(__xludf.DUMMYFUNCTION("""COMPUTED_VALUE"""),"Amplify")</f>
        <v>Amplify</v>
      </c>
      <c r="B3" s="34">
        <f>IFERROR(__xludf.DUMMYFUNCTION("""COMPUTED_VALUE"""),1.0)</f>
        <v>1</v>
      </c>
      <c r="C3" s="32">
        <f>IFERROR(__xludf.DUMMYFUNCTION("""COMPUTED_VALUE"""),0.0)</f>
        <v>0</v>
      </c>
      <c r="D3" s="32"/>
      <c r="E3" s="32"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32" t="str">
        <f>IFERROR(__xludf.DUMMYFUNCTION("""COMPUTED_VALUE"""),"Natural/Will Succeed")</f>
        <v>Natural/Will Succeed</v>
      </c>
      <c r="G3" s="32" t="str">
        <f>IFERROR(__xludf.DUMMYFUNCTION("""COMPUTED_VALUE"""),"Self")</f>
        <v>Self</v>
      </c>
      <c r="H3" s="32" t="str">
        <f>IFERROR(__xludf.DUMMYFUNCTION("""COMPUTED_VALUE"""),"Acoustic")</f>
        <v>Acoustic</v>
      </c>
      <c r="I3" s="32" t="str">
        <f>IFERROR(__xludf.DUMMYFUNCTION("""COMPUTED_VALUE"""),"Player")</f>
        <v>Player</v>
      </c>
      <c r="J3" s="32" t="b">
        <f>IFERROR(__xludf.DUMMYFUNCTION("""COMPUTED_VALUE"""),FALSE)</f>
        <v>0</v>
      </c>
      <c r="K3" s="32"/>
      <c r="L3" s="32" t="b">
        <f>IFERROR(__xludf.DUMMYFUNCTION("""COMPUTED_VALUE"""),TRUE)</f>
        <v>1</v>
      </c>
      <c r="M3" s="32" t="b">
        <f>IFERROR(__xludf.DUMMYFUNCTION("""COMPUTED_VALUE"""),FALSE)</f>
        <v>0</v>
      </c>
      <c r="N3" s="32"/>
    </row>
    <row r="4">
      <c r="A4" s="32" t="str">
        <f>IFERROR(__xludf.DUMMYFUNCTION("""COMPUTED_VALUE"""),"Chant of Discomfort")</f>
        <v>Chant of Discomfort</v>
      </c>
      <c r="B4" s="34">
        <f>IFERROR(__xludf.DUMMYFUNCTION("""COMPUTED_VALUE"""),1.0)</f>
        <v>1</v>
      </c>
      <c r="C4" s="32">
        <f>IFERROR(__xludf.DUMMYFUNCTION("""COMPUTED_VALUE"""),0.0)</f>
        <v>0</v>
      </c>
      <c r="D4" s="32"/>
      <c r="E4" s="32" t="str">
        <f>IFERROR(__xludf.DUMMYFUNCTION("""COMPUTED_VALUE"""),"20,000 Acoustic damage to all enemies.")</f>
        <v>20,000 Acoustic damage to all enemies.</v>
      </c>
      <c r="F4" s="32" t="str">
        <f>IFERROR(__xludf.DUMMYFUNCTION("""COMPUTED_VALUE"""),"Natural/Cannot Avoid")</f>
        <v>Natural/Cannot Avoid</v>
      </c>
      <c r="G4" s="32" t="str">
        <f>IFERROR(__xludf.DUMMYFUNCTION("""COMPUTED_VALUE"""),"All")</f>
        <v>All</v>
      </c>
      <c r="H4" s="32" t="str">
        <f>IFERROR(__xludf.DUMMYFUNCTION("""COMPUTED_VALUE"""),"Acoustic")</f>
        <v>Acoustic</v>
      </c>
      <c r="I4" s="32" t="str">
        <f>IFERROR(__xludf.DUMMYFUNCTION("""COMPUTED_VALUE"""),"Player")</f>
        <v>Player</v>
      </c>
      <c r="J4" s="32" t="b">
        <f>IFERROR(__xludf.DUMMYFUNCTION("""COMPUTED_VALUE"""),FALSE)</f>
        <v>0</v>
      </c>
      <c r="K4" s="32"/>
      <c r="L4" s="32" t="b">
        <f>IFERROR(__xludf.DUMMYFUNCTION("""COMPUTED_VALUE"""),TRUE)</f>
        <v>1</v>
      </c>
      <c r="M4" s="32" t="b">
        <f>IFERROR(__xludf.DUMMYFUNCTION("""COMPUTED_VALUE"""),FALSE)</f>
        <v>0</v>
      </c>
      <c r="N4" s="32"/>
    </row>
    <row r="5">
      <c r="A5" s="32" t="str">
        <f>IFERROR(__xludf.DUMMYFUNCTION("""COMPUTED_VALUE"""),"Chanting Destruction")</f>
        <v>Chanting Destruction</v>
      </c>
      <c r="B5" s="34">
        <f>IFERROR(__xludf.DUMMYFUNCTION("""COMPUTED_VALUE"""),1.0)</f>
        <v>1</v>
      </c>
      <c r="C5" s="32">
        <f>IFERROR(__xludf.DUMMYFUNCTION("""COMPUTED_VALUE"""),0.0)</f>
        <v>0</v>
      </c>
      <c r="D5" s="32"/>
      <c r="E5" s="32" t="str">
        <f>IFERROR(__xludf.DUMMYFUNCTION("""COMPUTED_VALUE"""),"50,000 Acoustic, Fire, Dark, Chaos, and Celestial Damage to all enemies.")</f>
        <v>50,000 Acoustic, Fire, Dark, Chaos, and Celestial Damage to all enemies.</v>
      </c>
      <c r="F5" s="32" t="str">
        <f>IFERROR(__xludf.DUMMYFUNCTION("""COMPUTED_VALUE"""),"Natural/Cannot Avoid")</f>
        <v>Natural/Cannot Avoid</v>
      </c>
      <c r="G5" s="32" t="str">
        <f>IFERROR(__xludf.DUMMYFUNCTION("""COMPUTED_VALUE"""),"All")</f>
        <v>All</v>
      </c>
      <c r="H5" s="32" t="str">
        <f>IFERROR(__xludf.DUMMYFUNCTION("""COMPUTED_VALUE"""),"Acoustic")</f>
        <v>Acoustic</v>
      </c>
      <c r="I5" s="32" t="str">
        <f>IFERROR(__xludf.DUMMYFUNCTION("""COMPUTED_VALUE"""),"Mob")</f>
        <v>Mob</v>
      </c>
      <c r="J5" s="32" t="b">
        <f>IFERROR(__xludf.DUMMYFUNCTION("""COMPUTED_VALUE"""),TRUE)</f>
        <v>1</v>
      </c>
      <c r="K5" s="32"/>
      <c r="L5" s="32" t="b">
        <f>IFERROR(__xludf.DUMMYFUNCTION("""COMPUTED_VALUE"""),TRUE)</f>
        <v>1</v>
      </c>
      <c r="M5" s="32" t="b">
        <f>IFERROR(__xludf.DUMMYFUNCTION("""COMPUTED_VALUE"""),FALSE)</f>
        <v>0</v>
      </c>
      <c r="N5" s="32"/>
    </row>
    <row r="6">
      <c r="A6" s="32" t="str">
        <f>IFERROR(__xludf.DUMMYFUNCTION("""COMPUTED_VALUE"""),"Choir of 1000 Voices")</f>
        <v>Choir of 1000 Voices</v>
      </c>
      <c r="B6" s="34">
        <f>IFERROR(__xludf.DUMMYFUNCTION("""COMPUTED_VALUE"""),1.0)</f>
        <v>1</v>
      </c>
      <c r="C6" s="32">
        <f>IFERROR(__xludf.DUMMYFUNCTION("""COMPUTED_VALUE"""),0.0)</f>
        <v>0</v>
      </c>
      <c r="D6" s="32"/>
      <c r="E6" s="32" t="str">
        <f>IFERROR(__xludf.DUMMYFUNCTION("""COMPUTED_VALUE"""),"10,000 Acoustic, Light, and Order damage to all enemies.")</f>
        <v>10,000 Acoustic, Light, and Order damage to all enemies.</v>
      </c>
      <c r="F6" s="32" t="str">
        <f>IFERROR(__xludf.DUMMYFUNCTION("""COMPUTED_VALUE"""),"Natural/Cannot Avoid")</f>
        <v>Natural/Cannot Avoid</v>
      </c>
      <c r="G6" s="32" t="str">
        <f>IFERROR(__xludf.DUMMYFUNCTION("""COMPUTED_VALUE"""),"All")</f>
        <v>All</v>
      </c>
      <c r="H6" s="32" t="str">
        <f>IFERROR(__xludf.DUMMYFUNCTION("""COMPUTED_VALUE"""),"Acoustic")</f>
        <v>Acoustic</v>
      </c>
      <c r="I6" s="32" t="str">
        <f>IFERROR(__xludf.DUMMYFUNCTION("""COMPUTED_VALUE"""),"Player")</f>
        <v>Player</v>
      </c>
      <c r="J6" s="32" t="b">
        <f>IFERROR(__xludf.DUMMYFUNCTION("""COMPUTED_VALUE"""),FALSE)</f>
        <v>0</v>
      </c>
      <c r="K6" s="32"/>
      <c r="L6" s="32" t="b">
        <f>IFERROR(__xludf.DUMMYFUNCTION("""COMPUTED_VALUE"""),TRUE)</f>
        <v>1</v>
      </c>
      <c r="M6" s="32" t="b">
        <f>IFERROR(__xludf.DUMMYFUNCTION("""COMPUTED_VALUE"""),FALSE)</f>
        <v>0</v>
      </c>
      <c r="N6" s="32"/>
    </row>
    <row r="7">
      <c r="A7" s="32" t="str">
        <f>IFERROR(__xludf.DUMMYFUNCTION("""COMPUTED_VALUE"""),"Dreadful's Choir")</f>
        <v>Dreadful's Choir</v>
      </c>
      <c r="B7" s="34">
        <f>IFERROR(__xludf.DUMMYFUNCTION("""COMPUTED_VALUE"""),1.0)</f>
        <v>1</v>
      </c>
      <c r="C7" s="32">
        <f>IFERROR(__xludf.DUMMYFUNCTION("""COMPUTED_VALUE"""),0.0)</f>
        <v>0</v>
      </c>
      <c r="D7" s="32"/>
      <c r="E7" s="32" t="str">
        <f>IFERROR(__xludf.DUMMYFUNCTION("""COMPUTED_VALUE"""),"20,000 Acoustic, Dark, Fire, and Chaos Damage to all enemies. 25% chance nearby guards will engage you in battle.")</f>
        <v>20,000 Acoustic, Dark, Fire, and Chaos Damage to all enemies. 25% chance nearby guards will engage you in battle.</v>
      </c>
      <c r="F7" s="32" t="str">
        <f>IFERROR(__xludf.DUMMYFUNCTION("""COMPUTED_VALUE"""),"Natural/Cannot Avoid")</f>
        <v>Natural/Cannot Avoid</v>
      </c>
      <c r="G7" s="32" t="str">
        <f>IFERROR(__xludf.DUMMYFUNCTION("""COMPUTED_VALUE"""),"All")</f>
        <v>All</v>
      </c>
      <c r="H7" s="32" t="str">
        <f>IFERROR(__xludf.DUMMYFUNCTION("""COMPUTED_VALUE"""),"Acoustic")</f>
        <v>Acoustic</v>
      </c>
      <c r="I7" s="32" t="str">
        <f>IFERROR(__xludf.DUMMYFUNCTION("""COMPUTED_VALUE"""),"Player")</f>
        <v>Player</v>
      </c>
      <c r="J7" s="32" t="b">
        <f>IFERROR(__xludf.DUMMYFUNCTION("""COMPUTED_VALUE"""),FALSE)</f>
        <v>0</v>
      </c>
      <c r="K7" s="32"/>
      <c r="L7" s="32" t="b">
        <f>IFERROR(__xludf.DUMMYFUNCTION("""COMPUTED_VALUE"""),TRUE)</f>
        <v>1</v>
      </c>
      <c r="M7" s="32" t="b">
        <f>IFERROR(__xludf.DUMMYFUNCTION("""COMPUTED_VALUE"""),FALSE)</f>
        <v>0</v>
      </c>
      <c r="N7" s="32"/>
    </row>
    <row r="8">
      <c r="A8" s="32" t="str">
        <f>IFERROR(__xludf.DUMMYFUNCTION("""COMPUTED_VALUE"""),"Healing Melody")</f>
        <v>Healing Melody</v>
      </c>
      <c r="B8" s="34">
        <f>IFERROR(__xludf.DUMMYFUNCTION("""COMPUTED_VALUE"""),1.0)</f>
        <v>1</v>
      </c>
      <c r="C8" s="32">
        <f>IFERROR(__xludf.DUMMYFUNCTION("""COMPUTED_VALUE"""),0.0)</f>
        <v>0</v>
      </c>
      <c r="D8" s="32"/>
      <c r="E8" s="32" t="str">
        <f>IFERROR(__xludf.DUMMYFUNCTION("""COMPUTED_VALUE"""),"Restores 300 HP and SP to a target of choosing.")</f>
        <v>Restores 300 HP and SP to a target of choosing.</v>
      </c>
      <c r="F8" s="32" t="str">
        <f>IFERROR(__xludf.DUMMYFUNCTION("""COMPUTED_VALUE"""),"Natural/Will Succeed")</f>
        <v>Natural/Will Succeed</v>
      </c>
      <c r="G8" s="32">
        <f>IFERROR(__xludf.DUMMYFUNCTION("""COMPUTED_VALUE"""),1.0)</f>
        <v>1</v>
      </c>
      <c r="H8" s="32" t="str">
        <f>IFERROR(__xludf.DUMMYFUNCTION("""COMPUTED_VALUE"""),"Acoustic")</f>
        <v>Acoustic</v>
      </c>
      <c r="I8" s="32" t="str">
        <f>IFERROR(__xludf.DUMMYFUNCTION("""COMPUTED_VALUE"""),"Player")</f>
        <v>Player</v>
      </c>
      <c r="J8" s="32" t="b">
        <f>IFERROR(__xludf.DUMMYFUNCTION("""COMPUTED_VALUE"""),FALSE)</f>
        <v>0</v>
      </c>
      <c r="K8" s="32"/>
      <c r="L8" s="32" t="b">
        <f>IFERROR(__xludf.DUMMYFUNCTION("""COMPUTED_VALUE"""),TRUE)</f>
        <v>1</v>
      </c>
      <c r="M8" s="32" t="b">
        <f>IFERROR(__xludf.DUMMYFUNCTION("""COMPUTED_VALUE"""),FALSE)</f>
        <v>0</v>
      </c>
      <c r="N8" s="32"/>
    </row>
    <row r="9">
      <c r="A9" s="32" t="str">
        <f>IFERROR(__xludf.DUMMYFUNCTION("""COMPUTED_VALUE"""),"Intimidating Song")</f>
        <v>Intimidating Song</v>
      </c>
      <c r="B9" s="34">
        <f>IFERROR(__xludf.DUMMYFUNCTION("""COMPUTED_VALUE"""),1.0)</f>
        <v>1</v>
      </c>
      <c r="C9" s="32">
        <f>IFERROR(__xludf.DUMMYFUNCTION("""COMPUTED_VALUE"""),0.0)</f>
        <v>0</v>
      </c>
      <c r="D9" s="32"/>
      <c r="E9" s="32" t="str">
        <f>IFERROR(__xludf.DUMMYFUNCTION("""COMPUTED_VALUE"""),"+10 Intimidation for 3 rounds.")</f>
        <v>+10 Intimidation for 3 rounds.</v>
      </c>
      <c r="F9" s="32" t="str">
        <f>IFERROR(__xludf.DUMMYFUNCTION("""COMPUTED_VALUE"""),"Natural/Fail or Succeed")</f>
        <v>Natural/Fail or Succeed</v>
      </c>
      <c r="G9" s="32" t="str">
        <f>IFERROR(__xludf.DUMMYFUNCTION("""COMPUTED_VALUE"""),"Self")</f>
        <v>Self</v>
      </c>
      <c r="H9" s="32" t="str">
        <f>IFERROR(__xludf.DUMMYFUNCTION("""COMPUTED_VALUE"""),"Acoustic")</f>
        <v>Acoustic</v>
      </c>
      <c r="I9" s="32" t="str">
        <f>IFERROR(__xludf.DUMMYFUNCTION("""COMPUTED_VALUE"""),"Player")</f>
        <v>Player</v>
      </c>
      <c r="J9" s="32" t="b">
        <f>IFERROR(__xludf.DUMMYFUNCTION("""COMPUTED_VALUE"""),FALSE)</f>
        <v>0</v>
      </c>
      <c r="K9" s="32"/>
      <c r="L9" s="32" t="b">
        <f>IFERROR(__xludf.DUMMYFUNCTION("""COMPUTED_VALUE"""),TRUE)</f>
        <v>1</v>
      </c>
      <c r="M9" s="32" t="b">
        <f>IFERROR(__xludf.DUMMYFUNCTION("""COMPUTED_VALUE"""),FALSE)</f>
        <v>0</v>
      </c>
      <c r="N9" s="32"/>
    </row>
    <row r="10">
      <c r="A10" s="32" t="str">
        <f>IFERROR(__xludf.DUMMYFUNCTION("""COMPUTED_VALUE"""),"Melodic Push")</f>
        <v>Melodic Push</v>
      </c>
      <c r="B10" s="34">
        <f>IFERROR(__xludf.DUMMYFUNCTION("""COMPUTED_VALUE"""),1.0)</f>
        <v>1</v>
      </c>
      <c r="C10" s="32">
        <f>IFERROR(__xludf.DUMMYFUNCTION("""COMPUTED_VALUE"""),0.0)</f>
        <v>0</v>
      </c>
      <c r="D10" s="32"/>
      <c r="E10" s="32" t="str">
        <f>IFERROR(__xludf.DUMMYFUNCTION("""COMPUTED_VALUE"""),"10,000 Acoustic damage.")</f>
        <v>10,000 Acoustic damage.</v>
      </c>
      <c r="F10" s="32" t="str">
        <f>IFERROR(__xludf.DUMMYFUNCTION("""COMPUTED_VALUE"""),"Natural/Fail or Succeed")</f>
        <v>Natural/Fail or Succeed</v>
      </c>
      <c r="G10" s="32">
        <f>IFERROR(__xludf.DUMMYFUNCTION("""COMPUTED_VALUE"""),1.0)</f>
        <v>1</v>
      </c>
      <c r="H10" s="32" t="str">
        <f>IFERROR(__xludf.DUMMYFUNCTION("""COMPUTED_VALUE"""),"Acoustic")</f>
        <v>Acoustic</v>
      </c>
      <c r="I10" s="32" t="str">
        <f>IFERROR(__xludf.DUMMYFUNCTION("""COMPUTED_VALUE"""),"Player")</f>
        <v>Player</v>
      </c>
      <c r="J10" s="32" t="b">
        <f>IFERROR(__xludf.DUMMYFUNCTION("""COMPUTED_VALUE"""),FALSE)</f>
        <v>0</v>
      </c>
      <c r="K10" s="32"/>
      <c r="L10" s="32" t="b">
        <f>IFERROR(__xludf.DUMMYFUNCTION("""COMPUTED_VALUE"""),TRUE)</f>
        <v>1</v>
      </c>
      <c r="M10" s="32" t="b">
        <f>IFERROR(__xludf.DUMMYFUNCTION("""COMPUTED_VALUE"""),FALSE)</f>
        <v>0</v>
      </c>
      <c r="N10" s="32"/>
    </row>
    <row r="11">
      <c r="A11" s="32" t="str">
        <f>IFERROR(__xludf.DUMMYFUNCTION("""COMPUTED_VALUE"""),"Thrash Sesh")</f>
        <v>Thrash Sesh</v>
      </c>
      <c r="B11" s="34">
        <f>IFERROR(__xludf.DUMMYFUNCTION("""COMPUTED_VALUE"""),1.0)</f>
        <v>1</v>
      </c>
      <c r="C11" s="32">
        <f>IFERROR(__xludf.DUMMYFUNCTION("""COMPUTED_VALUE"""),0.0)</f>
        <v>0</v>
      </c>
      <c r="D11" s="32"/>
      <c r="E11" s="32" t="str">
        <f>IFERROR(__xludf.DUMMYFUNCTION("""COMPUTED_VALUE"""),"+5 Evasion and Mobility for 3 rounds.")</f>
        <v>+5 Evasion and Mobility for 3 rounds.</v>
      </c>
      <c r="F11" s="32" t="str">
        <f>IFERROR(__xludf.DUMMYFUNCTION("""COMPUTED_VALUE"""),"Natural/Fail or Succeed")</f>
        <v>Natural/Fail or Succeed</v>
      </c>
      <c r="G11" s="32" t="str">
        <f>IFERROR(__xludf.DUMMYFUNCTION("""COMPUTED_VALUE"""),"Self")</f>
        <v>Self</v>
      </c>
      <c r="H11" s="32" t="str">
        <f>IFERROR(__xludf.DUMMYFUNCTION("""COMPUTED_VALUE"""),"Acoustic")</f>
        <v>Acoustic</v>
      </c>
      <c r="I11" s="32" t="str">
        <f>IFERROR(__xludf.DUMMYFUNCTION("""COMPUTED_VALUE"""),"Player")</f>
        <v>Player</v>
      </c>
      <c r="J11" s="32" t="b">
        <f>IFERROR(__xludf.DUMMYFUNCTION("""COMPUTED_VALUE"""),FALSE)</f>
        <v>0</v>
      </c>
      <c r="K11" s="32"/>
      <c r="L11" s="32" t="b">
        <f>IFERROR(__xludf.DUMMYFUNCTION("""COMPUTED_VALUE"""),TRUE)</f>
        <v>1</v>
      </c>
      <c r="M11" s="32" t="b">
        <f>IFERROR(__xludf.DUMMYFUNCTION("""COMPUTED_VALUE"""),FALSE)</f>
        <v>0</v>
      </c>
      <c r="N11" s="32"/>
    </row>
    <row r="12">
      <c r="A12" s="32" t="str">
        <f>IFERROR(__xludf.DUMMYFUNCTION("""COMPUTED_VALUE"""),"Serenading Song")</f>
        <v>Serenading Song</v>
      </c>
      <c r="B12" s="34">
        <f>IFERROR(__xludf.DUMMYFUNCTION("""COMPUTED_VALUE"""),1.0)</f>
        <v>1</v>
      </c>
      <c r="C12" s="32">
        <f>IFERROR(__xludf.DUMMYFUNCTION("""COMPUTED_VALUE"""),0.0)</f>
        <v>0</v>
      </c>
      <c r="D12" s="32"/>
      <c r="E12" s="32" t="str">
        <f>IFERROR(__xludf.DUMMYFUNCTION("""COMPUTED_VALUE"""),"+10 Charisma for 3 rounds")</f>
        <v>+10 Charisma for 3 rounds</v>
      </c>
      <c r="F12" s="32" t="str">
        <f>IFERROR(__xludf.DUMMYFUNCTION("""COMPUTED_VALUE"""),"Natural/Fail or Succeed")</f>
        <v>Natural/Fail or Succeed</v>
      </c>
      <c r="G12" s="32" t="str">
        <f>IFERROR(__xludf.DUMMYFUNCTION("""COMPUTED_VALUE"""),"Self")</f>
        <v>Self</v>
      </c>
      <c r="H12" s="32" t="str">
        <f>IFERROR(__xludf.DUMMYFUNCTION("""COMPUTED_VALUE"""),"Acoustic")</f>
        <v>Acoustic</v>
      </c>
      <c r="I12" s="32" t="str">
        <f>IFERROR(__xludf.DUMMYFUNCTION("""COMPUTED_VALUE"""),"Player")</f>
        <v>Player</v>
      </c>
      <c r="J12" s="32" t="b">
        <f>IFERROR(__xludf.DUMMYFUNCTION("""COMPUTED_VALUE"""),FALSE)</f>
        <v>0</v>
      </c>
      <c r="K12" s="32"/>
      <c r="L12" s="32" t="b">
        <f>IFERROR(__xludf.DUMMYFUNCTION("""COMPUTED_VALUE"""),FALSE)</f>
        <v>0</v>
      </c>
      <c r="M12" s="32" t="b">
        <f>IFERROR(__xludf.DUMMYFUNCTION("""COMPUTED_VALUE"""),FALSE)</f>
        <v>0</v>
      </c>
      <c r="N12" s="32"/>
    </row>
    <row r="13">
      <c r="A13" s="32" t="str">
        <f>IFERROR(__xludf.DUMMYFUNCTION("""COMPUTED_VALUE"""),"Astral Beam")</f>
        <v>Astral Beam</v>
      </c>
      <c r="B13" s="34">
        <f>IFERROR(__xludf.DUMMYFUNCTION("""COMPUTED_VALUE"""),2.0)</f>
        <v>2</v>
      </c>
      <c r="C13" s="32" t="str">
        <f>IFERROR(__xludf.DUMMYFUNCTION("""COMPUTED_VALUE"""),"X")</f>
        <v>X</v>
      </c>
      <c r="D13" s="32"/>
      <c r="E13" s="32" t="str">
        <f>IFERROR(__xludf.DUMMYFUNCTION("""COMPUTED_VALUE"""),"X*50 Light damage and X*50 Astral damage to a single target where X is equal to SP.")</f>
        <v>X*50 Light damage and X*50 Astral damage to a single target where X is equal to SP.</v>
      </c>
      <c r="F13" s="32" t="str">
        <f>IFERROR(__xludf.DUMMYFUNCTION("""COMPUTED_VALUE"""),"Hit or Miss")</f>
        <v>Hit or Miss</v>
      </c>
      <c r="G13" s="32">
        <f>IFERROR(__xludf.DUMMYFUNCTION("""COMPUTED_VALUE"""),1.0)</f>
        <v>1</v>
      </c>
      <c r="H13" s="32" t="str">
        <f>IFERROR(__xludf.DUMMYFUNCTION("""COMPUTED_VALUE"""),"Astral")</f>
        <v>Astral</v>
      </c>
      <c r="I13" s="32" t="str">
        <f>IFERROR(__xludf.DUMMYFUNCTION("""COMPUTED_VALUE"""),"Player")</f>
        <v>Player</v>
      </c>
      <c r="J13" s="32" t="b">
        <f>IFERROR(__xludf.DUMMYFUNCTION("""COMPUTED_VALUE"""),FALSE)</f>
        <v>0</v>
      </c>
      <c r="K13" s="32"/>
      <c r="L13" s="32" t="b">
        <f>IFERROR(__xludf.DUMMYFUNCTION("""COMPUTED_VALUE"""),FALSE)</f>
        <v>0</v>
      </c>
      <c r="M13" s="32" t="b">
        <f>IFERROR(__xludf.DUMMYFUNCTION("""COMPUTED_VALUE"""),FALSE)</f>
        <v>0</v>
      </c>
      <c r="N13" s="32"/>
    </row>
    <row r="14">
      <c r="A14" s="32" t="str">
        <f>IFERROR(__xludf.DUMMYFUNCTION("""COMPUTED_VALUE"""),"Astral Contact")</f>
        <v>Astral Contact</v>
      </c>
      <c r="B14" s="34">
        <f>IFERROR(__xludf.DUMMYFUNCTION("""COMPUTED_VALUE"""),3.0)</f>
        <v>3</v>
      </c>
      <c r="C14" s="32">
        <f>IFERROR(__xludf.DUMMYFUNCTION("""COMPUTED_VALUE"""),100.0)</f>
        <v>100</v>
      </c>
      <c r="D14" s="32"/>
      <c r="E14" s="32" t="str">
        <f>IFERROR(__xludf.DUMMYFUNCTION("""COMPUTED_VALUE"""),"Increases Astral and Light damage by X2 for caster only.")</f>
        <v>Increases Astral and Light damage by X2 for caster only.</v>
      </c>
      <c r="F14" s="32" t="str">
        <f>IFERROR(__xludf.DUMMYFUNCTION("""COMPUTED_VALUE"""),"Fail/succeed")</f>
        <v>Fail/succeed</v>
      </c>
      <c r="G14" s="32"/>
      <c r="H14" s="32" t="str">
        <f>IFERROR(__xludf.DUMMYFUNCTION("""COMPUTED_VALUE"""),"Astral")</f>
        <v>Astral</v>
      </c>
      <c r="I14" s="32" t="str">
        <f>IFERROR(__xludf.DUMMYFUNCTION("""COMPUTED_VALUE"""),"Player")</f>
        <v>Player</v>
      </c>
      <c r="J14" s="32" t="b">
        <f>IFERROR(__xludf.DUMMYFUNCTION("""COMPUTED_VALUE"""),FALSE)</f>
        <v>0</v>
      </c>
      <c r="K14" s="32"/>
      <c r="L14" s="32" t="b">
        <f>IFERROR(__xludf.DUMMYFUNCTION("""COMPUTED_VALUE"""),FALSE)</f>
        <v>0</v>
      </c>
      <c r="M14" s="32" t="b">
        <f>IFERROR(__xludf.DUMMYFUNCTION("""COMPUTED_VALUE"""),FALSE)</f>
        <v>0</v>
      </c>
      <c r="N14" s="32"/>
    </row>
    <row r="15">
      <c r="A15" s="32" t="str">
        <f>IFERROR(__xludf.DUMMYFUNCTION("""COMPUTED_VALUE"""),"Black Hole")</f>
        <v>Black Hole</v>
      </c>
      <c r="B15" s="34">
        <f>IFERROR(__xludf.DUMMYFUNCTION("""COMPUTED_VALUE"""),9.0)</f>
        <v>9</v>
      </c>
      <c r="C15" s="32">
        <f>IFERROR(__xludf.DUMMYFUNCTION("""COMPUTED_VALUE"""),1000.0)</f>
        <v>1000</v>
      </c>
      <c r="D15" s="32"/>
      <c r="E15" s="32" t="str">
        <f>IFERROR(__xludf.DUMMYFUNCTION("""COMPUTED_VALUE"""),"Summon a void that has a 100% chance of instant death to all enemies.")</f>
        <v>Summon a void that has a 100% chance of instant death to all enemies.</v>
      </c>
      <c r="F15" s="32" t="str">
        <f>IFERROR(__xludf.DUMMYFUNCTION("""COMPUTED_VALUE"""),"Cannot be avoided")</f>
        <v>Cannot be avoided</v>
      </c>
      <c r="G15" s="32"/>
      <c r="H15" s="32" t="str">
        <f>IFERROR(__xludf.DUMMYFUNCTION("""COMPUTED_VALUE"""),"Astral")</f>
        <v>Astral</v>
      </c>
      <c r="I15" s="32" t="str">
        <f>IFERROR(__xludf.DUMMYFUNCTION("""COMPUTED_VALUE"""),"Player")</f>
        <v>Player</v>
      </c>
      <c r="J15" s="32" t="b">
        <f>IFERROR(__xludf.DUMMYFUNCTION("""COMPUTED_VALUE"""),FALSE)</f>
        <v>0</v>
      </c>
      <c r="K15" s="32"/>
      <c r="L15" s="32" t="b">
        <f>IFERROR(__xludf.DUMMYFUNCTION("""COMPUTED_VALUE"""),FALSE)</f>
        <v>0</v>
      </c>
      <c r="M15" s="32" t="b">
        <f>IFERROR(__xludf.DUMMYFUNCTION("""COMPUTED_VALUE"""),FALSE)</f>
        <v>0</v>
      </c>
      <c r="N15" s="32"/>
    </row>
    <row r="16">
      <c r="A16" s="32" t="str">
        <f>IFERROR(__xludf.DUMMYFUNCTION("""COMPUTED_VALUE"""),"Comet Shower")</f>
        <v>Comet Shower</v>
      </c>
      <c r="B16" s="34">
        <f>IFERROR(__xludf.DUMMYFUNCTION("""COMPUTED_VALUE"""),9.0)</f>
        <v>9</v>
      </c>
      <c r="C16" s="32" t="str">
        <f>IFERROR(__xludf.DUMMYFUNCTION("""COMPUTED_VALUE"""),"X")</f>
        <v>X</v>
      </c>
      <c r="D16" s="32"/>
      <c r="E16" s="32" t="str">
        <f>IFERROR(__xludf.DUMMYFUNCTION("""COMPUTED_VALUE"""),"X*15 Astral and X*15 Light damage to all enemies where X is equal to SP.")</f>
        <v>X*15 Astral and X*15 Light damage to all enemies where X is equal to SP.</v>
      </c>
      <c r="F16" s="32" t="str">
        <f>IFERROR(__xludf.DUMMYFUNCTION("""COMPUTED_VALUE"""),"Cannot be avoided")</f>
        <v>Cannot be avoided</v>
      </c>
      <c r="G16" s="32"/>
      <c r="H16" s="32" t="str">
        <f>IFERROR(__xludf.DUMMYFUNCTION("""COMPUTED_VALUE"""),"Astral")</f>
        <v>Astral</v>
      </c>
      <c r="I16" s="32" t="str">
        <f>IFERROR(__xludf.DUMMYFUNCTION("""COMPUTED_VALUE"""),"Player")</f>
        <v>Player</v>
      </c>
      <c r="J16" s="32" t="b">
        <f>IFERROR(__xludf.DUMMYFUNCTION("""COMPUTED_VALUE"""),FALSE)</f>
        <v>0</v>
      </c>
      <c r="K16" s="32"/>
      <c r="L16" s="32" t="b">
        <f>IFERROR(__xludf.DUMMYFUNCTION("""COMPUTED_VALUE"""),FALSE)</f>
        <v>0</v>
      </c>
      <c r="M16" s="32" t="b">
        <f>IFERROR(__xludf.DUMMYFUNCTION("""COMPUTED_VALUE"""),FALSE)</f>
        <v>0</v>
      </c>
      <c r="N16" s="32"/>
    </row>
    <row r="17">
      <c r="A17" s="32" t="str">
        <f>IFERROR(__xludf.DUMMYFUNCTION("""COMPUTED_VALUE"""),"Constellation Strike")</f>
        <v>Constellation Strike</v>
      </c>
      <c r="B17" s="34">
        <f>IFERROR(__xludf.DUMMYFUNCTION("""COMPUTED_VALUE"""),5.0)</f>
        <v>5</v>
      </c>
      <c r="C17" s="32">
        <f>IFERROR(__xludf.DUMMYFUNCTION("""COMPUTED_VALUE"""),1100.0)</f>
        <v>1100</v>
      </c>
      <c r="D17" s="32"/>
      <c r="E17" s="32" t="str">
        <f>IFERROR(__xludf.DUMMYFUNCTION("""COMPUTED_VALUE"""),"25000 Astral dmg + 25000 light dmg, increases Astral damage by X2 for caster only.")</f>
        <v>25000 Astral dmg + 25000 light dmg, increases Astral damage by X2 for caster only.</v>
      </c>
      <c r="F17" s="32" t="str">
        <f>IFERROR(__xludf.DUMMYFUNCTION("""COMPUTED_VALUE"""),"Hit or Miss")</f>
        <v>Hit or Miss</v>
      </c>
      <c r="G17" s="32">
        <f>IFERROR(__xludf.DUMMYFUNCTION("""COMPUTED_VALUE"""),1.0)</f>
        <v>1</v>
      </c>
      <c r="H17" s="32" t="str">
        <f>IFERROR(__xludf.DUMMYFUNCTION("""COMPUTED_VALUE"""),"Astral")</f>
        <v>Astral</v>
      </c>
      <c r="I17" s="32" t="str">
        <f>IFERROR(__xludf.DUMMYFUNCTION("""COMPUTED_VALUE"""),"Player")</f>
        <v>Player</v>
      </c>
      <c r="J17" s="32" t="b">
        <f>IFERROR(__xludf.DUMMYFUNCTION("""COMPUTED_VALUE"""),FALSE)</f>
        <v>0</v>
      </c>
      <c r="K17" s="32"/>
      <c r="L17" s="32" t="b">
        <f>IFERROR(__xludf.DUMMYFUNCTION("""COMPUTED_VALUE"""),FALSE)</f>
        <v>0</v>
      </c>
      <c r="M17" s="32" t="b">
        <f>IFERROR(__xludf.DUMMYFUNCTION("""COMPUTED_VALUE"""),FALSE)</f>
        <v>0</v>
      </c>
      <c r="N17" s="32"/>
    </row>
    <row r="18">
      <c r="A18" s="32" t="str">
        <f>IFERROR(__xludf.DUMMYFUNCTION("""COMPUTED_VALUE"""),"Lunar Ward")</f>
        <v>Lunar Ward</v>
      </c>
      <c r="B18" s="34">
        <f>IFERROR(__xludf.DUMMYFUNCTION("""COMPUTED_VALUE"""),1.0)</f>
        <v>1</v>
      </c>
      <c r="C18" s="32">
        <f>IFERROR(__xludf.DUMMYFUNCTION("""COMPUTED_VALUE"""),0.0)</f>
        <v>0</v>
      </c>
      <c r="D18" s="32"/>
      <c r="E18" s="32"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32" t="str">
        <f>IFERROR(__xludf.DUMMYFUNCTION("""COMPUTED_VALUE"""),"Natural/Fail or Succeed")</f>
        <v>Natural/Fail or Succeed</v>
      </c>
      <c r="G18" s="32" t="str">
        <f>IFERROR(__xludf.DUMMYFUNCTION("""COMPUTED_VALUE"""),"Self")</f>
        <v>Self</v>
      </c>
      <c r="H18" s="32" t="str">
        <f>IFERROR(__xludf.DUMMYFUNCTION("""COMPUTED_VALUE"""),"Astral")</f>
        <v>Astral</v>
      </c>
      <c r="I18" s="32" t="str">
        <f>IFERROR(__xludf.DUMMYFUNCTION("""COMPUTED_VALUE"""),"Mob")</f>
        <v>Mob</v>
      </c>
      <c r="J18" s="32" t="b">
        <f>IFERROR(__xludf.DUMMYFUNCTION("""COMPUTED_VALUE"""),TRUE)</f>
        <v>1</v>
      </c>
      <c r="K18" s="32"/>
      <c r="L18" s="32" t="b">
        <f>IFERROR(__xludf.DUMMYFUNCTION("""COMPUTED_VALUE"""),FALSE)</f>
        <v>0</v>
      </c>
      <c r="M18" s="32" t="b">
        <f>IFERROR(__xludf.DUMMYFUNCTION("""COMPUTED_VALUE"""),FALSE)</f>
        <v>0</v>
      </c>
      <c r="N18" s="32"/>
    </row>
    <row r="19">
      <c r="A19" s="32" t="str">
        <f>IFERROR(__xludf.DUMMYFUNCTION("""COMPUTED_VALUE"""),"Planetary Meteor Storm")</f>
        <v>Planetary Meteor Storm</v>
      </c>
      <c r="B19" s="34">
        <f>IFERROR(__xludf.DUMMYFUNCTION("""COMPUTED_VALUE"""),9.0)</f>
        <v>9</v>
      </c>
      <c r="C19" s="32" t="str">
        <f>IFERROR(__xludf.DUMMYFUNCTION("""COMPUTED_VALUE"""),"X")</f>
        <v>X</v>
      </c>
      <c r="D19" s="32"/>
      <c r="E19" s="32" t="str">
        <f>IFERROR(__xludf.DUMMYFUNCTION("""COMPUTED_VALUE"""),"X*15 Astral damage and X*15 Light damage to all enemies.")</f>
        <v>X*15 Astral damage and X*15 Light damage to all enemies.</v>
      </c>
      <c r="F19" s="32" t="str">
        <f>IFERROR(__xludf.DUMMYFUNCTION("""COMPUTED_VALUE"""),"Cannot be avoided")</f>
        <v>Cannot be avoided</v>
      </c>
      <c r="G19" s="32"/>
      <c r="H19" s="32" t="str">
        <f>IFERROR(__xludf.DUMMYFUNCTION("""COMPUTED_VALUE"""),"Astral")</f>
        <v>Astral</v>
      </c>
      <c r="I19" s="32" t="str">
        <f>IFERROR(__xludf.DUMMYFUNCTION("""COMPUTED_VALUE"""),"Player")</f>
        <v>Player</v>
      </c>
      <c r="J19" s="32" t="b">
        <f>IFERROR(__xludf.DUMMYFUNCTION("""COMPUTED_VALUE"""),FALSE)</f>
        <v>0</v>
      </c>
      <c r="K19" s="32"/>
      <c r="L19" s="32" t="b">
        <f>IFERROR(__xludf.DUMMYFUNCTION("""COMPUTED_VALUE"""),FALSE)</f>
        <v>0</v>
      </c>
      <c r="M19" s="32" t="b">
        <f>IFERROR(__xludf.DUMMYFUNCTION("""COMPUTED_VALUE"""),FALSE)</f>
        <v>0</v>
      </c>
      <c r="N19" s="32"/>
    </row>
    <row r="20">
      <c r="A20" s="32" t="str">
        <f>IFERROR(__xludf.DUMMYFUNCTION("""COMPUTED_VALUE"""),"Protection of Stars.")</f>
        <v>Protection of Stars.</v>
      </c>
      <c r="B20" s="34">
        <f>IFERROR(__xludf.DUMMYFUNCTION("""COMPUTED_VALUE"""),4.0)</f>
        <v>4</v>
      </c>
      <c r="C20" s="32">
        <f>IFERROR(__xludf.DUMMYFUNCTION("""COMPUTED_VALUE"""),200.0)</f>
        <v>200</v>
      </c>
      <c r="D20" s="32"/>
      <c r="E20" s="32"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32" t="str">
        <f>IFERROR(__xludf.DUMMYFUNCTION("""COMPUTED_VALUE"""),"Fail/Succeed")</f>
        <v>Fail/Succeed</v>
      </c>
      <c r="G20" s="32"/>
      <c r="H20" s="32" t="str">
        <f>IFERROR(__xludf.DUMMYFUNCTION("""COMPUTED_VALUE"""),"Astral")</f>
        <v>Astral</v>
      </c>
      <c r="I20" s="32" t="str">
        <f>IFERROR(__xludf.DUMMYFUNCTION("""COMPUTED_VALUE"""),"Player")</f>
        <v>Player</v>
      </c>
      <c r="J20" s="32" t="b">
        <f>IFERROR(__xludf.DUMMYFUNCTION("""COMPUTED_VALUE"""),FALSE)</f>
        <v>0</v>
      </c>
      <c r="K20" s="32"/>
      <c r="L20" s="32" t="b">
        <f>IFERROR(__xludf.DUMMYFUNCTION("""COMPUTED_VALUE"""),FALSE)</f>
        <v>0</v>
      </c>
      <c r="M20" s="32" t="b">
        <f>IFERROR(__xludf.DUMMYFUNCTION("""COMPUTED_VALUE"""),FALSE)</f>
        <v>0</v>
      </c>
      <c r="N20" s="32"/>
    </row>
    <row r="21">
      <c r="A21" s="32" t="str">
        <f>IFERROR(__xludf.DUMMYFUNCTION("""COMPUTED_VALUE"""),"Star Storm")</f>
        <v>Star Storm</v>
      </c>
      <c r="B21" s="34">
        <f>IFERROR(__xludf.DUMMYFUNCTION("""COMPUTED_VALUE"""),1.0)</f>
        <v>1</v>
      </c>
      <c r="C21" s="32" t="str">
        <f>IFERROR(__xludf.DUMMYFUNCTION("""COMPUTED_VALUE"""),"X")</f>
        <v>X</v>
      </c>
      <c r="D21" s="32"/>
      <c r="E21" s="32"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32" t="str">
        <f>IFERROR(__xludf.DUMMYFUNCTION("""COMPUTED_VALUE"""),"Fail/Succeed")</f>
        <v>Fail/Succeed</v>
      </c>
      <c r="G21" s="32"/>
      <c r="H21" s="32" t="str">
        <f>IFERROR(__xludf.DUMMYFUNCTION("""COMPUTED_VALUE"""),"Astral")</f>
        <v>Astral</v>
      </c>
      <c r="I21" s="32" t="str">
        <f>IFERROR(__xludf.DUMMYFUNCTION("""COMPUTED_VALUE"""),"Player")</f>
        <v>Player</v>
      </c>
      <c r="J21" s="32" t="b">
        <f>IFERROR(__xludf.DUMMYFUNCTION("""COMPUTED_VALUE"""),FALSE)</f>
        <v>0</v>
      </c>
      <c r="K21" s="32"/>
      <c r="L21" s="32" t="b">
        <f>IFERROR(__xludf.DUMMYFUNCTION("""COMPUTED_VALUE"""),FALSE)</f>
        <v>0</v>
      </c>
      <c r="M21" s="32" t="b">
        <f>IFERROR(__xludf.DUMMYFUNCTION("""COMPUTED_VALUE"""),FALSE)</f>
        <v>0</v>
      </c>
      <c r="N21" s="32"/>
    </row>
    <row r="22">
      <c r="A22" s="32" t="str">
        <f>IFERROR(__xludf.DUMMYFUNCTION("""COMPUTED_VALUE"""),"Sunny Day")</f>
        <v>Sunny Day</v>
      </c>
      <c r="B22" s="34">
        <f>IFERROR(__xludf.DUMMYFUNCTION("""COMPUTED_VALUE"""),9.0)</f>
        <v>9</v>
      </c>
      <c r="C22" s="33">
        <f>IFERROR(__xludf.DUMMYFUNCTION("""COMPUTED_VALUE"""),20000.0)</f>
        <v>20000</v>
      </c>
      <c r="D22" s="32"/>
      <c r="E22" s="32"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32" t="str">
        <f>IFERROR(__xludf.DUMMYFUNCTION("""COMPUTED_VALUE"""),"Fail/Succeed")</f>
        <v>Fail/Succeed</v>
      </c>
      <c r="G22" s="32"/>
      <c r="H22" s="32" t="str">
        <f>IFERROR(__xludf.DUMMYFUNCTION("""COMPUTED_VALUE"""),"Astral")</f>
        <v>Astral</v>
      </c>
      <c r="I22" s="32" t="str">
        <f>IFERROR(__xludf.DUMMYFUNCTION("""COMPUTED_VALUE"""),"Player")</f>
        <v>Player</v>
      </c>
      <c r="J22" s="32" t="b">
        <f>IFERROR(__xludf.DUMMYFUNCTION("""COMPUTED_VALUE"""),FALSE)</f>
        <v>0</v>
      </c>
      <c r="K22" s="32"/>
      <c r="L22" s="32" t="b">
        <f>IFERROR(__xludf.DUMMYFUNCTION("""COMPUTED_VALUE"""),FALSE)</f>
        <v>0</v>
      </c>
      <c r="M22" s="32" t="b">
        <f>IFERROR(__xludf.DUMMYFUNCTION("""COMPUTED_VALUE"""),FALSE)</f>
        <v>0</v>
      </c>
      <c r="N22" s="32"/>
    </row>
    <row r="23">
      <c r="A23" s="32" t="str">
        <f>IFERROR(__xludf.DUMMYFUNCTION("""COMPUTED_VALUE"""),"Tower of The Universe")</f>
        <v>Tower of The Universe</v>
      </c>
      <c r="B23" s="34">
        <f>IFERROR(__xludf.DUMMYFUNCTION("""COMPUTED_VALUE"""),8.0)</f>
        <v>8</v>
      </c>
      <c r="C23" s="32">
        <f>IFERROR(__xludf.DUMMYFUNCTION("""COMPUTED_VALUE"""),1200.0)</f>
        <v>1200</v>
      </c>
      <c r="D23" s="32"/>
      <c r="E23" s="32"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32" t="str">
        <f>IFERROR(__xludf.DUMMYFUNCTION("""COMPUTED_VALUE"""),"Hit/miss")</f>
        <v>Hit/miss</v>
      </c>
      <c r="G23" s="32">
        <f>IFERROR(__xludf.DUMMYFUNCTION("""COMPUTED_VALUE"""),1.0)</f>
        <v>1</v>
      </c>
      <c r="H23" s="32" t="str">
        <f>IFERROR(__xludf.DUMMYFUNCTION("""COMPUTED_VALUE"""),"Astral")</f>
        <v>Astral</v>
      </c>
      <c r="I23" s="32" t="str">
        <f>IFERROR(__xludf.DUMMYFUNCTION("""COMPUTED_VALUE"""),"Player")</f>
        <v>Player</v>
      </c>
      <c r="J23" s="32" t="b">
        <f>IFERROR(__xludf.DUMMYFUNCTION("""COMPUTED_VALUE"""),FALSE)</f>
        <v>0</v>
      </c>
      <c r="K23" s="32"/>
      <c r="L23" s="32" t="b">
        <f>IFERROR(__xludf.DUMMYFUNCTION("""COMPUTED_VALUE"""),FALSE)</f>
        <v>0</v>
      </c>
      <c r="M23" s="32" t="b">
        <f>IFERROR(__xludf.DUMMYFUNCTION("""COMPUTED_VALUE"""),FALSE)</f>
        <v>0</v>
      </c>
      <c r="N23" s="32"/>
    </row>
    <row r="24">
      <c r="A24" s="32" t="str">
        <f>IFERROR(__xludf.DUMMYFUNCTION("""COMPUTED_VALUE"""),"Inferno Sun")</f>
        <v>Inferno Sun</v>
      </c>
      <c r="B24" s="34">
        <f>IFERROR(__xludf.DUMMYFUNCTION("""COMPUTED_VALUE"""),9.0)</f>
        <v>9</v>
      </c>
      <c r="C24" s="33">
        <f>IFERROR(__xludf.DUMMYFUNCTION("""COMPUTED_VALUE"""),5000.0)</f>
        <v>5000</v>
      </c>
      <c r="D24" s="32"/>
      <c r="E24" s="32"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32" t="str">
        <f>IFERROR(__xludf.DUMMYFUNCTION("""COMPUTED_VALUE"""),"Cannot Avoid")</f>
        <v>Cannot Avoid</v>
      </c>
      <c r="G24" s="32" t="str">
        <f>IFERROR(__xludf.DUMMYFUNCTION("""COMPUTED_VALUE"""),"All")</f>
        <v>All</v>
      </c>
      <c r="H24" s="32" t="str">
        <f>IFERROR(__xludf.DUMMYFUNCTION("""COMPUTED_VALUE"""),"Astral")</f>
        <v>Astral</v>
      </c>
      <c r="I24" s="32" t="str">
        <f>IFERROR(__xludf.DUMMYFUNCTION("""COMPUTED_VALUE"""),"Mob")</f>
        <v>Mob</v>
      </c>
      <c r="J24" s="32" t="b">
        <f>IFERROR(__xludf.DUMMYFUNCTION("""COMPUTED_VALUE"""),TRUE)</f>
        <v>1</v>
      </c>
      <c r="K24" s="32" t="str">
        <f>IFERROR(__xludf.DUMMYFUNCTION("""COMPUTED_VALUE"""),"Mob spell")</f>
        <v>Mob spell</v>
      </c>
      <c r="L24" s="32" t="b">
        <f>IFERROR(__xludf.DUMMYFUNCTION("""COMPUTED_VALUE"""),FALSE)</f>
        <v>0</v>
      </c>
      <c r="M24" s="32" t="b">
        <f>IFERROR(__xludf.DUMMYFUNCTION("""COMPUTED_VALUE"""),FALSE)</f>
        <v>0</v>
      </c>
      <c r="N24" s="32"/>
    </row>
    <row r="25">
      <c r="A25" s="32" t="str">
        <f>IFERROR(__xludf.DUMMYFUNCTION("""COMPUTED_VALUE"""),"Sunlight Regen")</f>
        <v>Sunlight Regen</v>
      </c>
      <c r="B25" s="34">
        <f>IFERROR(__xludf.DUMMYFUNCTION("""COMPUTED_VALUE"""),9.0)</f>
        <v>9</v>
      </c>
      <c r="C25" s="33">
        <f>IFERROR(__xludf.DUMMYFUNCTION("""COMPUTED_VALUE"""),900.0)</f>
        <v>900</v>
      </c>
      <c r="D25" s="32"/>
      <c r="E25" s="32"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32" t="str">
        <f>IFERROR(__xludf.DUMMYFUNCTION("""COMPUTED_VALUE"""),"Will Succeed")</f>
        <v>Will Succeed</v>
      </c>
      <c r="G25" s="32" t="str">
        <f>IFERROR(__xludf.DUMMYFUNCTION("""COMPUTED_VALUE"""),"Self")</f>
        <v>Self</v>
      </c>
      <c r="H25" s="32" t="str">
        <f>IFERROR(__xludf.DUMMYFUNCTION("""COMPUTED_VALUE"""),"Astral")</f>
        <v>Astral</v>
      </c>
      <c r="I25" s="32" t="str">
        <f>IFERROR(__xludf.DUMMYFUNCTION("""COMPUTED_VALUE"""),"Player")</f>
        <v>Player</v>
      </c>
      <c r="J25" s="32" t="b">
        <f>IFERROR(__xludf.DUMMYFUNCTION("""COMPUTED_VALUE"""),TRUE)</f>
        <v>1</v>
      </c>
      <c r="K25" s="32" t="str">
        <f>IFERROR(__xludf.DUMMYFUNCTION("""COMPUTED_VALUE"""),"shop spell")</f>
        <v>shop spell</v>
      </c>
      <c r="L25" s="32" t="b">
        <f>IFERROR(__xludf.DUMMYFUNCTION("""COMPUTED_VALUE"""),FALSE)</f>
        <v>0</v>
      </c>
      <c r="M25" s="32" t="b">
        <f>IFERROR(__xludf.DUMMYFUNCTION("""COMPUTED_VALUE"""),FALSE)</f>
        <v>0</v>
      </c>
      <c r="N25" s="32"/>
    </row>
    <row r="26">
      <c r="A26" s="32" t="str">
        <f>IFERROR(__xludf.DUMMYFUNCTION("""COMPUTED_VALUE"""),"Moon Slam")</f>
        <v>Moon Slam</v>
      </c>
      <c r="B26" s="34">
        <f>IFERROR(__xludf.DUMMYFUNCTION("""COMPUTED_VALUE"""),9.0)</f>
        <v>9</v>
      </c>
      <c r="C26" s="32">
        <f>IFERROR(__xludf.DUMMYFUNCTION("""COMPUTED_VALUE"""),80000.0)</f>
        <v>80000</v>
      </c>
      <c r="D26" s="32"/>
      <c r="E26" s="32"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32" t="str">
        <f>IFERROR(__xludf.DUMMYFUNCTION("""COMPUTED_VALUE"""),"Cannot Avoid")</f>
        <v>Cannot Avoid</v>
      </c>
      <c r="G26" s="32" t="str">
        <f>IFERROR(__xludf.DUMMYFUNCTION("""COMPUTED_VALUE"""),"All")</f>
        <v>All</v>
      </c>
      <c r="H26" s="32" t="str">
        <f>IFERROR(__xludf.DUMMYFUNCTION("""COMPUTED_VALUE"""),"Astral")</f>
        <v>Astral</v>
      </c>
      <c r="I26" s="32" t="str">
        <f>IFERROR(__xludf.DUMMYFUNCTION("""COMPUTED_VALUE"""),"Mob")</f>
        <v>Mob</v>
      </c>
      <c r="J26" s="32" t="b">
        <f>IFERROR(__xludf.DUMMYFUNCTION("""COMPUTED_VALUE"""),TRUE)</f>
        <v>1</v>
      </c>
      <c r="K26" s="32" t="str">
        <f>IFERROR(__xludf.DUMMYFUNCTION("""COMPUTED_VALUE"""),"mob power")</f>
        <v>mob power</v>
      </c>
      <c r="L26" s="32" t="b">
        <f>IFERROR(__xludf.DUMMYFUNCTION("""COMPUTED_VALUE"""),FALSE)</f>
        <v>0</v>
      </c>
      <c r="M26" s="32" t="b">
        <f>IFERROR(__xludf.DUMMYFUNCTION("""COMPUTED_VALUE"""),TRUE)</f>
        <v>1</v>
      </c>
      <c r="N26" s="32"/>
    </row>
    <row r="27">
      <c r="A27" s="32" t="str">
        <f>IFERROR(__xludf.DUMMYFUNCTION("""COMPUTED_VALUE"""),"Moon Beam")</f>
        <v>Moon Beam</v>
      </c>
      <c r="B27" s="34">
        <f>IFERROR(__xludf.DUMMYFUNCTION("""COMPUTED_VALUE"""),9.0)</f>
        <v>9</v>
      </c>
      <c r="C27" s="32">
        <f>IFERROR(__xludf.DUMMYFUNCTION("""COMPUTED_VALUE"""),200.0)</f>
        <v>200</v>
      </c>
      <c r="D27" s="32"/>
      <c r="E27" s="32"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32" t="str">
        <f>IFERROR(__xludf.DUMMYFUNCTION("""COMPUTED_VALUE"""),"Hit/Miss")</f>
        <v>Hit/Miss</v>
      </c>
      <c r="G27" s="32">
        <f>IFERROR(__xludf.DUMMYFUNCTION("""COMPUTED_VALUE"""),1.0)</f>
        <v>1</v>
      </c>
      <c r="H27" s="32" t="str">
        <f>IFERROR(__xludf.DUMMYFUNCTION("""COMPUTED_VALUE"""),"Astral")</f>
        <v>Astral</v>
      </c>
      <c r="I27" s="32" t="str">
        <f>IFERROR(__xludf.DUMMYFUNCTION("""COMPUTED_VALUE"""),"Player")</f>
        <v>Player</v>
      </c>
      <c r="J27" s="32" t="b">
        <f>IFERROR(__xludf.DUMMYFUNCTION("""COMPUTED_VALUE"""),FALSE)</f>
        <v>0</v>
      </c>
      <c r="K27" s="32"/>
      <c r="L27" s="32" t="b">
        <f>IFERROR(__xludf.DUMMYFUNCTION("""COMPUTED_VALUE"""),FALSE)</f>
        <v>0</v>
      </c>
      <c r="M27" s="32" t="b">
        <f>IFERROR(__xludf.DUMMYFUNCTION("""COMPUTED_VALUE"""),FALSE)</f>
        <v>0</v>
      </c>
      <c r="N27" s="32"/>
    </row>
    <row r="28">
      <c r="A28" s="32" t="str">
        <f>IFERROR(__xludf.DUMMYFUNCTION("""COMPUTED_VALUE"""),"Moonlight")</f>
        <v>Moonlight</v>
      </c>
      <c r="B28" s="34">
        <f>IFERROR(__xludf.DUMMYFUNCTION("""COMPUTED_VALUE"""),7.0)</f>
        <v>7</v>
      </c>
      <c r="C28" s="32">
        <f>IFERROR(__xludf.DUMMYFUNCTION("""COMPUTED_VALUE"""),250.0)</f>
        <v>250</v>
      </c>
      <c r="D28" s="32"/>
      <c r="E28" s="32"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32" t="str">
        <f>IFERROR(__xludf.DUMMYFUNCTION("""COMPUTED_VALUE"""),"Fail/Succeed")</f>
        <v>Fail/Succeed</v>
      </c>
      <c r="G28" s="32" t="str">
        <f>IFERROR(__xludf.DUMMYFUNCTION("""COMPUTED_VALUE"""),"All")</f>
        <v>All</v>
      </c>
      <c r="H28" s="32" t="str">
        <f>IFERROR(__xludf.DUMMYFUNCTION("""COMPUTED_VALUE"""),"Astral")</f>
        <v>Astral</v>
      </c>
      <c r="I28" s="32" t="str">
        <f>IFERROR(__xludf.DUMMYFUNCTION("""COMPUTED_VALUE"""),"Mob")</f>
        <v>Mob</v>
      </c>
      <c r="J28" s="32" t="b">
        <f>IFERROR(__xludf.DUMMYFUNCTION("""COMPUTED_VALUE"""),TRUE)</f>
        <v>1</v>
      </c>
      <c r="K28" s="32" t="str">
        <f>IFERROR(__xludf.DUMMYFUNCTION("""COMPUTED_VALUE"""),"(Obtained From Quest)")</f>
        <v>(Obtained From Quest)</v>
      </c>
      <c r="L28" s="32" t="b">
        <f>IFERROR(__xludf.DUMMYFUNCTION("""COMPUTED_VALUE"""),FALSE)</f>
        <v>0</v>
      </c>
      <c r="M28" s="32" t="b">
        <f>IFERROR(__xludf.DUMMYFUNCTION("""COMPUTED_VALUE"""),FALSE)</f>
        <v>0</v>
      </c>
      <c r="N28" s="32"/>
    </row>
    <row r="29">
      <c r="A29" s="32" t="str">
        <f>IFERROR(__xludf.DUMMYFUNCTION("""COMPUTED_VALUE"""),"Moonlight Regen")</f>
        <v>Moonlight Regen</v>
      </c>
      <c r="B29" s="34">
        <f>IFERROR(__xludf.DUMMYFUNCTION("""COMPUTED_VALUE"""),9.0)</f>
        <v>9</v>
      </c>
      <c r="C29" s="32">
        <f>IFERROR(__xludf.DUMMYFUNCTION("""COMPUTED_VALUE"""),400.0)</f>
        <v>400</v>
      </c>
      <c r="D29" s="32"/>
      <c r="E29" s="32"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32" t="str">
        <f>IFERROR(__xludf.DUMMYFUNCTION("""COMPUTED_VALUE"""),"Fail/Succeed")</f>
        <v>Fail/Succeed</v>
      </c>
      <c r="G29" s="32" t="str">
        <f>IFERROR(__xludf.DUMMYFUNCTION("""COMPUTED_VALUE"""),"All")</f>
        <v>All</v>
      </c>
      <c r="H29" s="32" t="str">
        <f>IFERROR(__xludf.DUMMYFUNCTION("""COMPUTED_VALUE"""),"Astral")</f>
        <v>Astral</v>
      </c>
      <c r="I29" s="32" t="str">
        <f>IFERROR(__xludf.DUMMYFUNCTION("""COMPUTED_VALUE"""),"Player")</f>
        <v>Player</v>
      </c>
      <c r="J29" s="32" t="b">
        <f>IFERROR(__xludf.DUMMYFUNCTION("""COMPUTED_VALUE"""),FALSE)</f>
        <v>0</v>
      </c>
      <c r="K29" s="32"/>
      <c r="L29" s="32" t="b">
        <f>IFERROR(__xludf.DUMMYFUNCTION("""COMPUTED_VALUE"""),FALSE)</f>
        <v>0</v>
      </c>
      <c r="M29" s="32" t="b">
        <f>IFERROR(__xludf.DUMMYFUNCTION("""COMPUTED_VALUE"""),FALSE)</f>
        <v>0</v>
      </c>
      <c r="N29" s="32"/>
    </row>
    <row r="30">
      <c r="A30" s="32" t="str">
        <f>IFERROR(__xludf.DUMMYFUNCTION("""COMPUTED_VALUE"""),"Sun Slam")</f>
        <v>Sun Slam</v>
      </c>
      <c r="B30" s="34">
        <f>IFERROR(__xludf.DUMMYFUNCTION("""COMPUTED_VALUE"""),9.0)</f>
        <v>9</v>
      </c>
      <c r="C30" s="32">
        <f>IFERROR(__xludf.DUMMYFUNCTION("""COMPUTED_VALUE"""),80000.0)</f>
        <v>80000</v>
      </c>
      <c r="D30" s="32"/>
      <c r="E30" s="32"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32" t="str">
        <f>IFERROR(__xludf.DUMMYFUNCTION("""COMPUTED_VALUE"""),"Cannot Avoid")</f>
        <v>Cannot Avoid</v>
      </c>
      <c r="G30" s="32" t="str">
        <f>IFERROR(__xludf.DUMMYFUNCTION("""COMPUTED_VALUE"""),"All")</f>
        <v>All</v>
      </c>
      <c r="H30" s="32" t="str">
        <f>IFERROR(__xludf.DUMMYFUNCTION("""COMPUTED_VALUE"""),"Astral")</f>
        <v>Astral</v>
      </c>
      <c r="I30" s="32" t="str">
        <f>IFERROR(__xludf.DUMMYFUNCTION("""COMPUTED_VALUE"""),"Mob")</f>
        <v>Mob</v>
      </c>
      <c r="J30" s="32" t="b">
        <f>IFERROR(__xludf.DUMMYFUNCTION("""COMPUTED_VALUE"""),TRUE)</f>
        <v>1</v>
      </c>
      <c r="K30" s="32" t="str">
        <f>IFERROR(__xludf.DUMMYFUNCTION("""COMPUTED_VALUE"""),"mob power")</f>
        <v>mob power</v>
      </c>
      <c r="L30" s="32" t="b">
        <f>IFERROR(__xludf.DUMMYFUNCTION("""COMPUTED_VALUE"""),FALSE)</f>
        <v>0</v>
      </c>
      <c r="M30" s="32" t="b">
        <f>IFERROR(__xludf.DUMMYFUNCTION("""COMPUTED_VALUE"""),TRUE)</f>
        <v>1</v>
      </c>
      <c r="N30" s="32"/>
    </row>
    <row r="31">
      <c r="A31" s="32" t="str">
        <f>IFERROR(__xludf.DUMMYFUNCTION("""COMPUTED_VALUE"""),"Solar Eclipse")</f>
        <v>Solar Eclipse</v>
      </c>
      <c r="B31" s="34">
        <f>IFERROR(__xludf.DUMMYFUNCTION("""COMPUTED_VALUE"""),9.0)</f>
        <v>9</v>
      </c>
      <c r="C31" s="33">
        <f>IFERROR(__xludf.DUMMYFUNCTION("""COMPUTED_VALUE"""),600000.0)</f>
        <v>600000</v>
      </c>
      <c r="D31" s="32"/>
      <c r="E31" s="32"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32" t="str">
        <f>IFERROR(__xludf.DUMMYFUNCTION("""COMPUTED_VALUE"""),"Cannot Avoid")</f>
        <v>Cannot Avoid</v>
      </c>
      <c r="G31" s="32"/>
      <c r="H31" s="32" t="str">
        <f>IFERROR(__xludf.DUMMYFUNCTION("""COMPUTED_VALUE"""),"Astral")</f>
        <v>Astral</v>
      </c>
      <c r="I31" s="32" t="str">
        <f>IFERROR(__xludf.DUMMYFUNCTION("""COMPUTED_VALUE"""),"Mob")</f>
        <v>Mob</v>
      </c>
      <c r="J31" s="32" t="b">
        <f>IFERROR(__xludf.DUMMYFUNCTION("""COMPUTED_VALUE"""),TRUE)</f>
        <v>1</v>
      </c>
      <c r="K31" s="32" t="str">
        <f>IFERROR(__xludf.DUMMYFUNCTION("""COMPUTED_VALUE"""),"mob power")</f>
        <v>mob power</v>
      </c>
      <c r="L31" s="32" t="b">
        <f>IFERROR(__xludf.DUMMYFUNCTION("""COMPUTED_VALUE"""),FALSE)</f>
        <v>0</v>
      </c>
      <c r="M31" s="32" t="b">
        <f>IFERROR(__xludf.DUMMYFUNCTION("""COMPUTED_VALUE"""),TRUE)</f>
        <v>1</v>
      </c>
      <c r="N31" s="32"/>
    </row>
    <row r="32">
      <c r="A32" s="32" t="str">
        <f>IFERROR(__xludf.DUMMYFUNCTION("""COMPUTED_VALUE"""),"A Worthy Sacrifice")</f>
        <v>A Worthy Sacrifice</v>
      </c>
      <c r="B32" s="34">
        <f>IFERROR(__xludf.DUMMYFUNCTION("""COMPUTED_VALUE"""),9.0)</f>
        <v>9</v>
      </c>
      <c r="C32" s="32"/>
      <c r="D32" s="32" t="str">
        <f>IFERROR(__xludf.DUMMYFUNCTION("""COMPUTED_VALUE"""),"All")</f>
        <v>All</v>
      </c>
      <c r="E32" s="32" t="str">
        <f>IFERROR(__xludf.DUMMYFUNCTION("""COMPUTED_VALUE"""),"Revive all allies by completely depleting your own hp, Cannot resist or be immune to.")</f>
        <v>Revive all allies by completely depleting your own hp, Cannot resist or be immune to.</v>
      </c>
      <c r="F32" s="32" t="str">
        <f>IFERROR(__xludf.DUMMYFUNCTION("""COMPUTED_VALUE"""),"Will Succeed")</f>
        <v>Will Succeed</v>
      </c>
      <c r="G32" s="32"/>
      <c r="H32" s="32" t="str">
        <f>IFERROR(__xludf.DUMMYFUNCTION("""COMPUTED_VALUE"""),"Blood")</f>
        <v>Blood</v>
      </c>
      <c r="I32" s="32" t="str">
        <f>IFERROR(__xludf.DUMMYFUNCTION("""COMPUTED_VALUE"""),"Player")</f>
        <v>Player</v>
      </c>
      <c r="J32" s="32" t="b">
        <f>IFERROR(__xludf.DUMMYFUNCTION("""COMPUTED_VALUE"""),FALSE)</f>
        <v>0</v>
      </c>
      <c r="K32" s="32"/>
      <c r="L32" s="32" t="b">
        <f>IFERROR(__xludf.DUMMYFUNCTION("""COMPUTED_VALUE"""),TRUE)</f>
        <v>1</v>
      </c>
      <c r="M32" s="32" t="b">
        <f>IFERROR(__xludf.DUMMYFUNCTION("""COMPUTED_VALUE"""),FALSE)</f>
        <v>0</v>
      </c>
      <c r="N32" s="32"/>
    </row>
    <row r="33">
      <c r="A33" s="32" t="str">
        <f>IFERROR(__xludf.DUMMYFUNCTION("""COMPUTED_VALUE"""),"Absorbing Blood")</f>
        <v>Absorbing Blood</v>
      </c>
      <c r="B33" s="34">
        <f>IFERROR(__xludf.DUMMYFUNCTION("""COMPUTED_VALUE"""),9.0)</f>
        <v>9</v>
      </c>
      <c r="C33" s="32"/>
      <c r="D33" s="32">
        <f>IFERROR(__xludf.DUMMYFUNCTION("""COMPUTED_VALUE"""),300.0)</f>
        <v>300</v>
      </c>
      <c r="E33" s="32"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32" t="str">
        <f>IFERROR(__xludf.DUMMYFUNCTION("""COMPUTED_VALUE"""),"Hit/Miss")</f>
        <v>Hit/Miss</v>
      </c>
      <c r="G33" s="32">
        <f>IFERROR(__xludf.DUMMYFUNCTION("""COMPUTED_VALUE"""),1.0)</f>
        <v>1</v>
      </c>
      <c r="H33" s="32" t="str">
        <f>IFERROR(__xludf.DUMMYFUNCTION("""COMPUTED_VALUE"""),"Blood")</f>
        <v>Blood</v>
      </c>
      <c r="I33" s="32" t="str">
        <f>IFERROR(__xludf.DUMMYFUNCTION("""COMPUTED_VALUE"""),"Player")</f>
        <v>Player</v>
      </c>
      <c r="J33" s="32" t="b">
        <f>IFERROR(__xludf.DUMMYFUNCTION("""COMPUTED_VALUE"""),FALSE)</f>
        <v>0</v>
      </c>
      <c r="K33" s="32"/>
      <c r="L33" s="32" t="b">
        <f>IFERROR(__xludf.DUMMYFUNCTION("""COMPUTED_VALUE"""),TRUE)</f>
        <v>1</v>
      </c>
      <c r="M33" s="32" t="b">
        <f>IFERROR(__xludf.DUMMYFUNCTION("""COMPUTED_VALUE"""),FALSE)</f>
        <v>0</v>
      </c>
      <c r="N33" s="32"/>
    </row>
    <row r="34">
      <c r="A34" s="32" t="str">
        <f>IFERROR(__xludf.DUMMYFUNCTION("""COMPUTED_VALUE"""),"Bleeding Catastrophe")</f>
        <v>Bleeding Catastrophe</v>
      </c>
      <c r="B34" s="34">
        <f>IFERROR(__xludf.DUMMYFUNCTION("""COMPUTED_VALUE"""),9.0)</f>
        <v>9</v>
      </c>
      <c r="C34" s="32"/>
      <c r="D34" s="32">
        <f>IFERROR(__xludf.DUMMYFUNCTION("""COMPUTED_VALUE"""),300.0)</f>
        <v>300</v>
      </c>
      <c r="E34" s="32" t="str">
        <f>IFERROR(__xludf.DUMMYFUNCTION("""COMPUTED_VALUE"""),"An equipped weapon will deal an additional X2 bleeding damage per round for 3 rounds.")</f>
        <v>An equipped weapon will deal an additional X2 bleeding damage per round for 3 rounds.</v>
      </c>
      <c r="F34" s="32" t="str">
        <f>IFERROR(__xludf.DUMMYFUNCTION("""COMPUTED_VALUE"""),"Will Succeed")</f>
        <v>Will Succeed</v>
      </c>
      <c r="G34" s="32"/>
      <c r="H34" s="32" t="str">
        <f>IFERROR(__xludf.DUMMYFUNCTION("""COMPUTED_VALUE"""),"Blood")</f>
        <v>Blood</v>
      </c>
      <c r="I34" s="32" t="str">
        <f>IFERROR(__xludf.DUMMYFUNCTION("""COMPUTED_VALUE"""),"Player")</f>
        <v>Player</v>
      </c>
      <c r="J34" s="32" t="b">
        <f>IFERROR(__xludf.DUMMYFUNCTION("""COMPUTED_VALUE"""),FALSE)</f>
        <v>0</v>
      </c>
      <c r="K34" s="32"/>
      <c r="L34" s="32" t="b">
        <f>IFERROR(__xludf.DUMMYFUNCTION("""COMPUTED_VALUE"""),TRUE)</f>
        <v>1</v>
      </c>
      <c r="M34" s="32" t="b">
        <f>IFERROR(__xludf.DUMMYFUNCTION("""COMPUTED_VALUE"""),FALSE)</f>
        <v>0</v>
      </c>
      <c r="N34" s="32"/>
    </row>
    <row r="35">
      <c r="A35" s="32" t="str">
        <f>IFERROR(__xludf.DUMMYFUNCTION("""COMPUTED_VALUE"""),"Blood Barrage")</f>
        <v>Blood Barrage</v>
      </c>
      <c r="B35" s="34">
        <f>IFERROR(__xludf.DUMMYFUNCTION("""COMPUTED_VALUE"""),6.0)</f>
        <v>6</v>
      </c>
      <c r="C35" s="32"/>
      <c r="D35" s="32" t="str">
        <f>IFERROR(__xludf.DUMMYFUNCTION("""COMPUTED_VALUE"""),"1d20*10")</f>
        <v>1d20*10</v>
      </c>
      <c r="E35" s="32" t="str">
        <f>IFERROR(__xludf.DUMMYFUNCTION("""COMPUTED_VALUE"""),"Drains 1d20*1000 HP.")</f>
        <v>Drains 1d20*1000 HP.</v>
      </c>
      <c r="F35" s="32" t="str">
        <f>IFERROR(__xludf.DUMMYFUNCTION("""COMPUTED_VALUE"""),"Hit/Miss")</f>
        <v>Hit/Miss</v>
      </c>
      <c r="G35" s="32">
        <f>IFERROR(__xludf.DUMMYFUNCTION("""COMPUTED_VALUE"""),1.0)</f>
        <v>1</v>
      </c>
      <c r="H35" s="32" t="str">
        <f>IFERROR(__xludf.DUMMYFUNCTION("""COMPUTED_VALUE"""),"Blood")</f>
        <v>Blood</v>
      </c>
      <c r="I35" s="32" t="str">
        <f>IFERROR(__xludf.DUMMYFUNCTION("""COMPUTED_VALUE"""),"Player")</f>
        <v>Player</v>
      </c>
      <c r="J35" s="32" t="b">
        <f>IFERROR(__xludf.DUMMYFUNCTION("""COMPUTED_VALUE"""),FALSE)</f>
        <v>0</v>
      </c>
      <c r="K35" s="32"/>
      <c r="L35" s="32" t="b">
        <f>IFERROR(__xludf.DUMMYFUNCTION("""COMPUTED_VALUE"""),TRUE)</f>
        <v>1</v>
      </c>
      <c r="M35" s="32" t="b">
        <f>IFERROR(__xludf.DUMMYFUNCTION("""COMPUTED_VALUE"""),FALSE)</f>
        <v>0</v>
      </c>
      <c r="N35" s="32"/>
    </row>
    <row r="36">
      <c r="A36" s="32" t="str">
        <f>IFERROR(__xludf.DUMMYFUNCTION("""COMPUTED_VALUE"""),"Blood Fire")</f>
        <v>Blood Fire</v>
      </c>
      <c r="B36" s="34">
        <f>IFERROR(__xludf.DUMMYFUNCTION("""COMPUTED_VALUE"""),5.0)</f>
        <v>5</v>
      </c>
      <c r="C36" s="32"/>
      <c r="D36" s="32" t="str">
        <f>IFERROR(__xludf.DUMMYFUNCTION("""COMPUTED_VALUE"""),"X")</f>
        <v>X</v>
      </c>
      <c r="E36" s="32" t="str">
        <f>IFERROR(__xludf.DUMMYFUNCTION("""COMPUTED_VALUE"""),"X*50 Blood and X*50 Fire Damage where X is equal to HP spent.")</f>
        <v>X*50 Blood and X*50 Fire Damage where X is equal to HP spent.</v>
      </c>
      <c r="F36" s="32" t="str">
        <f>IFERROR(__xludf.DUMMYFUNCTION("""COMPUTED_VALUE"""),"Hit/Miss")</f>
        <v>Hit/Miss</v>
      </c>
      <c r="G36" s="32">
        <f>IFERROR(__xludf.DUMMYFUNCTION("""COMPUTED_VALUE"""),1.0)</f>
        <v>1</v>
      </c>
      <c r="H36" s="32" t="str">
        <f>IFERROR(__xludf.DUMMYFUNCTION("""COMPUTED_VALUE"""),"Blood")</f>
        <v>Blood</v>
      </c>
      <c r="I36" s="32" t="str">
        <f>IFERROR(__xludf.DUMMYFUNCTION("""COMPUTED_VALUE"""),"Player")</f>
        <v>Player</v>
      </c>
      <c r="J36" s="32" t="b">
        <f>IFERROR(__xludf.DUMMYFUNCTION("""COMPUTED_VALUE"""),FALSE)</f>
        <v>0</v>
      </c>
      <c r="K36" s="32"/>
      <c r="L36" s="32" t="b">
        <f>IFERROR(__xludf.DUMMYFUNCTION("""COMPUTED_VALUE"""),TRUE)</f>
        <v>1</v>
      </c>
      <c r="M36" s="32" t="b">
        <f>IFERROR(__xludf.DUMMYFUNCTION("""COMPUTED_VALUE"""),FALSE)</f>
        <v>0</v>
      </c>
      <c r="N36" s="32"/>
    </row>
    <row r="37">
      <c r="A37" s="32" t="str">
        <f>IFERROR(__xludf.DUMMYFUNCTION("""COMPUTED_VALUE"""),"Blood Geyser")</f>
        <v>Blood Geyser</v>
      </c>
      <c r="B37" s="34">
        <f>IFERROR(__xludf.DUMMYFUNCTION("""COMPUTED_VALUE"""),7.0)</f>
        <v>7</v>
      </c>
      <c r="C37" s="32"/>
      <c r="D37" s="32">
        <f>IFERROR(__xludf.DUMMYFUNCTION("""COMPUTED_VALUE"""),600.0)</f>
        <v>600</v>
      </c>
      <c r="E37" s="32"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32" t="str">
        <f>IFERROR(__xludf.DUMMYFUNCTION("""COMPUTED_VALUE"""),"Cannot Avoid")</f>
        <v>Cannot Avoid</v>
      </c>
      <c r="G37" s="32"/>
      <c r="H37" s="32" t="str">
        <f>IFERROR(__xludf.DUMMYFUNCTION("""COMPUTED_VALUE"""),"Blood")</f>
        <v>Blood</v>
      </c>
      <c r="I37" s="32" t="str">
        <f>IFERROR(__xludf.DUMMYFUNCTION("""COMPUTED_VALUE"""),"Player")</f>
        <v>Player</v>
      </c>
      <c r="J37" s="32" t="b">
        <f>IFERROR(__xludf.DUMMYFUNCTION("""COMPUTED_VALUE"""),FALSE)</f>
        <v>0</v>
      </c>
      <c r="K37" s="32"/>
      <c r="L37" s="32" t="b">
        <f>IFERROR(__xludf.DUMMYFUNCTION("""COMPUTED_VALUE"""),TRUE)</f>
        <v>1</v>
      </c>
      <c r="M37" s="32" t="b">
        <f>IFERROR(__xludf.DUMMYFUNCTION("""COMPUTED_VALUE"""),FALSE)</f>
        <v>0</v>
      </c>
      <c r="N37" s="32"/>
    </row>
    <row r="38">
      <c r="A38" s="32" t="str">
        <f>IFERROR(__xludf.DUMMYFUNCTION("""COMPUTED_VALUE"""),"Blood Rejuvenation")</f>
        <v>Blood Rejuvenation</v>
      </c>
      <c r="B38" s="34">
        <f>IFERROR(__xludf.DUMMYFUNCTION("""COMPUTED_VALUE"""),5.0)</f>
        <v>5</v>
      </c>
      <c r="C38" s="32"/>
      <c r="D38" s="32" t="str">
        <f>IFERROR(__xludf.DUMMYFUNCTION("""COMPUTED_VALUE"""),"X")</f>
        <v>X</v>
      </c>
      <c r="E38" s="32" t="str">
        <f>IFERROR(__xludf.DUMMYFUNCTION("""COMPUTED_VALUE"""),"Restores X*50 HP to target for 3 rounds. Cannot be used on self")</f>
        <v>Restores X*50 HP to target for 3 rounds. Cannot be used on self</v>
      </c>
      <c r="F38" s="32" t="str">
        <f>IFERROR(__xludf.DUMMYFUNCTION("""COMPUTED_VALUE"""),"Fail/Succeed")</f>
        <v>Fail/Succeed</v>
      </c>
      <c r="G38" s="32"/>
      <c r="H38" s="32" t="str">
        <f>IFERROR(__xludf.DUMMYFUNCTION("""COMPUTED_VALUE"""),"Blood")</f>
        <v>Blood</v>
      </c>
      <c r="I38" s="32" t="str">
        <f>IFERROR(__xludf.DUMMYFUNCTION("""COMPUTED_VALUE"""),"Player")</f>
        <v>Player</v>
      </c>
      <c r="J38" s="32" t="b">
        <f>IFERROR(__xludf.DUMMYFUNCTION("""COMPUTED_VALUE"""),FALSE)</f>
        <v>0</v>
      </c>
      <c r="K38" s="32"/>
      <c r="L38" s="32" t="b">
        <f>IFERROR(__xludf.DUMMYFUNCTION("""COMPUTED_VALUE"""),TRUE)</f>
        <v>1</v>
      </c>
      <c r="M38" s="32" t="b">
        <f>IFERROR(__xludf.DUMMYFUNCTION("""COMPUTED_VALUE"""),FALSE)</f>
        <v>0</v>
      </c>
      <c r="N38" s="32"/>
    </row>
    <row r="39">
      <c r="A39" s="32" t="str">
        <f>IFERROR(__xludf.DUMMYFUNCTION("""COMPUTED_VALUE"""),"Blood Siphon")</f>
        <v>Blood Siphon</v>
      </c>
      <c r="B39" s="34">
        <f>IFERROR(__xludf.DUMMYFUNCTION("""COMPUTED_VALUE"""),5.0)</f>
        <v>5</v>
      </c>
      <c r="C39" s="32"/>
      <c r="D39" s="32" t="str">
        <f>IFERROR(__xludf.DUMMYFUNCTION("""COMPUTED_VALUE"""),"X")</f>
        <v>X</v>
      </c>
      <c r="E39" s="32" t="str">
        <f>IFERROR(__xludf.DUMMYFUNCTION("""COMPUTED_VALUE"""),"Drain X*100 HP from target where X is equal to HP spent.")</f>
        <v>Drain X*100 HP from target where X is equal to HP spent.</v>
      </c>
      <c r="F39" s="32" t="str">
        <f>IFERROR(__xludf.DUMMYFUNCTION("""COMPUTED_VALUE"""),"Hit/Miss")</f>
        <v>Hit/Miss</v>
      </c>
      <c r="G39" s="32"/>
      <c r="H39" s="32" t="str">
        <f>IFERROR(__xludf.DUMMYFUNCTION("""COMPUTED_VALUE"""),"Blood")</f>
        <v>Blood</v>
      </c>
      <c r="I39" s="32" t="str">
        <f>IFERROR(__xludf.DUMMYFUNCTION("""COMPUTED_VALUE"""),"Player")</f>
        <v>Player</v>
      </c>
      <c r="J39" s="32" t="b">
        <f>IFERROR(__xludf.DUMMYFUNCTION("""COMPUTED_VALUE"""),FALSE)</f>
        <v>0</v>
      </c>
      <c r="K39" s="32"/>
      <c r="L39" s="32" t="b">
        <f>IFERROR(__xludf.DUMMYFUNCTION("""COMPUTED_VALUE"""),TRUE)</f>
        <v>1</v>
      </c>
      <c r="M39" s="32" t="b">
        <f>IFERROR(__xludf.DUMMYFUNCTION("""COMPUTED_VALUE"""),FALSE)</f>
        <v>0</v>
      </c>
      <c r="N39" s="32"/>
    </row>
    <row r="40">
      <c r="A40" s="32" t="str">
        <f>IFERROR(__xludf.DUMMYFUNCTION("""COMPUTED_VALUE"""),"Blood Transfusion")</f>
        <v>Blood Transfusion</v>
      </c>
      <c r="B40" s="34">
        <f>IFERROR(__xludf.DUMMYFUNCTION("""COMPUTED_VALUE"""),4.0)</f>
        <v>4</v>
      </c>
      <c r="C40" s="32"/>
      <c r="D40" s="32" t="str">
        <f>IFERROR(__xludf.DUMMYFUNCTION("""COMPUTED_VALUE"""),"d100")</f>
        <v>d100</v>
      </c>
      <c r="E40" s="32"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32" t="str">
        <f>IFERROR(__xludf.DUMMYFUNCTION("""COMPUTED_VALUE"""),"Fail/Succeed")</f>
        <v>Fail/Succeed</v>
      </c>
      <c r="G40" s="32"/>
      <c r="H40" s="32" t="str">
        <f>IFERROR(__xludf.DUMMYFUNCTION("""COMPUTED_VALUE"""),"Blood")</f>
        <v>Blood</v>
      </c>
      <c r="I40" s="32" t="str">
        <f>IFERROR(__xludf.DUMMYFUNCTION("""COMPUTED_VALUE"""),"Player")</f>
        <v>Player</v>
      </c>
      <c r="J40" s="32" t="b">
        <f>IFERROR(__xludf.DUMMYFUNCTION("""COMPUTED_VALUE"""),FALSE)</f>
        <v>0</v>
      </c>
      <c r="K40" s="32"/>
      <c r="L40" s="32" t="b">
        <f>IFERROR(__xludf.DUMMYFUNCTION("""COMPUTED_VALUE"""),TRUE)</f>
        <v>1</v>
      </c>
      <c r="M40" s="32" t="b">
        <f>IFERROR(__xludf.DUMMYFUNCTION("""COMPUTED_VALUE"""),FALSE)</f>
        <v>0</v>
      </c>
      <c r="N40" s="32"/>
    </row>
    <row r="41">
      <c r="A41" s="32" t="str">
        <f>IFERROR(__xludf.DUMMYFUNCTION("""COMPUTED_VALUE"""),"Bloody Alliance")</f>
        <v>Bloody Alliance</v>
      </c>
      <c r="B41" s="34">
        <f>IFERROR(__xludf.DUMMYFUNCTION("""COMPUTED_VALUE"""),9.0)</f>
        <v>9</v>
      </c>
      <c r="C41" s="32"/>
      <c r="D41" s="32" t="str">
        <f>IFERROR(__xludf.DUMMYFUNCTION("""COMPUTED_VALUE"""),"X*1000")</f>
        <v>X*1000</v>
      </c>
      <c r="E41" s="32" t="str">
        <f>IFERROR(__xludf.DUMMYFUNCTION("""COMPUTED_VALUE"""),"Select up to 3 target's to gain SP equal to the damage you take from the next incoming attack.")</f>
        <v>Select up to 3 target's to gain SP equal to the damage you take from the next incoming attack.</v>
      </c>
      <c r="F41" s="32" t="str">
        <f>IFERROR(__xludf.DUMMYFUNCTION("""COMPUTED_VALUE"""),"Fail/Succeed")</f>
        <v>Fail/Succeed</v>
      </c>
      <c r="G41" s="32" t="str">
        <f>IFERROR(__xludf.DUMMYFUNCTION("""COMPUTED_VALUE"""),"X")</f>
        <v>X</v>
      </c>
      <c r="H41" s="32" t="str">
        <f>IFERROR(__xludf.DUMMYFUNCTION("""COMPUTED_VALUE"""),"Blood")</f>
        <v>Blood</v>
      </c>
      <c r="I41" s="32" t="str">
        <f>IFERROR(__xludf.DUMMYFUNCTION("""COMPUTED_VALUE"""),"Player")</f>
        <v>Player</v>
      </c>
      <c r="J41" s="32" t="b">
        <f>IFERROR(__xludf.DUMMYFUNCTION("""COMPUTED_VALUE"""),FALSE)</f>
        <v>0</v>
      </c>
      <c r="K41" s="32"/>
      <c r="L41" s="32" t="b">
        <f>IFERROR(__xludf.DUMMYFUNCTION("""COMPUTED_VALUE"""),TRUE)</f>
        <v>1</v>
      </c>
      <c r="M41" s="32" t="b">
        <f>IFERROR(__xludf.DUMMYFUNCTION("""COMPUTED_VALUE"""),FALSE)</f>
        <v>0</v>
      </c>
      <c r="N41" s="32"/>
    </row>
    <row r="42">
      <c r="A42" s="32" t="str">
        <f>IFERROR(__xludf.DUMMYFUNCTION("""COMPUTED_VALUE"""),"Bloody Knuckles")</f>
        <v>Bloody Knuckles</v>
      </c>
      <c r="B42" s="34">
        <f>IFERROR(__xludf.DUMMYFUNCTION("""COMPUTED_VALUE"""),4.0)</f>
        <v>4</v>
      </c>
      <c r="C42" s="32"/>
      <c r="D42" s="32">
        <f>IFERROR(__xludf.DUMMYFUNCTION("""COMPUTED_VALUE"""),40.0)</f>
        <v>40</v>
      </c>
      <c r="E42" s="32" t="str">
        <f>IFERROR(__xludf.DUMMYFUNCTION("""COMPUTED_VALUE"""),"X2 additional bleeding damage for weapons and spells.")</f>
        <v>X2 additional bleeding damage for weapons and spells.</v>
      </c>
      <c r="F42" s="32" t="str">
        <f>IFERROR(__xludf.DUMMYFUNCTION("""COMPUTED_VALUE"""),"Fail/Succeed")</f>
        <v>Fail/Succeed</v>
      </c>
      <c r="G42" s="32"/>
      <c r="H42" s="32" t="str">
        <f>IFERROR(__xludf.DUMMYFUNCTION("""COMPUTED_VALUE"""),"Blood")</f>
        <v>Blood</v>
      </c>
      <c r="I42" s="32" t="str">
        <f>IFERROR(__xludf.DUMMYFUNCTION("""COMPUTED_VALUE"""),"Player")</f>
        <v>Player</v>
      </c>
      <c r="J42" s="32" t="b">
        <f>IFERROR(__xludf.DUMMYFUNCTION("""COMPUTED_VALUE"""),FALSE)</f>
        <v>0</v>
      </c>
      <c r="K42" s="32"/>
      <c r="L42" s="32" t="b">
        <f>IFERROR(__xludf.DUMMYFUNCTION("""COMPUTED_VALUE"""),TRUE)</f>
        <v>1</v>
      </c>
      <c r="M42" s="32" t="b">
        <f>IFERROR(__xludf.DUMMYFUNCTION("""COMPUTED_VALUE"""),FALSE)</f>
        <v>0</v>
      </c>
      <c r="N42" s="32"/>
    </row>
    <row r="43">
      <c r="A43" s="32" t="str">
        <f>IFERROR(__xludf.DUMMYFUNCTION("""COMPUTED_VALUE"""),"Callous Sacrifice")</f>
        <v>Callous Sacrifice</v>
      </c>
      <c r="B43" s="34">
        <f>IFERROR(__xludf.DUMMYFUNCTION("""COMPUTED_VALUE"""),8.0)</f>
        <v>8</v>
      </c>
      <c r="C43" s="32" t="str">
        <f>IFERROR(__xludf.DUMMYFUNCTION("""COMPUTED_VALUE"""),"X*300")</f>
        <v>X*300</v>
      </c>
      <c r="D43" s="32">
        <f>IFERROR(__xludf.DUMMYFUNCTION("""COMPUTED_VALUE"""),200.0)</f>
        <v>200</v>
      </c>
      <c r="E43" s="32" t="str">
        <f>IFERROR(__xludf.DUMMYFUNCTION("""COMPUTED_VALUE"""),"Sacrifice a party member. All enemies take 6* sacrificed party member’s Max HP.")</f>
        <v>Sacrifice a party member. All enemies take 6* sacrificed party member’s Max HP.</v>
      </c>
      <c r="F43" s="32" t="str">
        <f>IFERROR(__xludf.DUMMYFUNCTION("""COMPUTED_VALUE"""),"Fail/Succeed")</f>
        <v>Fail/Succeed</v>
      </c>
      <c r="G43" s="32"/>
      <c r="H43" s="32" t="str">
        <f>IFERROR(__xludf.DUMMYFUNCTION("""COMPUTED_VALUE"""),"Blood")</f>
        <v>Blood</v>
      </c>
      <c r="I43" s="32" t="str">
        <f>IFERROR(__xludf.DUMMYFUNCTION("""COMPUTED_VALUE"""),"Player")</f>
        <v>Player</v>
      </c>
      <c r="J43" s="32" t="b">
        <f>IFERROR(__xludf.DUMMYFUNCTION("""COMPUTED_VALUE"""),FALSE)</f>
        <v>0</v>
      </c>
      <c r="K43" s="32"/>
      <c r="L43" s="32" t="b">
        <f>IFERROR(__xludf.DUMMYFUNCTION("""COMPUTED_VALUE"""),TRUE)</f>
        <v>1</v>
      </c>
      <c r="M43" s="32" t="b">
        <f>IFERROR(__xludf.DUMMYFUNCTION("""COMPUTED_VALUE"""),FALSE)</f>
        <v>0</v>
      </c>
      <c r="N43" s="32"/>
    </row>
    <row r="44">
      <c r="A44" s="32" t="str">
        <f>IFERROR(__xludf.DUMMYFUNCTION("""COMPUTED_VALUE"""),"Damage With A Cost.")</f>
        <v>Damage With A Cost.</v>
      </c>
      <c r="B44" s="34">
        <f>IFERROR(__xludf.DUMMYFUNCTION("""COMPUTED_VALUE"""),9.0)</f>
        <v>9</v>
      </c>
      <c r="C44" s="32"/>
      <c r="D44" s="32">
        <f>IFERROR(__xludf.DUMMYFUNCTION("""COMPUTED_VALUE"""),1000.0)</f>
        <v>1000</v>
      </c>
      <c r="E44" s="32" t="str">
        <f>IFERROR(__xludf.DUMMYFUNCTION("""COMPUTED_VALUE"""),"For 3 rounds enemies will take the same amount of damage you or your allies take.")</f>
        <v>For 3 rounds enemies will take the same amount of damage you or your allies take.</v>
      </c>
      <c r="F44" s="32" t="str">
        <f>IFERROR(__xludf.DUMMYFUNCTION("""COMPUTED_VALUE"""),"Fail/Succeed")</f>
        <v>Fail/Succeed</v>
      </c>
      <c r="G44" s="32"/>
      <c r="H44" s="32" t="str">
        <f>IFERROR(__xludf.DUMMYFUNCTION("""COMPUTED_VALUE"""),"Blood")</f>
        <v>Blood</v>
      </c>
      <c r="I44" s="32" t="str">
        <f>IFERROR(__xludf.DUMMYFUNCTION("""COMPUTED_VALUE"""),"Player")</f>
        <v>Player</v>
      </c>
      <c r="J44" s="32" t="b">
        <f>IFERROR(__xludf.DUMMYFUNCTION("""COMPUTED_VALUE"""),FALSE)</f>
        <v>0</v>
      </c>
      <c r="K44" s="32"/>
      <c r="L44" s="32" t="b">
        <f>IFERROR(__xludf.DUMMYFUNCTION("""COMPUTED_VALUE"""),TRUE)</f>
        <v>1</v>
      </c>
      <c r="M44" s="32" t="b">
        <f>IFERROR(__xludf.DUMMYFUNCTION("""COMPUTED_VALUE"""),FALSE)</f>
        <v>0</v>
      </c>
      <c r="N44" s="32"/>
    </row>
    <row r="45">
      <c r="A45" s="32" t="str">
        <f>IFERROR(__xludf.DUMMYFUNCTION("""COMPUTED_VALUE"""),"One For Another")</f>
        <v>One For Another</v>
      </c>
      <c r="B45" s="34">
        <f>IFERROR(__xludf.DUMMYFUNCTION("""COMPUTED_VALUE"""),6.0)</f>
        <v>6</v>
      </c>
      <c r="C45" s="32"/>
      <c r="D45" s="32" t="str">
        <f>IFERROR(__xludf.DUMMYFUNCTION("""COMPUTED_VALUE"""),"X")</f>
        <v>X</v>
      </c>
      <c r="E45" s="32" t="str">
        <f>IFERROR(__xludf.DUMMYFUNCTION("""COMPUTED_VALUE"""),"Drain all but 1HP from a party member to Drain all but 1HP from 1 enemy.")</f>
        <v>Drain all but 1HP from a party member to Drain all but 1HP from 1 enemy.</v>
      </c>
      <c r="F45" s="32" t="str">
        <f>IFERROR(__xludf.DUMMYFUNCTION("""COMPUTED_VALUE"""),"Hit/Miss")</f>
        <v>Hit/Miss</v>
      </c>
      <c r="G45" s="32">
        <f>IFERROR(__xludf.DUMMYFUNCTION("""COMPUTED_VALUE"""),1.0)</f>
        <v>1</v>
      </c>
      <c r="H45" s="32" t="str">
        <f>IFERROR(__xludf.DUMMYFUNCTION("""COMPUTED_VALUE"""),"Blood")</f>
        <v>Blood</v>
      </c>
      <c r="I45" s="32" t="str">
        <f>IFERROR(__xludf.DUMMYFUNCTION("""COMPUTED_VALUE"""),"Player")</f>
        <v>Player</v>
      </c>
      <c r="J45" s="32" t="b">
        <f>IFERROR(__xludf.DUMMYFUNCTION("""COMPUTED_VALUE"""),FALSE)</f>
        <v>0</v>
      </c>
      <c r="K45" s="32"/>
      <c r="L45" s="32" t="b">
        <f>IFERROR(__xludf.DUMMYFUNCTION("""COMPUTED_VALUE"""),TRUE)</f>
        <v>1</v>
      </c>
      <c r="M45" s="32" t="b">
        <f>IFERROR(__xludf.DUMMYFUNCTION("""COMPUTED_VALUE"""),FALSE)</f>
        <v>0</v>
      </c>
      <c r="N45" s="32"/>
    </row>
    <row r="46">
      <c r="A46" s="32" t="str">
        <f>IFERROR(__xludf.DUMMYFUNCTION("""COMPUTED_VALUE"""),"Purified Blood")</f>
        <v>Purified Blood</v>
      </c>
      <c r="B46" s="34">
        <f>IFERROR(__xludf.DUMMYFUNCTION("""COMPUTED_VALUE"""),6.0)</f>
        <v>6</v>
      </c>
      <c r="C46" s="32"/>
      <c r="D46" s="32">
        <f>IFERROR(__xludf.DUMMYFUNCTION("""COMPUTED_VALUE"""),60.0)</f>
        <v>60</v>
      </c>
      <c r="E46" s="32" t="str">
        <f>IFERROR(__xludf.DUMMYFUNCTION("""COMPUTED_VALUE"""),"Cure a target of the Bleed effect, or drain 10,000 health from an undead creature.")</f>
        <v>Cure a target of the Bleed effect, or drain 10,000 health from an undead creature.</v>
      </c>
      <c r="F46" s="32" t="str">
        <f>IFERROR(__xludf.DUMMYFUNCTION("""COMPUTED_VALUE"""),"Hit/Miss")</f>
        <v>Hit/Miss</v>
      </c>
      <c r="G46" s="32">
        <f>IFERROR(__xludf.DUMMYFUNCTION("""COMPUTED_VALUE"""),1.0)</f>
        <v>1</v>
      </c>
      <c r="H46" s="32" t="str">
        <f>IFERROR(__xludf.DUMMYFUNCTION("""COMPUTED_VALUE"""),"Blood")</f>
        <v>Blood</v>
      </c>
      <c r="I46" s="32" t="str">
        <f>IFERROR(__xludf.DUMMYFUNCTION("""COMPUTED_VALUE"""),"Player")</f>
        <v>Player</v>
      </c>
      <c r="J46" s="32" t="b">
        <f>IFERROR(__xludf.DUMMYFUNCTION("""COMPUTED_VALUE"""),FALSE)</f>
        <v>0</v>
      </c>
      <c r="K46" s="32"/>
      <c r="L46" s="32" t="b">
        <f>IFERROR(__xludf.DUMMYFUNCTION("""COMPUTED_VALUE"""),TRUE)</f>
        <v>1</v>
      </c>
      <c r="M46" s="32" t="b">
        <f>IFERROR(__xludf.DUMMYFUNCTION("""COMPUTED_VALUE"""),FALSE)</f>
        <v>0</v>
      </c>
      <c r="N46" s="32"/>
    </row>
    <row r="47">
      <c r="A47" s="32" t="str">
        <f>IFERROR(__xludf.DUMMYFUNCTION("""COMPUTED_VALUE"""),"Swallow")</f>
        <v>Swallow</v>
      </c>
      <c r="B47" s="34">
        <f>IFERROR(__xludf.DUMMYFUNCTION("""COMPUTED_VALUE"""),7.0)</f>
        <v>7</v>
      </c>
      <c r="C47" s="32"/>
      <c r="D47" s="32">
        <f>IFERROR(__xludf.DUMMYFUNCTION("""COMPUTED_VALUE"""),100.0)</f>
        <v>100</v>
      </c>
      <c r="E47" s="32" t="str">
        <f>IFERROR(__xludf.DUMMYFUNCTION("""COMPUTED_VALUE"""),"If Target’s Max HP is at least 500 &lt; Caster’s Max HP, The target is instantly vanquished.")</f>
        <v>If Target’s Max HP is at least 500 &lt; Caster’s Max HP, The target is instantly vanquished.</v>
      </c>
      <c r="F47" s="32" t="str">
        <f>IFERROR(__xludf.DUMMYFUNCTION("""COMPUTED_VALUE"""),"Fail/Succeed")</f>
        <v>Fail/Succeed</v>
      </c>
      <c r="G47" s="32">
        <f>IFERROR(__xludf.DUMMYFUNCTION("""COMPUTED_VALUE"""),1.0)</f>
        <v>1</v>
      </c>
      <c r="H47" s="32" t="str">
        <f>IFERROR(__xludf.DUMMYFUNCTION("""COMPUTED_VALUE"""),"Blood")</f>
        <v>Blood</v>
      </c>
      <c r="I47" s="32" t="str">
        <f>IFERROR(__xludf.DUMMYFUNCTION("""COMPUTED_VALUE"""),"Mob")</f>
        <v>Mob</v>
      </c>
      <c r="J47" s="32" t="b">
        <f>IFERROR(__xludf.DUMMYFUNCTION("""COMPUTED_VALUE"""),TRUE)</f>
        <v>1</v>
      </c>
      <c r="K47" s="32"/>
      <c r="L47" s="32" t="b">
        <f>IFERROR(__xludf.DUMMYFUNCTION("""COMPUTED_VALUE"""),TRUE)</f>
        <v>1</v>
      </c>
      <c r="M47" s="32" t="b">
        <f>IFERROR(__xludf.DUMMYFUNCTION("""COMPUTED_VALUE"""),FALSE)</f>
        <v>0</v>
      </c>
      <c r="N47" s="32"/>
    </row>
    <row r="48">
      <c r="A48" s="32" t="str">
        <f>IFERROR(__xludf.DUMMYFUNCTION("""COMPUTED_VALUE"""),"Tainted Blood")</f>
        <v>Tainted Blood</v>
      </c>
      <c r="B48" s="34">
        <f>IFERROR(__xludf.DUMMYFUNCTION("""COMPUTED_VALUE"""),6.0)</f>
        <v>6</v>
      </c>
      <c r="C48" s="32"/>
      <c r="D48" s="32">
        <f>IFERROR(__xludf.DUMMYFUNCTION("""COMPUTED_VALUE"""),60.0)</f>
        <v>60</v>
      </c>
      <c r="E48" s="32" t="str">
        <f>IFERROR(__xludf.DUMMYFUNCTION("""COMPUTED_VALUE"""),"Inflict Undead (Dark) for 3 rounds to 1 target.")</f>
        <v>Inflict Undead (Dark) for 3 rounds to 1 target.</v>
      </c>
      <c r="F48" s="32" t="str">
        <f>IFERROR(__xludf.DUMMYFUNCTION("""COMPUTED_VALUE"""),"Fail/Succeed")</f>
        <v>Fail/Succeed</v>
      </c>
      <c r="G48" s="32"/>
      <c r="H48" s="32" t="str">
        <f>IFERROR(__xludf.DUMMYFUNCTION("""COMPUTED_VALUE"""),"Blood")</f>
        <v>Blood</v>
      </c>
      <c r="I48" s="32" t="str">
        <f>IFERROR(__xludf.DUMMYFUNCTION("""COMPUTED_VALUE"""),"Player")</f>
        <v>Player</v>
      </c>
      <c r="J48" s="32" t="b">
        <f>IFERROR(__xludf.DUMMYFUNCTION("""COMPUTED_VALUE"""),FALSE)</f>
        <v>0</v>
      </c>
      <c r="K48" s="32"/>
      <c r="L48" s="32" t="b">
        <f>IFERROR(__xludf.DUMMYFUNCTION("""COMPUTED_VALUE"""),TRUE)</f>
        <v>1</v>
      </c>
      <c r="M48" s="32" t="b">
        <f>IFERROR(__xludf.DUMMYFUNCTION("""COMPUTED_VALUE"""),FALSE)</f>
        <v>0</v>
      </c>
      <c r="N48" s="32"/>
    </row>
    <row r="49">
      <c r="A49" s="32" t="str">
        <f>IFERROR(__xludf.DUMMYFUNCTION("""COMPUTED_VALUE"""),"Absorb Life")</f>
        <v>Absorb Life</v>
      </c>
      <c r="B49" s="34">
        <f>IFERROR(__xludf.DUMMYFUNCTION("""COMPUTED_VALUE"""),1.0)</f>
        <v>1</v>
      </c>
      <c r="C49" s="32"/>
      <c r="D49" s="32">
        <f>IFERROR(__xludf.DUMMYFUNCTION("""COMPUTED_VALUE"""),0.0)</f>
        <v>0</v>
      </c>
      <c r="E49" s="32" t="str">
        <f>IFERROR(__xludf.DUMMYFUNCTION("""COMPUTED_VALUE"""),"Drain X*2 HP from 1 target, where X is equal to your accuracy.")</f>
        <v>Drain X*2 HP from 1 target, where X is equal to your accuracy.</v>
      </c>
      <c r="F49" s="32" t="str">
        <f>IFERROR(__xludf.DUMMYFUNCTION("""COMPUTED_VALUE"""),"Natural/ Hit or Miss")</f>
        <v>Natural/ Hit or Miss</v>
      </c>
      <c r="G49" s="32">
        <f>IFERROR(__xludf.DUMMYFUNCTION("""COMPUTED_VALUE"""),1.0)</f>
        <v>1</v>
      </c>
      <c r="H49" s="32" t="str">
        <f>IFERROR(__xludf.DUMMYFUNCTION("""COMPUTED_VALUE"""),"Blood")</f>
        <v>Blood</v>
      </c>
      <c r="I49" s="32" t="str">
        <f>IFERROR(__xludf.DUMMYFUNCTION("""COMPUTED_VALUE"""),"Player")</f>
        <v>Player</v>
      </c>
      <c r="J49" s="32" t="b">
        <f>IFERROR(__xludf.DUMMYFUNCTION("""COMPUTED_VALUE"""),FALSE)</f>
        <v>0</v>
      </c>
      <c r="K49" s="32"/>
      <c r="L49" s="32" t="b">
        <f>IFERROR(__xludf.DUMMYFUNCTION("""COMPUTED_VALUE"""),FALSE)</f>
        <v>0</v>
      </c>
      <c r="M49" s="32" t="b">
        <f>IFERROR(__xludf.DUMMYFUNCTION("""COMPUTED_VALUE"""),FALSE)</f>
        <v>0</v>
      </c>
      <c r="N49" s="32"/>
    </row>
    <row r="50">
      <c r="A50" s="32" t="str">
        <f>IFERROR(__xludf.DUMMYFUNCTION("""COMPUTED_VALUE"""),"Blood Bolt")</f>
        <v>Blood Bolt</v>
      </c>
      <c r="B50" s="34">
        <f>IFERROR(__xludf.DUMMYFUNCTION("""COMPUTED_VALUE"""),1.0)</f>
        <v>1</v>
      </c>
      <c r="C50" s="32"/>
      <c r="D50" s="32" t="str">
        <f>IFERROR(__xludf.DUMMYFUNCTION("""COMPUTED_VALUE"""),"X")</f>
        <v>X</v>
      </c>
      <c r="E50" s="32" t="str">
        <f>IFERROR(__xludf.DUMMYFUNCTION("""COMPUTED_VALUE"""),"Deals X*100 Blood damage to a single enemy where X is equal to HP spent.")</f>
        <v>Deals X*100 Blood damage to a single enemy where X is equal to HP spent.</v>
      </c>
      <c r="F50" s="32" t="str">
        <f>IFERROR(__xludf.DUMMYFUNCTION("""COMPUTED_VALUE"""),"Hit/Miss")</f>
        <v>Hit/Miss</v>
      </c>
      <c r="G50" s="32">
        <f>IFERROR(__xludf.DUMMYFUNCTION("""COMPUTED_VALUE"""),1.0)</f>
        <v>1</v>
      </c>
      <c r="H50" s="32" t="str">
        <f>IFERROR(__xludf.DUMMYFUNCTION("""COMPUTED_VALUE"""),"Blood")</f>
        <v>Blood</v>
      </c>
      <c r="I50" s="32" t="str">
        <f>IFERROR(__xludf.DUMMYFUNCTION("""COMPUTED_VALUE"""),"Player")</f>
        <v>Player</v>
      </c>
      <c r="J50" s="32" t="b">
        <f>IFERROR(__xludf.DUMMYFUNCTION("""COMPUTED_VALUE"""),FALSE)</f>
        <v>0</v>
      </c>
      <c r="K50" s="32"/>
      <c r="L50" s="32" t="b">
        <f>IFERROR(__xludf.DUMMYFUNCTION("""COMPUTED_VALUE"""),FALSE)</f>
        <v>0</v>
      </c>
      <c r="M50" s="32" t="b">
        <f>IFERROR(__xludf.DUMMYFUNCTION("""COMPUTED_VALUE"""),FALSE)</f>
        <v>0</v>
      </c>
      <c r="N50" s="32"/>
    </row>
    <row r="51">
      <c r="A51" s="32" t="str">
        <f>IFERROR(__xludf.DUMMYFUNCTION("""COMPUTED_VALUE"""),"Atrophy")</f>
        <v>Atrophy</v>
      </c>
      <c r="B51" s="34">
        <f>IFERROR(__xludf.DUMMYFUNCTION("""COMPUTED_VALUE"""),5.0)</f>
        <v>5</v>
      </c>
      <c r="C51" s="32"/>
      <c r="D51" s="32" t="str">
        <f>IFERROR(__xludf.DUMMYFUNCTION("""COMPUTED_VALUE"""),"X")</f>
        <v>X</v>
      </c>
      <c r="E51" s="32" t="str">
        <f>IFERROR(__xludf.DUMMYFUNCTION("""COMPUTED_VALUE"""),"Deals X*50 Bleed for 3 rounds to a single target where X is equal to HP spent.")</f>
        <v>Deals X*50 Bleed for 3 rounds to a single target where X is equal to HP spent.</v>
      </c>
      <c r="F51" s="32" t="str">
        <f>IFERROR(__xludf.DUMMYFUNCTION("""COMPUTED_VALUE"""),"Hit/Miss")</f>
        <v>Hit/Miss</v>
      </c>
      <c r="G51" s="32">
        <f>IFERROR(__xludf.DUMMYFUNCTION("""COMPUTED_VALUE"""),1.0)</f>
        <v>1</v>
      </c>
      <c r="H51" s="32" t="str">
        <f>IFERROR(__xludf.DUMMYFUNCTION("""COMPUTED_VALUE"""),"Blood")</f>
        <v>Blood</v>
      </c>
      <c r="I51" s="32" t="str">
        <f>IFERROR(__xludf.DUMMYFUNCTION("""COMPUTED_VALUE"""),"Player")</f>
        <v>Player</v>
      </c>
      <c r="J51" s="32" t="b">
        <f>IFERROR(__xludf.DUMMYFUNCTION("""COMPUTED_VALUE"""),FALSE)</f>
        <v>0</v>
      </c>
      <c r="K51" s="32"/>
      <c r="L51" s="32" t="b">
        <f>IFERROR(__xludf.DUMMYFUNCTION("""COMPUTED_VALUE"""),FALSE)</f>
        <v>0</v>
      </c>
      <c r="M51" s="32" t="b">
        <f>IFERROR(__xludf.DUMMYFUNCTION("""COMPUTED_VALUE"""),FALSE)</f>
        <v>0</v>
      </c>
      <c r="N51" s="32"/>
    </row>
    <row r="52">
      <c r="A52" s="32" t="str">
        <f>IFERROR(__xludf.DUMMYFUNCTION("""COMPUTED_VALUE"""),"Blood Spray")</f>
        <v>Blood Spray</v>
      </c>
      <c r="B52" s="34">
        <f>IFERROR(__xludf.DUMMYFUNCTION("""COMPUTED_VALUE"""),5.0)</f>
        <v>5</v>
      </c>
      <c r="C52" s="32"/>
      <c r="D52" s="32" t="str">
        <f>IFERROR(__xludf.DUMMYFUNCTION("""COMPUTED_VALUE"""),"X")</f>
        <v>X</v>
      </c>
      <c r="E52" s="32" t="str">
        <f>IFERROR(__xludf.DUMMYFUNCTION("""COMPUTED_VALUE"""),"Deals X*25 Blood damage to all enemies where X is equal to HP spent.")</f>
        <v>Deals X*25 Blood damage to all enemies where X is equal to HP spent.</v>
      </c>
      <c r="F52" s="32" t="str">
        <f>IFERROR(__xludf.DUMMYFUNCTION("""COMPUTED_VALUE"""),"Cannot Avoid")</f>
        <v>Cannot Avoid</v>
      </c>
      <c r="G52" s="32" t="str">
        <f>IFERROR(__xludf.DUMMYFUNCTION("""COMPUTED_VALUE"""),"All")</f>
        <v>All</v>
      </c>
      <c r="H52" s="32" t="str">
        <f>IFERROR(__xludf.DUMMYFUNCTION("""COMPUTED_VALUE"""),"Blood")</f>
        <v>Blood</v>
      </c>
      <c r="I52" s="32" t="str">
        <f>IFERROR(__xludf.DUMMYFUNCTION("""COMPUTED_VALUE"""),"Player")</f>
        <v>Player</v>
      </c>
      <c r="J52" s="32" t="b">
        <f>IFERROR(__xludf.DUMMYFUNCTION("""COMPUTED_VALUE"""),FALSE)</f>
        <v>0</v>
      </c>
      <c r="K52" s="32"/>
      <c r="L52" s="32" t="b">
        <f>IFERROR(__xludf.DUMMYFUNCTION("""COMPUTED_VALUE"""),FALSE)</f>
        <v>0</v>
      </c>
      <c r="M52" s="32" t="b">
        <f>IFERROR(__xludf.DUMMYFUNCTION("""COMPUTED_VALUE"""),FALSE)</f>
        <v>0</v>
      </c>
      <c r="N52" s="32"/>
    </row>
    <row r="53">
      <c r="A53" s="32" t="str">
        <f>IFERROR(__xludf.DUMMYFUNCTION("""COMPUTED_VALUE"""),"Mass Blood Control")</f>
        <v>Mass Blood Control</v>
      </c>
      <c r="B53" s="34">
        <f>IFERROR(__xludf.DUMMYFUNCTION("""COMPUTED_VALUE"""),6.0)</f>
        <v>6</v>
      </c>
      <c r="C53" s="32"/>
      <c r="D53" s="32" t="str">
        <f>IFERROR(__xludf.DUMMYFUNCTION("""COMPUTED_VALUE"""),"X")</f>
        <v>X</v>
      </c>
      <c r="E53" s="32" t="str">
        <f>IFERROR(__xludf.DUMMYFUNCTION("""COMPUTED_VALUE"""),"Deals X*10 Bleed to all enemies for 3 rounds where X is equal to HP spent.")</f>
        <v>Deals X*10 Bleed to all enemies for 3 rounds where X is equal to HP spent.</v>
      </c>
      <c r="F53" s="32" t="str">
        <f>IFERROR(__xludf.DUMMYFUNCTION("""COMPUTED_VALUE"""),"Cannot Avoid")</f>
        <v>Cannot Avoid</v>
      </c>
      <c r="G53" s="32" t="str">
        <f>IFERROR(__xludf.DUMMYFUNCTION("""COMPUTED_VALUE"""),"All")</f>
        <v>All</v>
      </c>
      <c r="H53" s="32" t="str">
        <f>IFERROR(__xludf.DUMMYFUNCTION("""COMPUTED_VALUE"""),"Blood")</f>
        <v>Blood</v>
      </c>
      <c r="I53" s="32" t="str">
        <f>IFERROR(__xludf.DUMMYFUNCTION("""COMPUTED_VALUE"""),"Player")</f>
        <v>Player</v>
      </c>
      <c r="J53" s="32" t="b">
        <f>IFERROR(__xludf.DUMMYFUNCTION("""COMPUTED_VALUE"""),FALSE)</f>
        <v>0</v>
      </c>
      <c r="K53" s="32"/>
      <c r="L53" s="32" t="b">
        <f>IFERROR(__xludf.DUMMYFUNCTION("""COMPUTED_VALUE"""),FALSE)</f>
        <v>0</v>
      </c>
      <c r="M53" s="32" t="b">
        <f>IFERROR(__xludf.DUMMYFUNCTION("""COMPUTED_VALUE"""),FALSE)</f>
        <v>0</v>
      </c>
      <c r="N53" s="32"/>
    </row>
    <row r="54">
      <c r="A54" s="32" t="str">
        <f>IFERROR(__xludf.DUMMYFUNCTION("""COMPUTED_VALUE"""),"Ancient Frost Mages Ice Show")</f>
        <v>Ancient Frost Mages Ice Show</v>
      </c>
      <c r="B54" s="34">
        <f>IFERROR(__xludf.DUMMYFUNCTION("""COMPUTED_VALUE"""),9.0)</f>
        <v>9</v>
      </c>
      <c r="C54" s="32">
        <f>IFERROR(__xludf.DUMMYFUNCTION("""COMPUTED_VALUE"""),900.0)</f>
        <v>900</v>
      </c>
      <c r="D54" s="32"/>
      <c r="E54" s="32" t="str">
        <f>IFERROR(__xludf.DUMMYFUNCTION("""COMPUTED_VALUE"""),"Summon the spirit of the Ancient Frost Grand Mage to help you for 3 rounds. Level determined by DM/GM.")</f>
        <v>Summon the spirit of the Ancient Frost Grand Mage to help you for 3 rounds. Level determined by DM/GM.</v>
      </c>
      <c r="F54" s="32" t="str">
        <f>IFERROR(__xludf.DUMMYFUNCTION("""COMPUTED_VALUE"""),"Fail/Succeed")</f>
        <v>Fail/Succeed</v>
      </c>
      <c r="G54" s="32" t="str">
        <f>IFERROR(__xludf.DUMMYFUNCTION("""COMPUTED_VALUE"""),"Self")</f>
        <v>Self</v>
      </c>
      <c r="H54" s="32" t="str">
        <f>IFERROR(__xludf.DUMMYFUNCTION("""COMPUTED_VALUE"""),"Celestial")</f>
        <v>Celestial</v>
      </c>
      <c r="I54" s="32" t="str">
        <f>IFERROR(__xludf.DUMMYFUNCTION("""COMPUTED_VALUE"""),"Player")</f>
        <v>Player</v>
      </c>
      <c r="J54" s="32" t="b">
        <f>IFERROR(__xludf.DUMMYFUNCTION("""COMPUTED_VALUE"""),TRUE)</f>
        <v>1</v>
      </c>
      <c r="K54" s="3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32" t="b">
        <f>IFERROR(__xludf.DUMMYFUNCTION("""COMPUTED_VALUE"""),FALSE)</f>
        <v>0</v>
      </c>
      <c r="M54" s="32" t="b">
        <f>IFERROR(__xludf.DUMMYFUNCTION("""COMPUTED_VALUE"""),FALSE)</f>
        <v>0</v>
      </c>
      <c r="N54" s="32"/>
    </row>
    <row r="55">
      <c r="A55" s="32" t="str">
        <f>IFERROR(__xludf.DUMMYFUNCTION("""COMPUTED_VALUE"""),"Celestial Blast")</f>
        <v>Celestial Blast</v>
      </c>
      <c r="B55" s="34">
        <f>IFERROR(__xludf.DUMMYFUNCTION("""COMPUTED_VALUE"""),6.0)</f>
        <v>6</v>
      </c>
      <c r="C55" s="32" t="str">
        <f>IFERROR(__xludf.DUMMYFUNCTION("""COMPUTED_VALUE"""),"X*100")</f>
        <v>X*100</v>
      </c>
      <c r="D55" s="32"/>
      <c r="E55" s="32" t="str">
        <f>IFERROR(__xludf.DUMMYFUNCTION("""COMPUTED_VALUE"""),"Pay X amount of mana for celestial dmg and times the damage by 5000.")</f>
        <v>Pay X amount of mana for celestial dmg and times the damage by 5000.</v>
      </c>
      <c r="F55" s="32" t="str">
        <f>IFERROR(__xludf.DUMMYFUNCTION("""COMPUTED_VALUE"""),"Hit or Miss")</f>
        <v>Hit or Miss</v>
      </c>
      <c r="G55" s="32">
        <f>IFERROR(__xludf.DUMMYFUNCTION("""COMPUTED_VALUE"""),1.0)</f>
        <v>1</v>
      </c>
      <c r="H55" s="32" t="str">
        <f>IFERROR(__xludf.DUMMYFUNCTION("""COMPUTED_VALUE"""),"Celestial")</f>
        <v>Celestial</v>
      </c>
      <c r="I55" s="32" t="str">
        <f>IFERROR(__xludf.DUMMYFUNCTION("""COMPUTED_VALUE"""),"Player")</f>
        <v>Player</v>
      </c>
      <c r="J55" s="32" t="b">
        <f>IFERROR(__xludf.DUMMYFUNCTION("""COMPUTED_VALUE"""),FALSE)</f>
        <v>0</v>
      </c>
      <c r="K55"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32" t="b">
        <f>IFERROR(__xludf.DUMMYFUNCTION("""COMPUTED_VALUE"""),FALSE)</f>
        <v>0</v>
      </c>
      <c r="M55" s="32" t="b">
        <f>IFERROR(__xludf.DUMMYFUNCTION("""COMPUTED_VALUE"""),FALSE)</f>
        <v>0</v>
      </c>
      <c r="N55" s="32"/>
    </row>
    <row r="56">
      <c r="A56" s="32" t="str">
        <f>IFERROR(__xludf.DUMMYFUNCTION("""COMPUTED_VALUE"""),"Celestial Increase I")</f>
        <v>Celestial Increase I</v>
      </c>
      <c r="B56" s="34">
        <f>IFERROR(__xludf.DUMMYFUNCTION("""COMPUTED_VALUE"""),2.0)</f>
        <v>2</v>
      </c>
      <c r="C56" s="32">
        <f>IFERROR(__xludf.DUMMYFUNCTION("""COMPUTED_VALUE"""),200.0)</f>
        <v>200</v>
      </c>
      <c r="D56" s="32"/>
      <c r="E56" s="32" t="str">
        <f>IFERROR(__xludf.DUMMYFUNCTION("""COMPUTED_VALUE"""),"X2 additional Celestial dmg for self + X2 attack and accuracy for self.")</f>
        <v>X2 additional Celestial dmg for self + X2 attack and accuracy for self.</v>
      </c>
      <c r="F56" s="32" t="str">
        <f>IFERROR(__xludf.DUMMYFUNCTION("""COMPUTED_VALUE"""),"Will Succeed")</f>
        <v>Will Succeed</v>
      </c>
      <c r="G56" s="32"/>
      <c r="H56" s="32" t="str">
        <f>IFERROR(__xludf.DUMMYFUNCTION("""COMPUTED_VALUE"""),"Celestial")</f>
        <v>Celestial</v>
      </c>
      <c r="I56" s="32" t="str">
        <f>IFERROR(__xludf.DUMMYFUNCTION("""COMPUTED_VALUE"""),"Player")</f>
        <v>Player</v>
      </c>
      <c r="J56" s="32" t="b">
        <f>IFERROR(__xludf.DUMMYFUNCTION("""COMPUTED_VALUE"""),FALSE)</f>
        <v>0</v>
      </c>
      <c r="K56"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32" t="b">
        <f>IFERROR(__xludf.DUMMYFUNCTION("""COMPUTED_VALUE"""),FALSE)</f>
        <v>0</v>
      </c>
      <c r="M56" s="32" t="b">
        <f>IFERROR(__xludf.DUMMYFUNCTION("""COMPUTED_VALUE"""),FALSE)</f>
        <v>0</v>
      </c>
      <c r="N56" s="32"/>
    </row>
    <row r="57">
      <c r="A57" s="32" t="str">
        <f>IFERROR(__xludf.DUMMYFUNCTION("""COMPUTED_VALUE"""),"Celestial Increase II")</f>
        <v>Celestial Increase II</v>
      </c>
      <c r="B57" s="34">
        <f>IFERROR(__xludf.DUMMYFUNCTION("""COMPUTED_VALUE"""),3.0)</f>
        <v>3</v>
      </c>
      <c r="C57" s="32">
        <f>IFERROR(__xludf.DUMMYFUNCTION("""COMPUTED_VALUE"""),300.0)</f>
        <v>300</v>
      </c>
      <c r="D57" s="32"/>
      <c r="E57" s="32" t="str">
        <f>IFERROR(__xludf.DUMMYFUNCTION("""COMPUTED_VALUE"""),"X4 Celestial dmg for self + X4 attack and accuracy for self.")</f>
        <v>X4 Celestial dmg for self + X4 attack and accuracy for self.</v>
      </c>
      <c r="F57" s="32" t="str">
        <f>IFERROR(__xludf.DUMMYFUNCTION("""COMPUTED_VALUE"""),"Will Succeed")</f>
        <v>Will Succeed</v>
      </c>
      <c r="G57" s="32"/>
      <c r="H57" s="32" t="str">
        <f>IFERROR(__xludf.DUMMYFUNCTION("""COMPUTED_VALUE"""),"Celestial")</f>
        <v>Celestial</v>
      </c>
      <c r="I57" s="32" t="str">
        <f>IFERROR(__xludf.DUMMYFUNCTION("""COMPUTED_VALUE"""),"Player")</f>
        <v>Player</v>
      </c>
      <c r="J57" s="32" t="b">
        <f>IFERROR(__xludf.DUMMYFUNCTION("""COMPUTED_VALUE"""),FALSE)</f>
        <v>0</v>
      </c>
      <c r="K57"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32" t="b">
        <f>IFERROR(__xludf.DUMMYFUNCTION("""COMPUTED_VALUE"""),FALSE)</f>
        <v>0</v>
      </c>
      <c r="M57" s="32" t="b">
        <f>IFERROR(__xludf.DUMMYFUNCTION("""COMPUTED_VALUE"""),FALSE)</f>
        <v>0</v>
      </c>
      <c r="N57" s="32"/>
    </row>
    <row r="58">
      <c r="A58" s="32" t="str">
        <f>IFERROR(__xludf.DUMMYFUNCTION("""COMPUTED_VALUE"""),"Celestial Portal")</f>
        <v>Celestial Portal</v>
      </c>
      <c r="B58" s="34">
        <f>IFERROR(__xludf.DUMMYFUNCTION("""COMPUTED_VALUE"""),2.0)</f>
        <v>2</v>
      </c>
      <c r="C58" s="32">
        <f>IFERROR(__xludf.DUMMYFUNCTION("""COMPUTED_VALUE"""),200.0)</f>
        <v>200</v>
      </c>
      <c r="D58" s="32"/>
      <c r="E58" s="32" t="str">
        <f>IFERROR(__xludf.DUMMYFUNCTION("""COMPUTED_VALUE"""),"6000 celestial continuous damage to one target.")</f>
        <v>6000 celestial continuous damage to one target.</v>
      </c>
      <c r="F58" s="32" t="str">
        <f>IFERROR(__xludf.DUMMYFUNCTION("""COMPUTED_VALUE"""),"Hit or Miss")</f>
        <v>Hit or Miss</v>
      </c>
      <c r="G58" s="32">
        <f>IFERROR(__xludf.DUMMYFUNCTION("""COMPUTED_VALUE"""),1.0)</f>
        <v>1</v>
      </c>
      <c r="H58" s="32" t="str">
        <f>IFERROR(__xludf.DUMMYFUNCTION("""COMPUTED_VALUE"""),"Celestial")</f>
        <v>Celestial</v>
      </c>
      <c r="I58" s="32" t="str">
        <f>IFERROR(__xludf.DUMMYFUNCTION("""COMPUTED_VALUE"""),"Player")</f>
        <v>Player</v>
      </c>
      <c r="J58" s="32" t="b">
        <f>IFERROR(__xludf.DUMMYFUNCTION("""COMPUTED_VALUE"""),FALSE)</f>
        <v>0</v>
      </c>
      <c r="K58"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32" t="b">
        <f>IFERROR(__xludf.DUMMYFUNCTION("""COMPUTED_VALUE"""),FALSE)</f>
        <v>0</v>
      </c>
      <c r="M58" s="32" t="b">
        <f>IFERROR(__xludf.DUMMYFUNCTION("""COMPUTED_VALUE"""),FALSE)</f>
        <v>0</v>
      </c>
      <c r="N58" s="32"/>
    </row>
    <row r="59">
      <c r="A59" s="32" t="str">
        <f>IFERROR(__xludf.DUMMYFUNCTION("""COMPUTED_VALUE"""),"Celestial Shield")</f>
        <v>Celestial Shield</v>
      </c>
      <c r="B59" s="34">
        <f>IFERROR(__xludf.DUMMYFUNCTION("""COMPUTED_VALUE"""),4.0)</f>
        <v>4</v>
      </c>
      <c r="C59" s="32">
        <f>IFERROR(__xludf.DUMMYFUNCTION("""COMPUTED_VALUE"""),400.0)</f>
        <v>400</v>
      </c>
      <c r="D59" s="32"/>
      <c r="E59" s="32" t="str">
        <f>IFERROR(__xludf.DUMMYFUNCTION("""COMPUTED_VALUE"""),"Gives caster X2 def, and X2 resistance to astral dmg. (can only be used once per battle)")</f>
        <v>Gives caster X2 def, and X2 resistance to astral dmg. (can only be used once per battle)</v>
      </c>
      <c r="F59" s="32" t="str">
        <f>IFERROR(__xludf.DUMMYFUNCTION("""COMPUTED_VALUE"""),"Will Succeed")</f>
        <v>Will Succeed</v>
      </c>
      <c r="G59" s="32"/>
      <c r="H59" s="32" t="str">
        <f>IFERROR(__xludf.DUMMYFUNCTION("""COMPUTED_VALUE"""),"Celestial")</f>
        <v>Celestial</v>
      </c>
      <c r="I59" s="32" t="str">
        <f>IFERROR(__xludf.DUMMYFUNCTION("""COMPUTED_VALUE"""),"Player")</f>
        <v>Player</v>
      </c>
      <c r="J59" s="32" t="b">
        <f>IFERROR(__xludf.DUMMYFUNCTION("""COMPUTED_VALUE"""),FALSE)</f>
        <v>0</v>
      </c>
      <c r="K59"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32" t="b">
        <f>IFERROR(__xludf.DUMMYFUNCTION("""COMPUTED_VALUE"""),FALSE)</f>
        <v>0</v>
      </c>
      <c r="M59" s="32" t="b">
        <f>IFERROR(__xludf.DUMMYFUNCTION("""COMPUTED_VALUE"""),FALSE)</f>
        <v>0</v>
      </c>
      <c r="N59" s="32"/>
    </row>
    <row r="60">
      <c r="A60" s="32" t="str">
        <f>IFERROR(__xludf.DUMMYFUNCTION("""COMPUTED_VALUE"""),"Celestial Strike")</f>
        <v>Celestial Strike</v>
      </c>
      <c r="B60" s="34">
        <f>IFERROR(__xludf.DUMMYFUNCTION("""COMPUTED_VALUE"""),1.0)</f>
        <v>1</v>
      </c>
      <c r="C60" s="32">
        <f>IFERROR(__xludf.DUMMYFUNCTION("""COMPUTED_VALUE"""),100.0)</f>
        <v>100</v>
      </c>
      <c r="D60" s="32"/>
      <c r="E60" s="32" t="str">
        <f>IFERROR(__xludf.DUMMYFUNCTION("""COMPUTED_VALUE"""),"6000 celestial damage, X2 attack and accuracy for self if you hit the target..")</f>
        <v>6000 celestial damage, X2 attack and accuracy for self if you hit the target..</v>
      </c>
      <c r="F60" s="32" t="str">
        <f>IFERROR(__xludf.DUMMYFUNCTION("""COMPUTED_VALUE"""),"Hit/Miss")</f>
        <v>Hit/Miss</v>
      </c>
      <c r="G60" s="32">
        <f>IFERROR(__xludf.DUMMYFUNCTION("""COMPUTED_VALUE"""),1.0)</f>
        <v>1</v>
      </c>
      <c r="H60" s="32" t="str">
        <f>IFERROR(__xludf.DUMMYFUNCTION("""COMPUTED_VALUE"""),"Celestial")</f>
        <v>Celestial</v>
      </c>
      <c r="I60" s="32" t="str">
        <f>IFERROR(__xludf.DUMMYFUNCTION("""COMPUTED_VALUE"""),"Player")</f>
        <v>Player</v>
      </c>
      <c r="J60" s="32" t="b">
        <f>IFERROR(__xludf.DUMMYFUNCTION("""COMPUTED_VALUE"""),FALSE)</f>
        <v>0</v>
      </c>
      <c r="K60"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32" t="b">
        <f>IFERROR(__xludf.DUMMYFUNCTION("""COMPUTED_VALUE"""),FALSE)</f>
        <v>0</v>
      </c>
      <c r="M60" s="32" t="b">
        <f>IFERROR(__xludf.DUMMYFUNCTION("""COMPUTED_VALUE"""),FALSE)</f>
        <v>0</v>
      </c>
      <c r="N60" s="32"/>
    </row>
    <row r="61">
      <c r="A61" s="32" t="str">
        <f>IFERROR(__xludf.DUMMYFUNCTION("""COMPUTED_VALUE"""),"Celestial Summon")</f>
        <v>Celestial Summon</v>
      </c>
      <c r="B61" s="34">
        <f>IFERROR(__xludf.DUMMYFUNCTION("""COMPUTED_VALUE"""),8.0)</f>
        <v>8</v>
      </c>
      <c r="C61" s="32">
        <f>IFERROR(__xludf.DUMMYFUNCTION("""COMPUTED_VALUE"""),800.0)</f>
        <v>800</v>
      </c>
      <c r="D61" s="32"/>
      <c r="E61" s="32" t="str">
        <f>IFERROR(__xludf.DUMMYFUNCTION("""COMPUTED_VALUE"""),"Summon a mob as an ally. Level and Mob is determined by DM/GM.  ")</f>
        <v>Summon a mob as an ally. Level and Mob is determined by DM/GM.  </v>
      </c>
      <c r="F61" s="32" t="str">
        <f>IFERROR(__xludf.DUMMYFUNCTION("""COMPUTED_VALUE"""),"Fail/Succeed")</f>
        <v>Fail/Succeed</v>
      </c>
      <c r="G61" s="32"/>
      <c r="H61" s="32" t="str">
        <f>IFERROR(__xludf.DUMMYFUNCTION("""COMPUTED_VALUE"""),"Celestial")</f>
        <v>Celestial</v>
      </c>
      <c r="I61" s="32" t="str">
        <f>IFERROR(__xludf.DUMMYFUNCTION("""COMPUTED_VALUE"""),"Player")</f>
        <v>Player</v>
      </c>
      <c r="J61" s="32" t="b">
        <f>IFERROR(__xludf.DUMMYFUNCTION("""COMPUTED_VALUE"""),FALSE)</f>
        <v>0</v>
      </c>
      <c r="K61"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32" t="b">
        <f>IFERROR(__xludf.DUMMYFUNCTION("""COMPUTED_VALUE"""),FALSE)</f>
        <v>0</v>
      </c>
      <c r="M61" s="32" t="b">
        <f>IFERROR(__xludf.DUMMYFUNCTION("""COMPUTED_VALUE"""),FALSE)</f>
        <v>0</v>
      </c>
      <c r="N61" s="32"/>
    </row>
    <row r="62">
      <c r="A62" s="32" t="str">
        <f>IFERROR(__xludf.DUMMYFUNCTION("""COMPUTED_VALUE"""),"Celestial Wave")</f>
        <v>Celestial Wave</v>
      </c>
      <c r="B62" s="34">
        <f>IFERROR(__xludf.DUMMYFUNCTION("""COMPUTED_VALUE"""),5.0)</f>
        <v>5</v>
      </c>
      <c r="C62" s="32">
        <f>IFERROR(__xludf.DUMMYFUNCTION("""COMPUTED_VALUE"""),500.0)</f>
        <v>500</v>
      </c>
      <c r="D62" s="32"/>
      <c r="E62" s="32" t="str">
        <f>IFERROR(__xludf.DUMMYFUNCTION("""COMPUTED_VALUE"""),"30000 Celestial dmg to all enemies.")</f>
        <v>30000 Celestial dmg to all enemies.</v>
      </c>
      <c r="F62" s="32" t="str">
        <f>IFERROR(__xludf.DUMMYFUNCTION("""COMPUTED_VALUE"""),"Cannot be avoided")</f>
        <v>Cannot be avoided</v>
      </c>
      <c r="G62" s="32"/>
      <c r="H62" s="32" t="str">
        <f>IFERROR(__xludf.DUMMYFUNCTION("""COMPUTED_VALUE"""),"Celestial")</f>
        <v>Celestial</v>
      </c>
      <c r="I62" s="32" t="str">
        <f>IFERROR(__xludf.DUMMYFUNCTION("""COMPUTED_VALUE"""),"Player")</f>
        <v>Player</v>
      </c>
      <c r="J62" s="32" t="b">
        <f>IFERROR(__xludf.DUMMYFUNCTION("""COMPUTED_VALUE"""),FALSE)</f>
        <v>0</v>
      </c>
      <c r="K62"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32" t="b">
        <f>IFERROR(__xludf.DUMMYFUNCTION("""COMPUTED_VALUE"""),FALSE)</f>
        <v>0</v>
      </c>
      <c r="M62" s="32" t="b">
        <f>IFERROR(__xludf.DUMMYFUNCTION("""COMPUTED_VALUE"""),FALSE)</f>
        <v>0</v>
      </c>
      <c r="N62" s="32"/>
    </row>
    <row r="63">
      <c r="A63" s="32" t="str">
        <f>IFERROR(__xludf.DUMMYFUNCTION("""COMPUTED_VALUE"""),"Celestial Wrath")</f>
        <v>Celestial Wrath</v>
      </c>
      <c r="B63" s="34">
        <f>IFERROR(__xludf.DUMMYFUNCTION("""COMPUTED_VALUE"""),7.0)</f>
        <v>7</v>
      </c>
      <c r="C63" s="32">
        <f>IFERROR(__xludf.DUMMYFUNCTION("""COMPUTED_VALUE"""),700.0)</f>
        <v>700</v>
      </c>
      <c r="D63" s="32"/>
      <c r="E63" s="32" t="str">
        <f>IFERROR(__xludf.DUMMYFUNCTION("""COMPUTED_VALUE"""),"Causes 42000 Celestial dmg to all enemies, +7000 def to self and allies.")</f>
        <v>Causes 42000 Celestial dmg to all enemies, +7000 def to self and allies.</v>
      </c>
      <c r="F63" s="32" t="str">
        <f>IFERROR(__xludf.DUMMYFUNCTION("""COMPUTED_VALUE"""),"Cannot Avoid")</f>
        <v>Cannot Avoid</v>
      </c>
      <c r="G63" s="32"/>
      <c r="H63" s="32" t="str">
        <f>IFERROR(__xludf.DUMMYFUNCTION("""COMPUTED_VALUE"""),"Celestial")</f>
        <v>Celestial</v>
      </c>
      <c r="I63" s="32" t="str">
        <f>IFERROR(__xludf.DUMMYFUNCTION("""COMPUTED_VALUE"""),"Player")</f>
        <v>Player</v>
      </c>
      <c r="J63" s="32" t="b">
        <f>IFERROR(__xludf.DUMMYFUNCTION("""COMPUTED_VALUE"""),FALSE)</f>
        <v>0</v>
      </c>
      <c r="K63"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32" t="b">
        <f>IFERROR(__xludf.DUMMYFUNCTION("""COMPUTED_VALUE"""),FALSE)</f>
        <v>0</v>
      </c>
      <c r="M63" s="32" t="b">
        <f>IFERROR(__xludf.DUMMYFUNCTION("""COMPUTED_VALUE"""),FALSE)</f>
        <v>0</v>
      </c>
      <c r="N63" s="32"/>
    </row>
    <row r="64">
      <c r="A64" s="32" t="str">
        <f>IFERROR(__xludf.DUMMYFUNCTION("""COMPUTED_VALUE"""),"Defender of The Flame")</f>
        <v>Defender of The Flame</v>
      </c>
      <c r="B64" s="34">
        <f>IFERROR(__xludf.DUMMYFUNCTION("""COMPUTED_VALUE"""),9.0)</f>
        <v>9</v>
      </c>
      <c r="C64" s="32">
        <f>IFERROR(__xludf.DUMMYFUNCTION("""COMPUTED_VALUE"""),900.0)</f>
        <v>900</v>
      </c>
      <c r="D64" s="32"/>
      <c r="E64" s="32"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32" t="str">
        <f>IFERROR(__xludf.DUMMYFUNCTION("""COMPUTED_VALUE"""),"Fail/Succeed")</f>
        <v>Fail/Succeed</v>
      </c>
      <c r="G64" s="32" t="str">
        <f>IFERROR(__xludf.DUMMYFUNCTION("""COMPUTED_VALUE"""),"Self")</f>
        <v>Self</v>
      </c>
      <c r="H64" s="32" t="str">
        <f>IFERROR(__xludf.DUMMYFUNCTION("""COMPUTED_VALUE"""),"Celestial")</f>
        <v>Celestial</v>
      </c>
      <c r="I64" s="32" t="str">
        <f>IFERROR(__xludf.DUMMYFUNCTION("""COMPUTED_VALUE"""),"Player")</f>
        <v>Player</v>
      </c>
      <c r="J64" s="32" t="b">
        <f>IFERROR(__xludf.DUMMYFUNCTION("""COMPUTED_VALUE"""),TRUE)</f>
        <v>1</v>
      </c>
      <c r="K64" s="3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32" t="b">
        <f>IFERROR(__xludf.DUMMYFUNCTION("""COMPUTED_VALUE"""),FALSE)</f>
        <v>0</v>
      </c>
      <c r="M64" s="32" t="b">
        <f>IFERROR(__xludf.DUMMYFUNCTION("""COMPUTED_VALUE"""),FALSE)</f>
        <v>0</v>
      </c>
      <c r="N64" s="32"/>
    </row>
    <row r="65">
      <c r="A65" s="32" t="str">
        <f>IFERROR(__xludf.DUMMYFUNCTION("""COMPUTED_VALUE"""),"Duplicate")</f>
        <v>Duplicate</v>
      </c>
      <c r="B65" s="34">
        <f>IFERROR(__xludf.DUMMYFUNCTION("""COMPUTED_VALUE"""),9.0)</f>
        <v>9</v>
      </c>
      <c r="C65" s="32">
        <f>IFERROR(__xludf.DUMMYFUNCTION("""COMPUTED_VALUE"""),1000.0)</f>
        <v>1000</v>
      </c>
      <c r="D65" s="32"/>
      <c r="E65" s="32" t="str">
        <f>IFERROR(__xludf.DUMMYFUNCTION("""COMPUTED_VALUE"""),"Duplicate an item of choice in your bag or inventory. (spell can only be used once per week in real time.)")</f>
        <v>Duplicate an item of choice in your bag or inventory. (spell can only be used once per week in real time.)</v>
      </c>
      <c r="F65" s="32" t="str">
        <f>IFERROR(__xludf.DUMMYFUNCTION("""COMPUTED_VALUE"""),"Will Succeed")</f>
        <v>Will Succeed</v>
      </c>
      <c r="G65" s="32"/>
      <c r="H65" s="32" t="str">
        <f>IFERROR(__xludf.DUMMYFUNCTION("""COMPUTED_VALUE"""),"Celestial")</f>
        <v>Celestial</v>
      </c>
      <c r="I65" s="32" t="str">
        <f>IFERROR(__xludf.DUMMYFUNCTION("""COMPUTED_VALUE"""),"Player")</f>
        <v>Player</v>
      </c>
      <c r="J65" s="32" t="b">
        <f>IFERROR(__xludf.DUMMYFUNCTION("""COMPUTED_VALUE"""),FALSE)</f>
        <v>0</v>
      </c>
      <c r="K65"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32" t="b">
        <f>IFERROR(__xludf.DUMMYFUNCTION("""COMPUTED_VALUE"""),FALSE)</f>
        <v>0</v>
      </c>
      <c r="M65" s="32" t="b">
        <f>IFERROR(__xludf.DUMMYFUNCTION("""COMPUTED_VALUE"""),FALSE)</f>
        <v>0</v>
      </c>
      <c r="N65" s="32"/>
    </row>
    <row r="66">
      <c r="A66" s="32" t="str">
        <f>IFERROR(__xludf.DUMMYFUNCTION("""COMPUTED_VALUE"""),"Legend of the Inflamed Apprentice")</f>
        <v>Legend of the Inflamed Apprentice</v>
      </c>
      <c r="B66" s="34">
        <f>IFERROR(__xludf.DUMMYFUNCTION("""COMPUTED_VALUE"""),9.0)</f>
        <v>9</v>
      </c>
      <c r="C66" s="32">
        <f>IFERROR(__xludf.DUMMYFUNCTION("""COMPUTED_VALUE"""),900.0)</f>
        <v>900</v>
      </c>
      <c r="D66" s="32"/>
      <c r="E66" s="32"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32" t="str">
        <f>IFERROR(__xludf.DUMMYFUNCTION("""COMPUTED_VALUE"""),"Fail/Succeed")</f>
        <v>Fail/Succeed</v>
      </c>
      <c r="G66" s="32" t="str">
        <f>IFERROR(__xludf.DUMMYFUNCTION("""COMPUTED_VALUE"""),"Self")</f>
        <v>Self</v>
      </c>
      <c r="H66" s="32" t="str">
        <f>IFERROR(__xludf.DUMMYFUNCTION("""COMPUTED_VALUE"""),"Celestial")</f>
        <v>Celestial</v>
      </c>
      <c r="I66" s="32" t="str">
        <f>IFERROR(__xludf.DUMMYFUNCTION("""COMPUTED_VALUE"""),"Player")</f>
        <v>Player</v>
      </c>
      <c r="J66" s="32" t="b">
        <f>IFERROR(__xludf.DUMMYFUNCTION("""COMPUTED_VALUE"""),TRUE)</f>
        <v>1</v>
      </c>
      <c r="K66" s="3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32" t="b">
        <f>IFERROR(__xludf.DUMMYFUNCTION("""COMPUTED_VALUE"""),FALSE)</f>
        <v>0</v>
      </c>
      <c r="M66" s="32" t="b">
        <f>IFERROR(__xludf.DUMMYFUNCTION("""COMPUTED_VALUE"""),FALSE)</f>
        <v>0</v>
      </c>
      <c r="N66" s="32"/>
    </row>
    <row r="67">
      <c r="A67" s="32" t="str">
        <f>IFERROR(__xludf.DUMMYFUNCTION("""COMPUTED_VALUE"""),"Legend of The Inflamed Master")</f>
        <v>Legend of The Inflamed Master</v>
      </c>
      <c r="B67" s="34">
        <f>IFERROR(__xludf.DUMMYFUNCTION("""COMPUTED_VALUE"""),9.0)</f>
        <v>9</v>
      </c>
      <c r="C67" s="32">
        <f>IFERROR(__xludf.DUMMYFUNCTION("""COMPUTED_VALUE"""),900.0)</f>
        <v>900</v>
      </c>
      <c r="D67" s="32"/>
      <c r="E67" s="32"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32" t="str">
        <f>IFERROR(__xludf.DUMMYFUNCTION("""COMPUTED_VALUE"""),"Fail/Succeed")</f>
        <v>Fail/Succeed</v>
      </c>
      <c r="G67" s="32" t="str">
        <f>IFERROR(__xludf.DUMMYFUNCTION("""COMPUTED_VALUE"""),"Self")</f>
        <v>Self</v>
      </c>
      <c r="H67" s="32" t="str">
        <f>IFERROR(__xludf.DUMMYFUNCTION("""COMPUTED_VALUE"""),"Celestial")</f>
        <v>Celestial</v>
      </c>
      <c r="I67" s="32" t="str">
        <f>IFERROR(__xludf.DUMMYFUNCTION("""COMPUTED_VALUE"""),"Player")</f>
        <v>Player</v>
      </c>
      <c r="J67" s="32" t="b">
        <f>IFERROR(__xludf.DUMMYFUNCTION("""COMPUTED_VALUE"""),TRUE)</f>
        <v>1</v>
      </c>
      <c r="K67" s="32"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32" t="b">
        <f>IFERROR(__xludf.DUMMYFUNCTION("""COMPUTED_VALUE"""),FALSE)</f>
        <v>0</v>
      </c>
      <c r="M67" s="32" t="b">
        <f>IFERROR(__xludf.DUMMYFUNCTION("""COMPUTED_VALUE"""),FALSE)</f>
        <v>0</v>
      </c>
      <c r="N67" s="32"/>
    </row>
    <row r="68">
      <c r="A68" s="32" t="str">
        <f>IFERROR(__xludf.DUMMYFUNCTION("""COMPUTED_VALUE"""),"Mass Destruction")</f>
        <v>Mass Destruction</v>
      </c>
      <c r="B68" s="34">
        <f>IFERROR(__xludf.DUMMYFUNCTION("""COMPUTED_VALUE"""),9.0)</f>
        <v>9</v>
      </c>
      <c r="C68" s="32">
        <f>IFERROR(__xludf.DUMMYFUNCTION("""COMPUTED_VALUE"""),900.0)</f>
        <v>900</v>
      </c>
      <c r="D68" s="32"/>
      <c r="E68" s="32" t="str">
        <f>IFERROR(__xludf.DUMMYFUNCTION("""COMPUTED_VALUE"""),"54,000 celestial damage to all enemies, 70% chance of instant death.")</f>
        <v>54,000 celestial damage to all enemies, 70% chance of instant death.</v>
      </c>
      <c r="F68" s="32" t="str">
        <f>IFERROR(__xludf.DUMMYFUNCTION("""COMPUTED_VALUE"""),"Cannot Avoid")</f>
        <v>Cannot Avoid</v>
      </c>
      <c r="G68" s="32"/>
      <c r="H68" s="32" t="str">
        <f>IFERROR(__xludf.DUMMYFUNCTION("""COMPUTED_VALUE"""),"Celestial")</f>
        <v>Celestial</v>
      </c>
      <c r="I68" s="32" t="str">
        <f>IFERROR(__xludf.DUMMYFUNCTION("""COMPUTED_VALUE"""),"Player")</f>
        <v>Player</v>
      </c>
      <c r="J68" s="32" t="b">
        <f>IFERROR(__xludf.DUMMYFUNCTION("""COMPUTED_VALUE"""),FALSE)</f>
        <v>0</v>
      </c>
      <c r="K68"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32" t="b">
        <f>IFERROR(__xludf.DUMMYFUNCTION("""COMPUTED_VALUE"""),FALSE)</f>
        <v>0</v>
      </c>
      <c r="M68" s="32" t="b">
        <f>IFERROR(__xludf.DUMMYFUNCTION("""COMPUTED_VALUE"""),FALSE)</f>
        <v>0</v>
      </c>
      <c r="N68" s="32"/>
    </row>
    <row r="69">
      <c r="A69" s="32" t="str">
        <f>IFERROR(__xludf.DUMMYFUNCTION("""COMPUTED_VALUE"""),"Solar Ward")</f>
        <v>Solar Ward</v>
      </c>
      <c r="B69" s="34">
        <f>IFERROR(__xludf.DUMMYFUNCTION("""COMPUTED_VALUE"""),0.0)</f>
        <v>0</v>
      </c>
      <c r="C69" s="32">
        <f>IFERROR(__xludf.DUMMYFUNCTION("""COMPUTED_VALUE"""),0.0)</f>
        <v>0</v>
      </c>
      <c r="D69" s="32"/>
      <c r="E69" s="32"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32" t="str">
        <f>IFERROR(__xludf.DUMMYFUNCTION("""COMPUTED_VALUE"""),"Natural/Fail or Succeed")</f>
        <v>Natural/Fail or Succeed</v>
      </c>
      <c r="G69" s="32" t="str">
        <f>IFERROR(__xludf.DUMMYFUNCTION("""COMPUTED_VALUE"""),"Self")</f>
        <v>Self</v>
      </c>
      <c r="H69" s="32" t="str">
        <f>IFERROR(__xludf.DUMMYFUNCTION("""COMPUTED_VALUE"""),"Celestial")</f>
        <v>Celestial</v>
      </c>
      <c r="I69" s="32" t="str">
        <f>IFERROR(__xludf.DUMMYFUNCTION("""COMPUTED_VALUE"""),"Mob")</f>
        <v>Mob</v>
      </c>
      <c r="J69" s="32" t="b">
        <f>IFERROR(__xludf.DUMMYFUNCTION("""COMPUTED_VALUE"""),TRUE)</f>
        <v>1</v>
      </c>
      <c r="K69" s="32"/>
      <c r="L69" s="32" t="b">
        <f>IFERROR(__xludf.DUMMYFUNCTION("""COMPUTED_VALUE"""),FALSE)</f>
        <v>0</v>
      </c>
      <c r="M69" s="32" t="b">
        <f>IFERROR(__xludf.DUMMYFUNCTION("""COMPUTED_VALUE"""),FALSE)</f>
        <v>0</v>
      </c>
      <c r="N69" s="32"/>
    </row>
    <row r="70">
      <c r="A70" s="32" t="str">
        <f>IFERROR(__xludf.DUMMYFUNCTION("""COMPUTED_VALUE"""),"Tower Of Gods")</f>
        <v>Tower Of Gods</v>
      </c>
      <c r="B70" s="34">
        <f>IFERROR(__xludf.DUMMYFUNCTION("""COMPUTED_VALUE"""),8.0)</f>
        <v>8</v>
      </c>
      <c r="C70" s="32">
        <f>IFERROR(__xludf.DUMMYFUNCTION("""COMPUTED_VALUE"""),800.0)</f>
        <v>800</v>
      </c>
      <c r="D70" s="32"/>
      <c r="E70" s="32"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32" t="str">
        <f>IFERROR(__xludf.DUMMYFUNCTION("""COMPUTED_VALUE"""),"Fail/Succeed")</f>
        <v>Fail/Succeed</v>
      </c>
      <c r="G70" s="32"/>
      <c r="H70" s="32" t="str">
        <f>IFERROR(__xludf.DUMMYFUNCTION("""COMPUTED_VALUE"""),"Celestial")</f>
        <v>Celestial</v>
      </c>
      <c r="I70" s="32" t="str">
        <f>IFERROR(__xludf.DUMMYFUNCTION("""COMPUTED_VALUE"""),"Player")</f>
        <v>Player</v>
      </c>
      <c r="J70" s="32" t="b">
        <f>IFERROR(__xludf.DUMMYFUNCTION("""COMPUTED_VALUE"""),FALSE)</f>
        <v>0</v>
      </c>
      <c r="K70"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32" t="b">
        <f>IFERROR(__xludf.DUMMYFUNCTION("""COMPUTED_VALUE"""),FALSE)</f>
        <v>0</v>
      </c>
      <c r="M70" s="32" t="b">
        <f>IFERROR(__xludf.DUMMYFUNCTION("""COMPUTED_VALUE"""),FALSE)</f>
        <v>0</v>
      </c>
      <c r="N70" s="32"/>
    </row>
    <row r="71">
      <c r="A71" s="32" t="str">
        <f>IFERROR(__xludf.DUMMYFUNCTION("""COMPUTED_VALUE"""),"Vaporize")</f>
        <v>Vaporize</v>
      </c>
      <c r="B71" s="34">
        <f>IFERROR(__xludf.DUMMYFUNCTION("""COMPUTED_VALUE"""),9.0)</f>
        <v>9</v>
      </c>
      <c r="C71" s="32" t="str">
        <f>IFERROR(__xludf.DUMMYFUNCTION("""COMPUTED_VALUE"""),"X*1000")</f>
        <v>X*1000</v>
      </c>
      <c r="D71" s="32"/>
      <c r="E71" s="32" t="str">
        <f>IFERROR(__xludf.DUMMYFUNCTION("""COMPUTED_VALUE"""),"X times 10,000  Celestial Damage to all enemies. X is = to the ammount of mana you paid")</f>
        <v>X times 10,000  Celestial Damage to all enemies. X is = to the ammount of mana you paid</v>
      </c>
      <c r="F71" s="32" t="str">
        <f>IFERROR(__xludf.DUMMYFUNCTION("""COMPUTED_VALUE"""),"Cannot Avoid")</f>
        <v>Cannot Avoid</v>
      </c>
      <c r="G71" s="32" t="str">
        <f>IFERROR(__xludf.DUMMYFUNCTION("""COMPUTED_VALUE"""),"All")</f>
        <v>All</v>
      </c>
      <c r="H71" s="32" t="str">
        <f>IFERROR(__xludf.DUMMYFUNCTION("""COMPUTED_VALUE"""),"Celestial")</f>
        <v>Celestial</v>
      </c>
      <c r="I71" s="32" t="str">
        <f>IFERROR(__xludf.DUMMYFUNCTION("""COMPUTED_VALUE"""),"Mob")</f>
        <v>Mob</v>
      </c>
      <c r="J71" s="32" t="b">
        <f>IFERROR(__xludf.DUMMYFUNCTION("""COMPUTED_VALUE"""),TRUE)</f>
        <v>1</v>
      </c>
      <c r="K71" s="3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32" t="b">
        <f>IFERROR(__xludf.DUMMYFUNCTION("""COMPUTED_VALUE"""),FALSE)</f>
        <v>0</v>
      </c>
      <c r="M71" s="32" t="b">
        <f>IFERROR(__xludf.DUMMYFUNCTION("""COMPUTED_VALUE"""),FALSE)</f>
        <v>0</v>
      </c>
      <c r="N71" s="32"/>
    </row>
    <row r="72">
      <c r="A72" s="32" t="str">
        <f>IFERROR(__xludf.DUMMYFUNCTION("""COMPUTED_VALUE"""),"World Tree Warp")</f>
        <v>World Tree Warp</v>
      </c>
      <c r="B72" s="34">
        <f>IFERROR(__xludf.DUMMYFUNCTION("""COMPUTED_VALUE"""),9.0)</f>
        <v>9</v>
      </c>
      <c r="C72" s="32">
        <f>IFERROR(__xludf.DUMMYFUNCTION("""COMPUTED_VALUE"""),900.0)</f>
        <v>900</v>
      </c>
      <c r="D72" s="32"/>
      <c r="E72" s="32" t="str">
        <f>IFERROR(__xludf.DUMMYFUNCTION("""COMPUTED_VALUE"""),"Allows the caster to warp directly to the world tree from anywhere in the Land of Spira")</f>
        <v>Allows the caster to warp directly to the world tree from anywhere in the Land of Spira</v>
      </c>
      <c r="F72" s="32" t="str">
        <f>IFERROR(__xludf.DUMMYFUNCTION("""COMPUTED_VALUE"""),"Will Succeed")</f>
        <v>Will Succeed</v>
      </c>
      <c r="G72" s="32" t="str">
        <f>IFERROR(__xludf.DUMMYFUNCTION("""COMPUTED_VALUE"""),"Self")</f>
        <v>Self</v>
      </c>
      <c r="H72" s="32" t="str">
        <f>IFERROR(__xludf.DUMMYFUNCTION("""COMPUTED_VALUE"""),"Celestial")</f>
        <v>Celestial</v>
      </c>
      <c r="I72" s="32" t="str">
        <f>IFERROR(__xludf.DUMMYFUNCTION("""COMPUTED_VALUE"""),"Player")</f>
        <v>Player</v>
      </c>
      <c r="J72" s="32" t="b">
        <f>IFERROR(__xludf.DUMMYFUNCTION("""COMPUTED_VALUE"""),TRUE)</f>
        <v>1</v>
      </c>
      <c r="K72" s="32"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32" t="b">
        <f>IFERROR(__xludf.DUMMYFUNCTION("""COMPUTED_VALUE"""),FALSE)</f>
        <v>0</v>
      </c>
      <c r="M72" s="32" t="b">
        <f>IFERROR(__xludf.DUMMYFUNCTION("""COMPUTED_VALUE"""),FALSE)</f>
        <v>0</v>
      </c>
      <c r="N72" s="32"/>
    </row>
    <row r="73">
      <c r="A73" s="32" t="str">
        <f>IFERROR(__xludf.DUMMYFUNCTION("""COMPUTED_VALUE"""),"Transformation")</f>
        <v>Transformation</v>
      </c>
      <c r="B73" s="34">
        <f>IFERROR(__xludf.DUMMYFUNCTION("""COMPUTED_VALUE"""),1.0)</f>
        <v>1</v>
      </c>
      <c r="C73" s="35" t="str">
        <f>IFERROR(__xludf.DUMMYFUNCTION("""COMPUTED_VALUE"""),"0")</f>
        <v>0</v>
      </c>
      <c r="D73" s="32"/>
      <c r="E73" s="32"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32" t="str">
        <f>IFERROR(__xludf.DUMMYFUNCTION("""COMPUTED_VALUE"""),"Fail/Succeed")</f>
        <v>Fail/Succeed</v>
      </c>
      <c r="G73" s="32" t="str">
        <f>IFERROR(__xludf.DUMMYFUNCTION("""COMPUTED_VALUE"""),"Self")</f>
        <v>Self</v>
      </c>
      <c r="H73" s="32" t="str">
        <f>IFERROR(__xludf.DUMMYFUNCTION("""COMPUTED_VALUE"""),"Celestial")</f>
        <v>Celestial</v>
      </c>
      <c r="I73" s="32" t="str">
        <f>IFERROR(__xludf.DUMMYFUNCTION("""COMPUTED_VALUE"""),"Player")</f>
        <v>Player</v>
      </c>
      <c r="J73" s="32" t="b">
        <f>IFERROR(__xludf.DUMMYFUNCTION("""COMPUTED_VALUE"""),FALSE)</f>
        <v>0</v>
      </c>
      <c r="K73" s="32"/>
      <c r="L73" s="32" t="b">
        <f>IFERROR(__xludf.DUMMYFUNCTION("""COMPUTED_VALUE"""),FALSE)</f>
        <v>0</v>
      </c>
      <c r="M73" s="32" t="b">
        <f>IFERROR(__xludf.DUMMYFUNCTION("""COMPUTED_VALUE"""),FALSE)</f>
        <v>0</v>
      </c>
      <c r="N73" s="32"/>
    </row>
    <row r="74">
      <c r="A74" s="32" t="str">
        <f>IFERROR(__xludf.DUMMYFUNCTION("""COMPUTED_VALUE"""),"Tri-Blast")</f>
        <v>Tri-Blast</v>
      </c>
      <c r="B74" s="34">
        <f>IFERROR(__xludf.DUMMYFUNCTION("""COMPUTED_VALUE"""),9.0)</f>
        <v>9</v>
      </c>
      <c r="C74" s="33">
        <f>IFERROR(__xludf.DUMMYFUNCTION("""COMPUTED_VALUE"""),24000.0)</f>
        <v>24000</v>
      </c>
      <c r="D74" s="32"/>
      <c r="E74" s="32" t="str">
        <f>IFERROR(__xludf.DUMMYFUNCTION("""COMPUTED_VALUE"""),"200,000 Water, Fire, and Nature damage to all enemies.")</f>
        <v>200,000 Water, Fire, and Nature damage to all enemies.</v>
      </c>
      <c r="F74" s="32" t="str">
        <f>IFERROR(__xludf.DUMMYFUNCTION("""COMPUTED_VALUE"""),"Cannot Avoid")</f>
        <v>Cannot Avoid</v>
      </c>
      <c r="G74" s="32" t="str">
        <f>IFERROR(__xludf.DUMMYFUNCTION("""COMPUTED_VALUE"""),"All")</f>
        <v>All</v>
      </c>
      <c r="H74" s="32" t="str">
        <f>IFERROR(__xludf.DUMMYFUNCTION("""COMPUTED_VALUE"""),"Celestial")</f>
        <v>Celestial</v>
      </c>
      <c r="I74" s="32" t="str">
        <f>IFERROR(__xludf.DUMMYFUNCTION("""COMPUTED_VALUE"""),"Mob")</f>
        <v>Mob</v>
      </c>
      <c r="J74" s="32" t="b">
        <f>IFERROR(__xludf.DUMMYFUNCTION("""COMPUTED_VALUE"""),TRUE)</f>
        <v>1</v>
      </c>
      <c r="K74" s="32"/>
      <c r="L74" s="32" t="b">
        <f>IFERROR(__xludf.DUMMYFUNCTION("""COMPUTED_VALUE"""),FALSE)</f>
        <v>0</v>
      </c>
      <c r="M74" s="32" t="b">
        <f>IFERROR(__xludf.DUMMYFUNCTION("""COMPUTED_VALUE"""),FALSE)</f>
        <v>0</v>
      </c>
      <c r="N74" s="32"/>
    </row>
    <row r="75">
      <c r="A75" s="32" t="str">
        <f>IFERROR(__xludf.DUMMYFUNCTION("""COMPUTED_VALUE"""),"Call From The Mob House")</f>
        <v>Call From The Mob House</v>
      </c>
      <c r="B75" s="34">
        <f>IFERROR(__xludf.DUMMYFUNCTION("""COMPUTED_VALUE"""),3.0)</f>
        <v>3</v>
      </c>
      <c r="C75" s="32">
        <f>IFERROR(__xludf.DUMMYFUNCTION("""COMPUTED_VALUE"""),30.0)</f>
        <v>30</v>
      </c>
      <c r="D75" s="32"/>
      <c r="E75" s="32"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32" t="str">
        <f>IFERROR(__xludf.DUMMYFUNCTION("""COMPUTED_VALUE"""),"Fail/Succeed")</f>
        <v>Fail/Succeed</v>
      </c>
      <c r="G75" s="32"/>
      <c r="H75" s="32" t="str">
        <f>IFERROR(__xludf.DUMMYFUNCTION("""COMPUTED_VALUE"""),"Chaos")</f>
        <v>Chaos</v>
      </c>
      <c r="I75" s="32" t="str">
        <f>IFERROR(__xludf.DUMMYFUNCTION("""COMPUTED_VALUE"""),"Player")</f>
        <v>Player</v>
      </c>
      <c r="J75" s="32" t="b">
        <f>IFERROR(__xludf.DUMMYFUNCTION("""COMPUTED_VALUE"""),FALSE)</f>
        <v>0</v>
      </c>
      <c r="K75" s="32"/>
      <c r="L75" s="32" t="b">
        <f>IFERROR(__xludf.DUMMYFUNCTION("""COMPUTED_VALUE"""),FALSE)</f>
        <v>0</v>
      </c>
      <c r="M75" s="32" t="b">
        <f>IFERROR(__xludf.DUMMYFUNCTION("""COMPUTED_VALUE"""),FALSE)</f>
        <v>0</v>
      </c>
      <c r="N75" s="32"/>
    </row>
    <row r="76">
      <c r="A76" s="32" t="str">
        <f>IFERROR(__xludf.DUMMYFUNCTION("""COMPUTED_VALUE"""),"Chaos Barrier")</f>
        <v>Chaos Barrier</v>
      </c>
      <c r="B76" s="34">
        <f>IFERROR(__xludf.DUMMYFUNCTION("""COMPUTED_VALUE"""),4.0)</f>
        <v>4</v>
      </c>
      <c r="C76" s="32">
        <f>IFERROR(__xludf.DUMMYFUNCTION("""COMPUTED_VALUE"""),40.0)</f>
        <v>40</v>
      </c>
      <c r="D76" s="32"/>
      <c r="E76" s="32" t="str">
        <f>IFERROR(__xludf.DUMMYFUNCTION("""COMPUTED_VALUE"""),"If the caster is hit, the attacker takes 4000 chaos dmg for 3 rounds.")</f>
        <v>If the caster is hit, the attacker takes 4000 chaos dmg for 3 rounds.</v>
      </c>
      <c r="F76" s="32" t="str">
        <f>IFERROR(__xludf.DUMMYFUNCTION("""COMPUTED_VALUE"""),"Fail/Succeed")</f>
        <v>Fail/Succeed</v>
      </c>
      <c r="G76" s="32"/>
      <c r="H76" s="32" t="str">
        <f>IFERROR(__xludf.DUMMYFUNCTION("""COMPUTED_VALUE"""),"Chaos")</f>
        <v>Chaos</v>
      </c>
      <c r="I76" s="32" t="str">
        <f>IFERROR(__xludf.DUMMYFUNCTION("""COMPUTED_VALUE"""),"Player")</f>
        <v>Player</v>
      </c>
      <c r="J76" s="32" t="b">
        <f>IFERROR(__xludf.DUMMYFUNCTION("""COMPUTED_VALUE"""),FALSE)</f>
        <v>0</v>
      </c>
      <c r="K76" s="32"/>
      <c r="L76" s="32" t="b">
        <f>IFERROR(__xludf.DUMMYFUNCTION("""COMPUTED_VALUE"""),FALSE)</f>
        <v>0</v>
      </c>
      <c r="M76" s="32" t="b">
        <f>IFERROR(__xludf.DUMMYFUNCTION("""COMPUTED_VALUE"""),FALSE)</f>
        <v>0</v>
      </c>
      <c r="N76" s="32"/>
    </row>
    <row r="77">
      <c r="A77" s="32" t="str">
        <f>IFERROR(__xludf.DUMMYFUNCTION("""COMPUTED_VALUE"""),"Chaos Ward")</f>
        <v>Chaos Ward</v>
      </c>
      <c r="B77" s="34">
        <f>IFERROR(__xludf.DUMMYFUNCTION("""COMPUTED_VALUE"""),9.0)</f>
        <v>9</v>
      </c>
      <c r="C77" s="32">
        <f>IFERROR(__xludf.DUMMYFUNCTION("""COMPUTED_VALUE"""),400.0)</f>
        <v>400</v>
      </c>
      <c r="D77" s="32"/>
      <c r="E77" s="32"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32" t="str">
        <f>IFERROR(__xludf.DUMMYFUNCTION("""COMPUTED_VALUE"""),"Fail/Succeed")</f>
        <v>Fail/Succeed</v>
      </c>
      <c r="G77" s="32">
        <f>IFERROR(__xludf.DUMMYFUNCTION("""COMPUTED_VALUE"""),1.0)</f>
        <v>1</v>
      </c>
      <c r="H77" s="32" t="str">
        <f>IFERROR(__xludf.DUMMYFUNCTION("""COMPUTED_VALUE"""),"Chaos")</f>
        <v>Chaos</v>
      </c>
      <c r="I77" s="32" t="str">
        <f>IFERROR(__xludf.DUMMYFUNCTION("""COMPUTED_VALUE"""),"Player")</f>
        <v>Player</v>
      </c>
      <c r="J77" s="32" t="b">
        <f>IFERROR(__xludf.DUMMYFUNCTION("""COMPUTED_VALUE"""),FALSE)</f>
        <v>0</v>
      </c>
      <c r="K77" s="32"/>
      <c r="L77" s="32" t="b">
        <f>IFERROR(__xludf.DUMMYFUNCTION("""COMPUTED_VALUE"""),FALSE)</f>
        <v>0</v>
      </c>
      <c r="M77" s="32" t="b">
        <f>IFERROR(__xludf.DUMMYFUNCTION("""COMPUTED_VALUE"""),FALSE)</f>
        <v>0</v>
      </c>
      <c r="N77" s="32"/>
    </row>
    <row r="78">
      <c r="A78" s="32" t="str">
        <f>IFERROR(__xludf.DUMMYFUNCTION("""COMPUTED_VALUE"""),"Chaotic Golem Scream")</f>
        <v>Chaotic Golem Scream</v>
      </c>
      <c r="B78" s="34">
        <f>IFERROR(__xludf.DUMMYFUNCTION("""COMPUTED_VALUE"""),0.0)</f>
        <v>0</v>
      </c>
      <c r="C78" s="32">
        <f>IFERROR(__xludf.DUMMYFUNCTION("""COMPUTED_VALUE"""),0.0)</f>
        <v>0</v>
      </c>
      <c r="D78" s="32"/>
      <c r="E78" s="32" t="str">
        <f>IFERROR(__xludf.DUMMYFUNCTION("""COMPUTED_VALUE"""),"All enemies are stunned for 3 rounds.")</f>
        <v>All enemies are stunned for 3 rounds.</v>
      </c>
      <c r="F78" s="32" t="str">
        <f>IFERROR(__xludf.DUMMYFUNCTION("""COMPUTED_VALUE"""),"Natural/Fail Or Succeed")</f>
        <v>Natural/Fail Or Succeed</v>
      </c>
      <c r="G78" s="32" t="str">
        <f>IFERROR(__xludf.DUMMYFUNCTION("""COMPUTED_VALUE"""),"All")</f>
        <v>All</v>
      </c>
      <c r="H78" s="32" t="str">
        <f>IFERROR(__xludf.DUMMYFUNCTION("""COMPUTED_VALUE"""),"Chaos")</f>
        <v>Chaos</v>
      </c>
      <c r="I78" s="32" t="str">
        <f>IFERROR(__xludf.DUMMYFUNCTION("""COMPUTED_VALUE"""),"Mob")</f>
        <v>Mob</v>
      </c>
      <c r="J78" s="32" t="b">
        <f>IFERROR(__xludf.DUMMYFUNCTION("""COMPUTED_VALUE"""),TRUE)</f>
        <v>1</v>
      </c>
      <c r="K78" s="32" t="str">
        <f>IFERROR(__xludf.DUMMYFUNCTION("""COMPUTED_VALUE"""),"Players cannot obtain this spell.")</f>
        <v>Players cannot obtain this spell.</v>
      </c>
      <c r="L78" s="32" t="b">
        <f>IFERROR(__xludf.DUMMYFUNCTION("""COMPUTED_VALUE"""),FALSE)</f>
        <v>0</v>
      </c>
      <c r="M78" s="32" t="b">
        <f>IFERROR(__xludf.DUMMYFUNCTION("""COMPUTED_VALUE"""),FALSE)</f>
        <v>0</v>
      </c>
      <c r="N78" s="32"/>
    </row>
    <row r="79">
      <c r="A79" s="32" t="str">
        <f>IFERROR(__xludf.DUMMYFUNCTION("""COMPUTED_VALUE"""),"Chaotic Increase")</f>
        <v>Chaotic Increase</v>
      </c>
      <c r="B79" s="34">
        <f>IFERROR(__xludf.DUMMYFUNCTION("""COMPUTED_VALUE"""),5.0)</f>
        <v>5</v>
      </c>
      <c r="C79" s="32">
        <f>IFERROR(__xludf.DUMMYFUNCTION("""COMPUTED_VALUE"""),200.0)</f>
        <v>200</v>
      </c>
      <c r="D79" s="32"/>
      <c r="E79" s="32" t="str">
        <f>IFERROR(__xludf.DUMMYFUNCTION("""COMPUTED_VALUE"""),"Increases chaos dmg by X4 for the caster.")</f>
        <v>Increases chaos dmg by X4 for the caster.</v>
      </c>
      <c r="F79" s="32" t="str">
        <f>IFERROR(__xludf.DUMMYFUNCTION("""COMPUTED_VALUE"""),"Will Succeed")</f>
        <v>Will Succeed</v>
      </c>
      <c r="G79" s="32"/>
      <c r="H79" s="32" t="str">
        <f>IFERROR(__xludf.DUMMYFUNCTION("""COMPUTED_VALUE"""),"Chaos")</f>
        <v>Chaos</v>
      </c>
      <c r="I79" s="32" t="str">
        <f>IFERROR(__xludf.DUMMYFUNCTION("""COMPUTED_VALUE"""),"Player")</f>
        <v>Player</v>
      </c>
      <c r="J79" s="32" t="b">
        <f>IFERROR(__xludf.DUMMYFUNCTION("""COMPUTED_VALUE"""),FALSE)</f>
        <v>0</v>
      </c>
      <c r="K79" s="32"/>
      <c r="L79" s="32" t="b">
        <f>IFERROR(__xludf.DUMMYFUNCTION("""COMPUTED_VALUE"""),FALSE)</f>
        <v>0</v>
      </c>
      <c r="M79" s="32" t="b">
        <f>IFERROR(__xludf.DUMMYFUNCTION("""COMPUTED_VALUE"""),FALSE)</f>
        <v>0</v>
      </c>
      <c r="N79" s="32"/>
    </row>
    <row r="80">
      <c r="A80" s="32" t="str">
        <f>IFERROR(__xludf.DUMMYFUNCTION("""COMPUTED_VALUE"""),"Chaotic Phantom Blast")</f>
        <v>Chaotic Phantom Blast</v>
      </c>
      <c r="B80" s="34">
        <f>IFERROR(__xludf.DUMMYFUNCTION("""COMPUTED_VALUE"""),9.0)</f>
        <v>9</v>
      </c>
      <c r="C80" s="32" t="str">
        <f>IFERROR(__xludf.DUMMYFUNCTION("""COMPUTED_VALUE"""),"X")</f>
        <v>X</v>
      </c>
      <c r="D80" s="32"/>
      <c r="E80" s="32" t="str">
        <f>IFERROR(__xludf.DUMMYFUNCTION("""COMPUTED_VALUE"""),"X*15 Dark and X*15 Chaos damage to all enemies where X is equal to SP spent.")</f>
        <v>X*15 Dark and X*15 Chaos damage to all enemies where X is equal to SP spent.</v>
      </c>
      <c r="F80" s="32" t="str">
        <f>IFERROR(__xludf.DUMMYFUNCTION("""COMPUTED_VALUE"""),"Cannot Avoid")</f>
        <v>Cannot Avoid</v>
      </c>
      <c r="G80" s="32" t="str">
        <f>IFERROR(__xludf.DUMMYFUNCTION("""COMPUTED_VALUE"""),"All")</f>
        <v>All</v>
      </c>
      <c r="H80" s="32" t="str">
        <f>IFERROR(__xludf.DUMMYFUNCTION("""COMPUTED_VALUE"""),"Chaos")</f>
        <v>Chaos</v>
      </c>
      <c r="I80" s="32" t="str">
        <f>IFERROR(__xludf.DUMMYFUNCTION("""COMPUTED_VALUE"""),"Mob")</f>
        <v>Mob</v>
      </c>
      <c r="J80" s="32" t="b">
        <f>IFERROR(__xludf.DUMMYFUNCTION("""COMPUTED_VALUE"""),TRUE)</f>
        <v>1</v>
      </c>
      <c r="K80" s="32"/>
      <c r="L80" s="32" t="b">
        <f>IFERROR(__xludf.DUMMYFUNCTION("""COMPUTED_VALUE"""),FALSE)</f>
        <v>0</v>
      </c>
      <c r="M80" s="32" t="b">
        <f>IFERROR(__xludf.DUMMYFUNCTION("""COMPUTED_VALUE"""),FALSE)</f>
        <v>0</v>
      </c>
      <c r="N80" s="32"/>
    </row>
    <row r="81">
      <c r="A81" s="32" t="str">
        <f>IFERROR(__xludf.DUMMYFUNCTION("""COMPUTED_VALUE"""),"Chaotic Royal Barrier")</f>
        <v>Chaotic Royal Barrier</v>
      </c>
      <c r="B81" s="34">
        <f>IFERROR(__xludf.DUMMYFUNCTION("""COMPUTED_VALUE"""),9.0)</f>
        <v>9</v>
      </c>
      <c r="C81" s="33">
        <f>IFERROR(__xludf.DUMMYFUNCTION("""COMPUTED_VALUE"""),10000.0)</f>
        <v>10000</v>
      </c>
      <c r="D81" s="32"/>
      <c r="E81" s="32" t="str">
        <f>IFERROR(__xludf.DUMMYFUNCTION("""COMPUTED_VALUE"""),"Caster and allies are protected from all dmg for 3 rounds.")</f>
        <v>Caster and allies are protected from all dmg for 3 rounds.</v>
      </c>
      <c r="F81" s="32" t="str">
        <f>IFERROR(__xludf.DUMMYFUNCTION("""COMPUTED_VALUE"""),"Fail/Succeed")</f>
        <v>Fail/Succeed</v>
      </c>
      <c r="G81" s="32" t="str">
        <f>IFERROR(__xludf.DUMMYFUNCTION("""COMPUTED_VALUE"""),"Self")</f>
        <v>Self</v>
      </c>
      <c r="H81" s="32" t="str">
        <f>IFERROR(__xludf.DUMMYFUNCTION("""COMPUTED_VALUE"""),"Chaos")</f>
        <v>Chaos</v>
      </c>
      <c r="I81" s="32" t="str">
        <f>IFERROR(__xludf.DUMMYFUNCTION("""COMPUTED_VALUE"""),"Mob")</f>
        <v>Mob</v>
      </c>
      <c r="J81" s="32" t="b">
        <f>IFERROR(__xludf.DUMMYFUNCTION("""COMPUTED_VALUE"""),TRUE)</f>
        <v>1</v>
      </c>
      <c r="K81" s="32"/>
      <c r="L81" s="32" t="b">
        <f>IFERROR(__xludf.DUMMYFUNCTION("""COMPUTED_VALUE"""),FALSE)</f>
        <v>0</v>
      </c>
      <c r="M81" s="32" t="b">
        <f>IFERROR(__xludf.DUMMYFUNCTION("""COMPUTED_VALUE"""),FALSE)</f>
        <v>0</v>
      </c>
      <c r="N81" s="32"/>
    </row>
    <row r="82">
      <c r="A82" s="32" t="str">
        <f>IFERROR(__xludf.DUMMYFUNCTION("""COMPUTED_VALUE"""),"Chaotic Shadow Barrier")</f>
        <v>Chaotic Shadow Barrier</v>
      </c>
      <c r="B82" s="34">
        <f>IFERROR(__xludf.DUMMYFUNCTION("""COMPUTED_VALUE"""),9.0)</f>
        <v>9</v>
      </c>
      <c r="C82" s="33">
        <f>IFERROR(__xludf.DUMMYFUNCTION("""COMPUTED_VALUE"""),10000.0)</f>
        <v>10000</v>
      </c>
      <c r="D82" s="32"/>
      <c r="E82" s="32" t="str">
        <f>IFERROR(__xludf.DUMMYFUNCTION("""COMPUTED_VALUE"""),"Target is protected from all spells for 3 rounds")</f>
        <v>Target is protected from all spells for 3 rounds</v>
      </c>
      <c r="F82" s="32" t="str">
        <f>IFERROR(__xludf.DUMMYFUNCTION("""COMPUTED_VALUE"""),"Fail/Succeed")</f>
        <v>Fail/Succeed</v>
      </c>
      <c r="G82" s="32" t="str">
        <f>IFERROR(__xludf.DUMMYFUNCTION("""COMPUTED_VALUE"""),"Self")</f>
        <v>Self</v>
      </c>
      <c r="H82" s="32" t="str">
        <f>IFERROR(__xludf.DUMMYFUNCTION("""COMPUTED_VALUE"""),"Chaos")</f>
        <v>Chaos</v>
      </c>
      <c r="I82" s="32" t="str">
        <f>IFERROR(__xludf.DUMMYFUNCTION("""COMPUTED_VALUE"""),"Mob")</f>
        <v>Mob</v>
      </c>
      <c r="J82" s="32" t="b">
        <f>IFERROR(__xludf.DUMMYFUNCTION("""COMPUTED_VALUE"""),TRUE)</f>
        <v>1</v>
      </c>
      <c r="K82" s="32"/>
      <c r="L82" s="32" t="b">
        <f>IFERROR(__xludf.DUMMYFUNCTION("""COMPUTED_VALUE"""),FALSE)</f>
        <v>0</v>
      </c>
      <c r="M82" s="32" t="b">
        <f>IFERROR(__xludf.DUMMYFUNCTION("""COMPUTED_VALUE"""),FALSE)</f>
        <v>0</v>
      </c>
      <c r="N82" s="32"/>
    </row>
    <row r="83">
      <c r="A83" s="32" t="str">
        <f>IFERROR(__xludf.DUMMYFUNCTION("""COMPUTED_VALUE"""),"Chaotic Shadow Breath")</f>
        <v>Chaotic Shadow Breath</v>
      </c>
      <c r="B83" s="34">
        <f>IFERROR(__xludf.DUMMYFUNCTION("""COMPUTED_VALUE"""),0.0)</f>
        <v>0</v>
      </c>
      <c r="C83" s="32">
        <f>IFERROR(__xludf.DUMMYFUNCTION("""COMPUTED_VALUE"""),0.0)</f>
        <v>0</v>
      </c>
      <c r="D83" s="32"/>
      <c r="E83" s="32" t="str">
        <f>IFERROR(__xludf.DUMMYFUNCTION("""COMPUTED_VALUE"""),"All enemies take X Dark and X Chaos damage where X is equal to the users accuracy.")</f>
        <v>All enemies take X Dark and X Chaos damage where X is equal to the users accuracy.</v>
      </c>
      <c r="F83" s="32" t="str">
        <f>IFERROR(__xludf.DUMMYFUNCTION("""COMPUTED_VALUE"""),"Natural/Cannot Avoid")</f>
        <v>Natural/Cannot Avoid</v>
      </c>
      <c r="G83" s="32" t="str">
        <f>IFERROR(__xludf.DUMMYFUNCTION("""COMPUTED_VALUE"""),"All")</f>
        <v>All</v>
      </c>
      <c r="H83" s="32" t="str">
        <f>IFERROR(__xludf.DUMMYFUNCTION("""COMPUTED_VALUE"""),"Chaos")</f>
        <v>Chaos</v>
      </c>
      <c r="I83" s="32" t="str">
        <f>IFERROR(__xludf.DUMMYFUNCTION("""COMPUTED_VALUE"""),"Mob")</f>
        <v>Mob</v>
      </c>
      <c r="J83" s="32" t="b">
        <f>IFERROR(__xludf.DUMMYFUNCTION("""COMPUTED_VALUE"""),TRUE)</f>
        <v>1</v>
      </c>
      <c r="K83" s="32" t="str">
        <f>IFERROR(__xludf.DUMMYFUNCTION("""COMPUTED_VALUE"""),"Players cannot obtain this power.")</f>
        <v>Players cannot obtain this power.</v>
      </c>
      <c r="L83" s="32" t="b">
        <f>IFERROR(__xludf.DUMMYFUNCTION("""COMPUTED_VALUE"""),FALSE)</f>
        <v>0</v>
      </c>
      <c r="M83" s="32" t="b">
        <f>IFERROR(__xludf.DUMMYFUNCTION("""COMPUTED_VALUE"""),FALSE)</f>
        <v>0</v>
      </c>
      <c r="N83" s="32"/>
    </row>
    <row r="84">
      <c r="A84" s="32" t="str">
        <f>IFERROR(__xludf.DUMMYFUNCTION("""COMPUTED_VALUE"""),"Chaotic Shadow Claws")</f>
        <v>Chaotic Shadow Claws</v>
      </c>
      <c r="B84" s="34">
        <f>IFERROR(__xludf.DUMMYFUNCTION("""COMPUTED_VALUE"""),0.0)</f>
        <v>0</v>
      </c>
      <c r="C84" s="32">
        <f>IFERROR(__xludf.DUMMYFUNCTION("""COMPUTED_VALUE"""),0.0)</f>
        <v>0</v>
      </c>
      <c r="D84" s="32"/>
      <c r="E84" s="32"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32" t="str">
        <f>IFERROR(__xludf.DUMMYFUNCTION("""COMPUTED_VALUE"""),"Natural/Hit or Miss")</f>
        <v>Natural/Hit or Miss</v>
      </c>
      <c r="G84" s="32">
        <f>IFERROR(__xludf.DUMMYFUNCTION("""COMPUTED_VALUE"""),1.0)</f>
        <v>1</v>
      </c>
      <c r="H84" s="32" t="str">
        <f>IFERROR(__xludf.DUMMYFUNCTION("""COMPUTED_VALUE"""),"Chaos")</f>
        <v>Chaos</v>
      </c>
      <c r="I84" s="32" t="str">
        <f>IFERROR(__xludf.DUMMYFUNCTION("""COMPUTED_VALUE"""),"Mob")</f>
        <v>Mob</v>
      </c>
      <c r="J84" s="32" t="b">
        <f>IFERROR(__xludf.DUMMYFUNCTION("""COMPUTED_VALUE"""),TRUE)</f>
        <v>1</v>
      </c>
      <c r="K84" s="32"/>
      <c r="L84" s="32" t="b">
        <f>IFERROR(__xludf.DUMMYFUNCTION("""COMPUTED_VALUE"""),FALSE)</f>
        <v>0</v>
      </c>
      <c r="M84" s="32" t="b">
        <f>IFERROR(__xludf.DUMMYFUNCTION("""COMPUTED_VALUE"""),FALSE)</f>
        <v>0</v>
      </c>
      <c r="N84" s="32"/>
    </row>
    <row r="85">
      <c r="A85" s="32" t="str">
        <f>IFERROR(__xludf.DUMMYFUNCTION("""COMPUTED_VALUE"""),"Chaotic Shadow Dragons War Call")</f>
        <v>Chaotic Shadow Dragons War Call</v>
      </c>
      <c r="B85" s="34">
        <f>IFERROR(__xludf.DUMMYFUNCTION("""COMPUTED_VALUE"""),0.0)</f>
        <v>0</v>
      </c>
      <c r="C85" s="32">
        <f>IFERROR(__xludf.DUMMYFUNCTION("""COMPUTED_VALUE"""),0.0)</f>
        <v>0</v>
      </c>
      <c r="D85" s="32"/>
      <c r="E85" s="32" t="str">
        <f>IFERROR(__xludf.DUMMYFUNCTION("""COMPUTED_VALUE"""),"Calls in 2 other Multi headed Chaotic Shadow Dragon’s to battle, 50% chance to call in 3.")</f>
        <v>Calls in 2 other Multi headed Chaotic Shadow Dragon’s to battle, 50% chance to call in 3.</v>
      </c>
      <c r="F85" s="32" t="str">
        <f>IFERROR(__xludf.DUMMYFUNCTION("""COMPUTED_VALUE"""),"Natural/Fail or Succeed")</f>
        <v>Natural/Fail or Succeed</v>
      </c>
      <c r="G85" s="32" t="str">
        <f>IFERROR(__xludf.DUMMYFUNCTION("""COMPUTED_VALUE"""),"Self")</f>
        <v>Self</v>
      </c>
      <c r="H85" s="32" t="str">
        <f>IFERROR(__xludf.DUMMYFUNCTION("""COMPUTED_VALUE"""),"Chaos")</f>
        <v>Chaos</v>
      </c>
      <c r="I85" s="32" t="str">
        <f>IFERROR(__xludf.DUMMYFUNCTION("""COMPUTED_VALUE"""),"Mob")</f>
        <v>Mob</v>
      </c>
      <c r="J85" s="32" t="b">
        <f>IFERROR(__xludf.DUMMYFUNCTION("""COMPUTED_VALUE"""),TRUE)</f>
        <v>1</v>
      </c>
      <c r="K85" s="32"/>
      <c r="L85" s="32" t="b">
        <f>IFERROR(__xludf.DUMMYFUNCTION("""COMPUTED_VALUE"""),FALSE)</f>
        <v>0</v>
      </c>
      <c r="M85" s="32" t="b">
        <f>IFERROR(__xludf.DUMMYFUNCTION("""COMPUTED_VALUE"""),FALSE)</f>
        <v>0</v>
      </c>
      <c r="N85" s="32"/>
    </row>
    <row r="86">
      <c r="A86" s="32" t="str">
        <f>IFERROR(__xludf.DUMMYFUNCTION("""COMPUTED_VALUE"""),"Chaotic Shadow Dragons Wrath")</f>
        <v>Chaotic Shadow Dragons Wrath</v>
      </c>
      <c r="B86" s="34">
        <f>IFERROR(__xludf.DUMMYFUNCTION("""COMPUTED_VALUE"""),0.0)</f>
        <v>0</v>
      </c>
      <c r="C86" s="32">
        <f>IFERROR(__xludf.DUMMYFUNCTION("""COMPUTED_VALUE"""),0.0)</f>
        <v>0</v>
      </c>
      <c r="D86" s="32"/>
      <c r="E86" s="32" t="str">
        <f>IFERROR(__xludf.DUMMYFUNCTION("""COMPUTED_VALUE"""),"X Dark, X Fire, and X Chaos damage to all enemies, where X is equal to the users accuracy.")</f>
        <v>X Dark, X Fire, and X Chaos damage to all enemies, where X is equal to the users accuracy.</v>
      </c>
      <c r="F86" s="32" t="str">
        <f>IFERROR(__xludf.DUMMYFUNCTION("""COMPUTED_VALUE"""),"Natural/Cannot Avoid")</f>
        <v>Natural/Cannot Avoid</v>
      </c>
      <c r="G86" s="32" t="str">
        <f>IFERROR(__xludf.DUMMYFUNCTION("""COMPUTED_VALUE"""),"All")</f>
        <v>All</v>
      </c>
      <c r="H86" s="32" t="str">
        <f>IFERROR(__xludf.DUMMYFUNCTION("""COMPUTED_VALUE"""),"Chaos")</f>
        <v>Chaos</v>
      </c>
      <c r="I86" s="32" t="str">
        <f>IFERROR(__xludf.DUMMYFUNCTION("""COMPUTED_VALUE"""),"Mob")</f>
        <v>Mob</v>
      </c>
      <c r="J86" s="32" t="b">
        <f>IFERROR(__xludf.DUMMYFUNCTION("""COMPUTED_VALUE"""),TRUE)</f>
        <v>1</v>
      </c>
      <c r="K86" s="32"/>
      <c r="L86" s="32" t="b">
        <f>IFERROR(__xludf.DUMMYFUNCTION("""COMPUTED_VALUE"""),FALSE)</f>
        <v>0</v>
      </c>
      <c r="M86" s="32" t="b">
        <f>IFERROR(__xludf.DUMMYFUNCTION("""COMPUTED_VALUE"""),FALSE)</f>
        <v>0</v>
      </c>
      <c r="N86" s="32"/>
    </row>
    <row r="87">
      <c r="A87" s="32" t="str">
        <f>IFERROR(__xludf.DUMMYFUNCTION("""COMPUTED_VALUE"""),"Chaotic Shadow Force")</f>
        <v>Chaotic Shadow Force</v>
      </c>
      <c r="B87" s="34">
        <f>IFERROR(__xludf.DUMMYFUNCTION("""COMPUTED_VALUE"""),0.0)</f>
        <v>0</v>
      </c>
      <c r="C87" s="32">
        <f>IFERROR(__xludf.DUMMYFUNCTION("""COMPUTED_VALUE"""),0.0)</f>
        <v>0</v>
      </c>
      <c r="D87" s="32"/>
      <c r="E87" s="32"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32" t="str">
        <f>IFERROR(__xludf.DUMMYFUNCTION("""COMPUTED_VALUE"""),"Natural/Fail Or Succeed")</f>
        <v>Natural/Fail Or Succeed</v>
      </c>
      <c r="G87" s="32">
        <f>IFERROR(__xludf.DUMMYFUNCTION("""COMPUTED_VALUE"""),1.0)</f>
        <v>1</v>
      </c>
      <c r="H87" s="32" t="str">
        <f>IFERROR(__xludf.DUMMYFUNCTION("""COMPUTED_VALUE"""),"Chaos")</f>
        <v>Chaos</v>
      </c>
      <c r="I87" s="32" t="str">
        <f>IFERROR(__xludf.DUMMYFUNCTION("""COMPUTED_VALUE"""),"Mob")</f>
        <v>Mob</v>
      </c>
      <c r="J87" s="32" t="b">
        <f>IFERROR(__xludf.DUMMYFUNCTION("""COMPUTED_VALUE"""),TRUE)</f>
        <v>1</v>
      </c>
      <c r="K87" s="32"/>
      <c r="L87" s="32" t="b">
        <f>IFERROR(__xludf.DUMMYFUNCTION("""COMPUTED_VALUE"""),FALSE)</f>
        <v>0</v>
      </c>
      <c r="M87" s="32" t="b">
        <f>IFERROR(__xludf.DUMMYFUNCTION("""COMPUTED_VALUE"""),FALSE)</f>
        <v>0</v>
      </c>
      <c r="N87" s="32"/>
    </row>
    <row r="88">
      <c r="A88" s="32" t="str">
        <f>IFERROR(__xludf.DUMMYFUNCTION("""COMPUTED_VALUE"""),"Chaotic Shadow Slam")</f>
        <v>Chaotic Shadow Slam</v>
      </c>
      <c r="B88" s="34">
        <f>IFERROR(__xludf.DUMMYFUNCTION("""COMPUTED_VALUE"""),0.0)</f>
        <v>0</v>
      </c>
      <c r="C88" s="32">
        <f>IFERROR(__xludf.DUMMYFUNCTION("""COMPUTED_VALUE"""),0.0)</f>
        <v>0</v>
      </c>
      <c r="D88" s="32"/>
      <c r="E88" s="32" t="str">
        <f>IFERROR(__xludf.DUMMYFUNCTION("""COMPUTED_VALUE"""),"Slams the target into the ground dealing X*2 Chaos and X*2 Dark damage where X is equal to attack.")</f>
        <v>Slams the target into the ground dealing X*2 Chaos and X*2 Dark damage where X is equal to attack.</v>
      </c>
      <c r="F88" s="32" t="str">
        <f>IFERROR(__xludf.DUMMYFUNCTION("""COMPUTED_VALUE"""),"Natural/Hit or Miss")</f>
        <v>Natural/Hit or Miss</v>
      </c>
      <c r="G88" s="32">
        <f>IFERROR(__xludf.DUMMYFUNCTION("""COMPUTED_VALUE"""),1.0)</f>
        <v>1</v>
      </c>
      <c r="H88" s="32" t="str">
        <f>IFERROR(__xludf.DUMMYFUNCTION("""COMPUTED_VALUE"""),"Chaos")</f>
        <v>Chaos</v>
      </c>
      <c r="I88" s="32" t="str">
        <f>IFERROR(__xludf.DUMMYFUNCTION("""COMPUTED_VALUE"""),"Mob")</f>
        <v>Mob</v>
      </c>
      <c r="J88" s="32" t="b">
        <f>IFERROR(__xludf.DUMMYFUNCTION("""COMPUTED_VALUE"""),TRUE)</f>
        <v>1</v>
      </c>
      <c r="K88" s="32"/>
      <c r="L88" s="32" t="b">
        <f>IFERROR(__xludf.DUMMYFUNCTION("""COMPUTED_VALUE"""),FALSE)</f>
        <v>0</v>
      </c>
      <c r="M88" s="32" t="b">
        <f>IFERROR(__xludf.DUMMYFUNCTION("""COMPUTED_VALUE"""),FALSE)</f>
        <v>0</v>
      </c>
      <c r="N88" s="32"/>
    </row>
    <row r="89">
      <c r="A89" s="32" t="str">
        <f>IFERROR(__xludf.DUMMYFUNCTION("""COMPUTED_VALUE"""),"Chaotic Shadow Spider Slam")</f>
        <v>Chaotic Shadow Spider Slam</v>
      </c>
      <c r="B89" s="34">
        <f>IFERROR(__xludf.DUMMYFUNCTION("""COMPUTED_VALUE"""),0.0)</f>
        <v>0</v>
      </c>
      <c r="C89" s="32">
        <f>IFERROR(__xludf.DUMMYFUNCTION("""COMPUTED_VALUE"""),0.0)</f>
        <v>0</v>
      </c>
      <c r="D89" s="32"/>
      <c r="E89" s="32" t="str">
        <f>IFERROR(__xludf.DUMMYFUNCTION("""COMPUTED_VALUE"""),"All targets take X Dark and X Chaos damage, where x is equal to the users attack.")</f>
        <v>All targets take X Dark and X Chaos damage, where x is equal to the users attack.</v>
      </c>
      <c r="F89" s="32" t="str">
        <f>IFERROR(__xludf.DUMMYFUNCTION("""COMPUTED_VALUE"""),"Natural/Cannot Avoid")</f>
        <v>Natural/Cannot Avoid</v>
      </c>
      <c r="G89" s="32" t="str">
        <f>IFERROR(__xludf.DUMMYFUNCTION("""COMPUTED_VALUE"""),"All")</f>
        <v>All</v>
      </c>
      <c r="H89" s="32" t="str">
        <f>IFERROR(__xludf.DUMMYFUNCTION("""COMPUTED_VALUE"""),"Chaos")</f>
        <v>Chaos</v>
      </c>
      <c r="I89" s="32" t="str">
        <f>IFERROR(__xludf.DUMMYFUNCTION("""COMPUTED_VALUE"""),"Mob")</f>
        <v>Mob</v>
      </c>
      <c r="J89" s="32" t="b">
        <f>IFERROR(__xludf.DUMMYFUNCTION("""COMPUTED_VALUE"""),TRUE)</f>
        <v>1</v>
      </c>
      <c r="K89" s="32"/>
      <c r="L89" s="32" t="b">
        <f>IFERROR(__xludf.DUMMYFUNCTION("""COMPUTED_VALUE"""),FALSE)</f>
        <v>0</v>
      </c>
      <c r="M89" s="32" t="b">
        <f>IFERROR(__xludf.DUMMYFUNCTION("""COMPUTED_VALUE"""),FALSE)</f>
        <v>0</v>
      </c>
      <c r="N89" s="32"/>
    </row>
    <row r="90">
      <c r="A90" s="32" t="str">
        <f>IFERROR(__xludf.DUMMYFUNCTION("""COMPUTED_VALUE"""),"Chaotic Shadow Stomp")</f>
        <v>Chaotic Shadow Stomp</v>
      </c>
      <c r="B90" s="34">
        <f>IFERROR(__xludf.DUMMYFUNCTION("""COMPUTED_VALUE"""),0.0)</f>
        <v>0</v>
      </c>
      <c r="C90" s="32">
        <f>IFERROR(__xludf.DUMMYFUNCTION("""COMPUTED_VALUE"""),0.0)</f>
        <v>0</v>
      </c>
      <c r="D90" s="32"/>
      <c r="E90" s="32" t="str">
        <f>IFERROR(__xludf.DUMMYFUNCTION("""COMPUTED_VALUE"""),"All enemies take X*4 Dark and X*4 Chaos damage, where x is equal to the users attack.")</f>
        <v>All enemies take X*4 Dark and X*4 Chaos damage, where x is equal to the users attack.</v>
      </c>
      <c r="F90" s="32" t="str">
        <f>IFERROR(__xludf.DUMMYFUNCTION("""COMPUTED_VALUE"""),"Natural/Cannot Avoid")</f>
        <v>Natural/Cannot Avoid</v>
      </c>
      <c r="G90" s="32" t="str">
        <f>IFERROR(__xludf.DUMMYFUNCTION("""COMPUTED_VALUE"""),"All")</f>
        <v>All</v>
      </c>
      <c r="H90" s="32" t="str">
        <f>IFERROR(__xludf.DUMMYFUNCTION("""COMPUTED_VALUE"""),"Chaos")</f>
        <v>Chaos</v>
      </c>
      <c r="I90" s="32" t="str">
        <f>IFERROR(__xludf.DUMMYFUNCTION("""COMPUTED_VALUE"""),"Mob")</f>
        <v>Mob</v>
      </c>
      <c r="J90" s="32" t="b">
        <f>IFERROR(__xludf.DUMMYFUNCTION("""COMPUTED_VALUE"""),TRUE)</f>
        <v>1</v>
      </c>
      <c r="K90" s="32"/>
      <c r="L90" s="32" t="b">
        <f>IFERROR(__xludf.DUMMYFUNCTION("""COMPUTED_VALUE"""),FALSE)</f>
        <v>0</v>
      </c>
      <c r="M90" s="32" t="b">
        <f>IFERROR(__xludf.DUMMYFUNCTION("""COMPUTED_VALUE"""),FALSE)</f>
        <v>0</v>
      </c>
      <c r="N90" s="32"/>
    </row>
    <row r="91">
      <c r="A91" s="32" t="str">
        <f>IFERROR(__xludf.DUMMYFUNCTION("""COMPUTED_VALUE"""),"Chaotic Spider Smarts")</f>
        <v>Chaotic Spider Smarts</v>
      </c>
      <c r="B91" s="34">
        <f>IFERROR(__xludf.DUMMYFUNCTION("""COMPUTED_VALUE"""),0.0)</f>
        <v>0</v>
      </c>
      <c r="C91" s="32">
        <f>IFERROR(__xludf.DUMMYFUNCTION("""COMPUTED_VALUE"""),0.0)</f>
        <v>0</v>
      </c>
      <c r="D91" s="32"/>
      <c r="E91" s="32" t="str">
        <f>IFERROR(__xludf.DUMMYFUNCTION("""COMPUTED_VALUE"""),"All base stats become x4 for 3 rounds, can only be used once per battle.")</f>
        <v>All base stats become x4 for 3 rounds, can only be used once per battle.</v>
      </c>
      <c r="F91" s="32" t="str">
        <f>IFERROR(__xludf.DUMMYFUNCTION("""COMPUTED_VALUE"""),"Natural/Fail or Succeed")</f>
        <v>Natural/Fail or Succeed</v>
      </c>
      <c r="G91" s="32" t="str">
        <f>IFERROR(__xludf.DUMMYFUNCTION("""COMPUTED_VALUE"""),"Self")</f>
        <v>Self</v>
      </c>
      <c r="H91" s="32" t="str">
        <f>IFERROR(__xludf.DUMMYFUNCTION("""COMPUTED_VALUE"""),"Chaos")</f>
        <v>Chaos</v>
      </c>
      <c r="I91" s="32" t="str">
        <f>IFERROR(__xludf.DUMMYFUNCTION("""COMPUTED_VALUE"""),"Mob")</f>
        <v>Mob</v>
      </c>
      <c r="J91" s="32" t="b">
        <f>IFERROR(__xludf.DUMMYFUNCTION("""COMPUTED_VALUE"""),TRUE)</f>
        <v>1</v>
      </c>
      <c r="K91" s="32"/>
      <c r="L91" s="32" t="b">
        <f>IFERROR(__xludf.DUMMYFUNCTION("""COMPUTED_VALUE"""),FALSE)</f>
        <v>0</v>
      </c>
      <c r="M91" s="32" t="b">
        <f>IFERROR(__xludf.DUMMYFUNCTION("""COMPUTED_VALUE"""),FALSE)</f>
        <v>0</v>
      </c>
      <c r="N91" s="32"/>
    </row>
    <row r="92">
      <c r="A92" s="32" t="str">
        <f>IFERROR(__xludf.DUMMYFUNCTION("""COMPUTED_VALUE"""),"Countdown")</f>
        <v>Countdown</v>
      </c>
      <c r="B92" s="34">
        <f>IFERROR(__xludf.DUMMYFUNCTION("""COMPUTED_VALUE"""),9.0)</f>
        <v>9</v>
      </c>
      <c r="C92" s="33">
        <f>IFERROR(__xludf.DUMMYFUNCTION("""COMPUTED_VALUE"""),10000.0)</f>
        <v>10000</v>
      </c>
      <c r="D92" s="32"/>
      <c r="E92" s="32" t="str">
        <f>IFERROR(__xludf.DUMMYFUNCTION("""COMPUTED_VALUE"""),"All enemies will instantly die after 3 rounds, cannot be canceled once begun, Cannot resist or be immune to.")</f>
        <v>All enemies will instantly die after 3 rounds, cannot be canceled once begun, Cannot resist or be immune to.</v>
      </c>
      <c r="F92" s="32" t="str">
        <f>IFERROR(__xludf.DUMMYFUNCTION("""COMPUTED_VALUE"""),"Fail/Succeed")</f>
        <v>Fail/Succeed</v>
      </c>
      <c r="G92" s="32" t="str">
        <f>IFERROR(__xludf.DUMMYFUNCTION("""COMPUTED_VALUE"""),"All")</f>
        <v>All</v>
      </c>
      <c r="H92" s="32" t="str">
        <f>IFERROR(__xludf.DUMMYFUNCTION("""COMPUTED_VALUE"""),"Chaos")</f>
        <v>Chaos</v>
      </c>
      <c r="I92" s="32" t="str">
        <f>IFERROR(__xludf.DUMMYFUNCTION("""COMPUTED_VALUE"""),"Player")</f>
        <v>Player</v>
      </c>
      <c r="J92" s="32" t="b">
        <f>IFERROR(__xludf.DUMMYFUNCTION("""COMPUTED_VALUE"""),TRUE)</f>
        <v>1</v>
      </c>
      <c r="K92" s="32" t="str">
        <f>IFERROR(__xludf.DUMMYFUNCTION("""COMPUTED_VALUE"""),"shop spell")</f>
        <v>shop spell</v>
      </c>
      <c r="L92" s="32" t="b">
        <f>IFERROR(__xludf.DUMMYFUNCTION("""COMPUTED_VALUE"""),FALSE)</f>
        <v>0</v>
      </c>
      <c r="M92" s="32" t="b">
        <f>IFERROR(__xludf.DUMMYFUNCTION("""COMPUTED_VALUE"""),TRUE)</f>
        <v>1</v>
      </c>
      <c r="N92" s="32"/>
    </row>
    <row r="93">
      <c r="A93" s="32" t="str">
        <f>IFERROR(__xludf.DUMMYFUNCTION("""COMPUTED_VALUE"""),"Curse of The Samurai")</f>
        <v>Curse of The Samurai</v>
      </c>
      <c r="B93" s="34">
        <f>IFERROR(__xludf.DUMMYFUNCTION("""COMPUTED_VALUE"""),9.0)</f>
        <v>9</v>
      </c>
      <c r="C93" s="33">
        <f>IFERROR(__xludf.DUMMYFUNCTION("""COMPUTED_VALUE"""),300.0)</f>
        <v>300</v>
      </c>
      <c r="D93" s="32"/>
      <c r="E93" s="32" t="str">
        <f>IFERROR(__xludf.DUMMYFUNCTION("""COMPUTED_VALUE"""),"Binds the target to the area they are in making it so they cannot leave it.")</f>
        <v>Binds the target to the area they are in making it so they cannot leave it.</v>
      </c>
      <c r="F93" s="32" t="str">
        <f>IFERROR(__xludf.DUMMYFUNCTION("""COMPUTED_VALUE"""),"Fail or Succeed")</f>
        <v>Fail or Succeed</v>
      </c>
      <c r="G93" s="32">
        <f>IFERROR(__xludf.DUMMYFUNCTION("""COMPUTED_VALUE"""),1.0)</f>
        <v>1</v>
      </c>
      <c r="H93" s="32" t="str">
        <f>IFERROR(__xludf.DUMMYFUNCTION("""COMPUTED_VALUE"""),"Chaos")</f>
        <v>Chaos</v>
      </c>
      <c r="I93" s="32" t="str">
        <f>IFERROR(__xludf.DUMMYFUNCTION("""COMPUTED_VALUE"""),"Mob")</f>
        <v>Mob</v>
      </c>
      <c r="J93" s="32" t="b">
        <f>IFERROR(__xludf.DUMMYFUNCTION("""COMPUTED_VALUE"""),TRUE)</f>
        <v>1</v>
      </c>
      <c r="K93" s="32"/>
      <c r="L93" s="32" t="b">
        <f>IFERROR(__xludf.DUMMYFUNCTION("""COMPUTED_VALUE"""),FALSE)</f>
        <v>0</v>
      </c>
      <c r="M93" s="32" t="b">
        <f>IFERROR(__xludf.DUMMYFUNCTION("""COMPUTED_VALUE"""),FALSE)</f>
        <v>0</v>
      </c>
      <c r="N93" s="32"/>
    </row>
    <row r="94">
      <c r="A94" s="32" t="str">
        <f>IFERROR(__xludf.DUMMYFUNCTION("""COMPUTED_VALUE"""),"Deflect (Random)")</f>
        <v>Deflect (Random)</v>
      </c>
      <c r="B94" s="34">
        <f>IFERROR(__xludf.DUMMYFUNCTION("""COMPUTED_VALUE"""),3.0)</f>
        <v>3</v>
      </c>
      <c r="C94" s="32">
        <f>IFERROR(__xludf.DUMMYFUNCTION("""COMPUTED_VALUE"""),30.0)</f>
        <v>30</v>
      </c>
      <c r="D94" s="32"/>
      <c r="E94" s="32" t="str">
        <f>IFERROR(__xludf.DUMMYFUNCTION("""COMPUTED_VALUE"""),"Deflects any damage you would have taken from the next attack and diverts to a random target.")</f>
        <v>Deflects any damage you would have taken from the next attack and diverts to a random target.</v>
      </c>
      <c r="F94" s="32" t="str">
        <f>IFERROR(__xludf.DUMMYFUNCTION("""COMPUTED_VALUE"""),"Fail/Succeed")</f>
        <v>Fail/Succeed</v>
      </c>
      <c r="G94" s="32"/>
      <c r="H94" s="32" t="str">
        <f>IFERROR(__xludf.DUMMYFUNCTION("""COMPUTED_VALUE"""),"Chaos")</f>
        <v>Chaos</v>
      </c>
      <c r="I94" s="32" t="str">
        <f>IFERROR(__xludf.DUMMYFUNCTION("""COMPUTED_VALUE"""),"Player")</f>
        <v>Player</v>
      </c>
      <c r="J94" s="32" t="b">
        <f>IFERROR(__xludf.DUMMYFUNCTION("""COMPUTED_VALUE"""),FALSE)</f>
        <v>0</v>
      </c>
      <c r="K94" s="32"/>
      <c r="L94" s="32" t="b">
        <f>IFERROR(__xludf.DUMMYFUNCTION("""COMPUTED_VALUE"""),FALSE)</f>
        <v>0</v>
      </c>
      <c r="M94" s="32" t="b">
        <f>IFERROR(__xludf.DUMMYFUNCTION("""COMPUTED_VALUE"""),FALSE)</f>
        <v>0</v>
      </c>
      <c r="N94" s="32"/>
    </row>
    <row r="95">
      <c r="A95" s="32" t="str">
        <f>IFERROR(__xludf.DUMMYFUNCTION("""COMPUTED_VALUE"""),"Dimension Portal")</f>
        <v>Dimension Portal</v>
      </c>
      <c r="B95" s="34">
        <f>IFERROR(__xludf.DUMMYFUNCTION("""COMPUTED_VALUE"""),9.0)</f>
        <v>9</v>
      </c>
      <c r="C95" s="32" t="str">
        <f>IFERROR(__xludf.DUMMYFUNCTION("""COMPUTED_VALUE"""),"200 or 400")</f>
        <v>200 or 400</v>
      </c>
      <c r="D95" s="32"/>
      <c r="E95" s="32"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32" t="str">
        <f>IFERROR(__xludf.DUMMYFUNCTION("""COMPUTED_VALUE"""),"Fail/Succeed")</f>
        <v>Fail/Succeed</v>
      </c>
      <c r="G95" s="32"/>
      <c r="H95" s="32" t="str">
        <f>IFERROR(__xludf.DUMMYFUNCTION("""COMPUTED_VALUE"""),"Chaos")</f>
        <v>Chaos</v>
      </c>
      <c r="I95" s="32" t="str">
        <f>IFERROR(__xludf.DUMMYFUNCTION("""COMPUTED_VALUE"""),"Player")</f>
        <v>Player</v>
      </c>
      <c r="J95" s="32" t="b">
        <f>IFERROR(__xludf.DUMMYFUNCTION("""COMPUTED_VALUE"""),FALSE)</f>
        <v>0</v>
      </c>
      <c r="K95" s="32"/>
      <c r="L95" s="32" t="b">
        <f>IFERROR(__xludf.DUMMYFUNCTION("""COMPUTED_VALUE"""),FALSE)</f>
        <v>0</v>
      </c>
      <c r="M95" s="32" t="b">
        <f>IFERROR(__xludf.DUMMYFUNCTION("""COMPUTED_VALUE"""),FALSE)</f>
        <v>0</v>
      </c>
      <c r="N95" s="32"/>
    </row>
    <row r="96">
      <c r="A96" s="32" t="str">
        <f>IFERROR(__xludf.DUMMYFUNCTION("""COMPUTED_VALUE"""),"Dimensional Quake")</f>
        <v>Dimensional Quake</v>
      </c>
      <c r="B96" s="34">
        <f>IFERROR(__xludf.DUMMYFUNCTION("""COMPUTED_VALUE"""),9.0)</f>
        <v>9</v>
      </c>
      <c r="C96" s="32">
        <f>IFERROR(__xludf.DUMMYFUNCTION("""COMPUTED_VALUE"""),400.0)</f>
        <v>400</v>
      </c>
      <c r="D96" s="32"/>
      <c r="E96" s="32"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32" t="str">
        <f>IFERROR(__xludf.DUMMYFUNCTION("""COMPUTED_VALUE"""),"Cannot Avoid")</f>
        <v>Cannot Avoid</v>
      </c>
      <c r="G96" s="32" t="str">
        <f>IFERROR(__xludf.DUMMYFUNCTION("""COMPUTED_VALUE"""),"All")</f>
        <v>All</v>
      </c>
      <c r="H96" s="32" t="str">
        <f>IFERROR(__xludf.DUMMYFUNCTION("""COMPUTED_VALUE"""),"Chaos")</f>
        <v>Chaos</v>
      </c>
      <c r="I96" s="32" t="str">
        <f>IFERROR(__xludf.DUMMYFUNCTION("""COMPUTED_VALUE"""),"Player")</f>
        <v>Player</v>
      </c>
      <c r="J96" s="32" t="b">
        <f>IFERROR(__xludf.DUMMYFUNCTION("""COMPUTED_VALUE"""),FALSE)</f>
        <v>0</v>
      </c>
      <c r="K96" s="32"/>
      <c r="L96" s="32" t="b">
        <f>IFERROR(__xludf.DUMMYFUNCTION("""COMPUTED_VALUE"""),FALSE)</f>
        <v>0</v>
      </c>
      <c r="M96" s="32" t="b">
        <f>IFERROR(__xludf.DUMMYFUNCTION("""COMPUTED_VALUE"""),FALSE)</f>
        <v>0</v>
      </c>
      <c r="N96" s="32"/>
    </row>
    <row r="97">
      <c r="A97" s="32" t="str">
        <f>IFERROR(__xludf.DUMMYFUNCTION("""COMPUTED_VALUE"""),"Disruption")</f>
        <v>Disruption</v>
      </c>
      <c r="B97" s="34">
        <f>IFERROR(__xludf.DUMMYFUNCTION("""COMPUTED_VALUE"""),9.0)</f>
        <v>9</v>
      </c>
      <c r="C97" s="32">
        <f>IFERROR(__xludf.DUMMYFUNCTION("""COMPUTED_VALUE"""),600.0)</f>
        <v>600</v>
      </c>
      <c r="D97" s="32"/>
      <c r="E97" s="32" t="str">
        <f>IFERROR(__xludf.DUMMYFUNCTION("""COMPUTED_VALUE"""),"Prevent all enemies from Spell Casting for 3 rounds.")</f>
        <v>Prevent all enemies from Spell Casting for 3 rounds.</v>
      </c>
      <c r="F97" s="32" t="str">
        <f>IFERROR(__xludf.DUMMYFUNCTION("""COMPUTED_VALUE"""),"Fail/Succeed")</f>
        <v>Fail/Succeed</v>
      </c>
      <c r="G97" s="32"/>
      <c r="H97" s="32" t="str">
        <f>IFERROR(__xludf.DUMMYFUNCTION("""COMPUTED_VALUE"""),"Chaos")</f>
        <v>Chaos</v>
      </c>
      <c r="I97" s="32" t="str">
        <f>IFERROR(__xludf.DUMMYFUNCTION("""COMPUTED_VALUE"""),"Player")</f>
        <v>Player</v>
      </c>
      <c r="J97" s="32" t="b">
        <f>IFERROR(__xludf.DUMMYFUNCTION("""COMPUTED_VALUE"""),FALSE)</f>
        <v>0</v>
      </c>
      <c r="K97" s="32"/>
      <c r="L97" s="32" t="b">
        <f>IFERROR(__xludf.DUMMYFUNCTION("""COMPUTED_VALUE"""),FALSE)</f>
        <v>0</v>
      </c>
      <c r="M97" s="32" t="b">
        <f>IFERROR(__xludf.DUMMYFUNCTION("""COMPUTED_VALUE"""),FALSE)</f>
        <v>0</v>
      </c>
      <c r="N97" s="32"/>
    </row>
    <row r="98">
      <c r="A98" s="32" t="str">
        <f>IFERROR(__xludf.DUMMYFUNCTION("""COMPUTED_VALUE"""),"Disturbance")</f>
        <v>Disturbance</v>
      </c>
      <c r="B98" s="34">
        <f>IFERROR(__xludf.DUMMYFUNCTION("""COMPUTED_VALUE"""),8.0)</f>
        <v>8</v>
      </c>
      <c r="C98" s="32">
        <f>IFERROR(__xludf.DUMMYFUNCTION("""COMPUTED_VALUE"""),300.0)</f>
        <v>300</v>
      </c>
      <c r="D98" s="32"/>
      <c r="E98" s="32" t="str">
        <f>IFERROR(__xludf.DUMMYFUNCTION("""COMPUTED_VALUE"""),"Prevent 1 target from Spell Casting for 3 rounds.")</f>
        <v>Prevent 1 target from Spell Casting for 3 rounds.</v>
      </c>
      <c r="F98" s="32" t="str">
        <f>IFERROR(__xludf.DUMMYFUNCTION("""COMPUTED_VALUE"""),"Fail/Succeed")</f>
        <v>Fail/Succeed</v>
      </c>
      <c r="G98" s="32"/>
      <c r="H98" s="32" t="str">
        <f>IFERROR(__xludf.DUMMYFUNCTION("""COMPUTED_VALUE"""),"Chaos")</f>
        <v>Chaos</v>
      </c>
      <c r="I98" s="32" t="str">
        <f>IFERROR(__xludf.DUMMYFUNCTION("""COMPUTED_VALUE"""),"Player")</f>
        <v>Player</v>
      </c>
      <c r="J98" s="32" t="b">
        <f>IFERROR(__xludf.DUMMYFUNCTION("""COMPUTED_VALUE"""),FALSE)</f>
        <v>0</v>
      </c>
      <c r="K98" s="32"/>
      <c r="L98" s="32" t="b">
        <f>IFERROR(__xludf.DUMMYFUNCTION("""COMPUTED_VALUE"""),FALSE)</f>
        <v>0</v>
      </c>
      <c r="M98" s="32" t="b">
        <f>IFERROR(__xludf.DUMMYFUNCTION("""COMPUTED_VALUE"""),FALSE)</f>
        <v>0</v>
      </c>
      <c r="N98" s="32"/>
    </row>
    <row r="99">
      <c r="A99" s="32" t="str">
        <f>IFERROR(__xludf.DUMMYFUNCTION("""COMPUTED_VALUE"""),"Doom Impulse")</f>
        <v>Doom Impulse</v>
      </c>
      <c r="B99" s="34">
        <f>IFERROR(__xludf.DUMMYFUNCTION("""COMPUTED_VALUE"""),9.0)</f>
        <v>9</v>
      </c>
      <c r="C99" s="33">
        <f>IFERROR(__xludf.DUMMYFUNCTION("""COMPUTED_VALUE"""),1000.0)</f>
        <v>1000</v>
      </c>
      <c r="D99" s="32"/>
      <c r="E99" s="32" t="str">
        <f>IFERROR(__xludf.DUMMYFUNCTION("""COMPUTED_VALUE"""),"20,000 chaos damage to all enemies, Ignores defense.")</f>
        <v>20,000 chaos damage to all enemies, Ignores defense.</v>
      </c>
      <c r="F99" s="32" t="str">
        <f>IFERROR(__xludf.DUMMYFUNCTION("""COMPUTED_VALUE"""),"Cannot Avoid")</f>
        <v>Cannot Avoid</v>
      </c>
      <c r="G99" s="32" t="str">
        <f>IFERROR(__xludf.DUMMYFUNCTION("""COMPUTED_VALUE"""),"All")</f>
        <v>All</v>
      </c>
      <c r="H99" s="32" t="str">
        <f>IFERROR(__xludf.DUMMYFUNCTION("""COMPUTED_VALUE"""),"Chaos")</f>
        <v>Chaos</v>
      </c>
      <c r="I99" s="32" t="str">
        <f>IFERROR(__xludf.DUMMYFUNCTION("""COMPUTED_VALUE"""),"Player")</f>
        <v>Player</v>
      </c>
      <c r="J99" s="32" t="b">
        <f>IFERROR(__xludf.DUMMYFUNCTION("""COMPUTED_VALUE"""),TRUE)</f>
        <v>1</v>
      </c>
      <c r="K99" s="32" t="str">
        <f>IFERROR(__xludf.DUMMYFUNCTION("""COMPUTED_VALUE"""),"shop spell")</f>
        <v>shop spell</v>
      </c>
      <c r="L99" s="32" t="b">
        <f>IFERROR(__xludf.DUMMYFUNCTION("""COMPUTED_VALUE"""),TRUE)</f>
        <v>1</v>
      </c>
      <c r="M99" s="32" t="b">
        <f>IFERROR(__xludf.DUMMYFUNCTION("""COMPUTED_VALUE"""),FALSE)</f>
        <v>0</v>
      </c>
      <c r="N99" s="32"/>
    </row>
    <row r="100">
      <c r="A100" s="32" t="str">
        <f>IFERROR(__xludf.DUMMYFUNCTION("""COMPUTED_VALUE"""),"Lucifer's Flames Of Damned Nation")</f>
        <v>Lucifer's Flames Of Damned Nation</v>
      </c>
      <c r="B100" s="34">
        <f>IFERROR(__xludf.DUMMYFUNCTION("""COMPUTED_VALUE"""),9.0)</f>
        <v>9</v>
      </c>
      <c r="C100" s="33">
        <f>IFERROR(__xludf.DUMMYFUNCTION("""COMPUTED_VALUE"""),300.0)</f>
        <v>300</v>
      </c>
      <c r="D100" s="32"/>
      <c r="E100" s="32" t="str">
        <f>IFERROR(__xludf.DUMMYFUNCTION("""COMPUTED_VALUE"""),"20,000 dark, chaos, and fire damage to all enemies, 25% chance to banish each enemy.")</f>
        <v>20,000 dark, chaos, and fire damage to all enemies, 25% chance to banish each enemy.</v>
      </c>
      <c r="F100" s="32" t="str">
        <f>IFERROR(__xludf.DUMMYFUNCTION("""COMPUTED_VALUE"""),"Cannot Avoid")</f>
        <v>Cannot Avoid</v>
      </c>
      <c r="G100" s="32"/>
      <c r="H100" s="32" t="str">
        <f>IFERROR(__xludf.DUMMYFUNCTION("""COMPUTED_VALUE"""),"Chaos")</f>
        <v>Chaos</v>
      </c>
      <c r="I100" s="32" t="str">
        <f>IFERROR(__xludf.DUMMYFUNCTION("""COMPUTED_VALUE"""),"Player")</f>
        <v>Player</v>
      </c>
      <c r="J100" s="32" t="b">
        <f>IFERROR(__xludf.DUMMYFUNCTION("""COMPUTED_VALUE"""),TRUE)</f>
        <v>1</v>
      </c>
      <c r="K100" s="32" t="str">
        <f>IFERROR(__xludf.DUMMYFUNCTION("""COMPUTED_VALUE"""),"Event spell")</f>
        <v>Event spell</v>
      </c>
      <c r="L100" s="32" t="b">
        <f>IFERROR(__xludf.DUMMYFUNCTION("""COMPUTED_VALUE"""),FALSE)</f>
        <v>0</v>
      </c>
      <c r="M100" s="32" t="b">
        <f>IFERROR(__xludf.DUMMYFUNCTION("""COMPUTED_VALUE"""),FALSE)</f>
        <v>0</v>
      </c>
      <c r="N100" s="32"/>
    </row>
    <row r="101">
      <c r="A101" s="32" t="str">
        <f>IFERROR(__xludf.DUMMYFUNCTION("""COMPUTED_VALUE"""),"Lucifer's Ward Of The Damned")</f>
        <v>Lucifer's Ward Of The Damned</v>
      </c>
      <c r="B101" s="34">
        <f>IFERROR(__xludf.DUMMYFUNCTION("""COMPUTED_VALUE"""),9.0)</f>
        <v>9</v>
      </c>
      <c r="C101" s="33">
        <f>IFERROR(__xludf.DUMMYFUNCTION("""COMPUTED_VALUE"""),300.0)</f>
        <v>300</v>
      </c>
      <c r="D101" s="32"/>
      <c r="E101" s="32"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32" t="str">
        <f>IFERROR(__xludf.DUMMYFUNCTION("""COMPUTED_VALUE"""),"Fail/Succeed")</f>
        <v>Fail/Succeed</v>
      </c>
      <c r="G101" s="32">
        <f>IFERROR(__xludf.DUMMYFUNCTION("""COMPUTED_VALUE"""),1.0)</f>
        <v>1</v>
      </c>
      <c r="H101" s="32" t="str">
        <f>IFERROR(__xludf.DUMMYFUNCTION("""COMPUTED_VALUE"""),"Chaos")</f>
        <v>Chaos</v>
      </c>
      <c r="I101" s="32" t="str">
        <f>IFERROR(__xludf.DUMMYFUNCTION("""COMPUTED_VALUE"""),"Player")</f>
        <v>Player</v>
      </c>
      <c r="J101" s="32" t="b">
        <f>IFERROR(__xludf.DUMMYFUNCTION("""COMPUTED_VALUE"""),TRUE)</f>
        <v>1</v>
      </c>
      <c r="K101" s="32" t="str">
        <f>IFERROR(__xludf.DUMMYFUNCTION("""COMPUTED_VALUE"""),"Event spell")</f>
        <v>Event spell</v>
      </c>
      <c r="L101" s="32" t="b">
        <f>IFERROR(__xludf.DUMMYFUNCTION("""COMPUTED_VALUE"""),FALSE)</f>
        <v>0</v>
      </c>
      <c r="M101" s="32" t="b">
        <f>IFERROR(__xludf.DUMMYFUNCTION("""COMPUTED_VALUE"""),FALSE)</f>
        <v>0</v>
      </c>
      <c r="N101" s="32"/>
    </row>
    <row r="102">
      <c r="A102" s="32" t="str">
        <f>IFERROR(__xludf.DUMMYFUNCTION("""COMPUTED_VALUE"""),"Mad shot")</f>
        <v>Mad shot</v>
      </c>
      <c r="B102" s="34">
        <f>IFERROR(__xludf.DUMMYFUNCTION("""COMPUTED_VALUE"""),1.0)</f>
        <v>1</v>
      </c>
      <c r="C102" s="32">
        <f>IFERROR(__xludf.DUMMYFUNCTION("""COMPUTED_VALUE"""),10.0)</f>
        <v>10</v>
      </c>
      <c r="D102" s="32"/>
      <c r="E102" s="32" t="str">
        <f>IFERROR(__xludf.DUMMYFUNCTION("""COMPUTED_VALUE"""),"1000 chaos damage and inflicts target with 5 Insanity.")</f>
        <v>1000 chaos damage and inflicts target with 5 Insanity.</v>
      </c>
      <c r="F102" s="32" t="str">
        <f>IFERROR(__xludf.DUMMYFUNCTION("""COMPUTED_VALUE"""),"Hit/Miss")</f>
        <v>Hit/Miss</v>
      </c>
      <c r="G102" s="32">
        <f>IFERROR(__xludf.DUMMYFUNCTION("""COMPUTED_VALUE"""),1.0)</f>
        <v>1</v>
      </c>
      <c r="H102" s="32" t="str">
        <f>IFERROR(__xludf.DUMMYFUNCTION("""COMPUTED_VALUE"""),"Chaos")</f>
        <v>Chaos</v>
      </c>
      <c r="I102" s="32" t="str">
        <f>IFERROR(__xludf.DUMMYFUNCTION("""COMPUTED_VALUE"""),"Player")</f>
        <v>Player</v>
      </c>
      <c r="J102" s="32" t="b">
        <f>IFERROR(__xludf.DUMMYFUNCTION("""COMPUTED_VALUE"""),FALSE)</f>
        <v>0</v>
      </c>
      <c r="K102" s="32"/>
      <c r="L102" s="32" t="b">
        <f>IFERROR(__xludf.DUMMYFUNCTION("""COMPUTED_VALUE"""),FALSE)</f>
        <v>0</v>
      </c>
      <c r="M102" s="32" t="b">
        <f>IFERROR(__xludf.DUMMYFUNCTION("""COMPUTED_VALUE"""),FALSE)</f>
        <v>0</v>
      </c>
      <c r="N102" s="32"/>
    </row>
    <row r="103">
      <c r="A103" s="32" t="str">
        <f>IFERROR(__xludf.DUMMYFUNCTION("""COMPUTED_VALUE"""),"Chaotic Shadow Storm")</f>
        <v>Chaotic Shadow Storm</v>
      </c>
      <c r="B103" s="34">
        <f>IFERROR(__xludf.DUMMYFUNCTION("""COMPUTED_VALUE"""),9.0)</f>
        <v>9</v>
      </c>
      <c r="C103" s="32" t="str">
        <f>IFERROR(__xludf.DUMMYFUNCTION("""COMPUTED_VALUE"""),"X")</f>
        <v>X</v>
      </c>
      <c r="D103" s="32"/>
      <c r="E103" s="32" t="str">
        <f>IFERROR(__xludf.DUMMYFUNCTION("""COMPUTED_VALUE"""),"X*9 Dark, X*9 Chaos, and X*9 Fire damage to all enemies Where X is equal to SP spent")</f>
        <v>X*9 Dark, X*9 Chaos, and X*9 Fire damage to all enemies Where X is equal to SP spent</v>
      </c>
      <c r="F103" s="32" t="str">
        <f>IFERROR(__xludf.DUMMYFUNCTION("""COMPUTED_VALUE"""),"Cannot Avoid")</f>
        <v>Cannot Avoid</v>
      </c>
      <c r="G103" s="32" t="str">
        <f>IFERROR(__xludf.DUMMYFUNCTION("""COMPUTED_VALUE"""),"All")</f>
        <v>All</v>
      </c>
      <c r="H103" s="32" t="str">
        <f>IFERROR(__xludf.DUMMYFUNCTION("""COMPUTED_VALUE"""),"Chaos")</f>
        <v>Chaos</v>
      </c>
      <c r="I103" s="32" t="str">
        <f>IFERROR(__xludf.DUMMYFUNCTION("""COMPUTED_VALUE"""),"Mob")</f>
        <v>Mob</v>
      </c>
      <c r="J103" s="32" t="b">
        <f>IFERROR(__xludf.DUMMYFUNCTION("""COMPUTED_VALUE"""),TRUE)</f>
        <v>1</v>
      </c>
      <c r="K103" s="32"/>
      <c r="L103" s="32" t="b">
        <f>IFERROR(__xludf.DUMMYFUNCTION("""COMPUTED_VALUE"""),FALSE)</f>
        <v>0</v>
      </c>
      <c r="M103" s="32" t="b">
        <f>IFERROR(__xludf.DUMMYFUNCTION("""COMPUTED_VALUE"""),FALSE)</f>
        <v>0</v>
      </c>
      <c r="N103" s="32"/>
    </row>
    <row r="104">
      <c r="A104" s="32" t="str">
        <f>IFERROR(__xludf.DUMMYFUNCTION("""COMPUTED_VALUE"""),"Shatter")</f>
        <v>Shatter</v>
      </c>
      <c r="B104" s="34">
        <f>IFERROR(__xludf.DUMMYFUNCTION("""COMPUTED_VALUE"""),6.0)</f>
        <v>6</v>
      </c>
      <c r="C104" s="32">
        <f>IFERROR(__xludf.DUMMYFUNCTION("""COMPUTED_VALUE"""),60.0)</f>
        <v>60</v>
      </c>
      <c r="D104" s="32"/>
      <c r="E104" s="32" t="str">
        <f>IFERROR(__xludf.DUMMYFUNCTION("""COMPUTED_VALUE"""),"Make a target enemies base Defense 0")</f>
        <v>Make a target enemies base Defense 0</v>
      </c>
      <c r="F104" s="32" t="str">
        <f>IFERROR(__xludf.DUMMYFUNCTION("""COMPUTED_VALUE"""),"Fail/Succeed")</f>
        <v>Fail/Succeed</v>
      </c>
      <c r="G104" s="32"/>
      <c r="H104" s="32" t="str">
        <f>IFERROR(__xludf.DUMMYFUNCTION("""COMPUTED_VALUE"""),"Chaos")</f>
        <v>Chaos</v>
      </c>
      <c r="I104" s="32" t="str">
        <f>IFERROR(__xludf.DUMMYFUNCTION("""COMPUTED_VALUE"""),"Player")</f>
        <v>Player</v>
      </c>
      <c r="J104" s="32" t="b">
        <f>IFERROR(__xludf.DUMMYFUNCTION("""COMPUTED_VALUE"""),FALSE)</f>
        <v>0</v>
      </c>
      <c r="K104" s="32"/>
      <c r="L104" s="32" t="b">
        <f>IFERROR(__xludf.DUMMYFUNCTION("""COMPUTED_VALUE"""),FALSE)</f>
        <v>0</v>
      </c>
      <c r="M104" s="32" t="b">
        <f>IFERROR(__xludf.DUMMYFUNCTION("""COMPUTED_VALUE"""),FALSE)</f>
        <v>0</v>
      </c>
      <c r="N104" s="32"/>
    </row>
    <row r="105">
      <c r="A105" s="32" t="str">
        <f>IFERROR(__xludf.DUMMYFUNCTION("""COMPUTED_VALUE"""),"Souls of Darkness and Chaos")</f>
        <v>Souls of Darkness and Chaos</v>
      </c>
      <c r="B105" s="34">
        <f>IFERROR(__xludf.DUMMYFUNCTION("""COMPUTED_VALUE"""),9.0)</f>
        <v>9</v>
      </c>
      <c r="C105" s="33">
        <f>IFERROR(__xludf.DUMMYFUNCTION("""COMPUTED_VALUE"""),50000.0)</f>
        <v>50000</v>
      </c>
      <c r="D105" s="32"/>
      <c r="E105" s="32" t="str">
        <f>IFERROR(__xludf.DUMMYFUNCTION("""COMPUTED_VALUE"""),"50,000 dark, chaos, and fire damage. X2 additional damage if a enemy has souls.")</f>
        <v>50,000 dark, chaos, and fire damage. X2 additional damage if a enemy has souls.</v>
      </c>
      <c r="F105" s="32" t="str">
        <f>IFERROR(__xludf.DUMMYFUNCTION("""COMPUTED_VALUE"""),"Cannot Avoid")</f>
        <v>Cannot Avoid</v>
      </c>
      <c r="G105" s="32" t="str">
        <f>IFERROR(__xludf.DUMMYFUNCTION("""COMPUTED_VALUE"""),"All")</f>
        <v>All</v>
      </c>
      <c r="H105" s="32" t="str">
        <f>IFERROR(__xludf.DUMMYFUNCTION("""COMPUTED_VALUE"""),"Chaos")</f>
        <v>Chaos</v>
      </c>
      <c r="I105" s="32" t="str">
        <f>IFERROR(__xludf.DUMMYFUNCTION("""COMPUTED_VALUE"""),"Mob")</f>
        <v>Mob</v>
      </c>
      <c r="J105" s="32" t="b">
        <f>IFERROR(__xludf.DUMMYFUNCTION("""COMPUTED_VALUE"""),TRUE)</f>
        <v>1</v>
      </c>
      <c r="K105" s="32" t="str">
        <f>IFERROR(__xludf.DUMMYFUNCTION("""COMPUTED_VALUE"""),"mob spell")</f>
        <v>mob spell</v>
      </c>
      <c r="L105" s="32" t="b">
        <f>IFERROR(__xludf.DUMMYFUNCTION("""COMPUTED_VALUE"""),FALSE)</f>
        <v>0</v>
      </c>
      <c r="M105" s="32" t="b">
        <f>IFERROR(__xludf.DUMMYFUNCTION("""COMPUTED_VALUE"""),FALSE)</f>
        <v>0</v>
      </c>
      <c r="N105" s="32"/>
    </row>
    <row r="106">
      <c r="A106" s="32" t="str">
        <f>IFERROR(__xludf.DUMMYFUNCTION("""COMPUTED_VALUE"""),"Spider War Call")</f>
        <v>Spider War Call</v>
      </c>
      <c r="B106" s="34">
        <f>IFERROR(__xludf.DUMMYFUNCTION("""COMPUTED_VALUE"""),1.0)</f>
        <v>1</v>
      </c>
      <c r="C106" s="32">
        <f>IFERROR(__xludf.DUMMYFUNCTION("""COMPUTED_VALUE"""),0.0)</f>
        <v>0</v>
      </c>
      <c r="D106" s="32"/>
      <c r="E106" s="32"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32" t="str">
        <f>IFERROR(__xludf.DUMMYFUNCTION("""COMPUTED_VALUE"""),"Natural/Fail Or Succeed")</f>
        <v>Natural/Fail Or Succeed</v>
      </c>
      <c r="G106" s="32" t="str">
        <f>IFERROR(__xludf.DUMMYFUNCTION("""COMPUTED_VALUE"""),"Self")</f>
        <v>Self</v>
      </c>
      <c r="H106" s="32" t="str">
        <f>IFERROR(__xludf.DUMMYFUNCTION("""COMPUTED_VALUE"""),"Chaos")</f>
        <v>Chaos</v>
      </c>
      <c r="I106" s="32" t="str">
        <f>IFERROR(__xludf.DUMMYFUNCTION("""COMPUTED_VALUE"""),"Mob")</f>
        <v>Mob</v>
      </c>
      <c r="J106" s="32" t="b">
        <f>IFERROR(__xludf.DUMMYFUNCTION("""COMPUTED_VALUE"""),TRUE)</f>
        <v>1</v>
      </c>
      <c r="K106" s="32"/>
      <c r="L106" s="32" t="b">
        <f>IFERROR(__xludf.DUMMYFUNCTION("""COMPUTED_VALUE"""),FALSE)</f>
        <v>0</v>
      </c>
      <c r="M106" s="32" t="b">
        <f>IFERROR(__xludf.DUMMYFUNCTION("""COMPUTED_VALUE"""),FALSE)</f>
        <v>0</v>
      </c>
      <c r="N106" s="32"/>
    </row>
    <row r="107">
      <c r="A107" s="32" t="str">
        <f>IFERROR(__xludf.DUMMYFUNCTION("""COMPUTED_VALUE"""),"The Cycle")</f>
        <v>The Cycle</v>
      </c>
      <c r="B107" s="34">
        <f>IFERROR(__xludf.DUMMYFUNCTION("""COMPUTED_VALUE"""),9.0)</f>
        <v>9</v>
      </c>
      <c r="C107" s="32" t="str">
        <f>IFERROR(__xludf.DUMMYFUNCTION("""COMPUTED_VALUE"""),"X")</f>
        <v>X</v>
      </c>
      <c r="D107" s="32"/>
      <c r="E107" s="32"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32" t="str">
        <f>IFERROR(__xludf.DUMMYFUNCTION("""COMPUTED_VALUE"""),"Fail/Succeed")</f>
        <v>Fail/Succeed</v>
      </c>
      <c r="G107" s="32" t="str">
        <f>IFERROR(__xludf.DUMMYFUNCTION("""COMPUTED_VALUE"""),"All")</f>
        <v>All</v>
      </c>
      <c r="H107" s="32" t="str">
        <f>IFERROR(__xludf.DUMMYFUNCTION("""COMPUTED_VALUE"""),"Chaos")</f>
        <v>Chaos</v>
      </c>
      <c r="I107" s="32" t="str">
        <f>IFERROR(__xludf.DUMMYFUNCTION("""COMPUTED_VALUE"""),"Mob")</f>
        <v>Mob</v>
      </c>
      <c r="J107" s="32" t="b">
        <f>IFERROR(__xludf.DUMMYFUNCTION("""COMPUTED_VALUE"""),TRUE)</f>
        <v>1</v>
      </c>
      <c r="K107" s="32"/>
      <c r="L107" s="32" t="b">
        <f>IFERROR(__xludf.DUMMYFUNCTION("""COMPUTED_VALUE"""),FALSE)</f>
        <v>0</v>
      </c>
      <c r="M107" s="32" t="b">
        <f>IFERROR(__xludf.DUMMYFUNCTION("""COMPUTED_VALUE"""),TRUE)</f>
        <v>1</v>
      </c>
      <c r="N107" s="32"/>
    </row>
    <row r="108">
      <c r="A108" s="32" t="str">
        <f>IFERROR(__xludf.DUMMYFUNCTION("""COMPUTED_VALUE"""),"Web Of Chaotic Shadows")</f>
        <v>Web Of Chaotic Shadows</v>
      </c>
      <c r="B108" s="34">
        <f>IFERROR(__xludf.DUMMYFUNCTION("""COMPUTED_VALUE"""),0.0)</f>
        <v>0</v>
      </c>
      <c r="C108" s="32">
        <f>IFERROR(__xludf.DUMMYFUNCTION("""COMPUTED_VALUE"""),0.0)</f>
        <v>0</v>
      </c>
      <c r="D108" s="32"/>
      <c r="E108" s="32" t="str">
        <f>IFERROR(__xludf.DUMMYFUNCTION("""COMPUTED_VALUE"""),"All targets are bound in chaos energy and are stunned for 3 rounds.")</f>
        <v>All targets are bound in chaos energy and are stunned for 3 rounds.</v>
      </c>
      <c r="F108" s="32" t="str">
        <f>IFERROR(__xludf.DUMMYFUNCTION("""COMPUTED_VALUE"""),"Natural/Fail Or Succeed")</f>
        <v>Natural/Fail Or Succeed</v>
      </c>
      <c r="G108" s="32" t="str">
        <f>IFERROR(__xludf.DUMMYFUNCTION("""COMPUTED_VALUE"""),"All")</f>
        <v>All</v>
      </c>
      <c r="H108" s="32" t="str">
        <f>IFERROR(__xludf.DUMMYFUNCTION("""COMPUTED_VALUE"""),"Chaos")</f>
        <v>Chaos</v>
      </c>
      <c r="I108" s="32" t="str">
        <f>IFERROR(__xludf.DUMMYFUNCTION("""COMPUTED_VALUE"""),"Mob")</f>
        <v>Mob</v>
      </c>
      <c r="J108" s="32" t="b">
        <f>IFERROR(__xludf.DUMMYFUNCTION("""COMPUTED_VALUE"""),TRUE)</f>
        <v>1</v>
      </c>
      <c r="K108" s="32" t="str">
        <f>IFERROR(__xludf.DUMMYFUNCTION("""COMPUTED_VALUE"""),"Cannot be obtained by players")</f>
        <v>Cannot be obtained by players</v>
      </c>
      <c r="L108" s="32" t="b">
        <f>IFERROR(__xludf.DUMMYFUNCTION("""COMPUTED_VALUE"""),FALSE)</f>
        <v>0</v>
      </c>
      <c r="M108" s="32" t="b">
        <f>IFERROR(__xludf.DUMMYFUNCTION("""COMPUTED_VALUE"""),FALSE)</f>
        <v>0</v>
      </c>
      <c r="N108" s="32"/>
    </row>
    <row r="109">
      <c r="A109" s="32" t="str">
        <f>IFERROR(__xludf.DUMMYFUNCTION("""COMPUTED_VALUE"""),"Chaos Beam")</f>
        <v>Chaos Beam</v>
      </c>
      <c r="B109" s="34">
        <f>IFERROR(__xludf.DUMMYFUNCTION("""COMPUTED_VALUE"""),1.0)</f>
        <v>1</v>
      </c>
      <c r="C109" s="32" t="str">
        <f>IFERROR(__xludf.DUMMYFUNCTION("""COMPUTED_VALUE"""),"X")</f>
        <v>X</v>
      </c>
      <c r="D109" s="32"/>
      <c r="E109" s="32" t="str">
        <f>IFERROR(__xludf.DUMMYFUNCTION("""COMPUTED_VALUE"""),"Deals X*100 Chaos damage to a single enemy where X is equal to SP spent.")</f>
        <v>Deals X*100 Chaos damage to a single enemy where X is equal to SP spent.</v>
      </c>
      <c r="F109" s="32" t="str">
        <f>IFERROR(__xludf.DUMMYFUNCTION("""COMPUTED_VALUE"""),"Hit/Miss")</f>
        <v>Hit/Miss</v>
      </c>
      <c r="G109" s="32">
        <f>IFERROR(__xludf.DUMMYFUNCTION("""COMPUTED_VALUE"""),1.0)</f>
        <v>1</v>
      </c>
      <c r="H109" s="32" t="str">
        <f>IFERROR(__xludf.DUMMYFUNCTION("""COMPUTED_VALUE"""),"Chaos")</f>
        <v>Chaos</v>
      </c>
      <c r="I109" s="32" t="str">
        <f>IFERROR(__xludf.DUMMYFUNCTION("""COMPUTED_VALUE"""),"Player")</f>
        <v>Player</v>
      </c>
      <c r="J109" s="32" t="b">
        <f>IFERROR(__xludf.DUMMYFUNCTION("""COMPUTED_VALUE"""),FALSE)</f>
        <v>0</v>
      </c>
      <c r="K109" s="32"/>
      <c r="L109" s="32" t="b">
        <f>IFERROR(__xludf.DUMMYFUNCTION("""COMPUTED_VALUE"""),FALSE)</f>
        <v>0</v>
      </c>
      <c r="M109" s="32" t="b">
        <f>IFERROR(__xludf.DUMMYFUNCTION("""COMPUTED_VALUE"""),FALSE)</f>
        <v>0</v>
      </c>
      <c r="N109" s="32"/>
    </row>
    <row r="110">
      <c r="A110" s="32" t="str">
        <f>IFERROR(__xludf.DUMMYFUNCTION("""COMPUTED_VALUE"""),"Chaotic Collapse")</f>
        <v>Chaotic Collapse</v>
      </c>
      <c r="B110" s="34">
        <f>IFERROR(__xludf.DUMMYFUNCTION("""COMPUTED_VALUE"""),5.0)</f>
        <v>5</v>
      </c>
      <c r="C110" s="32" t="str">
        <f>IFERROR(__xludf.DUMMYFUNCTION("""COMPUTED_VALUE"""),"X")</f>
        <v>X</v>
      </c>
      <c r="D110" s="32"/>
      <c r="E110" s="32" t="str">
        <f>IFERROR(__xludf.DUMMYFUNCTION("""COMPUTED_VALUE"""),"Deals X*50 Chaos damage per round for 3 rounds to a single target where X is equal to SP spent.")</f>
        <v>Deals X*50 Chaos damage per round for 3 rounds to a single target where X is equal to SP spent.</v>
      </c>
      <c r="F110" s="32" t="str">
        <f>IFERROR(__xludf.DUMMYFUNCTION("""COMPUTED_VALUE"""),"Hit/Miss")</f>
        <v>Hit/Miss</v>
      </c>
      <c r="G110" s="32">
        <f>IFERROR(__xludf.DUMMYFUNCTION("""COMPUTED_VALUE"""),1.0)</f>
        <v>1</v>
      </c>
      <c r="H110" s="32" t="str">
        <f>IFERROR(__xludf.DUMMYFUNCTION("""COMPUTED_VALUE"""),"Chaos")</f>
        <v>Chaos</v>
      </c>
      <c r="I110" s="32" t="str">
        <f>IFERROR(__xludf.DUMMYFUNCTION("""COMPUTED_VALUE"""),"Player")</f>
        <v>Player</v>
      </c>
      <c r="J110" s="32" t="b">
        <f>IFERROR(__xludf.DUMMYFUNCTION("""COMPUTED_VALUE"""),FALSE)</f>
        <v>0</v>
      </c>
      <c r="K110" s="32"/>
      <c r="L110" s="32" t="b">
        <f>IFERROR(__xludf.DUMMYFUNCTION("""COMPUTED_VALUE"""),FALSE)</f>
        <v>0</v>
      </c>
      <c r="M110" s="32" t="b">
        <f>IFERROR(__xludf.DUMMYFUNCTION("""COMPUTED_VALUE"""),FALSE)</f>
        <v>0</v>
      </c>
      <c r="N110" s="32"/>
    </row>
    <row r="111">
      <c r="A111" s="32" t="str">
        <f>IFERROR(__xludf.DUMMYFUNCTION("""COMPUTED_VALUE"""),"Chaotic Implosion")</f>
        <v>Chaotic Implosion</v>
      </c>
      <c r="B111" s="34">
        <f>IFERROR(__xludf.DUMMYFUNCTION("""COMPUTED_VALUE"""),5.0)</f>
        <v>5</v>
      </c>
      <c r="C111" s="32" t="str">
        <f>IFERROR(__xludf.DUMMYFUNCTION("""COMPUTED_VALUE"""),"X")</f>
        <v>X</v>
      </c>
      <c r="D111" s="32"/>
      <c r="E111" s="32" t="str">
        <f>IFERROR(__xludf.DUMMYFUNCTION("""COMPUTED_VALUE"""),"Deals X*25 Chaos damage to all enemies where X is equal to SP spent.")</f>
        <v>Deals X*25 Chaos damage to all enemies where X is equal to SP spent.</v>
      </c>
      <c r="F111" s="32" t="str">
        <f>IFERROR(__xludf.DUMMYFUNCTION("""COMPUTED_VALUE"""),"Cannot Avoid")</f>
        <v>Cannot Avoid</v>
      </c>
      <c r="G111" s="32" t="str">
        <f>IFERROR(__xludf.DUMMYFUNCTION("""COMPUTED_VALUE"""),"All")</f>
        <v>All</v>
      </c>
      <c r="H111" s="32" t="str">
        <f>IFERROR(__xludf.DUMMYFUNCTION("""COMPUTED_VALUE"""),"Chaos")</f>
        <v>Chaos</v>
      </c>
      <c r="I111" s="32" t="str">
        <f>IFERROR(__xludf.DUMMYFUNCTION("""COMPUTED_VALUE"""),"Player")</f>
        <v>Player</v>
      </c>
      <c r="J111" s="32" t="b">
        <f>IFERROR(__xludf.DUMMYFUNCTION("""COMPUTED_VALUE"""),FALSE)</f>
        <v>0</v>
      </c>
      <c r="K111" s="32"/>
      <c r="L111" s="32" t="b">
        <f>IFERROR(__xludf.DUMMYFUNCTION("""COMPUTED_VALUE"""),FALSE)</f>
        <v>0</v>
      </c>
      <c r="M111" s="32" t="b">
        <f>IFERROR(__xludf.DUMMYFUNCTION("""COMPUTED_VALUE"""),FALSE)</f>
        <v>0</v>
      </c>
      <c r="N111" s="32"/>
    </row>
    <row r="112">
      <c r="A112" s="32" t="str">
        <f>IFERROR(__xludf.DUMMYFUNCTION("""COMPUTED_VALUE"""),"Mass Chaotic Collapse")</f>
        <v>Mass Chaotic Collapse</v>
      </c>
      <c r="B112" s="34">
        <f>IFERROR(__xludf.DUMMYFUNCTION("""COMPUTED_VALUE"""),6.0)</f>
        <v>6</v>
      </c>
      <c r="C112" s="32" t="str">
        <f>IFERROR(__xludf.DUMMYFUNCTION("""COMPUTED_VALUE"""),"X")</f>
        <v>X</v>
      </c>
      <c r="D112" s="32"/>
      <c r="E112" s="32" t="str">
        <f>IFERROR(__xludf.DUMMYFUNCTION("""COMPUTED_VALUE"""),"Deals X*10 Chaos damage per round to all enemies for 3 rounds where X is equal to SP spent.")</f>
        <v>Deals X*10 Chaos damage per round to all enemies for 3 rounds where X is equal to SP spent.</v>
      </c>
      <c r="F112" s="32" t="str">
        <f>IFERROR(__xludf.DUMMYFUNCTION("""COMPUTED_VALUE"""),"Cannot Avoid")</f>
        <v>Cannot Avoid</v>
      </c>
      <c r="G112" s="32" t="str">
        <f>IFERROR(__xludf.DUMMYFUNCTION("""COMPUTED_VALUE"""),"All")</f>
        <v>All</v>
      </c>
      <c r="H112" s="32" t="str">
        <f>IFERROR(__xludf.DUMMYFUNCTION("""COMPUTED_VALUE"""),"Chaos")</f>
        <v>Chaos</v>
      </c>
      <c r="I112" s="32" t="str">
        <f>IFERROR(__xludf.DUMMYFUNCTION("""COMPUTED_VALUE"""),"Player")</f>
        <v>Player</v>
      </c>
      <c r="J112" s="32" t="b">
        <f>IFERROR(__xludf.DUMMYFUNCTION("""COMPUTED_VALUE"""),FALSE)</f>
        <v>0</v>
      </c>
      <c r="K112" s="32"/>
      <c r="L112" s="32" t="b">
        <f>IFERROR(__xludf.DUMMYFUNCTION("""COMPUTED_VALUE"""),FALSE)</f>
        <v>0</v>
      </c>
      <c r="M112" s="32" t="b">
        <f>IFERROR(__xludf.DUMMYFUNCTION("""COMPUTED_VALUE"""),FALSE)</f>
        <v>0</v>
      </c>
      <c r="N112" s="32"/>
    </row>
    <row r="113">
      <c r="A113" s="32" t="str">
        <f>IFERROR(__xludf.DUMMYFUNCTION("""COMPUTED_VALUE"""),"Draconic Scream")</f>
        <v>Draconic Scream</v>
      </c>
      <c r="B113" s="34">
        <f>IFERROR(__xludf.DUMMYFUNCTION("""COMPUTED_VALUE"""),9.0)</f>
        <v>9</v>
      </c>
      <c r="C113" s="33">
        <f>IFERROR(__xludf.DUMMYFUNCTION("""COMPUTED_VALUE"""),0.0)</f>
        <v>0</v>
      </c>
      <c r="D113" s="32"/>
      <c r="E113" s="32" t="str">
        <f>IFERROR(__xludf.DUMMYFUNCTION("""COMPUTED_VALUE"""),"All base stats are X2 for 3 rounds for the user.")</f>
        <v>All base stats are X2 for 3 rounds for the user.</v>
      </c>
      <c r="F113" s="32" t="str">
        <f>IFERROR(__xludf.DUMMYFUNCTION("""COMPUTED_VALUE"""),"Fail/Succeed")</f>
        <v>Fail/Succeed</v>
      </c>
      <c r="G113" s="32" t="str">
        <f>IFERROR(__xludf.DUMMYFUNCTION("""COMPUTED_VALUE"""),"Self")</f>
        <v>Self</v>
      </c>
      <c r="H113" s="32" t="str">
        <f>IFERROR(__xludf.DUMMYFUNCTION("""COMPUTED_VALUE"""),"Chaos ")</f>
        <v>Chaos </v>
      </c>
      <c r="I113" s="32" t="str">
        <f>IFERROR(__xludf.DUMMYFUNCTION("""COMPUTED_VALUE"""),"Player")</f>
        <v>Player</v>
      </c>
      <c r="J113" s="32" t="b">
        <f>IFERROR(__xludf.DUMMYFUNCTION("""COMPUTED_VALUE"""),TRUE)</f>
        <v>1</v>
      </c>
      <c r="K113" s="32" t="str">
        <f>IFERROR(__xludf.DUMMYFUNCTION("""COMPUTED_VALUE"""),"shop spell")</f>
        <v>shop spell</v>
      </c>
      <c r="L113" s="32" t="b">
        <f>IFERROR(__xludf.DUMMYFUNCTION("""COMPUTED_VALUE"""),FALSE)</f>
        <v>0</v>
      </c>
      <c r="M113" s="32" t="b">
        <f>IFERROR(__xludf.DUMMYFUNCTION("""COMPUTED_VALUE"""),FALSE)</f>
        <v>0</v>
      </c>
      <c r="N113" s="32"/>
    </row>
    <row r="114">
      <c r="A114" s="32" t="str">
        <f>IFERROR(__xludf.DUMMYFUNCTION("""COMPUTED_VALUE"""),"Chains of Shadow")</f>
        <v>Chains of Shadow</v>
      </c>
      <c r="B114" s="34">
        <f>IFERROR(__xludf.DUMMYFUNCTION("""COMPUTED_VALUE"""),4.0)</f>
        <v>4</v>
      </c>
      <c r="C114" s="32">
        <f>IFERROR(__xludf.DUMMYFUNCTION("""COMPUTED_VALUE"""),40.0)</f>
        <v>40</v>
      </c>
      <c r="D114" s="32"/>
      <c r="E114" s="32" t="str">
        <f>IFERROR(__xludf.DUMMYFUNCTION("""COMPUTED_VALUE"""),"Immobilizes 1 target Skipping there turn order for 3 rounds, 60% chance to immobilize another target.")</f>
        <v>Immobilizes 1 target Skipping there turn order for 3 rounds, 60% chance to immobilize another target.</v>
      </c>
      <c r="F114" s="32" t="str">
        <f>IFERROR(__xludf.DUMMYFUNCTION("""COMPUTED_VALUE"""),"Fail/Succeed")</f>
        <v>Fail/Succeed</v>
      </c>
      <c r="G114" s="32"/>
      <c r="H114" s="32" t="str">
        <f>IFERROR(__xludf.DUMMYFUNCTION("""COMPUTED_VALUE"""),"Dark")</f>
        <v>Dark</v>
      </c>
      <c r="I114" s="32" t="str">
        <f>IFERROR(__xludf.DUMMYFUNCTION("""COMPUTED_VALUE"""),"Player")</f>
        <v>Player</v>
      </c>
      <c r="J114" s="32" t="b">
        <f>IFERROR(__xludf.DUMMYFUNCTION("""COMPUTED_VALUE"""),FALSE)</f>
        <v>0</v>
      </c>
      <c r="K114" s="32"/>
      <c r="L114" s="32" t="b">
        <f>IFERROR(__xludf.DUMMYFUNCTION("""COMPUTED_VALUE"""),FALSE)</f>
        <v>0</v>
      </c>
      <c r="M114" s="32" t="b">
        <f>IFERROR(__xludf.DUMMYFUNCTION("""COMPUTED_VALUE"""),FALSE)</f>
        <v>0</v>
      </c>
      <c r="N114" s="32"/>
    </row>
    <row r="115">
      <c r="A115" s="32" t="str">
        <f>IFERROR(__xludf.DUMMYFUNCTION("""COMPUTED_VALUE"""),"Conceal")</f>
        <v>Conceal</v>
      </c>
      <c r="B115" s="34">
        <f>IFERROR(__xludf.DUMMYFUNCTION("""COMPUTED_VALUE"""),9.0)</f>
        <v>9</v>
      </c>
      <c r="C115" s="32">
        <f>IFERROR(__xludf.DUMMYFUNCTION("""COMPUTED_VALUE"""),300.0)</f>
        <v>300</v>
      </c>
      <c r="D115" s="32"/>
      <c r="E115" s="32"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32" t="str">
        <f>IFERROR(__xludf.DUMMYFUNCTION("""COMPUTED_VALUE"""),"Fail/Succeed")</f>
        <v>Fail/Succeed</v>
      </c>
      <c r="G115" s="32"/>
      <c r="H115" s="32" t="str">
        <f>IFERROR(__xludf.DUMMYFUNCTION("""COMPUTED_VALUE"""),"Dark")</f>
        <v>Dark</v>
      </c>
      <c r="I115" s="32" t="str">
        <f>IFERROR(__xludf.DUMMYFUNCTION("""COMPUTED_VALUE"""),"Player")</f>
        <v>Player</v>
      </c>
      <c r="J115" s="32" t="b">
        <f>IFERROR(__xludf.DUMMYFUNCTION("""COMPUTED_VALUE"""),FALSE)</f>
        <v>0</v>
      </c>
      <c r="K115" s="32"/>
      <c r="L115" s="32" t="b">
        <f>IFERROR(__xludf.DUMMYFUNCTION("""COMPUTED_VALUE"""),FALSE)</f>
        <v>0</v>
      </c>
      <c r="M115" s="32" t="b">
        <f>IFERROR(__xludf.DUMMYFUNCTION("""COMPUTED_VALUE"""),FALSE)</f>
        <v>0</v>
      </c>
      <c r="N115" s="32"/>
    </row>
    <row r="116">
      <c r="A116" s="32" t="str">
        <f>IFERROR(__xludf.DUMMYFUNCTION("""COMPUTED_VALUE"""),"Corrupt")</f>
        <v>Corrupt</v>
      </c>
      <c r="B116" s="34">
        <f>IFERROR(__xludf.DUMMYFUNCTION("""COMPUTED_VALUE"""),4.0)</f>
        <v>4</v>
      </c>
      <c r="C116" s="32" t="str">
        <f>IFERROR(__xludf.DUMMYFUNCTION("""COMPUTED_VALUE"""),"X")</f>
        <v>X</v>
      </c>
      <c r="D116" s="32"/>
      <c r="E116" s="32" t="str">
        <f>IFERROR(__xludf.DUMMYFUNCTION("""COMPUTED_VALUE"""),"Target gains X*4 Dark damage and X*4 Dark resistance, can’t be used on self")</f>
        <v>Target gains X*4 Dark damage and X*4 Dark resistance, can’t be used on self</v>
      </c>
      <c r="F116" s="32" t="str">
        <f>IFERROR(__xludf.DUMMYFUNCTION("""COMPUTED_VALUE"""),"Will Succeed")</f>
        <v>Will Succeed</v>
      </c>
      <c r="G116" s="32"/>
      <c r="H116" s="32" t="str">
        <f>IFERROR(__xludf.DUMMYFUNCTION("""COMPUTED_VALUE"""),"Dark")</f>
        <v>Dark</v>
      </c>
      <c r="I116" s="32" t="str">
        <f>IFERROR(__xludf.DUMMYFUNCTION("""COMPUTED_VALUE"""),"Player")</f>
        <v>Player</v>
      </c>
      <c r="J116" s="32" t="b">
        <f>IFERROR(__xludf.DUMMYFUNCTION("""COMPUTED_VALUE"""),FALSE)</f>
        <v>0</v>
      </c>
      <c r="K116" s="32"/>
      <c r="L116" s="32" t="b">
        <f>IFERROR(__xludf.DUMMYFUNCTION("""COMPUTED_VALUE"""),FALSE)</f>
        <v>0</v>
      </c>
      <c r="M116" s="32" t="b">
        <f>IFERROR(__xludf.DUMMYFUNCTION("""COMPUTED_VALUE"""),FALSE)</f>
        <v>0</v>
      </c>
      <c r="N116" s="32"/>
    </row>
    <row r="117">
      <c r="A117" s="32" t="str">
        <f>IFERROR(__xludf.DUMMYFUNCTION("""COMPUTED_VALUE"""),"Dark Boost")</f>
        <v>Dark Boost</v>
      </c>
      <c r="B117" s="34">
        <f>IFERROR(__xludf.DUMMYFUNCTION("""COMPUTED_VALUE"""),9.0)</f>
        <v>9</v>
      </c>
      <c r="C117" s="32">
        <f>IFERROR(__xludf.DUMMYFUNCTION("""COMPUTED_VALUE"""),1000.0)</f>
        <v>1000</v>
      </c>
      <c r="D117" s="32"/>
      <c r="E117" s="32" t="str">
        <f>IFERROR(__xludf.DUMMYFUNCTION("""COMPUTED_VALUE"""),"X2 dark damage for caster.")</f>
        <v>X2 dark damage for caster.</v>
      </c>
      <c r="F117" s="32" t="str">
        <f>IFERROR(__xludf.DUMMYFUNCTION("""COMPUTED_VALUE"""),"Will Succeed")</f>
        <v>Will Succeed</v>
      </c>
      <c r="G117" s="32" t="str">
        <f>IFERROR(__xludf.DUMMYFUNCTION("""COMPUTED_VALUE"""),"Self")</f>
        <v>Self</v>
      </c>
      <c r="H117" s="32" t="str">
        <f>IFERROR(__xludf.DUMMYFUNCTION("""COMPUTED_VALUE"""),"Dark")</f>
        <v>Dark</v>
      </c>
      <c r="I117" s="32" t="str">
        <f>IFERROR(__xludf.DUMMYFUNCTION("""COMPUTED_VALUE"""),"Mob")</f>
        <v>Mob</v>
      </c>
      <c r="J117" s="32" t="b">
        <f>IFERROR(__xludf.DUMMYFUNCTION("""COMPUTED_VALUE"""),TRUE)</f>
        <v>1</v>
      </c>
      <c r="K117" s="32"/>
      <c r="L117" s="32" t="b">
        <f>IFERROR(__xludf.DUMMYFUNCTION("""COMPUTED_VALUE"""),FALSE)</f>
        <v>0</v>
      </c>
      <c r="M117" s="32" t="b">
        <f>IFERROR(__xludf.DUMMYFUNCTION("""COMPUTED_VALUE"""),FALSE)</f>
        <v>0</v>
      </c>
      <c r="N117" s="32"/>
    </row>
    <row r="118">
      <c r="A118" s="32" t="str">
        <f>IFERROR(__xludf.DUMMYFUNCTION("""COMPUTED_VALUE"""),"Dark Curse")</f>
        <v>Dark Curse</v>
      </c>
      <c r="B118" s="34">
        <f>IFERROR(__xludf.DUMMYFUNCTION("""COMPUTED_VALUE"""),7.0)</f>
        <v>7</v>
      </c>
      <c r="C118" s="32">
        <f>IFERROR(__xludf.DUMMYFUNCTION("""COMPUTED_VALUE"""),70.0)</f>
        <v>70</v>
      </c>
      <c r="D118" s="32"/>
      <c r="E118" s="32"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32" t="str">
        <f>IFERROR(__xludf.DUMMYFUNCTION("""COMPUTED_VALUE"""),"Fail or Succeed")</f>
        <v>Fail or Succeed</v>
      </c>
      <c r="G118" s="32"/>
      <c r="H118" s="32" t="str">
        <f>IFERROR(__xludf.DUMMYFUNCTION("""COMPUTED_VALUE"""),"Dark")</f>
        <v>Dark</v>
      </c>
      <c r="I118" s="32" t="str">
        <f>IFERROR(__xludf.DUMMYFUNCTION("""COMPUTED_VALUE"""),"Player")</f>
        <v>Player</v>
      </c>
      <c r="J118" s="32" t="b">
        <f>IFERROR(__xludf.DUMMYFUNCTION("""COMPUTED_VALUE"""),FALSE)</f>
        <v>0</v>
      </c>
      <c r="K118" s="32"/>
      <c r="L118" s="32" t="b">
        <f>IFERROR(__xludf.DUMMYFUNCTION("""COMPUTED_VALUE"""),FALSE)</f>
        <v>0</v>
      </c>
      <c r="M118" s="32" t="b">
        <f>IFERROR(__xludf.DUMMYFUNCTION("""COMPUTED_VALUE"""),FALSE)</f>
        <v>0</v>
      </c>
      <c r="N118" s="32"/>
    </row>
    <row r="119">
      <c r="A119" s="32" t="str">
        <f>IFERROR(__xludf.DUMMYFUNCTION("""COMPUTED_VALUE"""),"Dark Force")</f>
        <v>Dark Force</v>
      </c>
      <c r="B119" s="34">
        <f>IFERROR(__xludf.DUMMYFUNCTION("""COMPUTED_VALUE"""),9.0)</f>
        <v>9</v>
      </c>
      <c r="C119" s="32">
        <f>IFERROR(__xludf.DUMMYFUNCTION("""COMPUTED_VALUE"""),1000.0)</f>
        <v>1000</v>
      </c>
      <c r="D119" s="32"/>
      <c r="E119" s="32" t="str">
        <f>IFERROR(__xludf.DUMMYFUNCTION("""COMPUTED_VALUE"""),"20,000 damage, and 20,000 dark damage to all enemies and causes the arena to be dark for 3 rounds.")</f>
        <v>20,000 damage, and 20,000 dark damage to all enemies and causes the arena to be dark for 3 rounds.</v>
      </c>
      <c r="F119" s="32" t="str">
        <f>IFERROR(__xludf.DUMMYFUNCTION("""COMPUTED_VALUE"""),"Cannot Avoid")</f>
        <v>Cannot Avoid</v>
      </c>
      <c r="G119" s="32" t="str">
        <f>IFERROR(__xludf.DUMMYFUNCTION("""COMPUTED_VALUE"""),"All")</f>
        <v>All</v>
      </c>
      <c r="H119" s="32" t="str">
        <f>IFERROR(__xludf.DUMMYFUNCTION("""COMPUTED_VALUE"""),"Dark")</f>
        <v>Dark</v>
      </c>
      <c r="I119" s="32" t="str">
        <f>IFERROR(__xludf.DUMMYFUNCTION("""COMPUTED_VALUE"""),"Mob")</f>
        <v>Mob</v>
      </c>
      <c r="J119" s="32" t="b">
        <f>IFERROR(__xludf.DUMMYFUNCTION("""COMPUTED_VALUE"""),TRUE)</f>
        <v>1</v>
      </c>
      <c r="K119" s="32"/>
      <c r="L119" s="32" t="b">
        <f>IFERROR(__xludf.DUMMYFUNCTION("""COMPUTED_VALUE"""),FALSE)</f>
        <v>0</v>
      </c>
      <c r="M119" s="32" t="b">
        <f>IFERROR(__xludf.DUMMYFUNCTION("""COMPUTED_VALUE"""),FALSE)</f>
        <v>0</v>
      </c>
      <c r="N119" s="32"/>
    </row>
    <row r="120">
      <c r="A120" s="32" t="str">
        <f>IFERROR(__xludf.DUMMYFUNCTION("""COMPUTED_VALUE"""),"Dark Sacrifice")</f>
        <v>Dark Sacrifice</v>
      </c>
      <c r="B120" s="34">
        <f>IFERROR(__xludf.DUMMYFUNCTION("""COMPUTED_VALUE"""),6.0)</f>
        <v>6</v>
      </c>
      <c r="C120" s="32">
        <f>IFERROR(__xludf.DUMMYFUNCTION("""COMPUTED_VALUE"""),60.0)</f>
        <v>60</v>
      </c>
      <c r="D120" s="32"/>
      <c r="E120" s="32" t="str">
        <f>IFERROR(__xludf.DUMMYFUNCTION("""COMPUTED_VALUE"""),"Caster takes damage equal to half their hp and selects 1 target to be revived.")</f>
        <v>Caster takes damage equal to half their hp and selects 1 target to be revived.</v>
      </c>
      <c r="F120" s="32" t="str">
        <f>IFERROR(__xludf.DUMMYFUNCTION("""COMPUTED_VALUE"""),"Will Succeed")</f>
        <v>Will Succeed</v>
      </c>
      <c r="G120" s="32"/>
      <c r="H120" s="32" t="str">
        <f>IFERROR(__xludf.DUMMYFUNCTION("""COMPUTED_VALUE"""),"Dark")</f>
        <v>Dark</v>
      </c>
      <c r="I120" s="32" t="str">
        <f>IFERROR(__xludf.DUMMYFUNCTION("""COMPUTED_VALUE"""),"Player")</f>
        <v>Player</v>
      </c>
      <c r="J120" s="32" t="b">
        <f>IFERROR(__xludf.DUMMYFUNCTION("""COMPUTED_VALUE"""),FALSE)</f>
        <v>0</v>
      </c>
      <c r="K120" s="32"/>
      <c r="L120" s="32" t="b">
        <f>IFERROR(__xludf.DUMMYFUNCTION("""COMPUTED_VALUE"""),FALSE)</f>
        <v>0</v>
      </c>
      <c r="M120" s="32" t="b">
        <f>IFERROR(__xludf.DUMMYFUNCTION("""COMPUTED_VALUE"""),FALSE)</f>
        <v>0</v>
      </c>
      <c r="N120" s="32"/>
    </row>
    <row r="121">
      <c r="A121" s="32" t="str">
        <f>IFERROR(__xludf.DUMMYFUNCTION("""COMPUTED_VALUE"""),"Darkest Abyss")</f>
        <v>Darkest Abyss</v>
      </c>
      <c r="B121" s="34">
        <f>IFERROR(__xludf.DUMMYFUNCTION("""COMPUTED_VALUE"""),9.0)</f>
        <v>9</v>
      </c>
      <c r="C121" s="32">
        <f>IFERROR(__xludf.DUMMYFUNCTION("""COMPUTED_VALUE"""),300.0)</f>
        <v>300</v>
      </c>
      <c r="D121" s="32"/>
      <c r="E121" s="32" t="str">
        <f>IFERROR(__xludf.DUMMYFUNCTION("""COMPUTED_VALUE"""),"50,000 dark damage to all enemies. 50% chance of instant death and causes the arena to be dark for 3 rounds..")</f>
        <v>50,000 dark damage to all enemies. 50% chance of instant death and causes the arena to be dark for 3 rounds..</v>
      </c>
      <c r="F121" s="32" t="str">
        <f>IFERROR(__xludf.DUMMYFUNCTION("""COMPUTED_VALUE"""),"Cannot be avoided")</f>
        <v>Cannot be avoided</v>
      </c>
      <c r="G121" s="32">
        <f>IFERROR(__xludf.DUMMYFUNCTION("""COMPUTED_VALUE"""),1.0)</f>
        <v>1</v>
      </c>
      <c r="H121" s="32" t="str">
        <f>IFERROR(__xludf.DUMMYFUNCTION("""COMPUTED_VALUE"""),"Dark")</f>
        <v>Dark</v>
      </c>
      <c r="I121" s="32" t="str">
        <f>IFERROR(__xludf.DUMMYFUNCTION("""COMPUTED_VALUE"""),"Player")</f>
        <v>Player</v>
      </c>
      <c r="J121" s="32" t="b">
        <f>IFERROR(__xludf.DUMMYFUNCTION("""COMPUTED_VALUE"""),FALSE)</f>
        <v>0</v>
      </c>
      <c r="K121" s="32"/>
      <c r="L121" s="32" t="b">
        <f>IFERROR(__xludf.DUMMYFUNCTION("""COMPUTED_VALUE"""),FALSE)</f>
        <v>0</v>
      </c>
      <c r="M121" s="32" t="b">
        <f>IFERROR(__xludf.DUMMYFUNCTION("""COMPUTED_VALUE"""),FALSE)</f>
        <v>0</v>
      </c>
      <c r="N121" s="32"/>
    </row>
    <row r="122">
      <c r="A122" s="32" t="str">
        <f>IFERROR(__xludf.DUMMYFUNCTION("""COMPUTED_VALUE"""),"Darkness Ablaze")</f>
        <v>Darkness Ablaze</v>
      </c>
      <c r="B122" s="34">
        <f>IFERROR(__xludf.DUMMYFUNCTION("""COMPUTED_VALUE"""),9.0)</f>
        <v>9</v>
      </c>
      <c r="C122" s="33">
        <f>IFERROR(__xludf.DUMMYFUNCTION("""COMPUTED_VALUE"""),10000.0)</f>
        <v>10000</v>
      </c>
      <c r="D122" s="32"/>
      <c r="E122" s="32"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32" t="str">
        <f>IFERROR(__xludf.DUMMYFUNCTION("""COMPUTED_VALUE"""),"Cannot Avoid")</f>
        <v>Cannot Avoid</v>
      </c>
      <c r="G122" s="32" t="str">
        <f>IFERROR(__xludf.DUMMYFUNCTION("""COMPUTED_VALUE"""),"All")</f>
        <v>All</v>
      </c>
      <c r="H122" s="32" t="str">
        <f>IFERROR(__xludf.DUMMYFUNCTION("""COMPUTED_VALUE"""),"Dark")</f>
        <v>Dark</v>
      </c>
      <c r="I122" s="32" t="str">
        <f>IFERROR(__xludf.DUMMYFUNCTION("""COMPUTED_VALUE"""),"Mob")</f>
        <v>Mob</v>
      </c>
      <c r="J122" s="32" t="b">
        <f>IFERROR(__xludf.DUMMYFUNCTION("""COMPUTED_VALUE"""),TRUE)</f>
        <v>1</v>
      </c>
      <c r="K122" s="32"/>
      <c r="L122" s="32" t="b">
        <f>IFERROR(__xludf.DUMMYFUNCTION("""COMPUTED_VALUE"""),FALSE)</f>
        <v>0</v>
      </c>
      <c r="M122" s="32" t="b">
        <f>IFERROR(__xludf.DUMMYFUNCTION("""COMPUTED_VALUE"""),FALSE)</f>
        <v>0</v>
      </c>
      <c r="N122" s="32"/>
    </row>
    <row r="123">
      <c r="A123" s="32" t="str">
        <f>IFERROR(__xludf.DUMMYFUNCTION("""COMPUTED_VALUE"""),"Devolve")</f>
        <v>Devolve</v>
      </c>
      <c r="B123" s="34">
        <f>IFERROR(__xludf.DUMMYFUNCTION("""COMPUTED_VALUE"""),8.0)</f>
        <v>8</v>
      </c>
      <c r="C123" s="32" t="str">
        <f>IFERROR(__xludf.DUMMYFUNCTION("""COMPUTED_VALUE"""),"X")</f>
        <v>X</v>
      </c>
      <c r="D123" s="32"/>
      <c r="E123" s="32" t="str">
        <f>IFERROR(__xludf.DUMMYFUNCTION("""COMPUTED_VALUE"""),"Decrease a targets base stats by X*100")</f>
        <v>Decrease a targets base stats by X*100</v>
      </c>
      <c r="F123" s="32" t="str">
        <f>IFERROR(__xludf.DUMMYFUNCTION("""COMPUTED_VALUE"""),"Fail/Succeed")</f>
        <v>Fail/Succeed</v>
      </c>
      <c r="G123" s="32"/>
      <c r="H123" s="32" t="str">
        <f>IFERROR(__xludf.DUMMYFUNCTION("""COMPUTED_VALUE"""),"Dark")</f>
        <v>Dark</v>
      </c>
      <c r="I123" s="32" t="str">
        <f>IFERROR(__xludf.DUMMYFUNCTION("""COMPUTED_VALUE"""),"Player")</f>
        <v>Player</v>
      </c>
      <c r="J123" s="32" t="b">
        <f>IFERROR(__xludf.DUMMYFUNCTION("""COMPUTED_VALUE"""),FALSE)</f>
        <v>0</v>
      </c>
      <c r="K123" s="32"/>
      <c r="L123" s="32" t="b">
        <f>IFERROR(__xludf.DUMMYFUNCTION("""COMPUTED_VALUE"""),FALSE)</f>
        <v>0</v>
      </c>
      <c r="M123" s="32" t="b">
        <f>IFERROR(__xludf.DUMMYFUNCTION("""COMPUTED_VALUE"""),FALSE)</f>
        <v>0</v>
      </c>
      <c r="N123" s="32"/>
    </row>
    <row r="124">
      <c r="A124" s="32" t="str">
        <f>IFERROR(__xludf.DUMMYFUNCTION("""COMPUTED_VALUE"""),"Multi Vanish")</f>
        <v>Multi Vanish</v>
      </c>
      <c r="B124" s="34">
        <f>IFERROR(__xludf.DUMMYFUNCTION("""COMPUTED_VALUE"""),9.0)</f>
        <v>9</v>
      </c>
      <c r="C124" s="32">
        <f>IFERROR(__xludf.DUMMYFUNCTION("""COMPUTED_VALUE"""),300.0)</f>
        <v>300</v>
      </c>
      <c r="D124" s="32"/>
      <c r="E124" s="32"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32" t="str">
        <f>IFERROR(__xludf.DUMMYFUNCTION("""COMPUTED_VALUE"""),"Fail/succeed")</f>
        <v>Fail/succeed</v>
      </c>
      <c r="G124" s="32"/>
      <c r="H124" s="32" t="str">
        <f>IFERROR(__xludf.DUMMYFUNCTION("""COMPUTED_VALUE"""),"Dark")</f>
        <v>Dark</v>
      </c>
      <c r="I124" s="32" t="str">
        <f>IFERROR(__xludf.DUMMYFUNCTION("""COMPUTED_VALUE"""),"Player")</f>
        <v>Player</v>
      </c>
      <c r="J124" s="32" t="b">
        <f>IFERROR(__xludf.DUMMYFUNCTION("""COMPUTED_VALUE"""),FALSE)</f>
        <v>0</v>
      </c>
      <c r="K124" s="32"/>
      <c r="L124" s="32" t="b">
        <f>IFERROR(__xludf.DUMMYFUNCTION("""COMPUTED_VALUE"""),FALSE)</f>
        <v>0</v>
      </c>
      <c r="M124" s="32" t="b">
        <f>IFERROR(__xludf.DUMMYFUNCTION("""COMPUTED_VALUE"""),FALSE)</f>
        <v>0</v>
      </c>
      <c r="N124" s="32"/>
    </row>
    <row r="125">
      <c r="A125" s="32" t="str">
        <f>IFERROR(__xludf.DUMMYFUNCTION("""COMPUTED_VALUE"""),"Nightmare")</f>
        <v>Nightmare</v>
      </c>
      <c r="B125" s="34">
        <f>IFERROR(__xludf.DUMMYFUNCTION("""COMPUTED_VALUE"""),9.0)</f>
        <v>9</v>
      </c>
      <c r="C125" s="32">
        <f>IFERROR(__xludf.DUMMYFUNCTION("""COMPUTED_VALUE"""),5000.0)</f>
        <v>5000</v>
      </c>
      <c r="D125" s="32"/>
      <c r="E125" s="32" t="str">
        <f>IFERROR(__xludf.DUMMYFUNCTION("""COMPUTED_VALUE"""),"Puts all enemies to sleep, Those targets take X2 more damage while asleep.")</f>
        <v>Puts all enemies to sleep, Those targets take X2 more damage while asleep.</v>
      </c>
      <c r="F125" s="32" t="str">
        <f>IFERROR(__xludf.DUMMYFUNCTION("""COMPUTED_VALUE"""),"Fail/Succeed")</f>
        <v>Fail/Succeed</v>
      </c>
      <c r="G125" s="32" t="str">
        <f>IFERROR(__xludf.DUMMYFUNCTION("""COMPUTED_VALUE"""),"All")</f>
        <v>All</v>
      </c>
      <c r="H125" s="32" t="str">
        <f>IFERROR(__xludf.DUMMYFUNCTION("""COMPUTED_VALUE"""),"Dark")</f>
        <v>Dark</v>
      </c>
      <c r="I125" s="32" t="str">
        <f>IFERROR(__xludf.DUMMYFUNCTION("""COMPUTED_VALUE"""),"Mob")</f>
        <v>Mob</v>
      </c>
      <c r="J125" s="32" t="b">
        <f>IFERROR(__xludf.DUMMYFUNCTION("""COMPUTED_VALUE"""),TRUE)</f>
        <v>1</v>
      </c>
      <c r="K125" s="32"/>
      <c r="L125" s="32" t="b">
        <f>IFERROR(__xludf.DUMMYFUNCTION("""COMPUTED_VALUE"""),FALSE)</f>
        <v>0</v>
      </c>
      <c r="M125" s="32" t="b">
        <f>IFERROR(__xludf.DUMMYFUNCTION("""COMPUTED_VALUE"""),TRUE)</f>
        <v>1</v>
      </c>
      <c r="N125" s="32"/>
    </row>
    <row r="126">
      <c r="A126" s="32" t="str">
        <f>IFERROR(__xludf.DUMMYFUNCTION("""COMPUTED_VALUE"""),"Pick Pocket")</f>
        <v>Pick Pocket</v>
      </c>
      <c r="B126" s="34">
        <f>IFERROR(__xludf.DUMMYFUNCTION("""COMPUTED_VALUE"""),1.0)</f>
        <v>1</v>
      </c>
      <c r="C126" s="32">
        <f>IFERROR(__xludf.DUMMYFUNCTION("""COMPUTED_VALUE"""),0.0)</f>
        <v>0</v>
      </c>
      <c r="D126" s="32"/>
      <c r="E126" s="32"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32" t="str">
        <f>IFERROR(__xludf.DUMMYFUNCTION("""COMPUTED_VALUE"""),"Natural/Fail or Succeed")</f>
        <v>Natural/Fail or Succeed</v>
      </c>
      <c r="G126" s="32"/>
      <c r="H126" s="32" t="str">
        <f>IFERROR(__xludf.DUMMYFUNCTION("""COMPUTED_VALUE"""),"Dark")</f>
        <v>Dark</v>
      </c>
      <c r="I126" s="32" t="str">
        <f>IFERROR(__xludf.DUMMYFUNCTION("""COMPUTED_VALUE"""),"Player")</f>
        <v>Player</v>
      </c>
      <c r="J126" s="32" t="b">
        <f>IFERROR(__xludf.DUMMYFUNCTION("""COMPUTED_VALUE"""),FALSE)</f>
        <v>0</v>
      </c>
      <c r="K126" s="32"/>
      <c r="L126" s="32" t="b">
        <f>IFERROR(__xludf.DUMMYFUNCTION("""COMPUTED_VALUE"""),FALSE)</f>
        <v>0</v>
      </c>
      <c r="M126" s="32" t="b">
        <f>IFERROR(__xludf.DUMMYFUNCTION("""COMPUTED_VALUE"""),FALSE)</f>
        <v>0</v>
      </c>
      <c r="N126" s="32"/>
    </row>
    <row r="127">
      <c r="A127" s="32" t="str">
        <f>IFERROR(__xludf.DUMMYFUNCTION("""COMPUTED_VALUE"""),"Raise Dead")</f>
        <v>Raise Dead</v>
      </c>
      <c r="B127" s="34">
        <f>IFERROR(__xludf.DUMMYFUNCTION("""COMPUTED_VALUE"""),9.0)</f>
        <v>9</v>
      </c>
      <c r="C127" s="32">
        <f>IFERROR(__xludf.DUMMYFUNCTION("""COMPUTED_VALUE"""),300.0)</f>
        <v>300</v>
      </c>
      <c r="D127" s="32"/>
      <c r="E127" s="32" t="str">
        <f>IFERROR(__xludf.DUMMYFUNCTION("""COMPUTED_VALUE"""),"Return a target from death with half their HP, must be done before they respawn")</f>
        <v>Return a target from death with half their HP, must be done before they respawn</v>
      </c>
      <c r="F127" s="32" t="str">
        <f>IFERROR(__xludf.DUMMYFUNCTION("""COMPUTED_VALUE"""),"Fail/succeed")</f>
        <v>Fail/succeed</v>
      </c>
      <c r="G127" s="32">
        <f>IFERROR(__xludf.DUMMYFUNCTION("""COMPUTED_VALUE"""),1.0)</f>
        <v>1</v>
      </c>
      <c r="H127" s="32" t="str">
        <f>IFERROR(__xludf.DUMMYFUNCTION("""COMPUTED_VALUE"""),"Dark")</f>
        <v>Dark</v>
      </c>
      <c r="I127" s="32" t="str">
        <f>IFERROR(__xludf.DUMMYFUNCTION("""COMPUTED_VALUE"""),"Player")</f>
        <v>Player</v>
      </c>
      <c r="J127" s="32" t="b">
        <f>IFERROR(__xludf.DUMMYFUNCTION("""COMPUTED_VALUE"""),FALSE)</f>
        <v>0</v>
      </c>
      <c r="K127" s="32"/>
      <c r="L127" s="32" t="b">
        <f>IFERROR(__xludf.DUMMYFUNCTION("""COMPUTED_VALUE"""),FALSE)</f>
        <v>0</v>
      </c>
      <c r="M127" s="32" t="b">
        <f>IFERROR(__xludf.DUMMYFUNCTION("""COMPUTED_VALUE"""),FALSE)</f>
        <v>0</v>
      </c>
      <c r="N127" s="32"/>
    </row>
    <row r="128">
      <c r="A128" s="32" t="str">
        <f>IFERROR(__xludf.DUMMYFUNCTION("""COMPUTED_VALUE"""),"Reapers Cradle")</f>
        <v>Reapers Cradle</v>
      </c>
      <c r="B128" s="34">
        <f>IFERROR(__xludf.DUMMYFUNCTION("""COMPUTED_VALUE"""),0.0)</f>
        <v>0</v>
      </c>
      <c r="C128" s="32">
        <f>IFERROR(__xludf.DUMMYFUNCTION("""COMPUTED_VALUE"""),0.0)</f>
        <v>0</v>
      </c>
      <c r="D128" s="32"/>
      <c r="E128" s="32" t="str">
        <f>IFERROR(__xludf.DUMMYFUNCTION("""COMPUTED_VALUE"""),"Puts all enemies to sleep for 3 rounds skipping their turn order.")</f>
        <v>Puts all enemies to sleep for 3 rounds skipping their turn order.</v>
      </c>
      <c r="F128" s="32" t="str">
        <f>IFERROR(__xludf.DUMMYFUNCTION("""COMPUTED_VALUE"""),"Natural/Fail or Succeed")</f>
        <v>Natural/Fail or Succeed</v>
      </c>
      <c r="G128" s="32" t="str">
        <f>IFERROR(__xludf.DUMMYFUNCTION("""COMPUTED_VALUE"""),"All")</f>
        <v>All</v>
      </c>
      <c r="H128" s="32" t="str">
        <f>IFERROR(__xludf.DUMMYFUNCTION("""COMPUTED_VALUE"""),"Dark")</f>
        <v>Dark</v>
      </c>
      <c r="I128" s="32" t="str">
        <f>IFERROR(__xludf.DUMMYFUNCTION("""COMPUTED_VALUE"""),"Mob")</f>
        <v>Mob</v>
      </c>
      <c r="J128" s="32" t="b">
        <f>IFERROR(__xludf.DUMMYFUNCTION("""COMPUTED_VALUE"""),TRUE)</f>
        <v>1</v>
      </c>
      <c r="K128" s="32" t="str">
        <f>IFERROR(__xludf.DUMMYFUNCTION("""COMPUTED_VALUE"""),"Cannot be obtained by players.")</f>
        <v>Cannot be obtained by players.</v>
      </c>
      <c r="L128" s="32" t="b">
        <f>IFERROR(__xludf.DUMMYFUNCTION("""COMPUTED_VALUE"""),FALSE)</f>
        <v>0</v>
      </c>
      <c r="M128" s="32" t="b">
        <f>IFERROR(__xludf.DUMMYFUNCTION("""COMPUTED_VALUE"""),FALSE)</f>
        <v>0</v>
      </c>
      <c r="N128" s="32"/>
    </row>
    <row r="129">
      <c r="A129" s="32" t="str">
        <f>IFERROR(__xludf.DUMMYFUNCTION("""COMPUTED_VALUE"""),"Regress")</f>
        <v>Regress</v>
      </c>
      <c r="B129" s="34">
        <f>IFERROR(__xludf.DUMMYFUNCTION("""COMPUTED_VALUE"""),3.0)</f>
        <v>3</v>
      </c>
      <c r="C129" s="32" t="str">
        <f>IFERROR(__xludf.DUMMYFUNCTION("""COMPUTED_VALUE"""),"X")</f>
        <v>X</v>
      </c>
      <c r="D129" s="32"/>
      <c r="E129" s="32" t="str">
        <f>IFERROR(__xludf.DUMMYFUNCTION("""COMPUTED_VALUE"""),"All target’s base stats are reduced by X*2 until the end of battle.")</f>
        <v>All target’s base stats are reduced by X*2 until the end of battle.</v>
      </c>
      <c r="F129" s="32" t="str">
        <f>IFERROR(__xludf.DUMMYFUNCTION("""COMPUTED_VALUE"""),"Fail/Succeed")</f>
        <v>Fail/Succeed</v>
      </c>
      <c r="G129" s="32"/>
      <c r="H129" s="32" t="str">
        <f>IFERROR(__xludf.DUMMYFUNCTION("""COMPUTED_VALUE"""),"Dark")</f>
        <v>Dark</v>
      </c>
      <c r="I129" s="32" t="str">
        <f>IFERROR(__xludf.DUMMYFUNCTION("""COMPUTED_VALUE"""),"Player")</f>
        <v>Player</v>
      </c>
      <c r="J129" s="32" t="b">
        <f>IFERROR(__xludf.DUMMYFUNCTION("""COMPUTED_VALUE"""),FALSE)</f>
        <v>0</v>
      </c>
      <c r="K129" s="32"/>
      <c r="L129" s="32" t="b">
        <f>IFERROR(__xludf.DUMMYFUNCTION("""COMPUTED_VALUE"""),FALSE)</f>
        <v>0</v>
      </c>
      <c r="M129" s="32" t="b">
        <f>IFERROR(__xludf.DUMMYFUNCTION("""COMPUTED_VALUE"""),FALSE)</f>
        <v>0</v>
      </c>
      <c r="N129" s="32"/>
    </row>
    <row r="130">
      <c r="A130" s="32"/>
      <c r="B130" s="32"/>
      <c r="C130" s="32"/>
      <c r="D130" s="32"/>
      <c r="E130" s="32"/>
      <c r="F130" s="32"/>
      <c r="G130" s="32"/>
      <c r="H130" s="32"/>
      <c r="I130" s="32"/>
      <c r="J130" s="32" t="b">
        <f>IFERROR(__xludf.DUMMYFUNCTION("""COMPUTED_VALUE"""),FALSE)</f>
        <v>0</v>
      </c>
      <c r="K130" s="32"/>
      <c r="L130" s="32" t="b">
        <f>IFERROR(__xludf.DUMMYFUNCTION("""COMPUTED_VALUE"""),FALSE)</f>
        <v>0</v>
      </c>
      <c r="M130" s="32" t="b">
        <f>IFERROR(__xludf.DUMMYFUNCTION("""COMPUTED_VALUE"""),FALSE)</f>
        <v>0</v>
      </c>
      <c r="N130" s="32"/>
    </row>
    <row r="131">
      <c r="A131" s="32" t="str">
        <f>IFERROR(__xludf.DUMMYFUNCTION("""COMPUTED_VALUE"""),"Shade")</f>
        <v>Shade</v>
      </c>
      <c r="B131" s="34">
        <f>IFERROR(__xludf.DUMMYFUNCTION("""COMPUTED_VALUE"""),1.0)</f>
        <v>1</v>
      </c>
      <c r="C131" s="32">
        <f>IFERROR(__xludf.DUMMYFUNCTION("""COMPUTED_VALUE"""),10.0)</f>
        <v>10</v>
      </c>
      <c r="D131" s="32"/>
      <c r="E131" s="32" t="str">
        <f>IFERROR(__xludf.DUMMYFUNCTION("""COMPUTED_VALUE"""),"1000 dark damage and causes the arena to be dark for 3 rounds.")</f>
        <v>1000 dark damage and causes the arena to be dark for 3 rounds.</v>
      </c>
      <c r="F131" s="32" t="str">
        <f>IFERROR(__xludf.DUMMYFUNCTION("""COMPUTED_VALUE"""),"Hit or Miss")</f>
        <v>Hit or Miss</v>
      </c>
      <c r="G131" s="32">
        <f>IFERROR(__xludf.DUMMYFUNCTION("""COMPUTED_VALUE"""),1.0)</f>
        <v>1</v>
      </c>
      <c r="H131" s="32" t="str">
        <f>IFERROR(__xludf.DUMMYFUNCTION("""COMPUTED_VALUE"""),"Dark")</f>
        <v>Dark</v>
      </c>
      <c r="I131" s="32" t="str">
        <f>IFERROR(__xludf.DUMMYFUNCTION("""COMPUTED_VALUE"""),"Player")</f>
        <v>Player</v>
      </c>
      <c r="J131" s="32" t="b">
        <f>IFERROR(__xludf.DUMMYFUNCTION("""COMPUTED_VALUE"""),FALSE)</f>
        <v>0</v>
      </c>
      <c r="K131" s="32"/>
      <c r="L131" s="32" t="b">
        <f>IFERROR(__xludf.DUMMYFUNCTION("""COMPUTED_VALUE"""),FALSE)</f>
        <v>0</v>
      </c>
      <c r="M131" s="32" t="b">
        <f>IFERROR(__xludf.DUMMYFUNCTION("""COMPUTED_VALUE"""),FALSE)</f>
        <v>0</v>
      </c>
      <c r="N131" s="32"/>
    </row>
    <row r="132">
      <c r="A132" s="32" t="str">
        <f>IFERROR(__xludf.DUMMYFUNCTION("""COMPUTED_VALUE"""),"Shadow")</f>
        <v>Shadow</v>
      </c>
      <c r="B132" s="34">
        <f>IFERROR(__xludf.DUMMYFUNCTION("""COMPUTED_VALUE"""),4.0)</f>
        <v>4</v>
      </c>
      <c r="C132" s="32">
        <f>IFERROR(__xludf.DUMMYFUNCTION("""COMPUTED_VALUE"""),40.0)</f>
        <v>40</v>
      </c>
      <c r="D132" s="32"/>
      <c r="E132" s="32" t="str">
        <f>IFERROR(__xludf.DUMMYFUNCTION("""COMPUTED_VALUE"""),"4000 Dark Damage, Stun 3 and causes the arena to be dark for 3 rounds.")</f>
        <v>4000 Dark Damage, Stun 3 and causes the arena to be dark for 3 rounds.</v>
      </c>
      <c r="F132" s="32" t="str">
        <f>IFERROR(__xludf.DUMMYFUNCTION("""COMPUTED_VALUE"""),"Hit or Miss")</f>
        <v>Hit or Miss</v>
      </c>
      <c r="G132" s="32">
        <f>IFERROR(__xludf.DUMMYFUNCTION("""COMPUTED_VALUE"""),1.0)</f>
        <v>1</v>
      </c>
      <c r="H132" s="32" t="str">
        <f>IFERROR(__xludf.DUMMYFUNCTION("""COMPUTED_VALUE"""),"Dark")</f>
        <v>Dark</v>
      </c>
      <c r="I132" s="32" t="str">
        <f>IFERROR(__xludf.DUMMYFUNCTION("""COMPUTED_VALUE"""),"Player")</f>
        <v>Player</v>
      </c>
      <c r="J132" s="32" t="b">
        <f>IFERROR(__xludf.DUMMYFUNCTION("""COMPUTED_VALUE"""),FALSE)</f>
        <v>0</v>
      </c>
      <c r="K132" s="32"/>
      <c r="L132" s="32" t="b">
        <f>IFERROR(__xludf.DUMMYFUNCTION("""COMPUTED_VALUE"""),FALSE)</f>
        <v>0</v>
      </c>
      <c r="M132" s="32" t="b">
        <f>IFERROR(__xludf.DUMMYFUNCTION("""COMPUTED_VALUE"""),FALSE)</f>
        <v>0</v>
      </c>
      <c r="N132" s="32"/>
    </row>
    <row r="133">
      <c r="A133" s="32" t="str">
        <f>IFERROR(__xludf.DUMMYFUNCTION("""COMPUTED_VALUE"""),"Shadow Curse")</f>
        <v>Shadow Curse</v>
      </c>
      <c r="B133" s="34">
        <f>IFERROR(__xludf.DUMMYFUNCTION("""COMPUTED_VALUE"""),9.0)</f>
        <v>9</v>
      </c>
      <c r="C133" s="32">
        <f>IFERROR(__xludf.DUMMYFUNCTION("""COMPUTED_VALUE"""),1000.0)</f>
        <v>1000</v>
      </c>
      <c r="D133" s="32"/>
      <c r="E133" s="32" t="str">
        <f>IFERROR(__xludf.DUMMYFUNCTION("""COMPUTED_VALUE"""),"A dark curse making the target take x2 dark damage until the curse is lifted.")</f>
        <v>A dark curse making the target take x2 dark damage until the curse is lifted.</v>
      </c>
      <c r="F133" s="32" t="str">
        <f>IFERROR(__xludf.DUMMYFUNCTION("""COMPUTED_VALUE"""),"Fail or Succeed")</f>
        <v>Fail or Succeed</v>
      </c>
      <c r="G133" s="32">
        <f>IFERROR(__xludf.DUMMYFUNCTION("""COMPUTED_VALUE"""),1.0)</f>
        <v>1</v>
      </c>
      <c r="H133" s="32" t="str">
        <f>IFERROR(__xludf.DUMMYFUNCTION("""COMPUTED_VALUE"""),"Dark")</f>
        <v>Dark</v>
      </c>
      <c r="I133" s="32" t="str">
        <f>IFERROR(__xludf.DUMMYFUNCTION("""COMPUTED_VALUE"""),"Mob")</f>
        <v>Mob</v>
      </c>
      <c r="J133" s="32" t="b">
        <f>IFERROR(__xludf.DUMMYFUNCTION("""COMPUTED_VALUE"""),TRUE)</f>
        <v>1</v>
      </c>
      <c r="K133" s="32"/>
      <c r="L133" s="32" t="b">
        <f>IFERROR(__xludf.DUMMYFUNCTION("""COMPUTED_VALUE"""),FALSE)</f>
        <v>0</v>
      </c>
      <c r="M133" s="32" t="b">
        <f>IFERROR(__xludf.DUMMYFUNCTION("""COMPUTED_VALUE"""),FALSE)</f>
        <v>0</v>
      </c>
      <c r="N133" s="32"/>
    </row>
    <row r="134">
      <c r="A134" s="32" t="str">
        <f>IFERROR(__xludf.DUMMYFUNCTION("""COMPUTED_VALUE"""),"Shadow Strike")</f>
        <v>Shadow Strike</v>
      </c>
      <c r="B134" s="34">
        <f>IFERROR(__xludf.DUMMYFUNCTION("""COMPUTED_VALUE"""),9.0)</f>
        <v>9</v>
      </c>
      <c r="C134" s="32">
        <f>IFERROR(__xludf.DUMMYFUNCTION("""COMPUTED_VALUE"""),300.0)</f>
        <v>300</v>
      </c>
      <c r="D134" s="32"/>
      <c r="E134" s="32"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32" t="str">
        <f>IFERROR(__xludf.DUMMYFUNCTION("""COMPUTED_VALUE"""),"Fail/succeed")</f>
        <v>Fail/succeed</v>
      </c>
      <c r="G134" s="32" t="str">
        <f>IFERROR(__xludf.DUMMYFUNCTION("""COMPUTED_VALUE"""),"Self")</f>
        <v>Self</v>
      </c>
      <c r="H134" s="32" t="str">
        <f>IFERROR(__xludf.DUMMYFUNCTION("""COMPUTED_VALUE"""),"Dark")</f>
        <v>Dark</v>
      </c>
      <c r="I134" s="32" t="str">
        <f>IFERROR(__xludf.DUMMYFUNCTION("""COMPUTED_VALUE"""),"Player")</f>
        <v>Player</v>
      </c>
      <c r="J134" s="32" t="b">
        <f>IFERROR(__xludf.DUMMYFUNCTION("""COMPUTED_VALUE"""),FALSE)</f>
        <v>0</v>
      </c>
      <c r="K134" s="32"/>
      <c r="L134" s="32" t="b">
        <f>IFERROR(__xludf.DUMMYFUNCTION("""COMPUTED_VALUE"""),FALSE)</f>
        <v>0</v>
      </c>
      <c r="M134" s="32" t="b">
        <f>IFERROR(__xludf.DUMMYFUNCTION("""COMPUTED_VALUE"""),FALSE)</f>
        <v>0</v>
      </c>
      <c r="N134" s="32"/>
    </row>
    <row r="135">
      <c r="A135" s="32" t="str">
        <f>IFERROR(__xludf.DUMMYFUNCTION("""COMPUTED_VALUE"""),"Shadow Vanish")</f>
        <v>Shadow Vanish</v>
      </c>
      <c r="B135" s="34">
        <f>IFERROR(__xludf.DUMMYFUNCTION("""COMPUTED_VALUE"""),9.0)</f>
        <v>9</v>
      </c>
      <c r="C135" s="32">
        <f>IFERROR(__xludf.DUMMYFUNCTION("""COMPUTED_VALUE"""),300.0)</f>
        <v>300</v>
      </c>
      <c r="D135" s="32"/>
      <c r="E135" s="32" t="str">
        <f>IFERROR(__xludf.DUMMYFUNCTION("""COMPUTED_VALUE"""),"Gain invulnerability for 3 rounds, you are unable to inflict any non-magic damage for 3 rounds")</f>
        <v>Gain invulnerability for 3 rounds, you are unable to inflict any non-magic damage for 3 rounds</v>
      </c>
      <c r="F135" s="32" t="str">
        <f>IFERROR(__xludf.DUMMYFUNCTION("""COMPUTED_VALUE"""),"Fail/succeed")</f>
        <v>Fail/succeed</v>
      </c>
      <c r="G135" s="32">
        <f>IFERROR(__xludf.DUMMYFUNCTION("""COMPUTED_VALUE"""),1.0)</f>
        <v>1</v>
      </c>
      <c r="H135" s="32" t="str">
        <f>IFERROR(__xludf.DUMMYFUNCTION("""COMPUTED_VALUE"""),"Dark")</f>
        <v>Dark</v>
      </c>
      <c r="I135" s="32" t="str">
        <f>IFERROR(__xludf.DUMMYFUNCTION("""COMPUTED_VALUE"""),"Player")</f>
        <v>Player</v>
      </c>
      <c r="J135" s="32" t="b">
        <f>IFERROR(__xludf.DUMMYFUNCTION("""COMPUTED_VALUE"""),FALSE)</f>
        <v>0</v>
      </c>
      <c r="K135" s="32"/>
      <c r="L135" s="32" t="b">
        <f>IFERROR(__xludf.DUMMYFUNCTION("""COMPUTED_VALUE"""),FALSE)</f>
        <v>0</v>
      </c>
      <c r="M135" s="32" t="b">
        <f>IFERROR(__xludf.DUMMYFUNCTION("""COMPUTED_VALUE"""),FALSE)</f>
        <v>0</v>
      </c>
      <c r="N135" s="32"/>
    </row>
    <row r="136">
      <c r="A136" s="32" t="str">
        <f>IFERROR(__xludf.DUMMYFUNCTION("""COMPUTED_VALUE"""),"Summon Haunted Scarecrow")</f>
        <v>Summon Haunted Scarecrow</v>
      </c>
      <c r="B136" s="34">
        <f>IFERROR(__xludf.DUMMYFUNCTION("""COMPUTED_VALUE"""),9.0)</f>
        <v>9</v>
      </c>
      <c r="C136" s="32">
        <f>IFERROR(__xludf.DUMMYFUNCTION("""COMPUTED_VALUE"""),1000.0)</f>
        <v>1000</v>
      </c>
      <c r="D136" s="32"/>
      <c r="E136" s="32" t="str">
        <f>IFERROR(__xludf.DUMMYFUNCTION("""COMPUTED_VALUE"""),"Summon a haunted scarecrow. 50% chance to summon 2.")</f>
        <v>Summon a haunted scarecrow. 50% chance to summon 2.</v>
      </c>
      <c r="F136" s="32" t="str">
        <f>IFERROR(__xludf.DUMMYFUNCTION("""COMPUTED_VALUE"""),"Fail/Succeed")</f>
        <v>Fail/Succeed</v>
      </c>
      <c r="G136" s="32" t="str">
        <f>IFERROR(__xludf.DUMMYFUNCTION("""COMPUTED_VALUE"""),"Self")</f>
        <v>Self</v>
      </c>
      <c r="H136" s="32" t="str">
        <f>IFERROR(__xludf.DUMMYFUNCTION("""COMPUTED_VALUE"""),"Dark")</f>
        <v>Dark</v>
      </c>
      <c r="I136" s="32" t="str">
        <f>IFERROR(__xludf.DUMMYFUNCTION("""COMPUTED_VALUE"""),"Mob")</f>
        <v>Mob</v>
      </c>
      <c r="J136" s="32" t="b">
        <f>IFERROR(__xludf.DUMMYFUNCTION("""COMPUTED_VALUE"""),TRUE)</f>
        <v>1</v>
      </c>
      <c r="K136" s="32"/>
      <c r="L136" s="32" t="b">
        <f>IFERROR(__xludf.DUMMYFUNCTION("""COMPUTED_VALUE"""),FALSE)</f>
        <v>0</v>
      </c>
      <c r="M136" s="32" t="b">
        <f>IFERROR(__xludf.DUMMYFUNCTION("""COMPUTED_VALUE"""),FALSE)</f>
        <v>0</v>
      </c>
      <c r="N136" s="32"/>
    </row>
    <row r="137">
      <c r="A137" s="32" t="str">
        <f>IFERROR(__xludf.DUMMYFUNCTION("""COMPUTED_VALUE"""),"Undead Bite")</f>
        <v>Undead Bite</v>
      </c>
      <c r="B137" s="34">
        <f>IFERROR(__xludf.DUMMYFUNCTION("""COMPUTED_VALUE"""),1.0)</f>
        <v>1</v>
      </c>
      <c r="C137" s="32">
        <f>IFERROR(__xludf.DUMMYFUNCTION("""COMPUTED_VALUE"""),0.0)</f>
        <v>0</v>
      </c>
      <c r="D137" s="32"/>
      <c r="E137" s="32"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32" t="str">
        <f>IFERROR(__xludf.DUMMYFUNCTION("""COMPUTED_VALUE"""),"Natural/Hit or Miss")</f>
        <v>Natural/Hit or Miss</v>
      </c>
      <c r="G137" s="32">
        <f>IFERROR(__xludf.DUMMYFUNCTION("""COMPUTED_VALUE"""),1.0)</f>
        <v>1</v>
      </c>
      <c r="H137" s="32" t="str">
        <f>IFERROR(__xludf.DUMMYFUNCTION("""COMPUTED_VALUE"""),"Dark")</f>
        <v>Dark</v>
      </c>
      <c r="I137" s="32" t="str">
        <f>IFERROR(__xludf.DUMMYFUNCTION("""COMPUTED_VALUE"""),"Mob")</f>
        <v>Mob</v>
      </c>
      <c r="J137" s="32" t="b">
        <f>IFERROR(__xludf.DUMMYFUNCTION("""COMPUTED_VALUE"""),TRUE)</f>
        <v>1</v>
      </c>
      <c r="K137" s="32"/>
      <c r="L137" s="32" t="b">
        <f>IFERROR(__xludf.DUMMYFUNCTION("""COMPUTED_VALUE"""),FALSE)</f>
        <v>0</v>
      </c>
      <c r="M137" s="32" t="b">
        <f>IFERROR(__xludf.DUMMYFUNCTION("""COMPUTED_VALUE"""),FALSE)</f>
        <v>0</v>
      </c>
      <c r="N137" s="32"/>
    </row>
    <row r="138">
      <c r="A138" s="32" t="str">
        <f>IFERROR(__xludf.DUMMYFUNCTION("""COMPUTED_VALUE"""),"Undead Energy")</f>
        <v>Undead Energy</v>
      </c>
      <c r="B138" s="34">
        <f>IFERROR(__xludf.DUMMYFUNCTION("""COMPUTED_VALUE"""),9.0)</f>
        <v>9</v>
      </c>
      <c r="C138" s="32">
        <f>IFERROR(__xludf.DUMMYFUNCTION("""COMPUTED_VALUE"""),5000.0)</f>
        <v>5000</v>
      </c>
      <c r="D138" s="32"/>
      <c r="E138" s="32" t="str">
        <f>IFERROR(__xludf.DUMMYFUNCTION("""COMPUTED_VALUE"""),"all stats are doubled for the rest of battle, excluding constitution.")</f>
        <v>all stats are doubled for the rest of battle, excluding constitution.</v>
      </c>
      <c r="F138" s="32" t="str">
        <f>IFERROR(__xludf.DUMMYFUNCTION("""COMPUTED_VALUE"""),"Fail/succeed")</f>
        <v>Fail/succeed</v>
      </c>
      <c r="G138" s="32" t="str">
        <f>IFERROR(__xludf.DUMMYFUNCTION("""COMPUTED_VALUE"""),"Self")</f>
        <v>Self</v>
      </c>
      <c r="H138" s="32" t="str">
        <f>IFERROR(__xludf.DUMMYFUNCTION("""COMPUTED_VALUE"""),"Dark")</f>
        <v>Dark</v>
      </c>
      <c r="I138" s="32" t="str">
        <f>IFERROR(__xludf.DUMMYFUNCTION("""COMPUTED_VALUE"""),"Mob")</f>
        <v>Mob</v>
      </c>
      <c r="J138" s="32" t="b">
        <f>IFERROR(__xludf.DUMMYFUNCTION("""COMPUTED_VALUE"""),TRUE)</f>
        <v>1</v>
      </c>
      <c r="K138" s="32" t="str">
        <f>IFERROR(__xludf.DUMMYFUNCTION("""COMPUTED_VALUE"""),"Cannot be obtained by players.")</f>
        <v>Cannot be obtained by players.</v>
      </c>
      <c r="L138" s="32" t="b">
        <f>IFERROR(__xludf.DUMMYFUNCTION("""COMPUTED_VALUE"""),FALSE)</f>
        <v>0</v>
      </c>
      <c r="M138" s="32" t="b">
        <f>IFERROR(__xludf.DUMMYFUNCTION("""COMPUTED_VALUE"""),FALSE)</f>
        <v>0</v>
      </c>
      <c r="N138" s="32"/>
    </row>
    <row r="139">
      <c r="A139" s="32" t="str">
        <f>IFERROR(__xludf.DUMMYFUNCTION("""COMPUTED_VALUE"""),"Master Inugima's Shadow Arts I: Throat Slasher")</f>
        <v>Master Inugima's Shadow Arts I: Throat Slasher</v>
      </c>
      <c r="B139" s="34">
        <f>IFERROR(__xludf.DUMMYFUNCTION("""COMPUTED_VALUE"""),9.0)</f>
        <v>9</v>
      </c>
      <c r="C139" s="32">
        <f>IFERROR(__xludf.DUMMYFUNCTION("""COMPUTED_VALUE"""),500.0)</f>
        <v>500</v>
      </c>
      <c r="D139" s="32"/>
      <c r="E139" s="32"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32" t="str">
        <f>IFERROR(__xludf.DUMMYFUNCTION("""COMPUTED_VALUE"""),"Natural/Hit or Miss")</f>
        <v>Natural/Hit or Miss</v>
      </c>
      <c r="G139" s="32">
        <f>IFERROR(__xludf.DUMMYFUNCTION("""COMPUTED_VALUE"""),1.0)</f>
        <v>1</v>
      </c>
      <c r="H139" s="32" t="str">
        <f>IFERROR(__xludf.DUMMYFUNCTION("""COMPUTED_VALUE"""),"Dark")</f>
        <v>Dark</v>
      </c>
      <c r="I139" s="32" t="str">
        <f>IFERROR(__xludf.DUMMYFUNCTION("""COMPUTED_VALUE"""),"Mob")</f>
        <v>Mob</v>
      </c>
      <c r="J139" s="32" t="b">
        <f>IFERROR(__xludf.DUMMYFUNCTION("""COMPUTED_VALUE"""),TRUE)</f>
        <v>1</v>
      </c>
      <c r="K139" s="32" t="str">
        <f>IFERROR(__xludf.DUMMYFUNCTION("""COMPUTED_VALUE"""),"Quest")</f>
        <v>Quest</v>
      </c>
      <c r="L139" s="32" t="b">
        <f>IFERROR(__xludf.DUMMYFUNCTION("""COMPUTED_VALUE"""),FALSE)</f>
        <v>0</v>
      </c>
      <c r="M139" s="32" t="b">
        <f>IFERROR(__xludf.DUMMYFUNCTION("""COMPUTED_VALUE"""),FALSE)</f>
        <v>0</v>
      </c>
      <c r="N139" s="32" t="str">
        <f>IFERROR(__xludf.DUMMYFUNCTION("""COMPUTED_VALUE"""),"Dragonscale Island")</f>
        <v>Dragonscale Island</v>
      </c>
    </row>
    <row r="140">
      <c r="A140" s="32" t="str">
        <f>IFERROR(__xludf.DUMMYFUNCTION("""COMPUTED_VALUE"""),"Master Inugima's Shadow Arts II: Shadow Step")</f>
        <v>Master Inugima's Shadow Arts II: Shadow Step</v>
      </c>
      <c r="B140" s="34">
        <f>IFERROR(__xludf.DUMMYFUNCTION("""COMPUTED_VALUE"""),5.0)</f>
        <v>5</v>
      </c>
      <c r="C140" s="32">
        <f>IFERROR(__xludf.DUMMYFUNCTION("""COMPUTED_VALUE"""),100.0)</f>
        <v>100</v>
      </c>
      <c r="D140" s="32"/>
      <c r="E140" s="32"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32" t="str">
        <f>IFERROR(__xludf.DUMMYFUNCTION("""COMPUTED_VALUE"""),"Natural/Fail or Succeed")</f>
        <v>Natural/Fail or Succeed</v>
      </c>
      <c r="G140" s="32" t="str">
        <f>IFERROR(__xludf.DUMMYFUNCTION("""COMPUTED_VALUE"""),"Self")</f>
        <v>Self</v>
      </c>
      <c r="H140" s="32" t="str">
        <f>IFERROR(__xludf.DUMMYFUNCTION("""COMPUTED_VALUE"""),"Dark")</f>
        <v>Dark</v>
      </c>
      <c r="I140" s="32" t="str">
        <f>IFERROR(__xludf.DUMMYFUNCTION("""COMPUTED_VALUE"""),"Mob")</f>
        <v>Mob</v>
      </c>
      <c r="J140" s="32" t="b">
        <f>IFERROR(__xludf.DUMMYFUNCTION("""COMPUTED_VALUE"""),TRUE)</f>
        <v>1</v>
      </c>
      <c r="K140" s="32" t="str">
        <f>IFERROR(__xludf.DUMMYFUNCTION("""COMPUTED_VALUE"""),"Quest")</f>
        <v>Quest</v>
      </c>
      <c r="L140" s="32" t="b">
        <f>IFERROR(__xludf.DUMMYFUNCTION("""COMPUTED_VALUE"""),FALSE)</f>
        <v>0</v>
      </c>
      <c r="M140" s="32" t="b">
        <f>IFERROR(__xludf.DUMMYFUNCTION("""COMPUTED_VALUE"""),FALSE)</f>
        <v>0</v>
      </c>
      <c r="N140" s="32" t="str">
        <f>IFERROR(__xludf.DUMMYFUNCTION("""COMPUTED_VALUE"""),"Dragonscale Island")</f>
        <v>Dragonscale Island</v>
      </c>
    </row>
    <row r="141">
      <c r="A141" s="32" t="str">
        <f>IFERROR(__xludf.DUMMYFUNCTION("""COMPUTED_VALUE"""),"Master Inugima's Shadow Arts III: Tendon Slash")</f>
        <v>Master Inugima's Shadow Arts III: Tendon Slash</v>
      </c>
      <c r="B141" s="34">
        <f>IFERROR(__xludf.DUMMYFUNCTION("""COMPUTED_VALUE"""),9.0)</f>
        <v>9</v>
      </c>
      <c r="C141" s="32">
        <f>IFERROR(__xludf.DUMMYFUNCTION("""COMPUTED_VALUE"""),300.0)</f>
        <v>300</v>
      </c>
      <c r="D141" s="32"/>
      <c r="E141" s="32"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32" t="str">
        <f>IFERROR(__xludf.DUMMYFUNCTION("""COMPUTED_VALUE"""),"Natural/Hit or Miss")</f>
        <v>Natural/Hit or Miss</v>
      </c>
      <c r="G141" s="32">
        <f>IFERROR(__xludf.DUMMYFUNCTION("""COMPUTED_VALUE"""),1.0)</f>
        <v>1</v>
      </c>
      <c r="H141" s="32" t="str">
        <f>IFERROR(__xludf.DUMMYFUNCTION("""COMPUTED_VALUE"""),"Dark")</f>
        <v>Dark</v>
      </c>
      <c r="I141" s="32" t="str">
        <f>IFERROR(__xludf.DUMMYFUNCTION("""COMPUTED_VALUE"""),"Mob")</f>
        <v>Mob</v>
      </c>
      <c r="J141" s="32" t="b">
        <f>IFERROR(__xludf.DUMMYFUNCTION("""COMPUTED_VALUE"""),TRUE)</f>
        <v>1</v>
      </c>
      <c r="K141" s="32" t="str">
        <f>IFERROR(__xludf.DUMMYFUNCTION("""COMPUTED_VALUE"""),"Quest")</f>
        <v>Quest</v>
      </c>
      <c r="L141" s="32" t="b">
        <f>IFERROR(__xludf.DUMMYFUNCTION("""COMPUTED_VALUE"""),FALSE)</f>
        <v>0</v>
      </c>
      <c r="M141" s="32" t="b">
        <f>IFERROR(__xludf.DUMMYFUNCTION("""COMPUTED_VALUE"""),FALSE)</f>
        <v>0</v>
      </c>
      <c r="N141" s="32" t="str">
        <f>IFERROR(__xludf.DUMMYFUNCTION("""COMPUTED_VALUE"""),"Dragonscale Island")</f>
        <v>Dragonscale Island</v>
      </c>
    </row>
    <row r="142">
      <c r="A142" s="32" t="str">
        <f>IFERROR(__xludf.DUMMYFUNCTION("""COMPUTED_VALUE"""),"Master Inugima's Shadow Arts IV: Chloroform")</f>
        <v>Master Inugima's Shadow Arts IV: Chloroform</v>
      </c>
      <c r="B142" s="34">
        <f>IFERROR(__xludf.DUMMYFUNCTION("""COMPUTED_VALUE"""),7.0)</f>
        <v>7</v>
      </c>
      <c r="C142" s="32">
        <f>IFERROR(__xludf.DUMMYFUNCTION("""COMPUTED_VALUE"""),200.0)</f>
        <v>200</v>
      </c>
      <c r="D142" s="32"/>
      <c r="E142" s="32" t="str">
        <f>IFERROR(__xludf.DUMMYFUNCTION("""COMPUTED_VALUE"""),"Appear behind an enemy and cover their mouth with a chemical soaked cloth inflicting them with sleep 5.")</f>
        <v>Appear behind an enemy and cover their mouth with a chemical soaked cloth inflicting them with sleep 5.</v>
      </c>
      <c r="F142" s="32" t="str">
        <f>IFERROR(__xludf.DUMMYFUNCTION("""COMPUTED_VALUE"""),"Natural/Fail or Succeed")</f>
        <v>Natural/Fail or Succeed</v>
      </c>
      <c r="G142" s="32">
        <f>IFERROR(__xludf.DUMMYFUNCTION("""COMPUTED_VALUE"""),1.0)</f>
        <v>1</v>
      </c>
      <c r="H142" s="32" t="str">
        <f>IFERROR(__xludf.DUMMYFUNCTION("""COMPUTED_VALUE"""),"Dark")</f>
        <v>Dark</v>
      </c>
      <c r="I142" s="32" t="str">
        <f>IFERROR(__xludf.DUMMYFUNCTION("""COMPUTED_VALUE"""),"Mob")</f>
        <v>Mob</v>
      </c>
      <c r="J142" s="32" t="b">
        <f>IFERROR(__xludf.DUMMYFUNCTION("""COMPUTED_VALUE"""),TRUE)</f>
        <v>1</v>
      </c>
      <c r="K142" s="32" t="str">
        <f>IFERROR(__xludf.DUMMYFUNCTION("""COMPUTED_VALUE"""),"Quest")</f>
        <v>Quest</v>
      </c>
      <c r="L142" s="32" t="b">
        <f>IFERROR(__xludf.DUMMYFUNCTION("""COMPUTED_VALUE"""),FALSE)</f>
        <v>0</v>
      </c>
      <c r="M142" s="32" t="b">
        <f>IFERROR(__xludf.DUMMYFUNCTION("""COMPUTED_VALUE"""),FALSE)</f>
        <v>0</v>
      </c>
      <c r="N142" s="32" t="str">
        <f>IFERROR(__xludf.DUMMYFUNCTION("""COMPUTED_VALUE"""),"Dragonscale Island")</f>
        <v>Dragonscale Island</v>
      </c>
    </row>
    <row r="143">
      <c r="A143" s="32" t="str">
        <f>IFERROR(__xludf.DUMMYFUNCTION("""COMPUTED_VALUE"""),"Army of The Dead")</f>
        <v>Army of The Dead</v>
      </c>
      <c r="B143" s="34">
        <f>IFERROR(__xludf.DUMMYFUNCTION("""COMPUTED_VALUE"""),9.0)</f>
        <v>9</v>
      </c>
      <c r="C143" s="32" t="str">
        <f>IFERROR(__xludf.DUMMYFUNCTION("""COMPUTED_VALUE"""),"X*100")</f>
        <v>X*100</v>
      </c>
      <c r="D143" s="32"/>
      <c r="E143" s="32"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32" t="str">
        <f>IFERROR(__xludf.DUMMYFUNCTION("""COMPUTED_VALUE"""),"Fail/Suceed")</f>
        <v>Fail/Suceed</v>
      </c>
      <c r="G143" s="32" t="str">
        <f>IFERROR(__xludf.DUMMYFUNCTION("""COMPUTED_VALUE"""),"d6")</f>
        <v>d6</v>
      </c>
      <c r="H143" s="32" t="str">
        <f>IFERROR(__xludf.DUMMYFUNCTION("""COMPUTED_VALUE"""),"Dark")</f>
        <v>Dark</v>
      </c>
      <c r="I143" s="32" t="str">
        <f>IFERROR(__xludf.DUMMYFUNCTION("""COMPUTED_VALUE"""),"Player")</f>
        <v>Player</v>
      </c>
      <c r="J143" s="32" t="b">
        <f>IFERROR(__xludf.DUMMYFUNCTION("""COMPUTED_VALUE"""),FALSE)</f>
        <v>0</v>
      </c>
      <c r="K143" s="32"/>
      <c r="L143" s="32" t="b">
        <f>IFERROR(__xludf.DUMMYFUNCTION("""COMPUTED_VALUE"""),FALSE)</f>
        <v>0</v>
      </c>
      <c r="M143" s="32" t="b">
        <f>IFERROR(__xludf.DUMMYFUNCTION("""COMPUTED_VALUE"""),FALSE)</f>
        <v>0</v>
      </c>
      <c r="N143" s="32"/>
    </row>
    <row r="144">
      <c r="A144" s="32" t="str">
        <f>IFERROR(__xludf.DUMMYFUNCTION("""COMPUTED_VALUE"""),"Dark Bolt")</f>
        <v>Dark Bolt</v>
      </c>
      <c r="B144" s="34">
        <f>IFERROR(__xludf.DUMMYFUNCTION("""COMPUTED_VALUE"""),1.0)</f>
        <v>1</v>
      </c>
      <c r="C144" s="32" t="str">
        <f>IFERROR(__xludf.DUMMYFUNCTION("""COMPUTED_VALUE"""),"X")</f>
        <v>X</v>
      </c>
      <c r="D144" s="32"/>
      <c r="E144" s="32" t="str">
        <f>IFERROR(__xludf.DUMMYFUNCTION("""COMPUTED_VALUE"""),"Deals X*100 Dark damage to a single enemy where X is equal to SP spent.")</f>
        <v>Deals X*100 Dark damage to a single enemy where X is equal to SP spent.</v>
      </c>
      <c r="F144" s="32" t="str">
        <f>IFERROR(__xludf.DUMMYFUNCTION("""COMPUTED_VALUE"""),"Hit/Miss")</f>
        <v>Hit/Miss</v>
      </c>
      <c r="G144" s="32">
        <f>IFERROR(__xludf.DUMMYFUNCTION("""COMPUTED_VALUE"""),1.0)</f>
        <v>1</v>
      </c>
      <c r="H144" s="32" t="str">
        <f>IFERROR(__xludf.DUMMYFUNCTION("""COMPUTED_VALUE"""),"Dark")</f>
        <v>Dark</v>
      </c>
      <c r="I144" s="32" t="str">
        <f>IFERROR(__xludf.DUMMYFUNCTION("""COMPUTED_VALUE"""),"Player")</f>
        <v>Player</v>
      </c>
      <c r="J144" s="32" t="b">
        <f>IFERROR(__xludf.DUMMYFUNCTION("""COMPUTED_VALUE"""),FALSE)</f>
        <v>0</v>
      </c>
      <c r="K144" s="32"/>
      <c r="L144" s="32" t="b">
        <f>IFERROR(__xludf.DUMMYFUNCTION("""COMPUTED_VALUE"""),FALSE)</f>
        <v>0</v>
      </c>
      <c r="M144" s="32" t="b">
        <f>IFERROR(__xludf.DUMMYFUNCTION("""COMPUTED_VALUE"""),FALSE)</f>
        <v>0</v>
      </c>
      <c r="N144" s="32"/>
    </row>
    <row r="145">
      <c r="A145" s="32" t="str">
        <f>IFERROR(__xludf.DUMMYFUNCTION("""COMPUTED_VALUE"""),"Curse of Wasting")</f>
        <v>Curse of Wasting</v>
      </c>
      <c r="B145" s="34">
        <f>IFERROR(__xludf.DUMMYFUNCTION("""COMPUTED_VALUE"""),5.0)</f>
        <v>5</v>
      </c>
      <c r="C145" s="32" t="str">
        <f>IFERROR(__xludf.DUMMYFUNCTION("""COMPUTED_VALUE"""),"X")</f>
        <v>X</v>
      </c>
      <c r="D145" s="32"/>
      <c r="E145" s="32" t="str">
        <f>IFERROR(__xludf.DUMMYFUNCTION("""COMPUTED_VALUE"""),"Deals X*50 Dark damage per round for 3 rounds to a single target where X is equal to SP spent.")</f>
        <v>Deals X*50 Dark damage per round for 3 rounds to a single target where X is equal to SP spent.</v>
      </c>
      <c r="F145" s="32" t="str">
        <f>IFERROR(__xludf.DUMMYFUNCTION("""COMPUTED_VALUE"""),"Hit/Miss")</f>
        <v>Hit/Miss</v>
      </c>
      <c r="G145" s="32">
        <f>IFERROR(__xludf.DUMMYFUNCTION("""COMPUTED_VALUE"""),1.0)</f>
        <v>1</v>
      </c>
      <c r="H145" s="32" t="str">
        <f>IFERROR(__xludf.DUMMYFUNCTION("""COMPUTED_VALUE"""),"Dark")</f>
        <v>Dark</v>
      </c>
      <c r="I145" s="32" t="str">
        <f>IFERROR(__xludf.DUMMYFUNCTION("""COMPUTED_VALUE"""),"Player")</f>
        <v>Player</v>
      </c>
      <c r="J145" s="32" t="b">
        <f>IFERROR(__xludf.DUMMYFUNCTION("""COMPUTED_VALUE"""),FALSE)</f>
        <v>0</v>
      </c>
      <c r="K145" s="32"/>
      <c r="L145" s="32" t="b">
        <f>IFERROR(__xludf.DUMMYFUNCTION("""COMPUTED_VALUE"""),FALSE)</f>
        <v>0</v>
      </c>
      <c r="M145" s="32" t="b">
        <f>IFERROR(__xludf.DUMMYFUNCTION("""COMPUTED_VALUE"""),FALSE)</f>
        <v>0</v>
      </c>
      <c r="N145" s="32"/>
    </row>
    <row r="146">
      <c r="A146" s="32" t="str">
        <f>IFERROR(__xludf.DUMMYFUNCTION("""COMPUTED_VALUE"""),"Creeping Darkness")</f>
        <v>Creeping Darkness</v>
      </c>
      <c r="B146" s="34">
        <f>IFERROR(__xludf.DUMMYFUNCTION("""COMPUTED_VALUE"""),5.0)</f>
        <v>5</v>
      </c>
      <c r="C146" s="32" t="str">
        <f>IFERROR(__xludf.DUMMYFUNCTION("""COMPUTED_VALUE"""),"X")</f>
        <v>X</v>
      </c>
      <c r="D146" s="32"/>
      <c r="E146" s="32" t="str">
        <f>IFERROR(__xludf.DUMMYFUNCTION("""COMPUTED_VALUE"""),"Deals X*25 Dark damage to all enemies where X is equal to SP spent.")</f>
        <v>Deals X*25 Dark damage to all enemies where X is equal to SP spent.</v>
      </c>
      <c r="F146" s="32" t="str">
        <f>IFERROR(__xludf.DUMMYFUNCTION("""COMPUTED_VALUE"""),"Cannot Avoid")</f>
        <v>Cannot Avoid</v>
      </c>
      <c r="G146" s="32" t="str">
        <f>IFERROR(__xludf.DUMMYFUNCTION("""COMPUTED_VALUE"""),"All")</f>
        <v>All</v>
      </c>
      <c r="H146" s="32" t="str">
        <f>IFERROR(__xludf.DUMMYFUNCTION("""COMPUTED_VALUE"""),"Dark")</f>
        <v>Dark</v>
      </c>
      <c r="I146" s="32" t="str">
        <f>IFERROR(__xludf.DUMMYFUNCTION("""COMPUTED_VALUE"""),"Player")</f>
        <v>Player</v>
      </c>
      <c r="J146" s="32" t="b">
        <f>IFERROR(__xludf.DUMMYFUNCTION("""COMPUTED_VALUE"""),FALSE)</f>
        <v>0</v>
      </c>
      <c r="K146" s="32"/>
      <c r="L146" s="32" t="b">
        <f>IFERROR(__xludf.DUMMYFUNCTION("""COMPUTED_VALUE"""),FALSE)</f>
        <v>0</v>
      </c>
      <c r="M146" s="32" t="b">
        <f>IFERROR(__xludf.DUMMYFUNCTION("""COMPUTED_VALUE"""),FALSE)</f>
        <v>0</v>
      </c>
      <c r="N146" s="32"/>
    </row>
    <row r="147">
      <c r="A147" s="32" t="str">
        <f>IFERROR(__xludf.DUMMYFUNCTION("""COMPUTED_VALUE"""),"Mass Curse of Wasting")</f>
        <v>Mass Curse of Wasting</v>
      </c>
      <c r="B147" s="34">
        <f>IFERROR(__xludf.DUMMYFUNCTION("""COMPUTED_VALUE"""),6.0)</f>
        <v>6</v>
      </c>
      <c r="C147" s="32" t="str">
        <f>IFERROR(__xludf.DUMMYFUNCTION("""COMPUTED_VALUE"""),"X")</f>
        <v>X</v>
      </c>
      <c r="D147" s="32"/>
      <c r="E147" s="32" t="str">
        <f>IFERROR(__xludf.DUMMYFUNCTION("""COMPUTED_VALUE"""),"Deals X*10 Dark damage per round to all enemies for 3 rounds where X is equal to SP spent.")</f>
        <v>Deals X*10 Dark damage per round to all enemies for 3 rounds where X is equal to SP spent.</v>
      </c>
      <c r="F147" s="32" t="str">
        <f>IFERROR(__xludf.DUMMYFUNCTION("""COMPUTED_VALUE"""),"Cannot Avoid")</f>
        <v>Cannot Avoid</v>
      </c>
      <c r="G147" s="32" t="str">
        <f>IFERROR(__xludf.DUMMYFUNCTION("""COMPUTED_VALUE"""),"All")</f>
        <v>All</v>
      </c>
      <c r="H147" s="32" t="str">
        <f>IFERROR(__xludf.DUMMYFUNCTION("""COMPUTED_VALUE"""),"Dark")</f>
        <v>Dark</v>
      </c>
      <c r="I147" s="32" t="str">
        <f>IFERROR(__xludf.DUMMYFUNCTION("""COMPUTED_VALUE"""),"Player")</f>
        <v>Player</v>
      </c>
      <c r="J147" s="32" t="b">
        <f>IFERROR(__xludf.DUMMYFUNCTION("""COMPUTED_VALUE"""),FALSE)</f>
        <v>0</v>
      </c>
      <c r="K147" s="32"/>
      <c r="L147" s="32" t="b">
        <f>IFERROR(__xludf.DUMMYFUNCTION("""COMPUTED_VALUE"""),FALSE)</f>
        <v>0</v>
      </c>
      <c r="M147" s="32" t="b">
        <f>IFERROR(__xludf.DUMMYFUNCTION("""COMPUTED_VALUE"""),FALSE)</f>
        <v>0</v>
      </c>
      <c r="N147" s="32"/>
    </row>
    <row r="148">
      <c r="A148" s="32" t="str">
        <f>IFERROR(__xludf.DUMMYFUNCTION("""COMPUTED_VALUE"""),"Chaincast")</f>
        <v>Chaincast</v>
      </c>
      <c r="B148" s="34">
        <f>IFERROR(__xludf.DUMMYFUNCTION("""COMPUTED_VALUE"""),9.0)</f>
        <v>9</v>
      </c>
      <c r="C148" s="32">
        <f>IFERROR(__xludf.DUMMYFUNCTION("""COMPUTED_VALUE"""),700.0)</f>
        <v>700</v>
      </c>
      <c r="D148" s="32"/>
      <c r="E148" s="32"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32" t="str">
        <f>IFERROR(__xludf.DUMMYFUNCTION("""COMPUTED_VALUE"""),"Will Succeed")</f>
        <v>Will Succeed</v>
      </c>
      <c r="G148" s="32"/>
      <c r="H148" s="32" t="str">
        <f>IFERROR(__xludf.DUMMYFUNCTION("""COMPUTED_VALUE"""),"Delta")</f>
        <v>Delta</v>
      </c>
      <c r="I148" s="32" t="str">
        <f>IFERROR(__xludf.DUMMYFUNCTION("""COMPUTED_VALUE"""),"Player")</f>
        <v>Player</v>
      </c>
      <c r="J148" s="32" t="b">
        <f>IFERROR(__xludf.DUMMYFUNCTION("""COMPUTED_VALUE"""),FALSE)</f>
        <v>0</v>
      </c>
      <c r="K148" s="32"/>
      <c r="L148" s="32" t="b">
        <f>IFERROR(__xludf.DUMMYFUNCTION("""COMPUTED_VALUE"""),FALSE)</f>
        <v>0</v>
      </c>
      <c r="M148" s="32" t="b">
        <f>IFERROR(__xludf.DUMMYFUNCTION("""COMPUTED_VALUE"""),FALSE)</f>
        <v>0</v>
      </c>
      <c r="N148" s="32"/>
    </row>
    <row r="149">
      <c r="A149" s="32" t="str">
        <f>IFERROR(__xludf.DUMMYFUNCTION("""COMPUTED_VALUE"""),"Delta Ball")</f>
        <v>Delta Ball</v>
      </c>
      <c r="B149" s="34">
        <f>IFERROR(__xludf.DUMMYFUNCTION("""COMPUTED_VALUE"""),4.0)</f>
        <v>4</v>
      </c>
      <c r="C149" s="32">
        <f>IFERROR(__xludf.DUMMYFUNCTION("""COMPUTED_VALUE"""),40.0)</f>
        <v>40</v>
      </c>
      <c r="D149" s="32"/>
      <c r="E149" s="32" t="str">
        <f>IFERROR(__xludf.DUMMYFUNCTION("""COMPUTED_VALUE"""),"Drains 4000 SP from the target.")</f>
        <v>Drains 4000 SP from the target.</v>
      </c>
      <c r="F149" s="32" t="str">
        <f>IFERROR(__xludf.DUMMYFUNCTION("""COMPUTED_VALUE"""),"Hit/Miss")</f>
        <v>Hit/Miss</v>
      </c>
      <c r="G149" s="32">
        <f>IFERROR(__xludf.DUMMYFUNCTION("""COMPUTED_VALUE"""),1.0)</f>
        <v>1</v>
      </c>
      <c r="H149" s="32" t="str">
        <f>IFERROR(__xludf.DUMMYFUNCTION("""COMPUTED_VALUE"""),"Delta")</f>
        <v>Delta</v>
      </c>
      <c r="I149" s="32" t="str">
        <f>IFERROR(__xludf.DUMMYFUNCTION("""COMPUTED_VALUE"""),"Player")</f>
        <v>Player</v>
      </c>
      <c r="J149" s="32" t="b">
        <f>IFERROR(__xludf.DUMMYFUNCTION("""COMPUTED_VALUE"""),FALSE)</f>
        <v>0</v>
      </c>
      <c r="K149" s="32"/>
      <c r="L149" s="32" t="b">
        <f>IFERROR(__xludf.DUMMYFUNCTION("""COMPUTED_VALUE"""),FALSE)</f>
        <v>0</v>
      </c>
      <c r="M149" s="32" t="b">
        <f>IFERROR(__xludf.DUMMYFUNCTION("""COMPUTED_VALUE"""),FALSE)</f>
        <v>0</v>
      </c>
      <c r="N149" s="32"/>
    </row>
    <row r="150">
      <c r="A150" s="32" t="str">
        <f>IFERROR(__xludf.DUMMYFUNCTION("""COMPUTED_VALUE"""),"Delta Beam")</f>
        <v>Delta Beam</v>
      </c>
      <c r="B150" s="34">
        <f>IFERROR(__xludf.DUMMYFUNCTION("""COMPUTED_VALUE"""),6.0)</f>
        <v>6</v>
      </c>
      <c r="C150" s="32">
        <f>IFERROR(__xludf.DUMMYFUNCTION("""COMPUTED_VALUE"""),120.0)</f>
        <v>120</v>
      </c>
      <c r="D150" s="32"/>
      <c r="E150" s="32" t="str">
        <f>IFERROR(__xludf.DUMMYFUNCTION("""COMPUTED_VALUE"""),"Deals 6000 delta damage and drains 6000 sp from the target.")</f>
        <v>Deals 6000 delta damage and drains 6000 sp from the target.</v>
      </c>
      <c r="F150" s="32" t="str">
        <f>IFERROR(__xludf.DUMMYFUNCTION("""COMPUTED_VALUE"""),"Hit/Miss")</f>
        <v>Hit/Miss</v>
      </c>
      <c r="G150" s="32">
        <f>IFERROR(__xludf.DUMMYFUNCTION("""COMPUTED_VALUE"""),1.0)</f>
        <v>1</v>
      </c>
      <c r="H150" s="32" t="str">
        <f>IFERROR(__xludf.DUMMYFUNCTION("""COMPUTED_VALUE"""),"Delta")</f>
        <v>Delta</v>
      </c>
      <c r="I150" s="32" t="str">
        <f>IFERROR(__xludf.DUMMYFUNCTION("""COMPUTED_VALUE"""),"Player")</f>
        <v>Player</v>
      </c>
      <c r="J150" s="32" t="b">
        <f>IFERROR(__xludf.DUMMYFUNCTION("""COMPUTED_VALUE"""),FALSE)</f>
        <v>0</v>
      </c>
      <c r="K150" s="32"/>
      <c r="L150" s="32" t="b">
        <f>IFERROR(__xludf.DUMMYFUNCTION("""COMPUTED_VALUE"""),FALSE)</f>
        <v>0</v>
      </c>
      <c r="M150" s="32" t="b">
        <f>IFERROR(__xludf.DUMMYFUNCTION("""COMPUTED_VALUE"""),FALSE)</f>
        <v>0</v>
      </c>
      <c r="N150" s="32"/>
    </row>
    <row r="151">
      <c r="A151" s="32" t="str">
        <f>IFERROR(__xludf.DUMMYFUNCTION("""COMPUTED_VALUE"""),"Delta Blast")</f>
        <v>Delta Blast</v>
      </c>
      <c r="B151" s="34">
        <f>IFERROR(__xludf.DUMMYFUNCTION("""COMPUTED_VALUE"""),6.0)</f>
        <v>6</v>
      </c>
      <c r="C151" s="32">
        <f>IFERROR(__xludf.DUMMYFUNCTION("""COMPUTED_VALUE"""),240.0)</f>
        <v>240</v>
      </c>
      <c r="D151" s="32"/>
      <c r="E151" s="32" t="str">
        <f>IFERROR(__xludf.DUMMYFUNCTION("""COMPUTED_VALUE"""),"6000 undefendable Delta damage to all enemies, when in a dungeon knocks back enemies 3 spaces.")</f>
        <v>6000 undefendable Delta damage to all enemies, when in a dungeon knocks back enemies 3 spaces.</v>
      </c>
      <c r="F151" s="32" t="str">
        <f>IFERROR(__xludf.DUMMYFUNCTION("""COMPUTED_VALUE"""),"Cannot Avoid")</f>
        <v>Cannot Avoid</v>
      </c>
      <c r="G151" s="32"/>
      <c r="H151" s="32" t="str">
        <f>IFERROR(__xludf.DUMMYFUNCTION("""COMPUTED_VALUE"""),"Delta")</f>
        <v>Delta</v>
      </c>
      <c r="I151" s="32" t="str">
        <f>IFERROR(__xludf.DUMMYFUNCTION("""COMPUTED_VALUE"""),"Player")</f>
        <v>Player</v>
      </c>
      <c r="J151" s="32" t="b">
        <f>IFERROR(__xludf.DUMMYFUNCTION("""COMPUTED_VALUE"""),FALSE)</f>
        <v>0</v>
      </c>
      <c r="K151" s="32"/>
      <c r="L151" s="32" t="b">
        <f>IFERROR(__xludf.DUMMYFUNCTION("""COMPUTED_VALUE"""),FALSE)</f>
        <v>0</v>
      </c>
      <c r="M151" s="32" t="b">
        <f>IFERROR(__xludf.DUMMYFUNCTION("""COMPUTED_VALUE"""),FALSE)</f>
        <v>0</v>
      </c>
      <c r="N151" s="32"/>
    </row>
    <row r="152">
      <c r="A152" s="32" t="str">
        <f>IFERROR(__xludf.DUMMYFUNCTION("""COMPUTED_VALUE"""),"Delta Obelisk")</f>
        <v>Delta Obelisk</v>
      </c>
      <c r="B152" s="34">
        <f>IFERROR(__xludf.DUMMYFUNCTION("""COMPUTED_VALUE"""),8.0)</f>
        <v>8</v>
      </c>
      <c r="C152" s="32">
        <f>IFERROR(__xludf.DUMMYFUNCTION("""COMPUTED_VALUE"""),600.0)</f>
        <v>600</v>
      </c>
      <c r="D152" s="32"/>
      <c r="E152" s="32"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32" t="str">
        <f>IFERROR(__xludf.DUMMYFUNCTION("""COMPUTED_VALUE"""),"Will Succeed")</f>
        <v>Will Succeed</v>
      </c>
      <c r="G152" s="32"/>
      <c r="H152" s="32" t="str">
        <f>IFERROR(__xludf.DUMMYFUNCTION("""COMPUTED_VALUE"""),"Delta")</f>
        <v>Delta</v>
      </c>
      <c r="I152" s="32" t="str">
        <f>IFERROR(__xludf.DUMMYFUNCTION("""COMPUTED_VALUE"""),"Player")</f>
        <v>Player</v>
      </c>
      <c r="J152" s="32" t="b">
        <f>IFERROR(__xludf.DUMMYFUNCTION("""COMPUTED_VALUE"""),FALSE)</f>
        <v>0</v>
      </c>
      <c r="K152" s="32"/>
      <c r="L152" s="32" t="b">
        <f>IFERROR(__xludf.DUMMYFUNCTION("""COMPUTED_VALUE"""),FALSE)</f>
        <v>0</v>
      </c>
      <c r="M152" s="32" t="b">
        <f>IFERROR(__xludf.DUMMYFUNCTION("""COMPUTED_VALUE"""),FALSE)</f>
        <v>0</v>
      </c>
      <c r="N152" s="32"/>
    </row>
    <row r="153">
      <c r="A153" s="32" t="str">
        <f>IFERROR(__xludf.DUMMYFUNCTION("""COMPUTED_VALUE"""),"Delta Rock")</f>
        <v>Delta Rock</v>
      </c>
      <c r="B153" s="34">
        <f>IFERROR(__xludf.DUMMYFUNCTION("""COMPUTED_VALUE"""),7.0)</f>
        <v>7</v>
      </c>
      <c r="C153" s="32">
        <f>IFERROR(__xludf.DUMMYFUNCTION("""COMPUTED_VALUE"""),500.0)</f>
        <v>500</v>
      </c>
      <c r="D153" s="32"/>
      <c r="E153" s="32" t="str">
        <f>IFERROR(__xludf.DUMMYFUNCTION("""COMPUTED_VALUE"""),"Unleashes a wave of sound. No spell can be casted for the rest of the round.")</f>
        <v>Unleashes a wave of sound. No spell can be casted for the rest of the round.</v>
      </c>
      <c r="F153" s="32" t="str">
        <f>IFERROR(__xludf.DUMMYFUNCTION("""COMPUTED_VALUE"""),"Fail/Succeed")</f>
        <v>Fail/Succeed</v>
      </c>
      <c r="G153" s="32"/>
      <c r="H153" s="32" t="str">
        <f>IFERROR(__xludf.DUMMYFUNCTION("""COMPUTED_VALUE"""),"Delta")</f>
        <v>Delta</v>
      </c>
      <c r="I153" s="32" t="str">
        <f>IFERROR(__xludf.DUMMYFUNCTION("""COMPUTED_VALUE"""),"Player")</f>
        <v>Player</v>
      </c>
      <c r="J153" s="32" t="b">
        <f>IFERROR(__xludf.DUMMYFUNCTION("""COMPUTED_VALUE"""),FALSE)</f>
        <v>0</v>
      </c>
      <c r="K153" s="32"/>
      <c r="L153" s="32" t="b">
        <f>IFERROR(__xludf.DUMMYFUNCTION("""COMPUTED_VALUE"""),FALSE)</f>
        <v>0</v>
      </c>
      <c r="M153" s="32" t="b">
        <f>IFERROR(__xludf.DUMMYFUNCTION("""COMPUTED_VALUE"""),FALSE)</f>
        <v>0</v>
      </c>
      <c r="N153" s="32"/>
    </row>
    <row r="154">
      <c r="A154" s="32" t="str">
        <f>IFERROR(__xludf.DUMMYFUNCTION("""COMPUTED_VALUE"""),"Delta Rock &amp; Roll")</f>
        <v>Delta Rock &amp; Roll</v>
      </c>
      <c r="B154" s="34">
        <f>IFERROR(__xludf.DUMMYFUNCTION("""COMPUTED_VALUE"""),8.0)</f>
        <v>8</v>
      </c>
      <c r="C154" s="32" t="str">
        <f>IFERROR(__xludf.DUMMYFUNCTION("""COMPUTED_VALUE"""),"X*600")</f>
        <v>X*600</v>
      </c>
      <c r="D154" s="32"/>
      <c r="E154" s="32" t="str">
        <f>IFERROR(__xludf.DUMMYFUNCTION("""COMPUTED_VALUE"""),"Target enemies are incapable of performing an action for 3 rounds. X=number of enemies.")</f>
        <v>Target enemies are incapable of performing an action for 3 rounds. X=number of enemies.</v>
      </c>
      <c r="F154" s="32" t="str">
        <f>IFERROR(__xludf.DUMMYFUNCTION("""COMPUTED_VALUE"""),"Fail/Succeed")</f>
        <v>Fail/Succeed</v>
      </c>
      <c r="G154" s="32"/>
      <c r="H154" s="32" t="str">
        <f>IFERROR(__xludf.DUMMYFUNCTION("""COMPUTED_VALUE"""),"Delta")</f>
        <v>Delta</v>
      </c>
      <c r="I154" s="32" t="str">
        <f>IFERROR(__xludf.DUMMYFUNCTION("""COMPUTED_VALUE"""),"Player")</f>
        <v>Player</v>
      </c>
      <c r="J154" s="32" t="b">
        <f>IFERROR(__xludf.DUMMYFUNCTION("""COMPUTED_VALUE"""),FALSE)</f>
        <v>0</v>
      </c>
      <c r="K154" s="32"/>
      <c r="L154" s="32" t="b">
        <f>IFERROR(__xludf.DUMMYFUNCTION("""COMPUTED_VALUE"""),FALSE)</f>
        <v>0</v>
      </c>
      <c r="M154" s="32" t="b">
        <f>IFERROR(__xludf.DUMMYFUNCTION("""COMPUTED_VALUE"""),FALSE)</f>
        <v>0</v>
      </c>
      <c r="N154" s="32"/>
    </row>
    <row r="155">
      <c r="A155" s="32" t="str">
        <f>IFERROR(__xludf.DUMMYFUNCTION("""COMPUTED_VALUE"""),"Delta Roll")</f>
        <v>Delta Roll</v>
      </c>
      <c r="B155" s="34">
        <f>IFERROR(__xludf.DUMMYFUNCTION("""COMPUTED_VALUE"""),7.0)</f>
        <v>7</v>
      </c>
      <c r="C155" s="32">
        <f>IFERROR(__xludf.DUMMYFUNCTION("""COMPUTED_VALUE"""),500.0)</f>
        <v>500</v>
      </c>
      <c r="D155" s="32"/>
      <c r="E155" s="32" t="str">
        <f>IFERROR(__xludf.DUMMYFUNCTION("""COMPUTED_VALUE"""),"Makes everyone incapable of attacking for the rest of the round.")</f>
        <v>Makes everyone incapable of attacking for the rest of the round.</v>
      </c>
      <c r="F155" s="32" t="str">
        <f>IFERROR(__xludf.DUMMYFUNCTION("""COMPUTED_VALUE"""),"FailSucceed")</f>
        <v>FailSucceed</v>
      </c>
      <c r="G155" s="32"/>
      <c r="H155" s="32" t="str">
        <f>IFERROR(__xludf.DUMMYFUNCTION("""COMPUTED_VALUE"""),"Delta")</f>
        <v>Delta</v>
      </c>
      <c r="I155" s="32" t="str">
        <f>IFERROR(__xludf.DUMMYFUNCTION("""COMPUTED_VALUE"""),"Player")</f>
        <v>Player</v>
      </c>
      <c r="J155" s="32" t="b">
        <f>IFERROR(__xludf.DUMMYFUNCTION("""COMPUTED_VALUE"""),FALSE)</f>
        <v>0</v>
      </c>
      <c r="K155" s="32"/>
      <c r="L155" s="32" t="b">
        <f>IFERROR(__xludf.DUMMYFUNCTION("""COMPUTED_VALUE"""),FALSE)</f>
        <v>0</v>
      </c>
      <c r="M155" s="32" t="b">
        <f>IFERROR(__xludf.DUMMYFUNCTION("""COMPUTED_VALUE"""),FALSE)</f>
        <v>0</v>
      </c>
      <c r="N155" s="32"/>
    </row>
    <row r="156">
      <c r="A156" s="32" t="str">
        <f>IFERROR(__xludf.DUMMYFUNCTION("""COMPUTED_VALUE"""),"Delta World")</f>
        <v>Delta World</v>
      </c>
      <c r="B156" s="34">
        <f>IFERROR(__xludf.DUMMYFUNCTION("""COMPUTED_VALUE"""),9.0)</f>
        <v>9</v>
      </c>
      <c r="C156" s="32">
        <f>IFERROR(__xludf.DUMMYFUNCTION("""COMPUTED_VALUE"""),1000.0)</f>
        <v>1000</v>
      </c>
      <c r="D156" s="32"/>
      <c r="E156" s="32"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32" t="str">
        <f>IFERROR(__xludf.DUMMYFUNCTION("""COMPUTED_VALUE"""),"Fail/Succeed")</f>
        <v>Fail/Succeed</v>
      </c>
      <c r="G156" s="32"/>
      <c r="H156" s="32" t="str">
        <f>IFERROR(__xludf.DUMMYFUNCTION("""COMPUTED_VALUE"""),"Delta")</f>
        <v>Delta</v>
      </c>
      <c r="I156" s="32" t="str">
        <f>IFERROR(__xludf.DUMMYFUNCTION("""COMPUTED_VALUE"""),"Player")</f>
        <v>Player</v>
      </c>
      <c r="J156" s="32" t="b">
        <f>IFERROR(__xludf.DUMMYFUNCTION("""COMPUTED_VALUE"""),FALSE)</f>
        <v>0</v>
      </c>
      <c r="K156" s="32"/>
      <c r="L156" s="32" t="b">
        <f>IFERROR(__xludf.DUMMYFUNCTION("""COMPUTED_VALUE"""),FALSE)</f>
        <v>0</v>
      </c>
      <c r="M156" s="32" t="b">
        <f>IFERROR(__xludf.DUMMYFUNCTION("""COMPUTED_VALUE"""),FALSE)</f>
        <v>0</v>
      </c>
      <c r="N156" s="32"/>
    </row>
    <row r="157">
      <c r="A157" s="32" t="str">
        <f>IFERROR(__xludf.DUMMYFUNCTION("""COMPUTED_VALUE"""),"False Tower")</f>
        <v>False Tower</v>
      </c>
      <c r="B157" s="34">
        <f>IFERROR(__xludf.DUMMYFUNCTION("""COMPUTED_VALUE"""),8.0)</f>
        <v>8</v>
      </c>
      <c r="C157" s="32">
        <f>IFERROR(__xludf.DUMMYFUNCTION("""COMPUTED_VALUE"""),600.0)</f>
        <v>600</v>
      </c>
      <c r="D157" s="32"/>
      <c r="E157" s="32"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32" t="str">
        <f>IFERROR(__xludf.DUMMYFUNCTION("""COMPUTED_VALUE"""),"Fail/Succeed")</f>
        <v>Fail/Succeed</v>
      </c>
      <c r="G157" s="32" t="str">
        <f>IFERROR(__xludf.DUMMYFUNCTION("""COMPUTED_VALUE"""),"All")</f>
        <v>All</v>
      </c>
      <c r="H157" s="32" t="str">
        <f>IFERROR(__xludf.DUMMYFUNCTION("""COMPUTED_VALUE"""),"Delta")</f>
        <v>Delta</v>
      </c>
      <c r="I157" s="32" t="str">
        <f>IFERROR(__xludf.DUMMYFUNCTION("""COMPUTED_VALUE"""),"Player")</f>
        <v>Player</v>
      </c>
      <c r="J157" s="32" t="b">
        <f>IFERROR(__xludf.DUMMYFUNCTION("""COMPUTED_VALUE"""),FALSE)</f>
        <v>0</v>
      </c>
      <c r="K157" s="32"/>
      <c r="L157" s="32" t="b">
        <f>IFERROR(__xludf.DUMMYFUNCTION("""COMPUTED_VALUE"""),FALSE)</f>
        <v>0</v>
      </c>
      <c r="M157" s="32" t="b">
        <f>IFERROR(__xludf.DUMMYFUNCTION("""COMPUTED_VALUE"""),FALSE)</f>
        <v>0</v>
      </c>
      <c r="N157" s="32"/>
    </row>
    <row r="158">
      <c r="A158" s="32" t="str">
        <f>IFERROR(__xludf.DUMMYFUNCTION("""COMPUTED_VALUE"""),"Magic Barrier")</f>
        <v>Magic Barrier</v>
      </c>
      <c r="B158" s="34">
        <f>IFERROR(__xludf.DUMMYFUNCTION("""COMPUTED_VALUE"""),9.0)</f>
        <v>9</v>
      </c>
      <c r="C158" s="33">
        <f>IFERROR(__xludf.DUMMYFUNCTION("""COMPUTED_VALUE"""),10000.0)</f>
        <v>10000</v>
      </c>
      <c r="D158" s="32"/>
      <c r="E158" s="32" t="str">
        <f>IFERROR(__xludf.DUMMYFUNCTION("""COMPUTED_VALUE"""),"All Enemies cannot use magic for the rest of battle")</f>
        <v>All Enemies cannot use magic for the rest of battle</v>
      </c>
      <c r="F158" s="32" t="str">
        <f>IFERROR(__xludf.DUMMYFUNCTION("""COMPUTED_VALUE"""),"Fail/Succeed")</f>
        <v>Fail/Succeed</v>
      </c>
      <c r="G158" s="32" t="str">
        <f>IFERROR(__xludf.DUMMYFUNCTION("""COMPUTED_VALUE"""),"All")</f>
        <v>All</v>
      </c>
      <c r="H158" s="32" t="str">
        <f>IFERROR(__xludf.DUMMYFUNCTION("""COMPUTED_VALUE"""),"Delta")</f>
        <v>Delta</v>
      </c>
      <c r="I158" s="32" t="str">
        <f>IFERROR(__xludf.DUMMYFUNCTION("""COMPUTED_VALUE"""),"Mob")</f>
        <v>Mob</v>
      </c>
      <c r="J158" s="32" t="b">
        <f>IFERROR(__xludf.DUMMYFUNCTION("""COMPUTED_VALUE"""),TRUE)</f>
        <v>1</v>
      </c>
      <c r="K158" s="32"/>
      <c r="L158" s="32" t="b">
        <f>IFERROR(__xludf.DUMMYFUNCTION("""COMPUTED_VALUE"""),FALSE)</f>
        <v>0</v>
      </c>
      <c r="M158" s="32" t="b">
        <f>IFERROR(__xludf.DUMMYFUNCTION("""COMPUTED_VALUE"""),FALSE)</f>
        <v>0</v>
      </c>
      <c r="N158" s="32"/>
    </row>
    <row r="159">
      <c r="A159" s="32" t="str">
        <f>IFERROR(__xludf.DUMMYFUNCTION("""COMPUTED_VALUE"""),"Magic Break")</f>
        <v>Magic Break</v>
      </c>
      <c r="B159" s="34">
        <f>IFERROR(__xludf.DUMMYFUNCTION("""COMPUTED_VALUE"""),2.0)</f>
        <v>2</v>
      </c>
      <c r="C159" s="32">
        <f>IFERROR(__xludf.DUMMYFUNCTION("""COMPUTED_VALUE"""),20.0)</f>
        <v>20</v>
      </c>
      <c r="D159" s="32"/>
      <c r="E159" s="32" t="str">
        <f>IFERROR(__xludf.DUMMYFUNCTION("""COMPUTED_VALUE"""),"2000 Delta damage, 25% chance to cancel an ongoing spell effect the target has casted upon themself.")</f>
        <v>2000 Delta damage, 25% chance to cancel an ongoing spell effect the target has casted upon themself.</v>
      </c>
      <c r="F159" s="32" t="str">
        <f>IFERROR(__xludf.DUMMYFUNCTION("""COMPUTED_VALUE"""),"Hit/Miss")</f>
        <v>Hit/Miss</v>
      </c>
      <c r="G159" s="32">
        <f>IFERROR(__xludf.DUMMYFUNCTION("""COMPUTED_VALUE"""),1.0)</f>
        <v>1</v>
      </c>
      <c r="H159" s="32" t="str">
        <f>IFERROR(__xludf.DUMMYFUNCTION("""COMPUTED_VALUE"""),"Delta")</f>
        <v>Delta</v>
      </c>
      <c r="I159" s="32" t="str">
        <f>IFERROR(__xludf.DUMMYFUNCTION("""COMPUTED_VALUE"""),"Player")</f>
        <v>Player</v>
      </c>
      <c r="J159" s="32" t="b">
        <f>IFERROR(__xludf.DUMMYFUNCTION("""COMPUTED_VALUE"""),FALSE)</f>
        <v>0</v>
      </c>
      <c r="K159" s="32"/>
      <c r="L159" s="32" t="b">
        <f>IFERROR(__xludf.DUMMYFUNCTION("""COMPUTED_VALUE"""),FALSE)</f>
        <v>0</v>
      </c>
      <c r="M159" s="32" t="b">
        <f>IFERROR(__xludf.DUMMYFUNCTION("""COMPUTED_VALUE"""),FALSE)</f>
        <v>0</v>
      </c>
      <c r="N159" s="32"/>
    </row>
    <row r="160">
      <c r="A160" s="32" t="str">
        <f>IFERROR(__xludf.DUMMYFUNCTION("""COMPUTED_VALUE"""),"Mind Blast")</f>
        <v>Mind Blast</v>
      </c>
      <c r="B160" s="34">
        <f>IFERROR(__xludf.DUMMYFUNCTION("""COMPUTED_VALUE"""),1.0)</f>
        <v>1</v>
      </c>
      <c r="C160" s="32">
        <f>IFERROR(__xludf.DUMMYFUNCTION("""COMPUTED_VALUE"""),100.0)</f>
        <v>100</v>
      </c>
      <c r="D160" s="32"/>
      <c r="E160" s="32" t="str">
        <f>IFERROR(__xludf.DUMMYFUNCTION("""COMPUTED_VALUE"""),"Deals 1000 dmg and pacifies an enemy for 3 rounds.")</f>
        <v>Deals 1000 dmg and pacifies an enemy for 3 rounds.</v>
      </c>
      <c r="F160" s="32" t="str">
        <f>IFERROR(__xludf.DUMMYFUNCTION("""COMPUTED_VALUE"""),"Hit/Miss")</f>
        <v>Hit/Miss</v>
      </c>
      <c r="G160" s="32">
        <f>IFERROR(__xludf.DUMMYFUNCTION("""COMPUTED_VALUE"""),1.0)</f>
        <v>1</v>
      </c>
      <c r="H160" s="32" t="str">
        <f>IFERROR(__xludf.DUMMYFUNCTION("""COMPUTED_VALUE"""),"Delta")</f>
        <v>Delta</v>
      </c>
      <c r="I160" s="32" t="str">
        <f>IFERROR(__xludf.DUMMYFUNCTION("""COMPUTED_VALUE"""),"Player")</f>
        <v>Player</v>
      </c>
      <c r="J160" s="32" t="b">
        <f>IFERROR(__xludf.DUMMYFUNCTION("""COMPUTED_VALUE"""),FALSE)</f>
        <v>0</v>
      </c>
      <c r="K160" s="32"/>
      <c r="L160" s="32" t="b">
        <f>IFERROR(__xludf.DUMMYFUNCTION("""COMPUTED_VALUE"""),FALSE)</f>
        <v>0</v>
      </c>
      <c r="M160" s="32" t="b">
        <f>IFERROR(__xludf.DUMMYFUNCTION("""COMPUTED_VALUE"""),FALSE)</f>
        <v>0</v>
      </c>
      <c r="N160" s="32"/>
    </row>
    <row r="161">
      <c r="A161" s="32" t="str">
        <f>IFERROR(__xludf.DUMMYFUNCTION("""COMPUTED_VALUE"""),"Rapid Delta Punch")</f>
        <v>Rapid Delta Punch</v>
      </c>
      <c r="B161" s="34">
        <f>IFERROR(__xludf.DUMMYFUNCTION("""COMPUTED_VALUE"""),9.0)</f>
        <v>9</v>
      </c>
      <c r="C161" s="32" t="str">
        <f>IFERROR(__xludf.DUMMYFUNCTION("""COMPUTED_VALUE"""),"X*420")</f>
        <v>X*420</v>
      </c>
      <c r="D161" s="32"/>
      <c r="E161" s="32" t="str">
        <f>IFERROR(__xludf.DUMMYFUNCTION("""COMPUTED_VALUE"""),"Drain 42,000 sp per Punch, X is equal to the amount of punches. X is equal to your attack roll.")</f>
        <v>Drain 42,000 sp per Punch, X is equal to the amount of punches. X is equal to your attack roll.</v>
      </c>
      <c r="F161" s="32" t="str">
        <f>IFERROR(__xludf.DUMMYFUNCTION("""COMPUTED_VALUE"""),"Hit/Miss")</f>
        <v>Hit/Miss</v>
      </c>
      <c r="G161" s="32">
        <f>IFERROR(__xludf.DUMMYFUNCTION("""COMPUTED_VALUE"""),1.0)</f>
        <v>1</v>
      </c>
      <c r="H161" s="32" t="str">
        <f>IFERROR(__xludf.DUMMYFUNCTION("""COMPUTED_VALUE"""),"Delta")</f>
        <v>Delta</v>
      </c>
      <c r="I161" s="32" t="str">
        <f>IFERROR(__xludf.DUMMYFUNCTION("""COMPUTED_VALUE"""),"Player")</f>
        <v>Player</v>
      </c>
      <c r="J161" s="32" t="b">
        <f>IFERROR(__xludf.DUMMYFUNCTION("""COMPUTED_VALUE"""),FALSE)</f>
        <v>0</v>
      </c>
      <c r="K161" s="32"/>
      <c r="L161" s="32" t="b">
        <f>IFERROR(__xludf.DUMMYFUNCTION("""COMPUTED_VALUE"""),FALSE)</f>
        <v>0</v>
      </c>
      <c r="M161" s="32" t="b">
        <f>IFERROR(__xludf.DUMMYFUNCTION("""COMPUTED_VALUE"""),FALSE)</f>
        <v>0</v>
      </c>
      <c r="N161" s="32"/>
    </row>
    <row r="162">
      <c r="A162" s="32" t="str">
        <f>IFERROR(__xludf.DUMMYFUNCTION("""COMPUTED_VALUE"""),"Beast In Black")</f>
        <v>Beast In Black</v>
      </c>
      <c r="B162" s="34">
        <f>IFERROR(__xludf.DUMMYFUNCTION("""COMPUTED_VALUE"""),9.0)</f>
        <v>9</v>
      </c>
      <c r="C162" s="32">
        <f>IFERROR(__xludf.DUMMYFUNCTION("""COMPUTED_VALUE"""),500.0)</f>
        <v>500</v>
      </c>
      <c r="D162" s="32"/>
      <c r="E162" s="32"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32" t="str">
        <f>IFERROR(__xludf.DUMMYFUNCTION("""COMPUTED_VALUE"""),"Fail/Succeed")</f>
        <v>Fail/Succeed</v>
      </c>
      <c r="G162" s="32" t="str">
        <f>IFERROR(__xludf.DUMMYFUNCTION("""COMPUTED_VALUE"""),"All")</f>
        <v>All</v>
      </c>
      <c r="H162" s="32" t="str">
        <f>IFERROR(__xludf.DUMMYFUNCTION("""COMPUTED_VALUE"""),"Delta")</f>
        <v>Delta</v>
      </c>
      <c r="I162" s="32" t="str">
        <f>IFERROR(__xludf.DUMMYFUNCTION("""COMPUTED_VALUE"""),"Mob")</f>
        <v>Mob</v>
      </c>
      <c r="J162" s="32" t="b">
        <f>IFERROR(__xludf.DUMMYFUNCTION("""COMPUTED_VALUE"""),TRUE)</f>
        <v>1</v>
      </c>
      <c r="K162" s="32" t="str">
        <f>IFERROR(__xludf.DUMMYFUNCTION("""COMPUTED_VALUE"""),"Mob Spell")</f>
        <v>Mob Spell</v>
      </c>
      <c r="L162" s="32" t="b">
        <f>IFERROR(__xludf.DUMMYFUNCTION("""COMPUTED_VALUE"""),FALSE)</f>
        <v>0</v>
      </c>
      <c r="M162" s="32" t="b">
        <f>IFERROR(__xludf.DUMMYFUNCTION("""COMPUTED_VALUE"""),FALSE)</f>
        <v>0</v>
      </c>
      <c r="N162" s="32"/>
    </row>
    <row r="163">
      <c r="A163" s="32" t="str">
        <f>IFERROR(__xludf.DUMMYFUNCTION("""COMPUTED_VALUE"""),"Domain Expansion")</f>
        <v>Domain Expansion</v>
      </c>
      <c r="B163" s="34">
        <f>IFERROR(__xludf.DUMMYFUNCTION("""COMPUTED_VALUE"""),9.0)</f>
        <v>9</v>
      </c>
      <c r="C163" s="32">
        <f>IFERROR(__xludf.DUMMYFUNCTION("""COMPUTED_VALUE"""),1000.0)</f>
        <v>1000</v>
      </c>
      <c r="D163" s="32"/>
      <c r="E163" s="32"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32" t="str">
        <f>IFERROR(__xludf.DUMMYFUNCTION("""COMPUTED_VALUE"""),"Will Succeed")</f>
        <v>Will Succeed</v>
      </c>
      <c r="G163" s="32" t="str">
        <f>IFERROR(__xludf.DUMMYFUNCTION("""COMPUTED_VALUE"""),"All")</f>
        <v>All</v>
      </c>
      <c r="H163" s="32" t="str">
        <f>IFERROR(__xludf.DUMMYFUNCTION("""COMPUTED_VALUE"""),"Delta")</f>
        <v>Delta</v>
      </c>
      <c r="I163" s="32" t="str">
        <f>IFERROR(__xludf.DUMMYFUNCTION("""COMPUTED_VALUE"""),"Mob")</f>
        <v>Mob</v>
      </c>
      <c r="J163" s="32" t="b">
        <f>IFERROR(__xludf.DUMMYFUNCTION("""COMPUTED_VALUE"""),TRUE)</f>
        <v>1</v>
      </c>
      <c r="K163" s="32" t="str">
        <f>IFERROR(__xludf.DUMMYFUNCTION("""COMPUTED_VALUE"""),"Mob Spell")</f>
        <v>Mob Spell</v>
      </c>
      <c r="L163" s="32" t="b">
        <f>IFERROR(__xludf.DUMMYFUNCTION("""COMPUTED_VALUE"""),FALSE)</f>
        <v>0</v>
      </c>
      <c r="M163" s="32" t="b">
        <f>IFERROR(__xludf.DUMMYFUNCTION("""COMPUTED_VALUE"""),FALSE)</f>
        <v>0</v>
      </c>
      <c r="N163" s="32"/>
    </row>
    <row r="164">
      <c r="A164" s="32" t="str">
        <f>IFERROR(__xludf.DUMMYFUNCTION("""COMPUTED_VALUE"""),"Delta Strike")</f>
        <v>Delta Strike</v>
      </c>
      <c r="B164" s="34">
        <f>IFERROR(__xludf.DUMMYFUNCTION("""COMPUTED_VALUE"""),1.0)</f>
        <v>1</v>
      </c>
      <c r="C164" s="32" t="str">
        <f>IFERROR(__xludf.DUMMYFUNCTION("""COMPUTED_VALUE"""),"X")</f>
        <v>X</v>
      </c>
      <c r="D164" s="32"/>
      <c r="E164" s="32" t="str">
        <f>IFERROR(__xludf.DUMMYFUNCTION("""COMPUTED_VALUE"""),"Deals X*100 Delta damage to a single enemy where X is equal to SP spent.")</f>
        <v>Deals X*100 Delta damage to a single enemy where X is equal to SP spent.</v>
      </c>
      <c r="F164" s="32" t="str">
        <f>IFERROR(__xludf.DUMMYFUNCTION("""COMPUTED_VALUE"""),"Hit/Miss")</f>
        <v>Hit/Miss</v>
      </c>
      <c r="G164" s="32">
        <f>IFERROR(__xludf.DUMMYFUNCTION("""COMPUTED_VALUE"""),1.0)</f>
        <v>1</v>
      </c>
      <c r="H164" s="32" t="str">
        <f>IFERROR(__xludf.DUMMYFUNCTION("""COMPUTED_VALUE"""),"Delta")</f>
        <v>Delta</v>
      </c>
      <c r="I164" s="32" t="str">
        <f>IFERROR(__xludf.DUMMYFUNCTION("""COMPUTED_VALUE"""),"Player")</f>
        <v>Player</v>
      </c>
      <c r="J164" s="32" t="b">
        <f>IFERROR(__xludf.DUMMYFUNCTION("""COMPUTED_VALUE"""),FALSE)</f>
        <v>0</v>
      </c>
      <c r="K164" s="32"/>
      <c r="L164" s="32" t="b">
        <f>IFERROR(__xludf.DUMMYFUNCTION("""COMPUTED_VALUE"""),FALSE)</f>
        <v>0</v>
      </c>
      <c r="M164" s="32" t="b">
        <f>IFERROR(__xludf.DUMMYFUNCTION("""COMPUTED_VALUE"""),FALSE)</f>
        <v>0</v>
      </c>
      <c r="N164" s="32"/>
    </row>
    <row r="165">
      <c r="A165" s="32" t="str">
        <f>IFERROR(__xludf.DUMMYFUNCTION("""COMPUTED_VALUE"""),"Magic Surge")</f>
        <v>Magic Surge</v>
      </c>
      <c r="B165" s="34">
        <f>IFERROR(__xludf.DUMMYFUNCTION("""COMPUTED_VALUE"""),5.0)</f>
        <v>5</v>
      </c>
      <c r="C165" s="32" t="str">
        <f>IFERROR(__xludf.DUMMYFUNCTION("""COMPUTED_VALUE"""),"X")</f>
        <v>X</v>
      </c>
      <c r="D165" s="32"/>
      <c r="E165" s="32" t="str">
        <f>IFERROR(__xludf.DUMMYFUNCTION("""COMPUTED_VALUE"""),"Deals X*50 Delta damage per round for 3 rounds to a single target where X is equal to SP spent.")</f>
        <v>Deals X*50 Delta damage per round for 3 rounds to a single target where X is equal to SP spent.</v>
      </c>
      <c r="F165" s="32" t="str">
        <f>IFERROR(__xludf.DUMMYFUNCTION("""COMPUTED_VALUE"""),"Hit/Miss")</f>
        <v>Hit/Miss</v>
      </c>
      <c r="G165" s="32">
        <f>IFERROR(__xludf.DUMMYFUNCTION("""COMPUTED_VALUE"""),1.0)</f>
        <v>1</v>
      </c>
      <c r="H165" s="32" t="str">
        <f>IFERROR(__xludf.DUMMYFUNCTION("""COMPUTED_VALUE"""),"Delta")</f>
        <v>Delta</v>
      </c>
      <c r="I165" s="32" t="str">
        <f>IFERROR(__xludf.DUMMYFUNCTION("""COMPUTED_VALUE"""),"Player")</f>
        <v>Player</v>
      </c>
      <c r="J165" s="32" t="b">
        <f>IFERROR(__xludf.DUMMYFUNCTION("""COMPUTED_VALUE"""),FALSE)</f>
        <v>0</v>
      </c>
      <c r="K165" s="32"/>
      <c r="L165" s="32" t="b">
        <f>IFERROR(__xludf.DUMMYFUNCTION("""COMPUTED_VALUE"""),FALSE)</f>
        <v>0</v>
      </c>
      <c r="M165" s="32" t="b">
        <f>IFERROR(__xludf.DUMMYFUNCTION("""COMPUTED_VALUE"""),FALSE)</f>
        <v>0</v>
      </c>
      <c r="N165" s="32"/>
    </row>
    <row r="166">
      <c r="A166" s="32" t="str">
        <f>IFERROR(__xludf.DUMMYFUNCTION("""COMPUTED_VALUE"""),"Delta Pulse")</f>
        <v>Delta Pulse</v>
      </c>
      <c r="B166" s="34">
        <f>IFERROR(__xludf.DUMMYFUNCTION("""COMPUTED_VALUE"""),5.0)</f>
        <v>5</v>
      </c>
      <c r="C166" s="32" t="str">
        <f>IFERROR(__xludf.DUMMYFUNCTION("""COMPUTED_VALUE"""),"X")</f>
        <v>X</v>
      </c>
      <c r="D166" s="32"/>
      <c r="E166" s="32" t="str">
        <f>IFERROR(__xludf.DUMMYFUNCTION("""COMPUTED_VALUE"""),"Deals X*25 Delta damage to all enemies where X is equal to SP spent.")</f>
        <v>Deals X*25 Delta damage to all enemies where X is equal to SP spent.</v>
      </c>
      <c r="F166" s="32" t="str">
        <f>IFERROR(__xludf.DUMMYFUNCTION("""COMPUTED_VALUE"""),"Cannot Avoid")</f>
        <v>Cannot Avoid</v>
      </c>
      <c r="G166" s="32" t="str">
        <f>IFERROR(__xludf.DUMMYFUNCTION("""COMPUTED_VALUE"""),"All")</f>
        <v>All</v>
      </c>
      <c r="H166" s="32" t="str">
        <f>IFERROR(__xludf.DUMMYFUNCTION("""COMPUTED_VALUE"""),"Delta")</f>
        <v>Delta</v>
      </c>
      <c r="I166" s="32" t="str">
        <f>IFERROR(__xludf.DUMMYFUNCTION("""COMPUTED_VALUE"""),"Player")</f>
        <v>Player</v>
      </c>
      <c r="J166" s="32" t="b">
        <f>IFERROR(__xludf.DUMMYFUNCTION("""COMPUTED_VALUE"""),FALSE)</f>
        <v>0</v>
      </c>
      <c r="K166" s="32"/>
      <c r="L166" s="32" t="b">
        <f>IFERROR(__xludf.DUMMYFUNCTION("""COMPUTED_VALUE"""),FALSE)</f>
        <v>0</v>
      </c>
      <c r="M166" s="32" t="b">
        <f>IFERROR(__xludf.DUMMYFUNCTION("""COMPUTED_VALUE"""),FALSE)</f>
        <v>0</v>
      </c>
      <c r="N166" s="32"/>
    </row>
    <row r="167">
      <c r="A167" s="32" t="str">
        <f>IFERROR(__xludf.DUMMYFUNCTION("""COMPUTED_VALUE"""),"Mass Magic Surge")</f>
        <v>Mass Magic Surge</v>
      </c>
      <c r="B167" s="34">
        <f>IFERROR(__xludf.DUMMYFUNCTION("""COMPUTED_VALUE"""),6.0)</f>
        <v>6</v>
      </c>
      <c r="C167" s="32" t="str">
        <f>IFERROR(__xludf.DUMMYFUNCTION("""COMPUTED_VALUE"""),"X")</f>
        <v>X</v>
      </c>
      <c r="D167" s="32"/>
      <c r="E167" s="32" t="str">
        <f>IFERROR(__xludf.DUMMYFUNCTION("""COMPUTED_VALUE"""),"Deals X*10 Delta damage per round to all enemies for 3 rounds where X is equal to SP spent.")</f>
        <v>Deals X*10 Delta damage per round to all enemies for 3 rounds where X is equal to SP spent.</v>
      </c>
      <c r="F167" s="32" t="str">
        <f>IFERROR(__xludf.DUMMYFUNCTION("""COMPUTED_VALUE"""),"Cannot Avoid")</f>
        <v>Cannot Avoid</v>
      </c>
      <c r="G167" s="32" t="str">
        <f>IFERROR(__xludf.DUMMYFUNCTION("""COMPUTED_VALUE"""),"All")</f>
        <v>All</v>
      </c>
      <c r="H167" s="32" t="str">
        <f>IFERROR(__xludf.DUMMYFUNCTION("""COMPUTED_VALUE"""),"Delta")</f>
        <v>Delta</v>
      </c>
      <c r="I167" s="32" t="str">
        <f>IFERROR(__xludf.DUMMYFUNCTION("""COMPUTED_VALUE"""),"Player")</f>
        <v>Player</v>
      </c>
      <c r="J167" s="32" t="b">
        <f>IFERROR(__xludf.DUMMYFUNCTION("""COMPUTED_VALUE"""),FALSE)</f>
        <v>0</v>
      </c>
      <c r="K167" s="32"/>
      <c r="L167" s="32" t="b">
        <f>IFERROR(__xludf.DUMMYFUNCTION("""COMPUTED_VALUE"""),FALSE)</f>
        <v>0</v>
      </c>
      <c r="M167" s="32" t="b">
        <f>IFERROR(__xludf.DUMMYFUNCTION("""COMPUTED_VALUE"""),FALSE)</f>
        <v>0</v>
      </c>
      <c r="N167" s="32"/>
    </row>
    <row r="168">
      <c r="A168" s="32" t="str">
        <f>IFERROR(__xludf.DUMMYFUNCTION("""COMPUTED_VALUE"""),"Ancient Monolith Of Earth")</f>
        <v>Ancient Monolith Of Earth</v>
      </c>
      <c r="B168" s="34">
        <f>IFERROR(__xludf.DUMMYFUNCTION("""COMPUTED_VALUE"""),9.0)</f>
        <v>9</v>
      </c>
      <c r="C168" s="32">
        <f>IFERROR(__xludf.DUMMYFUNCTION("""COMPUTED_VALUE"""),300.0)</f>
        <v>300</v>
      </c>
      <c r="D168" s="32"/>
      <c r="E168" s="32" t="str">
        <f>IFERROR(__xludf.DUMMYFUNCTION("""COMPUTED_VALUE"""),"X4 additional earth damage for caster and allies. Fire Immunity for caster only.")</f>
        <v>X4 additional earth damage for caster and allies. Fire Immunity for caster only.</v>
      </c>
      <c r="F168" s="32" t="str">
        <f>IFERROR(__xludf.DUMMYFUNCTION("""COMPUTED_VALUE"""),"Fail/Succeed")</f>
        <v>Fail/Succeed</v>
      </c>
      <c r="G168" s="32"/>
      <c r="H168" s="32" t="str">
        <f>IFERROR(__xludf.DUMMYFUNCTION("""COMPUTED_VALUE"""),"Earth")</f>
        <v>Earth</v>
      </c>
      <c r="I168" s="32" t="str">
        <f>IFERROR(__xludf.DUMMYFUNCTION("""COMPUTED_VALUE"""),"Player")</f>
        <v>Player</v>
      </c>
      <c r="J168" s="32" t="b">
        <f>IFERROR(__xludf.DUMMYFUNCTION("""COMPUTED_VALUE"""),FALSE)</f>
        <v>0</v>
      </c>
      <c r="K168" s="32"/>
      <c r="L168" s="32" t="b">
        <f>IFERROR(__xludf.DUMMYFUNCTION("""COMPUTED_VALUE"""),FALSE)</f>
        <v>0</v>
      </c>
      <c r="M168" s="32" t="b">
        <f>IFERROR(__xludf.DUMMYFUNCTION("""COMPUTED_VALUE"""),FALSE)</f>
        <v>0</v>
      </c>
      <c r="N168" s="32"/>
    </row>
    <row r="169">
      <c r="A169" s="32" t="str">
        <f>IFERROR(__xludf.DUMMYFUNCTION("""COMPUTED_VALUE"""),"Boulder Toss")</f>
        <v>Boulder Toss</v>
      </c>
      <c r="B169" s="34">
        <f>IFERROR(__xludf.DUMMYFUNCTION("""COMPUTED_VALUE"""),2.0)</f>
        <v>2</v>
      </c>
      <c r="C169" s="32">
        <f>IFERROR(__xludf.DUMMYFUNCTION("""COMPUTED_VALUE"""),20.0)</f>
        <v>20</v>
      </c>
      <c r="D169" s="32"/>
      <c r="E169" s="32" t="str">
        <f>IFERROR(__xludf.DUMMYFUNCTION("""COMPUTED_VALUE"""),"X Earth damage where X is equal to the users accuracy, and -2000 defense for the rest of battle.")</f>
        <v>X Earth damage where X is equal to the users accuracy, and -2000 defense for the rest of battle.</v>
      </c>
      <c r="F169" s="32" t="str">
        <f>IFERROR(__xludf.DUMMYFUNCTION("""COMPUTED_VALUE"""),"Hit/Miss")</f>
        <v>Hit/Miss</v>
      </c>
      <c r="G169" s="32">
        <f>IFERROR(__xludf.DUMMYFUNCTION("""COMPUTED_VALUE"""),1.0)</f>
        <v>1</v>
      </c>
      <c r="H169" s="32" t="str">
        <f>IFERROR(__xludf.DUMMYFUNCTION("""COMPUTED_VALUE"""),"Earth")</f>
        <v>Earth</v>
      </c>
      <c r="I169" s="32" t="str">
        <f>IFERROR(__xludf.DUMMYFUNCTION("""COMPUTED_VALUE"""),"Player")</f>
        <v>Player</v>
      </c>
      <c r="J169" s="32" t="b">
        <f>IFERROR(__xludf.DUMMYFUNCTION("""COMPUTED_VALUE"""),FALSE)</f>
        <v>0</v>
      </c>
      <c r="K169" s="32"/>
      <c r="L169" s="32" t="b">
        <f>IFERROR(__xludf.DUMMYFUNCTION("""COMPUTED_VALUE"""),FALSE)</f>
        <v>0</v>
      </c>
      <c r="M169" s="32" t="b">
        <f>IFERROR(__xludf.DUMMYFUNCTION("""COMPUTED_VALUE"""),FALSE)</f>
        <v>0</v>
      </c>
      <c r="N169" s="32"/>
    </row>
    <row r="170">
      <c r="A170" s="32" t="str">
        <f>IFERROR(__xludf.DUMMYFUNCTION("""COMPUTED_VALUE"""),"Calcife")</f>
        <v>Calcife</v>
      </c>
      <c r="B170" s="34">
        <f>IFERROR(__xludf.DUMMYFUNCTION("""COMPUTED_VALUE"""),4.0)</f>
        <v>4</v>
      </c>
      <c r="C170" s="32" t="str">
        <f>IFERROR(__xludf.DUMMYFUNCTION("""COMPUTED_VALUE"""),"X")</f>
        <v>X</v>
      </c>
      <c r="D170" s="32"/>
      <c r="E170" s="32" t="str">
        <f>IFERROR(__xludf.DUMMYFUNCTION("""COMPUTED_VALUE"""),"Target gains X*100 Earth damage and X*100 Earth resistance, can’t be used on self")</f>
        <v>Target gains X*100 Earth damage and X*100 Earth resistance, can’t be used on self</v>
      </c>
      <c r="F170" s="32" t="str">
        <f>IFERROR(__xludf.DUMMYFUNCTION("""COMPUTED_VALUE"""),"Fail/Succeed")</f>
        <v>Fail/Succeed</v>
      </c>
      <c r="G170" s="32"/>
      <c r="H170" s="32" t="str">
        <f>IFERROR(__xludf.DUMMYFUNCTION("""COMPUTED_VALUE"""),"Earth")</f>
        <v>Earth</v>
      </c>
      <c r="I170" s="32" t="str">
        <f>IFERROR(__xludf.DUMMYFUNCTION("""COMPUTED_VALUE"""),"Player")</f>
        <v>Player</v>
      </c>
      <c r="J170" s="32" t="b">
        <f>IFERROR(__xludf.DUMMYFUNCTION("""COMPUTED_VALUE"""),FALSE)</f>
        <v>0</v>
      </c>
      <c r="K170" s="32"/>
      <c r="L170" s="32" t="b">
        <f>IFERROR(__xludf.DUMMYFUNCTION("""COMPUTED_VALUE"""),FALSE)</f>
        <v>0</v>
      </c>
      <c r="M170" s="32" t="b">
        <f>IFERROR(__xludf.DUMMYFUNCTION("""COMPUTED_VALUE"""),FALSE)</f>
        <v>0</v>
      </c>
      <c r="N170" s="32"/>
    </row>
    <row r="171">
      <c r="A171" s="32" t="str">
        <f>IFERROR(__xludf.DUMMYFUNCTION("""COMPUTED_VALUE"""),"Calm Earth")</f>
        <v>Calm Earth</v>
      </c>
      <c r="B171" s="34">
        <f>IFERROR(__xludf.DUMMYFUNCTION("""COMPUTED_VALUE"""),7.0)</f>
        <v>7</v>
      </c>
      <c r="C171" s="32" t="str">
        <f>IFERROR(__xludf.DUMMYFUNCTION("""COMPUTED_VALUE"""),"X")</f>
        <v>X</v>
      </c>
      <c r="D171" s="32"/>
      <c r="E171" s="32"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32" t="str">
        <f>IFERROR(__xludf.DUMMYFUNCTION("""COMPUTED_VALUE"""),"Fail/Succeed")</f>
        <v>Fail/Succeed</v>
      </c>
      <c r="G171" s="32"/>
      <c r="H171" s="32" t="str">
        <f>IFERROR(__xludf.DUMMYFUNCTION("""COMPUTED_VALUE"""),"Earth")</f>
        <v>Earth</v>
      </c>
      <c r="I171" s="32" t="str">
        <f>IFERROR(__xludf.DUMMYFUNCTION("""COMPUTED_VALUE"""),"Player")</f>
        <v>Player</v>
      </c>
      <c r="J171" s="32" t="b">
        <f>IFERROR(__xludf.DUMMYFUNCTION("""COMPUTED_VALUE"""),FALSE)</f>
        <v>0</v>
      </c>
      <c r="K171" s="32"/>
      <c r="L171" s="32" t="b">
        <f>IFERROR(__xludf.DUMMYFUNCTION("""COMPUTED_VALUE"""),FALSE)</f>
        <v>0</v>
      </c>
      <c r="M171" s="32" t="b">
        <f>IFERROR(__xludf.DUMMYFUNCTION("""COMPUTED_VALUE"""),FALSE)</f>
        <v>0</v>
      </c>
      <c r="N171" s="32"/>
    </row>
    <row r="172">
      <c r="A172" s="32" t="str">
        <f>IFERROR(__xludf.DUMMYFUNCTION("""COMPUTED_VALUE"""),"Dawn of Diamonds")</f>
        <v>Dawn of Diamonds</v>
      </c>
      <c r="B172" s="34">
        <f>IFERROR(__xludf.DUMMYFUNCTION("""COMPUTED_VALUE"""),1.0)</f>
        <v>1</v>
      </c>
      <c r="C172" s="32">
        <f>IFERROR(__xludf.DUMMYFUNCTION("""COMPUTED_VALUE"""),0.0)</f>
        <v>0</v>
      </c>
      <c r="D172" s="32"/>
      <c r="E172" s="32"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32" t="str">
        <f>IFERROR(__xludf.DUMMYFUNCTION("""COMPUTED_VALUE"""),"Natural/Cannot Avoid")</f>
        <v>Natural/Cannot Avoid</v>
      </c>
      <c r="G172" s="32" t="str">
        <f>IFERROR(__xludf.DUMMYFUNCTION("""COMPUTED_VALUE"""),"All")</f>
        <v>All</v>
      </c>
      <c r="H172" s="32" t="str">
        <f>IFERROR(__xludf.DUMMYFUNCTION("""COMPUTED_VALUE"""),"Earth")</f>
        <v>Earth</v>
      </c>
      <c r="I172" s="32" t="str">
        <f>IFERROR(__xludf.DUMMYFUNCTION("""COMPUTED_VALUE"""),"Mob")</f>
        <v>Mob</v>
      </c>
      <c r="J172" s="32" t="b">
        <f>IFERROR(__xludf.DUMMYFUNCTION("""COMPUTED_VALUE"""),TRUE)</f>
        <v>1</v>
      </c>
      <c r="K172" s="32"/>
      <c r="L172" s="32" t="b">
        <f>IFERROR(__xludf.DUMMYFUNCTION("""COMPUTED_VALUE"""),FALSE)</f>
        <v>0</v>
      </c>
      <c r="M172" s="32" t="b">
        <f>IFERROR(__xludf.DUMMYFUNCTION("""COMPUTED_VALUE"""),FALSE)</f>
        <v>0</v>
      </c>
      <c r="N172" s="32"/>
    </row>
    <row r="173">
      <c r="A173" s="32" t="str">
        <f>IFERROR(__xludf.DUMMYFUNCTION("""COMPUTED_VALUE"""),"Dusk of Diamonds")</f>
        <v>Dusk of Diamonds</v>
      </c>
      <c r="B173" s="34">
        <f>IFERROR(__xludf.DUMMYFUNCTION("""COMPUTED_VALUE"""),1.0)</f>
        <v>1</v>
      </c>
      <c r="C173" s="32">
        <f>IFERROR(__xludf.DUMMYFUNCTION("""COMPUTED_VALUE"""),0.0)</f>
        <v>0</v>
      </c>
      <c r="D173" s="32"/>
      <c r="E173" s="32" t="str">
        <f>IFERROR(__xludf.DUMMYFUNCTION("""COMPUTED_VALUE"""),"10,000 Earth and 10,000 Dark damage to all enemies. 50% chance of Blidness 3, 50% Slowness 3")</f>
        <v>10,000 Earth and 10,000 Dark damage to all enemies. 50% chance of Blidness 3, 50% Slowness 3</v>
      </c>
      <c r="F173" s="32" t="str">
        <f>IFERROR(__xludf.DUMMYFUNCTION("""COMPUTED_VALUE"""),"Natural/Cannot Avoid")</f>
        <v>Natural/Cannot Avoid</v>
      </c>
      <c r="G173" s="32" t="str">
        <f>IFERROR(__xludf.DUMMYFUNCTION("""COMPUTED_VALUE"""),"All")</f>
        <v>All</v>
      </c>
      <c r="H173" s="32" t="str">
        <f>IFERROR(__xludf.DUMMYFUNCTION("""COMPUTED_VALUE"""),"Earth")</f>
        <v>Earth</v>
      </c>
      <c r="I173" s="32" t="str">
        <f>IFERROR(__xludf.DUMMYFUNCTION("""COMPUTED_VALUE"""),"Mob")</f>
        <v>Mob</v>
      </c>
      <c r="J173" s="32" t="b">
        <f>IFERROR(__xludf.DUMMYFUNCTION("""COMPUTED_VALUE"""),TRUE)</f>
        <v>1</v>
      </c>
      <c r="K173" s="32"/>
      <c r="L173" s="32" t="b">
        <f>IFERROR(__xludf.DUMMYFUNCTION("""COMPUTED_VALUE"""),FALSE)</f>
        <v>0</v>
      </c>
      <c r="M173" s="32" t="b">
        <f>IFERROR(__xludf.DUMMYFUNCTION("""COMPUTED_VALUE"""),FALSE)</f>
        <v>0</v>
      </c>
      <c r="N173" s="32"/>
    </row>
    <row r="174">
      <c r="A174" s="32" t="str">
        <f>IFERROR(__xludf.DUMMYFUNCTION("""COMPUTED_VALUE"""),"Earth Punch")</f>
        <v>Earth Punch</v>
      </c>
      <c r="B174" s="34">
        <f>IFERROR(__xludf.DUMMYFUNCTION("""COMPUTED_VALUE"""),1.0)</f>
        <v>1</v>
      </c>
      <c r="C174" s="32">
        <f>IFERROR(__xludf.DUMMYFUNCTION("""COMPUTED_VALUE"""),0.0)</f>
        <v>0</v>
      </c>
      <c r="D174" s="32"/>
      <c r="E174" s="32" t="str">
        <f>IFERROR(__xludf.DUMMYFUNCTION("""COMPUTED_VALUE"""),"X*4 Earth damage where X is equal to the users attack, 25% chance this attack hits again.")</f>
        <v>X*4 Earth damage where X is equal to the users attack, 25% chance this attack hits again.</v>
      </c>
      <c r="F174" s="32" t="str">
        <f>IFERROR(__xludf.DUMMYFUNCTION("""COMPUTED_VALUE"""),"Natural/Hit or Miss")</f>
        <v>Natural/Hit or Miss</v>
      </c>
      <c r="G174" s="32">
        <f>IFERROR(__xludf.DUMMYFUNCTION("""COMPUTED_VALUE"""),1.0)</f>
        <v>1</v>
      </c>
      <c r="H174" s="32" t="str">
        <f>IFERROR(__xludf.DUMMYFUNCTION("""COMPUTED_VALUE"""),"Earth")</f>
        <v>Earth</v>
      </c>
      <c r="I174" s="32" t="str">
        <f>IFERROR(__xludf.DUMMYFUNCTION("""COMPUTED_VALUE"""),"Mob")</f>
        <v>Mob</v>
      </c>
      <c r="J174" s="32" t="b">
        <f>IFERROR(__xludf.DUMMYFUNCTION("""COMPUTED_VALUE"""),TRUE)</f>
        <v>1</v>
      </c>
      <c r="K174" s="32"/>
      <c r="L174" s="32" t="b">
        <f>IFERROR(__xludf.DUMMYFUNCTION("""COMPUTED_VALUE"""),FALSE)</f>
        <v>0</v>
      </c>
      <c r="M174" s="32" t="b">
        <f>IFERROR(__xludf.DUMMYFUNCTION("""COMPUTED_VALUE"""),FALSE)</f>
        <v>0</v>
      </c>
      <c r="N174" s="32"/>
    </row>
    <row r="175">
      <c r="A175" s="32" t="str">
        <f>IFERROR(__xludf.DUMMYFUNCTION("""COMPUTED_VALUE"""),"Energizing Emerald Pulse")</f>
        <v>Energizing Emerald Pulse</v>
      </c>
      <c r="B175" s="34">
        <f>IFERROR(__xludf.DUMMYFUNCTION("""COMPUTED_VALUE"""),1.0)</f>
        <v>1</v>
      </c>
      <c r="C175" s="32">
        <f>IFERROR(__xludf.DUMMYFUNCTION("""COMPUTED_VALUE"""),0.0)</f>
        <v>0</v>
      </c>
      <c r="D175" s="32"/>
      <c r="E175" s="32"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32" t="str">
        <f>IFERROR(__xludf.DUMMYFUNCTION("""COMPUTED_VALUE"""),"Natural/Cannot Avoid")</f>
        <v>Natural/Cannot Avoid</v>
      </c>
      <c r="G175" s="32" t="str">
        <f>IFERROR(__xludf.DUMMYFUNCTION("""COMPUTED_VALUE"""),"All")</f>
        <v>All</v>
      </c>
      <c r="H175" s="32" t="str">
        <f>IFERROR(__xludf.DUMMYFUNCTION("""COMPUTED_VALUE"""),"Earth")</f>
        <v>Earth</v>
      </c>
      <c r="I175" s="32" t="str">
        <f>IFERROR(__xludf.DUMMYFUNCTION("""COMPUTED_VALUE"""),"Mob")</f>
        <v>Mob</v>
      </c>
      <c r="J175" s="32" t="b">
        <f>IFERROR(__xludf.DUMMYFUNCTION("""COMPUTED_VALUE"""),TRUE)</f>
        <v>1</v>
      </c>
      <c r="K175" s="32"/>
      <c r="L175" s="32" t="b">
        <f>IFERROR(__xludf.DUMMYFUNCTION("""COMPUTED_VALUE"""),FALSE)</f>
        <v>0</v>
      </c>
      <c r="M175" s="32" t="b">
        <f>IFERROR(__xludf.DUMMYFUNCTION("""COMPUTED_VALUE"""),FALSE)</f>
        <v>0</v>
      </c>
      <c r="N175" s="32"/>
    </row>
    <row r="176">
      <c r="A176" s="32" t="str">
        <f>IFERROR(__xludf.DUMMYFUNCTION("""COMPUTED_VALUE"""),"Landslide")</f>
        <v>Landslide</v>
      </c>
      <c r="B176" s="34">
        <f>IFERROR(__xludf.DUMMYFUNCTION("""COMPUTED_VALUE"""),9.0)</f>
        <v>9</v>
      </c>
      <c r="C176" s="32">
        <f>IFERROR(__xludf.DUMMYFUNCTION("""COMPUTED_VALUE"""),1500.0)</f>
        <v>1500</v>
      </c>
      <c r="D176" s="32"/>
      <c r="E176" s="32" t="str">
        <f>IFERROR(__xludf.DUMMYFUNCTION("""COMPUTED_VALUE"""),"20,000 Undefendable Earth damage. 50% chance of instant death.")</f>
        <v>20,000 Undefendable Earth damage. 50% chance of instant death.</v>
      </c>
      <c r="F176" s="32" t="str">
        <f>IFERROR(__xludf.DUMMYFUNCTION("""COMPUTED_VALUE"""),"Cannot Avoid")</f>
        <v>Cannot Avoid</v>
      </c>
      <c r="G176" s="32">
        <f>IFERROR(__xludf.DUMMYFUNCTION("""COMPUTED_VALUE"""),1.0)</f>
        <v>1</v>
      </c>
      <c r="H176" s="32" t="str">
        <f>IFERROR(__xludf.DUMMYFUNCTION("""COMPUTED_VALUE"""),"Earth")</f>
        <v>Earth</v>
      </c>
      <c r="I176" s="32" t="str">
        <f>IFERROR(__xludf.DUMMYFUNCTION("""COMPUTED_VALUE"""),"Player")</f>
        <v>Player</v>
      </c>
      <c r="J176" s="32" t="b">
        <f>IFERROR(__xludf.DUMMYFUNCTION("""COMPUTED_VALUE"""),FALSE)</f>
        <v>0</v>
      </c>
      <c r="K176" s="32"/>
      <c r="L176" s="32" t="b">
        <f>IFERROR(__xludf.DUMMYFUNCTION("""COMPUTED_VALUE"""),FALSE)</f>
        <v>0</v>
      </c>
      <c r="M176" s="32" t="b">
        <f>IFERROR(__xludf.DUMMYFUNCTION("""COMPUTED_VALUE"""),FALSE)</f>
        <v>0</v>
      </c>
      <c r="N176" s="32"/>
    </row>
    <row r="177">
      <c r="A177" s="32" t="str">
        <f>IFERROR(__xludf.DUMMYFUNCTION("""COMPUTED_VALUE"""),"Molten Bolder Toss")</f>
        <v>Molten Bolder Toss</v>
      </c>
      <c r="B177" s="34">
        <f>IFERROR(__xludf.DUMMYFUNCTION("""COMPUTED_VALUE"""),1.0)</f>
        <v>1</v>
      </c>
      <c r="C177" s="32">
        <f>IFERROR(__xludf.DUMMYFUNCTION("""COMPUTED_VALUE"""),0.0)</f>
        <v>0</v>
      </c>
      <c r="D177" s="32"/>
      <c r="E177" s="32" t="str">
        <f>IFERROR(__xludf.DUMMYFUNCTION("""COMPUTED_VALUE"""),"20,000 Earth and 20,000 Fire damage. Ignores Defense. Lowers an enemy's defense by half.")</f>
        <v>20,000 Earth and 20,000 Fire damage. Ignores Defense. Lowers an enemy's defense by half.</v>
      </c>
      <c r="F177" s="32" t="str">
        <f>IFERROR(__xludf.DUMMYFUNCTION("""COMPUTED_VALUE"""),"Natural/Hit or Miss")</f>
        <v>Natural/Hit or Miss</v>
      </c>
      <c r="G177" s="32">
        <f>IFERROR(__xludf.DUMMYFUNCTION("""COMPUTED_VALUE"""),1.0)</f>
        <v>1</v>
      </c>
      <c r="H177" s="32" t="str">
        <f>IFERROR(__xludf.DUMMYFUNCTION("""COMPUTED_VALUE"""),"Earth")</f>
        <v>Earth</v>
      </c>
      <c r="I177" s="32" t="str">
        <f>IFERROR(__xludf.DUMMYFUNCTION("""COMPUTED_VALUE"""),"Mob")</f>
        <v>Mob</v>
      </c>
      <c r="J177" s="32" t="b">
        <f>IFERROR(__xludf.DUMMYFUNCTION("""COMPUTED_VALUE"""),TRUE)</f>
        <v>1</v>
      </c>
      <c r="K177" s="32"/>
      <c r="L177" s="32" t="b">
        <f>IFERROR(__xludf.DUMMYFUNCTION("""COMPUTED_VALUE"""),FALSE)</f>
        <v>0</v>
      </c>
      <c r="M177" s="32" t="b">
        <f>IFERROR(__xludf.DUMMYFUNCTION("""COMPUTED_VALUE"""),FALSE)</f>
        <v>0</v>
      </c>
      <c r="N177" s="32"/>
    </row>
    <row r="178">
      <c r="A178" s="32" t="str">
        <f>IFERROR(__xludf.DUMMYFUNCTION("""COMPUTED_VALUE"""),"Molten Ruby Spikes")</f>
        <v>Molten Ruby Spikes</v>
      </c>
      <c r="B178" s="34">
        <f>IFERROR(__xludf.DUMMYFUNCTION("""COMPUTED_VALUE"""),1.0)</f>
        <v>1</v>
      </c>
      <c r="C178" s="32">
        <f>IFERROR(__xludf.DUMMYFUNCTION("""COMPUTED_VALUE"""),0.0)</f>
        <v>0</v>
      </c>
      <c r="D178" s="32"/>
      <c r="E178" s="32" t="str">
        <f>IFERROR(__xludf.DUMMYFUNCTION("""COMPUTED_VALUE"""),"10,000 Earth and 10,000 Fire damage to all enemies. 5,000 Fire damage p/r to those targets.")</f>
        <v>10,000 Earth and 10,000 Fire damage to all enemies. 5,000 Fire damage p/r to those targets.</v>
      </c>
      <c r="F178" s="32" t="str">
        <f>IFERROR(__xludf.DUMMYFUNCTION("""COMPUTED_VALUE"""),"Natural/Cannot Avoid")</f>
        <v>Natural/Cannot Avoid</v>
      </c>
      <c r="G178" s="32" t="str">
        <f>IFERROR(__xludf.DUMMYFUNCTION("""COMPUTED_VALUE"""),"All")</f>
        <v>All</v>
      </c>
      <c r="H178" s="32" t="str">
        <f>IFERROR(__xludf.DUMMYFUNCTION("""COMPUTED_VALUE"""),"Earth")</f>
        <v>Earth</v>
      </c>
      <c r="I178" s="32" t="str">
        <f>IFERROR(__xludf.DUMMYFUNCTION("""COMPUTED_VALUE"""),"Mob")</f>
        <v>Mob</v>
      </c>
      <c r="J178" s="32" t="b">
        <f>IFERROR(__xludf.DUMMYFUNCTION("""COMPUTED_VALUE"""),TRUE)</f>
        <v>1</v>
      </c>
      <c r="K178" s="32"/>
      <c r="L178" s="32" t="b">
        <f>IFERROR(__xludf.DUMMYFUNCTION("""COMPUTED_VALUE"""),FALSE)</f>
        <v>0</v>
      </c>
      <c r="M178" s="32" t="b">
        <f>IFERROR(__xludf.DUMMYFUNCTION("""COMPUTED_VALUE"""),FALSE)</f>
        <v>0</v>
      </c>
      <c r="N178" s="32"/>
    </row>
    <row r="179">
      <c r="A179" s="32" t="str">
        <f>IFERROR(__xludf.DUMMYFUNCTION("""COMPUTED_VALUE"""),"Mountain Formation")</f>
        <v>Mountain Formation</v>
      </c>
      <c r="B179" s="34">
        <f>IFERROR(__xludf.DUMMYFUNCTION("""COMPUTED_VALUE"""),5.0)</f>
        <v>5</v>
      </c>
      <c r="C179" s="32">
        <f>IFERROR(__xludf.DUMMYFUNCTION("""COMPUTED_VALUE"""),50.0)</f>
        <v>50</v>
      </c>
      <c r="D179" s="32"/>
      <c r="E179" s="32" t="str">
        <f>IFERROR(__xludf.DUMMYFUNCTION("""COMPUTED_VALUE"""),"X2 additional earth damage and X4 defense for self and allies.")</f>
        <v>X2 additional earth damage and X4 defense for self and allies.</v>
      </c>
      <c r="F179" s="32" t="str">
        <f>IFERROR(__xludf.DUMMYFUNCTION("""COMPUTED_VALUE"""),"Will Succeed")</f>
        <v>Will Succeed</v>
      </c>
      <c r="G179" s="32"/>
      <c r="H179" s="32" t="str">
        <f>IFERROR(__xludf.DUMMYFUNCTION("""COMPUTED_VALUE"""),"Earth")</f>
        <v>Earth</v>
      </c>
      <c r="I179" s="32" t="str">
        <f>IFERROR(__xludf.DUMMYFUNCTION("""COMPUTED_VALUE"""),"Player")</f>
        <v>Player</v>
      </c>
      <c r="J179" s="32" t="b">
        <f>IFERROR(__xludf.DUMMYFUNCTION("""COMPUTED_VALUE"""),FALSE)</f>
        <v>0</v>
      </c>
      <c r="K179" s="32"/>
      <c r="L179" s="32" t="b">
        <f>IFERROR(__xludf.DUMMYFUNCTION("""COMPUTED_VALUE"""),FALSE)</f>
        <v>0</v>
      </c>
      <c r="M179" s="32" t="b">
        <f>IFERROR(__xludf.DUMMYFUNCTION("""COMPUTED_VALUE"""),FALSE)</f>
        <v>0</v>
      </c>
      <c r="N179" s="32"/>
    </row>
    <row r="180">
      <c r="A180" s="32" t="str">
        <f>IFERROR(__xludf.DUMMYFUNCTION("""COMPUTED_VALUE"""),"Mud Sling")</f>
        <v>Mud Sling</v>
      </c>
      <c r="B180" s="34">
        <f>IFERROR(__xludf.DUMMYFUNCTION("""COMPUTED_VALUE"""),1.0)</f>
        <v>1</v>
      </c>
      <c r="C180" s="32">
        <f>IFERROR(__xludf.DUMMYFUNCTION("""COMPUTED_VALUE"""),10.0)</f>
        <v>10</v>
      </c>
      <c r="D180" s="32"/>
      <c r="E180" s="32" t="str">
        <f>IFERROR(__xludf.DUMMYFUNCTION("""COMPUTED_VALUE"""),"50% chance target skips next turn and inflicts them with slowness 3.")</f>
        <v>50% chance target skips next turn and inflicts them with slowness 3.</v>
      </c>
      <c r="F180" s="32" t="str">
        <f>IFERROR(__xludf.DUMMYFUNCTION("""COMPUTED_VALUE"""),"Fail/Succeed")</f>
        <v>Fail/Succeed</v>
      </c>
      <c r="G180" s="32"/>
      <c r="H180" s="32" t="str">
        <f>IFERROR(__xludf.DUMMYFUNCTION("""COMPUTED_VALUE"""),"Earth")</f>
        <v>Earth</v>
      </c>
      <c r="I180" s="32" t="str">
        <f>IFERROR(__xludf.DUMMYFUNCTION("""COMPUTED_VALUE"""),"Player")</f>
        <v>Player</v>
      </c>
      <c r="J180" s="32" t="b">
        <f>IFERROR(__xludf.DUMMYFUNCTION("""COMPUTED_VALUE"""),FALSE)</f>
        <v>0</v>
      </c>
      <c r="K180" s="32"/>
      <c r="L180" s="32" t="b">
        <f>IFERROR(__xludf.DUMMYFUNCTION("""COMPUTED_VALUE"""),FALSE)</f>
        <v>0</v>
      </c>
      <c r="M180" s="32" t="b">
        <f>IFERROR(__xludf.DUMMYFUNCTION("""COMPUTED_VALUE"""),FALSE)</f>
        <v>0</v>
      </c>
      <c r="N180" s="32"/>
    </row>
    <row r="181">
      <c r="A181" s="32" t="str">
        <f>IFERROR(__xludf.DUMMYFUNCTION("""COMPUTED_VALUE"""),"Mud Wave")</f>
        <v>Mud Wave</v>
      </c>
      <c r="B181" s="34">
        <f>IFERROR(__xludf.DUMMYFUNCTION("""COMPUTED_VALUE"""),9.0)</f>
        <v>9</v>
      </c>
      <c r="C181" s="32">
        <f>IFERROR(__xludf.DUMMYFUNCTION("""COMPUTED_VALUE"""),400.0)</f>
        <v>400</v>
      </c>
      <c r="D181" s="32"/>
      <c r="E181" s="32"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32" t="str">
        <f>IFERROR(__xludf.DUMMYFUNCTION("""COMPUTED_VALUE"""),"Fail/Succeed")</f>
        <v>Fail/Succeed</v>
      </c>
      <c r="G181" s="32" t="str">
        <f>IFERROR(__xludf.DUMMYFUNCTION("""COMPUTED_VALUE"""),"All")</f>
        <v>All</v>
      </c>
      <c r="H181" s="32" t="str">
        <f>IFERROR(__xludf.DUMMYFUNCTION("""COMPUTED_VALUE"""),"Earth")</f>
        <v>Earth</v>
      </c>
      <c r="I181" s="32" t="str">
        <f>IFERROR(__xludf.DUMMYFUNCTION("""COMPUTED_VALUE"""),"Player")</f>
        <v>Player</v>
      </c>
      <c r="J181" s="32" t="b">
        <f>IFERROR(__xludf.DUMMYFUNCTION("""COMPUTED_VALUE"""),FALSE)</f>
        <v>0</v>
      </c>
      <c r="K181" s="32"/>
      <c r="L181" s="32" t="b">
        <f>IFERROR(__xludf.DUMMYFUNCTION("""COMPUTED_VALUE"""),FALSE)</f>
        <v>0</v>
      </c>
      <c r="M181" s="32" t="b">
        <f>IFERROR(__xludf.DUMMYFUNCTION("""COMPUTED_VALUE"""),FALSE)</f>
        <v>0</v>
      </c>
      <c r="N181" s="32"/>
    </row>
    <row r="182">
      <c r="A182" s="32" t="str">
        <f>IFERROR(__xludf.DUMMYFUNCTION("""COMPUTED_VALUE"""),"Quicksand")</f>
        <v>Quicksand</v>
      </c>
      <c r="B182" s="34">
        <f>IFERROR(__xludf.DUMMYFUNCTION("""COMPUTED_VALUE"""),8.0)</f>
        <v>8</v>
      </c>
      <c r="C182" s="32" t="str">
        <f>IFERROR(__xludf.DUMMYFUNCTION("""COMPUTED_VALUE"""),"X*10")</f>
        <v>X*10</v>
      </c>
      <c r="D182" s="32"/>
      <c r="E182" s="32" t="str">
        <f>IFERROR(__xludf.DUMMYFUNCTION("""COMPUTED_VALUE"""),"Instantly kills all enemies. The % chance of instant death is XSP.")</f>
        <v>Instantly kills all enemies. The % chance of instant death is XSP.</v>
      </c>
      <c r="F182" s="32" t="str">
        <f>IFERROR(__xludf.DUMMYFUNCTION("""COMPUTED_VALUE"""),"Fail/Succeed")</f>
        <v>Fail/Succeed</v>
      </c>
      <c r="G182" s="32"/>
      <c r="H182" s="32" t="str">
        <f>IFERROR(__xludf.DUMMYFUNCTION("""COMPUTED_VALUE"""),"Earth")</f>
        <v>Earth</v>
      </c>
      <c r="I182" s="32" t="str">
        <f>IFERROR(__xludf.DUMMYFUNCTION("""COMPUTED_VALUE"""),"Player")</f>
        <v>Player</v>
      </c>
      <c r="J182" s="32" t="b">
        <f>IFERROR(__xludf.DUMMYFUNCTION("""COMPUTED_VALUE"""),FALSE)</f>
        <v>0</v>
      </c>
      <c r="K182" s="32"/>
      <c r="L182" s="32" t="b">
        <f>IFERROR(__xludf.DUMMYFUNCTION("""COMPUTED_VALUE"""),FALSE)</f>
        <v>0</v>
      </c>
      <c r="M182" s="32" t="b">
        <f>IFERROR(__xludf.DUMMYFUNCTION("""COMPUTED_VALUE"""),FALSE)</f>
        <v>0</v>
      </c>
      <c r="N182" s="32"/>
    </row>
    <row r="183">
      <c r="A183" s="32" t="str">
        <f>IFERROR(__xludf.DUMMYFUNCTION("""COMPUTED_VALUE"""),"Rock Cycle")</f>
        <v>Rock Cycle</v>
      </c>
      <c r="B183" s="34">
        <f>IFERROR(__xludf.DUMMYFUNCTION("""COMPUTED_VALUE"""),9.0)</f>
        <v>9</v>
      </c>
      <c r="C183" s="32">
        <f>IFERROR(__xludf.DUMMYFUNCTION("""COMPUTED_VALUE"""),300.0)</f>
        <v>300</v>
      </c>
      <c r="D183" s="32"/>
      <c r="E183" s="32" t="str">
        <f>IFERROR(__xludf.DUMMYFUNCTION("""COMPUTED_VALUE"""),"Become unaffected by status effects, spells and weapons for 3 rounds.")</f>
        <v>Become unaffected by status effects, spells and weapons for 3 rounds.</v>
      </c>
      <c r="F183" s="32" t="str">
        <f>IFERROR(__xludf.DUMMYFUNCTION("""COMPUTED_VALUE"""),"Fail/Succeed")</f>
        <v>Fail/Succeed</v>
      </c>
      <c r="G183" s="32"/>
      <c r="H183" s="32" t="str">
        <f>IFERROR(__xludf.DUMMYFUNCTION("""COMPUTED_VALUE"""),"Earth")</f>
        <v>Earth</v>
      </c>
      <c r="I183" s="32" t="str">
        <f>IFERROR(__xludf.DUMMYFUNCTION("""COMPUTED_VALUE"""),"Player")</f>
        <v>Player</v>
      </c>
      <c r="J183" s="32" t="b">
        <f>IFERROR(__xludf.DUMMYFUNCTION("""COMPUTED_VALUE"""),FALSE)</f>
        <v>0</v>
      </c>
      <c r="K183" s="32"/>
      <c r="L183" s="32" t="b">
        <f>IFERROR(__xludf.DUMMYFUNCTION("""COMPUTED_VALUE"""),FALSE)</f>
        <v>0</v>
      </c>
      <c r="M183" s="32" t="b">
        <f>IFERROR(__xludf.DUMMYFUNCTION("""COMPUTED_VALUE"""),FALSE)</f>
        <v>0</v>
      </c>
      <c r="N183" s="32"/>
    </row>
    <row r="184">
      <c r="A184" s="32" t="str">
        <f>IFERROR(__xludf.DUMMYFUNCTION("""COMPUTED_VALUE"""),"Rock Missiles")</f>
        <v>Rock Missiles</v>
      </c>
      <c r="B184" s="34">
        <f>IFERROR(__xludf.DUMMYFUNCTION("""COMPUTED_VALUE"""),9.0)</f>
        <v>9</v>
      </c>
      <c r="C184" s="32">
        <f>IFERROR(__xludf.DUMMYFUNCTION("""COMPUTED_VALUE"""),5000.0)</f>
        <v>5000</v>
      </c>
      <c r="D184" s="32"/>
      <c r="E184" s="32" t="str">
        <f>IFERROR(__xludf.DUMMYFUNCTION("""COMPUTED_VALUE"""),"10,000 earth damage to all enemies lowering their defense by 50,000.")</f>
        <v>10,000 earth damage to all enemies lowering their defense by 50,000.</v>
      </c>
      <c r="F184" s="32" t="str">
        <f>IFERROR(__xludf.DUMMYFUNCTION("""COMPUTED_VALUE"""),"Cannot Avoid")</f>
        <v>Cannot Avoid</v>
      </c>
      <c r="G184" s="32" t="str">
        <f>IFERROR(__xludf.DUMMYFUNCTION("""COMPUTED_VALUE"""),"All")</f>
        <v>All</v>
      </c>
      <c r="H184" s="32" t="str">
        <f>IFERROR(__xludf.DUMMYFUNCTION("""COMPUTED_VALUE"""),"Earth")</f>
        <v>Earth</v>
      </c>
      <c r="I184" s="32" t="str">
        <f>IFERROR(__xludf.DUMMYFUNCTION("""COMPUTED_VALUE"""),"Mob")</f>
        <v>Mob</v>
      </c>
      <c r="J184" s="32" t="b">
        <f>IFERROR(__xludf.DUMMYFUNCTION("""COMPUTED_VALUE"""),TRUE)</f>
        <v>1</v>
      </c>
      <c r="K184" s="32"/>
      <c r="L184" s="32" t="b">
        <f>IFERROR(__xludf.DUMMYFUNCTION("""COMPUTED_VALUE"""),FALSE)</f>
        <v>0</v>
      </c>
      <c r="M184" s="32" t="b">
        <f>IFERROR(__xludf.DUMMYFUNCTION("""COMPUTED_VALUE"""),FALSE)</f>
        <v>0</v>
      </c>
      <c r="N184" s="32"/>
    </row>
    <row r="185">
      <c r="A185" s="32" t="str">
        <f>IFERROR(__xludf.DUMMYFUNCTION("""COMPUTED_VALUE"""),"Sand Hole")</f>
        <v>Sand Hole</v>
      </c>
      <c r="B185" s="34">
        <f>IFERROR(__xludf.DUMMYFUNCTION("""COMPUTED_VALUE"""),7.0)</f>
        <v>7</v>
      </c>
      <c r="C185" s="32">
        <f>IFERROR(__xludf.DUMMYFUNCTION("""COMPUTED_VALUE"""),5000.0)</f>
        <v>5000</v>
      </c>
      <c r="D185" s="32"/>
      <c r="E185" s="32" t="str">
        <f>IFERROR(__xludf.DUMMYFUNCTION("""COMPUTED_VALUE"""),"50% chance of instant death to all enemies.")</f>
        <v>50% chance of instant death to all enemies.</v>
      </c>
      <c r="F185" s="32" t="str">
        <f>IFERROR(__xludf.DUMMYFUNCTION("""COMPUTED_VALUE"""),"Fail/Succeed")</f>
        <v>Fail/Succeed</v>
      </c>
      <c r="G185" s="32" t="str">
        <f>IFERROR(__xludf.DUMMYFUNCTION("""COMPUTED_VALUE"""),"All")</f>
        <v>All</v>
      </c>
      <c r="H185" s="32" t="str">
        <f>IFERROR(__xludf.DUMMYFUNCTION("""COMPUTED_VALUE"""),"Earth")</f>
        <v>Earth</v>
      </c>
      <c r="I185" s="32" t="str">
        <f>IFERROR(__xludf.DUMMYFUNCTION("""COMPUTED_VALUE"""),"Mob")</f>
        <v>Mob</v>
      </c>
      <c r="J185" s="32" t="b">
        <f>IFERROR(__xludf.DUMMYFUNCTION("""COMPUTED_VALUE"""),TRUE)</f>
        <v>1</v>
      </c>
      <c r="K185" s="32"/>
      <c r="L185" s="32" t="b">
        <f>IFERROR(__xludf.DUMMYFUNCTION("""COMPUTED_VALUE"""),FALSE)</f>
        <v>0</v>
      </c>
      <c r="M185" s="32" t="b">
        <f>IFERROR(__xludf.DUMMYFUNCTION("""COMPUTED_VALUE"""),FALSE)</f>
        <v>0</v>
      </c>
      <c r="N185" s="32"/>
    </row>
    <row r="186">
      <c r="A186" s="32" t="str">
        <f>IFERROR(__xludf.DUMMYFUNCTION("""COMPUTED_VALUE"""),"Sandstorm")</f>
        <v>Sandstorm</v>
      </c>
      <c r="B186" s="34">
        <f>IFERROR(__xludf.DUMMYFUNCTION("""COMPUTED_VALUE"""),9.0)</f>
        <v>9</v>
      </c>
      <c r="C186" s="32">
        <f>IFERROR(__xludf.DUMMYFUNCTION("""COMPUTED_VALUE"""),300.0)</f>
        <v>300</v>
      </c>
      <c r="D186" s="32"/>
      <c r="E186" s="32" t="str">
        <f>IFERROR(__xludf.DUMMYFUNCTION("""COMPUTED_VALUE"""),"20,000 Earth damage to all enemies, 25% chance of Blindness 3, and Slowness 3.")</f>
        <v>20,000 Earth damage to all enemies, 25% chance of Blindness 3, and Slowness 3.</v>
      </c>
      <c r="F186" s="32" t="str">
        <f>IFERROR(__xludf.DUMMYFUNCTION("""COMPUTED_VALUE"""),"Cannot Avoid")</f>
        <v>Cannot Avoid</v>
      </c>
      <c r="G186" s="32" t="str">
        <f>IFERROR(__xludf.DUMMYFUNCTION("""COMPUTED_VALUE"""),"All")</f>
        <v>All</v>
      </c>
      <c r="H186" s="32" t="str">
        <f>IFERROR(__xludf.DUMMYFUNCTION("""COMPUTED_VALUE"""),"Earth")</f>
        <v>Earth</v>
      </c>
      <c r="I186" s="32" t="str">
        <f>IFERROR(__xludf.DUMMYFUNCTION("""COMPUTED_VALUE"""),"Player")</f>
        <v>Player</v>
      </c>
      <c r="J186" s="32" t="b">
        <f>IFERROR(__xludf.DUMMYFUNCTION("""COMPUTED_VALUE"""),FALSE)</f>
        <v>0</v>
      </c>
      <c r="K186" s="32"/>
      <c r="L186" s="32" t="b">
        <f>IFERROR(__xludf.DUMMYFUNCTION("""COMPUTED_VALUE"""),FALSE)</f>
        <v>0</v>
      </c>
      <c r="M186" s="32" t="b">
        <f>IFERROR(__xludf.DUMMYFUNCTION("""COMPUTED_VALUE"""),FALSE)</f>
        <v>0</v>
      </c>
      <c r="N186" s="32"/>
    </row>
    <row r="187">
      <c r="A187" s="32" t="str">
        <f>IFERROR(__xludf.DUMMYFUNCTION("""COMPUTED_VALUE"""),"Searing Saphire Strike")</f>
        <v>Searing Saphire Strike</v>
      </c>
      <c r="B187" s="34">
        <f>IFERROR(__xludf.DUMMYFUNCTION("""COMPUTED_VALUE"""),0.0)</f>
        <v>0</v>
      </c>
      <c r="C187" s="32">
        <f>IFERROR(__xludf.DUMMYFUNCTION("""COMPUTED_VALUE"""),0.0)</f>
        <v>0</v>
      </c>
      <c r="D187" s="32"/>
      <c r="E187" s="32"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32" t="str">
        <f>IFERROR(__xludf.DUMMYFUNCTION("""COMPUTED_VALUE"""),"Natural/Cannot Avoid")</f>
        <v>Natural/Cannot Avoid</v>
      </c>
      <c r="G187" s="32" t="str">
        <f>IFERROR(__xludf.DUMMYFUNCTION("""COMPUTED_VALUE"""),"All")</f>
        <v>All</v>
      </c>
      <c r="H187" s="32" t="str">
        <f>IFERROR(__xludf.DUMMYFUNCTION("""COMPUTED_VALUE"""),"Earth")</f>
        <v>Earth</v>
      </c>
      <c r="I187" s="32" t="str">
        <f>IFERROR(__xludf.DUMMYFUNCTION("""COMPUTED_VALUE"""),"Mob")</f>
        <v>Mob</v>
      </c>
      <c r="J187" s="32" t="b">
        <f>IFERROR(__xludf.DUMMYFUNCTION("""COMPUTED_VALUE"""),TRUE)</f>
        <v>1</v>
      </c>
      <c r="K187" s="32"/>
      <c r="L187" s="32" t="b">
        <f>IFERROR(__xludf.DUMMYFUNCTION("""COMPUTED_VALUE"""),FALSE)</f>
        <v>0</v>
      </c>
      <c r="M187" s="32" t="b">
        <f>IFERROR(__xludf.DUMMYFUNCTION("""COMPUTED_VALUE"""),FALSE)</f>
        <v>0</v>
      </c>
      <c r="N187" s="32"/>
    </row>
    <row r="188">
      <c r="A188" s="32" t="str">
        <f>IFERROR(__xludf.DUMMYFUNCTION("""COMPUTED_VALUE"""),"Sling Stone")</f>
        <v>Sling Stone</v>
      </c>
      <c r="B188" s="34">
        <f>IFERROR(__xludf.DUMMYFUNCTION("""COMPUTED_VALUE"""),0.0)</f>
        <v>0</v>
      </c>
      <c r="C188" s="32">
        <f>IFERROR(__xludf.DUMMYFUNCTION("""COMPUTED_VALUE"""),0.0)</f>
        <v>0</v>
      </c>
      <c r="D188" s="32"/>
      <c r="E188" s="32" t="str">
        <f>IFERROR(__xludf.DUMMYFUNCTION("""COMPUTED_VALUE"""),"6000 earth damage. Stun 3.")</f>
        <v>6000 earth damage. Stun 3.</v>
      </c>
      <c r="F188" s="32" t="str">
        <f>IFERROR(__xludf.DUMMYFUNCTION("""COMPUTED_VALUE"""),"Natural/Hit Or Miss")</f>
        <v>Natural/Hit Or Miss</v>
      </c>
      <c r="G188" s="32">
        <f>IFERROR(__xludf.DUMMYFUNCTION("""COMPUTED_VALUE"""),1.0)</f>
        <v>1</v>
      </c>
      <c r="H188" s="32" t="str">
        <f>IFERROR(__xludf.DUMMYFUNCTION("""COMPUTED_VALUE"""),"Earth")</f>
        <v>Earth</v>
      </c>
      <c r="I188" s="32" t="str">
        <f>IFERROR(__xludf.DUMMYFUNCTION("""COMPUTED_VALUE"""),"Mob")</f>
        <v>Mob</v>
      </c>
      <c r="J188" s="32" t="b">
        <f>IFERROR(__xludf.DUMMYFUNCTION("""COMPUTED_VALUE"""),TRUE)</f>
        <v>1</v>
      </c>
      <c r="K188" s="32" t="str">
        <f>IFERROR(__xludf.DUMMYFUNCTION("""COMPUTED_VALUE"""),"Event Power")</f>
        <v>Event Power</v>
      </c>
      <c r="L188" s="32" t="b">
        <f>IFERROR(__xludf.DUMMYFUNCTION("""COMPUTED_VALUE"""),TRUE)</f>
        <v>1</v>
      </c>
      <c r="M188" s="32" t="b">
        <f>IFERROR(__xludf.DUMMYFUNCTION("""COMPUTED_VALUE"""),TRUE)</f>
        <v>1</v>
      </c>
      <c r="N188" s="32"/>
    </row>
    <row r="189">
      <c r="A189" s="32" t="str">
        <f>IFERROR(__xludf.DUMMYFUNCTION("""COMPUTED_VALUE"""),"Tremor")</f>
        <v>Tremor</v>
      </c>
      <c r="B189" s="34">
        <f>IFERROR(__xludf.DUMMYFUNCTION("""COMPUTED_VALUE"""),3.0)</f>
        <v>3</v>
      </c>
      <c r="C189" s="32" t="str">
        <f>IFERROR(__xludf.DUMMYFUNCTION("""COMPUTED_VALUE"""),"d12*20")</f>
        <v>d12*20</v>
      </c>
      <c r="D189" s="32"/>
      <c r="E189" s="32"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32" t="str">
        <f>IFERROR(__xludf.DUMMYFUNCTION("""COMPUTED_VALUE"""),"Cannot Avoid")</f>
        <v>Cannot Avoid</v>
      </c>
      <c r="G189" s="32"/>
      <c r="H189" s="32" t="str">
        <f>IFERROR(__xludf.DUMMYFUNCTION("""COMPUTED_VALUE"""),"Earth")</f>
        <v>Earth</v>
      </c>
      <c r="I189" s="32" t="str">
        <f>IFERROR(__xludf.DUMMYFUNCTION("""COMPUTED_VALUE"""),"Player")</f>
        <v>Player</v>
      </c>
      <c r="J189" s="32" t="b">
        <f>IFERROR(__xludf.DUMMYFUNCTION("""COMPUTED_VALUE"""),FALSE)</f>
        <v>0</v>
      </c>
      <c r="K189" s="32"/>
      <c r="L189" s="32" t="b">
        <f>IFERROR(__xludf.DUMMYFUNCTION("""COMPUTED_VALUE"""),FALSE)</f>
        <v>0</v>
      </c>
      <c r="M189" s="32" t="b">
        <f>IFERROR(__xludf.DUMMYFUNCTION("""COMPUTED_VALUE"""),FALSE)</f>
        <v>0</v>
      </c>
      <c r="N189" s="32"/>
    </row>
    <row r="190">
      <c r="A190" s="32" t="str">
        <f>IFERROR(__xludf.DUMMYFUNCTION("""COMPUTED_VALUE"""),"Call of Gaia")</f>
        <v>Call of Gaia</v>
      </c>
      <c r="B190" s="34">
        <f>IFERROR(__xludf.DUMMYFUNCTION("""COMPUTED_VALUE"""),1.0)</f>
        <v>1</v>
      </c>
      <c r="C190" s="32">
        <f>IFERROR(__xludf.DUMMYFUNCTION("""COMPUTED_VALUE"""),0.0)</f>
        <v>0</v>
      </c>
      <c r="D190" s="32"/>
      <c r="E190" s="32" t="str">
        <f>IFERROR(__xludf.DUMMYFUNCTION("""COMPUTED_VALUE"""),"Summon a d4 of Gaia's Paladins.")</f>
        <v>Summon a d4 of Gaia's Paladins.</v>
      </c>
      <c r="F190" s="32" t="str">
        <f>IFERROR(__xludf.DUMMYFUNCTION("""COMPUTED_VALUE"""),"Natural/Fail or Succeed")</f>
        <v>Natural/Fail or Succeed</v>
      </c>
      <c r="G190" s="32" t="str">
        <f>IFERROR(__xludf.DUMMYFUNCTION("""COMPUTED_VALUE"""),"Self")</f>
        <v>Self</v>
      </c>
      <c r="H190" s="32" t="str">
        <f>IFERROR(__xludf.DUMMYFUNCTION("""COMPUTED_VALUE"""),"Earth")</f>
        <v>Earth</v>
      </c>
      <c r="I190" s="32" t="str">
        <f>IFERROR(__xludf.DUMMYFUNCTION("""COMPUTED_VALUE"""),"Mob")</f>
        <v>Mob</v>
      </c>
      <c r="J190" s="32" t="b">
        <f>IFERROR(__xludf.DUMMYFUNCTION("""COMPUTED_VALUE"""),TRUE)</f>
        <v>1</v>
      </c>
      <c r="K190" s="32" t="str">
        <f>IFERROR(__xludf.DUMMYFUNCTION("""COMPUTED_VALUE"""),"mob power")</f>
        <v>mob power</v>
      </c>
      <c r="L190" s="32" t="b">
        <f>IFERROR(__xludf.DUMMYFUNCTION("""COMPUTED_VALUE"""),FALSE)</f>
        <v>0</v>
      </c>
      <c r="M190" s="32" t="b">
        <f>IFERROR(__xludf.DUMMYFUNCTION("""COMPUTED_VALUE"""),FALSE)</f>
        <v>0</v>
      </c>
      <c r="N190" s="32"/>
    </row>
    <row r="191">
      <c r="A191" s="32" t="str">
        <f>IFERROR(__xludf.DUMMYFUNCTION("""COMPUTED_VALUE"""),"Rock Shot")</f>
        <v>Rock Shot</v>
      </c>
      <c r="B191" s="34">
        <f>IFERROR(__xludf.DUMMYFUNCTION("""COMPUTED_VALUE"""),1.0)</f>
        <v>1</v>
      </c>
      <c r="C191" s="32" t="str">
        <f>IFERROR(__xludf.DUMMYFUNCTION("""COMPUTED_VALUE"""),"X")</f>
        <v>X</v>
      </c>
      <c r="D191" s="32"/>
      <c r="E191" s="32" t="str">
        <f>IFERROR(__xludf.DUMMYFUNCTION("""COMPUTED_VALUE"""),"Deals X*100 Earth damage to a single enemy where X is equal to SP spent.")</f>
        <v>Deals X*100 Earth damage to a single enemy where X is equal to SP spent.</v>
      </c>
      <c r="F191" s="32" t="str">
        <f>IFERROR(__xludf.DUMMYFUNCTION("""COMPUTED_VALUE"""),"Hit/Miss")</f>
        <v>Hit/Miss</v>
      </c>
      <c r="G191" s="32">
        <f>IFERROR(__xludf.DUMMYFUNCTION("""COMPUTED_VALUE"""),1.0)</f>
        <v>1</v>
      </c>
      <c r="H191" s="32" t="str">
        <f>IFERROR(__xludf.DUMMYFUNCTION("""COMPUTED_VALUE"""),"Earth")</f>
        <v>Earth</v>
      </c>
      <c r="I191" s="32" t="str">
        <f>IFERROR(__xludf.DUMMYFUNCTION("""COMPUTED_VALUE"""),"Player")</f>
        <v>Player</v>
      </c>
      <c r="J191" s="32" t="b">
        <f>IFERROR(__xludf.DUMMYFUNCTION("""COMPUTED_VALUE"""),FALSE)</f>
        <v>0</v>
      </c>
      <c r="K191" s="32"/>
      <c r="L191" s="32" t="b">
        <f>IFERROR(__xludf.DUMMYFUNCTION("""COMPUTED_VALUE"""),FALSE)</f>
        <v>0</v>
      </c>
      <c r="M191" s="32" t="b">
        <f>IFERROR(__xludf.DUMMYFUNCTION("""COMPUTED_VALUE"""),FALSE)</f>
        <v>0</v>
      </c>
      <c r="N191" s="32"/>
    </row>
    <row r="192">
      <c r="A192" s="32" t="str">
        <f>IFERROR(__xludf.DUMMYFUNCTION("""COMPUTED_VALUE"""),"Petrification")</f>
        <v>Petrification</v>
      </c>
      <c r="B192" s="34">
        <f>IFERROR(__xludf.DUMMYFUNCTION("""COMPUTED_VALUE"""),5.0)</f>
        <v>5</v>
      </c>
      <c r="C192" s="32" t="str">
        <f>IFERROR(__xludf.DUMMYFUNCTION("""COMPUTED_VALUE"""),"X")</f>
        <v>X</v>
      </c>
      <c r="D192" s="32"/>
      <c r="E192" s="32" t="str">
        <f>IFERROR(__xludf.DUMMYFUNCTION("""COMPUTED_VALUE"""),"Deals X*50 Earth damage per round for 3 rounds to a single target where X is equal to SP spent.")</f>
        <v>Deals X*50 Earth damage per round for 3 rounds to a single target where X is equal to SP spent.</v>
      </c>
      <c r="F192" s="32" t="str">
        <f>IFERROR(__xludf.DUMMYFUNCTION("""COMPUTED_VALUE"""),"Hit/Miss")</f>
        <v>Hit/Miss</v>
      </c>
      <c r="G192" s="32">
        <f>IFERROR(__xludf.DUMMYFUNCTION("""COMPUTED_VALUE"""),1.0)</f>
        <v>1</v>
      </c>
      <c r="H192" s="32" t="str">
        <f>IFERROR(__xludf.DUMMYFUNCTION("""COMPUTED_VALUE"""),"Earth")</f>
        <v>Earth</v>
      </c>
      <c r="I192" s="32" t="str">
        <f>IFERROR(__xludf.DUMMYFUNCTION("""COMPUTED_VALUE"""),"Player")</f>
        <v>Player</v>
      </c>
      <c r="J192" s="32" t="b">
        <f>IFERROR(__xludf.DUMMYFUNCTION("""COMPUTED_VALUE"""),FALSE)</f>
        <v>0</v>
      </c>
      <c r="K192" s="32"/>
      <c r="L192" s="32" t="b">
        <f>IFERROR(__xludf.DUMMYFUNCTION("""COMPUTED_VALUE"""),FALSE)</f>
        <v>0</v>
      </c>
      <c r="M192" s="32" t="b">
        <f>IFERROR(__xludf.DUMMYFUNCTION("""COMPUTED_VALUE"""),FALSE)</f>
        <v>0</v>
      </c>
      <c r="N192" s="32"/>
    </row>
    <row r="193">
      <c r="A193" s="32" t="str">
        <f>IFERROR(__xludf.DUMMYFUNCTION("""COMPUTED_VALUE"""),"Earthquake")</f>
        <v>Earthquake</v>
      </c>
      <c r="B193" s="34">
        <f>IFERROR(__xludf.DUMMYFUNCTION("""COMPUTED_VALUE"""),5.0)</f>
        <v>5</v>
      </c>
      <c r="C193" s="32" t="str">
        <f>IFERROR(__xludf.DUMMYFUNCTION("""COMPUTED_VALUE"""),"d20*40")</f>
        <v>d20*40</v>
      </c>
      <c r="D193" s="32"/>
      <c r="E193" s="32"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32" t="str">
        <f>IFERROR(__xludf.DUMMYFUNCTION("""COMPUTED_VALUE"""),"Cannot Avoid")</f>
        <v>Cannot Avoid</v>
      </c>
      <c r="G193" s="32" t="str">
        <f>IFERROR(__xludf.DUMMYFUNCTION("""COMPUTED_VALUE"""),"All")</f>
        <v>All</v>
      </c>
      <c r="H193" s="32" t="str">
        <f>IFERROR(__xludf.DUMMYFUNCTION("""COMPUTED_VALUE"""),"Earth")</f>
        <v>Earth</v>
      </c>
      <c r="I193" s="32" t="str">
        <f>IFERROR(__xludf.DUMMYFUNCTION("""COMPUTED_VALUE"""),"Player")</f>
        <v>Player</v>
      </c>
      <c r="J193" s="32" t="b">
        <f>IFERROR(__xludf.DUMMYFUNCTION("""COMPUTED_VALUE"""),FALSE)</f>
        <v>0</v>
      </c>
      <c r="K193" s="32"/>
      <c r="L193" s="32" t="b">
        <f>IFERROR(__xludf.DUMMYFUNCTION("""COMPUTED_VALUE"""),FALSE)</f>
        <v>0</v>
      </c>
      <c r="M193" s="32" t="b">
        <f>IFERROR(__xludf.DUMMYFUNCTION("""COMPUTED_VALUE"""),FALSE)</f>
        <v>0</v>
      </c>
      <c r="N193" s="32"/>
    </row>
    <row r="194">
      <c r="A194" s="32" t="str">
        <f>IFERROR(__xludf.DUMMYFUNCTION("""COMPUTED_VALUE"""),"Mass Petrification")</f>
        <v>Mass Petrification</v>
      </c>
      <c r="B194" s="34">
        <f>IFERROR(__xludf.DUMMYFUNCTION("""COMPUTED_VALUE"""),6.0)</f>
        <v>6</v>
      </c>
      <c r="C194" s="32" t="str">
        <f>IFERROR(__xludf.DUMMYFUNCTION("""COMPUTED_VALUE"""),"X")</f>
        <v>X</v>
      </c>
      <c r="D194" s="32"/>
      <c r="E194" s="32" t="str">
        <f>IFERROR(__xludf.DUMMYFUNCTION("""COMPUTED_VALUE"""),"Deals X*10 Earth damage per round to all enemies for 3 rounds where X is equal to SP spent.")</f>
        <v>Deals X*10 Earth damage per round to all enemies for 3 rounds where X is equal to SP spent.</v>
      </c>
      <c r="F194" s="32" t="str">
        <f>IFERROR(__xludf.DUMMYFUNCTION("""COMPUTED_VALUE"""),"Cannot Avoid")</f>
        <v>Cannot Avoid</v>
      </c>
      <c r="G194" s="32" t="str">
        <f>IFERROR(__xludf.DUMMYFUNCTION("""COMPUTED_VALUE"""),"All")</f>
        <v>All</v>
      </c>
      <c r="H194" s="32" t="str">
        <f>IFERROR(__xludf.DUMMYFUNCTION("""COMPUTED_VALUE"""),"Earth")</f>
        <v>Earth</v>
      </c>
      <c r="I194" s="32" t="str">
        <f>IFERROR(__xludf.DUMMYFUNCTION("""COMPUTED_VALUE"""),"Player")</f>
        <v>Player</v>
      </c>
      <c r="J194" s="32" t="b">
        <f>IFERROR(__xludf.DUMMYFUNCTION("""COMPUTED_VALUE"""),FALSE)</f>
        <v>0</v>
      </c>
      <c r="K194" s="32"/>
      <c r="L194" s="32" t="b">
        <f>IFERROR(__xludf.DUMMYFUNCTION("""COMPUTED_VALUE"""),FALSE)</f>
        <v>0</v>
      </c>
      <c r="M194" s="32" t="b">
        <f>IFERROR(__xludf.DUMMYFUNCTION("""COMPUTED_VALUE"""),FALSE)</f>
        <v>0</v>
      </c>
      <c r="N194" s="32"/>
    </row>
    <row r="195">
      <c r="A195" s="32" t="str">
        <f>IFERROR(__xludf.DUMMYFUNCTION("""COMPUTED_VALUE"""),"Breaking Earth")</f>
        <v>Breaking Earth</v>
      </c>
      <c r="B195" s="34">
        <f>IFERROR(__xludf.DUMMYFUNCTION("""COMPUTED_VALUE"""),6.0)</f>
        <v>6</v>
      </c>
      <c r="C195" s="32" t="str">
        <f>IFERROR(__xludf.DUMMYFUNCTION("""COMPUTED_VALUE"""),"X")</f>
        <v>X</v>
      </c>
      <c r="D195" s="32"/>
      <c r="E195" s="32" t="str">
        <f>IFERROR(__xludf.DUMMYFUNCTION("""COMPUTED_VALUE"""),"Deals X*25 Earth damage to all enemies where X is equal to SP spent.")</f>
        <v>Deals X*25 Earth damage to all enemies where X is equal to SP spent.</v>
      </c>
      <c r="F195" s="32" t="str">
        <f>IFERROR(__xludf.DUMMYFUNCTION("""COMPUTED_VALUE"""),"Cannot Avoid")</f>
        <v>Cannot Avoid</v>
      </c>
      <c r="G195" s="32" t="str">
        <f>IFERROR(__xludf.DUMMYFUNCTION("""COMPUTED_VALUE"""),"All")</f>
        <v>All</v>
      </c>
      <c r="H195" s="32" t="str">
        <f>IFERROR(__xludf.DUMMYFUNCTION("""COMPUTED_VALUE"""),"Earth")</f>
        <v>Earth</v>
      </c>
      <c r="I195" s="32" t="str">
        <f>IFERROR(__xludf.DUMMYFUNCTION("""COMPUTED_VALUE"""),"Player")</f>
        <v>Player</v>
      </c>
      <c r="J195" s="32" t="b">
        <f>IFERROR(__xludf.DUMMYFUNCTION("""COMPUTED_VALUE"""),FALSE)</f>
        <v>0</v>
      </c>
      <c r="K195" s="32"/>
      <c r="L195" s="32" t="b">
        <f>IFERROR(__xludf.DUMMYFUNCTION("""COMPUTED_VALUE"""),FALSE)</f>
        <v>0</v>
      </c>
      <c r="M195" s="32" t="b">
        <f>IFERROR(__xludf.DUMMYFUNCTION("""COMPUTED_VALUE"""),FALSE)</f>
        <v>0</v>
      </c>
      <c r="N195" s="32"/>
    </row>
    <row r="196">
      <c r="A196" s="32" t="str">
        <f>IFERROR(__xludf.DUMMYFUNCTION("""COMPUTED_VALUE"""),"Blazing Scratch")</f>
        <v>Blazing Scratch</v>
      </c>
      <c r="B196" s="34">
        <f>IFERROR(__xludf.DUMMYFUNCTION("""COMPUTED_VALUE"""),0.0)</f>
        <v>0</v>
      </c>
      <c r="C196" s="33">
        <f>IFERROR(__xludf.DUMMYFUNCTION("""COMPUTED_VALUE"""),0.0)</f>
        <v>0</v>
      </c>
      <c r="D196" s="32"/>
      <c r="E196" s="32" t="str">
        <f>IFERROR(__xludf.DUMMYFUNCTION("""COMPUTED_VALUE"""),"5000 fire damage to all enemies, -5 evasion to all enemies for 3 rounds.")</f>
        <v>5000 fire damage to all enemies, -5 evasion to all enemies for 3 rounds.</v>
      </c>
      <c r="F196" s="32" t="str">
        <f>IFERROR(__xludf.DUMMYFUNCTION("""COMPUTED_VALUE"""),"Natural/Cannot Avoid")</f>
        <v>Natural/Cannot Avoid</v>
      </c>
      <c r="G196" s="32" t="str">
        <f>IFERROR(__xludf.DUMMYFUNCTION("""COMPUTED_VALUE"""),"All")</f>
        <v>All</v>
      </c>
      <c r="H196" s="32" t="str">
        <f>IFERROR(__xludf.DUMMYFUNCTION("""COMPUTED_VALUE"""),"Fire")</f>
        <v>Fire</v>
      </c>
      <c r="I196" s="32" t="str">
        <f>IFERROR(__xludf.DUMMYFUNCTION("""COMPUTED_VALUE"""),"Mob")</f>
        <v>Mob</v>
      </c>
      <c r="J196" s="32" t="b">
        <f>IFERROR(__xludf.DUMMYFUNCTION("""COMPUTED_VALUE"""),TRUE)</f>
        <v>1</v>
      </c>
      <c r="K196" s="32"/>
      <c r="L196" s="32" t="b">
        <f>IFERROR(__xludf.DUMMYFUNCTION("""COMPUTED_VALUE"""),FALSE)</f>
        <v>0</v>
      </c>
      <c r="M196" s="32" t="b">
        <f>IFERROR(__xludf.DUMMYFUNCTION("""COMPUTED_VALUE"""),FALSE)</f>
        <v>0</v>
      </c>
      <c r="N196" s="32"/>
    </row>
    <row r="197">
      <c r="A197" s="32" t="str">
        <f>IFERROR(__xludf.DUMMYFUNCTION("""COMPUTED_VALUE"""),"Calm Fire")</f>
        <v>Calm Fire</v>
      </c>
      <c r="B197" s="34">
        <f>IFERROR(__xludf.DUMMYFUNCTION("""COMPUTED_VALUE"""),7.0)</f>
        <v>7</v>
      </c>
      <c r="C197" s="32">
        <f>IFERROR(__xludf.DUMMYFUNCTION("""COMPUTED_VALUE"""),100.0)</f>
        <v>100</v>
      </c>
      <c r="D197" s="32"/>
      <c r="E197" s="32" t="str">
        <f>IFERROR(__xludf.DUMMYFUNCTION("""COMPUTED_VALUE"""),"Negate X points of fire damage")</f>
        <v>Negate X points of fire damage</v>
      </c>
      <c r="F197" s="32" t="str">
        <f>IFERROR(__xludf.DUMMYFUNCTION("""COMPUTED_VALUE"""),"Fail/Succeed")</f>
        <v>Fail/Succeed</v>
      </c>
      <c r="G197" s="32"/>
      <c r="H197" s="32" t="str">
        <f>IFERROR(__xludf.DUMMYFUNCTION("""COMPUTED_VALUE"""),"Fire")</f>
        <v>Fire</v>
      </c>
      <c r="I197" s="32" t="str">
        <f>IFERROR(__xludf.DUMMYFUNCTION("""COMPUTED_VALUE"""),"Player")</f>
        <v>Player</v>
      </c>
      <c r="J197" s="32" t="b">
        <f>IFERROR(__xludf.DUMMYFUNCTION("""COMPUTED_VALUE"""),FALSE)</f>
        <v>0</v>
      </c>
      <c r="K197" s="32"/>
      <c r="L197" s="32" t="b">
        <f>IFERROR(__xludf.DUMMYFUNCTION("""COMPUTED_VALUE"""),FALSE)</f>
        <v>0</v>
      </c>
      <c r="M197" s="32" t="b">
        <f>IFERROR(__xludf.DUMMYFUNCTION("""COMPUTED_VALUE"""),FALSE)</f>
        <v>0</v>
      </c>
      <c r="N197" s="32"/>
    </row>
    <row r="198">
      <c r="A198" s="32" t="str">
        <f>IFERROR(__xludf.DUMMYFUNCTION("""COMPUTED_VALUE"""),"Curse Of Heatmore")</f>
        <v>Curse Of Heatmore</v>
      </c>
      <c r="B198" s="34">
        <f>IFERROR(__xludf.DUMMYFUNCTION("""COMPUTED_VALUE"""),0.0)</f>
        <v>0</v>
      </c>
      <c r="C198" s="33">
        <f>IFERROR(__xludf.DUMMYFUNCTION("""COMPUTED_VALUE"""),0.0)</f>
        <v>0</v>
      </c>
      <c r="D198" s="32"/>
      <c r="E198" s="32"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32" t="str">
        <f>IFERROR(__xludf.DUMMYFUNCTION("""COMPUTED_VALUE"""),"Fail or Succeed")</f>
        <v>Fail or Succeed</v>
      </c>
      <c r="G198" s="32">
        <f>IFERROR(__xludf.DUMMYFUNCTION("""COMPUTED_VALUE"""),1.0)</f>
        <v>1</v>
      </c>
      <c r="H198" s="32" t="str">
        <f>IFERROR(__xludf.DUMMYFUNCTION("""COMPUTED_VALUE"""),"Fire")</f>
        <v>Fire</v>
      </c>
      <c r="I198" s="32" t="str">
        <f>IFERROR(__xludf.DUMMYFUNCTION("""COMPUTED_VALUE"""),"Mob")</f>
        <v>Mob</v>
      </c>
      <c r="J198" s="32" t="b">
        <f>IFERROR(__xludf.DUMMYFUNCTION("""COMPUTED_VALUE"""),TRUE)</f>
        <v>1</v>
      </c>
      <c r="K198" s="32"/>
      <c r="L198" s="32" t="b">
        <f>IFERROR(__xludf.DUMMYFUNCTION("""COMPUTED_VALUE"""),FALSE)</f>
        <v>0</v>
      </c>
      <c r="M198" s="32" t="b">
        <f>IFERROR(__xludf.DUMMYFUNCTION("""COMPUTED_VALUE"""),FALSE)</f>
        <v>0</v>
      </c>
      <c r="N198" s="32"/>
    </row>
    <row r="199">
      <c r="A199" s="32" t="str">
        <f>IFERROR(__xludf.DUMMYFUNCTION("""COMPUTED_VALUE"""),"Divine Flame Cloak")</f>
        <v>Divine Flame Cloak</v>
      </c>
      <c r="B199" s="34">
        <f>IFERROR(__xludf.DUMMYFUNCTION("""COMPUTED_VALUE"""),9.0)</f>
        <v>9</v>
      </c>
      <c r="C199" s="33">
        <f>IFERROR(__xludf.DUMMYFUNCTION("""COMPUTED_VALUE"""),10000.0)</f>
        <v>10000</v>
      </c>
      <c r="D199" s="32"/>
      <c r="E199" s="32" t="str">
        <f>IFERROR(__xludf.DUMMYFUNCTION("""COMPUTED_VALUE"""),"Caster is protected from all spells for 3 rounds.")</f>
        <v>Caster is protected from all spells for 3 rounds.</v>
      </c>
      <c r="F199" s="32" t="str">
        <f>IFERROR(__xludf.DUMMYFUNCTION("""COMPUTED_VALUE"""),"Fail/Succeed")</f>
        <v>Fail/Succeed</v>
      </c>
      <c r="G199" s="32" t="str">
        <f>IFERROR(__xludf.DUMMYFUNCTION("""COMPUTED_VALUE"""),"Self")</f>
        <v>Self</v>
      </c>
      <c r="H199" s="32" t="str">
        <f>IFERROR(__xludf.DUMMYFUNCTION("""COMPUTED_VALUE"""),"Fire")</f>
        <v>Fire</v>
      </c>
      <c r="I199" s="32" t="str">
        <f>IFERROR(__xludf.DUMMYFUNCTION("""COMPUTED_VALUE"""),"Mob")</f>
        <v>Mob</v>
      </c>
      <c r="J199" s="32" t="b">
        <f>IFERROR(__xludf.DUMMYFUNCTION("""COMPUTED_VALUE"""),TRUE)</f>
        <v>1</v>
      </c>
      <c r="K199" s="32"/>
      <c r="L199" s="32" t="b">
        <f>IFERROR(__xludf.DUMMYFUNCTION("""COMPUTED_VALUE"""),FALSE)</f>
        <v>0</v>
      </c>
      <c r="M199" s="32" t="b">
        <f>IFERROR(__xludf.DUMMYFUNCTION("""COMPUTED_VALUE"""),FALSE)</f>
        <v>0</v>
      </c>
      <c r="N199" s="32"/>
    </row>
    <row r="200">
      <c r="A200" s="32" t="str">
        <f>IFERROR(__xludf.DUMMYFUNCTION("""COMPUTED_VALUE"""),"Fiery Acidic Spit")</f>
        <v>Fiery Acidic Spit</v>
      </c>
      <c r="B200" s="34">
        <f>IFERROR(__xludf.DUMMYFUNCTION("""COMPUTED_VALUE"""),1.0)</f>
        <v>1</v>
      </c>
      <c r="C200" s="33">
        <f>IFERROR(__xludf.DUMMYFUNCTION("""COMPUTED_VALUE"""),0.0)</f>
        <v>0</v>
      </c>
      <c r="D200" s="32"/>
      <c r="E200" s="32" t="str">
        <f>IFERROR(__xludf.DUMMYFUNCTION("""COMPUTED_VALUE"""),"20,000 Fire damage to all enemies, Poison and Burn 10,000 for 3 rounds to all enemies.")</f>
        <v>20,000 Fire damage to all enemies, Poison and Burn 10,000 for 3 rounds to all enemies.</v>
      </c>
      <c r="F200" s="32" t="str">
        <f>IFERROR(__xludf.DUMMYFUNCTION("""COMPUTED_VALUE"""),"Natural/Cannot Avoid")</f>
        <v>Natural/Cannot Avoid</v>
      </c>
      <c r="G200" s="32" t="str">
        <f>IFERROR(__xludf.DUMMYFUNCTION("""COMPUTED_VALUE"""),"All")</f>
        <v>All</v>
      </c>
      <c r="H200" s="32" t="str">
        <f>IFERROR(__xludf.DUMMYFUNCTION("""COMPUTED_VALUE"""),"Fire")</f>
        <v>Fire</v>
      </c>
      <c r="I200" s="32" t="str">
        <f>IFERROR(__xludf.DUMMYFUNCTION("""COMPUTED_VALUE"""),"Mob")</f>
        <v>Mob</v>
      </c>
      <c r="J200" s="32" t="b">
        <f>IFERROR(__xludf.DUMMYFUNCTION("""COMPUTED_VALUE"""),TRUE)</f>
        <v>1</v>
      </c>
      <c r="K200" s="32"/>
      <c r="L200" s="32" t="b">
        <f>IFERROR(__xludf.DUMMYFUNCTION("""COMPUTED_VALUE"""),FALSE)</f>
        <v>0</v>
      </c>
      <c r="M200" s="32" t="b">
        <f>IFERROR(__xludf.DUMMYFUNCTION("""COMPUTED_VALUE"""),FALSE)</f>
        <v>0</v>
      </c>
      <c r="N200" s="32"/>
    </row>
    <row r="201">
      <c r="A201" s="32" t="str">
        <f>IFERROR(__xludf.DUMMYFUNCTION("""COMPUTED_VALUE"""),"Flame Sanctuary")</f>
        <v>Flame Sanctuary</v>
      </c>
      <c r="B201" s="34">
        <f>IFERROR(__xludf.DUMMYFUNCTION("""COMPUTED_VALUE"""),9.0)</f>
        <v>9</v>
      </c>
      <c r="C201" s="32">
        <f>IFERROR(__xludf.DUMMYFUNCTION("""COMPUTED_VALUE"""),300.0)</f>
        <v>300</v>
      </c>
      <c r="D201" s="32"/>
      <c r="E201" s="32"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32" t="str">
        <f>IFERROR(__xludf.DUMMYFUNCTION("""COMPUTED_VALUE"""),"Fail/Succeed")</f>
        <v>Fail/Succeed</v>
      </c>
      <c r="G201" s="32"/>
      <c r="H201" s="32" t="str">
        <f>IFERROR(__xludf.DUMMYFUNCTION("""COMPUTED_VALUE"""),"Fire")</f>
        <v>Fire</v>
      </c>
      <c r="I201" s="32" t="str">
        <f>IFERROR(__xludf.DUMMYFUNCTION("""COMPUTED_VALUE"""),"Player")</f>
        <v>Player</v>
      </c>
      <c r="J201" s="32" t="b">
        <f>IFERROR(__xludf.DUMMYFUNCTION("""COMPUTED_VALUE"""),FALSE)</f>
        <v>0</v>
      </c>
      <c r="K201" s="32"/>
      <c r="L201" s="32" t="b">
        <f>IFERROR(__xludf.DUMMYFUNCTION("""COMPUTED_VALUE"""),FALSE)</f>
        <v>0</v>
      </c>
      <c r="M201" s="32" t="b">
        <f>IFERROR(__xludf.DUMMYFUNCTION("""COMPUTED_VALUE"""),FALSE)</f>
        <v>0</v>
      </c>
      <c r="N201" s="32"/>
    </row>
    <row r="202">
      <c r="A202" s="32" t="str">
        <f>IFERROR(__xludf.DUMMYFUNCTION("""COMPUTED_VALUE"""),"Flaming Bite")</f>
        <v>Flaming Bite</v>
      </c>
      <c r="B202" s="34">
        <f>IFERROR(__xludf.DUMMYFUNCTION("""COMPUTED_VALUE"""),1.0)</f>
        <v>1</v>
      </c>
      <c r="C202" s="32">
        <f>IFERROR(__xludf.DUMMYFUNCTION("""COMPUTED_VALUE"""),0.0)</f>
        <v>0</v>
      </c>
      <c r="D202" s="32"/>
      <c r="E202" s="32" t="str">
        <f>IFERROR(__xludf.DUMMYFUNCTION("""COMPUTED_VALUE"""),"Deal X*2 fire damage equal to the users attack, 50% chance to hit twice.")</f>
        <v>Deal X*2 fire damage equal to the users attack, 50% chance to hit twice.</v>
      </c>
      <c r="F202" s="32" t="str">
        <f>IFERROR(__xludf.DUMMYFUNCTION("""COMPUTED_VALUE"""),"Natural/Hit Or Miss")</f>
        <v>Natural/Hit Or Miss</v>
      </c>
      <c r="G202" s="32">
        <f>IFERROR(__xludf.DUMMYFUNCTION("""COMPUTED_VALUE"""),1.0)</f>
        <v>1</v>
      </c>
      <c r="H202" s="32" t="str">
        <f>IFERROR(__xludf.DUMMYFUNCTION("""COMPUTED_VALUE"""),"Fire")</f>
        <v>Fire</v>
      </c>
      <c r="I202" s="32" t="str">
        <f>IFERROR(__xludf.DUMMYFUNCTION("""COMPUTED_VALUE"""),"Mob")</f>
        <v>Mob</v>
      </c>
      <c r="J202" s="32" t="b">
        <f>IFERROR(__xludf.DUMMYFUNCTION("""COMPUTED_VALUE"""),TRUE)</f>
        <v>1</v>
      </c>
      <c r="K202" s="32"/>
      <c r="L202" s="32" t="b">
        <f>IFERROR(__xludf.DUMMYFUNCTION("""COMPUTED_VALUE"""),FALSE)</f>
        <v>0</v>
      </c>
      <c r="M202" s="32" t="b">
        <f>IFERROR(__xludf.DUMMYFUNCTION("""COMPUTED_VALUE"""),FALSE)</f>
        <v>0</v>
      </c>
      <c r="N202" s="32"/>
    </row>
    <row r="203">
      <c r="A203" s="32" t="str">
        <f>IFERROR(__xludf.DUMMYFUNCTION("""COMPUTED_VALUE"""),"Flaming Golem Smash")</f>
        <v>Flaming Golem Smash</v>
      </c>
      <c r="B203" s="34">
        <f>IFERROR(__xludf.DUMMYFUNCTION("""COMPUTED_VALUE"""),1.0)</f>
        <v>1</v>
      </c>
      <c r="C203" s="32">
        <f>IFERROR(__xludf.DUMMYFUNCTION("""COMPUTED_VALUE"""),0.0)</f>
        <v>0</v>
      </c>
      <c r="D203" s="32"/>
      <c r="E203" s="32" t="str">
        <f>IFERROR(__xludf.DUMMYFUNCTION("""COMPUTED_VALUE"""),"All enemies take 10000 damage and 10000 fire damage, 50% chance to hit twice.")</f>
        <v>All enemies take 10000 damage and 10000 fire damage, 50% chance to hit twice.</v>
      </c>
      <c r="F203" s="32" t="str">
        <f>IFERROR(__xludf.DUMMYFUNCTION("""COMPUTED_VALUE"""),"Natural/Cannot Avoid")</f>
        <v>Natural/Cannot Avoid</v>
      </c>
      <c r="G203" s="32" t="str">
        <f>IFERROR(__xludf.DUMMYFUNCTION("""COMPUTED_VALUE"""),"All")</f>
        <v>All</v>
      </c>
      <c r="H203" s="32" t="str">
        <f>IFERROR(__xludf.DUMMYFUNCTION("""COMPUTED_VALUE"""),"Fire")</f>
        <v>Fire</v>
      </c>
      <c r="I203" s="32" t="str">
        <f>IFERROR(__xludf.DUMMYFUNCTION("""COMPUTED_VALUE"""),"Mob")</f>
        <v>Mob</v>
      </c>
      <c r="J203" s="32" t="b">
        <f>IFERROR(__xludf.DUMMYFUNCTION("""COMPUTED_VALUE"""),TRUE)</f>
        <v>1</v>
      </c>
      <c r="K203" s="32"/>
      <c r="L203" s="32" t="b">
        <f>IFERROR(__xludf.DUMMYFUNCTION("""COMPUTED_VALUE"""),FALSE)</f>
        <v>0</v>
      </c>
      <c r="M203" s="32" t="b">
        <f>IFERROR(__xludf.DUMMYFUNCTION("""COMPUTED_VALUE"""),FALSE)</f>
        <v>0</v>
      </c>
      <c r="N203" s="32"/>
    </row>
    <row r="204">
      <c r="A204" s="32" t="str">
        <f>IFERROR(__xludf.DUMMYFUNCTION("""COMPUTED_VALUE"""),"Flaming Horns")</f>
        <v>Flaming Horns</v>
      </c>
      <c r="B204" s="34">
        <f>IFERROR(__xludf.DUMMYFUNCTION("""COMPUTED_VALUE"""),1.0)</f>
        <v>1</v>
      </c>
      <c r="C204" s="33">
        <f>IFERROR(__xludf.DUMMYFUNCTION("""COMPUTED_VALUE"""),0.0)</f>
        <v>0</v>
      </c>
      <c r="D204" s="32"/>
      <c r="E204" s="32" t="str">
        <f>IFERROR(__xludf.DUMMYFUNCTION("""COMPUTED_VALUE"""),"X damage and X Fire damage to 2 targets, where X is equal to the users attack.")</f>
        <v>X damage and X Fire damage to 2 targets, where X is equal to the users attack.</v>
      </c>
      <c r="F204" s="32" t="str">
        <f>IFERROR(__xludf.DUMMYFUNCTION("""COMPUTED_VALUE"""),"Natural/Hit or Miss")</f>
        <v>Natural/Hit or Miss</v>
      </c>
      <c r="G204" s="32">
        <f>IFERROR(__xludf.DUMMYFUNCTION("""COMPUTED_VALUE"""),2.0)</f>
        <v>2</v>
      </c>
      <c r="H204" s="32" t="str">
        <f>IFERROR(__xludf.DUMMYFUNCTION("""COMPUTED_VALUE"""),"Fire")</f>
        <v>Fire</v>
      </c>
      <c r="I204" s="32" t="str">
        <f>IFERROR(__xludf.DUMMYFUNCTION("""COMPUTED_VALUE"""),"Mob")</f>
        <v>Mob</v>
      </c>
      <c r="J204" s="32" t="b">
        <f>IFERROR(__xludf.DUMMYFUNCTION("""COMPUTED_VALUE"""),TRUE)</f>
        <v>1</v>
      </c>
      <c r="K204" s="32" t="str">
        <f>IFERROR(__xludf.DUMMYFUNCTION("""COMPUTED_VALUE"""),"Mob power")</f>
        <v>Mob power</v>
      </c>
      <c r="L204" s="32" t="b">
        <f>IFERROR(__xludf.DUMMYFUNCTION("""COMPUTED_VALUE"""),FALSE)</f>
        <v>0</v>
      </c>
      <c r="M204" s="32" t="b">
        <f>IFERROR(__xludf.DUMMYFUNCTION("""COMPUTED_VALUE"""),FALSE)</f>
        <v>0</v>
      </c>
      <c r="N204" s="32"/>
    </row>
    <row r="205">
      <c r="A205" s="32" t="str">
        <f>IFERROR(__xludf.DUMMYFUNCTION("""COMPUTED_VALUE"""),"Flaming Spider Senses")</f>
        <v>Flaming Spider Senses</v>
      </c>
      <c r="B205" s="34">
        <f>IFERROR(__xludf.DUMMYFUNCTION("""COMPUTED_VALUE"""),1.0)</f>
        <v>1</v>
      </c>
      <c r="C205" s="33">
        <f>IFERROR(__xludf.DUMMYFUNCTION("""COMPUTED_VALUE"""),0.0)</f>
        <v>0</v>
      </c>
      <c r="D205" s="32"/>
      <c r="E205" s="32" t="str">
        <f>IFERROR(__xludf.DUMMYFUNCTION("""COMPUTED_VALUE"""),"Doubles the users next attack roll. Doubles fire damage for user.")</f>
        <v>Doubles the users next attack roll. Doubles fire damage for user.</v>
      </c>
      <c r="F205" s="32" t="str">
        <f>IFERROR(__xludf.DUMMYFUNCTION("""COMPUTED_VALUE"""),"Natural/Fail Or Succeed")</f>
        <v>Natural/Fail Or Succeed</v>
      </c>
      <c r="G205" s="32" t="str">
        <f>IFERROR(__xludf.DUMMYFUNCTION("""COMPUTED_VALUE"""),"Self")</f>
        <v>Self</v>
      </c>
      <c r="H205" s="32" t="str">
        <f>IFERROR(__xludf.DUMMYFUNCTION("""COMPUTED_VALUE"""),"Fire")</f>
        <v>Fire</v>
      </c>
      <c r="I205" s="32" t="str">
        <f>IFERROR(__xludf.DUMMYFUNCTION("""COMPUTED_VALUE"""),"Mob")</f>
        <v>Mob</v>
      </c>
      <c r="J205" s="32" t="b">
        <f>IFERROR(__xludf.DUMMYFUNCTION("""COMPUTED_VALUE"""),TRUE)</f>
        <v>1</v>
      </c>
      <c r="K205" s="32"/>
      <c r="L205" s="32" t="b">
        <f>IFERROR(__xludf.DUMMYFUNCTION("""COMPUTED_VALUE"""),FALSE)</f>
        <v>0</v>
      </c>
      <c r="M205" s="32" t="b">
        <f>IFERROR(__xludf.DUMMYFUNCTION("""COMPUTED_VALUE"""),FALSE)</f>
        <v>0</v>
      </c>
      <c r="N205" s="32"/>
    </row>
    <row r="206">
      <c r="A206" s="32" t="str">
        <f>IFERROR(__xludf.DUMMYFUNCTION("""COMPUTED_VALUE"""),"Flaming Tail Smash")</f>
        <v>Flaming Tail Smash</v>
      </c>
      <c r="B206" s="34">
        <f>IFERROR(__xludf.DUMMYFUNCTION("""COMPUTED_VALUE"""),1.0)</f>
        <v>1</v>
      </c>
      <c r="C206" s="33">
        <f>IFERROR(__xludf.DUMMYFUNCTION("""COMPUTED_VALUE"""),0.0)</f>
        <v>0</v>
      </c>
      <c r="D206" s="32"/>
      <c r="E206" s="32" t="str">
        <f>IFERROR(__xludf.DUMMYFUNCTION("""COMPUTED_VALUE"""),"10,000 fire damage to one target, 75% chance to deal 20,000 more fire damage to another target.")</f>
        <v>10,000 fire damage to one target, 75% chance to deal 20,000 more fire damage to another target.</v>
      </c>
      <c r="F206" s="32" t="str">
        <f>IFERROR(__xludf.DUMMYFUNCTION("""COMPUTED_VALUE"""),"Natural/Hit or Miss")</f>
        <v>Natural/Hit or Miss</v>
      </c>
      <c r="G206" s="32" t="str">
        <f>IFERROR(__xludf.DUMMYFUNCTION("""COMPUTED_VALUE"""),"1 or 2")</f>
        <v>1 or 2</v>
      </c>
      <c r="H206" s="32" t="str">
        <f>IFERROR(__xludf.DUMMYFUNCTION("""COMPUTED_VALUE"""),"Fire")</f>
        <v>Fire</v>
      </c>
      <c r="I206" s="32" t="str">
        <f>IFERROR(__xludf.DUMMYFUNCTION("""COMPUTED_VALUE"""),"Mob")</f>
        <v>Mob</v>
      </c>
      <c r="J206" s="32" t="b">
        <f>IFERROR(__xludf.DUMMYFUNCTION("""COMPUTED_VALUE"""),TRUE)</f>
        <v>1</v>
      </c>
      <c r="K206" s="32"/>
      <c r="L206" s="32" t="b">
        <f>IFERROR(__xludf.DUMMYFUNCTION("""COMPUTED_VALUE"""),FALSE)</f>
        <v>0</v>
      </c>
      <c r="M206" s="32" t="b">
        <f>IFERROR(__xludf.DUMMYFUNCTION("""COMPUTED_VALUE"""),FALSE)</f>
        <v>0</v>
      </c>
      <c r="N206" s="32"/>
    </row>
    <row r="207">
      <c r="A207" s="32" t="str">
        <f>IFERROR(__xludf.DUMMYFUNCTION("""COMPUTED_VALUE"""),"Forgotten Fire")</f>
        <v>Forgotten Fire</v>
      </c>
      <c r="B207" s="34">
        <f>IFERROR(__xludf.DUMMYFUNCTION("""COMPUTED_VALUE"""),8.0)</f>
        <v>8</v>
      </c>
      <c r="C207" s="32">
        <f>IFERROR(__xludf.DUMMYFUNCTION("""COMPUTED_VALUE"""),200.0)</f>
        <v>200</v>
      </c>
      <c r="D207" s="32"/>
      <c r="E207" s="32" t="str">
        <f>IFERROR(__xludf.DUMMYFUNCTION("""COMPUTED_VALUE"""),"Any damage you take from the next attack is doubled. Any fire damage you deal from your next attack is X4.")</f>
        <v>Any damage you take from the next attack is doubled. Any fire damage you deal from your next attack is X4.</v>
      </c>
      <c r="F207" s="32" t="str">
        <f>IFERROR(__xludf.DUMMYFUNCTION("""COMPUTED_VALUE"""),"Will Succeed")</f>
        <v>Will Succeed</v>
      </c>
      <c r="G207" s="32"/>
      <c r="H207" s="32" t="str">
        <f>IFERROR(__xludf.DUMMYFUNCTION("""COMPUTED_VALUE"""),"Fire")</f>
        <v>Fire</v>
      </c>
      <c r="I207" s="32" t="str">
        <f>IFERROR(__xludf.DUMMYFUNCTION("""COMPUTED_VALUE"""),"Player")</f>
        <v>Player</v>
      </c>
      <c r="J207" s="32" t="b">
        <f>IFERROR(__xludf.DUMMYFUNCTION("""COMPUTED_VALUE"""),FALSE)</f>
        <v>0</v>
      </c>
      <c r="K207" s="32"/>
      <c r="L207" s="32" t="b">
        <f>IFERROR(__xludf.DUMMYFUNCTION("""COMPUTED_VALUE"""),FALSE)</f>
        <v>0</v>
      </c>
      <c r="M207" s="32" t="b">
        <f>IFERROR(__xludf.DUMMYFUNCTION("""COMPUTED_VALUE"""),FALSE)</f>
        <v>0</v>
      </c>
      <c r="N207" s="32"/>
    </row>
    <row r="208">
      <c r="A208" s="32" t="str">
        <f>IFERROR(__xludf.DUMMYFUNCTION("""COMPUTED_VALUE"""),"Ignite")</f>
        <v>Ignite</v>
      </c>
      <c r="B208" s="34">
        <f>IFERROR(__xludf.DUMMYFUNCTION("""COMPUTED_VALUE"""),4.0)</f>
        <v>4</v>
      </c>
      <c r="C208" s="32" t="str">
        <f>IFERROR(__xludf.DUMMYFUNCTION("""COMPUTED_VALUE"""),"X")</f>
        <v>X</v>
      </c>
      <c r="D208" s="32"/>
      <c r="E208" s="32" t="str">
        <f>IFERROR(__xludf.DUMMYFUNCTION("""COMPUTED_VALUE"""),"Target gains X*4 Fire damage and X*4 Fire resistance, can’t be used on self")</f>
        <v>Target gains X*4 Fire damage and X*4 Fire resistance, can’t be used on self</v>
      </c>
      <c r="F208" s="32" t="str">
        <f>IFERROR(__xludf.DUMMYFUNCTION("""COMPUTED_VALUE"""),"Will Succeed")</f>
        <v>Will Succeed</v>
      </c>
      <c r="G208" s="32"/>
      <c r="H208" s="32" t="str">
        <f>IFERROR(__xludf.DUMMYFUNCTION("""COMPUTED_VALUE"""),"Fire")</f>
        <v>Fire</v>
      </c>
      <c r="I208" s="32" t="str">
        <f>IFERROR(__xludf.DUMMYFUNCTION("""COMPUTED_VALUE"""),"Player")</f>
        <v>Player</v>
      </c>
      <c r="J208" s="32" t="b">
        <f>IFERROR(__xludf.DUMMYFUNCTION("""COMPUTED_VALUE"""),FALSE)</f>
        <v>0</v>
      </c>
      <c r="K208" s="32"/>
      <c r="L208" s="32" t="b">
        <f>IFERROR(__xludf.DUMMYFUNCTION("""COMPUTED_VALUE"""),FALSE)</f>
        <v>0</v>
      </c>
      <c r="M208" s="32" t="b">
        <f>IFERROR(__xludf.DUMMYFUNCTION("""COMPUTED_VALUE"""),FALSE)</f>
        <v>0</v>
      </c>
      <c r="N208" s="32"/>
    </row>
    <row r="209">
      <c r="A209" s="32" t="str">
        <f>IFERROR(__xludf.DUMMYFUNCTION("""COMPUTED_VALUE"""),"Last Resort")</f>
        <v>Last Resort</v>
      </c>
      <c r="B209" s="34">
        <f>IFERROR(__xludf.DUMMYFUNCTION("""COMPUTED_VALUE"""),8.0)</f>
        <v>8</v>
      </c>
      <c r="C209" s="32"/>
      <c r="D209" s="32" t="str">
        <f>IFERROR(__xludf.DUMMYFUNCTION("""COMPUTED_VALUE"""),"X")</f>
        <v>X</v>
      </c>
      <c r="E209" s="32" t="str">
        <f>IFERROR(__xludf.DUMMYFUNCTION("""COMPUTED_VALUE"""),"You die and every enemy takes X*4 Fire Damage. X is equal to your current HP.")</f>
        <v>You die and every enemy takes X*4 Fire Damage. X is equal to your current HP.</v>
      </c>
      <c r="F209" s="32" t="str">
        <f>IFERROR(__xludf.DUMMYFUNCTION("""COMPUTED_VALUE"""),"Will Succeed")</f>
        <v>Will Succeed</v>
      </c>
      <c r="G209" s="32"/>
      <c r="H209" s="32" t="str">
        <f>IFERROR(__xludf.DUMMYFUNCTION("""COMPUTED_VALUE"""),"Fire")</f>
        <v>Fire</v>
      </c>
      <c r="I209" s="32" t="str">
        <f>IFERROR(__xludf.DUMMYFUNCTION("""COMPUTED_VALUE"""),"Player")</f>
        <v>Player</v>
      </c>
      <c r="J209" s="32" t="b">
        <f>IFERROR(__xludf.DUMMYFUNCTION("""COMPUTED_VALUE"""),FALSE)</f>
        <v>0</v>
      </c>
      <c r="K209" s="32"/>
      <c r="L209" s="32" t="b">
        <f>IFERROR(__xludf.DUMMYFUNCTION("""COMPUTED_VALUE"""),FALSE)</f>
        <v>0</v>
      </c>
      <c r="M209" s="32" t="b">
        <f>IFERROR(__xludf.DUMMYFUNCTION("""COMPUTED_VALUE"""),FALSE)</f>
        <v>0</v>
      </c>
      <c r="N209" s="32"/>
    </row>
    <row r="210">
      <c r="A210" s="32" t="str">
        <f>IFERROR(__xludf.DUMMYFUNCTION("""COMPUTED_VALUE"""),"Lesser Nova")</f>
        <v>Lesser Nova</v>
      </c>
      <c r="B210" s="34">
        <f>IFERROR(__xludf.DUMMYFUNCTION("""COMPUTED_VALUE"""),3.0)</f>
        <v>3</v>
      </c>
      <c r="C210" s="32" t="str">
        <f>IFERROR(__xludf.DUMMYFUNCTION("""COMPUTED_VALUE"""),"X")</f>
        <v>X</v>
      </c>
      <c r="D210" s="32"/>
      <c r="E210" s="32" t="str">
        <f>IFERROR(__xludf.DUMMYFUNCTION("""COMPUTED_VALUE"""),"X*25 Fire damage where X equals sp spent.")</f>
        <v>X*25 Fire damage where X equals sp spent.</v>
      </c>
      <c r="F210" s="32" t="str">
        <f>IFERROR(__xludf.DUMMYFUNCTION("""COMPUTED_VALUE"""),"Fail/Succeed")</f>
        <v>Fail/Succeed</v>
      </c>
      <c r="G210" s="32"/>
      <c r="H210" s="32" t="str">
        <f>IFERROR(__xludf.DUMMYFUNCTION("""COMPUTED_VALUE"""),"Fire")</f>
        <v>Fire</v>
      </c>
      <c r="I210" s="32" t="str">
        <f>IFERROR(__xludf.DUMMYFUNCTION("""COMPUTED_VALUE"""),"Player")</f>
        <v>Player</v>
      </c>
      <c r="J210" s="32" t="b">
        <f>IFERROR(__xludf.DUMMYFUNCTION("""COMPUTED_VALUE"""),FALSE)</f>
        <v>0</v>
      </c>
      <c r="K210" s="32"/>
      <c r="L210" s="32" t="b">
        <f>IFERROR(__xludf.DUMMYFUNCTION("""COMPUTED_VALUE"""),FALSE)</f>
        <v>0</v>
      </c>
      <c r="M210" s="32" t="b">
        <f>IFERROR(__xludf.DUMMYFUNCTION("""COMPUTED_VALUE"""),FALSE)</f>
        <v>0</v>
      </c>
      <c r="N210" s="32"/>
    </row>
    <row r="211">
      <c r="A211" s="32" t="str">
        <f>IFERROR(__xludf.DUMMYFUNCTION("""COMPUTED_VALUE"""),"Roar Of Heatmore")</f>
        <v>Roar Of Heatmore</v>
      </c>
      <c r="B211" s="34">
        <f>IFERROR(__xludf.DUMMYFUNCTION("""COMPUTED_VALUE"""),1.0)</f>
        <v>1</v>
      </c>
      <c r="C211" s="33">
        <f>IFERROR(__xludf.DUMMYFUNCTION("""COMPUTED_VALUE"""),0.0)</f>
        <v>0</v>
      </c>
      <c r="D211" s="32"/>
      <c r="E211" s="32" t="str">
        <f>IFERROR(__xludf.DUMMYFUNCTION("""COMPUTED_VALUE"""),"Lowers all enemies' evasion and mobility by 5, and causes Stun 3.")</f>
        <v>Lowers all enemies' evasion and mobility by 5, and causes Stun 3.</v>
      </c>
      <c r="F211" s="32" t="str">
        <f>IFERROR(__xludf.DUMMYFUNCTION("""COMPUTED_VALUE"""),"Natural/Fail Or Succeed")</f>
        <v>Natural/Fail Or Succeed</v>
      </c>
      <c r="G211" s="32" t="str">
        <f>IFERROR(__xludf.DUMMYFUNCTION("""COMPUTED_VALUE"""),"All")</f>
        <v>All</v>
      </c>
      <c r="H211" s="32" t="str">
        <f>IFERROR(__xludf.DUMMYFUNCTION("""COMPUTED_VALUE"""),"Fire")</f>
        <v>Fire</v>
      </c>
      <c r="I211" s="32" t="str">
        <f>IFERROR(__xludf.DUMMYFUNCTION("""COMPUTED_VALUE"""),"Mob")</f>
        <v>Mob</v>
      </c>
      <c r="J211" s="32" t="b">
        <f>IFERROR(__xludf.DUMMYFUNCTION("""COMPUTED_VALUE"""),TRUE)</f>
        <v>1</v>
      </c>
      <c r="K211" s="32" t="str">
        <f>IFERROR(__xludf.DUMMYFUNCTION("""COMPUTED_VALUE"""),"Cannot be obtained by players.")</f>
        <v>Cannot be obtained by players.</v>
      </c>
      <c r="L211" s="32" t="b">
        <f>IFERROR(__xludf.DUMMYFUNCTION("""COMPUTED_VALUE"""),FALSE)</f>
        <v>0</v>
      </c>
      <c r="M211" s="32" t="b">
        <f>IFERROR(__xludf.DUMMYFUNCTION("""COMPUTED_VALUE"""),FALSE)</f>
        <v>0</v>
      </c>
      <c r="N211" s="32"/>
    </row>
    <row r="212">
      <c r="A212" s="32" t="str">
        <f>IFERROR(__xludf.DUMMYFUNCTION("""COMPUTED_VALUE"""),"Royal Golem Flamequake")</f>
        <v>Royal Golem Flamequake</v>
      </c>
      <c r="B212" s="34">
        <f>IFERROR(__xludf.DUMMYFUNCTION("""COMPUTED_VALUE"""),9.0)</f>
        <v>9</v>
      </c>
      <c r="C212" s="33">
        <f>IFERROR(__xludf.DUMMYFUNCTION("""COMPUTED_VALUE"""),10000.0)</f>
        <v>10000</v>
      </c>
      <c r="D212" s="32"/>
      <c r="E212" s="32" t="str">
        <f>IFERROR(__xludf.DUMMYFUNCTION("""COMPUTED_VALUE"""),"20,000 fire damage to all enemies. X4 defense for self until the end of your next turn.")</f>
        <v>20,000 fire damage to all enemies. X4 defense for self until the end of your next turn.</v>
      </c>
      <c r="F212" s="32" t="str">
        <f>IFERROR(__xludf.DUMMYFUNCTION("""COMPUTED_VALUE"""),"Cannot Avoid")</f>
        <v>Cannot Avoid</v>
      </c>
      <c r="G212" s="32" t="str">
        <f>IFERROR(__xludf.DUMMYFUNCTION("""COMPUTED_VALUE"""),"All")</f>
        <v>All</v>
      </c>
      <c r="H212" s="32" t="str">
        <f>IFERROR(__xludf.DUMMYFUNCTION("""COMPUTED_VALUE"""),"Fire")</f>
        <v>Fire</v>
      </c>
      <c r="I212" s="32" t="str">
        <f>IFERROR(__xludf.DUMMYFUNCTION("""COMPUTED_VALUE"""),"Mob")</f>
        <v>Mob</v>
      </c>
      <c r="J212" s="32" t="b">
        <f>IFERROR(__xludf.DUMMYFUNCTION("""COMPUTED_VALUE"""),TRUE)</f>
        <v>1</v>
      </c>
      <c r="K212" s="32"/>
      <c r="L212" s="32" t="b">
        <f>IFERROR(__xludf.DUMMYFUNCTION("""COMPUTED_VALUE"""),FALSE)</f>
        <v>0</v>
      </c>
      <c r="M212" s="32" t="b">
        <f>IFERROR(__xludf.DUMMYFUNCTION("""COMPUTED_VALUE"""),FALSE)</f>
        <v>0</v>
      </c>
      <c r="N212" s="32"/>
    </row>
    <row r="213">
      <c r="A213" s="32" t="str">
        <f>IFERROR(__xludf.DUMMYFUNCTION("""COMPUTED_VALUE"""),"Sacred Flame Peck")</f>
        <v>Sacred Flame Peck</v>
      </c>
      <c r="B213" s="34">
        <f>IFERROR(__xludf.DUMMYFUNCTION("""COMPUTED_VALUE"""),1.0)</f>
        <v>1</v>
      </c>
      <c r="C213" s="33">
        <f>IFERROR(__xludf.DUMMYFUNCTION("""COMPUTED_VALUE"""),0.0)</f>
        <v>0</v>
      </c>
      <c r="D213" s="32"/>
      <c r="E213" s="32" t="str">
        <f>IFERROR(__xludf.DUMMYFUNCTION("""COMPUTED_VALUE"""),"10000 damage +10000 fire damage.")</f>
        <v>10000 damage +10000 fire damage.</v>
      </c>
      <c r="F213" s="32" t="str">
        <f>IFERROR(__xludf.DUMMYFUNCTION("""COMPUTED_VALUE"""),"Natural/Hit Or Miss")</f>
        <v>Natural/Hit Or Miss</v>
      </c>
      <c r="G213" s="32">
        <f>IFERROR(__xludf.DUMMYFUNCTION("""COMPUTED_VALUE"""),1.0)</f>
        <v>1</v>
      </c>
      <c r="H213" s="32" t="str">
        <f>IFERROR(__xludf.DUMMYFUNCTION("""COMPUTED_VALUE"""),"Fire")</f>
        <v>Fire</v>
      </c>
      <c r="I213" s="32" t="str">
        <f>IFERROR(__xludf.DUMMYFUNCTION("""COMPUTED_VALUE"""),"Mob")</f>
        <v>Mob</v>
      </c>
      <c r="J213" s="32" t="b">
        <f>IFERROR(__xludf.DUMMYFUNCTION("""COMPUTED_VALUE"""),TRUE)</f>
        <v>1</v>
      </c>
      <c r="K213" s="32"/>
      <c r="L213" s="32" t="b">
        <f>IFERROR(__xludf.DUMMYFUNCTION("""COMPUTED_VALUE"""),FALSE)</f>
        <v>0</v>
      </c>
      <c r="M213" s="32" t="b">
        <f>IFERROR(__xludf.DUMMYFUNCTION("""COMPUTED_VALUE"""),FALSE)</f>
        <v>0</v>
      </c>
      <c r="N213" s="32"/>
    </row>
    <row r="214">
      <c r="A214" s="32" t="str">
        <f>IFERROR(__xludf.DUMMYFUNCTION("""COMPUTED_VALUE"""),"Screech of the Ostrich")</f>
        <v>Screech of the Ostrich</v>
      </c>
      <c r="B214" s="34">
        <f>IFERROR(__xludf.DUMMYFUNCTION("""COMPUTED_VALUE"""),1.0)</f>
        <v>1</v>
      </c>
      <c r="C214" s="33">
        <f>IFERROR(__xludf.DUMMYFUNCTION("""COMPUTED_VALUE"""),0.0)</f>
        <v>0</v>
      </c>
      <c r="D214" s="32"/>
      <c r="E214" s="32" t="str">
        <f>IFERROR(__xludf.DUMMYFUNCTION("""COMPUTED_VALUE"""),"Calls 1 Ancient Flame Ostrich to battle. Has a 50% Chance to call 2 of them.")</f>
        <v>Calls 1 Ancient Flame Ostrich to battle. Has a 50% Chance to call 2 of them.</v>
      </c>
      <c r="F214" s="32" t="str">
        <f>IFERROR(__xludf.DUMMYFUNCTION("""COMPUTED_VALUE"""),"Natural/Fail Or Succeed")</f>
        <v>Natural/Fail Or Succeed</v>
      </c>
      <c r="G214" s="32" t="str">
        <f>IFERROR(__xludf.DUMMYFUNCTION("""COMPUTED_VALUE"""),"Self")</f>
        <v>Self</v>
      </c>
      <c r="H214" s="32" t="str">
        <f>IFERROR(__xludf.DUMMYFUNCTION("""COMPUTED_VALUE"""),"Fire")</f>
        <v>Fire</v>
      </c>
      <c r="I214" s="32" t="str">
        <f>IFERROR(__xludf.DUMMYFUNCTION("""COMPUTED_VALUE"""),"Mob")</f>
        <v>Mob</v>
      </c>
      <c r="J214" s="32" t="b">
        <f>IFERROR(__xludf.DUMMYFUNCTION("""COMPUTED_VALUE"""),TRUE)</f>
        <v>1</v>
      </c>
      <c r="K214" s="32"/>
      <c r="L214" s="32" t="b">
        <f>IFERROR(__xludf.DUMMYFUNCTION("""COMPUTED_VALUE"""),FALSE)</f>
        <v>0</v>
      </c>
      <c r="M214" s="32" t="b">
        <f>IFERROR(__xludf.DUMMYFUNCTION("""COMPUTED_VALUE"""),FALSE)</f>
        <v>0</v>
      </c>
      <c r="N214" s="32"/>
    </row>
    <row r="215">
      <c r="A215" s="32" t="str">
        <f>IFERROR(__xludf.DUMMYFUNCTION("""COMPUTED_VALUE"""),"Solar Storm")</f>
        <v>Solar Storm</v>
      </c>
      <c r="B215" s="34">
        <f>IFERROR(__xludf.DUMMYFUNCTION("""COMPUTED_VALUE"""),9.0)</f>
        <v>9</v>
      </c>
      <c r="C215" s="32">
        <f>IFERROR(__xludf.DUMMYFUNCTION("""COMPUTED_VALUE"""),2000.0)</f>
        <v>2000</v>
      </c>
      <c r="D215" s="32"/>
      <c r="E215" s="32" t="str">
        <f>IFERROR(__xludf.DUMMYFUNCTION("""COMPUTED_VALUE"""),"20,000 burn to all enemies for 3 rounds. X2 fire damage for self and allies for 3 rounds.")</f>
        <v>20,000 burn to all enemies for 3 rounds. X2 fire damage for self and allies for 3 rounds.</v>
      </c>
      <c r="F215" s="32" t="str">
        <f>IFERROR(__xludf.DUMMYFUNCTION("""COMPUTED_VALUE"""),"Cannot Avoid")</f>
        <v>Cannot Avoid</v>
      </c>
      <c r="G215" s="32"/>
      <c r="H215" s="32" t="str">
        <f>IFERROR(__xludf.DUMMYFUNCTION("""COMPUTED_VALUE"""),"Fire")</f>
        <v>Fire</v>
      </c>
      <c r="I215" s="32" t="str">
        <f>IFERROR(__xludf.DUMMYFUNCTION("""COMPUTED_VALUE"""),"Player")</f>
        <v>Player</v>
      </c>
      <c r="J215" s="32" t="b">
        <f>IFERROR(__xludf.DUMMYFUNCTION("""COMPUTED_VALUE"""),FALSE)</f>
        <v>0</v>
      </c>
      <c r="K215" s="32"/>
      <c r="L215" s="32" t="b">
        <f>IFERROR(__xludf.DUMMYFUNCTION("""COMPUTED_VALUE"""),FALSE)</f>
        <v>0</v>
      </c>
      <c r="M215" s="32" t="b">
        <f>IFERROR(__xludf.DUMMYFUNCTION("""COMPUTED_VALUE"""),FALSE)</f>
        <v>0</v>
      </c>
      <c r="N215" s="32"/>
    </row>
    <row r="216">
      <c r="A216" s="32" t="str">
        <f>IFERROR(__xludf.DUMMYFUNCTION("""COMPUTED_VALUE"""),"Underling Stampede")</f>
        <v>Underling Stampede</v>
      </c>
      <c r="B216" s="34">
        <f>IFERROR(__xludf.DUMMYFUNCTION("""COMPUTED_VALUE"""),1.0)</f>
        <v>1</v>
      </c>
      <c r="C216" s="33">
        <f>IFERROR(__xludf.DUMMYFUNCTION("""COMPUTED_VALUE"""),0.0)</f>
        <v>0</v>
      </c>
      <c r="D216" s="32"/>
      <c r="E216" s="32" t="str">
        <f>IFERROR(__xludf.DUMMYFUNCTION("""COMPUTED_VALUE"""),"50% chance to call in 1 Heatmore Underling to battle.")</f>
        <v>50% chance to call in 1 Heatmore Underling to battle.</v>
      </c>
      <c r="F216" s="32" t="str">
        <f>IFERROR(__xludf.DUMMYFUNCTION("""COMPUTED_VALUE"""),"Natural/Fail Or Succeed")</f>
        <v>Natural/Fail Or Succeed</v>
      </c>
      <c r="G216" s="32" t="str">
        <f>IFERROR(__xludf.DUMMYFUNCTION("""COMPUTED_VALUE"""),"Self")</f>
        <v>Self</v>
      </c>
      <c r="H216" s="32" t="str">
        <f>IFERROR(__xludf.DUMMYFUNCTION("""COMPUTED_VALUE"""),"Fire")</f>
        <v>Fire</v>
      </c>
      <c r="I216" s="32" t="str">
        <f>IFERROR(__xludf.DUMMYFUNCTION("""COMPUTED_VALUE"""),"Mob")</f>
        <v>Mob</v>
      </c>
      <c r="J216" s="32" t="b">
        <f>IFERROR(__xludf.DUMMYFUNCTION("""COMPUTED_VALUE"""),TRUE)</f>
        <v>1</v>
      </c>
      <c r="K216" s="32"/>
      <c r="L216" s="32" t="b">
        <f>IFERROR(__xludf.DUMMYFUNCTION("""COMPUTED_VALUE"""),FALSE)</f>
        <v>0</v>
      </c>
      <c r="M216" s="32" t="b">
        <f>IFERROR(__xludf.DUMMYFUNCTION("""COMPUTED_VALUE"""),FALSE)</f>
        <v>0</v>
      </c>
      <c r="N216" s="32"/>
    </row>
    <row r="217">
      <c r="A217" s="32" t="str">
        <f>IFERROR(__xludf.DUMMYFUNCTION("""COMPUTED_VALUE"""),"Volcanic Claws")</f>
        <v>Volcanic Claws</v>
      </c>
      <c r="B217" s="34">
        <f>IFERROR(__xludf.DUMMYFUNCTION("""COMPUTED_VALUE"""),1.0)</f>
        <v>1</v>
      </c>
      <c r="C217" s="33">
        <f>IFERROR(__xludf.DUMMYFUNCTION("""COMPUTED_VALUE"""),0.0)</f>
        <v>0</v>
      </c>
      <c r="D217" s="32"/>
      <c r="E217" s="32" t="str">
        <f>IFERROR(__xludf.DUMMYFUNCTION("""COMPUTED_VALUE"""),"10,000 fire damage, Burn 5,000. cannot resist or be immune to.")</f>
        <v>10,000 fire damage, Burn 5,000. cannot resist or be immune to.</v>
      </c>
      <c r="F217" s="32" t="str">
        <f>IFERROR(__xludf.DUMMYFUNCTION("""COMPUTED_VALUE"""),"Natural/Hit Or Miss")</f>
        <v>Natural/Hit Or Miss</v>
      </c>
      <c r="G217" s="32">
        <f>IFERROR(__xludf.DUMMYFUNCTION("""COMPUTED_VALUE"""),1.0)</f>
        <v>1</v>
      </c>
      <c r="H217" s="32" t="str">
        <f>IFERROR(__xludf.DUMMYFUNCTION("""COMPUTED_VALUE"""),"Fire")</f>
        <v>Fire</v>
      </c>
      <c r="I217" s="32" t="str">
        <f>IFERROR(__xludf.DUMMYFUNCTION("""COMPUTED_VALUE"""),"Mob")</f>
        <v>Mob</v>
      </c>
      <c r="J217" s="32" t="b">
        <f>IFERROR(__xludf.DUMMYFUNCTION("""COMPUTED_VALUE"""),TRUE)</f>
        <v>1</v>
      </c>
      <c r="K217" s="32"/>
      <c r="L217" s="32" t="b">
        <f>IFERROR(__xludf.DUMMYFUNCTION("""COMPUTED_VALUE"""),FALSE)</f>
        <v>0</v>
      </c>
      <c r="M217" s="32" t="b">
        <f>IFERROR(__xludf.DUMMYFUNCTION("""COMPUTED_VALUE"""),FALSE)</f>
        <v>0</v>
      </c>
      <c r="N217" s="32"/>
    </row>
    <row r="218">
      <c r="A218" s="32" t="str">
        <f>IFERROR(__xludf.DUMMYFUNCTION("""COMPUTED_VALUE"""),"Volcanic Rain")</f>
        <v>Volcanic Rain</v>
      </c>
      <c r="B218" s="34">
        <f>IFERROR(__xludf.DUMMYFUNCTION("""COMPUTED_VALUE"""),9.0)</f>
        <v>9</v>
      </c>
      <c r="C218" s="33">
        <f>IFERROR(__xludf.DUMMYFUNCTION("""COMPUTED_VALUE"""),25000.0)</f>
        <v>25000</v>
      </c>
      <c r="D218" s="32"/>
      <c r="E218" s="32"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32" t="str">
        <f>IFERROR(__xludf.DUMMYFUNCTION("""COMPUTED_VALUE"""),"Cannot Avoid")</f>
        <v>Cannot Avoid</v>
      </c>
      <c r="G218" s="32"/>
      <c r="H218" s="32" t="str">
        <f>IFERROR(__xludf.DUMMYFUNCTION("""COMPUTED_VALUE"""),"Fire")</f>
        <v>Fire</v>
      </c>
      <c r="I218" s="32" t="str">
        <f>IFERROR(__xludf.DUMMYFUNCTION("""COMPUTED_VALUE"""),"Player")</f>
        <v>Player</v>
      </c>
      <c r="J218" s="32" t="b">
        <f>IFERROR(__xludf.DUMMYFUNCTION("""COMPUTED_VALUE"""),FALSE)</f>
        <v>0</v>
      </c>
      <c r="K218" s="32"/>
      <c r="L218" s="32" t="b">
        <f>IFERROR(__xludf.DUMMYFUNCTION("""COMPUTED_VALUE"""),TRUE)</f>
        <v>1</v>
      </c>
      <c r="M218" s="32" t="b">
        <f>IFERROR(__xludf.DUMMYFUNCTION("""COMPUTED_VALUE"""),FALSE)</f>
        <v>0</v>
      </c>
      <c r="N218" s="32"/>
    </row>
    <row r="219">
      <c r="A219" s="32" t="str">
        <f>IFERROR(__xludf.DUMMYFUNCTION("""COMPUTED_VALUE"""),"Volcanic Wall")</f>
        <v>Volcanic Wall</v>
      </c>
      <c r="B219" s="34">
        <f>IFERROR(__xludf.DUMMYFUNCTION("""COMPUTED_VALUE"""),9.0)</f>
        <v>9</v>
      </c>
      <c r="C219" s="32">
        <f>IFERROR(__xludf.DUMMYFUNCTION("""COMPUTED_VALUE"""),300.0)</f>
        <v>300</v>
      </c>
      <c r="D219" s="32"/>
      <c r="E219" s="3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32" t="str">
        <f>IFERROR(__xludf.DUMMYFUNCTION("""COMPUTED_VALUE"""),"Fail/Succeed")</f>
        <v>Fail/Succeed</v>
      </c>
      <c r="G219" s="32"/>
      <c r="H219" s="32" t="str">
        <f>IFERROR(__xludf.DUMMYFUNCTION("""COMPUTED_VALUE"""),"Fire")</f>
        <v>Fire</v>
      </c>
      <c r="I219" s="32" t="str">
        <f>IFERROR(__xludf.DUMMYFUNCTION("""COMPUTED_VALUE"""),"Player")</f>
        <v>Player</v>
      </c>
      <c r="J219" s="32" t="b">
        <f>IFERROR(__xludf.DUMMYFUNCTION("""COMPUTED_VALUE"""),FALSE)</f>
        <v>0</v>
      </c>
      <c r="K219" s="32"/>
      <c r="L219" s="32" t="b">
        <f>IFERROR(__xludf.DUMMYFUNCTION("""COMPUTED_VALUE"""),FALSE)</f>
        <v>0</v>
      </c>
      <c r="M219" s="32" t="b">
        <f>IFERROR(__xludf.DUMMYFUNCTION("""COMPUTED_VALUE"""),FALSE)</f>
        <v>0</v>
      </c>
      <c r="N219" s="32"/>
    </row>
    <row r="220">
      <c r="A220" s="32" t="str">
        <f>IFERROR(__xludf.DUMMYFUNCTION("""COMPUTED_VALUE"""),"Webs Of Inferno")</f>
        <v>Webs Of Inferno</v>
      </c>
      <c r="B220" s="34">
        <f>IFERROR(__xludf.DUMMYFUNCTION("""COMPUTED_VALUE"""),1.0)</f>
        <v>1</v>
      </c>
      <c r="C220" s="33">
        <f>IFERROR(__xludf.DUMMYFUNCTION("""COMPUTED_VALUE"""),0.0)</f>
        <v>0</v>
      </c>
      <c r="D220" s="32"/>
      <c r="E220" s="32" t="str">
        <f>IFERROR(__xludf.DUMMYFUNCTION("""COMPUTED_VALUE"""),"All targets are bound in flaming webs causing Stun 3, and dealing 500 fire damage p/r for 3 rounds.")</f>
        <v>All targets are bound in flaming webs causing Stun 3, and dealing 500 fire damage p/r for 3 rounds.</v>
      </c>
      <c r="F220" s="32" t="str">
        <f>IFERROR(__xludf.DUMMYFUNCTION("""COMPUTED_VALUE"""),"Natural/Fail Or Succeed")</f>
        <v>Natural/Fail Or Succeed</v>
      </c>
      <c r="G220" s="32" t="str">
        <f>IFERROR(__xludf.DUMMYFUNCTION("""COMPUTED_VALUE"""),"All")</f>
        <v>All</v>
      </c>
      <c r="H220" s="32" t="str">
        <f>IFERROR(__xludf.DUMMYFUNCTION("""COMPUTED_VALUE"""),"Fire")</f>
        <v>Fire</v>
      </c>
      <c r="I220" s="32" t="str">
        <f>IFERROR(__xludf.DUMMYFUNCTION("""COMPUTED_VALUE"""),"Mob")</f>
        <v>Mob</v>
      </c>
      <c r="J220" s="32" t="b">
        <f>IFERROR(__xludf.DUMMYFUNCTION("""COMPUTED_VALUE"""),TRUE)</f>
        <v>1</v>
      </c>
      <c r="K220" s="32" t="str">
        <f>IFERROR(__xludf.DUMMYFUNCTION("""COMPUTED_VALUE"""),"Cannot be obtained by players.")</f>
        <v>Cannot be obtained by players.</v>
      </c>
      <c r="L220" s="32" t="b">
        <f>IFERROR(__xludf.DUMMYFUNCTION("""COMPUTED_VALUE"""),FALSE)</f>
        <v>0</v>
      </c>
      <c r="M220" s="32" t="b">
        <f>IFERROR(__xludf.DUMMYFUNCTION("""COMPUTED_VALUE"""),FALSE)</f>
        <v>0</v>
      </c>
      <c r="N220" s="32"/>
    </row>
    <row r="221">
      <c r="A221" s="32" t="str">
        <f>IFERROR(__xludf.DUMMYFUNCTION("""COMPUTED_VALUE"""),"Wrath of Heatmore")</f>
        <v>Wrath of Heatmore</v>
      </c>
      <c r="B221" s="34">
        <f>IFERROR(__xludf.DUMMYFUNCTION("""COMPUTED_VALUE"""),9.0)</f>
        <v>9</v>
      </c>
      <c r="C221" s="33">
        <f>IFERROR(__xludf.DUMMYFUNCTION("""COMPUTED_VALUE"""),10000.0)</f>
        <v>10000</v>
      </c>
      <c r="D221" s="32"/>
      <c r="E221" s="32" t="str">
        <f>IFERROR(__xludf.DUMMYFUNCTION("""COMPUTED_VALUE"""),"100,000 fire damage to all enemies. Cannot resist or be immune to.")</f>
        <v>100,000 fire damage to all enemies. Cannot resist or be immune to.</v>
      </c>
      <c r="F221" s="32" t="str">
        <f>IFERROR(__xludf.DUMMYFUNCTION("""COMPUTED_VALUE"""),"Cannot Avoid")</f>
        <v>Cannot Avoid</v>
      </c>
      <c r="G221" s="32" t="str">
        <f>IFERROR(__xludf.DUMMYFUNCTION("""COMPUTED_VALUE"""),"All")</f>
        <v>All</v>
      </c>
      <c r="H221" s="32" t="str">
        <f>IFERROR(__xludf.DUMMYFUNCTION("""COMPUTED_VALUE"""),"Fire")</f>
        <v>Fire</v>
      </c>
      <c r="I221" s="32" t="str">
        <f>IFERROR(__xludf.DUMMYFUNCTION("""COMPUTED_VALUE"""),"Mob")</f>
        <v>Mob</v>
      </c>
      <c r="J221" s="32" t="b">
        <f>IFERROR(__xludf.DUMMYFUNCTION("""COMPUTED_VALUE"""),TRUE)</f>
        <v>1</v>
      </c>
      <c r="K221" s="32"/>
      <c r="L221" s="32" t="b">
        <f>IFERROR(__xludf.DUMMYFUNCTION("""COMPUTED_VALUE"""),FALSE)</f>
        <v>0</v>
      </c>
      <c r="M221" s="32" t="b">
        <f>IFERROR(__xludf.DUMMYFUNCTION("""COMPUTED_VALUE"""),FALSE)</f>
        <v>0</v>
      </c>
      <c r="N221" s="32"/>
    </row>
    <row r="222">
      <c r="A222" s="32" t="str">
        <f>IFERROR(__xludf.DUMMYFUNCTION("""COMPUTED_VALUE"""),"Wrath Of The Fire Dragon")</f>
        <v>Wrath Of The Fire Dragon</v>
      </c>
      <c r="B222" s="34">
        <f>IFERROR(__xludf.DUMMYFUNCTION("""COMPUTED_VALUE"""),1.0)</f>
        <v>1</v>
      </c>
      <c r="C222" s="33">
        <f>IFERROR(__xludf.DUMMYFUNCTION("""COMPUTED_VALUE"""),0.0)</f>
        <v>0</v>
      </c>
      <c r="D222" s="32"/>
      <c r="E222" s="32" t="str">
        <f>IFERROR(__xludf.DUMMYFUNCTION("""COMPUTED_VALUE"""),"10,000 fire damage to all enemies. Cannot resist or be immune to.")</f>
        <v>10,000 fire damage to all enemies. Cannot resist or be immune to.</v>
      </c>
      <c r="F222" s="32" t="str">
        <f>IFERROR(__xludf.DUMMYFUNCTION("""COMPUTED_VALUE"""),"Natural/Cannot Avoid")</f>
        <v>Natural/Cannot Avoid</v>
      </c>
      <c r="G222" s="32" t="str">
        <f>IFERROR(__xludf.DUMMYFUNCTION("""COMPUTED_VALUE"""),"All")</f>
        <v>All</v>
      </c>
      <c r="H222" s="32" t="str">
        <f>IFERROR(__xludf.DUMMYFUNCTION("""COMPUTED_VALUE"""),"Fire")</f>
        <v>Fire</v>
      </c>
      <c r="I222" s="32" t="str">
        <f>IFERROR(__xludf.DUMMYFUNCTION("""COMPUTED_VALUE"""),"Mob")</f>
        <v>Mob</v>
      </c>
      <c r="J222" s="32" t="b">
        <f>IFERROR(__xludf.DUMMYFUNCTION("""COMPUTED_VALUE"""),TRUE)</f>
        <v>1</v>
      </c>
      <c r="K222" s="32"/>
      <c r="L222" s="32" t="b">
        <f>IFERROR(__xludf.DUMMYFUNCTION("""COMPUTED_VALUE"""),FALSE)</f>
        <v>0</v>
      </c>
      <c r="M222" s="32" t="b">
        <f>IFERROR(__xludf.DUMMYFUNCTION("""COMPUTED_VALUE"""),FALSE)</f>
        <v>0</v>
      </c>
      <c r="N222" s="32"/>
    </row>
    <row r="223">
      <c r="A223" s="32" t="str">
        <f>IFERROR(__xludf.DUMMYFUNCTION("""COMPUTED_VALUE"""),"Forged in Fire")</f>
        <v>Forged in Fire</v>
      </c>
      <c r="B223" s="34">
        <f>IFERROR(__xludf.DUMMYFUNCTION("""COMPUTED_VALUE"""),9.0)</f>
        <v>9</v>
      </c>
      <c r="C223" s="32" t="str">
        <f>IFERROR(__xludf.DUMMYFUNCTION("""COMPUTED_VALUE"""),"X")</f>
        <v>X</v>
      </c>
      <c r="D223" s="32"/>
      <c r="E223" s="32" t="str">
        <f>IFERROR(__xludf.DUMMYFUNCTION("""COMPUTED_VALUE"""),"Take X Fire damage but any enemy that deals weapon damage to you takes X*2 Burn for 3 rounds.")</f>
        <v>Take X Fire damage but any enemy that deals weapon damage to you takes X*2 Burn for 3 rounds.</v>
      </c>
      <c r="F223" s="32" t="str">
        <f>IFERROR(__xludf.DUMMYFUNCTION("""COMPUTED_VALUE"""),"Fail/Succeed")</f>
        <v>Fail/Succeed</v>
      </c>
      <c r="G223" s="32" t="str">
        <f>IFERROR(__xludf.DUMMYFUNCTION("""COMPUTED_VALUE"""),"Self")</f>
        <v>Self</v>
      </c>
      <c r="H223" s="32" t="str">
        <f>IFERROR(__xludf.DUMMYFUNCTION("""COMPUTED_VALUE"""),"Fire")</f>
        <v>Fire</v>
      </c>
      <c r="I223" s="32" t="str">
        <f>IFERROR(__xludf.DUMMYFUNCTION("""COMPUTED_VALUE"""),"Mob")</f>
        <v>Mob</v>
      </c>
      <c r="J223" s="32" t="b">
        <f>IFERROR(__xludf.DUMMYFUNCTION("""COMPUTED_VALUE"""),TRUE)</f>
        <v>1</v>
      </c>
      <c r="K223" s="32"/>
      <c r="L223" s="32" t="b">
        <f>IFERROR(__xludf.DUMMYFUNCTION("""COMPUTED_VALUE"""),FALSE)</f>
        <v>0</v>
      </c>
      <c r="M223" s="32" t="b">
        <f>IFERROR(__xludf.DUMMYFUNCTION("""COMPUTED_VALUE"""),FALSE)</f>
        <v>0</v>
      </c>
      <c r="N223" s="32"/>
    </row>
    <row r="224">
      <c r="A224" s="32" t="str">
        <f>IFERROR(__xludf.DUMMYFUNCTION("""COMPUTED_VALUE"""),"Overcharge")</f>
        <v>Overcharge</v>
      </c>
      <c r="B224" s="34">
        <f>IFERROR(__xludf.DUMMYFUNCTION("""COMPUTED_VALUE"""),5.0)</f>
        <v>5</v>
      </c>
      <c r="C224" s="32">
        <f>IFERROR(__xludf.DUMMYFUNCTION("""COMPUTED_VALUE"""),0.0)</f>
        <v>0</v>
      </c>
      <c r="D224" s="32"/>
      <c r="E224" s="32"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32" t="str">
        <f>IFERROR(__xludf.DUMMYFUNCTION("""COMPUTED_VALUE"""),"Natural/Fail or Succeed")</f>
        <v>Natural/Fail or Succeed</v>
      </c>
      <c r="G224" s="32" t="str">
        <f>IFERROR(__xludf.DUMMYFUNCTION("""COMPUTED_VALUE"""),"Self")</f>
        <v>Self</v>
      </c>
      <c r="H224" s="32" t="str">
        <f>IFERROR(__xludf.DUMMYFUNCTION("""COMPUTED_VALUE"""),"Fire")</f>
        <v>Fire</v>
      </c>
      <c r="I224" s="32" t="str">
        <f>IFERROR(__xludf.DUMMYFUNCTION("""COMPUTED_VALUE"""),"Player")</f>
        <v>Player</v>
      </c>
      <c r="J224" s="32" t="b">
        <f>IFERROR(__xludf.DUMMYFUNCTION("""COMPUTED_VALUE"""),TRUE)</f>
        <v>1</v>
      </c>
      <c r="K224" s="32" t="str">
        <f>IFERROR(__xludf.DUMMYFUNCTION("""COMPUTED_VALUE"""),"Mekanian")</f>
        <v>Mekanian</v>
      </c>
      <c r="L224" s="32" t="b">
        <f>IFERROR(__xludf.DUMMYFUNCTION("""COMPUTED_VALUE"""),FALSE)</f>
        <v>0</v>
      </c>
      <c r="M224" s="32" t="b">
        <f>IFERROR(__xludf.DUMMYFUNCTION("""COMPUTED_VALUE"""),FALSE)</f>
        <v>0</v>
      </c>
      <c r="N224" s="32"/>
    </row>
    <row r="225">
      <c r="A225" s="32" t="str">
        <f>IFERROR(__xludf.DUMMYFUNCTION("""COMPUTED_VALUE"""),"Cooldown")</f>
        <v>Cooldown</v>
      </c>
      <c r="B225" s="34">
        <f>IFERROR(__xludf.DUMMYFUNCTION("""COMPUTED_VALUE"""),3.0)</f>
        <v>3</v>
      </c>
      <c r="C225" s="32">
        <f>IFERROR(__xludf.DUMMYFUNCTION("""COMPUTED_VALUE"""),0.0)</f>
        <v>0</v>
      </c>
      <c r="D225" s="32"/>
      <c r="E225" s="32"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32" t="str">
        <f>IFERROR(__xludf.DUMMYFUNCTION("""COMPUTED_VALUE"""),"Natural/Fail or Succeed")</f>
        <v>Natural/Fail or Succeed</v>
      </c>
      <c r="G225" s="32" t="str">
        <f>IFERROR(__xludf.DUMMYFUNCTION("""COMPUTED_VALUE"""),"Self")</f>
        <v>Self</v>
      </c>
      <c r="H225" s="32" t="str">
        <f>IFERROR(__xludf.DUMMYFUNCTION("""COMPUTED_VALUE"""),"Fire")</f>
        <v>Fire</v>
      </c>
      <c r="I225" s="32" t="str">
        <f>IFERROR(__xludf.DUMMYFUNCTION("""COMPUTED_VALUE"""),"Player")</f>
        <v>Player</v>
      </c>
      <c r="J225" s="32" t="b">
        <f>IFERROR(__xludf.DUMMYFUNCTION("""COMPUTED_VALUE"""),TRUE)</f>
        <v>1</v>
      </c>
      <c r="K225" s="32" t="str">
        <f>IFERROR(__xludf.DUMMYFUNCTION("""COMPUTED_VALUE"""),"Mekanian")</f>
        <v>Mekanian</v>
      </c>
      <c r="L225" s="32" t="b">
        <f>IFERROR(__xludf.DUMMYFUNCTION("""COMPUTED_VALUE"""),FALSE)</f>
        <v>0</v>
      </c>
      <c r="M225" s="32" t="b">
        <f>IFERROR(__xludf.DUMMYFUNCTION("""COMPUTED_VALUE"""),FALSE)</f>
        <v>0</v>
      </c>
      <c r="N225" s="32"/>
    </row>
    <row r="226">
      <c r="A226" s="32" t="str">
        <f>IFERROR(__xludf.DUMMYFUNCTION("""COMPUTED_VALUE"""),"Recharge")</f>
        <v>Recharge</v>
      </c>
      <c r="B226" s="34">
        <f>IFERROR(__xludf.DUMMYFUNCTION("""COMPUTED_VALUE"""),9.0)</f>
        <v>9</v>
      </c>
      <c r="C226" s="32">
        <f>IFERROR(__xludf.DUMMYFUNCTION("""COMPUTED_VALUE"""),0.0)</f>
        <v>0</v>
      </c>
      <c r="D226" s="32"/>
      <c r="E226" s="32" t="str">
        <f>IFERROR(__xludf.DUMMYFUNCTION("""COMPUTED_VALUE"""),"If you are a construct heal 500 hp and gain the effects of Invigorated 3 and Haste 2.")</f>
        <v>If you are a construct heal 500 hp and gain the effects of Invigorated 3 and Haste 2.</v>
      </c>
      <c r="F226" s="32" t="str">
        <f>IFERROR(__xludf.DUMMYFUNCTION("""COMPUTED_VALUE"""),"Natural/Fail or Succeed")</f>
        <v>Natural/Fail or Succeed</v>
      </c>
      <c r="G226" s="32" t="str">
        <f>IFERROR(__xludf.DUMMYFUNCTION("""COMPUTED_VALUE"""),"Self")</f>
        <v>Self</v>
      </c>
      <c r="H226" s="32" t="str">
        <f>IFERROR(__xludf.DUMMYFUNCTION("""COMPUTED_VALUE"""),"Fire")</f>
        <v>Fire</v>
      </c>
      <c r="I226" s="32" t="str">
        <f>IFERROR(__xludf.DUMMYFUNCTION("""COMPUTED_VALUE"""),"Player")</f>
        <v>Player</v>
      </c>
      <c r="J226" s="32" t="b">
        <f>IFERROR(__xludf.DUMMYFUNCTION("""COMPUTED_VALUE"""),TRUE)</f>
        <v>1</v>
      </c>
      <c r="K226" s="32" t="str">
        <f>IFERROR(__xludf.DUMMYFUNCTION("""COMPUTED_VALUE"""),"Mekanian")</f>
        <v>Mekanian</v>
      </c>
      <c r="L226" s="32" t="b">
        <f>IFERROR(__xludf.DUMMYFUNCTION("""COMPUTED_VALUE"""),FALSE)</f>
        <v>0</v>
      </c>
      <c r="M226" s="32" t="b">
        <f>IFERROR(__xludf.DUMMYFUNCTION("""COMPUTED_VALUE"""),FALSE)</f>
        <v>0</v>
      </c>
      <c r="N226" s="32"/>
    </row>
    <row r="227">
      <c r="A227" s="32" t="str">
        <f>IFERROR(__xludf.DUMMYFUNCTION("""COMPUTED_VALUE"""),"Fire Bolt")</f>
        <v>Fire Bolt</v>
      </c>
      <c r="B227" s="34">
        <f>IFERROR(__xludf.DUMMYFUNCTION("""COMPUTED_VALUE"""),1.0)</f>
        <v>1</v>
      </c>
      <c r="C227" s="32" t="str">
        <f>IFERROR(__xludf.DUMMYFUNCTION("""COMPUTED_VALUE"""),"X")</f>
        <v>X</v>
      </c>
      <c r="D227" s="32"/>
      <c r="E227" s="32" t="str">
        <f>IFERROR(__xludf.DUMMYFUNCTION("""COMPUTED_VALUE"""),"Deals X*100 Fire damage to a single enemy where X is equal to SP spent.")</f>
        <v>Deals X*100 Fire damage to a single enemy where X is equal to SP spent.</v>
      </c>
      <c r="F227" s="32" t="str">
        <f>IFERROR(__xludf.DUMMYFUNCTION("""COMPUTED_VALUE"""),"Hit/Miss")</f>
        <v>Hit/Miss</v>
      </c>
      <c r="G227" s="32">
        <f>IFERROR(__xludf.DUMMYFUNCTION("""COMPUTED_VALUE"""),1.0)</f>
        <v>1</v>
      </c>
      <c r="H227" s="32" t="str">
        <f>IFERROR(__xludf.DUMMYFUNCTION("""COMPUTED_VALUE"""),"Fire")</f>
        <v>Fire</v>
      </c>
      <c r="I227" s="32" t="str">
        <f>IFERROR(__xludf.DUMMYFUNCTION("""COMPUTED_VALUE"""),"Player")</f>
        <v>Player</v>
      </c>
      <c r="J227" s="32" t="b">
        <f>IFERROR(__xludf.DUMMYFUNCTION("""COMPUTED_VALUE"""),FALSE)</f>
        <v>0</v>
      </c>
      <c r="K227" s="32"/>
      <c r="L227" s="32" t="b">
        <f>IFERROR(__xludf.DUMMYFUNCTION("""COMPUTED_VALUE"""),FALSE)</f>
        <v>0</v>
      </c>
      <c r="M227" s="32" t="b">
        <f>IFERROR(__xludf.DUMMYFUNCTION("""COMPUTED_VALUE"""),FALSE)</f>
        <v>0</v>
      </c>
      <c r="N227" s="32"/>
    </row>
    <row r="228">
      <c r="A228" s="32" t="str">
        <f>IFERROR(__xludf.DUMMYFUNCTION("""COMPUTED_VALUE"""),"Flame Thrower")</f>
        <v>Flame Thrower</v>
      </c>
      <c r="B228" s="34">
        <f>IFERROR(__xludf.DUMMYFUNCTION("""COMPUTED_VALUE"""),5.0)</f>
        <v>5</v>
      </c>
      <c r="C228" s="32" t="str">
        <f>IFERROR(__xludf.DUMMYFUNCTION("""COMPUTED_VALUE"""),"X")</f>
        <v>X</v>
      </c>
      <c r="D228" s="32"/>
      <c r="E228" s="32" t="str">
        <f>IFERROR(__xludf.DUMMYFUNCTION("""COMPUTED_VALUE"""),"Deals X*50 Burn for 3 rounds to a single target where X is equal to SP spent.")</f>
        <v>Deals X*50 Burn for 3 rounds to a single target where X is equal to SP spent.</v>
      </c>
      <c r="F228" s="32" t="str">
        <f>IFERROR(__xludf.DUMMYFUNCTION("""COMPUTED_VALUE"""),"Hit/Miss")</f>
        <v>Hit/Miss</v>
      </c>
      <c r="G228" s="32">
        <f>IFERROR(__xludf.DUMMYFUNCTION("""COMPUTED_VALUE"""),1.0)</f>
        <v>1</v>
      </c>
      <c r="H228" s="32" t="str">
        <f>IFERROR(__xludf.DUMMYFUNCTION("""COMPUTED_VALUE"""),"Fire")</f>
        <v>Fire</v>
      </c>
      <c r="I228" s="32" t="str">
        <f>IFERROR(__xludf.DUMMYFUNCTION("""COMPUTED_VALUE"""),"Player")</f>
        <v>Player</v>
      </c>
      <c r="J228" s="32" t="b">
        <f>IFERROR(__xludf.DUMMYFUNCTION("""COMPUTED_VALUE"""),FALSE)</f>
        <v>0</v>
      </c>
      <c r="K228" s="32"/>
      <c r="L228" s="32" t="b">
        <f>IFERROR(__xludf.DUMMYFUNCTION("""COMPUTED_VALUE"""),FALSE)</f>
        <v>0</v>
      </c>
      <c r="M228" s="32" t="b">
        <f>IFERROR(__xludf.DUMMYFUNCTION("""COMPUTED_VALUE"""),FALSE)</f>
        <v>0</v>
      </c>
      <c r="N228" s="32"/>
    </row>
    <row r="229">
      <c r="A229" s="32" t="str">
        <f>IFERROR(__xludf.DUMMYFUNCTION("""COMPUTED_VALUE"""),"Meteor Shower")</f>
        <v>Meteor Shower</v>
      </c>
      <c r="B229" s="34">
        <f>IFERROR(__xludf.DUMMYFUNCTION("""COMPUTED_VALUE"""),5.0)</f>
        <v>5</v>
      </c>
      <c r="C229" s="32" t="str">
        <f>IFERROR(__xludf.DUMMYFUNCTION("""COMPUTED_VALUE"""),"X")</f>
        <v>X</v>
      </c>
      <c r="D229" s="32"/>
      <c r="E229" s="32" t="str">
        <f>IFERROR(__xludf.DUMMYFUNCTION("""COMPUTED_VALUE"""),"Deals X*25 Fire damage to all enemies where X is equal to SP spent.")</f>
        <v>Deals X*25 Fire damage to all enemies where X is equal to SP spent.</v>
      </c>
      <c r="F229" s="32" t="str">
        <f>IFERROR(__xludf.DUMMYFUNCTION("""COMPUTED_VALUE"""),"Cannot Avoid")</f>
        <v>Cannot Avoid</v>
      </c>
      <c r="G229" s="32" t="str">
        <f>IFERROR(__xludf.DUMMYFUNCTION("""COMPUTED_VALUE"""),"All")</f>
        <v>All</v>
      </c>
      <c r="H229" s="32" t="str">
        <f>IFERROR(__xludf.DUMMYFUNCTION("""COMPUTED_VALUE"""),"Fire")</f>
        <v>Fire</v>
      </c>
      <c r="I229" s="32" t="str">
        <f>IFERROR(__xludf.DUMMYFUNCTION("""COMPUTED_VALUE"""),"Player")</f>
        <v>Player</v>
      </c>
      <c r="J229" s="32" t="b">
        <f>IFERROR(__xludf.DUMMYFUNCTION("""COMPUTED_VALUE"""),FALSE)</f>
        <v>0</v>
      </c>
      <c r="K229" s="32"/>
      <c r="L229" s="32" t="b">
        <f>IFERROR(__xludf.DUMMYFUNCTION("""COMPUTED_VALUE"""),FALSE)</f>
        <v>0</v>
      </c>
      <c r="M229" s="32" t="b">
        <f>IFERROR(__xludf.DUMMYFUNCTION("""COMPUTED_VALUE"""),FALSE)</f>
        <v>0</v>
      </c>
      <c r="N229" s="32"/>
    </row>
    <row r="230">
      <c r="A230" s="32" t="str">
        <f>IFERROR(__xludf.DUMMYFUNCTION("""COMPUTED_VALUE"""),"Mass Ignition")</f>
        <v>Mass Ignition</v>
      </c>
      <c r="B230" s="34">
        <f>IFERROR(__xludf.DUMMYFUNCTION("""COMPUTED_VALUE"""),6.0)</f>
        <v>6</v>
      </c>
      <c r="C230" s="32" t="str">
        <f>IFERROR(__xludf.DUMMYFUNCTION("""COMPUTED_VALUE"""),"X")</f>
        <v>X</v>
      </c>
      <c r="D230" s="32"/>
      <c r="E230" s="32" t="str">
        <f>IFERROR(__xludf.DUMMYFUNCTION("""COMPUTED_VALUE"""),"Deals X*10 Burn to all enemies for 3 rounds where X is equal to SP spent.")</f>
        <v>Deals X*10 Burn to all enemies for 3 rounds where X is equal to SP spent.</v>
      </c>
      <c r="F230" s="32" t="str">
        <f>IFERROR(__xludf.DUMMYFUNCTION("""COMPUTED_VALUE"""),"Cannot Avoid")</f>
        <v>Cannot Avoid</v>
      </c>
      <c r="G230" s="32" t="str">
        <f>IFERROR(__xludf.DUMMYFUNCTION("""COMPUTED_VALUE"""),"All")</f>
        <v>All</v>
      </c>
      <c r="H230" s="32" t="str">
        <f>IFERROR(__xludf.DUMMYFUNCTION("""COMPUTED_VALUE"""),"Fire")</f>
        <v>Fire</v>
      </c>
      <c r="I230" s="32" t="str">
        <f>IFERROR(__xludf.DUMMYFUNCTION("""COMPUTED_VALUE"""),"Player")</f>
        <v>Player</v>
      </c>
      <c r="J230" s="32" t="b">
        <f>IFERROR(__xludf.DUMMYFUNCTION("""COMPUTED_VALUE"""),FALSE)</f>
        <v>0</v>
      </c>
      <c r="K230" s="32"/>
      <c r="L230" s="32" t="b">
        <f>IFERROR(__xludf.DUMMYFUNCTION("""COMPUTED_VALUE"""),FALSE)</f>
        <v>0</v>
      </c>
      <c r="M230" s="32" t="b">
        <f>IFERROR(__xludf.DUMMYFUNCTION("""COMPUTED_VALUE"""),FALSE)</f>
        <v>0</v>
      </c>
      <c r="N230" s="32"/>
    </row>
    <row r="231">
      <c r="A231" s="32" t="str">
        <f>IFERROR(__xludf.DUMMYFUNCTION("""COMPUTED_VALUE"""),"Wall of Flames")</f>
        <v>Wall of Flames</v>
      </c>
      <c r="B231" s="34">
        <f>IFERROR(__xludf.DUMMYFUNCTION("""COMPUTED_VALUE"""),9.0)</f>
        <v>9</v>
      </c>
      <c r="C231" s="32">
        <f>IFERROR(__xludf.DUMMYFUNCTION("""COMPUTED_VALUE"""),2000.0)</f>
        <v>2000</v>
      </c>
      <c r="D231" s="32"/>
      <c r="E231" s="32" t="str">
        <f>IFERROR(__xludf.DUMMYFUNCTION("""COMPUTED_VALUE"""),"Deals 20,000 fire damage per round to all enemies that doubles each round for 3 rounds.")</f>
        <v>Deals 20,000 fire damage per round to all enemies that doubles each round for 3 rounds.</v>
      </c>
      <c r="F231" s="32" t="str">
        <f>IFERROR(__xludf.DUMMYFUNCTION("""COMPUTED_VALUE"""),"Fail/Succeed")</f>
        <v>Fail/Succeed</v>
      </c>
      <c r="G231" s="32" t="str">
        <f>IFERROR(__xludf.DUMMYFUNCTION("""COMPUTED_VALUE"""),"All")</f>
        <v>All</v>
      </c>
      <c r="H231" s="32" t="str">
        <f>IFERROR(__xludf.DUMMYFUNCTION("""COMPUTED_VALUE"""),"Fire")</f>
        <v>Fire</v>
      </c>
      <c r="I231" s="32" t="str">
        <f>IFERROR(__xludf.DUMMYFUNCTION("""COMPUTED_VALUE"""),"Player")</f>
        <v>Player</v>
      </c>
      <c r="J231" s="32" t="b">
        <f>IFERROR(__xludf.DUMMYFUNCTION("""COMPUTED_VALUE"""),FALSE)</f>
        <v>0</v>
      </c>
      <c r="K231" s="32"/>
      <c r="L231" s="32" t="b">
        <f>IFERROR(__xludf.DUMMYFUNCTION("""COMPUTED_VALUE"""),FALSE)</f>
        <v>0</v>
      </c>
      <c r="M231" s="32" t="b">
        <f>IFERROR(__xludf.DUMMYFUNCTION("""COMPUTED_VALUE"""),FALSE)</f>
        <v>0</v>
      </c>
      <c r="N231" s="32"/>
    </row>
    <row r="232">
      <c r="A232" s="32" t="str">
        <f>IFERROR(__xludf.DUMMYFUNCTION("""COMPUTED_VALUE"""),"Meltdown")</f>
        <v>Meltdown</v>
      </c>
      <c r="B232" s="34">
        <f>IFERROR(__xludf.DUMMYFUNCTION("""COMPUTED_VALUE"""),9.0)</f>
        <v>9</v>
      </c>
      <c r="C232" s="32"/>
      <c r="D232" s="32" t="str">
        <f>IFERROR(__xludf.DUMMYFUNCTION("""COMPUTED_VALUE"""),"X")</f>
        <v>X</v>
      </c>
      <c r="E232" s="32"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32" t="str">
        <f>IFERROR(__xludf.DUMMYFUNCTION("""COMPUTED_VALUE"""),"Fail/Succeed")</f>
        <v>Fail/Succeed</v>
      </c>
      <c r="G232" s="32" t="str">
        <f>IFERROR(__xludf.DUMMYFUNCTION("""COMPUTED_VALUE"""),"All")</f>
        <v>All</v>
      </c>
      <c r="H232" s="32" t="str">
        <f>IFERROR(__xludf.DUMMYFUNCTION("""COMPUTED_VALUE"""),"Fire")</f>
        <v>Fire</v>
      </c>
      <c r="I232" s="32" t="str">
        <f>IFERROR(__xludf.DUMMYFUNCTION("""COMPUTED_VALUE"""),"Player")</f>
        <v>Player</v>
      </c>
      <c r="J232" s="32" t="b">
        <f>IFERROR(__xludf.DUMMYFUNCTION("""COMPUTED_VALUE"""),TRUE)</f>
        <v>1</v>
      </c>
      <c r="K232" s="32"/>
      <c r="L232" s="32" t="b">
        <f>IFERROR(__xludf.DUMMYFUNCTION("""COMPUTED_VALUE"""),FALSE)</f>
        <v>0</v>
      </c>
      <c r="M232" s="32" t="b">
        <f>IFERROR(__xludf.DUMMYFUNCTION("""COMPUTED_VALUE"""),FALSE)</f>
        <v>0</v>
      </c>
      <c r="N232" s="32"/>
    </row>
    <row r="233">
      <c r="A233" s="32" t="str">
        <f>IFERROR(__xludf.DUMMYFUNCTION("""COMPUTED_VALUE"""),"Radiant Aura")</f>
        <v>Radiant Aura</v>
      </c>
      <c r="B233" s="34">
        <f>IFERROR(__xludf.DUMMYFUNCTION("""COMPUTED_VALUE"""),7.0)</f>
        <v>7</v>
      </c>
      <c r="C233" s="32" t="str">
        <f>IFERROR(__xludf.DUMMYFUNCTION("""COMPUTED_VALUE"""),"X")</f>
        <v>X</v>
      </c>
      <c r="D233" s="32"/>
      <c r="E233" s="32" t="str">
        <f>IFERROR(__xludf.DUMMYFUNCTION("""COMPUTED_VALUE"""),"X*10 Light damage per round for 3 rounds to all enemies where X is equal to SP spent.")</f>
        <v>X*10 Light damage per round for 3 rounds to all enemies where X is equal to SP spent.</v>
      </c>
      <c r="F233" s="32" t="str">
        <f>IFERROR(__xludf.DUMMYFUNCTION("""COMPUTED_VALUE"""),"Cannot Avoid")</f>
        <v>Cannot Avoid</v>
      </c>
      <c r="G233" s="32"/>
      <c r="H233" s="32" t="str">
        <f>IFERROR(__xludf.DUMMYFUNCTION("""COMPUTED_VALUE"""),"Light")</f>
        <v>Light</v>
      </c>
      <c r="I233" s="32" t="str">
        <f>IFERROR(__xludf.DUMMYFUNCTION("""COMPUTED_VALUE"""),"Player")</f>
        <v>Player</v>
      </c>
      <c r="J233" s="32" t="b">
        <f>IFERROR(__xludf.DUMMYFUNCTION("""COMPUTED_VALUE"""),TRUE)</f>
        <v>1</v>
      </c>
      <c r="K233" s="32"/>
      <c r="L233" s="32" t="b">
        <f>IFERROR(__xludf.DUMMYFUNCTION("""COMPUTED_VALUE"""),FALSE)</f>
        <v>0</v>
      </c>
      <c r="M233" s="32" t="b">
        <f>IFERROR(__xludf.DUMMYFUNCTION("""COMPUTED_VALUE"""),FALSE)</f>
        <v>0</v>
      </c>
      <c r="N233" s="32"/>
    </row>
    <row r="234">
      <c r="A234" s="32" t="str">
        <f>IFERROR(__xludf.DUMMYFUNCTION("""COMPUTED_VALUE"""),"Baptize")</f>
        <v>Baptize</v>
      </c>
      <c r="B234" s="34">
        <f>IFERROR(__xludf.DUMMYFUNCTION("""COMPUTED_VALUE"""),4.0)</f>
        <v>4</v>
      </c>
      <c r="C234" s="32">
        <f>IFERROR(__xludf.DUMMYFUNCTION("""COMPUTED_VALUE"""),40.0)</f>
        <v>40</v>
      </c>
      <c r="D234" s="32"/>
      <c r="E234" s="32" t="str">
        <f>IFERROR(__xludf.DUMMYFUNCTION("""COMPUTED_VALUE"""),"Target becomes immune to light and dark until the end of Battle. Cannot be casted on self.")</f>
        <v>Target becomes immune to light and dark until the end of Battle. Cannot be casted on self.</v>
      </c>
      <c r="F234" s="32" t="str">
        <f>IFERROR(__xludf.DUMMYFUNCTION("""COMPUTED_VALUE"""),"Fail/Succeed")</f>
        <v>Fail/Succeed</v>
      </c>
      <c r="G234" s="32"/>
      <c r="H234" s="32" t="str">
        <f>IFERROR(__xludf.DUMMYFUNCTION("""COMPUTED_VALUE"""),"Light")</f>
        <v>Light</v>
      </c>
      <c r="I234" s="32" t="str">
        <f>IFERROR(__xludf.DUMMYFUNCTION("""COMPUTED_VALUE"""),"Player")</f>
        <v>Player</v>
      </c>
      <c r="J234" s="32" t="b">
        <f>IFERROR(__xludf.DUMMYFUNCTION("""COMPUTED_VALUE"""),FALSE)</f>
        <v>0</v>
      </c>
      <c r="K234" s="32"/>
      <c r="L234" s="32" t="b">
        <f>IFERROR(__xludf.DUMMYFUNCTION("""COMPUTED_VALUE"""),FALSE)</f>
        <v>0</v>
      </c>
      <c r="M234" s="32" t="b">
        <f>IFERROR(__xludf.DUMMYFUNCTION("""COMPUTED_VALUE"""),FALSE)</f>
        <v>0</v>
      </c>
      <c r="N234" s="32"/>
    </row>
    <row r="235">
      <c r="A235" s="32" t="str">
        <f>IFERROR(__xludf.DUMMYFUNCTION("""COMPUTED_VALUE"""),"Bless")</f>
        <v>Bless</v>
      </c>
      <c r="B235" s="34">
        <f>IFERROR(__xludf.DUMMYFUNCTION("""COMPUTED_VALUE"""),4.0)</f>
        <v>4</v>
      </c>
      <c r="C235" s="32" t="str">
        <f>IFERROR(__xludf.DUMMYFUNCTION("""COMPUTED_VALUE"""),"X")</f>
        <v>X</v>
      </c>
      <c r="D235" s="32"/>
      <c r="E235" s="32" t="str">
        <f>IFERROR(__xludf.DUMMYFUNCTION("""COMPUTED_VALUE"""),"Target gains X*4 Light damage and X*4 Light resistance, can’t be used on self")</f>
        <v>Target gains X*4 Light damage and X*4 Light resistance, can’t be used on self</v>
      </c>
      <c r="F235" s="32" t="str">
        <f>IFERROR(__xludf.DUMMYFUNCTION("""COMPUTED_VALUE"""),"Will Succeed")</f>
        <v>Will Succeed</v>
      </c>
      <c r="G235" s="32"/>
      <c r="H235" s="32" t="str">
        <f>IFERROR(__xludf.DUMMYFUNCTION("""COMPUTED_VALUE"""),"Light")</f>
        <v>Light</v>
      </c>
      <c r="I235" s="32" t="str">
        <f>IFERROR(__xludf.DUMMYFUNCTION("""COMPUTED_VALUE"""),"Player")</f>
        <v>Player</v>
      </c>
      <c r="J235" s="32" t="b">
        <f>IFERROR(__xludf.DUMMYFUNCTION("""COMPUTED_VALUE"""),FALSE)</f>
        <v>0</v>
      </c>
      <c r="K235" s="32"/>
      <c r="L235" s="32" t="b">
        <f>IFERROR(__xludf.DUMMYFUNCTION("""COMPUTED_VALUE"""),FALSE)</f>
        <v>0</v>
      </c>
      <c r="M235" s="32" t="b">
        <f>IFERROR(__xludf.DUMMYFUNCTION("""COMPUTED_VALUE"""),FALSE)</f>
        <v>0</v>
      </c>
      <c r="N235" s="32"/>
    </row>
    <row r="236">
      <c r="A236" s="32" t="str">
        <f>IFERROR(__xludf.DUMMYFUNCTION("""COMPUTED_VALUE"""),"Bright Light")</f>
        <v>Bright Light</v>
      </c>
      <c r="B236" s="34">
        <f>IFERROR(__xludf.DUMMYFUNCTION("""COMPUTED_VALUE"""),2.0)</f>
        <v>2</v>
      </c>
      <c r="C236" s="32" t="str">
        <f>IFERROR(__xludf.DUMMYFUNCTION("""COMPUTED_VALUE"""),"X")</f>
        <v>X</v>
      </c>
      <c r="D236" s="32"/>
      <c r="E236" s="32" t="str">
        <f>IFERROR(__xludf.DUMMYFUNCTION("""COMPUTED_VALUE"""),"X*25 Light damage to all enemies where X is equal to the users SP spent, sheds light for 3 rounds.")</f>
        <v>X*25 Light damage to all enemies where X is equal to the users SP spent, sheds light for 3 rounds.</v>
      </c>
      <c r="F236" s="32" t="str">
        <f>IFERROR(__xludf.DUMMYFUNCTION("""COMPUTED_VALUE"""),"Cannot Avoid")</f>
        <v>Cannot Avoid</v>
      </c>
      <c r="G236" s="32" t="str">
        <f>IFERROR(__xludf.DUMMYFUNCTION("""COMPUTED_VALUE"""),"All")</f>
        <v>All</v>
      </c>
      <c r="H236" s="32" t="str">
        <f>IFERROR(__xludf.DUMMYFUNCTION("""COMPUTED_VALUE"""),"Light")</f>
        <v>Light</v>
      </c>
      <c r="I236" s="32" t="str">
        <f>IFERROR(__xludf.DUMMYFUNCTION("""COMPUTED_VALUE"""),"Player")</f>
        <v>Player</v>
      </c>
      <c r="J236" s="32" t="b">
        <f>IFERROR(__xludf.DUMMYFUNCTION("""COMPUTED_VALUE"""),FALSE)</f>
        <v>0</v>
      </c>
      <c r="K236" s="32"/>
      <c r="L236" s="32" t="b">
        <f>IFERROR(__xludf.DUMMYFUNCTION("""COMPUTED_VALUE"""),FALSE)</f>
        <v>0</v>
      </c>
      <c r="M236" s="32" t="b">
        <f>IFERROR(__xludf.DUMMYFUNCTION("""COMPUTED_VALUE"""),FALSE)</f>
        <v>0</v>
      </c>
      <c r="N236" s="32"/>
    </row>
    <row r="237">
      <c r="A237" s="32" t="str">
        <f>IFERROR(__xludf.DUMMYFUNCTION("""COMPUTED_VALUE"""),"Disease Control")</f>
        <v>Disease Control</v>
      </c>
      <c r="B237" s="34">
        <f>IFERROR(__xludf.DUMMYFUNCTION("""COMPUTED_VALUE"""),9.0)</f>
        <v>9</v>
      </c>
      <c r="C237" s="32">
        <f>IFERROR(__xludf.DUMMYFUNCTION("""COMPUTED_VALUE"""),300.0)</f>
        <v>300</v>
      </c>
      <c r="D237" s="32"/>
      <c r="E237" s="32"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32" t="str">
        <f>IFERROR(__xludf.DUMMYFUNCTION("""COMPUTED_VALUE"""),"Fail/succeed")</f>
        <v>Fail/succeed</v>
      </c>
      <c r="G237" s="32">
        <f>IFERROR(__xludf.DUMMYFUNCTION("""COMPUTED_VALUE"""),1.0)</f>
        <v>1</v>
      </c>
      <c r="H237" s="32" t="str">
        <f>IFERROR(__xludf.DUMMYFUNCTION("""COMPUTED_VALUE"""),"Light")</f>
        <v>Light</v>
      </c>
      <c r="I237" s="32" t="str">
        <f>IFERROR(__xludf.DUMMYFUNCTION("""COMPUTED_VALUE"""),"Player")</f>
        <v>Player</v>
      </c>
      <c r="J237" s="32" t="b">
        <f>IFERROR(__xludf.DUMMYFUNCTION("""COMPUTED_VALUE"""),FALSE)</f>
        <v>0</v>
      </c>
      <c r="K237" s="32"/>
      <c r="L237" s="32" t="b">
        <f>IFERROR(__xludf.DUMMYFUNCTION("""COMPUTED_VALUE"""),FALSE)</f>
        <v>0</v>
      </c>
      <c r="M237" s="32" t="b">
        <f>IFERROR(__xludf.DUMMYFUNCTION("""COMPUTED_VALUE"""),FALSE)</f>
        <v>0</v>
      </c>
      <c r="N237" s="32"/>
    </row>
    <row r="238">
      <c r="A238" s="32" t="str">
        <f>IFERROR(__xludf.DUMMYFUNCTION("""COMPUTED_VALUE"""),"Flare")</f>
        <v>Flare</v>
      </c>
      <c r="B238" s="34">
        <f>IFERROR(__xludf.DUMMYFUNCTION("""COMPUTED_VALUE"""),1.0)</f>
        <v>1</v>
      </c>
      <c r="C238" s="32" t="str">
        <f>IFERROR(__xludf.DUMMYFUNCTION("""COMPUTED_VALUE"""),"X")</f>
        <v>X</v>
      </c>
      <c r="D238" s="32"/>
      <c r="E238" s="32" t="str">
        <f>IFERROR(__xludf.DUMMYFUNCTION("""COMPUTED_VALUE"""),"X*100 Light damage to one target where X is equal to sp spent, sheds light for 3 rounds")</f>
        <v>X*100 Light damage to one target where X is equal to sp spent, sheds light for 3 rounds</v>
      </c>
      <c r="F238" s="32" t="str">
        <f>IFERROR(__xludf.DUMMYFUNCTION("""COMPUTED_VALUE"""),"Hit/Miss")</f>
        <v>Hit/Miss</v>
      </c>
      <c r="G238" s="32">
        <f>IFERROR(__xludf.DUMMYFUNCTION("""COMPUTED_VALUE"""),1.0)</f>
        <v>1</v>
      </c>
      <c r="H238" s="32" t="str">
        <f>IFERROR(__xludf.DUMMYFUNCTION("""COMPUTED_VALUE"""),"Light")</f>
        <v>Light</v>
      </c>
      <c r="I238" s="32" t="str">
        <f>IFERROR(__xludf.DUMMYFUNCTION("""COMPUTED_VALUE"""),"Player")</f>
        <v>Player</v>
      </c>
      <c r="J238" s="32" t="b">
        <f>IFERROR(__xludf.DUMMYFUNCTION("""COMPUTED_VALUE"""),FALSE)</f>
        <v>0</v>
      </c>
      <c r="K238" s="32"/>
      <c r="L238" s="32" t="b">
        <f>IFERROR(__xludf.DUMMYFUNCTION("""COMPUTED_VALUE"""),FALSE)</f>
        <v>0</v>
      </c>
      <c r="M238" s="32" t="b">
        <f>IFERROR(__xludf.DUMMYFUNCTION("""COMPUTED_VALUE"""),FALSE)</f>
        <v>0</v>
      </c>
      <c r="N238" s="32"/>
    </row>
    <row r="239">
      <c r="A239" s="32" t="str">
        <f>IFERROR(__xludf.DUMMYFUNCTION("""COMPUTED_VALUE"""),"Focused Light")</f>
        <v>Focused Light</v>
      </c>
      <c r="B239" s="34">
        <f>IFERROR(__xludf.DUMMYFUNCTION("""COMPUTED_VALUE"""),5.0)</f>
        <v>5</v>
      </c>
      <c r="C239" s="32" t="str">
        <f>IFERROR(__xludf.DUMMYFUNCTION("""COMPUTED_VALUE"""),"X")</f>
        <v>X</v>
      </c>
      <c r="D239" s="32"/>
      <c r="E239" s="32" t="str">
        <f>IFERROR(__xludf.DUMMYFUNCTION("""COMPUTED_VALUE"""),"X*50 Light damage and X*50 Fire damage to one target where X is equal to Sp spent. Sheds light for 3 rounds.")</f>
        <v>X*50 Light damage and X*50 Fire damage to one target where X is equal to Sp spent. Sheds light for 3 rounds.</v>
      </c>
      <c r="F239" s="32" t="str">
        <f>IFERROR(__xludf.DUMMYFUNCTION("""COMPUTED_VALUE"""),"Hit/Miss")</f>
        <v>Hit/Miss</v>
      </c>
      <c r="G239" s="32">
        <f>IFERROR(__xludf.DUMMYFUNCTION("""COMPUTED_VALUE"""),1.0)</f>
        <v>1</v>
      </c>
      <c r="H239" s="32" t="str">
        <f>IFERROR(__xludf.DUMMYFUNCTION("""COMPUTED_VALUE"""),"Light")</f>
        <v>Light</v>
      </c>
      <c r="I239" s="32" t="str">
        <f>IFERROR(__xludf.DUMMYFUNCTION("""COMPUTED_VALUE"""),"Player")</f>
        <v>Player</v>
      </c>
      <c r="J239" s="32" t="b">
        <f>IFERROR(__xludf.DUMMYFUNCTION("""COMPUTED_VALUE"""),FALSE)</f>
        <v>0</v>
      </c>
      <c r="K239" s="32"/>
      <c r="L239" s="32" t="b">
        <f>IFERROR(__xludf.DUMMYFUNCTION("""COMPUTED_VALUE"""),FALSE)</f>
        <v>0</v>
      </c>
      <c r="M239" s="32" t="b">
        <f>IFERROR(__xludf.DUMMYFUNCTION("""COMPUTED_VALUE"""),FALSE)</f>
        <v>0</v>
      </c>
      <c r="N239" s="32"/>
    </row>
    <row r="240">
      <c r="A240" s="32" t="str">
        <f>IFERROR(__xludf.DUMMYFUNCTION("""COMPUTED_VALUE"""),"Full Revive")</f>
        <v>Full Revive</v>
      </c>
      <c r="B240" s="34">
        <f>IFERROR(__xludf.DUMMYFUNCTION("""COMPUTED_VALUE"""),9.0)</f>
        <v>9</v>
      </c>
      <c r="C240" s="32">
        <f>IFERROR(__xludf.DUMMYFUNCTION("""COMPUTED_VALUE"""),300.0)</f>
        <v>300</v>
      </c>
      <c r="D240" s="32"/>
      <c r="E240" s="32" t="str">
        <f>IFERROR(__xludf.DUMMYFUNCTION("""COMPUTED_VALUE"""),"Return all allies from death with full HP, must be done before they respawn.")</f>
        <v>Return all allies from death with full HP, must be done before they respawn.</v>
      </c>
      <c r="F240" s="32" t="str">
        <f>IFERROR(__xludf.DUMMYFUNCTION("""COMPUTED_VALUE"""),"Fail/succeed")</f>
        <v>Fail/succeed</v>
      </c>
      <c r="G240" s="32"/>
      <c r="H240" s="32" t="str">
        <f>IFERROR(__xludf.DUMMYFUNCTION("""COMPUTED_VALUE"""),"Light")</f>
        <v>Light</v>
      </c>
      <c r="I240" s="32" t="str">
        <f>IFERROR(__xludf.DUMMYFUNCTION("""COMPUTED_VALUE"""),"Player")</f>
        <v>Player</v>
      </c>
      <c r="J240" s="32" t="b">
        <f>IFERROR(__xludf.DUMMYFUNCTION("""COMPUTED_VALUE"""),FALSE)</f>
        <v>0</v>
      </c>
      <c r="K240" s="32"/>
      <c r="L240" s="32" t="b">
        <f>IFERROR(__xludf.DUMMYFUNCTION("""COMPUTED_VALUE"""),FALSE)</f>
        <v>0</v>
      </c>
      <c r="M240" s="32" t="b">
        <f>IFERROR(__xludf.DUMMYFUNCTION("""COMPUTED_VALUE"""),FALSE)</f>
        <v>0</v>
      </c>
      <c r="N240" s="32"/>
    </row>
    <row r="241">
      <c r="A241" s="32" t="str">
        <f>IFERROR(__xludf.DUMMYFUNCTION("""COMPUTED_VALUE"""),"Heal")</f>
        <v>Heal</v>
      </c>
      <c r="B241" s="34">
        <f>IFERROR(__xludf.DUMMYFUNCTION("""COMPUTED_VALUE"""),1.0)</f>
        <v>1</v>
      </c>
      <c r="C241" s="32" t="str">
        <f>IFERROR(__xludf.DUMMYFUNCTION("""COMPUTED_VALUE"""),"X")</f>
        <v>X</v>
      </c>
      <c r="D241" s="32"/>
      <c r="E241" s="32" t="str">
        <f>IFERROR(__xludf.DUMMYFUNCTION("""COMPUTED_VALUE"""),"+x*100 HP healed to all allies where X is equal to SP spent.")</f>
        <v>+x*100 HP healed to all allies where X is equal to SP spent.</v>
      </c>
      <c r="F241" s="32" t="str">
        <f>IFERROR(__xludf.DUMMYFUNCTION("""COMPUTED_VALUE"""),"Will Succeed")</f>
        <v>Will Succeed</v>
      </c>
      <c r="G241" s="32">
        <f>IFERROR(__xludf.DUMMYFUNCTION("""COMPUTED_VALUE"""),1.0)</f>
        <v>1</v>
      </c>
      <c r="H241" s="32" t="str">
        <f>IFERROR(__xludf.DUMMYFUNCTION("""COMPUTED_VALUE"""),"Light")</f>
        <v>Light</v>
      </c>
      <c r="I241" s="32" t="str">
        <f>IFERROR(__xludf.DUMMYFUNCTION("""COMPUTED_VALUE"""),"Player")</f>
        <v>Player</v>
      </c>
      <c r="J241" s="32" t="b">
        <f>IFERROR(__xludf.DUMMYFUNCTION("""COMPUTED_VALUE"""),FALSE)</f>
        <v>0</v>
      </c>
      <c r="K241" s="32"/>
      <c r="L241" s="32" t="b">
        <f>IFERROR(__xludf.DUMMYFUNCTION("""COMPUTED_VALUE"""),FALSE)</f>
        <v>0</v>
      </c>
      <c r="M241" s="32" t="b">
        <f>IFERROR(__xludf.DUMMYFUNCTION("""COMPUTED_VALUE"""),FALSE)</f>
        <v>0</v>
      </c>
      <c r="N241" s="32"/>
    </row>
    <row r="242">
      <c r="A242" s="32" t="str">
        <f>IFERROR(__xludf.DUMMYFUNCTION("""COMPUTED_VALUE"""),"Healing Alliance")</f>
        <v>Healing Alliance</v>
      </c>
      <c r="B242" s="34">
        <f>IFERROR(__xludf.DUMMYFUNCTION("""COMPUTED_VALUE"""),5.0)</f>
        <v>5</v>
      </c>
      <c r="C242" s="32" t="str">
        <f>IFERROR(__xludf.DUMMYFUNCTION("""COMPUTED_VALUE"""),"X")</f>
        <v>X</v>
      </c>
      <c r="D242" s="32"/>
      <c r="E242" s="32" t="str">
        <f>IFERROR(__xludf.DUMMYFUNCTION("""COMPUTED_VALUE"""),"+X*25 HP healed to all allies where X is equal to SP spent.")</f>
        <v>+X*25 HP healed to all allies where X is equal to SP spent.</v>
      </c>
      <c r="F242" s="32" t="str">
        <f>IFERROR(__xludf.DUMMYFUNCTION("""COMPUTED_VALUE"""),"Will Succeed")</f>
        <v>Will Succeed</v>
      </c>
      <c r="G242" s="32"/>
      <c r="H242" s="32" t="str">
        <f>IFERROR(__xludf.DUMMYFUNCTION("""COMPUTED_VALUE"""),"Light")</f>
        <v>Light</v>
      </c>
      <c r="I242" s="32" t="str">
        <f>IFERROR(__xludf.DUMMYFUNCTION("""COMPUTED_VALUE"""),"Player")</f>
        <v>Player</v>
      </c>
      <c r="J242" s="32" t="b">
        <f>IFERROR(__xludf.DUMMYFUNCTION("""COMPUTED_VALUE"""),FALSE)</f>
        <v>0</v>
      </c>
      <c r="K242" s="32"/>
      <c r="L242" s="32" t="b">
        <f>IFERROR(__xludf.DUMMYFUNCTION("""COMPUTED_VALUE"""),FALSE)</f>
        <v>0</v>
      </c>
      <c r="M242" s="32" t="b">
        <f>IFERROR(__xludf.DUMMYFUNCTION("""COMPUTED_VALUE"""),FALSE)</f>
        <v>0</v>
      </c>
      <c r="N242" s="32"/>
    </row>
    <row r="243">
      <c r="A243" s="32" t="str">
        <f>IFERROR(__xludf.DUMMYFUNCTION("""COMPUTED_VALUE"""),"Hygiene")</f>
        <v>Hygiene</v>
      </c>
      <c r="B243" s="34">
        <f>IFERROR(__xludf.DUMMYFUNCTION("""COMPUTED_VALUE"""),7.0)</f>
        <v>7</v>
      </c>
      <c r="C243" s="32">
        <f>IFERROR(__xludf.DUMMYFUNCTION("""COMPUTED_VALUE"""),100.0)</f>
        <v>100</v>
      </c>
      <c r="D243" s="32"/>
      <c r="E243" s="32" t="str">
        <f>IFERROR(__xludf.DUMMYFUNCTION("""COMPUTED_VALUE"""),"Caster becomes immune to all status effects.")</f>
        <v>Caster becomes immune to all status effects.</v>
      </c>
      <c r="F243" s="32" t="str">
        <f>IFERROR(__xludf.DUMMYFUNCTION("""COMPUTED_VALUE"""),"Will Succeed")</f>
        <v>Will Succeed</v>
      </c>
      <c r="G243" s="32"/>
      <c r="H243" s="32" t="str">
        <f>IFERROR(__xludf.DUMMYFUNCTION("""COMPUTED_VALUE"""),"Light")</f>
        <v>Light</v>
      </c>
      <c r="I243" s="32" t="str">
        <f>IFERROR(__xludf.DUMMYFUNCTION("""COMPUTED_VALUE"""),"Player")</f>
        <v>Player</v>
      </c>
      <c r="J243" s="32" t="b">
        <f>IFERROR(__xludf.DUMMYFUNCTION("""COMPUTED_VALUE"""),FALSE)</f>
        <v>0</v>
      </c>
      <c r="K243" s="32"/>
      <c r="L243" s="32" t="b">
        <f>IFERROR(__xludf.DUMMYFUNCTION("""COMPUTED_VALUE"""),FALSE)</f>
        <v>0</v>
      </c>
      <c r="M243" s="32" t="b">
        <f>IFERROR(__xludf.DUMMYFUNCTION("""COMPUTED_VALUE"""),FALSE)</f>
        <v>0</v>
      </c>
      <c r="N243" s="32"/>
    </row>
    <row r="244">
      <c r="A244" s="32" t="str">
        <f>IFERROR(__xludf.DUMMYFUNCTION("""COMPUTED_VALUE"""),"Instant Regeneration")</f>
        <v>Instant Regeneration</v>
      </c>
      <c r="B244" s="34">
        <f>IFERROR(__xludf.DUMMYFUNCTION("""COMPUTED_VALUE"""),8.0)</f>
        <v>8</v>
      </c>
      <c r="C244" s="32">
        <f>IFERROR(__xludf.DUMMYFUNCTION("""COMPUTED_VALUE"""),200.0)</f>
        <v>200</v>
      </c>
      <c r="D244" s="32"/>
      <c r="E244" s="32"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32" t="str">
        <f>IFERROR(__xludf.DUMMYFUNCTION("""COMPUTED_VALUE"""),"Fail/succeed")</f>
        <v>Fail/succeed</v>
      </c>
      <c r="G244" s="32"/>
      <c r="H244" s="32" t="str">
        <f>IFERROR(__xludf.DUMMYFUNCTION("""COMPUTED_VALUE"""),"Light")</f>
        <v>Light</v>
      </c>
      <c r="I244" s="32" t="str">
        <f>IFERROR(__xludf.DUMMYFUNCTION("""COMPUTED_VALUE"""),"Player")</f>
        <v>Player</v>
      </c>
      <c r="J244" s="32" t="b">
        <f>IFERROR(__xludf.DUMMYFUNCTION("""COMPUTED_VALUE"""),FALSE)</f>
        <v>0</v>
      </c>
      <c r="K244" s="32"/>
      <c r="L244" s="32" t="b">
        <f>IFERROR(__xludf.DUMMYFUNCTION("""COMPUTED_VALUE"""),FALSE)</f>
        <v>0</v>
      </c>
      <c r="M244" s="32" t="b">
        <f>IFERROR(__xludf.DUMMYFUNCTION("""COMPUTED_VALUE"""),FALSE)</f>
        <v>0</v>
      </c>
      <c r="N244" s="32"/>
    </row>
    <row r="245">
      <c r="A245" s="32" t="str">
        <f>IFERROR(__xludf.DUMMYFUNCTION("""COMPUTED_VALUE"""),"Light Ray")</f>
        <v>Light Ray</v>
      </c>
      <c r="B245" s="34">
        <f>IFERROR(__xludf.DUMMYFUNCTION("""COMPUTED_VALUE"""),2.0)</f>
        <v>2</v>
      </c>
      <c r="C245" s="32">
        <f>IFERROR(__xludf.DUMMYFUNCTION("""COMPUTED_VALUE"""),20.0)</f>
        <v>20</v>
      </c>
      <c r="D245" s="32"/>
      <c r="E245" s="32" t="str">
        <f>IFERROR(__xludf.DUMMYFUNCTION("""COMPUTED_VALUE"""),"Blindness 3 to a single target and sheds light for 3 rounds.")</f>
        <v>Blindness 3 to a single target and sheds light for 3 rounds.</v>
      </c>
      <c r="F245" s="32" t="str">
        <f>IFERROR(__xludf.DUMMYFUNCTION("""COMPUTED_VALUE"""),"Hit/Miss")</f>
        <v>Hit/Miss</v>
      </c>
      <c r="G245" s="32">
        <f>IFERROR(__xludf.DUMMYFUNCTION("""COMPUTED_VALUE"""),1.0)</f>
        <v>1</v>
      </c>
      <c r="H245" s="32" t="str">
        <f>IFERROR(__xludf.DUMMYFUNCTION("""COMPUTED_VALUE"""),"Light")</f>
        <v>Light</v>
      </c>
      <c r="I245" s="32" t="str">
        <f>IFERROR(__xludf.DUMMYFUNCTION("""COMPUTED_VALUE"""),"Player")</f>
        <v>Player</v>
      </c>
      <c r="J245" s="32" t="b">
        <f>IFERROR(__xludf.DUMMYFUNCTION("""COMPUTED_VALUE"""),FALSE)</f>
        <v>0</v>
      </c>
      <c r="K245" s="32"/>
      <c r="L245" s="32" t="b">
        <f>IFERROR(__xludf.DUMMYFUNCTION("""COMPUTED_VALUE"""),FALSE)</f>
        <v>0</v>
      </c>
      <c r="M245" s="32" t="b">
        <f>IFERROR(__xludf.DUMMYFUNCTION("""COMPUTED_VALUE"""),FALSE)</f>
        <v>0</v>
      </c>
      <c r="N245" s="32"/>
    </row>
    <row r="246">
      <c r="A246" s="32" t="str">
        <f>IFERROR(__xludf.DUMMYFUNCTION("""COMPUTED_VALUE"""),"Obliterating Light of Blindness")</f>
        <v>Obliterating Light of Blindness</v>
      </c>
      <c r="B246" s="34">
        <f>IFERROR(__xludf.DUMMYFUNCTION("""COMPUTED_VALUE"""),9.0)</f>
        <v>9</v>
      </c>
      <c r="C246" s="35" t="str">
        <f>IFERROR(__xludf.DUMMYFUNCTION("""COMPUTED_VALUE"""),"300")</f>
        <v>300</v>
      </c>
      <c r="D246" s="32"/>
      <c r="E246" s="32" t="str">
        <f>IFERROR(__xludf.DUMMYFUNCTION("""COMPUTED_VALUE"""),"20,000 Light damage to all enemies, 25% chance of Blidness 3. and sheds light for 3 rounds.")</f>
        <v>20,000 Light damage to all enemies, 25% chance of Blidness 3. and sheds light for 3 rounds.</v>
      </c>
      <c r="F246" s="32" t="str">
        <f>IFERROR(__xludf.DUMMYFUNCTION("""COMPUTED_VALUE"""),"Cannot Avoid")</f>
        <v>Cannot Avoid</v>
      </c>
      <c r="G246" s="32" t="str">
        <f>IFERROR(__xludf.DUMMYFUNCTION("""COMPUTED_VALUE"""),"All")</f>
        <v>All</v>
      </c>
      <c r="H246" s="32" t="str">
        <f>IFERROR(__xludf.DUMMYFUNCTION("""COMPUTED_VALUE"""),"Light")</f>
        <v>Light</v>
      </c>
      <c r="I246" s="32" t="str">
        <f>IFERROR(__xludf.DUMMYFUNCTION("""COMPUTED_VALUE"""),"Player")</f>
        <v>Player</v>
      </c>
      <c r="J246" s="32" t="b">
        <f>IFERROR(__xludf.DUMMYFUNCTION("""COMPUTED_VALUE"""),FALSE)</f>
        <v>0</v>
      </c>
      <c r="K246" s="32"/>
      <c r="L246" s="32" t="b">
        <f>IFERROR(__xludf.DUMMYFUNCTION("""COMPUTED_VALUE"""),FALSE)</f>
        <v>0</v>
      </c>
      <c r="M246" s="32" t="b">
        <f>IFERROR(__xludf.DUMMYFUNCTION("""COMPUTED_VALUE"""),FALSE)</f>
        <v>0</v>
      </c>
      <c r="N246" s="32"/>
    </row>
    <row r="247">
      <c r="A247" s="32" t="str">
        <f>IFERROR(__xludf.DUMMYFUNCTION("""COMPUTED_VALUE"""),"Regeneration")</f>
        <v>Regeneration</v>
      </c>
      <c r="B247" s="34">
        <f>IFERROR(__xludf.DUMMYFUNCTION("""COMPUTED_VALUE"""),6.0)</f>
        <v>6</v>
      </c>
      <c r="C247" s="32" t="str">
        <f>IFERROR(__xludf.DUMMYFUNCTION("""COMPUTED_VALUE"""),"X")</f>
        <v>X</v>
      </c>
      <c r="D247" s="32"/>
      <c r="E247" s="32" t="str">
        <f>IFERROR(__xludf.DUMMYFUNCTION("""COMPUTED_VALUE"""),"+X*50 HP healed per round for 3 rounds to a single ally.")</f>
        <v>+X*50 HP healed per round for 3 rounds to a single ally.</v>
      </c>
      <c r="F247" s="32" t="str">
        <f>IFERROR(__xludf.DUMMYFUNCTION("""COMPUTED_VALUE"""),"Fail/Succeed")</f>
        <v>Fail/Succeed</v>
      </c>
      <c r="G247" s="32"/>
      <c r="H247" s="32" t="str">
        <f>IFERROR(__xludf.DUMMYFUNCTION("""COMPUTED_VALUE"""),"Light")</f>
        <v>Light</v>
      </c>
      <c r="I247" s="32" t="str">
        <f>IFERROR(__xludf.DUMMYFUNCTION("""COMPUTED_VALUE"""),"Player")</f>
        <v>Player</v>
      </c>
      <c r="J247" s="32" t="b">
        <f>IFERROR(__xludf.DUMMYFUNCTION("""COMPUTED_VALUE"""),FALSE)</f>
        <v>0</v>
      </c>
      <c r="K247" s="32"/>
      <c r="L247" s="32" t="b">
        <f>IFERROR(__xludf.DUMMYFUNCTION("""COMPUTED_VALUE"""),FALSE)</f>
        <v>0</v>
      </c>
      <c r="M247" s="32" t="b">
        <f>IFERROR(__xludf.DUMMYFUNCTION("""COMPUTED_VALUE"""),FALSE)</f>
        <v>0</v>
      </c>
      <c r="N247" s="32"/>
    </row>
    <row r="248">
      <c r="A248" s="32" t="str">
        <f>IFERROR(__xludf.DUMMYFUNCTION("""COMPUTED_VALUE"""),"Revive")</f>
        <v>Revive</v>
      </c>
      <c r="B248" s="34">
        <f>IFERROR(__xludf.DUMMYFUNCTION("""COMPUTED_VALUE"""),6.0)</f>
        <v>6</v>
      </c>
      <c r="C248" s="32">
        <f>IFERROR(__xludf.DUMMYFUNCTION("""COMPUTED_VALUE"""),60.0)</f>
        <v>60</v>
      </c>
      <c r="D248" s="32"/>
      <c r="E248" s="32" t="str">
        <f>IFERROR(__xludf.DUMMYFUNCTION("""COMPUTED_VALUE"""),"Return a target from death with half their max HP, must be done before they respawn")</f>
        <v>Return a target from death with half their max HP, must be done before they respawn</v>
      </c>
      <c r="F248" s="32" t="str">
        <f>IFERROR(__xludf.DUMMYFUNCTION("""COMPUTED_VALUE"""),"Fail/Succeed")</f>
        <v>Fail/Succeed</v>
      </c>
      <c r="G248" s="32">
        <f>IFERROR(__xludf.DUMMYFUNCTION("""COMPUTED_VALUE"""),1.0)</f>
        <v>1</v>
      </c>
      <c r="H248" s="32" t="str">
        <f>IFERROR(__xludf.DUMMYFUNCTION("""COMPUTED_VALUE"""),"Light")</f>
        <v>Light</v>
      </c>
      <c r="I248" s="32" t="str">
        <f>IFERROR(__xludf.DUMMYFUNCTION("""COMPUTED_VALUE"""),"Player")</f>
        <v>Player</v>
      </c>
      <c r="J248" s="32" t="b">
        <f>IFERROR(__xludf.DUMMYFUNCTION("""COMPUTED_VALUE"""),FALSE)</f>
        <v>0</v>
      </c>
      <c r="K248" s="32"/>
      <c r="L248" s="32" t="b">
        <f>IFERROR(__xludf.DUMMYFUNCTION("""COMPUTED_VALUE"""),FALSE)</f>
        <v>0</v>
      </c>
      <c r="M248" s="32" t="b">
        <f>IFERROR(__xludf.DUMMYFUNCTION("""COMPUTED_VALUE"""),FALSE)</f>
        <v>0</v>
      </c>
      <c r="N248" s="32"/>
    </row>
    <row r="249">
      <c r="A249" s="32" t="str">
        <f>IFERROR(__xludf.DUMMYFUNCTION("""COMPUTED_VALUE"""),"Teleport")</f>
        <v>Teleport</v>
      </c>
      <c r="B249" s="34">
        <f>IFERROR(__xludf.DUMMYFUNCTION("""COMPUTED_VALUE"""),9.0)</f>
        <v>9</v>
      </c>
      <c r="C249" s="32">
        <f>IFERROR(__xludf.DUMMYFUNCTION("""COMPUTED_VALUE"""),300.0)</f>
        <v>300</v>
      </c>
      <c r="D249" s="32"/>
      <c r="E249" s="32"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32" t="str">
        <f>IFERROR(__xludf.DUMMYFUNCTION("""COMPUTED_VALUE"""),"Fail/succeed")</f>
        <v>Fail/succeed</v>
      </c>
      <c r="G249" s="32"/>
      <c r="H249" s="32" t="str">
        <f>IFERROR(__xludf.DUMMYFUNCTION("""COMPUTED_VALUE"""),"Light")</f>
        <v>Light</v>
      </c>
      <c r="I249" s="32" t="str">
        <f>IFERROR(__xludf.DUMMYFUNCTION("""COMPUTED_VALUE"""),"Player")</f>
        <v>Player</v>
      </c>
      <c r="J249" s="32" t="b">
        <f>IFERROR(__xludf.DUMMYFUNCTION("""COMPUTED_VALUE"""),FALSE)</f>
        <v>0</v>
      </c>
      <c r="K249" s="32"/>
      <c r="L249" s="32" t="b">
        <f>IFERROR(__xludf.DUMMYFUNCTION("""COMPUTED_VALUE"""),FALSE)</f>
        <v>0</v>
      </c>
      <c r="M249" s="32" t="b">
        <f>IFERROR(__xludf.DUMMYFUNCTION("""COMPUTED_VALUE"""),FALSE)</f>
        <v>0</v>
      </c>
      <c r="N249" s="32"/>
    </row>
    <row r="250">
      <c r="A250" s="32" t="str">
        <f>IFERROR(__xludf.DUMMYFUNCTION("""COMPUTED_VALUE"""),"Continuous Light")</f>
        <v>Continuous Light</v>
      </c>
      <c r="B250" s="34">
        <f>IFERROR(__xludf.DUMMYFUNCTION("""COMPUTED_VALUE"""),3.0)</f>
        <v>3</v>
      </c>
      <c r="C250" s="32" t="str">
        <f>IFERROR(__xludf.DUMMYFUNCTION("""COMPUTED_VALUE"""),"X")</f>
        <v>X</v>
      </c>
      <c r="D250" s="32"/>
      <c r="E250" s="32" t="str">
        <f>IFERROR(__xludf.DUMMYFUNCTION("""COMPUTED_VALUE"""),"X*50 Light damage per round for 3 rounds to a single target where X is equal to SP spent.")</f>
        <v>X*50 Light damage per round for 3 rounds to a single target where X is equal to SP spent.</v>
      </c>
      <c r="F250" s="32" t="str">
        <f>IFERROR(__xludf.DUMMYFUNCTION("""COMPUTED_VALUE"""),"Hit/Miss")</f>
        <v>Hit/Miss</v>
      </c>
      <c r="G250" s="32"/>
      <c r="H250" s="32" t="str">
        <f>IFERROR(__xludf.DUMMYFUNCTION("""COMPUTED_VALUE"""),"Light")</f>
        <v>Light</v>
      </c>
      <c r="I250" s="32" t="str">
        <f>IFERROR(__xludf.DUMMYFUNCTION("""COMPUTED_VALUE"""),"Player")</f>
        <v>Player</v>
      </c>
      <c r="J250" s="32" t="b">
        <f>IFERROR(__xludf.DUMMYFUNCTION("""COMPUTED_VALUE"""),FALSE)</f>
        <v>0</v>
      </c>
      <c r="K250" s="32"/>
      <c r="L250" s="32" t="b">
        <f>IFERROR(__xludf.DUMMYFUNCTION("""COMPUTED_VALUE"""),FALSE)</f>
        <v>0</v>
      </c>
      <c r="M250" s="32" t="b">
        <f>IFERROR(__xludf.DUMMYFUNCTION("""COMPUTED_VALUE"""),FALSE)</f>
        <v>0</v>
      </c>
      <c r="N250" s="32"/>
    </row>
    <row r="251">
      <c r="A251" s="32" t="str">
        <f>IFERROR(__xludf.DUMMYFUNCTION("""COMPUTED_VALUE"""),"[Element] Swing")</f>
        <v>[Element] Swing</v>
      </c>
      <c r="B251" s="34">
        <f>IFERROR(__xludf.DUMMYFUNCTION("""COMPUTED_VALUE"""),4.0)</f>
        <v>4</v>
      </c>
      <c r="C251" s="32">
        <f>IFERROR(__xludf.DUMMYFUNCTION("""COMPUTED_VALUE"""),40.0)</f>
        <v>40</v>
      </c>
      <c r="D251" s="32"/>
      <c r="E251" s="32"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32" t="str">
        <f>IFERROR(__xludf.DUMMYFUNCTION("""COMPUTED_VALUE"""),"Fail/Succeed")</f>
        <v>Fail/Succeed</v>
      </c>
      <c r="G251" s="32"/>
      <c r="H251" s="32" t="str">
        <f>IFERROR(__xludf.DUMMYFUNCTION("""COMPUTED_VALUE"""),"Melee")</f>
        <v>Melee</v>
      </c>
      <c r="I251" s="32" t="str">
        <f>IFERROR(__xludf.DUMMYFUNCTION("""COMPUTED_VALUE"""),"Player")</f>
        <v>Player</v>
      </c>
      <c r="J251" s="32" t="b">
        <f>IFERROR(__xludf.DUMMYFUNCTION("""COMPUTED_VALUE"""),FALSE)</f>
        <v>0</v>
      </c>
      <c r="K251" s="32"/>
      <c r="L251" s="32" t="b">
        <f>IFERROR(__xludf.DUMMYFUNCTION("""COMPUTED_VALUE"""),FALSE)</f>
        <v>0</v>
      </c>
      <c r="M251" s="32" t="b">
        <f>IFERROR(__xludf.DUMMYFUNCTION("""COMPUTED_VALUE"""),TRUE)</f>
        <v>1</v>
      </c>
      <c r="N251" s="32"/>
    </row>
    <row r="252">
      <c r="A252" s="32" t="str">
        <f>IFERROR(__xludf.DUMMYFUNCTION("""COMPUTED_VALUE"""),"Berserk")</f>
        <v>Berserk</v>
      </c>
      <c r="B252" s="34">
        <f>IFERROR(__xludf.DUMMYFUNCTION("""COMPUTED_VALUE"""),8.0)</f>
        <v>8</v>
      </c>
      <c r="C252" s="32">
        <f>IFERROR(__xludf.DUMMYFUNCTION("""COMPUTED_VALUE"""),200.0)</f>
        <v>200</v>
      </c>
      <c r="D252" s="32"/>
      <c r="E252" s="32" t="str">
        <f>IFERROR(__xludf.DUMMYFUNCTION("""COMPUTED_VALUE"""),"Double your attack roll and damage dealt during your next attack.")</f>
        <v>Double your attack roll and damage dealt during your next attack.</v>
      </c>
      <c r="F252" s="32" t="str">
        <f>IFERROR(__xludf.DUMMYFUNCTION("""COMPUTED_VALUE"""),"Will Succeed")</f>
        <v>Will Succeed</v>
      </c>
      <c r="G252" s="32"/>
      <c r="H252" s="32" t="str">
        <f>IFERROR(__xludf.DUMMYFUNCTION("""COMPUTED_VALUE"""),"Melee")</f>
        <v>Melee</v>
      </c>
      <c r="I252" s="32" t="str">
        <f>IFERROR(__xludf.DUMMYFUNCTION("""COMPUTED_VALUE"""),"Player")</f>
        <v>Player</v>
      </c>
      <c r="J252" s="32" t="b">
        <f>IFERROR(__xludf.DUMMYFUNCTION("""COMPUTED_VALUE"""),FALSE)</f>
        <v>0</v>
      </c>
      <c r="K252" s="32"/>
      <c r="L252" s="32" t="b">
        <f>IFERROR(__xludf.DUMMYFUNCTION("""COMPUTED_VALUE"""),FALSE)</f>
        <v>0</v>
      </c>
      <c r="M252" s="32" t="b">
        <f>IFERROR(__xludf.DUMMYFUNCTION("""COMPUTED_VALUE"""),TRUE)</f>
        <v>1</v>
      </c>
      <c r="N252" s="32"/>
    </row>
    <row r="253">
      <c r="A253" s="32" t="str">
        <f>IFERROR(__xludf.DUMMYFUNCTION("""COMPUTED_VALUE"""),"Blade Barrier")</f>
        <v>Blade Barrier</v>
      </c>
      <c r="B253" s="34">
        <f>IFERROR(__xludf.DUMMYFUNCTION("""COMPUTED_VALUE"""),6.0)</f>
        <v>6</v>
      </c>
      <c r="C253" s="32">
        <f>IFERROR(__xludf.DUMMYFUNCTION("""COMPUTED_VALUE"""),60.0)</f>
        <v>60</v>
      </c>
      <c r="D253" s="32"/>
      <c r="E253" s="32"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32" t="str">
        <f>IFERROR(__xludf.DUMMYFUNCTION("""COMPUTED_VALUE"""),"Fail/Succeed")</f>
        <v>Fail/Succeed</v>
      </c>
      <c r="G253" s="32"/>
      <c r="H253" s="32" t="str">
        <f>IFERROR(__xludf.DUMMYFUNCTION("""COMPUTED_VALUE"""),"Melee")</f>
        <v>Melee</v>
      </c>
      <c r="I253" s="32" t="str">
        <f>IFERROR(__xludf.DUMMYFUNCTION("""COMPUTED_VALUE"""),"Player")</f>
        <v>Player</v>
      </c>
      <c r="J253" s="32" t="b">
        <f>IFERROR(__xludf.DUMMYFUNCTION("""COMPUTED_VALUE"""),FALSE)</f>
        <v>0</v>
      </c>
      <c r="K253" s="32"/>
      <c r="L253" s="32" t="b">
        <f>IFERROR(__xludf.DUMMYFUNCTION("""COMPUTED_VALUE"""),FALSE)</f>
        <v>0</v>
      </c>
      <c r="M253" s="32" t="b">
        <f>IFERROR(__xludf.DUMMYFUNCTION("""COMPUTED_VALUE"""),TRUE)</f>
        <v>1</v>
      </c>
      <c r="N253" s="32"/>
    </row>
    <row r="254">
      <c r="A254" s="32" t="str">
        <f>IFERROR(__xludf.DUMMYFUNCTION("""COMPUTED_VALUE"""),"Double Strike")</f>
        <v>Double Strike</v>
      </c>
      <c r="B254" s="34">
        <f>IFERROR(__xludf.DUMMYFUNCTION("""COMPUTED_VALUE"""),9.0)</f>
        <v>9</v>
      </c>
      <c r="C254" s="32">
        <f>IFERROR(__xludf.DUMMYFUNCTION("""COMPUTED_VALUE"""),300.0)</f>
        <v>300</v>
      </c>
      <c r="D254" s="32"/>
      <c r="E254" s="32" t="str">
        <f>IFERROR(__xludf.DUMMYFUNCTION("""COMPUTED_VALUE"""),"Allows you to attack an additional time during your next attack with a weapon or natural attack.")</f>
        <v>Allows you to attack an additional time during your next attack with a weapon or natural attack.</v>
      </c>
      <c r="F254" s="32" t="str">
        <f>IFERROR(__xludf.DUMMYFUNCTION("""COMPUTED_VALUE"""),"Will Succeed")</f>
        <v>Will Succeed</v>
      </c>
      <c r="G254" s="32" t="str">
        <f>IFERROR(__xludf.DUMMYFUNCTION("""COMPUTED_VALUE"""),"Self")</f>
        <v>Self</v>
      </c>
      <c r="H254" s="32" t="str">
        <f>IFERROR(__xludf.DUMMYFUNCTION("""COMPUTED_VALUE"""),"Melee")</f>
        <v>Melee</v>
      </c>
      <c r="I254" s="32" t="str">
        <f>IFERROR(__xludf.DUMMYFUNCTION("""COMPUTED_VALUE"""),"Player")</f>
        <v>Player</v>
      </c>
      <c r="J254" s="32" t="b">
        <f>IFERROR(__xludf.DUMMYFUNCTION("""COMPUTED_VALUE"""),FALSE)</f>
        <v>0</v>
      </c>
      <c r="K254" s="32"/>
      <c r="L254" s="32" t="b">
        <f>IFERROR(__xludf.DUMMYFUNCTION("""COMPUTED_VALUE"""),FALSE)</f>
        <v>0</v>
      </c>
      <c r="M254" s="32" t="b">
        <f>IFERROR(__xludf.DUMMYFUNCTION("""COMPUTED_VALUE"""),TRUE)</f>
        <v>1</v>
      </c>
      <c r="N254" s="32"/>
    </row>
    <row r="255">
      <c r="A255" s="32" t="str">
        <f>IFERROR(__xludf.DUMMYFUNCTION("""COMPUTED_VALUE"""),"Energy Charge")</f>
        <v>Energy Charge</v>
      </c>
      <c r="B255" s="34">
        <f>IFERROR(__xludf.DUMMYFUNCTION("""COMPUTED_VALUE"""),7.0)</f>
        <v>7</v>
      </c>
      <c r="C255" s="32" t="str">
        <f>IFERROR(__xludf.DUMMYFUNCTION("""COMPUTED_VALUE"""),"X")</f>
        <v>X</v>
      </c>
      <c r="D255" s="32"/>
      <c r="E255" s="32" t="str">
        <f>IFERROR(__xludf.DUMMYFUNCTION("""COMPUTED_VALUE"""),"Raises attack and accuracy by X*2 SP")</f>
        <v>Raises attack and accuracy by X*2 SP</v>
      </c>
      <c r="F255" s="32" t="str">
        <f>IFERROR(__xludf.DUMMYFUNCTION("""COMPUTED_VALUE"""),"Will Succeed")</f>
        <v>Will Succeed</v>
      </c>
      <c r="G255" s="32"/>
      <c r="H255" s="32" t="str">
        <f>IFERROR(__xludf.DUMMYFUNCTION("""COMPUTED_VALUE"""),"Melee")</f>
        <v>Melee</v>
      </c>
      <c r="I255" s="32" t="str">
        <f>IFERROR(__xludf.DUMMYFUNCTION("""COMPUTED_VALUE"""),"Player")</f>
        <v>Player</v>
      </c>
      <c r="J255" s="32" t="b">
        <f>IFERROR(__xludf.DUMMYFUNCTION("""COMPUTED_VALUE"""),FALSE)</f>
        <v>0</v>
      </c>
      <c r="K255" s="32"/>
      <c r="L255" s="32" t="b">
        <f>IFERROR(__xludf.DUMMYFUNCTION("""COMPUTED_VALUE"""),FALSE)</f>
        <v>0</v>
      </c>
      <c r="M255" s="32" t="b">
        <f>IFERROR(__xludf.DUMMYFUNCTION("""COMPUTED_VALUE"""),TRUE)</f>
        <v>1</v>
      </c>
      <c r="N255" s="32"/>
    </row>
    <row r="256">
      <c r="A256" s="32" t="str">
        <f>IFERROR(__xludf.DUMMYFUNCTION("""COMPUTED_VALUE"""),"Go For The Vitals")</f>
        <v>Go For The Vitals</v>
      </c>
      <c r="B256" s="34">
        <f>IFERROR(__xludf.DUMMYFUNCTION("""COMPUTED_VALUE"""),2.0)</f>
        <v>2</v>
      </c>
      <c r="C256" s="32">
        <f>IFERROR(__xludf.DUMMYFUNCTION("""COMPUTED_VALUE"""),20.0)</f>
        <v>20</v>
      </c>
      <c r="D256" s="32"/>
      <c r="E256" s="32" t="str">
        <f>IFERROR(__xludf.DUMMYFUNCTION("""COMPUTED_VALUE"""),"Treat your next attack roll as double.")</f>
        <v>Treat your next attack roll as double.</v>
      </c>
      <c r="F256" s="32" t="str">
        <f>IFERROR(__xludf.DUMMYFUNCTION("""COMPUTED_VALUE"""),"Fail/Succeed")</f>
        <v>Fail/Succeed</v>
      </c>
      <c r="G256" s="32"/>
      <c r="H256" s="32" t="str">
        <f>IFERROR(__xludf.DUMMYFUNCTION("""COMPUTED_VALUE"""),"Melee")</f>
        <v>Melee</v>
      </c>
      <c r="I256" s="32" t="str">
        <f>IFERROR(__xludf.DUMMYFUNCTION("""COMPUTED_VALUE"""),"Player")</f>
        <v>Player</v>
      </c>
      <c r="J256" s="32" t="b">
        <f>IFERROR(__xludf.DUMMYFUNCTION("""COMPUTED_VALUE"""),FALSE)</f>
        <v>0</v>
      </c>
      <c r="K256" s="32"/>
      <c r="L256" s="32" t="b">
        <f>IFERROR(__xludf.DUMMYFUNCTION("""COMPUTED_VALUE"""),FALSE)</f>
        <v>0</v>
      </c>
      <c r="M256" s="32" t="b">
        <f>IFERROR(__xludf.DUMMYFUNCTION("""COMPUTED_VALUE"""),TRUE)</f>
        <v>1</v>
      </c>
      <c r="N256" s="32"/>
    </row>
    <row r="257">
      <c r="A257" s="32" t="str">
        <f>IFERROR(__xludf.DUMMYFUNCTION("""COMPUTED_VALUE"""),"Hard swing")</f>
        <v>Hard swing</v>
      </c>
      <c r="B257" s="34">
        <f>IFERROR(__xludf.DUMMYFUNCTION("""COMPUTED_VALUE"""),1.0)</f>
        <v>1</v>
      </c>
      <c r="C257" s="32">
        <f>IFERROR(__xludf.DUMMYFUNCTION("""COMPUTED_VALUE"""),10.0)</f>
        <v>10</v>
      </c>
      <c r="D257" s="32"/>
      <c r="E257" s="32" t="str">
        <f>IFERROR(__xludf.DUMMYFUNCTION("""COMPUTED_VALUE"""),"During your next attack while attacking with a weapon; Roll for the attack twice and take the higher number.")</f>
        <v>During your next attack while attacking with a weapon; Roll for the attack twice and take the higher number.</v>
      </c>
      <c r="F257" s="32" t="str">
        <f>IFERROR(__xludf.DUMMYFUNCTION("""COMPUTED_VALUE"""),"Fail/Succeed")</f>
        <v>Fail/Succeed</v>
      </c>
      <c r="G257" s="32"/>
      <c r="H257" s="32" t="str">
        <f>IFERROR(__xludf.DUMMYFUNCTION("""COMPUTED_VALUE"""),"Melee")</f>
        <v>Melee</v>
      </c>
      <c r="I257" s="32" t="str">
        <f>IFERROR(__xludf.DUMMYFUNCTION("""COMPUTED_VALUE"""),"Player")</f>
        <v>Player</v>
      </c>
      <c r="J257" s="32" t="b">
        <f>IFERROR(__xludf.DUMMYFUNCTION("""COMPUTED_VALUE"""),FALSE)</f>
        <v>0</v>
      </c>
      <c r="K257" s="32"/>
      <c r="L257" s="32" t="b">
        <f>IFERROR(__xludf.DUMMYFUNCTION("""COMPUTED_VALUE"""),FALSE)</f>
        <v>0</v>
      </c>
      <c r="M257" s="32" t="b">
        <f>IFERROR(__xludf.DUMMYFUNCTION("""COMPUTED_VALUE"""),TRUE)</f>
        <v>1</v>
      </c>
      <c r="N257" s="32"/>
    </row>
    <row r="258">
      <c r="A258" s="32" t="str">
        <f>IFERROR(__xludf.DUMMYFUNCTION("""COMPUTED_VALUE"""),"Melee Barrier")</f>
        <v>Melee Barrier</v>
      </c>
      <c r="B258" s="34">
        <f>IFERROR(__xludf.DUMMYFUNCTION("""COMPUTED_VALUE"""),3.0)</f>
        <v>3</v>
      </c>
      <c r="C258" s="32">
        <f>IFERROR(__xludf.DUMMYFUNCTION("""COMPUTED_VALUE"""),30.0)</f>
        <v>30</v>
      </c>
      <c r="D258" s="32"/>
      <c r="E258" s="32" t="str">
        <f>IFERROR(__xludf.DUMMYFUNCTION("""COMPUTED_VALUE"""),"Take half damage from the next attack.")</f>
        <v>Take half damage from the next attack.</v>
      </c>
      <c r="F258" s="32" t="str">
        <f>IFERROR(__xludf.DUMMYFUNCTION("""COMPUTED_VALUE"""),"Fail/Succeed")</f>
        <v>Fail/Succeed</v>
      </c>
      <c r="G258" s="32"/>
      <c r="H258" s="32" t="str">
        <f>IFERROR(__xludf.DUMMYFUNCTION("""COMPUTED_VALUE"""),"Melee")</f>
        <v>Melee</v>
      </c>
      <c r="I258" s="32" t="str">
        <f>IFERROR(__xludf.DUMMYFUNCTION("""COMPUTED_VALUE"""),"Player")</f>
        <v>Player</v>
      </c>
      <c r="J258" s="32" t="b">
        <f>IFERROR(__xludf.DUMMYFUNCTION("""COMPUTED_VALUE"""),FALSE)</f>
        <v>0</v>
      </c>
      <c r="K258" s="32"/>
      <c r="L258" s="32" t="b">
        <f>IFERROR(__xludf.DUMMYFUNCTION("""COMPUTED_VALUE"""),FALSE)</f>
        <v>0</v>
      </c>
      <c r="M258" s="32" t="b">
        <f>IFERROR(__xludf.DUMMYFUNCTION("""COMPUTED_VALUE"""),TRUE)</f>
        <v>1</v>
      </c>
      <c r="N258" s="32"/>
    </row>
    <row r="259">
      <c r="A259" s="32" t="str">
        <f>IFERROR(__xludf.DUMMYFUNCTION("""COMPUTED_VALUE"""),"Melee Boost")</f>
        <v>Melee Boost</v>
      </c>
      <c r="B259" s="34">
        <f>IFERROR(__xludf.DUMMYFUNCTION("""COMPUTED_VALUE"""),8.0)</f>
        <v>8</v>
      </c>
      <c r="C259" s="32">
        <f>IFERROR(__xludf.DUMMYFUNCTION("""COMPUTED_VALUE"""),200.0)</f>
        <v>200</v>
      </c>
      <c r="D259" s="32"/>
      <c r="E259" s="32" t="str">
        <f>IFERROR(__xludf.DUMMYFUNCTION("""COMPUTED_VALUE"""),"X2 attack for caster only.")</f>
        <v>X2 attack for caster only.</v>
      </c>
      <c r="F259" s="32" t="str">
        <f>IFERROR(__xludf.DUMMYFUNCTION("""COMPUTED_VALUE"""),"Will Succeed")</f>
        <v>Will Succeed</v>
      </c>
      <c r="G259" s="32"/>
      <c r="H259" s="32" t="str">
        <f>IFERROR(__xludf.DUMMYFUNCTION("""COMPUTED_VALUE"""),"Melee")</f>
        <v>Melee</v>
      </c>
      <c r="I259" s="32" t="str">
        <f>IFERROR(__xludf.DUMMYFUNCTION("""COMPUTED_VALUE"""),"Player")</f>
        <v>Player</v>
      </c>
      <c r="J259" s="32" t="b">
        <f>IFERROR(__xludf.DUMMYFUNCTION("""COMPUTED_VALUE"""),FALSE)</f>
        <v>0</v>
      </c>
      <c r="K259" s="32"/>
      <c r="L259" s="32" t="b">
        <f>IFERROR(__xludf.DUMMYFUNCTION("""COMPUTED_VALUE"""),FALSE)</f>
        <v>0</v>
      </c>
      <c r="M259" s="32" t="b">
        <f>IFERROR(__xludf.DUMMYFUNCTION("""COMPUTED_VALUE"""),TRUE)</f>
        <v>1</v>
      </c>
      <c r="N259" s="32"/>
    </row>
    <row r="260">
      <c r="A260" s="32" t="str">
        <f>IFERROR(__xludf.DUMMYFUNCTION("""COMPUTED_VALUE"""),"Melee Shield")</f>
        <v>Melee Shield</v>
      </c>
      <c r="B260" s="34">
        <f>IFERROR(__xludf.DUMMYFUNCTION("""COMPUTED_VALUE"""),5.0)</f>
        <v>5</v>
      </c>
      <c r="C260" s="32">
        <f>IFERROR(__xludf.DUMMYFUNCTION("""COMPUTED_VALUE"""),50.0)</f>
        <v>50</v>
      </c>
      <c r="D260" s="32"/>
      <c r="E260" s="32" t="str">
        <f>IFERROR(__xludf.DUMMYFUNCTION("""COMPUTED_VALUE"""),"You take no damage from the next weapon attack targeting you.")</f>
        <v>You take no damage from the next weapon attack targeting you.</v>
      </c>
      <c r="F260" s="32" t="str">
        <f>IFERROR(__xludf.DUMMYFUNCTION("""COMPUTED_VALUE"""),"Fail/Succeed")</f>
        <v>Fail/Succeed</v>
      </c>
      <c r="G260" s="32"/>
      <c r="H260" s="32" t="str">
        <f>IFERROR(__xludf.DUMMYFUNCTION("""COMPUTED_VALUE"""),"Melee")</f>
        <v>Melee</v>
      </c>
      <c r="I260" s="32" t="str">
        <f>IFERROR(__xludf.DUMMYFUNCTION("""COMPUTED_VALUE"""),"Player")</f>
        <v>Player</v>
      </c>
      <c r="J260" s="32" t="b">
        <f>IFERROR(__xludf.DUMMYFUNCTION("""COMPUTED_VALUE"""),FALSE)</f>
        <v>0</v>
      </c>
      <c r="K260" s="32"/>
      <c r="L260" s="32" t="b">
        <f>IFERROR(__xludf.DUMMYFUNCTION("""COMPUTED_VALUE"""),FALSE)</f>
        <v>0</v>
      </c>
      <c r="M260" s="32" t="b">
        <f>IFERROR(__xludf.DUMMYFUNCTION("""COMPUTED_VALUE"""),TRUE)</f>
        <v>1</v>
      </c>
      <c r="N260" s="32"/>
    </row>
    <row r="261">
      <c r="A261" s="32" t="str">
        <f>IFERROR(__xludf.DUMMYFUNCTION("""COMPUTED_VALUE"""),"Tower Of Balance II")</f>
        <v>Tower Of Balance II</v>
      </c>
      <c r="B261" s="34">
        <f>IFERROR(__xludf.DUMMYFUNCTION("""COMPUTED_VALUE"""),8.0)</f>
        <v>8</v>
      </c>
      <c r="C261" s="32">
        <f>IFERROR(__xludf.DUMMYFUNCTION("""COMPUTED_VALUE"""),200.0)</f>
        <v>200</v>
      </c>
      <c r="D261" s="32"/>
      <c r="E261" s="32"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32" t="str">
        <f>IFERROR(__xludf.DUMMYFUNCTION("""COMPUTED_VALUE"""),"Will Succeed")</f>
        <v>Will Succeed</v>
      </c>
      <c r="G261" s="32"/>
      <c r="H261" s="32" t="str">
        <f>IFERROR(__xludf.DUMMYFUNCTION("""COMPUTED_VALUE"""),"Melee")</f>
        <v>Melee</v>
      </c>
      <c r="I261" s="32" t="str">
        <f>IFERROR(__xludf.DUMMYFUNCTION("""COMPUTED_VALUE"""),"Player")</f>
        <v>Player</v>
      </c>
      <c r="J261" s="32" t="b">
        <f>IFERROR(__xludf.DUMMYFUNCTION("""COMPUTED_VALUE"""),FALSE)</f>
        <v>0</v>
      </c>
      <c r="K261" s="32"/>
      <c r="L261" s="32" t="b">
        <f>IFERROR(__xludf.DUMMYFUNCTION("""COMPUTED_VALUE"""),FALSE)</f>
        <v>0</v>
      </c>
      <c r="M261" s="32" t="b">
        <f>IFERROR(__xludf.DUMMYFUNCTION("""COMPUTED_VALUE"""),TRUE)</f>
        <v>1</v>
      </c>
      <c r="N261" s="32"/>
    </row>
    <row r="262">
      <c r="A262" s="32" t="str">
        <f>IFERROR(__xludf.DUMMYFUNCTION("""COMPUTED_VALUE"""),"Ancient Forest Colossus form")</f>
        <v>Ancient Forest Colossus form</v>
      </c>
      <c r="B262" s="34">
        <f>IFERROR(__xludf.DUMMYFUNCTION("""COMPUTED_VALUE"""),9.0)</f>
        <v>9</v>
      </c>
      <c r="C262" s="32">
        <f>IFERROR(__xludf.DUMMYFUNCTION("""COMPUTED_VALUE"""),300.0)</f>
        <v>300</v>
      </c>
      <c r="D262" s="32"/>
      <c r="E262" s="32"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32" t="str">
        <f>IFERROR(__xludf.DUMMYFUNCTION("""COMPUTED_VALUE"""),"Fail/succeed")</f>
        <v>Fail/succeed</v>
      </c>
      <c r="G262" s="32"/>
      <c r="H262" s="32" t="str">
        <f>IFERROR(__xludf.DUMMYFUNCTION("""COMPUTED_VALUE"""),"Nature")</f>
        <v>Nature</v>
      </c>
      <c r="I262" s="32" t="str">
        <f>IFERROR(__xludf.DUMMYFUNCTION("""COMPUTED_VALUE"""),"Player")</f>
        <v>Player</v>
      </c>
      <c r="J262" s="32" t="b">
        <f>IFERROR(__xludf.DUMMYFUNCTION("""COMPUTED_VALUE"""),FALSE)</f>
        <v>0</v>
      </c>
      <c r="K262" s="32"/>
      <c r="L262" s="32" t="b">
        <f>IFERROR(__xludf.DUMMYFUNCTION("""COMPUTED_VALUE"""),FALSE)</f>
        <v>0</v>
      </c>
      <c r="M262" s="32" t="b">
        <f>IFERROR(__xludf.DUMMYFUNCTION("""COMPUTED_VALUE"""),FALSE)</f>
        <v>0</v>
      </c>
      <c r="N262" s="32"/>
    </row>
    <row r="263">
      <c r="A263" s="32" t="str">
        <f>IFERROR(__xludf.DUMMYFUNCTION("""COMPUTED_VALUE"""),"Beast Form")</f>
        <v>Beast Form</v>
      </c>
      <c r="B263" s="34">
        <f>IFERROR(__xludf.DUMMYFUNCTION("""COMPUTED_VALUE"""),5.0)</f>
        <v>5</v>
      </c>
      <c r="C263" s="32">
        <f>IFERROR(__xludf.DUMMYFUNCTION("""COMPUTED_VALUE"""),50.0)</f>
        <v>50</v>
      </c>
      <c r="D263" s="32"/>
      <c r="E263" s="32" t="str">
        <f>IFERROR(__xludf.DUMMYFUNCTION("""COMPUTED_VALUE"""),"You become a beast that is equal or lower level than you.")</f>
        <v>You become a beast that is equal or lower level than you.</v>
      </c>
      <c r="F263" s="32" t="str">
        <f>IFERROR(__xludf.DUMMYFUNCTION("""COMPUTED_VALUE"""),"Fail/succeed")</f>
        <v>Fail/succeed</v>
      </c>
      <c r="G263" s="32"/>
      <c r="H263" s="32" t="str">
        <f>IFERROR(__xludf.DUMMYFUNCTION("""COMPUTED_VALUE"""),"Nature")</f>
        <v>Nature</v>
      </c>
      <c r="I263" s="32" t="str">
        <f>IFERROR(__xludf.DUMMYFUNCTION("""COMPUTED_VALUE"""),"Player")</f>
        <v>Player</v>
      </c>
      <c r="J263" s="32" t="b">
        <f>IFERROR(__xludf.DUMMYFUNCTION("""COMPUTED_VALUE"""),FALSE)</f>
        <v>0</v>
      </c>
      <c r="K263" s="32"/>
      <c r="L263" s="32" t="b">
        <f>IFERROR(__xludf.DUMMYFUNCTION("""COMPUTED_VALUE"""),FALSE)</f>
        <v>0</v>
      </c>
      <c r="M263" s="32" t="b">
        <f>IFERROR(__xludf.DUMMYFUNCTION("""COMPUTED_VALUE"""),FALSE)</f>
        <v>0</v>
      </c>
      <c r="N263" s="32"/>
    </row>
    <row r="264">
      <c r="A264" s="32" t="str">
        <f>IFERROR(__xludf.DUMMYFUNCTION("""COMPUTED_VALUE"""),"Call of the Ancient Forest")</f>
        <v>Call of the Ancient Forest</v>
      </c>
      <c r="B264" s="34">
        <f>IFERROR(__xludf.DUMMYFUNCTION("""COMPUTED_VALUE"""),9.0)</f>
        <v>9</v>
      </c>
      <c r="C264" s="33">
        <f>IFERROR(__xludf.DUMMYFUNCTION("""COMPUTED_VALUE"""),5000.0)</f>
        <v>5000</v>
      </c>
      <c r="D264" s="32"/>
      <c r="E264" s="32" t="str">
        <f>IFERROR(__xludf.DUMMYFUNCTION("""COMPUTED_VALUE"""),"(1 use): Summons a Ancient Forest Colossus")</f>
        <v>(1 use): Summons a Ancient Forest Colossus</v>
      </c>
      <c r="F264" s="32" t="str">
        <f>IFERROR(__xludf.DUMMYFUNCTION("""COMPUTED_VALUE"""),"Fail/Succeed")</f>
        <v>Fail/Succeed</v>
      </c>
      <c r="G264" s="32" t="str">
        <f>IFERROR(__xludf.DUMMYFUNCTION("""COMPUTED_VALUE"""),"Self")</f>
        <v>Self</v>
      </c>
      <c r="H264" s="32" t="str">
        <f>IFERROR(__xludf.DUMMYFUNCTION("""COMPUTED_VALUE"""),"Nature")</f>
        <v>Nature</v>
      </c>
      <c r="I264" s="32" t="str">
        <f>IFERROR(__xludf.DUMMYFUNCTION("""COMPUTED_VALUE"""),"Mob")</f>
        <v>Mob</v>
      </c>
      <c r="J264" s="32" t="b">
        <f>IFERROR(__xludf.DUMMYFUNCTION("""COMPUTED_VALUE"""),TRUE)</f>
        <v>1</v>
      </c>
      <c r="K264" s="32"/>
      <c r="L264" s="32" t="b">
        <f>IFERROR(__xludf.DUMMYFUNCTION("""COMPUTED_VALUE"""),FALSE)</f>
        <v>0</v>
      </c>
      <c r="M264" s="32" t="b">
        <f>IFERROR(__xludf.DUMMYFUNCTION("""COMPUTED_VALUE"""),FALSE)</f>
        <v>0</v>
      </c>
      <c r="N264" s="32"/>
    </row>
    <row r="265">
      <c r="A265" s="32" t="str">
        <f>IFERROR(__xludf.DUMMYFUNCTION("""COMPUTED_VALUE"""),"Class 3 Poison")</f>
        <v>Class 3 Poison</v>
      </c>
      <c r="B265" s="34">
        <f>IFERROR(__xludf.DUMMYFUNCTION("""COMPUTED_VALUE"""),9.0)</f>
        <v>9</v>
      </c>
      <c r="C265" s="33">
        <f>IFERROR(__xludf.DUMMYFUNCTION("""COMPUTED_VALUE"""),5000.0)</f>
        <v>5000</v>
      </c>
      <c r="D265" s="32"/>
      <c r="E265" s="32" t="str">
        <f>IFERROR(__xludf.DUMMYFUNCTION("""COMPUTED_VALUE"""),"When attacked, the attacker will take Poison 10,000 for 3 rounds.")</f>
        <v>When attacked, the attacker will take Poison 10,000 for 3 rounds.</v>
      </c>
      <c r="F265" s="32" t="str">
        <f>IFERROR(__xludf.DUMMYFUNCTION("""COMPUTED_VALUE"""),"Fail/Succeed")</f>
        <v>Fail/Succeed</v>
      </c>
      <c r="G265" s="32" t="str">
        <f>IFERROR(__xludf.DUMMYFUNCTION("""COMPUTED_VALUE"""),"Self")</f>
        <v>Self</v>
      </c>
      <c r="H265" s="32" t="str">
        <f>IFERROR(__xludf.DUMMYFUNCTION("""COMPUTED_VALUE"""),"Nature")</f>
        <v>Nature</v>
      </c>
      <c r="I265" s="32" t="str">
        <f>IFERROR(__xludf.DUMMYFUNCTION("""COMPUTED_VALUE"""),"Mob")</f>
        <v>Mob</v>
      </c>
      <c r="J265" s="32" t="b">
        <f>IFERROR(__xludf.DUMMYFUNCTION("""COMPUTED_VALUE"""),TRUE)</f>
        <v>1</v>
      </c>
      <c r="K265" s="32"/>
      <c r="L265" s="32" t="b">
        <f>IFERROR(__xludf.DUMMYFUNCTION("""COMPUTED_VALUE"""),FALSE)</f>
        <v>0</v>
      </c>
      <c r="M265" s="32" t="b">
        <f>IFERROR(__xludf.DUMMYFUNCTION("""COMPUTED_VALUE"""),FALSE)</f>
        <v>0</v>
      </c>
      <c r="N265" s="32"/>
    </row>
    <row r="266">
      <c r="A266" s="32" t="str">
        <f>IFERROR(__xludf.DUMMYFUNCTION("""COMPUTED_VALUE"""),"Creature Control")</f>
        <v>Creature Control</v>
      </c>
      <c r="B266" s="34">
        <f>IFERROR(__xludf.DUMMYFUNCTION("""COMPUTED_VALUE"""),3.0)</f>
        <v>3</v>
      </c>
      <c r="C266" s="32">
        <f>IFERROR(__xludf.DUMMYFUNCTION("""COMPUTED_VALUE"""),30.0)</f>
        <v>30</v>
      </c>
      <c r="D266" s="32"/>
      <c r="E266" s="32"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32" t="str">
        <f>IFERROR(__xludf.DUMMYFUNCTION("""COMPUTED_VALUE"""),"Fail/succeed")</f>
        <v>Fail/succeed</v>
      </c>
      <c r="G266" s="32"/>
      <c r="H266" s="32" t="str">
        <f>IFERROR(__xludf.DUMMYFUNCTION("""COMPUTED_VALUE"""),"Nature")</f>
        <v>Nature</v>
      </c>
      <c r="I266" s="32" t="str">
        <f>IFERROR(__xludf.DUMMYFUNCTION("""COMPUTED_VALUE"""),"Player")</f>
        <v>Player</v>
      </c>
      <c r="J266" s="32" t="b">
        <f>IFERROR(__xludf.DUMMYFUNCTION("""COMPUTED_VALUE"""),FALSE)</f>
        <v>0</v>
      </c>
      <c r="K266" s="32"/>
      <c r="L266" s="32" t="b">
        <f>IFERROR(__xludf.DUMMYFUNCTION("""COMPUTED_VALUE"""),FALSE)</f>
        <v>0</v>
      </c>
      <c r="M266" s="32" t="b">
        <f>IFERROR(__xludf.DUMMYFUNCTION("""COMPUTED_VALUE"""),FALSE)</f>
        <v>0</v>
      </c>
      <c r="N266" s="32"/>
    </row>
    <row r="267">
      <c r="A267" s="32" t="str">
        <f>IFERROR(__xludf.DUMMYFUNCTION("""COMPUTED_VALUE"""),"Grounds")</f>
        <v>Grounds</v>
      </c>
      <c r="B267" s="34">
        <f>IFERROR(__xludf.DUMMYFUNCTION("""COMPUTED_VALUE"""),9.0)</f>
        <v>9</v>
      </c>
      <c r="C267" s="32" t="str">
        <f>IFERROR(__xludf.DUMMYFUNCTION("""COMPUTED_VALUE"""),"X")</f>
        <v>X</v>
      </c>
      <c r="D267" s="32"/>
      <c r="E267" s="32"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32" t="str">
        <f>IFERROR(__xludf.DUMMYFUNCTION("""COMPUTED_VALUE"""),"Will Succeed")</f>
        <v>Will Succeed</v>
      </c>
      <c r="G267" s="32"/>
      <c r="H267" s="32" t="str">
        <f>IFERROR(__xludf.DUMMYFUNCTION("""COMPUTED_VALUE"""),"Nature")</f>
        <v>Nature</v>
      </c>
      <c r="I267" s="32" t="str">
        <f>IFERROR(__xludf.DUMMYFUNCTION("""COMPUTED_VALUE"""),"Player")</f>
        <v>Player</v>
      </c>
      <c r="J267" s="32" t="b">
        <f>IFERROR(__xludf.DUMMYFUNCTION("""COMPUTED_VALUE"""),FALSE)</f>
        <v>0</v>
      </c>
      <c r="K267" s="32"/>
      <c r="L267" s="32" t="b">
        <f>IFERROR(__xludf.DUMMYFUNCTION("""COMPUTED_VALUE"""),FALSE)</f>
        <v>0</v>
      </c>
      <c r="M267" s="32" t="b">
        <f>IFERROR(__xludf.DUMMYFUNCTION("""COMPUTED_VALUE"""),FALSE)</f>
        <v>0</v>
      </c>
      <c r="N267" s="32"/>
    </row>
    <row r="268">
      <c r="A268" s="32" t="str">
        <f>IFERROR(__xludf.DUMMYFUNCTION("""COMPUTED_VALUE"""),"Nature Ward")</f>
        <v>Nature Ward</v>
      </c>
      <c r="B268" s="34">
        <f>IFERROR(__xludf.DUMMYFUNCTION("""COMPUTED_VALUE"""),9.0)</f>
        <v>9</v>
      </c>
      <c r="C268" s="32">
        <f>IFERROR(__xludf.DUMMYFUNCTION("""COMPUTED_VALUE"""),300.0)</f>
        <v>300</v>
      </c>
      <c r="D268" s="32"/>
      <c r="E268" s="3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32" t="str">
        <f>IFERROR(__xludf.DUMMYFUNCTION("""COMPUTED_VALUE"""),"Fail/Succeed")</f>
        <v>Fail/Succeed</v>
      </c>
      <c r="G268" s="32">
        <f>IFERROR(__xludf.DUMMYFUNCTION("""COMPUTED_VALUE"""),1.0)</f>
        <v>1</v>
      </c>
      <c r="H268" s="32" t="str">
        <f>IFERROR(__xludf.DUMMYFUNCTION("""COMPUTED_VALUE"""),"Nature")</f>
        <v>Nature</v>
      </c>
      <c r="I268" s="32" t="str">
        <f>IFERROR(__xludf.DUMMYFUNCTION("""COMPUTED_VALUE"""),"Player")</f>
        <v>Player</v>
      </c>
      <c r="J268" s="32" t="b">
        <f>IFERROR(__xludf.DUMMYFUNCTION("""COMPUTED_VALUE"""),FALSE)</f>
        <v>0</v>
      </c>
      <c r="K268" s="32"/>
      <c r="L268" s="32" t="b">
        <f>IFERROR(__xludf.DUMMYFUNCTION("""COMPUTED_VALUE"""),FALSE)</f>
        <v>0</v>
      </c>
      <c r="M268" s="32" t="b">
        <f>IFERROR(__xludf.DUMMYFUNCTION("""COMPUTED_VALUE"""),FALSE)</f>
        <v>0</v>
      </c>
      <c r="N268" s="32"/>
    </row>
    <row r="269">
      <c r="A269" s="32" t="str">
        <f>IFERROR(__xludf.DUMMYFUNCTION("""COMPUTED_VALUE"""),"Poison Fang")</f>
        <v>Poison Fang</v>
      </c>
      <c r="B269" s="34">
        <f>IFERROR(__xludf.DUMMYFUNCTION("""COMPUTED_VALUE"""),1.0)</f>
        <v>1</v>
      </c>
      <c r="C269" s="32">
        <f>IFERROR(__xludf.DUMMYFUNCTION("""COMPUTED_VALUE"""),0.0)</f>
        <v>0</v>
      </c>
      <c r="D269" s="32"/>
      <c r="E269" s="32" t="str">
        <f>IFERROR(__xludf.DUMMYFUNCTION("""COMPUTED_VALUE"""),"Poison 1000")</f>
        <v>Poison 1000</v>
      </c>
      <c r="F269" s="32" t="str">
        <f>IFERROR(__xludf.DUMMYFUNCTION("""COMPUTED_VALUE"""),"Natural/Hit or Miss")</f>
        <v>Natural/Hit or Miss</v>
      </c>
      <c r="G269" s="32">
        <f>IFERROR(__xludf.DUMMYFUNCTION("""COMPUTED_VALUE"""),1.0)</f>
        <v>1</v>
      </c>
      <c r="H269" s="32" t="str">
        <f>IFERROR(__xludf.DUMMYFUNCTION("""COMPUTED_VALUE"""),"Nature")</f>
        <v>Nature</v>
      </c>
      <c r="I269" s="32" t="str">
        <f>IFERROR(__xludf.DUMMYFUNCTION("""COMPUTED_VALUE"""),"Mob")</f>
        <v>Mob</v>
      </c>
      <c r="J269" s="32" t="b">
        <f>IFERROR(__xludf.DUMMYFUNCTION("""COMPUTED_VALUE"""),TRUE)</f>
        <v>1</v>
      </c>
      <c r="K269" s="32"/>
      <c r="L269" s="32" t="b">
        <f>IFERROR(__xludf.DUMMYFUNCTION("""COMPUTED_VALUE"""),FALSE)</f>
        <v>0</v>
      </c>
      <c r="M269" s="32" t="b">
        <f>IFERROR(__xludf.DUMMYFUNCTION("""COMPUTED_VALUE"""),FALSE)</f>
        <v>0</v>
      </c>
      <c r="N269" s="32"/>
    </row>
    <row r="270">
      <c r="A270" s="32"/>
      <c r="B270" s="32"/>
      <c r="C270" s="32"/>
      <c r="D270" s="32"/>
      <c r="E270" s="32"/>
      <c r="F270" s="32"/>
      <c r="G270" s="32"/>
      <c r="H270" s="32"/>
      <c r="I270" s="32"/>
      <c r="J270" s="32" t="b">
        <f>IFERROR(__xludf.DUMMYFUNCTION("""COMPUTED_VALUE"""),FALSE)</f>
        <v>0</v>
      </c>
      <c r="K270" s="32"/>
      <c r="L270" s="32" t="b">
        <f>IFERROR(__xludf.DUMMYFUNCTION("""COMPUTED_VALUE"""),FALSE)</f>
        <v>0</v>
      </c>
      <c r="M270" s="32" t="b">
        <f>IFERROR(__xludf.DUMMYFUNCTION("""COMPUTED_VALUE"""),FALSE)</f>
        <v>0</v>
      </c>
      <c r="N270" s="32"/>
    </row>
    <row r="271">
      <c r="A271" s="32" t="str">
        <f>IFERROR(__xludf.DUMMYFUNCTION("""COMPUTED_VALUE"""),"Poison Stomp")</f>
        <v>Poison Stomp</v>
      </c>
      <c r="B271" s="34">
        <f>IFERROR(__xludf.DUMMYFUNCTION("""COMPUTED_VALUE"""),1.0)</f>
        <v>1</v>
      </c>
      <c r="C271" s="32">
        <f>IFERROR(__xludf.DUMMYFUNCTION("""COMPUTED_VALUE"""),0.0)</f>
        <v>0</v>
      </c>
      <c r="D271" s="32"/>
      <c r="E271" s="32" t="str">
        <f>IFERROR(__xludf.DUMMYFUNCTION("""COMPUTED_VALUE"""),"1000 damage, poison 500 for 3 rounds.")</f>
        <v>1000 damage, poison 500 for 3 rounds.</v>
      </c>
      <c r="F271" s="32" t="str">
        <f>IFERROR(__xludf.DUMMYFUNCTION("""COMPUTED_VALUE"""),"Natural/Hit or Miss")</f>
        <v>Natural/Hit or Miss</v>
      </c>
      <c r="G271" s="32">
        <f>IFERROR(__xludf.DUMMYFUNCTION("""COMPUTED_VALUE"""),1.0)</f>
        <v>1</v>
      </c>
      <c r="H271" s="32" t="str">
        <f>IFERROR(__xludf.DUMMYFUNCTION("""COMPUTED_VALUE"""),"Nature")</f>
        <v>Nature</v>
      </c>
      <c r="I271" s="32" t="str">
        <f>IFERROR(__xludf.DUMMYFUNCTION("""COMPUTED_VALUE"""),"Mob")</f>
        <v>Mob</v>
      </c>
      <c r="J271" s="32" t="b">
        <f>IFERROR(__xludf.DUMMYFUNCTION("""COMPUTED_VALUE"""),TRUE)</f>
        <v>1</v>
      </c>
      <c r="K271" s="32"/>
      <c r="L271" s="32" t="b">
        <f>IFERROR(__xludf.DUMMYFUNCTION("""COMPUTED_VALUE"""),FALSE)</f>
        <v>0</v>
      </c>
      <c r="M271" s="32" t="b">
        <f>IFERROR(__xludf.DUMMYFUNCTION("""COMPUTED_VALUE"""),FALSE)</f>
        <v>0</v>
      </c>
      <c r="N271" s="32"/>
    </row>
    <row r="272">
      <c r="A272" s="32" t="str">
        <f>IFERROR(__xludf.DUMMYFUNCTION("""COMPUTED_VALUE"""),"Cocoon")</f>
        <v>Cocoon</v>
      </c>
      <c r="B272" s="34">
        <f>IFERROR(__xludf.DUMMYFUNCTION("""COMPUTED_VALUE"""),9.0)</f>
        <v>9</v>
      </c>
      <c r="C272" s="33">
        <f>IFERROR(__xludf.DUMMYFUNCTION("""COMPUTED_VALUE"""),1000.0)</f>
        <v>1000</v>
      </c>
      <c r="D272" s="32"/>
      <c r="E272" s="32"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32" t="str">
        <f>IFERROR(__xludf.DUMMYFUNCTION("""COMPUTED_VALUE"""),"Fail/Succeed")</f>
        <v>Fail/Succeed</v>
      </c>
      <c r="G272" s="32" t="str">
        <f>IFERROR(__xludf.DUMMYFUNCTION("""COMPUTED_VALUE"""),"Self")</f>
        <v>Self</v>
      </c>
      <c r="H272" s="32" t="str">
        <f>IFERROR(__xludf.DUMMYFUNCTION("""COMPUTED_VALUE"""),"Nature")</f>
        <v>Nature</v>
      </c>
      <c r="I272" s="32" t="str">
        <f>IFERROR(__xludf.DUMMYFUNCTION("""COMPUTED_VALUE"""),"Mob")</f>
        <v>Mob</v>
      </c>
      <c r="J272" s="32" t="b">
        <f>IFERROR(__xludf.DUMMYFUNCTION("""COMPUTED_VALUE"""),TRUE)</f>
        <v>1</v>
      </c>
      <c r="K272" s="32"/>
      <c r="L272" s="32" t="b">
        <f>IFERROR(__xludf.DUMMYFUNCTION("""COMPUTED_VALUE"""),FALSE)</f>
        <v>0</v>
      </c>
      <c r="M272" s="32" t="b">
        <f>IFERROR(__xludf.DUMMYFUNCTION("""COMPUTED_VALUE"""),FALSE)</f>
        <v>0</v>
      </c>
      <c r="N272" s="32"/>
    </row>
    <row r="273">
      <c r="A273" s="32" t="str">
        <f>IFERROR(__xludf.DUMMYFUNCTION("""COMPUTED_VALUE"""),"Poisonous Fumes")</f>
        <v>Poisonous Fumes</v>
      </c>
      <c r="B273" s="34">
        <f>IFERROR(__xludf.DUMMYFUNCTION("""COMPUTED_VALUE"""),8.0)</f>
        <v>8</v>
      </c>
      <c r="C273" s="32">
        <f>IFERROR(__xludf.DUMMYFUNCTION("""COMPUTED_VALUE"""),1400.0)</f>
        <v>1400</v>
      </c>
      <c r="D273" s="32"/>
      <c r="E273" s="32"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32" t="str">
        <f>IFERROR(__xludf.DUMMYFUNCTION("""COMPUTED_VALUE"""),"Fail/Succeed")</f>
        <v>Fail/Succeed</v>
      </c>
      <c r="G273" s="32"/>
      <c r="H273" s="32" t="str">
        <f>IFERROR(__xludf.DUMMYFUNCTION("""COMPUTED_VALUE"""),"Nature")</f>
        <v>Nature</v>
      </c>
      <c r="I273" s="32" t="str">
        <f>IFERROR(__xludf.DUMMYFUNCTION("""COMPUTED_VALUE"""),"Player")</f>
        <v>Player</v>
      </c>
      <c r="J273" s="32" t="b">
        <f>IFERROR(__xludf.DUMMYFUNCTION("""COMPUTED_VALUE"""),FALSE)</f>
        <v>0</v>
      </c>
      <c r="K273" s="32"/>
      <c r="L273" s="32" t="b">
        <f>IFERROR(__xludf.DUMMYFUNCTION("""COMPUTED_VALUE"""),FALSE)</f>
        <v>0</v>
      </c>
      <c r="M273" s="32" t="b">
        <f>IFERROR(__xludf.DUMMYFUNCTION("""COMPUTED_VALUE"""),FALSE)</f>
        <v>0</v>
      </c>
      <c r="N273" s="32"/>
    </row>
    <row r="274">
      <c r="A274" s="32" t="str">
        <f>IFERROR(__xludf.DUMMYFUNCTION("""COMPUTED_VALUE"""),"The World Tree")</f>
        <v>The World Tree</v>
      </c>
      <c r="B274" s="34">
        <f>IFERROR(__xludf.DUMMYFUNCTION("""COMPUTED_VALUE"""),9.0)</f>
        <v>9</v>
      </c>
      <c r="C274" s="32">
        <f>IFERROR(__xludf.DUMMYFUNCTION("""COMPUTED_VALUE"""),500.0)</f>
        <v>500</v>
      </c>
      <c r="D274" s="32"/>
      <c r="E274" s="32"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32" t="str">
        <f>IFERROR(__xludf.DUMMYFUNCTION("""COMPUTED_VALUE"""),"Fail/Succeed")</f>
        <v>Fail/Succeed</v>
      </c>
      <c r="G274" s="32"/>
      <c r="H274" s="32" t="str">
        <f>IFERROR(__xludf.DUMMYFUNCTION("""COMPUTED_VALUE"""),"Nature")</f>
        <v>Nature</v>
      </c>
      <c r="I274" s="32" t="str">
        <f>IFERROR(__xludf.DUMMYFUNCTION("""COMPUTED_VALUE"""),"Player")</f>
        <v>Player</v>
      </c>
      <c r="J274" s="32" t="b">
        <f>IFERROR(__xludf.DUMMYFUNCTION("""COMPUTED_VALUE"""),FALSE)</f>
        <v>0</v>
      </c>
      <c r="K274" s="32"/>
      <c r="L274" s="32" t="b">
        <f>IFERROR(__xludf.DUMMYFUNCTION("""COMPUTED_VALUE"""),FALSE)</f>
        <v>0</v>
      </c>
      <c r="M274" s="32" t="b">
        <f>IFERROR(__xludf.DUMMYFUNCTION("""COMPUTED_VALUE"""),FALSE)</f>
        <v>0</v>
      </c>
      <c r="N274" s="32"/>
    </row>
    <row r="275">
      <c r="A275" s="32" t="str">
        <f>IFERROR(__xludf.DUMMYFUNCTION("""COMPUTED_VALUE"""),"Tower Of The Forest")</f>
        <v>Tower Of The Forest</v>
      </c>
      <c r="B275" s="34">
        <f>IFERROR(__xludf.DUMMYFUNCTION("""COMPUTED_VALUE"""),8.0)</f>
        <v>8</v>
      </c>
      <c r="C275" s="32">
        <f>IFERROR(__xludf.DUMMYFUNCTION("""COMPUTED_VALUE"""),200.0)</f>
        <v>200</v>
      </c>
      <c r="D275" s="32"/>
      <c r="E275" s="32"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32" t="str">
        <f>IFERROR(__xludf.DUMMYFUNCTION("""COMPUTED_VALUE"""),"Fail/Succeed")</f>
        <v>Fail/Succeed</v>
      </c>
      <c r="G275" s="32">
        <f>IFERROR(__xludf.DUMMYFUNCTION("""COMPUTED_VALUE"""),1.0)</f>
        <v>1</v>
      </c>
      <c r="H275" s="32" t="str">
        <f>IFERROR(__xludf.DUMMYFUNCTION("""COMPUTED_VALUE"""),"Nature")</f>
        <v>Nature</v>
      </c>
      <c r="I275" s="32" t="str">
        <f>IFERROR(__xludf.DUMMYFUNCTION("""COMPUTED_VALUE"""),"Player")</f>
        <v>Player</v>
      </c>
      <c r="J275" s="32" t="b">
        <f>IFERROR(__xludf.DUMMYFUNCTION("""COMPUTED_VALUE"""),FALSE)</f>
        <v>0</v>
      </c>
      <c r="K275" s="32"/>
      <c r="L275" s="32" t="b">
        <f>IFERROR(__xludf.DUMMYFUNCTION("""COMPUTED_VALUE"""),FALSE)</f>
        <v>0</v>
      </c>
      <c r="M275" s="32" t="b">
        <f>IFERROR(__xludf.DUMMYFUNCTION("""COMPUTED_VALUE"""),FALSE)</f>
        <v>0</v>
      </c>
      <c r="N275" s="32"/>
    </row>
    <row r="276">
      <c r="A276" s="32" t="str">
        <f>IFERROR(__xludf.DUMMYFUNCTION("""COMPUTED_VALUE"""),"Tree Stance")</f>
        <v>Tree Stance</v>
      </c>
      <c r="B276" s="34">
        <f>IFERROR(__xludf.DUMMYFUNCTION("""COMPUTED_VALUE"""),9.0)</f>
        <v>9</v>
      </c>
      <c r="C276" s="32">
        <f>IFERROR(__xludf.DUMMYFUNCTION("""COMPUTED_VALUE"""),300.0)</f>
        <v>300</v>
      </c>
      <c r="D276" s="32"/>
      <c r="E276" s="32"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32" t="str">
        <f>IFERROR(__xludf.DUMMYFUNCTION("""COMPUTED_VALUE"""),"Will Succeed")</f>
        <v>Will Succeed</v>
      </c>
      <c r="G276" s="32" t="str">
        <f>IFERROR(__xludf.DUMMYFUNCTION("""COMPUTED_VALUE"""),"Self ")</f>
        <v>Self </v>
      </c>
      <c r="H276" s="32" t="str">
        <f>IFERROR(__xludf.DUMMYFUNCTION("""COMPUTED_VALUE"""),"Nature")</f>
        <v>Nature</v>
      </c>
      <c r="I276" s="32" t="str">
        <f>IFERROR(__xludf.DUMMYFUNCTION("""COMPUTED_VALUE"""),"Player")</f>
        <v>Player</v>
      </c>
      <c r="J276" s="32" t="b">
        <f>IFERROR(__xludf.DUMMYFUNCTION("""COMPUTED_VALUE"""),TRUE)</f>
        <v>1</v>
      </c>
      <c r="K276" s="32" t="str">
        <f>IFERROR(__xludf.DUMMYFUNCTION("""COMPUTED_VALUE"""),"shop spell")</f>
        <v>shop spell</v>
      </c>
      <c r="L276" s="32" t="b">
        <f>IFERROR(__xludf.DUMMYFUNCTION("""COMPUTED_VALUE"""),FALSE)</f>
        <v>0</v>
      </c>
      <c r="M276" s="32" t="b">
        <f>IFERROR(__xludf.DUMMYFUNCTION("""COMPUTED_VALUE"""),FALSE)</f>
        <v>0</v>
      </c>
      <c r="N276" s="32"/>
    </row>
    <row r="277">
      <c r="A277" s="32" t="str">
        <f>IFERROR(__xludf.DUMMYFUNCTION("""COMPUTED_VALUE"""),"Tree Throw")</f>
        <v>Tree Throw</v>
      </c>
      <c r="B277" s="34">
        <f>IFERROR(__xludf.DUMMYFUNCTION("""COMPUTED_VALUE"""),1.0)</f>
        <v>1</v>
      </c>
      <c r="C277" s="33">
        <f>IFERROR(__xludf.DUMMYFUNCTION("""COMPUTED_VALUE"""),0.0)</f>
        <v>0</v>
      </c>
      <c r="D277" s="32"/>
      <c r="E277" s="32" t="str">
        <f>IFERROR(__xludf.DUMMYFUNCTION("""COMPUTED_VALUE"""),"10,000 nature damage.")</f>
        <v>10,000 nature damage.</v>
      </c>
      <c r="F277" s="32" t="str">
        <f>IFERROR(__xludf.DUMMYFUNCTION("""COMPUTED_VALUE"""),"Hit/Miss")</f>
        <v>Hit/Miss</v>
      </c>
      <c r="G277" s="32">
        <f>IFERROR(__xludf.DUMMYFUNCTION("""COMPUTED_VALUE"""),1.0)</f>
        <v>1</v>
      </c>
      <c r="H277" s="32" t="str">
        <f>IFERROR(__xludf.DUMMYFUNCTION("""COMPUTED_VALUE"""),"Nature")</f>
        <v>Nature</v>
      </c>
      <c r="I277" s="32" t="str">
        <f>IFERROR(__xludf.DUMMYFUNCTION("""COMPUTED_VALUE"""),"Mob")</f>
        <v>Mob</v>
      </c>
      <c r="J277" s="32" t="b">
        <f>IFERROR(__xludf.DUMMYFUNCTION("""COMPUTED_VALUE"""),TRUE)</f>
        <v>1</v>
      </c>
      <c r="K277" s="32"/>
      <c r="L277" s="32" t="b">
        <f>IFERROR(__xludf.DUMMYFUNCTION("""COMPUTED_VALUE"""),FALSE)</f>
        <v>0</v>
      </c>
      <c r="M277" s="32" t="b">
        <f>IFERROR(__xludf.DUMMYFUNCTION("""COMPUTED_VALUE"""),FALSE)</f>
        <v>0</v>
      </c>
      <c r="N277" s="32"/>
    </row>
    <row r="278">
      <c r="A278" s="32" t="str">
        <f>IFERROR(__xludf.DUMMYFUNCTION("""COMPUTED_VALUE"""),"Vine Hold")</f>
        <v>Vine Hold</v>
      </c>
      <c r="B278" s="34">
        <f>IFERROR(__xludf.DUMMYFUNCTION("""COMPUTED_VALUE"""),6.0)</f>
        <v>6</v>
      </c>
      <c r="C278" s="32">
        <f>IFERROR(__xludf.DUMMYFUNCTION("""COMPUTED_VALUE"""),60.0)</f>
        <v>60</v>
      </c>
      <c r="D278" s="32"/>
      <c r="E278" s="32" t="str">
        <f>IFERROR(__xludf.DUMMYFUNCTION("""COMPUTED_VALUE"""),"6000 poison for 3 rounds, Stun 3")</f>
        <v>6000 poison for 3 rounds, Stun 3</v>
      </c>
      <c r="F278" s="32" t="str">
        <f>IFERROR(__xludf.DUMMYFUNCTION("""COMPUTED_VALUE"""),"Fail/succeed")</f>
        <v>Fail/succeed</v>
      </c>
      <c r="G278" s="32"/>
      <c r="H278" s="32" t="str">
        <f>IFERROR(__xludf.DUMMYFUNCTION("""COMPUTED_VALUE"""),"Nature")</f>
        <v>Nature</v>
      </c>
      <c r="I278" s="32" t="str">
        <f>IFERROR(__xludf.DUMMYFUNCTION("""COMPUTED_VALUE"""),"Player")</f>
        <v>Player</v>
      </c>
      <c r="J278" s="32" t="b">
        <f>IFERROR(__xludf.DUMMYFUNCTION("""COMPUTED_VALUE"""),FALSE)</f>
        <v>0</v>
      </c>
      <c r="K278" s="32"/>
      <c r="L278" s="32" t="b">
        <f>IFERROR(__xludf.DUMMYFUNCTION("""COMPUTED_VALUE"""),FALSE)</f>
        <v>0</v>
      </c>
      <c r="M278" s="32" t="b">
        <f>IFERROR(__xludf.DUMMYFUNCTION("""COMPUTED_VALUE"""),FALSE)</f>
        <v>0</v>
      </c>
      <c r="N278" s="32"/>
    </row>
    <row r="279">
      <c r="A279" s="32" t="str">
        <f>IFERROR(__xludf.DUMMYFUNCTION("""COMPUTED_VALUE"""),"Grace of the Forest")</f>
        <v>Grace of the Forest</v>
      </c>
      <c r="B279" s="34">
        <f>IFERROR(__xludf.DUMMYFUNCTION("""COMPUTED_VALUE"""),9.0)</f>
        <v>9</v>
      </c>
      <c r="C279" s="32">
        <f>IFERROR(__xludf.DUMMYFUNCTION("""COMPUTED_VALUE"""),5000.0)</f>
        <v>5000</v>
      </c>
      <c r="D279" s="32"/>
      <c r="E279" s="32" t="str">
        <f>IFERROR(__xludf.DUMMYFUNCTION("""COMPUTED_VALUE"""),"Grants Haste 3 and Truesight 3 to self and all allies.")</f>
        <v>Grants Haste 3 and Truesight 3 to self and all allies.</v>
      </c>
      <c r="F279" s="32" t="str">
        <f>IFERROR(__xludf.DUMMYFUNCTION("""COMPUTED_VALUE"""),"Fail/Succeed")</f>
        <v>Fail/Succeed</v>
      </c>
      <c r="G279" s="32" t="str">
        <f>IFERROR(__xludf.DUMMYFUNCTION("""COMPUTED_VALUE"""),"All")</f>
        <v>All</v>
      </c>
      <c r="H279" s="32" t="str">
        <f>IFERROR(__xludf.DUMMYFUNCTION("""COMPUTED_VALUE"""),"Nature")</f>
        <v>Nature</v>
      </c>
      <c r="I279" s="32" t="str">
        <f>IFERROR(__xludf.DUMMYFUNCTION("""COMPUTED_VALUE"""),"Mob")</f>
        <v>Mob</v>
      </c>
      <c r="J279" s="32" t="b">
        <f>IFERROR(__xludf.DUMMYFUNCTION("""COMPUTED_VALUE"""),TRUE)</f>
        <v>1</v>
      </c>
      <c r="K279" s="32"/>
      <c r="L279" s="32" t="b">
        <f>IFERROR(__xludf.DUMMYFUNCTION("""COMPUTED_VALUE"""),FALSE)</f>
        <v>0</v>
      </c>
      <c r="M279" s="32" t="b">
        <f>IFERROR(__xludf.DUMMYFUNCTION("""COMPUTED_VALUE"""),FALSE)</f>
        <v>0</v>
      </c>
      <c r="N279" s="32"/>
    </row>
    <row r="280">
      <c r="A280" s="32" t="str">
        <f>IFERROR(__xludf.DUMMYFUNCTION("""COMPUTED_VALUE"""),"Nature's Light")</f>
        <v>Nature's Light</v>
      </c>
      <c r="B280" s="34">
        <f>IFERROR(__xludf.DUMMYFUNCTION("""COMPUTED_VALUE"""),9.0)</f>
        <v>9</v>
      </c>
      <c r="C280" s="32" t="str">
        <f>IFERROR(__xludf.DUMMYFUNCTION("""COMPUTED_VALUE"""),"X")</f>
        <v>X</v>
      </c>
      <c r="D280" s="32"/>
      <c r="E280" s="32" t="str">
        <f>IFERROR(__xludf.DUMMYFUNCTION("""COMPUTED_VALUE"""),"A gentle glow emanates from the caster healing all allies by X HP every round and dealing X2 Nature damage.")</f>
        <v>A gentle glow emanates from the caster healing all allies by X HP every round and dealing X2 Nature damage.</v>
      </c>
      <c r="F280" s="32" t="str">
        <f>IFERROR(__xludf.DUMMYFUNCTION("""COMPUTED_VALUE"""),"Fail/Succeed")</f>
        <v>Fail/Succeed</v>
      </c>
      <c r="G280" s="32" t="str">
        <f>IFERROR(__xludf.DUMMYFUNCTION("""COMPUTED_VALUE"""),"All")</f>
        <v>All</v>
      </c>
      <c r="H280" s="32" t="str">
        <f>IFERROR(__xludf.DUMMYFUNCTION("""COMPUTED_VALUE"""),"Nature")</f>
        <v>Nature</v>
      </c>
      <c r="I280" s="32" t="str">
        <f>IFERROR(__xludf.DUMMYFUNCTION("""COMPUTED_VALUE"""),"Player")</f>
        <v>Player</v>
      </c>
      <c r="J280" s="32" t="b">
        <f>IFERROR(__xludf.DUMMYFUNCTION("""COMPUTED_VALUE"""),FALSE)</f>
        <v>0</v>
      </c>
      <c r="K280" s="32"/>
      <c r="L280" s="32" t="b">
        <f>IFERROR(__xludf.DUMMYFUNCTION("""COMPUTED_VALUE"""),FALSE)</f>
        <v>0</v>
      </c>
      <c r="M280" s="32" t="b">
        <f>IFERROR(__xludf.DUMMYFUNCTION("""COMPUTED_VALUE"""),FALSE)</f>
        <v>0</v>
      </c>
      <c r="N280" s="32"/>
    </row>
    <row r="281">
      <c r="A281" s="32" t="str">
        <f>IFERROR(__xludf.DUMMYFUNCTION("""COMPUTED_VALUE"""),"Nature's Embrace")</f>
        <v>Nature's Embrace</v>
      </c>
      <c r="B281" s="34">
        <f>IFERROR(__xludf.DUMMYFUNCTION("""COMPUTED_VALUE"""),7.0)</f>
        <v>7</v>
      </c>
      <c r="C281" s="32">
        <f>IFERROR(__xludf.DUMMYFUNCTION("""COMPUTED_VALUE"""),200.0)</f>
        <v>200</v>
      </c>
      <c r="D281" s="32"/>
      <c r="E281" s="32" t="str">
        <f>IFERROR(__xludf.DUMMYFUNCTION("""COMPUTED_VALUE"""),"Has a 40% chance to inflict Pacified 3 on a single target. (once per battle)")</f>
        <v>Has a 40% chance to inflict Pacified 3 on a single target. (once per battle)</v>
      </c>
      <c r="F281" s="32" t="str">
        <f>IFERROR(__xludf.DUMMYFUNCTION("""COMPUTED_VALUE"""),"Fail/Succeed")</f>
        <v>Fail/Succeed</v>
      </c>
      <c r="G281" s="32">
        <f>IFERROR(__xludf.DUMMYFUNCTION("""COMPUTED_VALUE"""),1.0)</f>
        <v>1</v>
      </c>
      <c r="H281" s="32" t="str">
        <f>IFERROR(__xludf.DUMMYFUNCTION("""COMPUTED_VALUE"""),"Nature")</f>
        <v>Nature</v>
      </c>
      <c r="I281" s="32" t="str">
        <f>IFERROR(__xludf.DUMMYFUNCTION("""COMPUTED_VALUE"""),"Player")</f>
        <v>Player</v>
      </c>
      <c r="J281" s="32" t="b">
        <f>IFERROR(__xludf.DUMMYFUNCTION("""COMPUTED_VALUE"""),FALSE)</f>
        <v>0</v>
      </c>
      <c r="K281" s="32"/>
      <c r="L281" s="32" t="b">
        <f>IFERROR(__xludf.DUMMYFUNCTION("""COMPUTED_VALUE"""),FALSE)</f>
        <v>0</v>
      </c>
      <c r="M281" s="32" t="b">
        <f>IFERROR(__xludf.DUMMYFUNCTION("""COMPUTED_VALUE"""),FALSE)</f>
        <v>0</v>
      </c>
      <c r="N281" s="32"/>
    </row>
    <row r="282">
      <c r="A282" s="32" t="str">
        <f>IFERROR(__xludf.DUMMYFUNCTION("""COMPUTED_VALUE"""),"Nature's Wrath")</f>
        <v>Nature's Wrath</v>
      </c>
      <c r="B282" s="34">
        <f>IFERROR(__xludf.DUMMYFUNCTION("""COMPUTED_VALUE"""),9.0)</f>
        <v>9</v>
      </c>
      <c r="C282" s="32">
        <f>IFERROR(__xludf.DUMMYFUNCTION("""COMPUTED_VALUE"""),4000.0)</f>
        <v>4000</v>
      </c>
      <c r="D282" s="32"/>
      <c r="E282" s="32" t="str">
        <f>IFERROR(__xludf.DUMMYFUNCTION("""COMPUTED_VALUE"""),"Deals 20,000 undefendable damage to all enemies with a 5% chance to inflict the effect of entagle.")</f>
        <v>Deals 20,000 undefendable damage to all enemies with a 5% chance to inflict the effect of entagle.</v>
      </c>
      <c r="F282" s="32" t="str">
        <f>IFERROR(__xludf.DUMMYFUNCTION("""COMPUTED_VALUE"""),"Cannot Avoid")</f>
        <v>Cannot Avoid</v>
      </c>
      <c r="G282" s="32" t="str">
        <f>IFERROR(__xludf.DUMMYFUNCTION("""COMPUTED_VALUE"""),"All")</f>
        <v>All</v>
      </c>
      <c r="H282" s="32" t="str">
        <f>IFERROR(__xludf.DUMMYFUNCTION("""COMPUTED_VALUE"""),"Nature")</f>
        <v>Nature</v>
      </c>
      <c r="I282" s="32" t="str">
        <f>IFERROR(__xludf.DUMMYFUNCTION("""COMPUTED_VALUE"""),"Player")</f>
        <v>Player</v>
      </c>
      <c r="J282" s="32" t="b">
        <f>IFERROR(__xludf.DUMMYFUNCTION("""COMPUTED_VALUE"""),FALSE)</f>
        <v>0</v>
      </c>
      <c r="K282" s="32"/>
      <c r="L282" s="32" t="b">
        <f>IFERROR(__xludf.DUMMYFUNCTION("""COMPUTED_VALUE"""),FALSE)</f>
        <v>0</v>
      </c>
      <c r="M282" s="32" t="b">
        <f>IFERROR(__xludf.DUMMYFUNCTION("""COMPUTED_VALUE"""),FALSE)</f>
        <v>0</v>
      </c>
      <c r="N282" s="32"/>
    </row>
    <row r="283">
      <c r="A283" s="32" t="str">
        <f>IFERROR(__xludf.DUMMYFUNCTION("""COMPUTED_VALUE"""),"Entangle")</f>
        <v>Entangle</v>
      </c>
      <c r="B283" s="34">
        <f>IFERROR(__xludf.DUMMYFUNCTION("""COMPUTED_VALUE"""),9.0)</f>
        <v>9</v>
      </c>
      <c r="C283" s="32">
        <f>IFERROR(__xludf.DUMMYFUNCTION("""COMPUTED_VALUE"""),2000.0)</f>
        <v>2000</v>
      </c>
      <c r="D283" s="32"/>
      <c r="E283" s="32"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32" t="str">
        <f>IFERROR(__xludf.DUMMYFUNCTION("""COMPUTED_VALUE"""),"Fail/Succeed")</f>
        <v>Fail/Succeed</v>
      </c>
      <c r="G283" s="32" t="str">
        <f>IFERROR(__xludf.DUMMYFUNCTION("""COMPUTED_VALUE"""),"All")</f>
        <v>All</v>
      </c>
      <c r="H283" s="32" t="str">
        <f>IFERROR(__xludf.DUMMYFUNCTION("""COMPUTED_VALUE"""),"Nature")</f>
        <v>Nature</v>
      </c>
      <c r="I283" s="32" t="str">
        <f>IFERROR(__xludf.DUMMYFUNCTION("""COMPUTED_VALUE"""),"Player")</f>
        <v>Player</v>
      </c>
      <c r="J283" s="32" t="b">
        <f>IFERROR(__xludf.DUMMYFUNCTION("""COMPUTED_VALUE"""),TRUE)</f>
        <v>1</v>
      </c>
      <c r="K283" s="32" t="str">
        <f>IFERROR(__xludf.DUMMYFUNCTION("""COMPUTED_VALUE"""),"Quest Spell")</f>
        <v>Quest Spell</v>
      </c>
      <c r="L283" s="32" t="b">
        <f>IFERROR(__xludf.DUMMYFUNCTION("""COMPUTED_VALUE"""),FALSE)</f>
        <v>0</v>
      </c>
      <c r="M283" s="32" t="b">
        <f>IFERROR(__xludf.DUMMYFUNCTION("""COMPUTED_VALUE"""),FALSE)</f>
        <v>0</v>
      </c>
      <c r="N283" s="32"/>
    </row>
    <row r="284">
      <c r="A284" s="32" t="str">
        <f>IFERROR(__xludf.DUMMYFUNCTION("""COMPUTED_VALUE"""),"Barkskin")</f>
        <v>Barkskin</v>
      </c>
      <c r="B284" s="34">
        <f>IFERROR(__xludf.DUMMYFUNCTION("""COMPUTED_VALUE"""),3.0)</f>
        <v>3</v>
      </c>
      <c r="C284" s="32">
        <f>IFERROR(__xludf.DUMMYFUNCTION("""COMPUTED_VALUE"""),30.0)</f>
        <v>30</v>
      </c>
      <c r="D284" s="32"/>
      <c r="E284" s="32" t="str">
        <f>IFERROR(__xludf.DUMMYFUNCTION("""COMPUTED_VALUE"""),"X2 defense for target.")</f>
        <v>X2 defense for target.</v>
      </c>
      <c r="F284" s="32" t="str">
        <f>IFERROR(__xludf.DUMMYFUNCTION("""COMPUTED_VALUE"""),"Fail/Succeed")</f>
        <v>Fail/Succeed</v>
      </c>
      <c r="G284" s="32">
        <f>IFERROR(__xludf.DUMMYFUNCTION("""COMPUTED_VALUE"""),1.0)</f>
        <v>1</v>
      </c>
      <c r="H284" s="32" t="str">
        <f>IFERROR(__xludf.DUMMYFUNCTION("""COMPUTED_VALUE"""),"Nature")</f>
        <v>Nature</v>
      </c>
      <c r="I284" s="32" t="str">
        <f>IFERROR(__xludf.DUMMYFUNCTION("""COMPUTED_VALUE"""),"Player")</f>
        <v>Player</v>
      </c>
      <c r="J284" s="32" t="b">
        <f>IFERROR(__xludf.DUMMYFUNCTION("""COMPUTED_VALUE"""),FALSE)</f>
        <v>0</v>
      </c>
      <c r="K284" s="32"/>
      <c r="L284" s="32" t="b">
        <f>IFERROR(__xludf.DUMMYFUNCTION("""COMPUTED_VALUE"""),FALSE)</f>
        <v>0</v>
      </c>
      <c r="M284" s="32" t="b">
        <f>IFERROR(__xludf.DUMMYFUNCTION("""COMPUTED_VALUE"""),FALSE)</f>
        <v>0</v>
      </c>
      <c r="N284" s="32"/>
    </row>
    <row r="285">
      <c r="A285" s="32" t="str">
        <f>IFERROR(__xludf.DUMMYFUNCTION("""COMPUTED_VALUE"""),"Regrowth")</f>
        <v>Regrowth</v>
      </c>
      <c r="B285" s="34">
        <f>IFERROR(__xludf.DUMMYFUNCTION("""COMPUTED_VALUE"""),6.0)</f>
        <v>6</v>
      </c>
      <c r="C285" s="32">
        <f>IFERROR(__xludf.DUMMYFUNCTION("""COMPUTED_VALUE"""),75.0)</f>
        <v>75</v>
      </c>
      <c r="D285" s="32"/>
      <c r="E285" s="32" t="str">
        <f>IFERROR(__xludf.DUMMYFUNCTION("""COMPUTED_VALUE"""),"Heals target by 5000 and grants them Invigorated 5.")</f>
        <v>Heals target by 5000 and grants them Invigorated 5.</v>
      </c>
      <c r="F285" s="32" t="str">
        <f>IFERROR(__xludf.DUMMYFUNCTION("""COMPUTED_VALUE"""),"Fail/Succeed")</f>
        <v>Fail/Succeed</v>
      </c>
      <c r="G285" s="32">
        <f>IFERROR(__xludf.DUMMYFUNCTION("""COMPUTED_VALUE"""),1.0)</f>
        <v>1</v>
      </c>
      <c r="H285" s="32" t="str">
        <f>IFERROR(__xludf.DUMMYFUNCTION("""COMPUTED_VALUE"""),"Nature")</f>
        <v>Nature</v>
      </c>
      <c r="I285" s="32" t="str">
        <f>IFERROR(__xludf.DUMMYFUNCTION("""COMPUTED_VALUE"""),"Player")</f>
        <v>Player</v>
      </c>
      <c r="J285" s="32" t="b">
        <f>IFERROR(__xludf.DUMMYFUNCTION("""COMPUTED_VALUE"""),FALSE)</f>
        <v>0</v>
      </c>
      <c r="K285" s="32"/>
      <c r="L285" s="32" t="b">
        <f>IFERROR(__xludf.DUMMYFUNCTION("""COMPUTED_VALUE"""),FALSE)</f>
        <v>0</v>
      </c>
      <c r="M285" s="32" t="b">
        <f>IFERROR(__xludf.DUMMYFUNCTION("""COMPUTED_VALUE"""),FALSE)</f>
        <v>0</v>
      </c>
      <c r="N285" s="32"/>
    </row>
    <row r="286">
      <c r="A286" s="32" t="str">
        <f>IFERROR(__xludf.DUMMYFUNCTION("""COMPUTED_VALUE"""),"The Orb of Life")</f>
        <v>The Orb of Life</v>
      </c>
      <c r="B286" s="34">
        <f>IFERROR(__xludf.DUMMYFUNCTION("""COMPUTED_VALUE"""),9.0)</f>
        <v>9</v>
      </c>
      <c r="C286" s="32">
        <f>IFERROR(__xludf.DUMMYFUNCTION("""COMPUTED_VALUE"""),300.0)</f>
        <v>300</v>
      </c>
      <c r="D286" s="32"/>
      <c r="E286" s="32" t="str">
        <f>IFERROR(__xludf.DUMMYFUNCTION("""COMPUTED_VALUE"""),"Summons a life orb that revives 1 target.")</f>
        <v>Summons a life orb that revives 1 target.</v>
      </c>
      <c r="F286" s="32" t="str">
        <f>IFERROR(__xludf.DUMMYFUNCTION("""COMPUTED_VALUE"""),"Fail/Succeed")</f>
        <v>Fail/Succeed</v>
      </c>
      <c r="G286" s="32">
        <f>IFERROR(__xludf.DUMMYFUNCTION("""COMPUTED_VALUE"""),1.0)</f>
        <v>1</v>
      </c>
      <c r="H286" s="32" t="str">
        <f>IFERROR(__xludf.DUMMYFUNCTION("""COMPUTED_VALUE"""),"Nature")</f>
        <v>Nature</v>
      </c>
      <c r="I286" s="32" t="str">
        <f>IFERROR(__xludf.DUMMYFUNCTION("""COMPUTED_VALUE"""),"Player")</f>
        <v>Player</v>
      </c>
      <c r="J286" s="32" t="b">
        <f>IFERROR(__xludf.DUMMYFUNCTION("""COMPUTED_VALUE"""),FALSE)</f>
        <v>0</v>
      </c>
      <c r="K286" s="32"/>
      <c r="L286" s="32" t="b">
        <f>IFERROR(__xludf.DUMMYFUNCTION("""COMPUTED_VALUE"""),FALSE)</f>
        <v>0</v>
      </c>
      <c r="M286" s="32" t="b">
        <f>IFERROR(__xludf.DUMMYFUNCTION("""COMPUTED_VALUE"""),FALSE)</f>
        <v>0</v>
      </c>
      <c r="N286" s="32"/>
    </row>
    <row r="287">
      <c r="A287" s="32" t="str">
        <f>IFERROR(__xludf.DUMMYFUNCTION("""COMPUTED_VALUE"""),"Artemis' Wave")</f>
        <v>Artemis' Wave</v>
      </c>
      <c r="B287" s="34">
        <f>IFERROR(__xludf.DUMMYFUNCTION("""COMPUTED_VALUE"""),9.0)</f>
        <v>9</v>
      </c>
      <c r="C287" s="32">
        <f>IFERROR(__xludf.DUMMYFUNCTION("""COMPUTED_VALUE"""),8000.0)</f>
        <v>8000</v>
      </c>
      <c r="D287" s="32"/>
      <c r="E287" s="32" t="str">
        <f>IFERROR(__xludf.DUMMYFUNCTION("""COMPUTED_VALUE"""),"Creates a vibrant blast that deals 20,000 Nature damage to all enemies; Cannot resist or be Immune to.")</f>
        <v>Creates a vibrant blast that deals 20,000 Nature damage to all enemies; Cannot resist or be Immune to.</v>
      </c>
      <c r="F287" s="32" t="str">
        <f>IFERROR(__xludf.DUMMYFUNCTION("""COMPUTED_VALUE"""),"Cannot Avoid")</f>
        <v>Cannot Avoid</v>
      </c>
      <c r="G287" s="32" t="str">
        <f>IFERROR(__xludf.DUMMYFUNCTION("""COMPUTED_VALUE"""),"All")</f>
        <v>All</v>
      </c>
      <c r="H287" s="32" t="str">
        <f>IFERROR(__xludf.DUMMYFUNCTION("""COMPUTED_VALUE"""),"Nature")</f>
        <v>Nature</v>
      </c>
      <c r="I287" s="32" t="str">
        <f>IFERROR(__xludf.DUMMYFUNCTION("""COMPUTED_VALUE"""),"Mob")</f>
        <v>Mob</v>
      </c>
      <c r="J287" s="32" t="b">
        <f>IFERROR(__xludf.DUMMYFUNCTION("""COMPUTED_VALUE"""),TRUE)</f>
        <v>1</v>
      </c>
      <c r="K287" s="32" t="str">
        <f>IFERROR(__xludf.DUMMYFUNCTION("""COMPUTED_VALUE"""),"Artemis")</f>
        <v>Artemis</v>
      </c>
      <c r="L287" s="32" t="b">
        <f>IFERROR(__xludf.DUMMYFUNCTION("""COMPUTED_VALUE"""),FALSE)</f>
        <v>0</v>
      </c>
      <c r="M287" s="32" t="b">
        <f>IFERROR(__xludf.DUMMYFUNCTION("""COMPUTED_VALUE"""),TRUE)</f>
        <v>1</v>
      </c>
      <c r="N287" s="32"/>
    </row>
    <row r="288">
      <c r="A288" s="32" t="str">
        <f>IFERROR(__xludf.DUMMYFUNCTION("""COMPUTED_VALUE"""),"Artemis' Godly Grace")</f>
        <v>Artemis' Godly Grace</v>
      </c>
      <c r="B288" s="34">
        <f>IFERROR(__xludf.DUMMYFUNCTION("""COMPUTED_VALUE"""),9.0)</f>
        <v>9</v>
      </c>
      <c r="C288" s="32">
        <f>IFERROR(__xludf.DUMMYFUNCTION("""COMPUTED_VALUE"""),10000.0)</f>
        <v>10000</v>
      </c>
      <c r="D288" s="32"/>
      <c r="E288" s="32"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32" t="str">
        <f>IFERROR(__xludf.DUMMYFUNCTION("""COMPUTED_VALUE"""),"Will Succeed")</f>
        <v>Will Succeed</v>
      </c>
      <c r="G288" s="32" t="str">
        <f>IFERROR(__xludf.DUMMYFUNCTION("""COMPUTED_VALUE"""),"All")</f>
        <v>All</v>
      </c>
      <c r="H288" s="32" t="str">
        <f>IFERROR(__xludf.DUMMYFUNCTION("""COMPUTED_VALUE"""),"Nature")</f>
        <v>Nature</v>
      </c>
      <c r="I288" s="32" t="str">
        <f>IFERROR(__xludf.DUMMYFUNCTION("""COMPUTED_VALUE"""),"Mob")</f>
        <v>Mob</v>
      </c>
      <c r="J288" s="32" t="b">
        <f>IFERROR(__xludf.DUMMYFUNCTION("""COMPUTED_VALUE"""),TRUE)</f>
        <v>1</v>
      </c>
      <c r="K288" s="32" t="str">
        <f>IFERROR(__xludf.DUMMYFUNCTION("""COMPUTED_VALUE"""),"Artemis")</f>
        <v>Artemis</v>
      </c>
      <c r="L288" s="32" t="b">
        <f>IFERROR(__xludf.DUMMYFUNCTION("""COMPUTED_VALUE"""),FALSE)</f>
        <v>0</v>
      </c>
      <c r="M288" s="32" t="b">
        <f>IFERROR(__xludf.DUMMYFUNCTION("""COMPUTED_VALUE"""),FALSE)</f>
        <v>0</v>
      </c>
      <c r="N288" s="32"/>
    </row>
    <row r="289">
      <c r="A289" s="32" t="str">
        <f>IFERROR(__xludf.DUMMYFUNCTION("""COMPUTED_VALUE"""),"Artemis'  Force of Nature")</f>
        <v>Artemis'  Force of Nature</v>
      </c>
      <c r="B289" s="34">
        <f>IFERROR(__xludf.DUMMYFUNCTION("""COMPUTED_VALUE"""),1.0)</f>
        <v>1</v>
      </c>
      <c r="C289" s="33">
        <f>IFERROR(__xludf.DUMMYFUNCTION("""COMPUTED_VALUE"""),40000.0)</f>
        <v>40000</v>
      </c>
      <c r="D289" s="32"/>
      <c r="E289" s="32"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32" t="str">
        <f>IFERROR(__xludf.DUMMYFUNCTION("""COMPUTED_VALUE"""),"Cannot Avoid")</f>
        <v>Cannot Avoid</v>
      </c>
      <c r="G289" s="32" t="str">
        <f>IFERROR(__xludf.DUMMYFUNCTION("""COMPUTED_VALUE"""),"All")</f>
        <v>All</v>
      </c>
      <c r="H289" s="32" t="str">
        <f>IFERROR(__xludf.DUMMYFUNCTION("""COMPUTED_VALUE"""),"Nature")</f>
        <v>Nature</v>
      </c>
      <c r="I289" s="32" t="str">
        <f>IFERROR(__xludf.DUMMYFUNCTION("""COMPUTED_VALUE"""),"Mob")</f>
        <v>Mob</v>
      </c>
      <c r="J289" s="32" t="b">
        <f>IFERROR(__xludf.DUMMYFUNCTION("""COMPUTED_VALUE"""),TRUE)</f>
        <v>1</v>
      </c>
      <c r="K289" s="32" t="str">
        <f>IFERROR(__xludf.DUMMYFUNCTION("""COMPUTED_VALUE"""),"Artemis")</f>
        <v>Artemis</v>
      </c>
      <c r="L289" s="32" t="b">
        <f>IFERROR(__xludf.DUMMYFUNCTION("""COMPUTED_VALUE"""),FALSE)</f>
        <v>0</v>
      </c>
      <c r="M289" s="32" t="b">
        <f>IFERROR(__xludf.DUMMYFUNCTION("""COMPUTED_VALUE"""),TRUE)</f>
        <v>1</v>
      </c>
      <c r="N289" s="32"/>
    </row>
    <row r="290">
      <c r="A290" s="32" t="str">
        <f>IFERROR(__xludf.DUMMYFUNCTION("""COMPUTED_VALUE"""),"World Tree's Unbridled Rage")</f>
        <v>World Tree's Unbridled Rage</v>
      </c>
      <c r="B290" s="34">
        <f>IFERROR(__xludf.DUMMYFUNCTION("""COMPUTED_VALUE"""),9.0)</f>
        <v>9</v>
      </c>
      <c r="C290" s="33">
        <f>IFERROR(__xludf.DUMMYFUNCTION("""COMPUTED_VALUE"""),80000.0)</f>
        <v>80000</v>
      </c>
      <c r="D290" s="32"/>
      <c r="E290" s="32"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32" t="str">
        <f>IFERROR(__xludf.DUMMYFUNCTION("""COMPUTED_VALUE"""),"Cannot Avoid")</f>
        <v>Cannot Avoid</v>
      </c>
      <c r="G290" s="32" t="str">
        <f>IFERROR(__xludf.DUMMYFUNCTION("""COMPUTED_VALUE"""),"All")</f>
        <v>All</v>
      </c>
      <c r="H290" s="32" t="str">
        <f>IFERROR(__xludf.DUMMYFUNCTION("""COMPUTED_VALUE"""),"Nature")</f>
        <v>Nature</v>
      </c>
      <c r="I290" s="32" t="str">
        <f>IFERROR(__xludf.DUMMYFUNCTION("""COMPUTED_VALUE"""),"Mob")</f>
        <v>Mob</v>
      </c>
      <c r="J290" s="32" t="b">
        <f>IFERROR(__xludf.DUMMYFUNCTION("""COMPUTED_VALUE"""),TRUE)</f>
        <v>1</v>
      </c>
      <c r="K290" s="32" t="str">
        <f>IFERROR(__xludf.DUMMYFUNCTION("""COMPUTED_VALUE"""),"Artemis")</f>
        <v>Artemis</v>
      </c>
      <c r="L290" s="32" t="b">
        <f>IFERROR(__xludf.DUMMYFUNCTION("""COMPUTED_VALUE"""),FALSE)</f>
        <v>0</v>
      </c>
      <c r="M290" s="32" t="b">
        <f>IFERROR(__xludf.DUMMYFUNCTION("""COMPUTED_VALUE"""),TRUE)</f>
        <v>1</v>
      </c>
      <c r="N290" s="32"/>
    </row>
    <row r="291">
      <c r="A291" s="32" t="str">
        <f>IFERROR(__xludf.DUMMYFUNCTION("""COMPUTED_VALUE"""),"Oberon's Birthright")</f>
        <v>Oberon's Birthright</v>
      </c>
      <c r="B291" s="34">
        <f>IFERROR(__xludf.DUMMYFUNCTION("""COMPUTED_VALUE"""),1.0)</f>
        <v>1</v>
      </c>
      <c r="C291" s="32">
        <f>IFERROR(__xludf.DUMMYFUNCTION("""COMPUTED_VALUE"""),0.0)</f>
        <v>0</v>
      </c>
      <c r="D291" s="32"/>
      <c r="E291" s="32" t="str">
        <f>IFERROR(__xludf.DUMMYFUNCTION("""COMPUTED_VALUE"""),"Transform into Oberon The Faery King.")</f>
        <v>Transform into Oberon The Faery King.</v>
      </c>
      <c r="F291" s="32" t="str">
        <f>IFERROR(__xludf.DUMMYFUNCTION("""COMPUTED_VALUE"""),"Natural/Fail or Succeed")</f>
        <v>Natural/Fail or Succeed</v>
      </c>
      <c r="G291" s="32" t="str">
        <f>IFERROR(__xludf.DUMMYFUNCTION("""COMPUTED_VALUE"""),"Self")</f>
        <v>Self</v>
      </c>
      <c r="H291" s="32" t="str">
        <f>IFERROR(__xludf.DUMMYFUNCTION("""COMPUTED_VALUE"""),"Nature")</f>
        <v>Nature</v>
      </c>
      <c r="I291" s="32" t="str">
        <f>IFERROR(__xludf.DUMMYFUNCTION("""COMPUTED_VALUE"""),"Mob")</f>
        <v>Mob</v>
      </c>
      <c r="J291" s="32" t="b">
        <f>IFERROR(__xludf.DUMMYFUNCTION("""COMPUTED_VALUE"""),TRUE)</f>
        <v>1</v>
      </c>
      <c r="K291" s="32" t="str">
        <f>IFERROR(__xludf.DUMMYFUNCTION("""COMPUTED_VALUE"""),"Event Mob Only")</f>
        <v>Event Mob Only</v>
      </c>
      <c r="L291" s="32" t="b">
        <f>IFERROR(__xludf.DUMMYFUNCTION("""COMPUTED_VALUE"""),FALSE)</f>
        <v>0</v>
      </c>
      <c r="M291" s="32" t="b">
        <f>IFERROR(__xludf.DUMMYFUNCTION("""COMPUTED_VALUE"""),FALSE)</f>
        <v>0</v>
      </c>
      <c r="N291" s="32" t="str">
        <f>IFERROR(__xludf.DUMMYFUNCTION("""COMPUTED_VALUE"""),"Event Hub")</f>
        <v>Event Hub</v>
      </c>
    </row>
    <row r="292">
      <c r="A292" s="32" t="str">
        <f>IFERROR(__xludf.DUMMYFUNCTION("""COMPUTED_VALUE"""),"Vine Whip")</f>
        <v>Vine Whip</v>
      </c>
      <c r="B292" s="34">
        <f>IFERROR(__xludf.DUMMYFUNCTION("""COMPUTED_VALUE"""),1.0)</f>
        <v>1</v>
      </c>
      <c r="C292" s="32" t="str">
        <f>IFERROR(__xludf.DUMMYFUNCTION("""COMPUTED_VALUE"""),"X")</f>
        <v>X</v>
      </c>
      <c r="D292" s="32"/>
      <c r="E292" s="32" t="str">
        <f>IFERROR(__xludf.DUMMYFUNCTION("""COMPUTED_VALUE"""),"Deals X*100 Nature damage to a single enemy where X is equal to SP spent.")</f>
        <v>Deals X*100 Nature damage to a single enemy where X is equal to SP spent.</v>
      </c>
      <c r="F292" s="32" t="str">
        <f>IFERROR(__xludf.DUMMYFUNCTION("""COMPUTED_VALUE"""),"Hit/Miss")</f>
        <v>Hit/Miss</v>
      </c>
      <c r="G292" s="32">
        <f>IFERROR(__xludf.DUMMYFUNCTION("""COMPUTED_VALUE"""),1.0)</f>
        <v>1</v>
      </c>
      <c r="H292" s="32" t="str">
        <f>IFERROR(__xludf.DUMMYFUNCTION("""COMPUTED_VALUE"""),"Nature")</f>
        <v>Nature</v>
      </c>
      <c r="I292" s="32" t="str">
        <f>IFERROR(__xludf.DUMMYFUNCTION("""COMPUTED_VALUE"""),"Player")</f>
        <v>Player</v>
      </c>
      <c r="J292" s="32" t="b">
        <f>IFERROR(__xludf.DUMMYFUNCTION("""COMPUTED_VALUE"""),FALSE)</f>
        <v>0</v>
      </c>
      <c r="K292" s="32"/>
      <c r="L292" s="32" t="b">
        <f>IFERROR(__xludf.DUMMYFUNCTION("""COMPUTED_VALUE"""),FALSE)</f>
        <v>0</v>
      </c>
      <c r="M292" s="32" t="b">
        <f>IFERROR(__xludf.DUMMYFUNCTION("""COMPUTED_VALUE"""),FALSE)</f>
        <v>0</v>
      </c>
      <c r="N292" s="32"/>
    </row>
    <row r="293">
      <c r="A293" s="32" t="str">
        <f>IFERROR(__xludf.DUMMYFUNCTION("""COMPUTED_VALUE"""),"Poison Ivy")</f>
        <v>Poison Ivy</v>
      </c>
      <c r="B293" s="34">
        <f>IFERROR(__xludf.DUMMYFUNCTION("""COMPUTED_VALUE"""),5.0)</f>
        <v>5</v>
      </c>
      <c r="C293" s="32" t="str">
        <f>IFERROR(__xludf.DUMMYFUNCTION("""COMPUTED_VALUE"""),"X")</f>
        <v>X</v>
      </c>
      <c r="D293" s="32"/>
      <c r="E293" s="32" t="str">
        <f>IFERROR(__xludf.DUMMYFUNCTION("""COMPUTED_VALUE"""),"Deals X*50 Poison for 3 rounds to a single target where X is equal to SP spent.")</f>
        <v>Deals X*50 Poison for 3 rounds to a single target where X is equal to SP spent.</v>
      </c>
      <c r="F293" s="32" t="str">
        <f>IFERROR(__xludf.DUMMYFUNCTION("""COMPUTED_VALUE"""),"Hit/Miss")</f>
        <v>Hit/Miss</v>
      </c>
      <c r="G293" s="32">
        <f>IFERROR(__xludf.DUMMYFUNCTION("""COMPUTED_VALUE"""),1.0)</f>
        <v>1</v>
      </c>
      <c r="H293" s="32" t="str">
        <f>IFERROR(__xludf.DUMMYFUNCTION("""COMPUTED_VALUE"""),"Nature")</f>
        <v>Nature</v>
      </c>
      <c r="I293" s="32" t="str">
        <f>IFERROR(__xludf.DUMMYFUNCTION("""COMPUTED_VALUE"""),"Player")</f>
        <v>Player</v>
      </c>
      <c r="J293" s="32" t="b">
        <f>IFERROR(__xludf.DUMMYFUNCTION("""COMPUTED_VALUE"""),FALSE)</f>
        <v>0</v>
      </c>
      <c r="K293" s="32"/>
      <c r="L293" s="32" t="b">
        <f>IFERROR(__xludf.DUMMYFUNCTION("""COMPUTED_VALUE"""),FALSE)</f>
        <v>0</v>
      </c>
      <c r="M293" s="32" t="b">
        <f>IFERROR(__xludf.DUMMYFUNCTION("""COMPUTED_VALUE"""),FALSE)</f>
        <v>0</v>
      </c>
      <c r="N293" s="32"/>
    </row>
    <row r="294">
      <c r="A294" s="32" t="str">
        <f>IFERROR(__xludf.DUMMYFUNCTION("""COMPUTED_VALUE"""),"Razor Leaves")</f>
        <v>Razor Leaves</v>
      </c>
      <c r="B294" s="34">
        <f>IFERROR(__xludf.DUMMYFUNCTION("""COMPUTED_VALUE"""),5.0)</f>
        <v>5</v>
      </c>
      <c r="C294" s="32" t="str">
        <f>IFERROR(__xludf.DUMMYFUNCTION("""COMPUTED_VALUE"""),"X")</f>
        <v>X</v>
      </c>
      <c r="D294" s="32"/>
      <c r="E294" s="32" t="str">
        <f>IFERROR(__xludf.DUMMYFUNCTION("""COMPUTED_VALUE"""),"Deals X*25 Nature damage to all enemies where X is equal to SP spent.")</f>
        <v>Deals X*25 Nature damage to all enemies where X is equal to SP spent.</v>
      </c>
      <c r="F294" s="32" t="str">
        <f>IFERROR(__xludf.DUMMYFUNCTION("""COMPUTED_VALUE"""),"Cannot Avoid")</f>
        <v>Cannot Avoid</v>
      </c>
      <c r="G294" s="32" t="str">
        <f>IFERROR(__xludf.DUMMYFUNCTION("""COMPUTED_VALUE"""),"All")</f>
        <v>All</v>
      </c>
      <c r="H294" s="32" t="str">
        <f>IFERROR(__xludf.DUMMYFUNCTION("""COMPUTED_VALUE"""),"Nature")</f>
        <v>Nature</v>
      </c>
      <c r="I294" s="32" t="str">
        <f>IFERROR(__xludf.DUMMYFUNCTION("""COMPUTED_VALUE"""),"Player")</f>
        <v>Player</v>
      </c>
      <c r="J294" s="32" t="b">
        <f>IFERROR(__xludf.DUMMYFUNCTION("""COMPUTED_VALUE"""),FALSE)</f>
        <v>0</v>
      </c>
      <c r="K294" s="32"/>
      <c r="L294" s="32" t="b">
        <f>IFERROR(__xludf.DUMMYFUNCTION("""COMPUTED_VALUE"""),FALSE)</f>
        <v>0</v>
      </c>
      <c r="M294" s="32" t="b">
        <f>IFERROR(__xludf.DUMMYFUNCTION("""COMPUTED_VALUE"""),FALSE)</f>
        <v>0</v>
      </c>
      <c r="N294" s="32"/>
    </row>
    <row r="295">
      <c r="A295" s="32" t="str">
        <f>IFERROR(__xludf.DUMMYFUNCTION("""COMPUTED_VALUE"""),"Thorn Bush")</f>
        <v>Thorn Bush</v>
      </c>
      <c r="B295" s="34">
        <f>IFERROR(__xludf.DUMMYFUNCTION("""COMPUTED_VALUE"""),6.0)</f>
        <v>6</v>
      </c>
      <c r="C295" s="32" t="str">
        <f>IFERROR(__xludf.DUMMYFUNCTION("""COMPUTED_VALUE"""),"X")</f>
        <v>X</v>
      </c>
      <c r="D295" s="32"/>
      <c r="E295" s="32" t="str">
        <f>IFERROR(__xludf.DUMMYFUNCTION("""COMPUTED_VALUE"""),"Deals X*10 Poison to all enemies for 3 rounds where X is equal to SP spent.")</f>
        <v>Deals X*10 Poison to all enemies for 3 rounds where X is equal to SP spent.</v>
      </c>
      <c r="F295" s="32" t="str">
        <f>IFERROR(__xludf.DUMMYFUNCTION("""COMPUTED_VALUE"""),"Cannot Avoid")</f>
        <v>Cannot Avoid</v>
      </c>
      <c r="G295" s="32" t="str">
        <f>IFERROR(__xludf.DUMMYFUNCTION("""COMPUTED_VALUE"""),"All")</f>
        <v>All</v>
      </c>
      <c r="H295" s="32" t="str">
        <f>IFERROR(__xludf.DUMMYFUNCTION("""COMPUTED_VALUE"""),"Nature")</f>
        <v>Nature</v>
      </c>
      <c r="I295" s="32" t="str">
        <f>IFERROR(__xludf.DUMMYFUNCTION("""COMPUTED_VALUE"""),"Player")</f>
        <v>Player</v>
      </c>
      <c r="J295" s="32" t="b">
        <f>IFERROR(__xludf.DUMMYFUNCTION("""COMPUTED_VALUE"""),FALSE)</f>
        <v>0</v>
      </c>
      <c r="K295" s="32"/>
      <c r="L295" s="32" t="b">
        <f>IFERROR(__xludf.DUMMYFUNCTION("""COMPUTED_VALUE"""),FALSE)</f>
        <v>0</v>
      </c>
      <c r="M295" s="32" t="b">
        <f>IFERROR(__xludf.DUMMYFUNCTION("""COMPUTED_VALUE"""),FALSE)</f>
        <v>0</v>
      </c>
      <c r="N295" s="32"/>
    </row>
    <row r="296">
      <c r="A296" s="32" t="str">
        <f>IFERROR(__xludf.DUMMYFUNCTION("""COMPUTED_VALUE"""),"Call of the Paladin")</f>
        <v>Call of the Paladin</v>
      </c>
      <c r="B296" s="34">
        <f>IFERROR(__xludf.DUMMYFUNCTION("""COMPUTED_VALUE"""),1.0)</f>
        <v>1</v>
      </c>
      <c r="C296" s="32">
        <f>IFERROR(__xludf.DUMMYFUNCTION("""COMPUTED_VALUE"""),0.0)</f>
        <v>0</v>
      </c>
      <c r="D296" s="32"/>
      <c r="E296" s="32" t="str">
        <f>IFERROR(__xludf.DUMMYFUNCTION("""COMPUTED_VALUE"""),"Summons 1d4 paladins of the summoner's order.")</f>
        <v>Summons 1d4 paladins of the summoner's order.</v>
      </c>
      <c r="F296" s="32" t="str">
        <f>IFERROR(__xludf.DUMMYFUNCTION("""COMPUTED_VALUE"""),"Natural/Fail or Succeed")</f>
        <v>Natural/Fail or Succeed</v>
      </c>
      <c r="G296" s="32" t="str">
        <f>IFERROR(__xludf.DUMMYFUNCTION("""COMPUTED_VALUE"""),"Self")</f>
        <v>Self</v>
      </c>
      <c r="H296" s="32" t="str">
        <f>IFERROR(__xludf.DUMMYFUNCTION("""COMPUTED_VALUE"""),"Order")</f>
        <v>Order</v>
      </c>
      <c r="I296" s="32" t="str">
        <f>IFERROR(__xludf.DUMMYFUNCTION("""COMPUTED_VALUE"""),"Mob")</f>
        <v>Mob</v>
      </c>
      <c r="J296" s="32" t="b">
        <f>IFERROR(__xludf.DUMMYFUNCTION("""COMPUTED_VALUE"""),TRUE)</f>
        <v>1</v>
      </c>
      <c r="K296" s="32" t="str">
        <f>IFERROR(__xludf.DUMMYFUNCTION("""COMPUTED_VALUE"""),"mob exclusive")</f>
        <v>mob exclusive</v>
      </c>
      <c r="L296" s="32" t="b">
        <f>IFERROR(__xludf.DUMMYFUNCTION("""COMPUTED_VALUE"""),FALSE)</f>
        <v>0</v>
      </c>
      <c r="M296" s="32" t="b">
        <f>IFERROR(__xludf.DUMMYFUNCTION("""COMPUTED_VALUE"""),FALSE)</f>
        <v>0</v>
      </c>
      <c r="N296" s="32"/>
    </row>
    <row r="297">
      <c r="A297" s="32" t="str">
        <f>IFERROR(__xludf.DUMMYFUNCTION("""COMPUTED_VALUE"""),"Alliance Guard")</f>
        <v>Alliance Guard</v>
      </c>
      <c r="B297" s="34">
        <f>IFERROR(__xludf.DUMMYFUNCTION("""COMPUTED_VALUE"""),8.0)</f>
        <v>8</v>
      </c>
      <c r="C297" s="32">
        <f>IFERROR(__xludf.DUMMYFUNCTION("""COMPUTED_VALUE"""),80.0)</f>
        <v>80</v>
      </c>
      <c r="D297" s="32"/>
      <c r="E297" s="32" t="str">
        <f>IFERROR(__xludf.DUMMYFUNCTION("""COMPUTED_VALUE"""),"X4 defense to self and all allies until end of battle. 
(1 use)")</f>
        <v>X4 defense to self and all allies until end of battle. 
(1 use)</v>
      </c>
      <c r="F297" s="32" t="str">
        <f>IFERROR(__xludf.DUMMYFUNCTION("""COMPUTED_VALUE"""),"Will succeed")</f>
        <v>Will succeed</v>
      </c>
      <c r="G297" s="32"/>
      <c r="H297" s="32" t="str">
        <f>IFERROR(__xludf.DUMMYFUNCTION("""COMPUTED_VALUE"""),"Order")</f>
        <v>Order</v>
      </c>
      <c r="I297" s="32" t="str">
        <f>IFERROR(__xludf.DUMMYFUNCTION("""COMPUTED_VALUE"""),"Player")</f>
        <v>Player</v>
      </c>
      <c r="J297" s="32" t="b">
        <f>IFERROR(__xludf.DUMMYFUNCTION("""COMPUTED_VALUE"""),FALSE)</f>
        <v>0</v>
      </c>
      <c r="K297" s="32"/>
      <c r="L297" s="32" t="b">
        <f>IFERROR(__xludf.DUMMYFUNCTION("""COMPUTED_VALUE"""),FALSE)</f>
        <v>0</v>
      </c>
      <c r="M297" s="32" t="b">
        <f>IFERROR(__xludf.DUMMYFUNCTION("""COMPUTED_VALUE"""),FALSE)</f>
        <v>0</v>
      </c>
      <c r="N297" s="32"/>
    </row>
    <row r="298">
      <c r="A298" s="32" t="str">
        <f>IFERROR(__xludf.DUMMYFUNCTION("""COMPUTED_VALUE"""),"Cancel")</f>
        <v>Cancel</v>
      </c>
      <c r="B298" s="34">
        <f>IFERROR(__xludf.DUMMYFUNCTION("""COMPUTED_VALUE"""),9.0)</f>
        <v>9</v>
      </c>
      <c r="C298" s="32" t="str">
        <f>IFERROR(__xludf.DUMMYFUNCTION("""COMPUTED_VALUE"""),"X*1000")</f>
        <v>X*1000</v>
      </c>
      <c r="D298" s="32"/>
      <c r="E298" s="32" t="str">
        <f>IFERROR(__xludf.DUMMYFUNCTION("""COMPUTED_VALUE"""),"Choose an X amount of target's, those target's Ongoing Spell Effects immediately end.")</f>
        <v>Choose an X amount of target's, those target's Ongoing Spell Effects immediately end.</v>
      </c>
      <c r="F298" s="32" t="str">
        <f>IFERROR(__xludf.DUMMYFUNCTION("""COMPUTED_VALUE"""),"Fail/Succeed")</f>
        <v>Fail/Succeed</v>
      </c>
      <c r="G298" s="32" t="str">
        <f>IFERROR(__xludf.DUMMYFUNCTION("""COMPUTED_VALUE"""),"X")</f>
        <v>X</v>
      </c>
      <c r="H298" s="32" t="str">
        <f>IFERROR(__xludf.DUMMYFUNCTION("""COMPUTED_VALUE"""),"Order")</f>
        <v>Order</v>
      </c>
      <c r="I298" s="32" t="str">
        <f>IFERROR(__xludf.DUMMYFUNCTION("""COMPUTED_VALUE"""),"Player")</f>
        <v>Player</v>
      </c>
      <c r="J298" s="32" t="b">
        <f>IFERROR(__xludf.DUMMYFUNCTION("""COMPUTED_VALUE"""),FALSE)</f>
        <v>0</v>
      </c>
      <c r="K298" s="32"/>
      <c r="L298" s="32" t="b">
        <f>IFERROR(__xludf.DUMMYFUNCTION("""COMPUTED_VALUE"""),FALSE)</f>
        <v>0</v>
      </c>
      <c r="M298" s="32" t="b">
        <f>IFERROR(__xludf.DUMMYFUNCTION("""COMPUTED_VALUE"""),FALSE)</f>
        <v>0</v>
      </c>
      <c r="N298" s="32"/>
    </row>
    <row r="299">
      <c r="A299" s="32" t="str">
        <f>IFERROR(__xludf.DUMMYFUNCTION("""COMPUTED_VALUE"""),"Continue")</f>
        <v>Continue</v>
      </c>
      <c r="B299" s="34">
        <f>IFERROR(__xludf.DUMMYFUNCTION("""COMPUTED_VALUE"""),5.0)</f>
        <v>5</v>
      </c>
      <c r="C299" s="32">
        <f>IFERROR(__xludf.DUMMYFUNCTION("""COMPUTED_VALUE"""),50.0)</f>
        <v>50</v>
      </c>
      <c r="D299" s="32"/>
      <c r="E299" s="32"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32" t="str">
        <f>IFERROR(__xludf.DUMMYFUNCTION("""COMPUTED_VALUE"""),"Fail/Succeed")</f>
        <v>Fail/Succeed</v>
      </c>
      <c r="G299" s="32"/>
      <c r="H299" s="32" t="str">
        <f>IFERROR(__xludf.DUMMYFUNCTION("""COMPUTED_VALUE"""),"Order")</f>
        <v>Order</v>
      </c>
      <c r="I299" s="32" t="str">
        <f>IFERROR(__xludf.DUMMYFUNCTION("""COMPUTED_VALUE"""),"Player")</f>
        <v>Player</v>
      </c>
      <c r="J299" s="32" t="b">
        <f>IFERROR(__xludf.DUMMYFUNCTION("""COMPUTED_VALUE"""),FALSE)</f>
        <v>0</v>
      </c>
      <c r="K299" s="32"/>
      <c r="L299" s="32" t="b">
        <f>IFERROR(__xludf.DUMMYFUNCTION("""COMPUTED_VALUE"""),FALSE)</f>
        <v>0</v>
      </c>
      <c r="M299" s="32" t="b">
        <f>IFERROR(__xludf.DUMMYFUNCTION("""COMPUTED_VALUE"""),FALSE)</f>
        <v>0</v>
      </c>
      <c r="N299" s="32"/>
    </row>
    <row r="300">
      <c r="A300" s="32" t="str">
        <f>IFERROR(__xludf.DUMMYFUNCTION("""COMPUTED_VALUE"""),"Deflect")</f>
        <v>Deflect</v>
      </c>
      <c r="B300" s="34">
        <f>IFERROR(__xludf.DUMMYFUNCTION("""COMPUTED_VALUE"""),4.0)</f>
        <v>4</v>
      </c>
      <c r="C300" s="33">
        <f>IFERROR(__xludf.DUMMYFUNCTION("""COMPUTED_VALUE"""),40.0)</f>
        <v>40</v>
      </c>
      <c r="D300" s="32"/>
      <c r="E300" s="32" t="str">
        <f>IFERROR(__xludf.DUMMYFUNCTION("""COMPUTED_VALUE"""),"The next incoming natural attack is deflected back at the target that used it.")</f>
        <v>The next incoming natural attack is deflected back at the target that used it.</v>
      </c>
      <c r="F300" s="32" t="str">
        <f>IFERROR(__xludf.DUMMYFUNCTION("""COMPUTED_VALUE"""),"Fail/Succeed")</f>
        <v>Fail/Succeed</v>
      </c>
      <c r="G300" s="32" t="str">
        <f>IFERROR(__xludf.DUMMYFUNCTION("""COMPUTED_VALUE"""),"All")</f>
        <v>All</v>
      </c>
      <c r="H300" s="32" t="str">
        <f>IFERROR(__xludf.DUMMYFUNCTION("""COMPUTED_VALUE"""),"Order")</f>
        <v>Order</v>
      </c>
      <c r="I300" s="32" t="str">
        <f>IFERROR(__xludf.DUMMYFUNCTION("""COMPUTED_VALUE"""),"Player")</f>
        <v>Player</v>
      </c>
      <c r="J300" s="32" t="b">
        <f>IFERROR(__xludf.DUMMYFUNCTION("""COMPUTED_VALUE"""),TRUE)</f>
        <v>1</v>
      </c>
      <c r="K300" s="32" t="str">
        <f>IFERROR(__xludf.DUMMYFUNCTION("""COMPUTED_VALUE"""),"shop spell")</f>
        <v>shop spell</v>
      </c>
      <c r="L300" s="32" t="b">
        <f>IFERROR(__xludf.DUMMYFUNCTION("""COMPUTED_VALUE"""),FALSE)</f>
        <v>0</v>
      </c>
      <c r="M300" s="32" t="b">
        <f>IFERROR(__xludf.DUMMYFUNCTION("""COMPUTED_VALUE"""),FALSE)</f>
        <v>0</v>
      </c>
      <c r="N300" s="32"/>
    </row>
    <row r="301">
      <c r="A301" s="32" t="str">
        <f>IFERROR(__xludf.DUMMYFUNCTION("""COMPUTED_VALUE"""),"Downgrade")</f>
        <v>Downgrade</v>
      </c>
      <c r="B301" s="34">
        <f>IFERROR(__xludf.DUMMYFUNCTION("""COMPUTED_VALUE"""),6.0)</f>
        <v>6</v>
      </c>
      <c r="C301" s="32">
        <f>IFERROR(__xludf.DUMMYFUNCTION("""COMPUTED_VALUE"""),60.0)</f>
        <v>60</v>
      </c>
      <c r="D301" s="32"/>
      <c r="E301" s="32" t="str">
        <f>IFERROR(__xludf.DUMMYFUNCTION("""COMPUTED_VALUE"""),"Decrease an ongoing spell's round/and or turn count by 2.")</f>
        <v>Decrease an ongoing spell's round/and or turn count by 2.</v>
      </c>
      <c r="F301" s="32" t="str">
        <f>IFERROR(__xludf.DUMMYFUNCTION("""COMPUTED_VALUE"""),"Fail/Succeed")</f>
        <v>Fail/Succeed</v>
      </c>
      <c r="G301" s="32"/>
      <c r="H301" s="32" t="str">
        <f>IFERROR(__xludf.DUMMYFUNCTION("""COMPUTED_VALUE"""),"Order")</f>
        <v>Order</v>
      </c>
      <c r="I301" s="32" t="str">
        <f>IFERROR(__xludf.DUMMYFUNCTION("""COMPUTED_VALUE"""),"Player")</f>
        <v>Player</v>
      </c>
      <c r="J301" s="32" t="b">
        <f>IFERROR(__xludf.DUMMYFUNCTION("""COMPUTED_VALUE"""),FALSE)</f>
        <v>0</v>
      </c>
      <c r="K301" s="32"/>
      <c r="L301" s="32" t="b">
        <f>IFERROR(__xludf.DUMMYFUNCTION("""COMPUTED_VALUE"""),FALSE)</f>
        <v>0</v>
      </c>
      <c r="M301" s="32" t="b">
        <f>IFERROR(__xludf.DUMMYFUNCTION("""COMPUTED_VALUE"""),FALSE)</f>
        <v>0</v>
      </c>
      <c r="N301" s="32"/>
    </row>
    <row r="302">
      <c r="A302" s="32" t="str">
        <f>IFERROR(__xludf.DUMMYFUNCTION("""COMPUTED_VALUE"""),"Medium Ward")</f>
        <v>Medium Ward</v>
      </c>
      <c r="B302" s="34">
        <f>IFERROR(__xludf.DUMMYFUNCTION("""COMPUTED_VALUE"""),6.0)</f>
        <v>6</v>
      </c>
      <c r="C302" s="32">
        <f>IFERROR(__xludf.DUMMYFUNCTION("""COMPUTED_VALUE"""),60.0)</f>
        <v>60</v>
      </c>
      <c r="D302" s="32"/>
      <c r="E302" s="32"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32" t="str">
        <f>IFERROR(__xludf.DUMMYFUNCTION("""COMPUTED_VALUE"""),"Fail/succeed")</f>
        <v>Fail/succeed</v>
      </c>
      <c r="G302" s="32"/>
      <c r="H302" s="32" t="str">
        <f>IFERROR(__xludf.DUMMYFUNCTION("""COMPUTED_VALUE"""),"Order")</f>
        <v>Order</v>
      </c>
      <c r="I302" s="32" t="str">
        <f>IFERROR(__xludf.DUMMYFUNCTION("""COMPUTED_VALUE"""),"Player")</f>
        <v>Player</v>
      </c>
      <c r="J302" s="32" t="b">
        <f>IFERROR(__xludf.DUMMYFUNCTION("""COMPUTED_VALUE"""),FALSE)</f>
        <v>0</v>
      </c>
      <c r="K302" s="32"/>
      <c r="L302" s="32" t="b">
        <f>IFERROR(__xludf.DUMMYFUNCTION("""COMPUTED_VALUE"""),FALSE)</f>
        <v>0</v>
      </c>
      <c r="M302" s="32" t="b">
        <f>IFERROR(__xludf.DUMMYFUNCTION("""COMPUTED_VALUE"""),FALSE)</f>
        <v>0</v>
      </c>
      <c r="N302" s="32"/>
    </row>
    <row r="303">
      <c r="A303" s="32" t="str">
        <f>IFERROR(__xludf.DUMMYFUNCTION("""COMPUTED_VALUE"""),"Multi Ward")</f>
        <v>Multi Ward</v>
      </c>
      <c r="B303" s="34">
        <f>IFERROR(__xludf.DUMMYFUNCTION("""COMPUTED_VALUE"""),9.0)</f>
        <v>9</v>
      </c>
      <c r="C303" s="32">
        <f>IFERROR(__xludf.DUMMYFUNCTION("""COMPUTED_VALUE"""),300.0)</f>
        <v>300</v>
      </c>
      <c r="D303" s="32"/>
      <c r="E303" s="32"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32" t="str">
        <f>IFERROR(__xludf.DUMMYFUNCTION("""COMPUTED_VALUE"""),"Fail/Succeed")</f>
        <v>Fail/Succeed</v>
      </c>
      <c r="G303" s="32"/>
      <c r="H303" s="32" t="str">
        <f>IFERROR(__xludf.DUMMYFUNCTION("""COMPUTED_VALUE"""),"Order")</f>
        <v>Order</v>
      </c>
      <c r="I303" s="32" t="str">
        <f>IFERROR(__xludf.DUMMYFUNCTION("""COMPUTED_VALUE"""),"Player")</f>
        <v>Player</v>
      </c>
      <c r="J303" s="32" t="b">
        <f>IFERROR(__xludf.DUMMYFUNCTION("""COMPUTED_VALUE"""),FALSE)</f>
        <v>0</v>
      </c>
      <c r="K303" s="32"/>
      <c r="L303" s="32" t="b">
        <f>IFERROR(__xludf.DUMMYFUNCTION("""COMPUTED_VALUE"""),FALSE)</f>
        <v>0</v>
      </c>
      <c r="M303" s="32" t="b">
        <f>IFERROR(__xludf.DUMMYFUNCTION("""COMPUTED_VALUE"""),FALSE)</f>
        <v>0</v>
      </c>
      <c r="N303" s="32"/>
    </row>
    <row r="304">
      <c r="A304" s="32" t="str">
        <f>IFERROR(__xludf.DUMMYFUNCTION("""COMPUTED_VALUE"""),"Neutralize")</f>
        <v>Neutralize</v>
      </c>
      <c r="B304" s="34">
        <f>IFERROR(__xludf.DUMMYFUNCTION("""COMPUTED_VALUE"""),9.0)</f>
        <v>9</v>
      </c>
      <c r="C304" s="32">
        <f>IFERROR(__xludf.DUMMYFUNCTION("""COMPUTED_VALUE"""),300.0)</f>
        <v>300</v>
      </c>
      <c r="D304" s="32"/>
      <c r="E304" s="32"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32" t="str">
        <f>IFERROR(__xludf.DUMMYFUNCTION("""COMPUTED_VALUE"""),"Fail/Succeed")</f>
        <v>Fail/Succeed</v>
      </c>
      <c r="G304" s="32"/>
      <c r="H304" s="32" t="str">
        <f>IFERROR(__xludf.DUMMYFUNCTION("""COMPUTED_VALUE"""),"Order")</f>
        <v>Order</v>
      </c>
      <c r="I304" s="32" t="str">
        <f>IFERROR(__xludf.DUMMYFUNCTION("""COMPUTED_VALUE"""),"Player")</f>
        <v>Player</v>
      </c>
      <c r="J304" s="32" t="b">
        <f>IFERROR(__xludf.DUMMYFUNCTION("""COMPUTED_VALUE"""),FALSE)</f>
        <v>0</v>
      </c>
      <c r="K304" s="32"/>
      <c r="L304" s="32" t="b">
        <f>IFERROR(__xludf.DUMMYFUNCTION("""COMPUTED_VALUE"""),FALSE)</f>
        <v>0</v>
      </c>
      <c r="M304" s="32" t="b">
        <f>IFERROR(__xludf.DUMMYFUNCTION("""COMPUTED_VALUE"""),FALSE)</f>
        <v>0</v>
      </c>
      <c r="N304" s="32"/>
    </row>
    <row r="305">
      <c r="A305" s="32" t="str">
        <f>IFERROR(__xludf.DUMMYFUNCTION("""COMPUTED_VALUE"""),"Protection")</f>
        <v>Protection</v>
      </c>
      <c r="B305" s="34">
        <f>IFERROR(__xludf.DUMMYFUNCTION("""COMPUTED_VALUE"""),2.0)</f>
        <v>2</v>
      </c>
      <c r="C305" s="32">
        <f>IFERROR(__xludf.DUMMYFUNCTION("""COMPUTED_VALUE"""),20.0)</f>
        <v>20</v>
      </c>
      <c r="D305" s="32"/>
      <c r="E305" s="32" t="str">
        <f>IFERROR(__xludf.DUMMYFUNCTION("""COMPUTED_VALUE"""),"X2 Defense to self and allies.")</f>
        <v>X2 Defense to self and allies.</v>
      </c>
      <c r="F305" s="32" t="str">
        <f>IFERROR(__xludf.DUMMYFUNCTION("""COMPUTED_VALUE"""),"Will Succeed")</f>
        <v>Will Succeed</v>
      </c>
      <c r="G305" s="32"/>
      <c r="H305" s="32" t="str">
        <f>IFERROR(__xludf.DUMMYFUNCTION("""COMPUTED_VALUE"""),"Order")</f>
        <v>Order</v>
      </c>
      <c r="I305" s="32" t="str">
        <f>IFERROR(__xludf.DUMMYFUNCTION("""COMPUTED_VALUE"""),"Player")</f>
        <v>Player</v>
      </c>
      <c r="J305" s="32" t="b">
        <f>IFERROR(__xludf.DUMMYFUNCTION("""COMPUTED_VALUE"""),FALSE)</f>
        <v>0</v>
      </c>
      <c r="K305" s="32"/>
      <c r="L305" s="32" t="b">
        <f>IFERROR(__xludf.DUMMYFUNCTION("""COMPUTED_VALUE"""),FALSE)</f>
        <v>0</v>
      </c>
      <c r="M305" s="32" t="b">
        <f>IFERROR(__xludf.DUMMYFUNCTION("""COMPUTED_VALUE"""),FALSE)</f>
        <v>0</v>
      </c>
      <c r="N305" s="32"/>
    </row>
    <row r="306">
      <c r="A306" s="32" t="str">
        <f>IFERROR(__xludf.DUMMYFUNCTION("""COMPUTED_VALUE"""),"Reflect")</f>
        <v>Reflect</v>
      </c>
      <c r="B306" s="34">
        <f>IFERROR(__xludf.DUMMYFUNCTION("""COMPUTED_VALUE"""),2.0)</f>
        <v>2</v>
      </c>
      <c r="C306" s="32">
        <f>IFERROR(__xludf.DUMMYFUNCTION("""COMPUTED_VALUE"""),20.0)</f>
        <v>20</v>
      </c>
      <c r="D306" s="32"/>
      <c r="E306" s="32" t="str">
        <f>IFERROR(__xludf.DUMMYFUNCTION("""COMPUTED_VALUE"""),"Inflict Half the damage you take from the next attack on the attacker")</f>
        <v>Inflict Half the damage you take from the next attack on the attacker</v>
      </c>
      <c r="F306" s="32" t="str">
        <f>IFERROR(__xludf.DUMMYFUNCTION("""COMPUTED_VALUE"""),"Fail/succeed")</f>
        <v>Fail/succeed</v>
      </c>
      <c r="G306" s="32"/>
      <c r="H306" s="32" t="str">
        <f>IFERROR(__xludf.DUMMYFUNCTION("""COMPUTED_VALUE"""),"Order")</f>
        <v>Order</v>
      </c>
      <c r="I306" s="32" t="str">
        <f>IFERROR(__xludf.DUMMYFUNCTION("""COMPUTED_VALUE"""),"Player")</f>
        <v>Player</v>
      </c>
      <c r="J306" s="32" t="b">
        <f>IFERROR(__xludf.DUMMYFUNCTION("""COMPUTED_VALUE"""),FALSE)</f>
        <v>0</v>
      </c>
      <c r="K306" s="32"/>
      <c r="L306" s="32" t="b">
        <f>IFERROR(__xludf.DUMMYFUNCTION("""COMPUTED_VALUE"""),FALSE)</f>
        <v>0</v>
      </c>
      <c r="M306" s="32" t="b">
        <f>IFERROR(__xludf.DUMMYFUNCTION("""COMPUTED_VALUE"""),FALSE)</f>
        <v>0</v>
      </c>
      <c r="N306" s="32"/>
    </row>
    <row r="307">
      <c r="A307" s="32" t="str">
        <f>IFERROR(__xludf.DUMMYFUNCTION("""COMPUTED_VALUE"""),"Stat Swap")</f>
        <v>Stat Swap</v>
      </c>
      <c r="B307" s="34">
        <f>IFERROR(__xludf.DUMMYFUNCTION("""COMPUTED_VALUE"""),9.0)</f>
        <v>9</v>
      </c>
      <c r="C307" s="33">
        <f>IFERROR(__xludf.DUMMYFUNCTION("""COMPUTED_VALUE"""),300.0)</f>
        <v>300</v>
      </c>
      <c r="D307" s="32"/>
      <c r="E307" s="32" t="str">
        <f>IFERROR(__xludf.DUMMYFUNCTION("""COMPUTED_VALUE"""),"Swap your attack and defense with 1 other targets attack and defense.")</f>
        <v>Swap your attack and defense with 1 other targets attack and defense.</v>
      </c>
      <c r="F307" s="32" t="str">
        <f>IFERROR(__xludf.DUMMYFUNCTION("""COMPUTED_VALUE"""),"Fail/Succeed")</f>
        <v>Fail/Succeed</v>
      </c>
      <c r="G307" s="32">
        <f>IFERROR(__xludf.DUMMYFUNCTION("""COMPUTED_VALUE"""),1.0)</f>
        <v>1</v>
      </c>
      <c r="H307" s="32" t="str">
        <f>IFERROR(__xludf.DUMMYFUNCTION("""COMPUTED_VALUE"""),"Order")</f>
        <v>Order</v>
      </c>
      <c r="I307" s="32" t="str">
        <f>IFERROR(__xludf.DUMMYFUNCTION("""COMPUTED_VALUE"""),"Player")</f>
        <v>Player</v>
      </c>
      <c r="J307" s="32" t="b">
        <f>IFERROR(__xludf.DUMMYFUNCTION("""COMPUTED_VALUE"""),TRUE)</f>
        <v>1</v>
      </c>
      <c r="K307" s="32" t="str">
        <f>IFERROR(__xludf.DUMMYFUNCTION("""COMPUTED_VALUE"""),"shop spell")</f>
        <v>shop spell</v>
      </c>
      <c r="L307" s="32" t="b">
        <f>IFERROR(__xludf.DUMMYFUNCTION("""COMPUTED_VALUE"""),FALSE)</f>
        <v>0</v>
      </c>
      <c r="M307" s="32" t="b">
        <f>IFERROR(__xludf.DUMMYFUNCTION("""COMPUTED_VALUE"""),FALSE)</f>
        <v>0</v>
      </c>
      <c r="N307" s="32"/>
    </row>
    <row r="308">
      <c r="A308" s="32" t="str">
        <f>IFERROR(__xludf.DUMMYFUNCTION("""COMPUTED_VALUE"""),"Strong Ward")</f>
        <v>Strong Ward</v>
      </c>
      <c r="B308" s="34">
        <f>IFERROR(__xludf.DUMMYFUNCTION("""COMPUTED_VALUE"""),9.0)</f>
        <v>9</v>
      </c>
      <c r="C308" s="32">
        <f>IFERROR(__xludf.DUMMYFUNCTION("""COMPUTED_VALUE"""),300.0)</f>
        <v>300</v>
      </c>
      <c r="D308" s="32"/>
      <c r="E308" s="3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32" t="str">
        <f>IFERROR(__xludf.DUMMYFUNCTION("""COMPUTED_VALUE"""),"Fail/succeed")</f>
        <v>Fail/succeed</v>
      </c>
      <c r="G308" s="32"/>
      <c r="H308" s="32" t="str">
        <f>IFERROR(__xludf.DUMMYFUNCTION("""COMPUTED_VALUE"""),"Order")</f>
        <v>Order</v>
      </c>
      <c r="I308" s="32" t="str">
        <f>IFERROR(__xludf.DUMMYFUNCTION("""COMPUTED_VALUE"""),"Player")</f>
        <v>Player</v>
      </c>
      <c r="J308" s="32" t="b">
        <f>IFERROR(__xludf.DUMMYFUNCTION("""COMPUTED_VALUE"""),FALSE)</f>
        <v>0</v>
      </c>
      <c r="K308" s="32"/>
      <c r="L308" s="32" t="b">
        <f>IFERROR(__xludf.DUMMYFUNCTION("""COMPUTED_VALUE"""),FALSE)</f>
        <v>0</v>
      </c>
      <c r="M308" s="32" t="b">
        <f>IFERROR(__xludf.DUMMYFUNCTION("""COMPUTED_VALUE"""),FALSE)</f>
        <v>0</v>
      </c>
      <c r="N308" s="32"/>
    </row>
    <row r="309">
      <c r="A309" s="32" t="str">
        <f>IFERROR(__xludf.DUMMYFUNCTION("""COMPUTED_VALUE"""),"Tower Of Truth")</f>
        <v>Tower Of Truth</v>
      </c>
      <c r="B309" s="34">
        <f>IFERROR(__xludf.DUMMYFUNCTION("""COMPUTED_VALUE"""),8.0)</f>
        <v>8</v>
      </c>
      <c r="C309" s="32">
        <f>IFERROR(__xludf.DUMMYFUNCTION("""COMPUTED_VALUE"""),200.0)</f>
        <v>200</v>
      </c>
      <c r="D309" s="32"/>
      <c r="E309" s="32"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32" t="str">
        <f>IFERROR(__xludf.DUMMYFUNCTION("""COMPUTED_VALUE"""),"Fail/succeed")</f>
        <v>Fail/succeed</v>
      </c>
      <c r="G309" s="32">
        <f>IFERROR(__xludf.DUMMYFUNCTION("""COMPUTED_VALUE"""),1.0)</f>
        <v>1</v>
      </c>
      <c r="H309" s="32" t="str">
        <f>IFERROR(__xludf.DUMMYFUNCTION("""COMPUTED_VALUE"""),"Order")</f>
        <v>Order</v>
      </c>
      <c r="I309" s="32" t="str">
        <f>IFERROR(__xludf.DUMMYFUNCTION("""COMPUTED_VALUE"""),"Player")</f>
        <v>Player</v>
      </c>
      <c r="J309" s="32" t="b">
        <f>IFERROR(__xludf.DUMMYFUNCTION("""COMPUTED_VALUE"""),FALSE)</f>
        <v>0</v>
      </c>
      <c r="K309" s="32"/>
      <c r="L309" s="32" t="b">
        <f>IFERROR(__xludf.DUMMYFUNCTION("""COMPUTED_VALUE"""),FALSE)</f>
        <v>0</v>
      </c>
      <c r="M309" s="32" t="b">
        <f>IFERROR(__xludf.DUMMYFUNCTION("""COMPUTED_VALUE"""),FALSE)</f>
        <v>0</v>
      </c>
      <c r="N309" s="32"/>
    </row>
    <row r="310">
      <c r="A310" s="32" t="str">
        <f>IFERROR(__xludf.DUMMYFUNCTION("""COMPUTED_VALUE"""),"Ward")</f>
        <v>Ward</v>
      </c>
      <c r="B310" s="34">
        <f>IFERROR(__xludf.DUMMYFUNCTION("""COMPUTED_VALUE"""),6.0)</f>
        <v>6</v>
      </c>
      <c r="C310" s="32">
        <f>IFERROR(__xludf.DUMMYFUNCTION("""COMPUTED_VALUE"""),60.0)</f>
        <v>60</v>
      </c>
      <c r="D310" s="32"/>
      <c r="E310" s="32"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32" t="str">
        <f>IFERROR(__xludf.DUMMYFUNCTION("""COMPUTED_VALUE"""),"Fail/succeed")</f>
        <v>Fail/succeed</v>
      </c>
      <c r="G310" s="32"/>
      <c r="H310" s="32" t="str">
        <f>IFERROR(__xludf.DUMMYFUNCTION("""COMPUTED_VALUE"""),"Order")</f>
        <v>Order</v>
      </c>
      <c r="I310" s="32" t="str">
        <f>IFERROR(__xludf.DUMMYFUNCTION("""COMPUTED_VALUE"""),"Player")</f>
        <v>Player</v>
      </c>
      <c r="J310" s="32" t="b">
        <f>IFERROR(__xludf.DUMMYFUNCTION("""COMPUTED_VALUE"""),FALSE)</f>
        <v>0</v>
      </c>
      <c r="K310" s="32"/>
      <c r="L310" s="32" t="b">
        <f>IFERROR(__xludf.DUMMYFUNCTION("""COMPUTED_VALUE"""),FALSE)</f>
        <v>0</v>
      </c>
      <c r="M310" s="32" t="b">
        <f>IFERROR(__xludf.DUMMYFUNCTION("""COMPUTED_VALUE"""),FALSE)</f>
        <v>0</v>
      </c>
      <c r="N310" s="32"/>
    </row>
    <row r="311">
      <c r="A311" s="32" t="str">
        <f>IFERROR(__xludf.DUMMYFUNCTION("""COMPUTED_VALUE"""),"Call of the Paladin (Player)")</f>
        <v>Call of the Paladin (Player)</v>
      </c>
      <c r="B311" s="34">
        <f>IFERROR(__xludf.DUMMYFUNCTION("""COMPUTED_VALUE"""),1.0)</f>
        <v>1</v>
      </c>
      <c r="C311" s="32">
        <f>IFERROR(__xludf.DUMMYFUNCTION("""COMPUTED_VALUE"""),0.0)</f>
        <v>0</v>
      </c>
      <c r="D311" s="32"/>
      <c r="E311" s="32" t="str">
        <f>IFERROR(__xludf.DUMMYFUNCTION("""COMPUTED_VALUE"""),"Summons a single paladin from the same order as you who's level is the same as yours.")</f>
        <v>Summons a single paladin from the same order as you who's level is the same as yours.</v>
      </c>
      <c r="F311" s="32" t="str">
        <f>IFERROR(__xludf.DUMMYFUNCTION("""COMPUTED_VALUE"""),"Natural/Fail or Succeed")</f>
        <v>Natural/Fail or Succeed</v>
      </c>
      <c r="G311" s="32" t="str">
        <f>IFERROR(__xludf.DUMMYFUNCTION("""COMPUTED_VALUE"""),"Self")</f>
        <v>Self</v>
      </c>
      <c r="H311" s="32" t="str">
        <f>IFERROR(__xludf.DUMMYFUNCTION("""COMPUTED_VALUE"""),"Order")</f>
        <v>Order</v>
      </c>
      <c r="I311" s="32" t="str">
        <f>IFERROR(__xludf.DUMMYFUNCTION("""COMPUTED_VALUE"""),"Player")</f>
        <v>Player</v>
      </c>
      <c r="J311" s="32" t="b">
        <f>IFERROR(__xludf.DUMMYFUNCTION("""COMPUTED_VALUE"""),TRUE)</f>
        <v>1</v>
      </c>
      <c r="K311" s="32" t="str">
        <f>IFERROR(__xludf.DUMMYFUNCTION("""COMPUTED_VALUE"""),"Paladin exclusive")</f>
        <v>Paladin exclusive</v>
      </c>
      <c r="L311" s="32" t="b">
        <f>IFERROR(__xludf.DUMMYFUNCTION("""COMPUTED_VALUE"""),FALSE)</f>
        <v>0</v>
      </c>
      <c r="M311" s="32" t="b">
        <f>IFERROR(__xludf.DUMMYFUNCTION("""COMPUTED_VALUE"""),FALSE)</f>
        <v>0</v>
      </c>
      <c r="N311" s="32"/>
    </row>
    <row r="312">
      <c r="A312" s="32" t="str">
        <f>IFERROR(__xludf.DUMMYFUNCTION("""COMPUTED_VALUE"""),"Aura Shot")</f>
        <v>Aura Shot</v>
      </c>
      <c r="B312" s="34">
        <f>IFERROR(__xludf.DUMMYFUNCTION("""COMPUTED_VALUE"""),1.0)</f>
        <v>1</v>
      </c>
      <c r="C312" s="32" t="str">
        <f>IFERROR(__xludf.DUMMYFUNCTION("""COMPUTED_VALUE"""),"X")</f>
        <v>X</v>
      </c>
      <c r="D312" s="32"/>
      <c r="E312" s="32" t="str">
        <f>IFERROR(__xludf.DUMMYFUNCTION("""COMPUTED_VALUE"""),"Deals X*100 Order damage to a single enemy where X is equal to SP spent.")</f>
        <v>Deals X*100 Order damage to a single enemy where X is equal to SP spent.</v>
      </c>
      <c r="F312" s="32" t="str">
        <f>IFERROR(__xludf.DUMMYFUNCTION("""COMPUTED_VALUE"""),"Hit/Miss")</f>
        <v>Hit/Miss</v>
      </c>
      <c r="G312" s="32">
        <f>IFERROR(__xludf.DUMMYFUNCTION("""COMPUTED_VALUE"""),1.0)</f>
        <v>1</v>
      </c>
      <c r="H312" s="32" t="str">
        <f>IFERROR(__xludf.DUMMYFUNCTION("""COMPUTED_VALUE"""),"Order")</f>
        <v>Order</v>
      </c>
      <c r="I312" s="32" t="str">
        <f>IFERROR(__xludf.DUMMYFUNCTION("""COMPUTED_VALUE"""),"Player")</f>
        <v>Player</v>
      </c>
      <c r="J312" s="32" t="b">
        <f>IFERROR(__xludf.DUMMYFUNCTION("""COMPUTED_VALUE"""),FALSE)</f>
        <v>0</v>
      </c>
      <c r="K312" s="32"/>
      <c r="L312" s="32" t="b">
        <f>IFERROR(__xludf.DUMMYFUNCTION("""COMPUTED_VALUE"""),FALSE)</f>
        <v>0</v>
      </c>
      <c r="M312" s="32" t="b">
        <f>IFERROR(__xludf.DUMMYFUNCTION("""COMPUTED_VALUE"""),FALSE)</f>
        <v>0</v>
      </c>
      <c r="N312" s="32"/>
    </row>
    <row r="313">
      <c r="A313" s="32" t="str">
        <f>IFERROR(__xludf.DUMMYFUNCTION("""COMPUTED_VALUE"""),"Judgement")</f>
        <v>Judgement</v>
      </c>
      <c r="B313" s="34">
        <f>IFERROR(__xludf.DUMMYFUNCTION("""COMPUTED_VALUE"""),5.0)</f>
        <v>5</v>
      </c>
      <c r="C313" s="32" t="str">
        <f>IFERROR(__xludf.DUMMYFUNCTION("""COMPUTED_VALUE"""),"X")</f>
        <v>X</v>
      </c>
      <c r="D313" s="32"/>
      <c r="E313" s="32" t="str">
        <f>IFERROR(__xludf.DUMMYFUNCTION("""COMPUTED_VALUE"""),"Deals X*50 Order damage per round for 3 rounds to a single target where X is equal to SP spent.")</f>
        <v>Deals X*50 Order damage per round for 3 rounds to a single target where X is equal to SP spent.</v>
      </c>
      <c r="F313" s="32" t="str">
        <f>IFERROR(__xludf.DUMMYFUNCTION("""COMPUTED_VALUE"""),"Hit/Miss")</f>
        <v>Hit/Miss</v>
      </c>
      <c r="G313" s="32">
        <f>IFERROR(__xludf.DUMMYFUNCTION("""COMPUTED_VALUE"""),1.0)</f>
        <v>1</v>
      </c>
      <c r="H313" s="32" t="str">
        <f>IFERROR(__xludf.DUMMYFUNCTION("""COMPUTED_VALUE"""),"Order")</f>
        <v>Order</v>
      </c>
      <c r="I313" s="32" t="str">
        <f>IFERROR(__xludf.DUMMYFUNCTION("""COMPUTED_VALUE"""),"Player")</f>
        <v>Player</v>
      </c>
      <c r="J313" s="32" t="b">
        <f>IFERROR(__xludf.DUMMYFUNCTION("""COMPUTED_VALUE"""),FALSE)</f>
        <v>0</v>
      </c>
      <c r="K313" s="32"/>
      <c r="L313" s="32" t="b">
        <f>IFERROR(__xludf.DUMMYFUNCTION("""COMPUTED_VALUE"""),FALSE)</f>
        <v>0</v>
      </c>
      <c r="M313" s="32" t="b">
        <f>IFERROR(__xludf.DUMMYFUNCTION("""COMPUTED_VALUE"""),FALSE)</f>
        <v>0</v>
      </c>
      <c r="N313" s="32"/>
    </row>
    <row r="314">
      <c r="A314" s="32" t="str">
        <f>IFERROR(__xludf.DUMMYFUNCTION("""COMPUTED_VALUE"""),"Aura of Order")</f>
        <v>Aura of Order</v>
      </c>
      <c r="B314" s="34">
        <f>IFERROR(__xludf.DUMMYFUNCTION("""COMPUTED_VALUE"""),5.0)</f>
        <v>5</v>
      </c>
      <c r="C314" s="32" t="str">
        <f>IFERROR(__xludf.DUMMYFUNCTION("""COMPUTED_VALUE"""),"X")</f>
        <v>X</v>
      </c>
      <c r="D314" s="32"/>
      <c r="E314" s="32" t="str">
        <f>IFERROR(__xludf.DUMMYFUNCTION("""COMPUTED_VALUE"""),"Deals X*25 Order damage to all enemies where X is equal to SP spent.")</f>
        <v>Deals X*25 Order damage to all enemies where X is equal to SP spent.</v>
      </c>
      <c r="F314" s="32" t="str">
        <f>IFERROR(__xludf.DUMMYFUNCTION("""COMPUTED_VALUE"""),"Cannot Avoid")</f>
        <v>Cannot Avoid</v>
      </c>
      <c r="G314" s="32" t="str">
        <f>IFERROR(__xludf.DUMMYFUNCTION("""COMPUTED_VALUE"""),"All")</f>
        <v>All</v>
      </c>
      <c r="H314" s="32" t="str">
        <f>IFERROR(__xludf.DUMMYFUNCTION("""COMPUTED_VALUE"""),"Order")</f>
        <v>Order</v>
      </c>
      <c r="I314" s="32" t="str">
        <f>IFERROR(__xludf.DUMMYFUNCTION("""COMPUTED_VALUE"""),"Player")</f>
        <v>Player</v>
      </c>
      <c r="J314" s="32" t="b">
        <f>IFERROR(__xludf.DUMMYFUNCTION("""COMPUTED_VALUE"""),FALSE)</f>
        <v>0</v>
      </c>
      <c r="K314" s="32"/>
      <c r="L314" s="32" t="b">
        <f>IFERROR(__xludf.DUMMYFUNCTION("""COMPUTED_VALUE"""),FALSE)</f>
        <v>0</v>
      </c>
      <c r="M314" s="32" t="b">
        <f>IFERROR(__xludf.DUMMYFUNCTION("""COMPUTED_VALUE"""),FALSE)</f>
        <v>0</v>
      </c>
      <c r="N314" s="32"/>
    </row>
    <row r="315">
      <c r="A315" s="32" t="str">
        <f>IFERROR(__xludf.DUMMYFUNCTION("""COMPUTED_VALUE"""),"Mass Judgement")</f>
        <v>Mass Judgement</v>
      </c>
      <c r="B315" s="34">
        <f>IFERROR(__xludf.DUMMYFUNCTION("""COMPUTED_VALUE"""),6.0)</f>
        <v>6</v>
      </c>
      <c r="C315" s="32" t="str">
        <f>IFERROR(__xludf.DUMMYFUNCTION("""COMPUTED_VALUE"""),"X")</f>
        <v>X</v>
      </c>
      <c r="D315" s="32"/>
      <c r="E315" s="32" t="str">
        <f>IFERROR(__xludf.DUMMYFUNCTION("""COMPUTED_VALUE"""),"Deals X*10 Order damage per round to all enemies for 3 rounds where X is equal to SP spent.")</f>
        <v>Deals X*10 Order damage per round to all enemies for 3 rounds where X is equal to SP spent.</v>
      </c>
      <c r="F315" s="32" t="str">
        <f>IFERROR(__xludf.DUMMYFUNCTION("""COMPUTED_VALUE"""),"Cannot Avoid")</f>
        <v>Cannot Avoid</v>
      </c>
      <c r="G315" s="32" t="str">
        <f>IFERROR(__xludf.DUMMYFUNCTION("""COMPUTED_VALUE"""),"All")</f>
        <v>All</v>
      </c>
      <c r="H315" s="32" t="str">
        <f>IFERROR(__xludf.DUMMYFUNCTION("""COMPUTED_VALUE"""),"Order")</f>
        <v>Order</v>
      </c>
      <c r="I315" s="32" t="str">
        <f>IFERROR(__xludf.DUMMYFUNCTION("""COMPUTED_VALUE"""),"Player")</f>
        <v>Player</v>
      </c>
      <c r="J315" s="32" t="b">
        <f>IFERROR(__xludf.DUMMYFUNCTION("""COMPUTED_VALUE"""),FALSE)</f>
        <v>0</v>
      </c>
      <c r="K315" s="32"/>
      <c r="L315" s="32" t="b">
        <f>IFERROR(__xludf.DUMMYFUNCTION("""COMPUTED_VALUE"""),FALSE)</f>
        <v>0</v>
      </c>
      <c r="M315" s="32" t="b">
        <f>IFERROR(__xludf.DUMMYFUNCTION("""COMPUTED_VALUE"""),FALSE)</f>
        <v>0</v>
      </c>
      <c r="N315" s="32"/>
    </row>
    <row r="316">
      <c r="A316" s="32" t="str">
        <f>IFERROR(__xludf.DUMMYFUNCTION("""COMPUTED_VALUE"""),"[Element] Strike")</f>
        <v>[Element] Strike</v>
      </c>
      <c r="B316" s="34">
        <f>IFERROR(__xludf.DUMMYFUNCTION("""COMPUTED_VALUE"""),4.0)</f>
        <v>4</v>
      </c>
      <c r="C316" s="32">
        <f>IFERROR(__xludf.DUMMYFUNCTION("""COMPUTED_VALUE"""),40.0)</f>
        <v>40</v>
      </c>
      <c r="D316" s="32"/>
      <c r="E316" s="32"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32" t="str">
        <f>IFERROR(__xludf.DUMMYFUNCTION("""COMPUTED_VALUE"""),"Fail/succeed")</f>
        <v>Fail/succeed</v>
      </c>
      <c r="G316" s="32"/>
      <c r="H316" s="32" t="str">
        <f>IFERROR(__xludf.DUMMYFUNCTION("""COMPUTED_VALUE"""),"Physical")</f>
        <v>Physical</v>
      </c>
      <c r="I316" s="32" t="str">
        <f>IFERROR(__xludf.DUMMYFUNCTION("""COMPUTED_VALUE"""),"Player")</f>
        <v>Player</v>
      </c>
      <c r="J316" s="32" t="b">
        <f>IFERROR(__xludf.DUMMYFUNCTION("""COMPUTED_VALUE"""),FALSE)</f>
        <v>0</v>
      </c>
      <c r="K316" s="32"/>
      <c r="L316" s="32" t="b">
        <f>IFERROR(__xludf.DUMMYFUNCTION("""COMPUTED_VALUE"""),FALSE)</f>
        <v>0</v>
      </c>
      <c r="M316" s="32" t="b">
        <f>IFERROR(__xludf.DUMMYFUNCTION("""COMPUTED_VALUE"""),TRUE)</f>
        <v>1</v>
      </c>
      <c r="N316" s="32"/>
    </row>
    <row r="317">
      <c r="A317" s="32" t="str">
        <f>IFERROR(__xludf.DUMMYFUNCTION("""COMPUTED_VALUE"""),"Absorb")</f>
        <v>Absorb</v>
      </c>
      <c r="B317" s="34">
        <f>IFERROR(__xludf.DUMMYFUNCTION("""COMPUTED_VALUE"""),1.0)</f>
        <v>1</v>
      </c>
      <c r="C317" s="33">
        <f>IFERROR(__xludf.DUMMYFUNCTION("""COMPUTED_VALUE"""),0.0)</f>
        <v>0</v>
      </c>
      <c r="D317" s="32"/>
      <c r="E317" s="32" t="str">
        <f>IFERROR(__xludf.DUMMYFUNCTION("""COMPUTED_VALUE"""),"Absorb an item of choice.")</f>
        <v>Absorb an item of choice.</v>
      </c>
      <c r="F317" s="32" t="str">
        <f>IFERROR(__xludf.DUMMYFUNCTION("""COMPUTED_VALUE"""),"Natural/Fail or Succeed")</f>
        <v>Natural/Fail or Succeed</v>
      </c>
      <c r="G317" s="32">
        <f>IFERROR(__xludf.DUMMYFUNCTION("""COMPUTED_VALUE"""),1.0)</f>
        <v>1</v>
      </c>
      <c r="H317" s="32" t="str">
        <f>IFERROR(__xludf.DUMMYFUNCTION("""COMPUTED_VALUE"""),"Physical")</f>
        <v>Physical</v>
      </c>
      <c r="I317" s="32" t="str">
        <f>IFERROR(__xludf.DUMMYFUNCTION("""COMPUTED_VALUE"""),"Mob")</f>
        <v>Mob</v>
      </c>
      <c r="J317" s="32" t="b">
        <f>IFERROR(__xludf.DUMMYFUNCTION("""COMPUTED_VALUE"""),TRUE)</f>
        <v>1</v>
      </c>
      <c r="K317" s="32"/>
      <c r="L317" s="32" t="b">
        <f>IFERROR(__xludf.DUMMYFUNCTION("""COMPUTED_VALUE"""),FALSE)</f>
        <v>0</v>
      </c>
      <c r="M317" s="32" t="b">
        <f>IFERROR(__xludf.DUMMYFUNCTION("""COMPUTED_VALUE"""),FALSE)</f>
        <v>0</v>
      </c>
      <c r="N317" s="32"/>
    </row>
    <row r="318">
      <c r="A318" s="32" t="str">
        <f>IFERROR(__xludf.DUMMYFUNCTION("""COMPUTED_VALUE"""),"Absorb Enemy ")</f>
        <v>Absorb Enemy </v>
      </c>
      <c r="B318" s="34">
        <f>IFERROR(__xludf.DUMMYFUNCTION("""COMPUTED_VALUE"""),1.0)</f>
        <v>1</v>
      </c>
      <c r="C318" s="33">
        <f>IFERROR(__xludf.DUMMYFUNCTION("""COMPUTED_VALUE"""),0.0)</f>
        <v>0</v>
      </c>
      <c r="D318" s="32"/>
      <c r="E318" s="32" t="str">
        <f>IFERROR(__xludf.DUMMYFUNCTION("""COMPUTED_VALUE"""),"Absorb a targeted enemy of choice, The target cannot perform its turn orders while absorbed.")</f>
        <v>Absorb a targeted enemy of choice, The target cannot perform its turn orders while absorbed.</v>
      </c>
      <c r="F318" s="32" t="str">
        <f>IFERROR(__xludf.DUMMYFUNCTION("""COMPUTED_VALUE"""),"Natural/Hit or Miss")</f>
        <v>Natural/Hit or Miss</v>
      </c>
      <c r="G318" s="32">
        <f>IFERROR(__xludf.DUMMYFUNCTION("""COMPUTED_VALUE"""),1.0)</f>
        <v>1</v>
      </c>
      <c r="H318" s="32" t="str">
        <f>IFERROR(__xludf.DUMMYFUNCTION("""COMPUTED_VALUE"""),"Physical")</f>
        <v>Physical</v>
      </c>
      <c r="I318" s="32" t="str">
        <f>IFERROR(__xludf.DUMMYFUNCTION("""COMPUTED_VALUE"""),"Mob")</f>
        <v>Mob</v>
      </c>
      <c r="J318" s="32" t="b">
        <f>IFERROR(__xludf.DUMMYFUNCTION("""COMPUTED_VALUE"""),TRUE)</f>
        <v>1</v>
      </c>
      <c r="K318" s="32"/>
      <c r="L318" s="32" t="b">
        <f>IFERROR(__xludf.DUMMYFUNCTION("""COMPUTED_VALUE"""),FALSE)</f>
        <v>0</v>
      </c>
      <c r="M318" s="32" t="b">
        <f>IFERROR(__xludf.DUMMYFUNCTION("""COMPUTED_VALUE"""),FALSE)</f>
        <v>0</v>
      </c>
      <c r="N318" s="32"/>
    </row>
    <row r="319">
      <c r="A319" s="32" t="str">
        <f>IFERROR(__xludf.DUMMYFUNCTION("""COMPUTED_VALUE"""),"Aggressive Chomp")</f>
        <v>Aggressive Chomp</v>
      </c>
      <c r="B319" s="34">
        <f>IFERROR(__xludf.DUMMYFUNCTION("""COMPUTED_VALUE"""),1.0)</f>
        <v>1</v>
      </c>
      <c r="C319" s="33">
        <f>IFERROR(__xludf.DUMMYFUNCTION("""COMPUTED_VALUE"""),0.0)</f>
        <v>0</v>
      </c>
      <c r="D319" s="32"/>
      <c r="E319" s="32" t="str">
        <f>IFERROR(__xludf.DUMMYFUNCTION("""COMPUTED_VALUE"""),"20000 damage, 20000 water damage to all enemies")</f>
        <v>20000 damage, 20000 water damage to all enemies</v>
      </c>
      <c r="F319" s="32" t="str">
        <f>IFERROR(__xludf.DUMMYFUNCTION("""COMPUTED_VALUE"""),"Natural/Cannot Avoid")</f>
        <v>Natural/Cannot Avoid</v>
      </c>
      <c r="G319" s="32">
        <f>IFERROR(__xludf.DUMMYFUNCTION("""COMPUTED_VALUE"""),1.0)</f>
        <v>1</v>
      </c>
      <c r="H319" s="32" t="str">
        <f>IFERROR(__xludf.DUMMYFUNCTION("""COMPUTED_VALUE"""),"Physical")</f>
        <v>Physical</v>
      </c>
      <c r="I319" s="32" t="str">
        <f>IFERROR(__xludf.DUMMYFUNCTION("""COMPUTED_VALUE"""),"Mob")</f>
        <v>Mob</v>
      </c>
      <c r="J319" s="32" t="b">
        <f>IFERROR(__xludf.DUMMYFUNCTION("""COMPUTED_VALUE"""),TRUE)</f>
        <v>1</v>
      </c>
      <c r="K319" s="32"/>
      <c r="L319" s="32" t="b">
        <f>IFERROR(__xludf.DUMMYFUNCTION("""COMPUTED_VALUE"""),FALSE)</f>
        <v>0</v>
      </c>
      <c r="M319" s="32" t="b">
        <f>IFERROR(__xludf.DUMMYFUNCTION("""COMPUTED_VALUE"""),FALSE)</f>
        <v>0</v>
      </c>
      <c r="N319" s="32"/>
    </row>
    <row r="320">
      <c r="A320" s="32" t="str">
        <f>IFERROR(__xludf.DUMMYFUNCTION("""COMPUTED_VALUE"""),"Arrest")</f>
        <v>Arrest</v>
      </c>
      <c r="B320" s="34">
        <f>IFERROR(__xludf.DUMMYFUNCTION("""COMPUTED_VALUE"""),1.0)</f>
        <v>1</v>
      </c>
      <c r="C320" s="33">
        <f>IFERROR(__xludf.DUMMYFUNCTION("""COMPUTED_VALUE"""),0.0)</f>
        <v>0</v>
      </c>
      <c r="D320" s="32"/>
      <c r="E320" s="32"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32" t="str">
        <f>IFERROR(__xludf.DUMMYFUNCTION("""COMPUTED_VALUE"""),"Natural/Hit or Miss.")</f>
        <v>Natural/Hit or Miss.</v>
      </c>
      <c r="G320" s="32">
        <f>IFERROR(__xludf.DUMMYFUNCTION("""COMPUTED_VALUE"""),1.0)</f>
        <v>1</v>
      </c>
      <c r="H320" s="32" t="str">
        <f>IFERROR(__xludf.DUMMYFUNCTION("""COMPUTED_VALUE"""),"Physical")</f>
        <v>Physical</v>
      </c>
      <c r="I320" s="32" t="str">
        <f>IFERROR(__xludf.DUMMYFUNCTION("""COMPUTED_VALUE"""),"Mob")</f>
        <v>Mob</v>
      </c>
      <c r="J320" s="32" t="b">
        <f>IFERROR(__xludf.DUMMYFUNCTION("""COMPUTED_VALUE"""),TRUE)</f>
        <v>1</v>
      </c>
      <c r="K320" s="32" t="str">
        <f>IFERROR(__xludf.DUMMYFUNCTION("""COMPUTED_VALUE"""),"Can only be optained by the Spira Guard ability")</f>
        <v>Can only be optained by the Spira Guard ability</v>
      </c>
      <c r="L320" s="32" t="b">
        <f>IFERROR(__xludf.DUMMYFUNCTION("""COMPUTED_VALUE"""),TRUE)</f>
        <v>1</v>
      </c>
      <c r="M320" s="32" t="b">
        <f>IFERROR(__xludf.DUMMYFUNCTION("""COMPUTED_VALUE"""),TRUE)</f>
        <v>1</v>
      </c>
      <c r="N320" s="32"/>
    </row>
    <row r="321">
      <c r="A321" s="32" t="str">
        <f>IFERROR(__xludf.DUMMYFUNCTION("""COMPUTED_VALUE"""),"Bite")</f>
        <v>Bite</v>
      </c>
      <c r="B321" s="34">
        <f>IFERROR(__xludf.DUMMYFUNCTION("""COMPUTED_VALUE"""),1.0)</f>
        <v>1</v>
      </c>
      <c r="C321" s="32">
        <f>IFERROR(__xludf.DUMMYFUNCTION("""COMPUTED_VALUE"""),0.0)</f>
        <v>0</v>
      </c>
      <c r="D321" s="32"/>
      <c r="E321" s="32" t="str">
        <f>IFERROR(__xludf.DUMMYFUNCTION("""COMPUTED_VALUE"""),"X*2 damage of your primary element where X is equal to your attack. 50% chance to hit twice")</f>
        <v>X*2 damage of your primary element where X is equal to your attack. 50% chance to hit twice</v>
      </c>
      <c r="F321" s="32" t="str">
        <f>IFERROR(__xludf.DUMMYFUNCTION("""COMPUTED_VALUE"""),"Natural/Hit or Miss")</f>
        <v>Natural/Hit or Miss</v>
      </c>
      <c r="G321" s="32">
        <f>IFERROR(__xludf.DUMMYFUNCTION("""COMPUTED_VALUE"""),1.0)</f>
        <v>1</v>
      </c>
      <c r="H321" s="32" t="str">
        <f>IFERROR(__xludf.DUMMYFUNCTION("""COMPUTED_VALUE"""),"Physical")</f>
        <v>Physical</v>
      </c>
      <c r="I321" s="32" t="str">
        <f>IFERROR(__xludf.DUMMYFUNCTION("""COMPUTED_VALUE"""),"Player")</f>
        <v>Player</v>
      </c>
      <c r="J321" s="32" t="b">
        <f>IFERROR(__xludf.DUMMYFUNCTION("""COMPUTED_VALUE"""),FALSE)</f>
        <v>0</v>
      </c>
      <c r="K321" s="32"/>
      <c r="L321" s="32" t="b">
        <f>IFERROR(__xludf.DUMMYFUNCTION("""COMPUTED_VALUE"""),FALSE)</f>
        <v>0</v>
      </c>
      <c r="M321" s="32" t="b">
        <f>IFERROR(__xludf.DUMMYFUNCTION("""COMPUTED_VALUE"""),FALSE)</f>
        <v>0</v>
      </c>
      <c r="N321" s="32"/>
    </row>
    <row r="322">
      <c r="A322" s="32" t="str">
        <f>IFERROR(__xludf.DUMMYFUNCTION("""COMPUTED_VALUE"""),"Body armor")</f>
        <v>Body armor</v>
      </c>
      <c r="B322" s="34">
        <f>IFERROR(__xludf.DUMMYFUNCTION("""COMPUTED_VALUE"""),1.0)</f>
        <v>1</v>
      </c>
      <c r="C322" s="32">
        <f>IFERROR(__xludf.DUMMYFUNCTION("""COMPUTED_VALUE"""),10.0)</f>
        <v>10</v>
      </c>
      <c r="D322" s="32"/>
      <c r="E322" s="32" t="str">
        <f>IFERROR(__xludf.DUMMYFUNCTION("""COMPUTED_VALUE"""),"100 defense until the end of the round")</f>
        <v>100 defense until the end of the round</v>
      </c>
      <c r="F322" s="32" t="str">
        <f>IFERROR(__xludf.DUMMYFUNCTION("""COMPUTED_VALUE"""),"Will Succeed")</f>
        <v>Will Succeed</v>
      </c>
      <c r="G322" s="32"/>
      <c r="H322" s="32" t="str">
        <f>IFERROR(__xludf.DUMMYFUNCTION("""COMPUTED_VALUE"""),"Physical")</f>
        <v>Physical</v>
      </c>
      <c r="I322" s="32" t="str">
        <f>IFERROR(__xludf.DUMMYFUNCTION("""COMPUTED_VALUE"""),"Player")</f>
        <v>Player</v>
      </c>
      <c r="J322" s="32" t="b">
        <f>IFERROR(__xludf.DUMMYFUNCTION("""COMPUTED_VALUE"""),FALSE)</f>
        <v>0</v>
      </c>
      <c r="K322" s="32"/>
      <c r="L322" s="32" t="b">
        <f>IFERROR(__xludf.DUMMYFUNCTION("""COMPUTED_VALUE"""),FALSE)</f>
        <v>0</v>
      </c>
      <c r="M322" s="32" t="b">
        <f>IFERROR(__xludf.DUMMYFUNCTION("""COMPUTED_VALUE"""),TRUE)</f>
        <v>1</v>
      </c>
      <c r="N322" s="32"/>
    </row>
    <row r="323">
      <c r="A323" s="32" t="str">
        <f>IFERROR(__xludf.DUMMYFUNCTION("""COMPUTED_VALUE"""),"Call of The Sharks")</f>
        <v>Call of The Sharks</v>
      </c>
      <c r="B323" s="34">
        <f>IFERROR(__xludf.DUMMYFUNCTION("""COMPUTED_VALUE"""),1.0)</f>
        <v>1</v>
      </c>
      <c r="C323" s="33">
        <f>IFERROR(__xludf.DUMMYFUNCTION("""COMPUTED_VALUE"""),0.0)</f>
        <v>0</v>
      </c>
      <c r="D323" s="32"/>
      <c r="E323" s="32" t="str">
        <f>IFERROR(__xludf.DUMMYFUNCTION("""COMPUTED_VALUE"""),"85% chance to call 2  sharks to battle")</f>
        <v>85% chance to call 2  sharks to battle</v>
      </c>
      <c r="F323" s="32" t="str">
        <f>IFERROR(__xludf.DUMMYFUNCTION("""COMPUTED_VALUE"""),"Natural/Fail Or Succeed")</f>
        <v>Natural/Fail Or Succeed</v>
      </c>
      <c r="G323" s="32" t="str">
        <f>IFERROR(__xludf.DUMMYFUNCTION("""COMPUTED_VALUE"""),"Self")</f>
        <v>Self</v>
      </c>
      <c r="H323" s="32" t="str">
        <f>IFERROR(__xludf.DUMMYFUNCTION("""COMPUTED_VALUE"""),"Physical")</f>
        <v>Physical</v>
      </c>
      <c r="I323" s="32" t="str">
        <f>IFERROR(__xludf.DUMMYFUNCTION("""COMPUTED_VALUE"""),"Mob")</f>
        <v>Mob</v>
      </c>
      <c r="J323" s="32" t="b">
        <f>IFERROR(__xludf.DUMMYFUNCTION("""COMPUTED_VALUE"""),TRUE)</f>
        <v>1</v>
      </c>
      <c r="K323" s="32"/>
      <c r="L323" s="32" t="b">
        <f>IFERROR(__xludf.DUMMYFUNCTION("""COMPUTED_VALUE"""),FALSE)</f>
        <v>0</v>
      </c>
      <c r="M323" s="32" t="b">
        <f>IFERROR(__xludf.DUMMYFUNCTION("""COMPUTED_VALUE"""),FALSE)</f>
        <v>0</v>
      </c>
      <c r="N323" s="32"/>
    </row>
    <row r="324">
      <c r="A324" s="32" t="str">
        <f>IFERROR(__xludf.DUMMYFUNCTION("""COMPUTED_VALUE"""),"Charge")</f>
        <v>Charge</v>
      </c>
      <c r="B324" s="34">
        <f>IFERROR(__xludf.DUMMYFUNCTION("""COMPUTED_VALUE"""),2.0)</f>
        <v>2</v>
      </c>
      <c r="C324" s="32">
        <f>IFERROR(__xludf.DUMMYFUNCTION("""COMPUTED_VALUE"""),20.0)</f>
        <v>20</v>
      </c>
      <c r="D324" s="32"/>
      <c r="E324" s="32" t="str">
        <f>IFERROR(__xludf.DUMMYFUNCTION("""COMPUTED_VALUE"""),"X2 additional damage for the Caster for 3 rounds.")</f>
        <v>X2 additional damage for the Caster for 3 rounds.</v>
      </c>
      <c r="F324" s="32" t="str">
        <f>IFERROR(__xludf.DUMMYFUNCTION("""COMPUTED_VALUE"""),"Will Succeed")</f>
        <v>Will Succeed</v>
      </c>
      <c r="G324" s="32"/>
      <c r="H324" s="32" t="str">
        <f>IFERROR(__xludf.DUMMYFUNCTION("""COMPUTED_VALUE"""),"Physical")</f>
        <v>Physical</v>
      </c>
      <c r="I324" s="32" t="str">
        <f>IFERROR(__xludf.DUMMYFUNCTION("""COMPUTED_VALUE"""),"Player")</f>
        <v>Player</v>
      </c>
      <c r="J324" s="32" t="b">
        <f>IFERROR(__xludf.DUMMYFUNCTION("""COMPUTED_VALUE"""),FALSE)</f>
        <v>0</v>
      </c>
      <c r="K324" s="32"/>
      <c r="L324" s="32" t="b">
        <f>IFERROR(__xludf.DUMMYFUNCTION("""COMPUTED_VALUE"""),FALSE)</f>
        <v>0</v>
      </c>
      <c r="M324" s="32" t="b">
        <f>IFERROR(__xludf.DUMMYFUNCTION("""COMPUTED_VALUE"""),TRUE)</f>
        <v>1</v>
      </c>
      <c r="N324" s="32"/>
    </row>
    <row r="325">
      <c r="A325" s="32" t="str">
        <f>IFERROR(__xludf.DUMMYFUNCTION("""COMPUTED_VALUE"""),"Claws")</f>
        <v>Claws</v>
      </c>
      <c r="B325" s="34">
        <f>IFERROR(__xludf.DUMMYFUNCTION("""COMPUTED_VALUE"""),1.0)</f>
        <v>1</v>
      </c>
      <c r="C325" s="32">
        <f>IFERROR(__xludf.DUMMYFUNCTION("""COMPUTED_VALUE"""),0.0)</f>
        <v>0</v>
      </c>
      <c r="D325" s="32"/>
      <c r="E325" s="32"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32" t="str">
        <f>IFERROR(__xludf.DUMMYFUNCTION("""COMPUTED_VALUE"""),"Natural/Hit or Miss")</f>
        <v>Natural/Hit or Miss</v>
      </c>
      <c r="G325" s="32">
        <f>IFERROR(__xludf.DUMMYFUNCTION("""COMPUTED_VALUE"""),1.0)</f>
        <v>1</v>
      </c>
      <c r="H325" s="32" t="str">
        <f>IFERROR(__xludf.DUMMYFUNCTION("""COMPUTED_VALUE"""),"Physical")</f>
        <v>Physical</v>
      </c>
      <c r="I325" s="32" t="str">
        <f>IFERROR(__xludf.DUMMYFUNCTION("""COMPUTED_VALUE"""),"Mob")</f>
        <v>Mob</v>
      </c>
      <c r="J325" s="32" t="b">
        <f>IFERROR(__xludf.DUMMYFUNCTION("""COMPUTED_VALUE"""),TRUE)</f>
        <v>1</v>
      </c>
      <c r="K325" s="32"/>
      <c r="L325" s="32" t="b">
        <f>IFERROR(__xludf.DUMMYFUNCTION("""COMPUTED_VALUE"""),FALSE)</f>
        <v>0</v>
      </c>
      <c r="M325" s="32" t="b">
        <f>IFERROR(__xludf.DUMMYFUNCTION("""COMPUTED_VALUE"""),FALSE)</f>
        <v>0</v>
      </c>
      <c r="N325" s="32"/>
    </row>
    <row r="326">
      <c r="A326" s="32" t="str">
        <f>IFERROR(__xludf.DUMMYFUNCTION("""COMPUTED_VALUE"""),"Confiscate")</f>
        <v>Confiscate</v>
      </c>
      <c r="B326" s="34">
        <f>IFERROR(__xludf.DUMMYFUNCTION("""COMPUTED_VALUE"""),1.0)</f>
        <v>1</v>
      </c>
      <c r="C326" s="32">
        <f>IFERROR(__xludf.DUMMYFUNCTION("""COMPUTED_VALUE"""),0.0)</f>
        <v>0</v>
      </c>
      <c r="D326" s="32"/>
      <c r="E326" s="32"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32" t="str">
        <f>IFERROR(__xludf.DUMMYFUNCTION("""COMPUTED_VALUE"""),"Natural/Fail or Succeed")</f>
        <v>Natural/Fail or Succeed</v>
      </c>
      <c r="G326" s="32">
        <f>IFERROR(__xludf.DUMMYFUNCTION("""COMPUTED_VALUE"""),1.0)</f>
        <v>1</v>
      </c>
      <c r="H326" s="32" t="str">
        <f>IFERROR(__xludf.DUMMYFUNCTION("""COMPUTED_VALUE"""),"Physical")</f>
        <v>Physical</v>
      </c>
      <c r="I326" s="32" t="str">
        <f>IFERROR(__xludf.DUMMYFUNCTION("""COMPUTED_VALUE"""),"Player")</f>
        <v>Player</v>
      </c>
      <c r="J326" s="32" t="b">
        <f>IFERROR(__xludf.DUMMYFUNCTION("""COMPUTED_VALUE"""),FALSE)</f>
        <v>0</v>
      </c>
      <c r="K326" s="32"/>
      <c r="L326" s="32" t="b">
        <f>IFERROR(__xludf.DUMMYFUNCTION("""COMPUTED_VALUE"""),FALSE)</f>
        <v>0</v>
      </c>
      <c r="M326" s="32" t="b">
        <f>IFERROR(__xludf.DUMMYFUNCTION("""COMPUTED_VALUE"""),TRUE)</f>
        <v>1</v>
      </c>
      <c r="N326" s="32"/>
    </row>
    <row r="327">
      <c r="A327" s="32" t="str">
        <f>IFERROR(__xludf.DUMMYFUNCTION("""COMPUTED_VALUE"""),"Confiscate (Enhanced)")</f>
        <v>Confiscate (Enhanced)</v>
      </c>
      <c r="B327" s="34">
        <f>IFERROR(__xludf.DUMMYFUNCTION("""COMPUTED_VALUE"""),1.0)</f>
        <v>1</v>
      </c>
      <c r="C327" s="33">
        <f>IFERROR(__xludf.DUMMYFUNCTION("""COMPUTED_VALUE"""),0.0)</f>
        <v>0</v>
      </c>
      <c r="D327" s="32"/>
      <c r="E327" s="32" t="str">
        <f>IFERROR(__xludf.DUMMYFUNCTION("""COMPUTED_VALUE"""),"Take 2 target’s items in their equipment slot, loot table or backpack.  The item is the caster's choice.")</f>
        <v>Take 2 target’s items in their equipment slot, loot table or backpack.  The item is the caster's choice.</v>
      </c>
      <c r="F327" s="32" t="str">
        <f>IFERROR(__xludf.DUMMYFUNCTION("""COMPUTED_VALUE"""),"Natural/Fail or Succeed")</f>
        <v>Natural/Fail or Succeed</v>
      </c>
      <c r="G327" s="32">
        <f>IFERROR(__xludf.DUMMYFUNCTION("""COMPUTED_VALUE"""),2.0)</f>
        <v>2</v>
      </c>
      <c r="H327" s="32" t="str">
        <f>IFERROR(__xludf.DUMMYFUNCTION("""COMPUTED_VALUE"""),"Physical")</f>
        <v>Physical</v>
      </c>
      <c r="I327" s="32" t="str">
        <f>IFERROR(__xludf.DUMMYFUNCTION("""COMPUTED_VALUE"""),"Mob")</f>
        <v>Mob</v>
      </c>
      <c r="J327" s="32" t="b">
        <f>IFERROR(__xludf.DUMMYFUNCTION("""COMPUTED_VALUE"""),TRUE)</f>
        <v>1</v>
      </c>
      <c r="K327" s="32"/>
      <c r="L327" s="32" t="b">
        <f>IFERROR(__xludf.DUMMYFUNCTION("""COMPUTED_VALUE"""),FALSE)</f>
        <v>0</v>
      </c>
      <c r="M327" s="32" t="b">
        <f>IFERROR(__xludf.DUMMYFUNCTION("""COMPUTED_VALUE"""),FALSE)</f>
        <v>0</v>
      </c>
      <c r="N327" s="32"/>
    </row>
    <row r="328">
      <c r="A328" s="32" t="str">
        <f>IFERROR(__xludf.DUMMYFUNCTION("""COMPUTED_VALUE"""),"Decrease")</f>
        <v>Decrease</v>
      </c>
      <c r="B328" s="34">
        <f>IFERROR(__xludf.DUMMYFUNCTION("""COMPUTED_VALUE"""),7.0)</f>
        <v>7</v>
      </c>
      <c r="C328" s="32">
        <f>IFERROR(__xludf.DUMMYFUNCTION("""COMPUTED_VALUE"""),100.0)</f>
        <v>100</v>
      </c>
      <c r="D328" s="32"/>
      <c r="E328" s="32" t="str">
        <f>IFERROR(__xludf.DUMMYFUNCTION("""COMPUTED_VALUE"""),"Decrease targets attack, defense, and accuracy permanently by 7000.")</f>
        <v>Decrease targets attack, defense, and accuracy permanently by 7000.</v>
      </c>
      <c r="F328" s="32" t="str">
        <f>IFERROR(__xludf.DUMMYFUNCTION("""COMPUTED_VALUE"""),"Fail/succeed")</f>
        <v>Fail/succeed</v>
      </c>
      <c r="G328" s="32"/>
      <c r="H328" s="32" t="str">
        <f>IFERROR(__xludf.DUMMYFUNCTION("""COMPUTED_VALUE"""),"Physical")</f>
        <v>Physical</v>
      </c>
      <c r="I328" s="32" t="str">
        <f>IFERROR(__xludf.DUMMYFUNCTION("""COMPUTED_VALUE"""),"Player")</f>
        <v>Player</v>
      </c>
      <c r="J328" s="32" t="b">
        <f>IFERROR(__xludf.DUMMYFUNCTION("""COMPUTED_VALUE"""),FALSE)</f>
        <v>0</v>
      </c>
      <c r="K328" s="32"/>
      <c r="L328" s="32" t="b">
        <f>IFERROR(__xludf.DUMMYFUNCTION("""COMPUTED_VALUE"""),FALSE)</f>
        <v>0</v>
      </c>
      <c r="M328" s="32" t="b">
        <f>IFERROR(__xludf.DUMMYFUNCTION("""COMPUTED_VALUE"""),TRUE)</f>
        <v>1</v>
      </c>
      <c r="N328" s="32"/>
    </row>
    <row r="329">
      <c r="A329" s="32" t="str">
        <f>IFERROR(__xludf.DUMMYFUNCTION("""COMPUTED_VALUE"""),"Enrage")</f>
        <v>Enrage</v>
      </c>
      <c r="B329" s="34">
        <f>IFERROR(__xludf.DUMMYFUNCTION("""COMPUTED_VALUE"""),1.0)</f>
        <v>1</v>
      </c>
      <c r="C329" s="33">
        <f>IFERROR(__xludf.DUMMYFUNCTION("""COMPUTED_VALUE"""),0.0)</f>
        <v>0</v>
      </c>
      <c r="D329" s="32"/>
      <c r="E329" s="32" t="str">
        <f>IFERROR(__xludf.DUMMYFUNCTION("""COMPUTED_VALUE"""),"Target is forced to attack the enemy this turn. Cannot be used on self.")</f>
        <v>Target is forced to attack the enemy this turn. Cannot be used on self.</v>
      </c>
      <c r="F329" s="32" t="str">
        <f>IFERROR(__xludf.DUMMYFUNCTION("""COMPUTED_VALUE"""),"Natural/Fail or Succeed")</f>
        <v>Natural/Fail or Succeed</v>
      </c>
      <c r="G329" s="32">
        <f>IFERROR(__xludf.DUMMYFUNCTION("""COMPUTED_VALUE"""),1.0)</f>
        <v>1</v>
      </c>
      <c r="H329" s="32" t="str">
        <f>IFERROR(__xludf.DUMMYFUNCTION("""COMPUTED_VALUE"""),"Physical")</f>
        <v>Physical</v>
      </c>
      <c r="I329" s="32" t="str">
        <f>IFERROR(__xludf.DUMMYFUNCTION("""COMPUTED_VALUE"""),"Mob")</f>
        <v>Mob</v>
      </c>
      <c r="J329" s="32" t="b">
        <f>IFERROR(__xludf.DUMMYFUNCTION("""COMPUTED_VALUE"""),TRUE)</f>
        <v>1</v>
      </c>
      <c r="K329" s="32" t="str">
        <f>IFERROR(__xludf.DUMMYFUNCTION("""COMPUTED_VALUE"""),"Mob Power")</f>
        <v>Mob Power</v>
      </c>
      <c r="L329" s="32" t="b">
        <f>IFERROR(__xludf.DUMMYFUNCTION("""COMPUTED_VALUE"""),FALSE)</f>
        <v>0</v>
      </c>
      <c r="M329" s="32" t="b">
        <f>IFERROR(__xludf.DUMMYFUNCTION("""COMPUTED_VALUE"""),FALSE)</f>
        <v>0</v>
      </c>
      <c r="N329" s="32"/>
    </row>
    <row r="330">
      <c r="A330" s="32" t="str">
        <f>IFERROR(__xludf.DUMMYFUNCTION("""COMPUTED_VALUE"""),"Evil touch")</f>
        <v>Evil touch</v>
      </c>
      <c r="B330" s="34">
        <f>IFERROR(__xludf.DUMMYFUNCTION("""COMPUTED_VALUE"""),1.0)</f>
        <v>1</v>
      </c>
      <c r="C330" s="32">
        <f>IFERROR(__xludf.DUMMYFUNCTION("""COMPUTED_VALUE"""),10.0)</f>
        <v>10</v>
      </c>
      <c r="D330" s="32"/>
      <c r="E330" s="32" t="str">
        <f>IFERROR(__xludf.DUMMYFUNCTION("""COMPUTED_VALUE"""),"50% chance of poison 100")</f>
        <v>50% chance of poison 100</v>
      </c>
      <c r="F330" s="32" t="str">
        <f>IFERROR(__xludf.DUMMYFUNCTION("""COMPUTED_VALUE"""),"Will Succeed")</f>
        <v>Will Succeed</v>
      </c>
      <c r="G330" s="32"/>
      <c r="H330" s="32" t="str">
        <f>IFERROR(__xludf.DUMMYFUNCTION("""COMPUTED_VALUE"""),"Physical")</f>
        <v>Physical</v>
      </c>
      <c r="I330" s="32" t="str">
        <f>IFERROR(__xludf.DUMMYFUNCTION("""COMPUTED_VALUE"""),"Player")</f>
        <v>Player</v>
      </c>
      <c r="J330" s="32" t="b">
        <f>IFERROR(__xludf.DUMMYFUNCTION("""COMPUTED_VALUE"""),FALSE)</f>
        <v>0</v>
      </c>
      <c r="K330" s="32"/>
      <c r="L330" s="32" t="b">
        <f>IFERROR(__xludf.DUMMYFUNCTION("""COMPUTED_VALUE"""),FALSE)</f>
        <v>0</v>
      </c>
      <c r="M330" s="32" t="b">
        <f>IFERROR(__xludf.DUMMYFUNCTION("""COMPUTED_VALUE"""),TRUE)</f>
        <v>1</v>
      </c>
      <c r="N330" s="32"/>
    </row>
    <row r="331">
      <c r="A331" s="32" t="str">
        <f>IFERROR(__xludf.DUMMYFUNCTION("""COMPUTED_VALUE"""),"Full Impact")</f>
        <v>Full Impact</v>
      </c>
      <c r="B331" s="34">
        <f>IFERROR(__xludf.DUMMYFUNCTION("""COMPUTED_VALUE"""),1.0)</f>
        <v>1</v>
      </c>
      <c r="C331" s="33">
        <f>IFERROR(__xludf.DUMMYFUNCTION("""COMPUTED_VALUE"""),0.0)</f>
        <v>0</v>
      </c>
      <c r="D331" s="32"/>
      <c r="E331" s="32"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32" t="str">
        <f>IFERROR(__xludf.DUMMYFUNCTION("""COMPUTED_VALUE"""),"Natural/Cannot Avoid")</f>
        <v>Natural/Cannot Avoid</v>
      </c>
      <c r="G331" s="32" t="str">
        <f>IFERROR(__xludf.DUMMYFUNCTION("""COMPUTED_VALUE"""),"All")</f>
        <v>All</v>
      </c>
      <c r="H331" s="32" t="str">
        <f>IFERROR(__xludf.DUMMYFUNCTION("""COMPUTED_VALUE"""),"Physical")</f>
        <v>Physical</v>
      </c>
      <c r="I331" s="32" t="str">
        <f>IFERROR(__xludf.DUMMYFUNCTION("""COMPUTED_VALUE"""),"Mob")</f>
        <v>Mob</v>
      </c>
      <c r="J331" s="32" t="b">
        <f>IFERROR(__xludf.DUMMYFUNCTION("""COMPUTED_VALUE"""),TRUE)</f>
        <v>1</v>
      </c>
      <c r="K331" s="32"/>
      <c r="L331" s="32" t="b">
        <f>IFERROR(__xludf.DUMMYFUNCTION("""COMPUTED_VALUE"""),FALSE)</f>
        <v>0</v>
      </c>
      <c r="M331" s="32" t="b">
        <f>IFERROR(__xludf.DUMMYFUNCTION("""COMPUTED_VALUE"""),FALSE)</f>
        <v>0</v>
      </c>
      <c r="N331" s="32"/>
    </row>
    <row r="332">
      <c r="A332" s="32" t="str">
        <f>IFERROR(__xludf.DUMMYFUNCTION("""COMPUTED_VALUE"""),"Guard Call (Player)")</f>
        <v>Guard Call (Player)</v>
      </c>
      <c r="B332" s="34">
        <f>IFERROR(__xludf.DUMMYFUNCTION("""COMPUTED_VALUE"""),1.0)</f>
        <v>1</v>
      </c>
      <c r="C332" s="33">
        <f>IFERROR(__xludf.DUMMYFUNCTION("""COMPUTED_VALUE"""),0.0)</f>
        <v>0</v>
      </c>
      <c r="D332" s="32"/>
      <c r="E332" s="32" t="str">
        <f>IFERROR(__xludf.DUMMYFUNCTION("""COMPUTED_VALUE"""),"Call 1 guard to battle. The guard is 1 rank lower then you. Can only be used once per battle.")</f>
        <v>Call 1 guard to battle. The guard is 1 rank lower then you. Can only be used once per battle.</v>
      </c>
      <c r="F332" s="32" t="str">
        <f>IFERROR(__xludf.DUMMYFUNCTION("""COMPUTED_VALUE"""),"Natural/Fail or Succeed")</f>
        <v>Natural/Fail or Succeed</v>
      </c>
      <c r="G332" s="32" t="str">
        <f>IFERROR(__xludf.DUMMYFUNCTION("""COMPUTED_VALUE"""),"Self")</f>
        <v>Self</v>
      </c>
      <c r="H332" s="32" t="str">
        <f>IFERROR(__xludf.DUMMYFUNCTION("""COMPUTED_VALUE"""),"Physical")</f>
        <v>Physical</v>
      </c>
      <c r="I332" s="32" t="str">
        <f>IFERROR(__xludf.DUMMYFUNCTION("""COMPUTED_VALUE"""),"Player")</f>
        <v>Player</v>
      </c>
      <c r="J332" s="32" t="b">
        <f>IFERROR(__xludf.DUMMYFUNCTION("""COMPUTED_VALUE"""),TRUE)</f>
        <v>1</v>
      </c>
      <c r="K332" s="32" t="str">
        <f>IFERROR(__xludf.DUMMYFUNCTION("""COMPUTED_VALUE"""),"Can only be optained by the Spira Guard ability")</f>
        <v>Can only be optained by the Spira Guard ability</v>
      </c>
      <c r="L332" s="32" t="b">
        <f>IFERROR(__xludf.DUMMYFUNCTION("""COMPUTED_VALUE"""),FALSE)</f>
        <v>0</v>
      </c>
      <c r="M332" s="32" t="b">
        <f>IFERROR(__xludf.DUMMYFUNCTION("""COMPUTED_VALUE"""),FALSE)</f>
        <v>0</v>
      </c>
      <c r="N332" s="32"/>
    </row>
    <row r="333">
      <c r="A333" s="32" t="str">
        <f>IFERROR(__xludf.DUMMYFUNCTION("""COMPUTED_VALUE"""),"Hard Punch")</f>
        <v>Hard Punch</v>
      </c>
      <c r="B333" s="34">
        <f>IFERROR(__xludf.DUMMYFUNCTION("""COMPUTED_VALUE"""),1.0)</f>
        <v>1</v>
      </c>
      <c r="C333" s="32">
        <f>IFERROR(__xludf.DUMMYFUNCTION("""COMPUTED_VALUE"""),10.0)</f>
        <v>10</v>
      </c>
      <c r="D333" s="32"/>
      <c r="E333" s="32" t="str">
        <f>IFERROR(__xludf.DUMMYFUNCTION("""COMPUTED_VALUE"""),"Roll for an attack twice and take the higher number.")</f>
        <v>Roll for an attack twice and take the higher number.</v>
      </c>
      <c r="F333" s="32" t="str">
        <f>IFERROR(__xludf.DUMMYFUNCTION("""COMPUTED_VALUE"""),"Will Succeed")</f>
        <v>Will Succeed</v>
      </c>
      <c r="G333" s="32"/>
      <c r="H333" s="32" t="str">
        <f>IFERROR(__xludf.DUMMYFUNCTION("""COMPUTED_VALUE"""),"Physical")</f>
        <v>Physical</v>
      </c>
      <c r="I333" s="32" t="str">
        <f>IFERROR(__xludf.DUMMYFUNCTION("""COMPUTED_VALUE"""),"Player")</f>
        <v>Player</v>
      </c>
      <c r="J333" s="32" t="b">
        <f>IFERROR(__xludf.DUMMYFUNCTION("""COMPUTED_VALUE"""),FALSE)</f>
        <v>0</v>
      </c>
      <c r="K333" s="32"/>
      <c r="L333" s="32" t="b">
        <f>IFERROR(__xludf.DUMMYFUNCTION("""COMPUTED_VALUE"""),FALSE)</f>
        <v>0</v>
      </c>
      <c r="M333" s="32" t="b">
        <f>IFERROR(__xludf.DUMMYFUNCTION("""COMPUTED_VALUE"""),TRUE)</f>
        <v>1</v>
      </c>
      <c r="N333" s="32"/>
    </row>
    <row r="334">
      <c r="A334" s="32" t="str">
        <f>IFERROR(__xludf.DUMMYFUNCTION("""COMPUTED_VALUE"""),"Heighten Reflexes")</f>
        <v>Heighten Reflexes</v>
      </c>
      <c r="B334" s="34">
        <f>IFERROR(__xludf.DUMMYFUNCTION("""COMPUTED_VALUE"""),3.0)</f>
        <v>3</v>
      </c>
      <c r="C334" s="32">
        <f>IFERROR(__xludf.DUMMYFUNCTION("""COMPUTED_VALUE"""),30.0)</f>
        <v>30</v>
      </c>
      <c r="D334" s="32"/>
      <c r="E334" s="32" t="str">
        <f>IFERROR(__xludf.DUMMYFUNCTION("""COMPUTED_VALUE"""),"Double your own evasion until the end of your next turn.")</f>
        <v>Double your own evasion until the end of your next turn.</v>
      </c>
      <c r="F334" s="32" t="str">
        <f>IFERROR(__xludf.DUMMYFUNCTION("""COMPUTED_VALUE"""),"Will Succeed")</f>
        <v>Will Succeed</v>
      </c>
      <c r="G334" s="32"/>
      <c r="H334" s="32" t="str">
        <f>IFERROR(__xludf.DUMMYFUNCTION("""COMPUTED_VALUE"""),"Physical")</f>
        <v>Physical</v>
      </c>
      <c r="I334" s="32" t="str">
        <f>IFERROR(__xludf.DUMMYFUNCTION("""COMPUTED_VALUE"""),"Player")</f>
        <v>Player</v>
      </c>
      <c r="J334" s="32" t="b">
        <f>IFERROR(__xludf.DUMMYFUNCTION("""COMPUTED_VALUE"""),FALSE)</f>
        <v>0</v>
      </c>
      <c r="K334" s="32"/>
      <c r="L334" s="32" t="b">
        <f>IFERROR(__xludf.DUMMYFUNCTION("""COMPUTED_VALUE"""),FALSE)</f>
        <v>0</v>
      </c>
      <c r="M334" s="32" t="b">
        <f>IFERROR(__xludf.DUMMYFUNCTION("""COMPUTED_VALUE"""),TRUE)</f>
        <v>1</v>
      </c>
      <c r="N334" s="32"/>
    </row>
    <row r="335">
      <c r="A335" s="32" t="str">
        <f>IFERROR(__xludf.DUMMYFUNCTION("""COMPUTED_VALUE"""),"Honk")</f>
        <v>Honk</v>
      </c>
      <c r="B335" s="34">
        <f>IFERROR(__xludf.DUMMYFUNCTION("""COMPUTED_VALUE"""),1.0)</f>
        <v>1</v>
      </c>
      <c r="C335" s="33">
        <f>IFERROR(__xludf.DUMMYFUNCTION("""COMPUTED_VALUE"""),0.0)</f>
        <v>0</v>
      </c>
      <c r="D335" s="32"/>
      <c r="E335" s="32" t="str">
        <f>IFERROR(__xludf.DUMMYFUNCTION("""COMPUTED_VALUE"""),"Reduces target's defense by half and stuns them for 3 rounds")</f>
        <v>Reduces target's defense by half and stuns them for 3 rounds</v>
      </c>
      <c r="F335" s="32" t="str">
        <f>IFERROR(__xludf.DUMMYFUNCTION("""COMPUTED_VALUE"""),"Natural/Fail Or Succeed")</f>
        <v>Natural/Fail Or Succeed</v>
      </c>
      <c r="G335" s="32">
        <f>IFERROR(__xludf.DUMMYFUNCTION("""COMPUTED_VALUE"""),1.0)</f>
        <v>1</v>
      </c>
      <c r="H335" s="32" t="str">
        <f>IFERROR(__xludf.DUMMYFUNCTION("""COMPUTED_VALUE"""),"Physical")</f>
        <v>Physical</v>
      </c>
      <c r="I335" s="32" t="str">
        <f>IFERROR(__xludf.DUMMYFUNCTION("""COMPUTED_VALUE"""),"Mob")</f>
        <v>Mob</v>
      </c>
      <c r="J335" s="32" t="b">
        <f>IFERROR(__xludf.DUMMYFUNCTION("""COMPUTED_VALUE"""),TRUE)</f>
        <v>1</v>
      </c>
      <c r="K335" s="32"/>
      <c r="L335" s="32" t="b">
        <f>IFERROR(__xludf.DUMMYFUNCTION("""COMPUTED_VALUE"""),FALSE)</f>
        <v>0</v>
      </c>
      <c r="M335" s="32" t="b">
        <f>IFERROR(__xludf.DUMMYFUNCTION("""COMPUTED_VALUE"""),FALSE)</f>
        <v>0</v>
      </c>
      <c r="N335" s="32"/>
    </row>
    <row r="336">
      <c r="A336" s="32" t="str">
        <f>IFERROR(__xludf.DUMMYFUNCTION("""COMPUTED_VALUE"""),"Horns")</f>
        <v>Horns</v>
      </c>
      <c r="B336" s="34">
        <f>IFERROR(__xludf.DUMMYFUNCTION("""COMPUTED_VALUE"""),1.0)</f>
        <v>1</v>
      </c>
      <c r="C336" s="32">
        <f>IFERROR(__xludf.DUMMYFUNCTION("""COMPUTED_VALUE"""),0.0)</f>
        <v>0</v>
      </c>
      <c r="D336" s="32"/>
      <c r="E336" s="32" t="str">
        <f>IFERROR(__xludf.DUMMYFUNCTION("""COMPUTED_VALUE"""),"10,000 damage to 2 targets. Add mobility to your roll.")</f>
        <v>10,000 damage to 2 targets. Add mobility to your roll.</v>
      </c>
      <c r="F336" s="32" t="str">
        <f>IFERROR(__xludf.DUMMYFUNCTION("""COMPUTED_VALUE"""),"Natural/Hit or Miss")</f>
        <v>Natural/Hit or Miss</v>
      </c>
      <c r="G336" s="32">
        <f>IFERROR(__xludf.DUMMYFUNCTION("""COMPUTED_VALUE"""),2.0)</f>
        <v>2</v>
      </c>
      <c r="H336" s="32" t="str">
        <f>IFERROR(__xludf.DUMMYFUNCTION("""COMPUTED_VALUE"""),"Physical")</f>
        <v>Physical</v>
      </c>
      <c r="I336" s="32" t="str">
        <f>IFERROR(__xludf.DUMMYFUNCTION("""COMPUTED_VALUE"""),"Mob")</f>
        <v>Mob</v>
      </c>
      <c r="J336" s="32" t="b">
        <f>IFERROR(__xludf.DUMMYFUNCTION("""COMPUTED_VALUE"""),TRUE)</f>
        <v>1</v>
      </c>
      <c r="K336" s="32"/>
      <c r="L336" s="32" t="b">
        <f>IFERROR(__xludf.DUMMYFUNCTION("""COMPUTED_VALUE"""),FALSE)</f>
        <v>0</v>
      </c>
      <c r="M336" s="32" t="b">
        <f>IFERROR(__xludf.DUMMYFUNCTION("""COMPUTED_VALUE"""),FALSE)</f>
        <v>0</v>
      </c>
      <c r="N336" s="32"/>
    </row>
    <row r="337">
      <c r="A337" s="32" t="str">
        <f>IFERROR(__xludf.DUMMYFUNCTION("""COMPUTED_VALUE"""),"Increase")</f>
        <v>Increase</v>
      </c>
      <c r="B337" s="34">
        <f>IFERROR(__xludf.DUMMYFUNCTION("""COMPUTED_VALUE"""),5.0)</f>
        <v>5</v>
      </c>
      <c r="C337" s="32">
        <f>IFERROR(__xludf.DUMMYFUNCTION("""COMPUTED_VALUE"""),50.0)</f>
        <v>50</v>
      </c>
      <c r="D337" s="32"/>
      <c r="E337" s="32" t="str">
        <f>IFERROR(__xludf.DUMMYFUNCTION("""COMPUTED_VALUE"""),"X4 additional damage for the Caster for 3 rounds.")</f>
        <v>X4 additional damage for the Caster for 3 rounds.</v>
      </c>
      <c r="F337" s="32" t="str">
        <f>IFERROR(__xludf.DUMMYFUNCTION("""COMPUTED_VALUE"""),"Will Succeed")</f>
        <v>Will Succeed</v>
      </c>
      <c r="G337" s="32"/>
      <c r="H337" s="32" t="str">
        <f>IFERROR(__xludf.DUMMYFUNCTION("""COMPUTED_VALUE"""),"Physical")</f>
        <v>Physical</v>
      </c>
      <c r="I337" s="32" t="str">
        <f>IFERROR(__xludf.DUMMYFUNCTION("""COMPUTED_VALUE"""),"Player")</f>
        <v>Player</v>
      </c>
      <c r="J337" s="32" t="b">
        <f>IFERROR(__xludf.DUMMYFUNCTION("""COMPUTED_VALUE"""),FALSE)</f>
        <v>0</v>
      </c>
      <c r="K337" s="32"/>
      <c r="L337" s="32" t="b">
        <f>IFERROR(__xludf.DUMMYFUNCTION("""COMPUTED_VALUE"""),FALSE)</f>
        <v>0</v>
      </c>
      <c r="M337" s="32" t="b">
        <f>IFERROR(__xludf.DUMMYFUNCTION("""COMPUTED_VALUE"""),TRUE)</f>
        <v>1</v>
      </c>
      <c r="N337" s="32"/>
    </row>
    <row r="338">
      <c r="A338" s="32" t="str">
        <f>IFERROR(__xludf.DUMMYFUNCTION("""COMPUTED_VALUE"""),"Ink Shot ")</f>
        <v>Ink Shot </v>
      </c>
      <c r="B338" s="34">
        <f>IFERROR(__xludf.DUMMYFUNCTION("""COMPUTED_VALUE"""),1.0)</f>
        <v>1</v>
      </c>
      <c r="C338" s="33">
        <f>IFERROR(__xludf.DUMMYFUNCTION("""COMPUTED_VALUE"""),0.0)</f>
        <v>0</v>
      </c>
      <c r="D338" s="32"/>
      <c r="E338" s="32" t="str">
        <f>IFERROR(__xludf.DUMMYFUNCTION("""COMPUTED_VALUE"""),"Blindness 6")</f>
        <v>Blindness 6</v>
      </c>
      <c r="F338" s="32" t="str">
        <f>IFERROR(__xludf.DUMMYFUNCTION("""COMPUTED_VALUE"""),"Hit/Miss")</f>
        <v>Hit/Miss</v>
      </c>
      <c r="G338" s="32">
        <f>IFERROR(__xludf.DUMMYFUNCTION("""COMPUTED_VALUE"""),1.0)</f>
        <v>1</v>
      </c>
      <c r="H338" s="32" t="str">
        <f>IFERROR(__xludf.DUMMYFUNCTION("""COMPUTED_VALUE"""),"Physical")</f>
        <v>Physical</v>
      </c>
      <c r="I338" s="32" t="str">
        <f>IFERROR(__xludf.DUMMYFUNCTION("""COMPUTED_VALUE"""),"Mob")</f>
        <v>Mob</v>
      </c>
      <c r="J338" s="32" t="b">
        <f>IFERROR(__xludf.DUMMYFUNCTION("""COMPUTED_VALUE"""),TRUE)</f>
        <v>1</v>
      </c>
      <c r="K338" s="32"/>
      <c r="L338" s="32" t="b">
        <f>IFERROR(__xludf.DUMMYFUNCTION("""COMPUTED_VALUE"""),FALSE)</f>
        <v>0</v>
      </c>
      <c r="M338" s="32" t="b">
        <f>IFERROR(__xludf.DUMMYFUNCTION("""COMPUTED_VALUE"""),FALSE)</f>
        <v>0</v>
      </c>
      <c r="N338" s="32"/>
    </row>
    <row r="339">
      <c r="A339" s="32" t="str">
        <f>IFERROR(__xludf.DUMMYFUNCTION("""COMPUTED_VALUE"""),"Kraken Smarts")</f>
        <v>Kraken Smarts</v>
      </c>
      <c r="B339" s="34">
        <f>IFERROR(__xludf.DUMMYFUNCTION("""COMPUTED_VALUE"""),1.0)</f>
        <v>1</v>
      </c>
      <c r="C339" s="32">
        <f>IFERROR(__xludf.DUMMYFUNCTION("""COMPUTED_VALUE"""),0.0)</f>
        <v>0</v>
      </c>
      <c r="D339" s="32"/>
      <c r="E339" s="32" t="str">
        <f>IFERROR(__xludf.DUMMYFUNCTION("""COMPUTED_VALUE"""),"doubles accuracy, defense and attack.")</f>
        <v>doubles accuracy, defense and attack.</v>
      </c>
      <c r="F339" s="32" t="str">
        <f>IFERROR(__xludf.DUMMYFUNCTION("""COMPUTED_VALUE"""),"Natural/Will Succeed")</f>
        <v>Natural/Will Succeed</v>
      </c>
      <c r="G339" s="32" t="str">
        <f>IFERROR(__xludf.DUMMYFUNCTION("""COMPUTED_VALUE"""),"Self")</f>
        <v>Self</v>
      </c>
      <c r="H339" s="32" t="str">
        <f>IFERROR(__xludf.DUMMYFUNCTION("""COMPUTED_VALUE"""),"Physical")</f>
        <v>Physical</v>
      </c>
      <c r="I339" s="32" t="str">
        <f>IFERROR(__xludf.DUMMYFUNCTION("""COMPUTED_VALUE"""),"Mob")</f>
        <v>Mob</v>
      </c>
      <c r="J339" s="32" t="b">
        <f>IFERROR(__xludf.DUMMYFUNCTION("""COMPUTED_VALUE"""),TRUE)</f>
        <v>1</v>
      </c>
      <c r="K339" s="32"/>
      <c r="L339" s="32" t="b">
        <f>IFERROR(__xludf.DUMMYFUNCTION("""COMPUTED_VALUE"""),FALSE)</f>
        <v>0</v>
      </c>
      <c r="M339" s="32" t="b">
        <f>IFERROR(__xludf.DUMMYFUNCTION("""COMPUTED_VALUE"""),FALSE)</f>
        <v>0</v>
      </c>
      <c r="N339" s="32"/>
    </row>
    <row r="340">
      <c r="A340" s="32" t="str">
        <f>IFERROR(__xludf.DUMMYFUNCTION("""COMPUTED_VALUE"""),"Krakens Roar")</f>
        <v>Krakens Roar</v>
      </c>
      <c r="B340" s="34">
        <f>IFERROR(__xludf.DUMMYFUNCTION("""COMPUTED_VALUE"""),1.0)</f>
        <v>1</v>
      </c>
      <c r="C340" s="32">
        <f>IFERROR(__xludf.DUMMYFUNCTION("""COMPUTED_VALUE"""),0.0)</f>
        <v>0</v>
      </c>
      <c r="D340" s="32"/>
      <c r="E340" s="32" t="str">
        <f>IFERROR(__xludf.DUMMYFUNCTION("""COMPUTED_VALUE"""),"Stun 3 to all enemies.")</f>
        <v>Stun 3 to all enemies.</v>
      </c>
      <c r="F340" s="32" t="str">
        <f>IFERROR(__xludf.DUMMYFUNCTION("""COMPUTED_VALUE"""),"Natural/Fail Or Succeed")</f>
        <v>Natural/Fail Or Succeed</v>
      </c>
      <c r="G340" s="32" t="str">
        <f>IFERROR(__xludf.DUMMYFUNCTION("""COMPUTED_VALUE"""),"All")</f>
        <v>All</v>
      </c>
      <c r="H340" s="32" t="str">
        <f>IFERROR(__xludf.DUMMYFUNCTION("""COMPUTED_VALUE"""),"Physical")</f>
        <v>Physical</v>
      </c>
      <c r="I340" s="32" t="str">
        <f>IFERROR(__xludf.DUMMYFUNCTION("""COMPUTED_VALUE"""),"Mob")</f>
        <v>Mob</v>
      </c>
      <c r="J340" s="32" t="b">
        <f>IFERROR(__xludf.DUMMYFUNCTION("""COMPUTED_VALUE"""),TRUE)</f>
        <v>1</v>
      </c>
      <c r="K340" s="32"/>
      <c r="L340" s="32" t="b">
        <f>IFERROR(__xludf.DUMMYFUNCTION("""COMPUTED_VALUE"""),FALSE)</f>
        <v>0</v>
      </c>
      <c r="M340" s="32" t="b">
        <f>IFERROR(__xludf.DUMMYFUNCTION("""COMPUTED_VALUE"""),FALSE)</f>
        <v>0</v>
      </c>
      <c r="N340" s="32"/>
    </row>
    <row r="341">
      <c r="A341" s="32" t="str">
        <f>IFERROR(__xludf.DUMMYFUNCTION("""COMPUTED_VALUE"""),"Krakoken")</f>
        <v>Krakoken</v>
      </c>
      <c r="B341" s="34">
        <f>IFERROR(__xludf.DUMMYFUNCTION("""COMPUTED_VALUE"""),1.0)</f>
        <v>1</v>
      </c>
      <c r="C341" s="33">
        <f>IFERROR(__xludf.DUMMYFUNCTION("""COMPUTED_VALUE"""),0.0)</f>
        <v>0</v>
      </c>
      <c r="D341" s="32"/>
      <c r="E341" s="32" t="str">
        <f>IFERROR(__xludf.DUMMYFUNCTION("""COMPUTED_VALUE"""),"X8 attack, defense, and accuracy.")</f>
        <v>X8 attack, defense, and accuracy.</v>
      </c>
      <c r="F341" s="32" t="str">
        <f>IFERROR(__xludf.DUMMYFUNCTION("""COMPUTED_VALUE"""),"Natural/Will Succeed")</f>
        <v>Natural/Will Succeed</v>
      </c>
      <c r="G341" s="32" t="str">
        <f>IFERROR(__xludf.DUMMYFUNCTION("""COMPUTED_VALUE"""),"Self")</f>
        <v>Self</v>
      </c>
      <c r="H341" s="32" t="str">
        <f>IFERROR(__xludf.DUMMYFUNCTION("""COMPUTED_VALUE"""),"Physical")</f>
        <v>Physical</v>
      </c>
      <c r="I341" s="32" t="str">
        <f>IFERROR(__xludf.DUMMYFUNCTION("""COMPUTED_VALUE"""),"Mob")</f>
        <v>Mob</v>
      </c>
      <c r="J341" s="32" t="b">
        <f>IFERROR(__xludf.DUMMYFUNCTION("""COMPUTED_VALUE"""),TRUE)</f>
        <v>1</v>
      </c>
      <c r="K341" s="32"/>
      <c r="L341" s="32" t="b">
        <f>IFERROR(__xludf.DUMMYFUNCTION("""COMPUTED_VALUE"""),FALSE)</f>
        <v>0</v>
      </c>
      <c r="M341" s="32" t="b">
        <f>IFERROR(__xludf.DUMMYFUNCTION("""COMPUTED_VALUE"""),FALSE)</f>
        <v>0</v>
      </c>
      <c r="N341" s="32"/>
    </row>
    <row r="342">
      <c r="A342" s="32" t="str">
        <f>IFERROR(__xludf.DUMMYFUNCTION("""COMPUTED_VALUE"""),"Latch on")</f>
        <v>Latch on</v>
      </c>
      <c r="B342" s="34">
        <f>IFERROR(__xludf.DUMMYFUNCTION("""COMPUTED_VALUE"""),1.0)</f>
        <v>1</v>
      </c>
      <c r="C342" s="33">
        <f>IFERROR(__xludf.DUMMYFUNCTION("""COMPUTED_VALUE"""),0.0)</f>
        <v>0</v>
      </c>
      <c r="D342" s="32"/>
      <c r="E342" s="32" t="str">
        <f>IFERROR(__xludf.DUMMYFUNCTION("""COMPUTED_VALUE"""),"the target is grappled, target must attack this enemy only. They cannot flee from battle.")</f>
        <v>the target is grappled, target must attack this enemy only. They cannot flee from battle.</v>
      </c>
      <c r="F342" s="32" t="str">
        <f>IFERROR(__xludf.DUMMYFUNCTION("""COMPUTED_VALUE"""),"Natural/Hit or Miss")</f>
        <v>Natural/Hit or Miss</v>
      </c>
      <c r="G342" s="32">
        <f>IFERROR(__xludf.DUMMYFUNCTION("""COMPUTED_VALUE"""),1.0)</f>
        <v>1</v>
      </c>
      <c r="H342" s="32" t="str">
        <f>IFERROR(__xludf.DUMMYFUNCTION("""COMPUTED_VALUE"""),"Physical")</f>
        <v>Physical</v>
      </c>
      <c r="I342" s="32" t="str">
        <f>IFERROR(__xludf.DUMMYFUNCTION("""COMPUTED_VALUE"""),"Mob")</f>
        <v>Mob</v>
      </c>
      <c r="J342" s="32" t="b">
        <f>IFERROR(__xludf.DUMMYFUNCTION("""COMPUTED_VALUE"""),TRUE)</f>
        <v>1</v>
      </c>
      <c r="K342" s="32"/>
      <c r="L342" s="32" t="b">
        <f>IFERROR(__xludf.DUMMYFUNCTION("""COMPUTED_VALUE"""),FALSE)</f>
        <v>0</v>
      </c>
      <c r="M342" s="32" t="b">
        <f>IFERROR(__xludf.DUMMYFUNCTION("""COMPUTED_VALUE"""),FALSE)</f>
        <v>0</v>
      </c>
      <c r="N342" s="32"/>
    </row>
    <row r="343">
      <c r="A343" s="32" t="str">
        <f>IFERROR(__xludf.DUMMYFUNCTION("""COMPUTED_VALUE"""),"Lunge")</f>
        <v>Lunge</v>
      </c>
      <c r="B343" s="34">
        <f>IFERROR(__xludf.DUMMYFUNCTION("""COMPUTED_VALUE"""),1.0)</f>
        <v>1</v>
      </c>
      <c r="C343" s="33">
        <f>IFERROR(__xludf.DUMMYFUNCTION("""COMPUTED_VALUE"""),0.0)</f>
        <v>0</v>
      </c>
      <c r="D343" s="32"/>
      <c r="E343" s="32" t="str">
        <f>IFERROR(__xludf.DUMMYFUNCTION("""COMPUTED_VALUE"""),"Evade the next incoming Hit or Miss attack without fail.")</f>
        <v>Evade the next incoming Hit or Miss attack without fail.</v>
      </c>
      <c r="F343" s="32" t="str">
        <f>IFERROR(__xludf.DUMMYFUNCTION("""COMPUTED_VALUE"""),"Natural/Fail Or Succeed")</f>
        <v>Natural/Fail Or Succeed</v>
      </c>
      <c r="G343" s="32"/>
      <c r="H343" s="32" t="str">
        <f>IFERROR(__xludf.DUMMYFUNCTION("""COMPUTED_VALUE"""),"Physical")</f>
        <v>Physical</v>
      </c>
      <c r="I343" s="32" t="str">
        <f>IFERROR(__xludf.DUMMYFUNCTION("""COMPUTED_VALUE"""),"Mob")</f>
        <v>Mob</v>
      </c>
      <c r="J343" s="32" t="b">
        <f>IFERROR(__xludf.DUMMYFUNCTION("""COMPUTED_VALUE"""),TRUE)</f>
        <v>1</v>
      </c>
      <c r="K343" s="32"/>
      <c r="L343" s="32" t="b">
        <f>IFERROR(__xludf.DUMMYFUNCTION("""COMPUTED_VALUE"""),FALSE)</f>
        <v>0</v>
      </c>
      <c r="M343" s="32" t="b">
        <f>IFERROR(__xludf.DUMMYFUNCTION("""COMPUTED_VALUE"""),FALSE)</f>
        <v>0</v>
      </c>
      <c r="N343" s="32"/>
    </row>
    <row r="344">
      <c r="A344" s="32" t="str">
        <f>IFERROR(__xludf.DUMMYFUNCTION("""COMPUTED_VALUE"""),"Meditate")</f>
        <v>Meditate</v>
      </c>
      <c r="B344" s="34">
        <f>IFERROR(__xludf.DUMMYFUNCTION("""COMPUTED_VALUE"""),6.0)</f>
        <v>6</v>
      </c>
      <c r="C344" s="32" t="str">
        <f>IFERROR(__xludf.DUMMYFUNCTION("""COMPUTED_VALUE"""),"X")</f>
        <v>X</v>
      </c>
      <c r="D344" s="32"/>
      <c r="E344" s="32" t="str">
        <f>IFERROR(__xludf.DUMMYFUNCTION("""COMPUTED_VALUE"""),"Regain X*100 HP")</f>
        <v>Regain X*100 HP</v>
      </c>
      <c r="F344" s="32" t="str">
        <f>IFERROR(__xludf.DUMMYFUNCTION("""COMPUTED_VALUE"""),"Will succeed")</f>
        <v>Will succeed</v>
      </c>
      <c r="G344" s="32"/>
      <c r="H344" s="32" t="str">
        <f>IFERROR(__xludf.DUMMYFUNCTION("""COMPUTED_VALUE"""),"Physical")</f>
        <v>Physical</v>
      </c>
      <c r="I344" s="32" t="str">
        <f>IFERROR(__xludf.DUMMYFUNCTION("""COMPUTED_VALUE"""),"Player")</f>
        <v>Player</v>
      </c>
      <c r="J344" s="32" t="b">
        <f>IFERROR(__xludf.DUMMYFUNCTION("""COMPUTED_VALUE"""),FALSE)</f>
        <v>0</v>
      </c>
      <c r="K344" s="32"/>
      <c r="L344" s="32" t="b">
        <f>IFERROR(__xludf.DUMMYFUNCTION("""COMPUTED_VALUE"""),FALSE)</f>
        <v>0</v>
      </c>
      <c r="M344" s="32" t="b">
        <f>IFERROR(__xludf.DUMMYFUNCTION("""COMPUTED_VALUE"""),TRUE)</f>
        <v>1</v>
      </c>
      <c r="N344" s="32"/>
    </row>
    <row r="345">
      <c r="A345" s="32" t="str">
        <f>IFERROR(__xludf.DUMMYFUNCTION("""COMPUTED_VALUE"""),"Pay Back")</f>
        <v>Pay Back</v>
      </c>
      <c r="B345" s="34">
        <f>IFERROR(__xludf.DUMMYFUNCTION("""COMPUTED_VALUE"""),9.0)</f>
        <v>9</v>
      </c>
      <c r="C345" s="33">
        <f>IFERROR(__xludf.DUMMYFUNCTION("""COMPUTED_VALUE"""),300.0)</f>
        <v>300</v>
      </c>
      <c r="D345" s="32"/>
      <c r="E345" s="32"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32" t="str">
        <f>IFERROR(__xludf.DUMMYFUNCTION("""COMPUTED_VALUE"""),"Fail/Succeed")</f>
        <v>Fail/Succeed</v>
      </c>
      <c r="G345" s="32">
        <f>IFERROR(__xludf.DUMMYFUNCTION("""COMPUTED_VALUE"""),1.0)</f>
        <v>1</v>
      </c>
      <c r="H345" s="32" t="str">
        <f>IFERROR(__xludf.DUMMYFUNCTION("""COMPUTED_VALUE"""),"Physical")</f>
        <v>Physical</v>
      </c>
      <c r="I345" s="32" t="str">
        <f>IFERROR(__xludf.DUMMYFUNCTION("""COMPUTED_VALUE"""),"Player")</f>
        <v>Player</v>
      </c>
      <c r="J345" s="32" t="b">
        <f>IFERROR(__xludf.DUMMYFUNCTION("""COMPUTED_VALUE"""),FALSE)</f>
        <v>0</v>
      </c>
      <c r="K345" s="32"/>
      <c r="L345" s="32" t="b">
        <f>IFERROR(__xludf.DUMMYFUNCTION("""COMPUTED_VALUE"""),FALSE)</f>
        <v>0</v>
      </c>
      <c r="M345" s="32" t="b">
        <f>IFERROR(__xludf.DUMMYFUNCTION("""COMPUTED_VALUE"""),FALSE)</f>
        <v>0</v>
      </c>
      <c r="N345" s="32"/>
    </row>
    <row r="346">
      <c r="A346" s="32" t="str">
        <f>IFERROR(__xludf.DUMMYFUNCTION("""COMPUTED_VALUE"""),"Power Increase")</f>
        <v>Power Increase</v>
      </c>
      <c r="B346" s="34">
        <f>IFERROR(__xludf.DUMMYFUNCTION("""COMPUTED_VALUE"""),9.0)</f>
        <v>9</v>
      </c>
      <c r="C346" s="32">
        <f>IFERROR(__xludf.DUMMYFUNCTION("""COMPUTED_VALUE"""),300.0)</f>
        <v>300</v>
      </c>
      <c r="D346" s="32"/>
      <c r="E346" s="32" t="str">
        <f>IFERROR(__xludf.DUMMYFUNCTION("""COMPUTED_VALUE"""),"Gain 20000 attack and accuracy for 3 rounds.")</f>
        <v>Gain 20000 attack and accuracy for 3 rounds.</v>
      </c>
      <c r="F346" s="32" t="str">
        <f>IFERROR(__xludf.DUMMYFUNCTION("""COMPUTED_VALUE"""),"Will Succeed")</f>
        <v>Will Succeed</v>
      </c>
      <c r="G346" s="32"/>
      <c r="H346" s="32" t="str">
        <f>IFERROR(__xludf.DUMMYFUNCTION("""COMPUTED_VALUE"""),"Physical")</f>
        <v>Physical</v>
      </c>
      <c r="I346" s="32" t="str">
        <f>IFERROR(__xludf.DUMMYFUNCTION("""COMPUTED_VALUE"""),"Player")</f>
        <v>Player</v>
      </c>
      <c r="J346" s="32" t="b">
        <f>IFERROR(__xludf.DUMMYFUNCTION("""COMPUTED_VALUE"""),FALSE)</f>
        <v>0</v>
      </c>
      <c r="K346" s="32"/>
      <c r="L346" s="32" t="b">
        <f>IFERROR(__xludf.DUMMYFUNCTION("""COMPUTED_VALUE"""),FALSE)</f>
        <v>0</v>
      </c>
      <c r="M346" s="32" t="b">
        <f>IFERROR(__xludf.DUMMYFUNCTION("""COMPUTED_VALUE"""),TRUE)</f>
        <v>1</v>
      </c>
      <c r="N346" s="32"/>
    </row>
    <row r="347">
      <c r="A347" s="32" t="str">
        <f>IFERROR(__xludf.DUMMYFUNCTION("""COMPUTED_VALUE"""),"Punch")</f>
        <v>Punch</v>
      </c>
      <c r="B347" s="34">
        <f>IFERROR(__xludf.DUMMYFUNCTION("""COMPUTED_VALUE"""),1.0)</f>
        <v>1</v>
      </c>
      <c r="C347" s="32">
        <f>IFERROR(__xludf.DUMMYFUNCTION("""COMPUTED_VALUE"""),0.0)</f>
        <v>0</v>
      </c>
      <c r="D347" s="32"/>
      <c r="E347" s="32" t="str">
        <f>IFERROR(__xludf.DUMMYFUNCTION("""COMPUTED_VALUE"""),"X*2 Damage of your primary element Where X is equal to your attack.")</f>
        <v>X*2 Damage of your primary element Where X is equal to your attack.</v>
      </c>
      <c r="F347" s="32" t="str">
        <f>IFERROR(__xludf.DUMMYFUNCTION("""COMPUTED_VALUE"""),"Natural/Hit or Miss")</f>
        <v>Natural/Hit or Miss</v>
      </c>
      <c r="G347" s="32">
        <f>IFERROR(__xludf.DUMMYFUNCTION("""COMPUTED_VALUE"""),1.0)</f>
        <v>1</v>
      </c>
      <c r="H347" s="32" t="str">
        <f>IFERROR(__xludf.DUMMYFUNCTION("""COMPUTED_VALUE"""),"Physical")</f>
        <v>Physical</v>
      </c>
      <c r="I347" s="32" t="str">
        <f>IFERROR(__xludf.DUMMYFUNCTION("""COMPUTED_VALUE"""),"Player")</f>
        <v>Player</v>
      </c>
      <c r="J347" s="32" t="b">
        <f>IFERROR(__xludf.DUMMYFUNCTION("""COMPUTED_VALUE"""),FALSE)</f>
        <v>0</v>
      </c>
      <c r="K347" s="32"/>
      <c r="L347" s="32" t="b">
        <f>IFERROR(__xludf.DUMMYFUNCTION("""COMPUTED_VALUE"""),FALSE)</f>
        <v>0</v>
      </c>
      <c r="M347" s="32" t="b">
        <f>IFERROR(__xludf.DUMMYFUNCTION("""COMPUTED_VALUE"""),FALSE)</f>
        <v>0</v>
      </c>
      <c r="N347" s="32"/>
    </row>
    <row r="348">
      <c r="A348" s="32" t="str">
        <f>IFERROR(__xludf.DUMMYFUNCTION("""COMPUTED_VALUE"""),"Shark Bite")</f>
        <v>Shark Bite</v>
      </c>
      <c r="B348" s="34">
        <f>IFERROR(__xludf.DUMMYFUNCTION("""COMPUTED_VALUE"""),1.0)</f>
        <v>1</v>
      </c>
      <c r="C348" s="33">
        <f>IFERROR(__xludf.DUMMYFUNCTION("""COMPUTED_VALUE"""),0.0)</f>
        <v>0</v>
      </c>
      <c r="D348" s="32"/>
      <c r="E348" s="32" t="str">
        <f>IFERROR(__xludf.DUMMYFUNCTION("""COMPUTED_VALUE"""),"1500 damage +1000 bleeding damage p/r for 3 rounds.")</f>
        <v>1500 damage +1000 bleeding damage p/r for 3 rounds.</v>
      </c>
      <c r="F348" s="32" t="str">
        <f>IFERROR(__xludf.DUMMYFUNCTION("""COMPUTED_VALUE"""),"Natural/ Hit Or Miss")</f>
        <v>Natural/ Hit Or Miss</v>
      </c>
      <c r="G348" s="32">
        <f>IFERROR(__xludf.DUMMYFUNCTION("""COMPUTED_VALUE"""),1.0)</f>
        <v>1</v>
      </c>
      <c r="H348" s="32" t="str">
        <f>IFERROR(__xludf.DUMMYFUNCTION("""COMPUTED_VALUE"""),"Physical")</f>
        <v>Physical</v>
      </c>
      <c r="I348" s="32" t="str">
        <f>IFERROR(__xludf.DUMMYFUNCTION("""COMPUTED_VALUE"""),"Mob")</f>
        <v>Mob</v>
      </c>
      <c r="J348" s="32" t="b">
        <f>IFERROR(__xludf.DUMMYFUNCTION("""COMPUTED_VALUE"""),TRUE)</f>
        <v>1</v>
      </c>
      <c r="K348" s="32"/>
      <c r="L348" s="32" t="b">
        <f>IFERROR(__xludf.DUMMYFUNCTION("""COMPUTED_VALUE"""),FALSE)</f>
        <v>0</v>
      </c>
      <c r="M348" s="32" t="b">
        <f>IFERROR(__xludf.DUMMYFUNCTION("""COMPUTED_VALUE"""),FALSE)</f>
        <v>0</v>
      </c>
      <c r="N348" s="32"/>
    </row>
    <row r="349">
      <c r="A349" s="32" t="str">
        <f>IFERROR(__xludf.DUMMYFUNCTION("""COMPUTED_VALUE"""),"Stinger ")</f>
        <v>Stinger </v>
      </c>
      <c r="B349" s="34">
        <f>IFERROR(__xludf.DUMMYFUNCTION("""COMPUTED_VALUE"""),1.0)</f>
        <v>1</v>
      </c>
      <c r="C349" s="33">
        <f>IFERROR(__xludf.DUMMYFUNCTION("""COMPUTED_VALUE"""),0.0)</f>
        <v>0</v>
      </c>
      <c r="D349" s="32"/>
      <c r="E349" s="32" t="str">
        <f>IFERROR(__xludf.DUMMYFUNCTION("""COMPUTED_VALUE"""),"Stun 3")</f>
        <v>Stun 3</v>
      </c>
      <c r="F349" s="32" t="str">
        <f>IFERROR(__xludf.DUMMYFUNCTION("""COMPUTED_VALUE"""),"Natural/Hit or Miss.")</f>
        <v>Natural/Hit or Miss.</v>
      </c>
      <c r="G349" s="32">
        <f>IFERROR(__xludf.DUMMYFUNCTION("""COMPUTED_VALUE"""),1.0)</f>
        <v>1</v>
      </c>
      <c r="H349" s="32" t="str">
        <f>IFERROR(__xludf.DUMMYFUNCTION("""COMPUTED_VALUE"""),"Physical")</f>
        <v>Physical</v>
      </c>
      <c r="I349" s="32" t="str">
        <f>IFERROR(__xludf.DUMMYFUNCTION("""COMPUTED_VALUE"""),"Mob")</f>
        <v>Mob</v>
      </c>
      <c r="J349" s="32" t="b">
        <f>IFERROR(__xludf.DUMMYFUNCTION("""COMPUTED_VALUE"""),TRUE)</f>
        <v>1</v>
      </c>
      <c r="K349" s="32"/>
      <c r="L349" s="32" t="b">
        <f>IFERROR(__xludf.DUMMYFUNCTION("""COMPUTED_VALUE"""),FALSE)</f>
        <v>0</v>
      </c>
      <c r="M349" s="32" t="b">
        <f>IFERROR(__xludf.DUMMYFUNCTION("""COMPUTED_VALUE"""),FALSE)</f>
        <v>0</v>
      </c>
      <c r="N349" s="32"/>
    </row>
    <row r="350">
      <c r="A350" s="32" t="str">
        <f>IFERROR(__xludf.DUMMYFUNCTION("""COMPUTED_VALUE"""),"Stinger (Bee)")</f>
        <v>Stinger (Bee)</v>
      </c>
      <c r="B350" s="34">
        <f>IFERROR(__xludf.DUMMYFUNCTION("""COMPUTED_VALUE"""),1.0)</f>
        <v>1</v>
      </c>
      <c r="C350" s="33">
        <f>IFERROR(__xludf.DUMMYFUNCTION("""COMPUTED_VALUE"""),0.0)</f>
        <v>0</v>
      </c>
      <c r="D350" s="32"/>
      <c r="E350" s="32" t="str">
        <f>IFERROR(__xludf.DUMMYFUNCTION("""COMPUTED_VALUE"""),"X*4 damage where X is equal to attack, poison 100")</f>
        <v>X*4 damage where X is equal to attack, poison 100</v>
      </c>
      <c r="F350" s="32" t="str">
        <f>IFERROR(__xludf.DUMMYFUNCTION("""COMPUTED_VALUE"""),"Natural/Hit Or Miss")</f>
        <v>Natural/Hit Or Miss</v>
      </c>
      <c r="G350" s="32">
        <f>IFERROR(__xludf.DUMMYFUNCTION("""COMPUTED_VALUE"""),1.0)</f>
        <v>1</v>
      </c>
      <c r="H350" s="32" t="str">
        <f>IFERROR(__xludf.DUMMYFUNCTION("""COMPUTED_VALUE"""),"Physical")</f>
        <v>Physical</v>
      </c>
      <c r="I350" s="32" t="str">
        <f>IFERROR(__xludf.DUMMYFUNCTION("""COMPUTED_VALUE"""),"Mob")</f>
        <v>Mob</v>
      </c>
      <c r="J350" s="32" t="b">
        <f>IFERROR(__xludf.DUMMYFUNCTION("""COMPUTED_VALUE"""),TRUE)</f>
        <v>1</v>
      </c>
      <c r="K350" s="32"/>
      <c r="L350" s="32" t="b">
        <f>IFERROR(__xludf.DUMMYFUNCTION("""COMPUTED_VALUE"""),FALSE)</f>
        <v>0</v>
      </c>
      <c r="M350" s="32" t="b">
        <f>IFERROR(__xludf.DUMMYFUNCTION("""COMPUTED_VALUE"""),FALSE)</f>
        <v>0</v>
      </c>
      <c r="N350" s="32"/>
    </row>
    <row r="351">
      <c r="A351" s="32" t="str">
        <f>IFERROR(__xludf.DUMMYFUNCTION("""COMPUTED_VALUE"""),"Strangle")</f>
        <v>Strangle</v>
      </c>
      <c r="B351" s="34">
        <f>IFERROR(__xludf.DUMMYFUNCTION("""COMPUTED_VALUE"""),1.0)</f>
        <v>1</v>
      </c>
      <c r="C351" s="33">
        <f>IFERROR(__xludf.DUMMYFUNCTION("""COMPUTED_VALUE"""),0.0)</f>
        <v>0</v>
      </c>
      <c r="D351" s="32"/>
      <c r="E351" s="32" t="str">
        <f>IFERROR(__xludf.DUMMYFUNCTION("""COMPUTED_VALUE"""),"Grabs all enemies, targets are unable to perform there turn order for 3 rounds")</f>
        <v>Grabs all enemies, targets are unable to perform there turn order for 3 rounds</v>
      </c>
      <c r="F351" s="32" t="str">
        <f>IFERROR(__xludf.DUMMYFUNCTION("""COMPUTED_VALUE"""),"Natural/Hit or Miss")</f>
        <v>Natural/Hit or Miss</v>
      </c>
      <c r="G351" s="32" t="str">
        <f>IFERROR(__xludf.DUMMYFUNCTION("""COMPUTED_VALUE"""),"All")</f>
        <v>All</v>
      </c>
      <c r="H351" s="32" t="str">
        <f>IFERROR(__xludf.DUMMYFUNCTION("""COMPUTED_VALUE"""),"Physical")</f>
        <v>Physical</v>
      </c>
      <c r="I351" s="32" t="str">
        <f>IFERROR(__xludf.DUMMYFUNCTION("""COMPUTED_VALUE"""),"Mob")</f>
        <v>Mob</v>
      </c>
      <c r="J351" s="32" t="b">
        <f>IFERROR(__xludf.DUMMYFUNCTION("""COMPUTED_VALUE"""),TRUE)</f>
        <v>1</v>
      </c>
      <c r="K351" s="32"/>
      <c r="L351" s="32" t="b">
        <f>IFERROR(__xludf.DUMMYFUNCTION("""COMPUTED_VALUE"""),FALSE)</f>
        <v>0</v>
      </c>
      <c r="M351" s="32" t="b">
        <f>IFERROR(__xludf.DUMMYFUNCTION("""COMPUTED_VALUE"""),FALSE)</f>
        <v>0</v>
      </c>
      <c r="N351" s="32"/>
    </row>
    <row r="352">
      <c r="A352" s="32" t="str">
        <f>IFERROR(__xludf.DUMMYFUNCTION("""COMPUTED_VALUE"""),"Swarm")</f>
        <v>Swarm</v>
      </c>
      <c r="B352" s="34">
        <f>IFERROR(__xludf.DUMMYFUNCTION("""COMPUTED_VALUE"""),1.0)</f>
        <v>1</v>
      </c>
      <c r="C352" s="33">
        <f>IFERROR(__xludf.DUMMYFUNCTION("""COMPUTED_VALUE"""),0.0)</f>
        <v>0</v>
      </c>
      <c r="D352" s="32"/>
      <c r="E352" s="32"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32" t="str">
        <f>IFERROR(__xludf.DUMMYFUNCTION("""COMPUTED_VALUE"""),"Natural/Fail Or Succeed")</f>
        <v>Natural/Fail Or Succeed</v>
      </c>
      <c r="G352" s="32">
        <f>IFERROR(__xludf.DUMMYFUNCTION("""COMPUTED_VALUE"""),1.0)</f>
        <v>1</v>
      </c>
      <c r="H352" s="32" t="str">
        <f>IFERROR(__xludf.DUMMYFUNCTION("""COMPUTED_VALUE"""),"Physical")</f>
        <v>Physical</v>
      </c>
      <c r="I352" s="32" t="str">
        <f>IFERROR(__xludf.DUMMYFUNCTION("""COMPUTED_VALUE"""),"Mob")</f>
        <v>Mob</v>
      </c>
      <c r="J352" s="32" t="b">
        <f>IFERROR(__xludf.DUMMYFUNCTION("""COMPUTED_VALUE"""),TRUE)</f>
        <v>1</v>
      </c>
      <c r="K352" s="32"/>
      <c r="L352" s="32" t="b">
        <f>IFERROR(__xludf.DUMMYFUNCTION("""COMPUTED_VALUE"""),FALSE)</f>
        <v>0</v>
      </c>
      <c r="M352" s="32" t="b">
        <f>IFERROR(__xludf.DUMMYFUNCTION("""COMPUTED_VALUE"""),FALSE)</f>
        <v>0</v>
      </c>
      <c r="N352" s="32"/>
    </row>
    <row r="353">
      <c r="A353" s="32" t="str">
        <f>IFERROR(__xludf.DUMMYFUNCTION("""COMPUTED_VALUE"""),"Tail Smash")</f>
        <v>Tail Smash</v>
      </c>
      <c r="B353" s="34">
        <f>IFERROR(__xludf.DUMMYFUNCTION("""COMPUTED_VALUE"""),1.0)</f>
        <v>1</v>
      </c>
      <c r="C353" s="33">
        <f>IFERROR(__xludf.DUMMYFUNCTION("""COMPUTED_VALUE"""),0.0)</f>
        <v>0</v>
      </c>
      <c r="D353" s="32"/>
      <c r="E353" s="32" t="str">
        <f>IFERROR(__xludf.DUMMYFUNCTION("""COMPUTED_VALUE"""),"10,000 damage to one target, 50% chance to deal another 10,000 damage to another target.")</f>
        <v>10,000 damage to one target, 50% chance to deal another 10,000 damage to another target.</v>
      </c>
      <c r="F353" s="32" t="str">
        <f>IFERROR(__xludf.DUMMYFUNCTION("""COMPUTED_VALUE"""),"Natural/Hit or Miss.")</f>
        <v>Natural/Hit or Miss.</v>
      </c>
      <c r="G353" s="32" t="str">
        <f>IFERROR(__xludf.DUMMYFUNCTION("""COMPUTED_VALUE"""),"1 or 2")</f>
        <v>1 or 2</v>
      </c>
      <c r="H353" s="32" t="str">
        <f>IFERROR(__xludf.DUMMYFUNCTION("""COMPUTED_VALUE"""),"Physical")</f>
        <v>Physical</v>
      </c>
      <c r="I353" s="32" t="str">
        <f>IFERROR(__xludf.DUMMYFUNCTION("""COMPUTED_VALUE"""),"Mob")</f>
        <v>Mob</v>
      </c>
      <c r="J353" s="32" t="b">
        <f>IFERROR(__xludf.DUMMYFUNCTION("""COMPUTED_VALUE"""),TRUE)</f>
        <v>1</v>
      </c>
      <c r="K353" s="32"/>
      <c r="L353" s="32" t="b">
        <f>IFERROR(__xludf.DUMMYFUNCTION("""COMPUTED_VALUE"""),FALSE)</f>
        <v>0</v>
      </c>
      <c r="M353" s="32" t="b">
        <f>IFERROR(__xludf.DUMMYFUNCTION("""COMPUTED_VALUE"""),FALSE)</f>
        <v>0</v>
      </c>
      <c r="N353" s="32"/>
    </row>
    <row r="354">
      <c r="A354" s="32" t="str">
        <f>IFERROR(__xludf.DUMMYFUNCTION("""COMPUTED_VALUE"""),"Take")</f>
        <v>Take</v>
      </c>
      <c r="B354" s="34">
        <f>IFERROR(__xludf.DUMMYFUNCTION("""COMPUTED_VALUE"""),1.0)</f>
        <v>1</v>
      </c>
      <c r="C354" s="32">
        <f>IFERROR(__xludf.DUMMYFUNCTION("""COMPUTED_VALUE"""),0.0)</f>
        <v>0</v>
      </c>
      <c r="D354" s="32"/>
      <c r="E354" s="32"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32" t="str">
        <f>IFERROR(__xludf.DUMMYFUNCTION("""COMPUTED_VALUE"""),"Natural/Fail or Succeed")</f>
        <v>Natural/Fail or Succeed</v>
      </c>
      <c r="G354" s="32">
        <f>IFERROR(__xludf.DUMMYFUNCTION("""COMPUTED_VALUE"""),1.0)</f>
        <v>1</v>
      </c>
      <c r="H354" s="32" t="str">
        <f>IFERROR(__xludf.DUMMYFUNCTION("""COMPUTED_VALUE"""),"Physical")</f>
        <v>Physical</v>
      </c>
      <c r="I354" s="32" t="str">
        <f>IFERROR(__xludf.DUMMYFUNCTION("""COMPUTED_VALUE"""),"Player")</f>
        <v>Player</v>
      </c>
      <c r="J354" s="32" t="b">
        <f>IFERROR(__xludf.DUMMYFUNCTION("""COMPUTED_VALUE"""),FALSE)</f>
        <v>0</v>
      </c>
      <c r="K354" s="32"/>
      <c r="L354" s="32" t="b">
        <f>IFERROR(__xludf.DUMMYFUNCTION("""COMPUTED_VALUE"""),FALSE)</f>
        <v>0</v>
      </c>
      <c r="M354" s="32" t="b">
        <f>IFERROR(__xludf.DUMMYFUNCTION("""COMPUTED_VALUE"""),TRUE)</f>
        <v>1</v>
      </c>
      <c r="N354" s="32"/>
    </row>
    <row r="355">
      <c r="A355" s="32" t="str">
        <f>IFERROR(__xludf.DUMMYFUNCTION("""COMPUTED_VALUE"""),"Tentacle Wack ")</f>
        <v>Tentacle Wack </v>
      </c>
      <c r="B355" s="34">
        <f>IFERROR(__xludf.DUMMYFUNCTION("""COMPUTED_VALUE"""),1.0)</f>
        <v>1</v>
      </c>
      <c r="C355" s="33">
        <f>IFERROR(__xludf.DUMMYFUNCTION("""COMPUTED_VALUE"""),0.0)</f>
        <v>0</v>
      </c>
      <c r="D355" s="32"/>
      <c r="E355" s="32" t="str">
        <f>IFERROR(__xludf.DUMMYFUNCTION("""COMPUTED_VALUE"""),"The damage of this attack is equal to the users attack bonus.")</f>
        <v>The damage of this attack is equal to the users attack bonus.</v>
      </c>
      <c r="F355" s="32" t="str">
        <f>IFERROR(__xludf.DUMMYFUNCTION("""COMPUTED_VALUE"""),"Hit/Miss")</f>
        <v>Hit/Miss</v>
      </c>
      <c r="G355" s="32">
        <f>IFERROR(__xludf.DUMMYFUNCTION("""COMPUTED_VALUE"""),2.0)</f>
        <v>2</v>
      </c>
      <c r="H355" s="32" t="str">
        <f>IFERROR(__xludf.DUMMYFUNCTION("""COMPUTED_VALUE"""),"Physical")</f>
        <v>Physical</v>
      </c>
      <c r="I355" s="32" t="str">
        <f>IFERROR(__xludf.DUMMYFUNCTION("""COMPUTED_VALUE"""),"Mob")</f>
        <v>Mob</v>
      </c>
      <c r="J355" s="32" t="b">
        <f>IFERROR(__xludf.DUMMYFUNCTION("""COMPUTED_VALUE"""),TRUE)</f>
        <v>1</v>
      </c>
      <c r="K355" s="32"/>
      <c r="L355" s="32" t="b">
        <f>IFERROR(__xludf.DUMMYFUNCTION("""COMPUTED_VALUE"""),FALSE)</f>
        <v>0</v>
      </c>
      <c r="M355" s="32" t="b">
        <f>IFERROR(__xludf.DUMMYFUNCTION("""COMPUTED_VALUE"""),FALSE)</f>
        <v>0</v>
      </c>
      <c r="N355" s="32"/>
    </row>
    <row r="356">
      <c r="A356" s="32" t="str">
        <f>IFERROR(__xludf.DUMMYFUNCTION("""COMPUTED_VALUE"""),"Tower Of Balance I")</f>
        <v>Tower Of Balance I</v>
      </c>
      <c r="B356" s="34">
        <f>IFERROR(__xludf.DUMMYFUNCTION("""COMPUTED_VALUE"""),8.0)</f>
        <v>8</v>
      </c>
      <c r="C356" s="32">
        <f>IFERROR(__xludf.DUMMYFUNCTION("""COMPUTED_VALUE"""),200.0)</f>
        <v>200</v>
      </c>
      <c r="D356" s="32"/>
      <c r="E356" s="32"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32" t="str">
        <f>IFERROR(__xludf.DUMMYFUNCTION("""COMPUTED_VALUE"""),"Fail/Succeed")</f>
        <v>Fail/Succeed</v>
      </c>
      <c r="G356" s="32"/>
      <c r="H356" s="32" t="str">
        <f>IFERROR(__xludf.DUMMYFUNCTION("""COMPUTED_VALUE"""),"Physical")</f>
        <v>Physical</v>
      </c>
      <c r="I356" s="32" t="str">
        <f>IFERROR(__xludf.DUMMYFUNCTION("""COMPUTED_VALUE"""),"Player")</f>
        <v>Player</v>
      </c>
      <c r="J356" s="32" t="b">
        <f>IFERROR(__xludf.DUMMYFUNCTION("""COMPUTED_VALUE"""),FALSE)</f>
        <v>0</v>
      </c>
      <c r="K356" s="32"/>
      <c r="L356" s="32" t="b">
        <f>IFERROR(__xludf.DUMMYFUNCTION("""COMPUTED_VALUE"""),FALSE)</f>
        <v>0</v>
      </c>
      <c r="M356" s="32" t="b">
        <f>IFERROR(__xludf.DUMMYFUNCTION("""COMPUTED_VALUE"""),TRUE)</f>
        <v>1</v>
      </c>
      <c r="N356" s="32"/>
    </row>
    <row r="357">
      <c r="A357" s="32" t="str">
        <f>IFERROR(__xludf.DUMMYFUNCTION("""COMPUTED_VALUE"""),"Werewolf Bite")</f>
        <v>Werewolf Bite</v>
      </c>
      <c r="B357" s="34">
        <f>IFERROR(__xludf.DUMMYFUNCTION("""COMPUTED_VALUE"""),1.0)</f>
        <v>1</v>
      </c>
      <c r="C357" s="33">
        <f>IFERROR(__xludf.DUMMYFUNCTION("""COMPUTED_VALUE"""),0.0)</f>
        <v>0</v>
      </c>
      <c r="D357" s="32"/>
      <c r="E357" s="32" t="str">
        <f>IFERROR(__xludf.DUMMYFUNCTION("""COMPUTED_VALUE"""),"1000 damage, 50% chance to turn the bit player into a werewolf.")</f>
        <v>1000 damage, 50% chance to turn the bit player into a werewolf.</v>
      </c>
      <c r="F357" s="32" t="str">
        <f>IFERROR(__xludf.DUMMYFUNCTION("""COMPUTED_VALUE"""),"Hit/Miss")</f>
        <v>Hit/Miss</v>
      </c>
      <c r="G357" s="32">
        <f>IFERROR(__xludf.DUMMYFUNCTION("""COMPUTED_VALUE"""),1.0)</f>
        <v>1</v>
      </c>
      <c r="H357" s="32" t="str">
        <f>IFERROR(__xludf.DUMMYFUNCTION("""COMPUTED_VALUE"""),"Physical")</f>
        <v>Physical</v>
      </c>
      <c r="I357" s="32" t="str">
        <f>IFERROR(__xludf.DUMMYFUNCTION("""COMPUTED_VALUE"""),"Mob")</f>
        <v>Mob</v>
      </c>
      <c r="J357" s="32" t="b">
        <f>IFERROR(__xludf.DUMMYFUNCTION("""COMPUTED_VALUE"""),TRUE)</f>
        <v>1</v>
      </c>
      <c r="K357" s="32"/>
      <c r="L357" s="32" t="b">
        <f>IFERROR(__xludf.DUMMYFUNCTION("""COMPUTED_VALUE"""),FALSE)</f>
        <v>0</v>
      </c>
      <c r="M357" s="32" t="b">
        <f>IFERROR(__xludf.DUMMYFUNCTION("""COMPUTED_VALUE"""),FALSE)</f>
        <v>0</v>
      </c>
      <c r="N357" s="32"/>
    </row>
    <row r="358">
      <c r="A358" s="32" t="str">
        <f>IFERROR(__xludf.DUMMYFUNCTION("""COMPUTED_VALUE"""),"Reckless Chomp ")</f>
        <v>Reckless Chomp </v>
      </c>
      <c r="B358" s="34">
        <f>IFERROR(__xludf.DUMMYFUNCTION("""COMPUTED_VALUE"""),1.0)</f>
        <v>1</v>
      </c>
      <c r="C358" s="33">
        <f>IFERROR(__xludf.DUMMYFUNCTION("""COMPUTED_VALUE"""),0.0)</f>
        <v>0</v>
      </c>
      <c r="D358" s="32"/>
      <c r="E358" s="32" t="str">
        <f>IFERROR(__xludf.DUMMYFUNCTION("""COMPUTED_VALUE"""),"10,000 damage to all enemies, 50% chance to deal another 20,000 to all enemies.")</f>
        <v>10,000 damage to all enemies, 50% chance to deal another 20,000 to all enemies.</v>
      </c>
      <c r="F358" s="32" t="str">
        <f>IFERROR(__xludf.DUMMYFUNCTION("""COMPUTED_VALUE"""),"Natural/Cannot Avoid")</f>
        <v>Natural/Cannot Avoid</v>
      </c>
      <c r="G358" s="32" t="str">
        <f>IFERROR(__xludf.DUMMYFUNCTION("""COMPUTED_VALUE"""),"All")</f>
        <v>All</v>
      </c>
      <c r="H358" s="32" t="str">
        <f>IFERROR(__xludf.DUMMYFUNCTION("""COMPUTED_VALUE"""),"Physical")</f>
        <v>Physical</v>
      </c>
      <c r="I358" s="32" t="str">
        <f>IFERROR(__xludf.DUMMYFUNCTION("""COMPUTED_VALUE"""),"Mob")</f>
        <v>Mob</v>
      </c>
      <c r="J358" s="32" t="b">
        <f>IFERROR(__xludf.DUMMYFUNCTION("""COMPUTED_VALUE"""),TRUE)</f>
        <v>1</v>
      </c>
      <c r="K358" s="32"/>
      <c r="L358" s="32" t="b">
        <f>IFERROR(__xludf.DUMMYFUNCTION("""COMPUTED_VALUE"""),FALSE)</f>
        <v>0</v>
      </c>
      <c r="M358" s="32" t="b">
        <f>IFERROR(__xludf.DUMMYFUNCTION("""COMPUTED_VALUE"""),FALSE)</f>
        <v>0</v>
      </c>
      <c r="N358" s="32"/>
    </row>
    <row r="359">
      <c r="A359" s="32" t="str">
        <f>IFERROR(__xludf.DUMMYFUNCTION("""COMPUTED_VALUE"""),"Guard Call (Mob)")</f>
        <v>Guard Call (Mob)</v>
      </c>
      <c r="B359" s="34">
        <f>IFERROR(__xludf.DUMMYFUNCTION("""COMPUTED_VALUE"""),1.0)</f>
        <v>1</v>
      </c>
      <c r="C359" s="32">
        <f>IFERROR(__xludf.DUMMYFUNCTION("""COMPUTED_VALUE"""),0.0)</f>
        <v>0</v>
      </c>
      <c r="D359" s="32"/>
      <c r="E359" s="32" t="str">
        <f>IFERROR(__xludf.DUMMYFUNCTION("""COMPUTED_VALUE"""),"Call a d4 of guards to battle. Roll a d3 for the type of guard.")</f>
        <v>Call a d4 of guards to battle. Roll a d3 for the type of guard.</v>
      </c>
      <c r="F359" s="32" t="str">
        <f>IFERROR(__xludf.DUMMYFUNCTION("""COMPUTED_VALUE"""),"Natural/Fail or Succeed")</f>
        <v>Natural/Fail or Succeed</v>
      </c>
      <c r="G359" s="32" t="str">
        <f>IFERROR(__xludf.DUMMYFUNCTION("""COMPUTED_VALUE"""),"Self")</f>
        <v>Self</v>
      </c>
      <c r="H359" s="32" t="str">
        <f>IFERROR(__xludf.DUMMYFUNCTION("""COMPUTED_VALUE"""),"Physical")</f>
        <v>Physical</v>
      </c>
      <c r="I359" s="32" t="str">
        <f>IFERROR(__xludf.DUMMYFUNCTION("""COMPUTED_VALUE"""),"Mob")</f>
        <v>Mob</v>
      </c>
      <c r="J359" s="32" t="b">
        <f>IFERROR(__xludf.DUMMYFUNCTION("""COMPUTED_VALUE"""),TRUE)</f>
        <v>1</v>
      </c>
      <c r="K359" s="32" t="str">
        <f>IFERROR(__xludf.DUMMYFUNCTION("""COMPUTED_VALUE"""),"Cannot be obtained by players.")</f>
        <v>Cannot be obtained by players.</v>
      </c>
      <c r="L359" s="32" t="b">
        <f>IFERROR(__xludf.DUMMYFUNCTION("""COMPUTED_VALUE"""),FALSE)</f>
        <v>0</v>
      </c>
      <c r="M359" s="32" t="b">
        <f>IFERROR(__xludf.DUMMYFUNCTION("""COMPUTED_VALUE"""),FALSE)</f>
        <v>0</v>
      </c>
      <c r="N359" s="32"/>
    </row>
    <row r="360">
      <c r="A360" s="32" t="str">
        <f>IFERROR(__xludf.DUMMYFUNCTION("""COMPUTED_VALUE"""),"Arrest II")</f>
        <v>Arrest II</v>
      </c>
      <c r="B360" s="34">
        <f>IFERROR(__xludf.DUMMYFUNCTION("""COMPUTED_VALUE"""),1.0)</f>
        <v>1</v>
      </c>
      <c r="C360" s="32">
        <f>IFERROR(__xludf.DUMMYFUNCTION("""COMPUTED_VALUE"""),0.0)</f>
        <v>0</v>
      </c>
      <c r="D360" s="32"/>
      <c r="E360" s="32"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32" t="str">
        <f>IFERROR(__xludf.DUMMYFUNCTION("""COMPUTED_VALUE"""),"Natural/Hit or Miss")</f>
        <v>Natural/Hit or Miss</v>
      </c>
      <c r="G360" s="32" t="str">
        <f>IFERROR(__xludf.DUMMYFUNCTION("""COMPUTED_VALUE"""),"1 or 2")</f>
        <v>1 or 2</v>
      </c>
      <c r="H360" s="32" t="str">
        <f>IFERROR(__xludf.DUMMYFUNCTION("""COMPUTED_VALUE"""),"Physical")</f>
        <v>Physical</v>
      </c>
      <c r="I360" s="32" t="str">
        <f>IFERROR(__xludf.DUMMYFUNCTION("""COMPUTED_VALUE"""),"Mob")</f>
        <v>Mob</v>
      </c>
      <c r="J360" s="32" t="b">
        <f>IFERROR(__xludf.DUMMYFUNCTION("""COMPUTED_VALUE"""),TRUE)</f>
        <v>1</v>
      </c>
      <c r="K360" s="32" t="str">
        <f>IFERROR(__xludf.DUMMYFUNCTION("""COMPUTED_VALUE"""),"Mob Power")</f>
        <v>Mob Power</v>
      </c>
      <c r="L360" s="32" t="b">
        <f>IFERROR(__xludf.DUMMYFUNCTION("""COMPUTED_VALUE"""),FALSE)</f>
        <v>0</v>
      </c>
      <c r="M360" s="32" t="b">
        <f>IFERROR(__xludf.DUMMYFUNCTION("""COMPUTED_VALUE"""),FALSE)</f>
        <v>0</v>
      </c>
      <c r="N360" s="32" t="str">
        <f>IFERROR(__xludf.DUMMYFUNCTION("""COMPUTED_VALUE"""),"Abstara")</f>
        <v>Abstara</v>
      </c>
    </row>
    <row r="361">
      <c r="A361" s="32" t="str">
        <f>IFERROR(__xludf.DUMMYFUNCTION("""COMPUTED_VALUE"""),"Hit and Run")</f>
        <v>Hit and Run</v>
      </c>
      <c r="B361" s="34">
        <f>IFERROR(__xludf.DUMMYFUNCTION("""COMPUTED_VALUE"""),1.0)</f>
        <v>1</v>
      </c>
      <c r="C361" s="33">
        <f>IFERROR(__xludf.DUMMYFUNCTION("""COMPUTED_VALUE"""),0.0)</f>
        <v>0</v>
      </c>
      <c r="D361" s="32"/>
      <c r="E361" s="32" t="str">
        <f>IFERROR(__xludf.DUMMYFUNCTION("""COMPUTED_VALUE"""),"Ram or drive over a target. X damage, X= Vehicles attack stat.")</f>
        <v>Ram or drive over a target. X damage, X= Vehicles attack stat.</v>
      </c>
      <c r="F361" s="32" t="str">
        <f>IFERROR(__xludf.DUMMYFUNCTION("""COMPUTED_VALUE"""),"Natural/Hit or Miss")</f>
        <v>Natural/Hit or Miss</v>
      </c>
      <c r="G361" s="32">
        <f>IFERROR(__xludf.DUMMYFUNCTION("""COMPUTED_VALUE"""),1.0)</f>
        <v>1</v>
      </c>
      <c r="H361" s="32" t="str">
        <f>IFERROR(__xludf.DUMMYFUNCTION("""COMPUTED_VALUE"""),"Physical")</f>
        <v>Physical</v>
      </c>
      <c r="I361" s="32" t="str">
        <f>IFERROR(__xludf.DUMMYFUNCTION("""COMPUTED_VALUE"""),"Mob")</f>
        <v>Mob</v>
      </c>
      <c r="J361" s="32" t="b">
        <f>IFERROR(__xludf.DUMMYFUNCTION("""COMPUTED_VALUE"""),TRUE)</f>
        <v>1</v>
      </c>
      <c r="K361" s="32" t="str">
        <f>IFERROR(__xludf.DUMMYFUNCTION("""COMPUTED_VALUE"""),"Vehicle Power")</f>
        <v>Vehicle Power</v>
      </c>
      <c r="L361" s="32" t="b">
        <f>IFERROR(__xludf.DUMMYFUNCTION("""COMPUTED_VALUE"""),FALSE)</f>
        <v>0</v>
      </c>
      <c r="M361" s="32" t="b">
        <f>IFERROR(__xludf.DUMMYFUNCTION("""COMPUTED_VALUE"""),FALSE)</f>
        <v>0</v>
      </c>
      <c r="N361" s="32"/>
    </row>
    <row r="362">
      <c r="A362" s="32" t="str">
        <f>IFERROR(__xludf.DUMMYFUNCTION("""COMPUTED_VALUE"""),"Radar")</f>
        <v>Radar</v>
      </c>
      <c r="B362" s="34">
        <f>IFERROR(__xludf.DUMMYFUNCTION("""COMPUTED_VALUE"""),1.0)</f>
        <v>1</v>
      </c>
      <c r="C362" s="33">
        <f>IFERROR(__xludf.DUMMYFUNCTION("""COMPUTED_VALUE"""),0.0)</f>
        <v>0</v>
      </c>
      <c r="D362" s="32"/>
      <c r="E362" s="32" t="str">
        <f>IFERROR(__xludf.DUMMYFUNCTION("""COMPUTED_VALUE"""),"Allows you to see hidden vehicles above the ocean or on land.")</f>
        <v>Allows you to see hidden vehicles above the ocean or on land.</v>
      </c>
      <c r="F362" s="32" t="str">
        <f>IFERROR(__xludf.DUMMYFUNCTION("""COMPUTED_VALUE"""),"Natural/Fail or Succeed")</f>
        <v>Natural/Fail or Succeed</v>
      </c>
      <c r="G362" s="32" t="str">
        <f>IFERROR(__xludf.DUMMYFUNCTION("""COMPUTED_VALUE"""),"Self")</f>
        <v>Self</v>
      </c>
      <c r="H362" s="32" t="str">
        <f>IFERROR(__xludf.DUMMYFUNCTION("""COMPUTED_VALUE"""),"Physical")</f>
        <v>Physical</v>
      </c>
      <c r="I362" s="32" t="str">
        <f>IFERROR(__xludf.DUMMYFUNCTION("""COMPUTED_VALUE"""),"Mob")</f>
        <v>Mob</v>
      </c>
      <c r="J362" s="32" t="b">
        <f>IFERROR(__xludf.DUMMYFUNCTION("""COMPUTED_VALUE"""),TRUE)</f>
        <v>1</v>
      </c>
      <c r="K362" s="32" t="str">
        <f>IFERROR(__xludf.DUMMYFUNCTION("""COMPUTED_VALUE"""),"Vehicle Power")</f>
        <v>Vehicle Power</v>
      </c>
      <c r="L362" s="32" t="b">
        <f>IFERROR(__xludf.DUMMYFUNCTION("""COMPUTED_VALUE"""),FALSE)</f>
        <v>0</v>
      </c>
      <c r="M362" s="32" t="b">
        <f>IFERROR(__xludf.DUMMYFUNCTION("""COMPUTED_VALUE"""),FALSE)</f>
        <v>0</v>
      </c>
      <c r="N362" s="32"/>
    </row>
    <row r="363">
      <c r="A363" s="32" t="str">
        <f>IFERROR(__xludf.DUMMYFUNCTION("""COMPUTED_VALUE"""),"Sonar")</f>
        <v>Sonar</v>
      </c>
      <c r="B363" s="34">
        <f>IFERROR(__xludf.DUMMYFUNCTION("""COMPUTED_VALUE"""),1.0)</f>
        <v>1</v>
      </c>
      <c r="C363" s="33">
        <f>IFERROR(__xludf.DUMMYFUNCTION("""COMPUTED_VALUE"""),0.0)</f>
        <v>0</v>
      </c>
      <c r="D363" s="32"/>
      <c r="E363" s="32"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32" t="str">
        <f>IFERROR(__xludf.DUMMYFUNCTION("""COMPUTED_VALUE"""),"Natural/Fail or Succeed")</f>
        <v>Natural/Fail or Succeed</v>
      </c>
      <c r="G363" s="32" t="str">
        <f>IFERROR(__xludf.DUMMYFUNCTION("""COMPUTED_VALUE"""),"Self")</f>
        <v>Self</v>
      </c>
      <c r="H363" s="32" t="str">
        <f>IFERROR(__xludf.DUMMYFUNCTION("""COMPUTED_VALUE"""),"Physical")</f>
        <v>Physical</v>
      </c>
      <c r="I363" s="32" t="str">
        <f>IFERROR(__xludf.DUMMYFUNCTION("""COMPUTED_VALUE"""),"Mob")</f>
        <v>Mob</v>
      </c>
      <c r="J363" s="32" t="b">
        <f>IFERROR(__xludf.DUMMYFUNCTION("""COMPUTED_VALUE"""),TRUE)</f>
        <v>1</v>
      </c>
      <c r="K363" s="32" t="str">
        <f>IFERROR(__xludf.DUMMYFUNCTION("""COMPUTED_VALUE"""),"Vehicle Power")</f>
        <v>Vehicle Power</v>
      </c>
      <c r="L363" s="32" t="b">
        <f>IFERROR(__xludf.DUMMYFUNCTION("""COMPUTED_VALUE"""),FALSE)</f>
        <v>0</v>
      </c>
      <c r="M363" s="32" t="b">
        <f>IFERROR(__xludf.DUMMYFUNCTION("""COMPUTED_VALUE"""),FALSE)</f>
        <v>0</v>
      </c>
      <c r="N363" s="32"/>
    </row>
    <row r="364">
      <c r="A364" s="32" t="str">
        <f>IFERROR(__xludf.DUMMYFUNCTION("""COMPUTED_VALUE"""),"Vehicular Cloak")</f>
        <v>Vehicular Cloak</v>
      </c>
      <c r="B364" s="34">
        <f>IFERROR(__xludf.DUMMYFUNCTION("""COMPUTED_VALUE"""),9.0)</f>
        <v>9</v>
      </c>
      <c r="C364" s="33">
        <f>IFERROR(__xludf.DUMMYFUNCTION("""COMPUTED_VALUE"""),10000.0)</f>
        <v>10000</v>
      </c>
      <c r="D364" s="32"/>
      <c r="E364" s="32" t="str">
        <f>IFERROR(__xludf.DUMMYFUNCTION("""COMPUTED_VALUE"""),"Invisible from other vehicles, players, and mobs not in the vehicle.")</f>
        <v>Invisible from other vehicles, players, and mobs not in the vehicle.</v>
      </c>
      <c r="F364" s="32" t="str">
        <f>IFERROR(__xludf.DUMMYFUNCTION("""COMPUTED_VALUE"""),"Natural/Fail or Succeed")</f>
        <v>Natural/Fail or Succeed</v>
      </c>
      <c r="G364" s="32" t="str">
        <f>IFERROR(__xludf.DUMMYFUNCTION("""COMPUTED_VALUE"""),"Self")</f>
        <v>Self</v>
      </c>
      <c r="H364" s="32" t="str">
        <f>IFERROR(__xludf.DUMMYFUNCTION("""COMPUTED_VALUE"""),"Physical")</f>
        <v>Physical</v>
      </c>
      <c r="I364" s="32" t="str">
        <f>IFERROR(__xludf.DUMMYFUNCTION("""COMPUTED_VALUE"""),"Mob")</f>
        <v>Mob</v>
      </c>
      <c r="J364" s="32" t="b">
        <f>IFERROR(__xludf.DUMMYFUNCTION("""COMPUTED_VALUE"""),TRUE)</f>
        <v>1</v>
      </c>
      <c r="K364" s="32" t="str">
        <f>IFERROR(__xludf.DUMMYFUNCTION("""COMPUTED_VALUE"""),"Vehicle Power")</f>
        <v>Vehicle Power</v>
      </c>
      <c r="L364" s="32" t="b">
        <f>IFERROR(__xludf.DUMMYFUNCTION("""COMPUTED_VALUE"""),FALSE)</f>
        <v>0</v>
      </c>
      <c r="M364" s="32" t="b">
        <f>IFERROR(__xludf.DUMMYFUNCTION("""COMPUTED_VALUE"""),FALSE)</f>
        <v>0</v>
      </c>
      <c r="N364" s="32"/>
    </row>
    <row r="365">
      <c r="A365" s="32" t="str">
        <f>IFERROR(__xludf.DUMMYFUNCTION("""COMPUTED_VALUE"""),"Vehicular Ward")</f>
        <v>Vehicular Ward</v>
      </c>
      <c r="B365" s="34">
        <f>IFERROR(__xludf.DUMMYFUNCTION("""COMPUTED_VALUE"""),9.0)</f>
        <v>9</v>
      </c>
      <c r="C365" s="33">
        <f>IFERROR(__xludf.DUMMYFUNCTION("""COMPUTED_VALUE"""),10000.0)</f>
        <v>10000</v>
      </c>
      <c r="D365" s="32"/>
      <c r="E365" s="32"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32" t="str">
        <f>IFERROR(__xludf.DUMMYFUNCTION("""COMPUTED_VALUE"""),"Natural/Fail or Succeed")</f>
        <v>Natural/Fail or Succeed</v>
      </c>
      <c r="G365" s="32" t="str">
        <f>IFERROR(__xludf.DUMMYFUNCTION("""COMPUTED_VALUE"""),"Self")</f>
        <v>Self</v>
      </c>
      <c r="H365" s="32" t="str">
        <f>IFERROR(__xludf.DUMMYFUNCTION("""COMPUTED_VALUE"""),"Physical")</f>
        <v>Physical</v>
      </c>
      <c r="I365" s="32" t="str">
        <f>IFERROR(__xludf.DUMMYFUNCTION("""COMPUTED_VALUE"""),"Mob")</f>
        <v>Mob</v>
      </c>
      <c r="J365" s="32" t="b">
        <f>IFERROR(__xludf.DUMMYFUNCTION("""COMPUTED_VALUE"""),TRUE)</f>
        <v>1</v>
      </c>
      <c r="K365" s="32" t="str">
        <f>IFERROR(__xludf.DUMMYFUNCTION("""COMPUTED_VALUE"""),"Vehicle Power")</f>
        <v>Vehicle Power</v>
      </c>
      <c r="L365" s="32" t="b">
        <f>IFERROR(__xludf.DUMMYFUNCTION("""COMPUTED_VALUE"""),FALSE)</f>
        <v>0</v>
      </c>
      <c r="M365" s="32" t="b">
        <f>IFERROR(__xludf.DUMMYFUNCTION("""COMPUTED_VALUE"""),FALSE)</f>
        <v>0</v>
      </c>
      <c r="N365" s="32"/>
    </row>
    <row r="366">
      <c r="A366" s="32" t="str">
        <f>IFERROR(__xludf.DUMMYFUNCTION("""COMPUTED_VALUE"""),"Dragon's Breath")</f>
        <v>Dragon's Breath</v>
      </c>
      <c r="B366" s="34">
        <f>IFERROR(__xludf.DUMMYFUNCTION("""COMPUTED_VALUE"""),1.0)</f>
        <v>1</v>
      </c>
      <c r="C366" s="32">
        <f>IFERROR(__xludf.DUMMYFUNCTION("""COMPUTED_VALUE"""),0.0)</f>
        <v>0</v>
      </c>
      <c r="D366" s="32"/>
      <c r="E366" s="32"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32" t="str">
        <f>IFERROR(__xludf.DUMMYFUNCTION("""COMPUTED_VALUE"""),"Natural/Cannot Avoid")</f>
        <v>Natural/Cannot Avoid</v>
      </c>
      <c r="G366" s="32" t="str">
        <f>IFERROR(__xludf.DUMMYFUNCTION("""COMPUTED_VALUE"""),"All")</f>
        <v>All</v>
      </c>
      <c r="H366" s="32" t="str">
        <f>IFERROR(__xludf.DUMMYFUNCTION("""COMPUTED_VALUE"""),"Physical")</f>
        <v>Physical</v>
      </c>
      <c r="I366" s="32" t="str">
        <f>IFERROR(__xludf.DUMMYFUNCTION("""COMPUTED_VALUE"""),"Mob")</f>
        <v>Mob</v>
      </c>
      <c r="J366" s="32" t="b">
        <f>IFERROR(__xludf.DUMMYFUNCTION("""COMPUTED_VALUE"""),TRUE)</f>
        <v>1</v>
      </c>
      <c r="K366" s="32" t="str">
        <f>IFERROR(__xludf.DUMMYFUNCTION("""COMPUTED_VALUE"""),"mob power")</f>
        <v>mob power</v>
      </c>
      <c r="L366" s="32" t="b">
        <f>IFERROR(__xludf.DUMMYFUNCTION("""COMPUTED_VALUE"""),FALSE)</f>
        <v>0</v>
      </c>
      <c r="M366" s="32" t="b">
        <f>IFERROR(__xludf.DUMMYFUNCTION("""COMPUTED_VALUE"""),FALSE)</f>
        <v>0</v>
      </c>
      <c r="N366" s="32"/>
    </row>
    <row r="367">
      <c r="A367" s="32" t="str">
        <f>IFERROR(__xludf.DUMMYFUNCTION("""COMPUTED_VALUE"""),"Tackle")</f>
        <v>Tackle</v>
      </c>
      <c r="B367" s="34">
        <f>IFERROR(__xludf.DUMMYFUNCTION("""COMPUTED_VALUE"""),1.0)</f>
        <v>1</v>
      </c>
      <c r="C367" s="32">
        <f>IFERROR(__xludf.DUMMYFUNCTION("""COMPUTED_VALUE"""),0.0)</f>
        <v>0</v>
      </c>
      <c r="D367" s="32"/>
      <c r="E367" s="32" t="str">
        <f>IFERROR(__xludf.DUMMYFUNCTION("""COMPUTED_VALUE"""),"Stuns yourself and a single target for 1d4 rounds")</f>
        <v>Stuns yourself and a single target for 1d4 rounds</v>
      </c>
      <c r="F367" s="32" t="str">
        <f>IFERROR(__xludf.DUMMYFUNCTION("""COMPUTED_VALUE"""),"Natural/Hit or Miss")</f>
        <v>Natural/Hit or Miss</v>
      </c>
      <c r="G367" s="32">
        <f>IFERROR(__xludf.DUMMYFUNCTION("""COMPUTED_VALUE"""),1.0)</f>
        <v>1</v>
      </c>
      <c r="H367" s="32" t="str">
        <f>IFERROR(__xludf.DUMMYFUNCTION("""COMPUTED_VALUE"""),"Physical")</f>
        <v>Physical</v>
      </c>
      <c r="I367" s="32" t="str">
        <f>IFERROR(__xludf.DUMMYFUNCTION("""COMPUTED_VALUE"""),"Mob")</f>
        <v>Mob</v>
      </c>
      <c r="J367" s="32" t="b">
        <f>IFERROR(__xludf.DUMMYFUNCTION("""COMPUTED_VALUE"""),TRUE)</f>
        <v>1</v>
      </c>
      <c r="K367" s="32" t="str">
        <f>IFERROR(__xludf.DUMMYFUNCTION("""COMPUTED_VALUE"""),"mob power")</f>
        <v>mob power</v>
      </c>
      <c r="L367" s="32" t="b">
        <f>IFERROR(__xludf.DUMMYFUNCTION("""COMPUTED_VALUE"""),FALSE)</f>
        <v>0</v>
      </c>
      <c r="M367" s="32" t="b">
        <f>IFERROR(__xludf.DUMMYFUNCTION("""COMPUTED_VALUE"""),FALSE)</f>
        <v>0</v>
      </c>
      <c r="N367" s="32"/>
    </row>
    <row r="368">
      <c r="A368" s="32" t="str">
        <f>IFERROR(__xludf.DUMMYFUNCTION("""COMPUTED_VALUE"""),"Guard")</f>
        <v>Guard</v>
      </c>
      <c r="B368" s="34">
        <f>IFERROR(__xludf.DUMMYFUNCTION("""COMPUTED_VALUE"""),1.0)</f>
        <v>1</v>
      </c>
      <c r="C368" s="32">
        <f>IFERROR(__xludf.DUMMYFUNCTION("""COMPUTED_VALUE"""),0.0)</f>
        <v>0</v>
      </c>
      <c r="D368" s="32"/>
      <c r="E368" s="32" t="str">
        <f>IFERROR(__xludf.DUMMYFUNCTION("""COMPUTED_VALUE"""),"X2 defense for the user only.")</f>
        <v>X2 defense for the user only.</v>
      </c>
      <c r="F368" s="32" t="str">
        <f>IFERROR(__xludf.DUMMYFUNCTION("""COMPUTED_VALUE"""),"Natural/Fail or Succeed")</f>
        <v>Natural/Fail or Succeed</v>
      </c>
      <c r="G368" s="32" t="str">
        <f>IFERROR(__xludf.DUMMYFUNCTION("""COMPUTED_VALUE"""),"Self")</f>
        <v>Self</v>
      </c>
      <c r="H368" s="32" t="str">
        <f>IFERROR(__xludf.DUMMYFUNCTION("""COMPUTED_VALUE"""),"Physical")</f>
        <v>Physical</v>
      </c>
      <c r="I368" s="32" t="str">
        <f>IFERROR(__xludf.DUMMYFUNCTION("""COMPUTED_VALUE"""),"Player")</f>
        <v>Player</v>
      </c>
      <c r="J368" s="32" t="b">
        <f>IFERROR(__xludf.DUMMYFUNCTION("""COMPUTED_VALUE"""),FALSE)</f>
        <v>0</v>
      </c>
      <c r="K368" s="32"/>
      <c r="L368" s="32" t="b">
        <f>IFERROR(__xludf.DUMMYFUNCTION("""COMPUTED_VALUE"""),FALSE)</f>
        <v>0</v>
      </c>
      <c r="M368" s="32" t="b">
        <f>IFERROR(__xludf.DUMMYFUNCTION("""COMPUTED_VALUE"""),FALSE)</f>
        <v>0</v>
      </c>
      <c r="N368" s="32"/>
    </row>
    <row r="369">
      <c r="A369" s="32" t="str">
        <f>IFERROR(__xludf.DUMMYFUNCTION("""COMPUTED_VALUE"""),"Aggresive Tear")</f>
        <v>Aggresive Tear</v>
      </c>
      <c r="B369" s="34">
        <f>IFERROR(__xludf.DUMMYFUNCTION("""COMPUTED_VALUE"""),1.0)</f>
        <v>1</v>
      </c>
      <c r="C369" s="32">
        <f>IFERROR(__xludf.DUMMYFUNCTION("""COMPUTED_VALUE"""),0.0)</f>
        <v>0</v>
      </c>
      <c r="D369" s="32"/>
      <c r="E369" s="32" t="str">
        <f>IFERROR(__xludf.DUMMYFUNCTION("""COMPUTED_VALUE"""),"15% chance to lower a targets defense by half")</f>
        <v>15% chance to lower a targets defense by half</v>
      </c>
      <c r="F369" s="32" t="str">
        <f>IFERROR(__xludf.DUMMYFUNCTION("""COMPUTED_VALUE"""),"Natural/Fail or Succeed")</f>
        <v>Natural/Fail or Succeed</v>
      </c>
      <c r="G369" s="32">
        <f>IFERROR(__xludf.DUMMYFUNCTION("""COMPUTED_VALUE"""),1.0)</f>
        <v>1</v>
      </c>
      <c r="H369" s="32" t="str">
        <f>IFERROR(__xludf.DUMMYFUNCTION("""COMPUTED_VALUE"""),"Physical")</f>
        <v>Physical</v>
      </c>
      <c r="I369" s="32" t="str">
        <f>IFERROR(__xludf.DUMMYFUNCTION("""COMPUTED_VALUE"""),"Player")</f>
        <v>Player</v>
      </c>
      <c r="J369" s="32" t="b">
        <f>IFERROR(__xludf.DUMMYFUNCTION("""COMPUTED_VALUE"""),TRUE)</f>
        <v>1</v>
      </c>
      <c r="K369" s="32" t="str">
        <f>IFERROR(__xludf.DUMMYFUNCTION("""COMPUTED_VALUE"""),"mob power")</f>
        <v>mob power</v>
      </c>
      <c r="L369" s="32" t="b">
        <f>IFERROR(__xludf.DUMMYFUNCTION("""COMPUTED_VALUE"""),FALSE)</f>
        <v>0</v>
      </c>
      <c r="M369" s="32" t="b">
        <f>IFERROR(__xludf.DUMMYFUNCTION("""COMPUTED_VALUE"""),FALSE)</f>
        <v>0</v>
      </c>
      <c r="N369" s="32"/>
    </row>
    <row r="370">
      <c r="A370" s="32" t="str">
        <f>IFERROR(__xludf.DUMMYFUNCTION("""COMPUTED_VALUE"""),"Taunt (Mob)")</f>
        <v>Taunt (Mob)</v>
      </c>
      <c r="B370" s="34">
        <f>IFERROR(__xludf.DUMMYFUNCTION("""COMPUTED_VALUE"""),1.0)</f>
        <v>1</v>
      </c>
      <c r="C370" s="32">
        <f>IFERROR(__xludf.DUMMYFUNCTION("""COMPUTED_VALUE"""),0.0)</f>
        <v>0</v>
      </c>
      <c r="D370" s="32"/>
      <c r="E370" s="32"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32" t="str">
        <f>IFERROR(__xludf.DUMMYFUNCTION("""COMPUTED_VALUE"""),"Natural/Fail or Succeed")</f>
        <v>Natural/Fail or Succeed</v>
      </c>
      <c r="G370" s="32" t="str">
        <f>IFERROR(__xludf.DUMMYFUNCTION("""COMPUTED_VALUE"""),"All")</f>
        <v>All</v>
      </c>
      <c r="H370" s="32" t="str">
        <f>IFERROR(__xludf.DUMMYFUNCTION("""COMPUTED_VALUE"""),"Physical")</f>
        <v>Physical</v>
      </c>
      <c r="I370" s="32" t="str">
        <f>IFERROR(__xludf.DUMMYFUNCTION("""COMPUTED_VALUE"""),"Mob")</f>
        <v>Mob</v>
      </c>
      <c r="J370" s="32" t="b">
        <f>IFERROR(__xludf.DUMMYFUNCTION("""COMPUTED_VALUE"""),TRUE)</f>
        <v>1</v>
      </c>
      <c r="K370" s="32"/>
      <c r="L370" s="32" t="b">
        <f>IFERROR(__xludf.DUMMYFUNCTION("""COMPUTED_VALUE"""),FALSE)</f>
        <v>0</v>
      </c>
      <c r="M370" s="32" t="b">
        <f>IFERROR(__xludf.DUMMYFUNCTION("""COMPUTED_VALUE"""),FALSE)</f>
        <v>0</v>
      </c>
      <c r="N370" s="32"/>
    </row>
    <row r="371">
      <c r="A371" s="32" t="str">
        <f>IFERROR(__xludf.DUMMYFUNCTION("""COMPUTED_VALUE"""),"Distracting Blow")</f>
        <v>Distracting Blow</v>
      </c>
      <c r="B371" s="34">
        <f>IFERROR(__xludf.DUMMYFUNCTION("""COMPUTED_VALUE"""),1.0)</f>
        <v>1</v>
      </c>
      <c r="C371" s="32">
        <f>IFERROR(__xludf.DUMMYFUNCTION("""COMPUTED_VALUE"""),0.0)</f>
        <v>0</v>
      </c>
      <c r="D371" s="32"/>
      <c r="E371" s="32"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32" t="str">
        <f>IFERROR(__xludf.DUMMYFUNCTION("""COMPUTED_VALUE"""),"Natural/Hit or Miss")</f>
        <v>Natural/Hit or Miss</v>
      </c>
      <c r="G371" s="32">
        <f>IFERROR(__xludf.DUMMYFUNCTION("""COMPUTED_VALUE"""),1.0)</f>
        <v>1</v>
      </c>
      <c r="H371" s="32" t="str">
        <f>IFERROR(__xludf.DUMMYFUNCTION("""COMPUTED_VALUE"""),"Physical")</f>
        <v>Physical</v>
      </c>
      <c r="I371" s="32" t="str">
        <f>IFERROR(__xludf.DUMMYFUNCTION("""COMPUTED_VALUE"""),"Mob")</f>
        <v>Mob</v>
      </c>
      <c r="J371" s="32" t="b">
        <f>IFERROR(__xludf.DUMMYFUNCTION("""COMPUTED_VALUE"""),TRUE)</f>
        <v>1</v>
      </c>
      <c r="K371" s="32" t="str">
        <f>IFERROR(__xludf.DUMMYFUNCTION("""COMPUTED_VALUE"""),"mob power")</f>
        <v>mob power</v>
      </c>
      <c r="L371" s="32" t="b">
        <f>IFERROR(__xludf.DUMMYFUNCTION("""COMPUTED_VALUE"""),TRUE)</f>
        <v>1</v>
      </c>
      <c r="M371" s="32" t="b">
        <f>IFERROR(__xludf.DUMMYFUNCTION("""COMPUTED_VALUE"""),TRUE)</f>
        <v>1</v>
      </c>
      <c r="N371" s="32"/>
    </row>
    <row r="372">
      <c r="A372" s="32" t="str">
        <f>IFERROR(__xludf.DUMMYFUNCTION("""COMPUTED_VALUE"""),"Gore")</f>
        <v>Gore</v>
      </c>
      <c r="B372" s="34">
        <f>IFERROR(__xludf.DUMMYFUNCTION("""COMPUTED_VALUE"""),1.0)</f>
        <v>1</v>
      </c>
      <c r="C372" s="32">
        <f>IFERROR(__xludf.DUMMYFUNCTION("""COMPUTED_VALUE"""),0.0)</f>
        <v>0</v>
      </c>
      <c r="D372" s="32"/>
      <c r="E372" s="32" t="str">
        <f>IFERROR(__xludf.DUMMYFUNCTION("""COMPUTED_VALUE"""),"Deal X4 your attack bonus as damage to each enemy, 25% chance to use this action again in the same turn.")</f>
        <v>Deal X4 your attack bonus as damage to each enemy, 25% chance to use this action again in the same turn.</v>
      </c>
      <c r="F372" s="32" t="str">
        <f>IFERROR(__xludf.DUMMYFUNCTION("""COMPUTED_VALUE"""),"Natural/Cannot Avoid")</f>
        <v>Natural/Cannot Avoid</v>
      </c>
      <c r="G372" s="32" t="str">
        <f>IFERROR(__xludf.DUMMYFUNCTION("""COMPUTED_VALUE"""),"All")</f>
        <v>All</v>
      </c>
      <c r="H372" s="32" t="str">
        <f>IFERROR(__xludf.DUMMYFUNCTION("""COMPUTED_VALUE"""),"Physical")</f>
        <v>Physical</v>
      </c>
      <c r="I372" s="32" t="str">
        <f>IFERROR(__xludf.DUMMYFUNCTION("""COMPUTED_VALUE"""),"Mob")</f>
        <v>Mob</v>
      </c>
      <c r="J372" s="32" t="b">
        <f>IFERROR(__xludf.DUMMYFUNCTION("""COMPUTED_VALUE"""),TRUE)</f>
        <v>1</v>
      </c>
      <c r="K372" s="32" t="str">
        <f>IFERROR(__xludf.DUMMYFUNCTION("""COMPUTED_VALUE"""),"mob power")</f>
        <v>mob power</v>
      </c>
      <c r="L372" s="32" t="b">
        <f>IFERROR(__xludf.DUMMYFUNCTION("""COMPUTED_VALUE"""),FALSE)</f>
        <v>0</v>
      </c>
      <c r="M372" s="32" t="b">
        <f>IFERROR(__xludf.DUMMYFUNCTION("""COMPUTED_VALUE"""),FALSE)</f>
        <v>0</v>
      </c>
      <c r="N372" s="32"/>
    </row>
    <row r="373">
      <c r="A373" s="32" t="str">
        <f>IFERROR(__xludf.DUMMYFUNCTION("""COMPUTED_VALUE"""),"Parry")</f>
        <v>Parry</v>
      </c>
      <c r="B373" s="34">
        <f>IFERROR(__xludf.DUMMYFUNCTION("""COMPUTED_VALUE"""),1.0)</f>
        <v>1</v>
      </c>
      <c r="C373" s="32">
        <f>IFERROR(__xludf.DUMMYFUNCTION("""COMPUTED_VALUE"""),0.0)</f>
        <v>0</v>
      </c>
      <c r="D373" s="32"/>
      <c r="E373" s="32" t="str">
        <f>IFERROR(__xludf.DUMMYFUNCTION("""COMPUTED_VALUE"""),"(requires a weapon be equipped) parry the next weapon attack as per the handbook ability: Parry")</f>
        <v>(requires a weapon be equipped) parry the next weapon attack as per the handbook ability: Parry</v>
      </c>
      <c r="F373" s="32" t="str">
        <f>IFERROR(__xludf.DUMMYFUNCTION("""COMPUTED_VALUE"""),"Natural/Fail or Succeed")</f>
        <v>Natural/Fail or Succeed</v>
      </c>
      <c r="G373" s="32" t="str">
        <f>IFERROR(__xludf.DUMMYFUNCTION("""COMPUTED_VALUE"""),"Self")</f>
        <v>Self</v>
      </c>
      <c r="H373" s="32" t="str">
        <f>IFERROR(__xludf.DUMMYFUNCTION("""COMPUTED_VALUE"""),"Physical")</f>
        <v>Physical</v>
      </c>
      <c r="I373" s="32" t="str">
        <f>IFERROR(__xludf.DUMMYFUNCTION("""COMPUTED_VALUE"""),"Player")</f>
        <v>Player</v>
      </c>
      <c r="J373" s="32" t="b">
        <f>IFERROR(__xludf.DUMMYFUNCTION("""COMPUTED_VALUE"""),FALSE)</f>
        <v>0</v>
      </c>
      <c r="K373" s="32"/>
      <c r="L373" s="32" t="b">
        <f>IFERROR(__xludf.DUMMYFUNCTION("""COMPUTED_VALUE"""),FALSE)</f>
        <v>0</v>
      </c>
      <c r="M373" s="32" t="b">
        <f>IFERROR(__xludf.DUMMYFUNCTION("""COMPUTED_VALUE"""),FALSE)</f>
        <v>0</v>
      </c>
      <c r="N373" s="32"/>
    </row>
    <row r="374">
      <c r="A374" s="32" t="str">
        <f>IFERROR(__xludf.DUMMYFUNCTION("""COMPUTED_VALUE"""),"Dive Bomb")</f>
        <v>Dive Bomb</v>
      </c>
      <c r="B374" s="34">
        <f>IFERROR(__xludf.DUMMYFUNCTION("""COMPUTED_VALUE"""),9.0)</f>
        <v>9</v>
      </c>
      <c r="C374" s="32"/>
      <c r="D374" s="32" t="str">
        <f>IFERROR(__xludf.DUMMYFUNCTION("""COMPUTED_VALUE"""),"X")</f>
        <v>X</v>
      </c>
      <c r="E374" s="32"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32" t="str">
        <f>IFERROR(__xludf.DUMMYFUNCTION("""COMPUTED_VALUE"""),"Cannot Avoid")</f>
        <v>Cannot Avoid</v>
      </c>
      <c r="G374" s="32" t="str">
        <f>IFERROR(__xludf.DUMMYFUNCTION("""COMPUTED_VALUE"""),"All")</f>
        <v>All</v>
      </c>
      <c r="H374" s="32" t="str">
        <f>IFERROR(__xludf.DUMMYFUNCTION("""COMPUTED_VALUE"""),"Physical")</f>
        <v>Physical</v>
      </c>
      <c r="I374" s="32" t="str">
        <f>IFERROR(__xludf.DUMMYFUNCTION("""COMPUTED_VALUE"""),"Mob")</f>
        <v>Mob</v>
      </c>
      <c r="J374" s="32" t="b">
        <f>IFERROR(__xludf.DUMMYFUNCTION("""COMPUTED_VALUE"""),TRUE)</f>
        <v>1</v>
      </c>
      <c r="K374" s="32" t="str">
        <f>IFERROR(__xludf.DUMMYFUNCTION("""COMPUTED_VALUE"""),"mob power")</f>
        <v>mob power</v>
      </c>
      <c r="L374" s="32" t="b">
        <f>IFERROR(__xludf.DUMMYFUNCTION("""COMPUTED_VALUE"""),FALSE)</f>
        <v>0</v>
      </c>
      <c r="M374" s="32" t="b">
        <f>IFERROR(__xludf.DUMMYFUNCTION("""COMPUTED_VALUE"""),FALSE)</f>
        <v>0</v>
      </c>
      <c r="N374" s="32"/>
    </row>
    <row r="375">
      <c r="A375" s="32" t="str">
        <f>IFERROR(__xludf.DUMMYFUNCTION("""COMPUTED_VALUE"""),"Taunt")</f>
        <v>Taunt</v>
      </c>
      <c r="B375" s="34">
        <f>IFERROR(__xludf.DUMMYFUNCTION("""COMPUTED_VALUE"""),1.0)</f>
        <v>1</v>
      </c>
      <c r="C375" s="32">
        <f>IFERROR(__xludf.DUMMYFUNCTION("""COMPUTED_VALUE"""),0.0)</f>
        <v>0</v>
      </c>
      <c r="D375" s="32"/>
      <c r="E375" s="32"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32" t="str">
        <f>IFERROR(__xludf.DUMMYFUNCTION("""COMPUTED_VALUE"""),"Natural/Fail or succeed")</f>
        <v>Natural/Fail or succeed</v>
      </c>
      <c r="G375" s="32">
        <f>IFERROR(__xludf.DUMMYFUNCTION("""COMPUTED_VALUE"""),1.0)</f>
        <v>1</v>
      </c>
      <c r="H375" s="32" t="str">
        <f>IFERROR(__xludf.DUMMYFUNCTION("""COMPUTED_VALUE"""),"Physical")</f>
        <v>Physical</v>
      </c>
      <c r="I375" s="32" t="str">
        <f>IFERROR(__xludf.DUMMYFUNCTION("""COMPUTED_VALUE"""),"Player")</f>
        <v>Player</v>
      </c>
      <c r="J375" s="32" t="b">
        <f>IFERROR(__xludf.DUMMYFUNCTION("""COMPUTED_VALUE"""),FALSE)</f>
        <v>0</v>
      </c>
      <c r="K375" s="32"/>
      <c r="L375" s="32" t="b">
        <f>IFERROR(__xludf.DUMMYFUNCTION("""COMPUTED_VALUE"""),FALSE)</f>
        <v>0</v>
      </c>
      <c r="M375" s="32" t="b">
        <f>IFERROR(__xludf.DUMMYFUNCTION("""COMPUTED_VALUE"""),FALSE)</f>
        <v>0</v>
      </c>
      <c r="N375" s="32"/>
    </row>
    <row r="376">
      <c r="A376" s="32" t="str">
        <f>IFERROR(__xludf.DUMMYFUNCTION("""COMPUTED_VALUE"""),"Lasso")</f>
        <v>Lasso</v>
      </c>
      <c r="B376" s="34">
        <f>IFERROR(__xludf.DUMMYFUNCTION("""COMPUTED_VALUE"""),1.0)</f>
        <v>1</v>
      </c>
      <c r="C376" s="32">
        <f>IFERROR(__xludf.DUMMYFUNCTION("""COMPUTED_VALUE"""),0.0)</f>
        <v>0</v>
      </c>
      <c r="D376" s="32"/>
      <c r="E376" s="32"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32" t="str">
        <f>IFERROR(__xludf.DUMMYFUNCTION("""COMPUTED_VALUE"""),"Natural/Hit or Miss")</f>
        <v>Natural/Hit or Miss</v>
      </c>
      <c r="G376" s="32">
        <f>IFERROR(__xludf.DUMMYFUNCTION("""COMPUTED_VALUE"""),1.0)</f>
        <v>1</v>
      </c>
      <c r="H376" s="32" t="str">
        <f>IFERROR(__xludf.DUMMYFUNCTION("""COMPUTED_VALUE"""),"Physical")</f>
        <v>Physical</v>
      </c>
      <c r="I376" s="32" t="str">
        <f>IFERROR(__xludf.DUMMYFUNCTION("""COMPUTED_VALUE"""),"Player")</f>
        <v>Player</v>
      </c>
      <c r="J376" s="32" t="b">
        <f>IFERROR(__xludf.DUMMYFUNCTION("""COMPUTED_VALUE"""),TRUE)</f>
        <v>1</v>
      </c>
      <c r="K376" s="32" t="str">
        <f>IFERROR(__xludf.DUMMYFUNCTION("""COMPUTED_VALUE"""),"mob and class exclusive.")</f>
        <v>mob and class exclusive.</v>
      </c>
      <c r="L376" s="32" t="b">
        <f>IFERROR(__xludf.DUMMYFUNCTION("""COMPUTED_VALUE"""),TRUE)</f>
        <v>1</v>
      </c>
      <c r="M376" s="32" t="b">
        <f>IFERROR(__xludf.DUMMYFUNCTION("""COMPUTED_VALUE"""),FALSE)</f>
        <v>0</v>
      </c>
      <c r="N376" s="32"/>
    </row>
    <row r="377">
      <c r="A377" s="32" t="str">
        <f>IFERROR(__xludf.DUMMYFUNCTION("""COMPUTED_VALUE"""),"Captivating Wobble")</f>
        <v>Captivating Wobble</v>
      </c>
      <c r="B377" s="34">
        <f>IFERROR(__xludf.DUMMYFUNCTION("""COMPUTED_VALUE"""),9.0)</f>
        <v>9</v>
      </c>
      <c r="C377" s="33">
        <f>IFERROR(__xludf.DUMMYFUNCTION("""COMPUTED_VALUE"""),50000.0)</f>
        <v>50000</v>
      </c>
      <c r="D377" s="32"/>
      <c r="E377" s="32" t="str">
        <f>IFERROR(__xludf.DUMMYFUNCTION("""COMPUTED_VALUE"""),"Stun all enemies for three rounds.")</f>
        <v>Stun all enemies for three rounds.</v>
      </c>
      <c r="F377" s="32" t="str">
        <f>IFERROR(__xludf.DUMMYFUNCTION("""COMPUTED_VALUE"""),"Fail/Succeed")</f>
        <v>Fail/Succeed</v>
      </c>
      <c r="G377" s="32" t="str">
        <f>IFERROR(__xludf.DUMMYFUNCTION("""COMPUTED_VALUE"""),"All")</f>
        <v>All</v>
      </c>
      <c r="H377" s="32" t="str">
        <f>IFERROR(__xludf.DUMMYFUNCTION("""COMPUTED_VALUE"""),"Physical")</f>
        <v>Physical</v>
      </c>
      <c r="I377" s="32" t="str">
        <f>IFERROR(__xludf.DUMMYFUNCTION("""COMPUTED_VALUE"""),"Mob")</f>
        <v>Mob</v>
      </c>
      <c r="J377" s="32" t="b">
        <f>IFERROR(__xludf.DUMMYFUNCTION("""COMPUTED_VALUE"""),TRUE)</f>
        <v>1</v>
      </c>
      <c r="K377" s="32" t="str">
        <f>IFERROR(__xludf.DUMMYFUNCTION("""COMPUTED_VALUE"""),"Event ")</f>
        <v>Event </v>
      </c>
      <c r="L377" s="32" t="b">
        <f>IFERROR(__xludf.DUMMYFUNCTION("""COMPUTED_VALUE"""),FALSE)</f>
        <v>0</v>
      </c>
      <c r="M377" s="32" t="b">
        <f>IFERROR(__xludf.DUMMYFUNCTION("""COMPUTED_VALUE"""),FALSE)</f>
        <v>0</v>
      </c>
      <c r="N377" s="32" t="str">
        <f>IFERROR(__xludf.DUMMYFUNCTION("""COMPUTED_VALUE"""),"Event Hub")</f>
        <v>Event Hub</v>
      </c>
    </row>
    <row r="378">
      <c r="A378" s="32" t="str">
        <f>IFERROR(__xludf.DUMMYFUNCTION("""COMPUTED_VALUE"""),"Grash's Smashing Success")</f>
        <v>Grash's Smashing Success</v>
      </c>
      <c r="B378" s="34">
        <f>IFERROR(__xludf.DUMMYFUNCTION("""COMPUTED_VALUE"""),1.0)</f>
        <v>1</v>
      </c>
      <c r="C378" s="32">
        <f>IFERROR(__xludf.DUMMYFUNCTION("""COMPUTED_VALUE"""),0.0)</f>
        <v>0</v>
      </c>
      <c r="D378" s="32"/>
      <c r="E378" s="32" t="str">
        <f>IFERROR(__xludf.DUMMYFUNCTION("""COMPUTED_VALUE"""),"Slam your weapon into the Ground disarming you and all opponents for 3 rounds.")</f>
        <v>Slam your weapon into the Ground disarming you and all opponents for 3 rounds.</v>
      </c>
      <c r="F378" s="32" t="str">
        <f>IFERROR(__xludf.DUMMYFUNCTION("""COMPUTED_VALUE"""),"Natural/Fail or Succeed")</f>
        <v>Natural/Fail or Succeed</v>
      </c>
      <c r="G378" s="32" t="str">
        <f>IFERROR(__xludf.DUMMYFUNCTION("""COMPUTED_VALUE"""),"All")</f>
        <v>All</v>
      </c>
      <c r="H378" s="32" t="str">
        <f>IFERROR(__xludf.DUMMYFUNCTION("""COMPUTED_VALUE"""),"Physical")</f>
        <v>Physical</v>
      </c>
      <c r="I378" s="32" t="str">
        <f>IFERROR(__xludf.DUMMYFUNCTION("""COMPUTED_VALUE"""),"Mob")</f>
        <v>Mob</v>
      </c>
      <c r="J378" s="32" t="b">
        <f>IFERROR(__xludf.DUMMYFUNCTION("""COMPUTED_VALUE"""),TRUE)</f>
        <v>1</v>
      </c>
      <c r="K378" s="32"/>
      <c r="L378" s="32" t="b">
        <f>IFERROR(__xludf.DUMMYFUNCTION("""COMPUTED_VALUE"""),FALSE)</f>
        <v>0</v>
      </c>
      <c r="M378" s="32" t="b">
        <f>IFERROR(__xludf.DUMMYFUNCTION("""COMPUTED_VALUE"""),FALSE)</f>
        <v>0</v>
      </c>
      <c r="N378" s="32"/>
    </row>
    <row r="379">
      <c r="A379" s="32" t="str">
        <f>IFERROR(__xludf.DUMMYFUNCTION("""COMPUTED_VALUE"""),"Greater Dragon's Breath")</f>
        <v>Greater Dragon's Breath</v>
      </c>
      <c r="B379" s="34">
        <f>IFERROR(__xludf.DUMMYFUNCTION("""COMPUTED_VALUE"""),9.0)</f>
        <v>9</v>
      </c>
      <c r="C379" s="32">
        <f>IFERROR(__xludf.DUMMYFUNCTION("""COMPUTED_VALUE"""),0.0)</f>
        <v>0</v>
      </c>
      <c r="D379" s="32"/>
      <c r="E379" s="32"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32" t="str">
        <f>IFERROR(__xludf.DUMMYFUNCTION("""COMPUTED_VALUE"""),"Natural/Cannot Avoid")</f>
        <v>Natural/Cannot Avoid</v>
      </c>
      <c r="G379" s="32" t="str">
        <f>IFERROR(__xludf.DUMMYFUNCTION("""COMPUTED_VALUE"""),"All")</f>
        <v>All</v>
      </c>
      <c r="H379" s="32" t="str">
        <f>IFERROR(__xludf.DUMMYFUNCTION("""COMPUTED_VALUE"""),"Physical")</f>
        <v>Physical</v>
      </c>
      <c r="I379" s="32" t="str">
        <f>IFERROR(__xludf.DUMMYFUNCTION("""COMPUTED_VALUE"""),"Mob")</f>
        <v>Mob</v>
      </c>
      <c r="J379" s="32" t="b">
        <f>IFERROR(__xludf.DUMMYFUNCTION("""COMPUTED_VALUE"""),TRUE)</f>
        <v>1</v>
      </c>
      <c r="K379" s="32"/>
      <c r="L379" s="32" t="b">
        <f>IFERROR(__xludf.DUMMYFUNCTION("""COMPUTED_VALUE"""),FALSE)</f>
        <v>0</v>
      </c>
      <c r="M379" s="32" t="b">
        <f>IFERROR(__xludf.DUMMYFUNCTION("""COMPUTED_VALUE"""),FALSE)</f>
        <v>0</v>
      </c>
      <c r="N379" s="32"/>
    </row>
    <row r="380">
      <c r="A380" s="32" t="str">
        <f>IFERROR(__xludf.DUMMYFUNCTION("""COMPUTED_VALUE"""),"Divine Dragon's Breath")</f>
        <v>Divine Dragon's Breath</v>
      </c>
      <c r="B380" s="34">
        <f>IFERROR(__xludf.DUMMYFUNCTION("""COMPUTED_VALUE"""),9.0)</f>
        <v>9</v>
      </c>
      <c r="C380" s="32">
        <f>IFERROR(__xludf.DUMMYFUNCTION("""COMPUTED_VALUE"""),0.0)</f>
        <v>0</v>
      </c>
      <c r="D380" s="32"/>
      <c r="E380" s="32"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32" t="str">
        <f>IFERROR(__xludf.DUMMYFUNCTION("""COMPUTED_VALUE"""),"Natural/Cannot Avoid")</f>
        <v>Natural/Cannot Avoid</v>
      </c>
      <c r="G380" s="32" t="str">
        <f>IFERROR(__xludf.DUMMYFUNCTION("""COMPUTED_VALUE"""),"All")</f>
        <v>All</v>
      </c>
      <c r="H380" s="32" t="str">
        <f>IFERROR(__xludf.DUMMYFUNCTION("""COMPUTED_VALUE"""),"Physical")</f>
        <v>Physical</v>
      </c>
      <c r="I380" s="32" t="str">
        <f>IFERROR(__xludf.DUMMYFUNCTION("""COMPUTED_VALUE"""),"Mob")</f>
        <v>Mob</v>
      </c>
      <c r="J380" s="32" t="b">
        <f>IFERROR(__xludf.DUMMYFUNCTION("""COMPUTED_VALUE"""),TRUE)</f>
        <v>1</v>
      </c>
      <c r="K380" s="32"/>
      <c r="L380" s="32" t="b">
        <f>IFERROR(__xludf.DUMMYFUNCTION("""COMPUTED_VALUE"""),FALSE)</f>
        <v>0</v>
      </c>
      <c r="M380" s="32" t="b">
        <f>IFERROR(__xludf.DUMMYFUNCTION("""COMPUTED_VALUE"""),FALSE)</f>
        <v>0</v>
      </c>
      <c r="N380" s="32"/>
    </row>
    <row r="381">
      <c r="A381" s="32" t="str">
        <f>IFERROR(__xludf.DUMMYFUNCTION("""COMPUTED_VALUE"""),"Trample")</f>
        <v>Trample</v>
      </c>
      <c r="B381" s="34">
        <f>IFERROR(__xludf.DUMMYFUNCTION("""COMPUTED_VALUE"""),1.0)</f>
        <v>1</v>
      </c>
      <c r="C381" s="32">
        <f>IFERROR(__xludf.DUMMYFUNCTION("""COMPUTED_VALUE"""),0.0)</f>
        <v>0</v>
      </c>
      <c r="D381" s="32"/>
      <c r="E381" s="32" t="str">
        <f>IFERROR(__xludf.DUMMYFUNCTION("""COMPUTED_VALUE"""),"Deal damage equal to your attack.")</f>
        <v>Deal damage equal to your attack.</v>
      </c>
      <c r="F381" s="32" t="str">
        <f>IFERROR(__xludf.DUMMYFUNCTION("""COMPUTED_VALUE"""),"Natural/Hit or Miss")</f>
        <v>Natural/Hit or Miss</v>
      </c>
      <c r="G381" s="32">
        <f>IFERROR(__xludf.DUMMYFUNCTION("""COMPUTED_VALUE"""),1.0)</f>
        <v>1</v>
      </c>
      <c r="H381" s="32" t="str">
        <f>IFERROR(__xludf.DUMMYFUNCTION("""COMPUTED_VALUE"""),"Physical")</f>
        <v>Physical</v>
      </c>
      <c r="I381" s="32" t="str">
        <f>IFERROR(__xludf.DUMMYFUNCTION("""COMPUTED_VALUE"""),"Mob")</f>
        <v>Mob</v>
      </c>
      <c r="J381" s="32" t="b">
        <f>IFERROR(__xludf.DUMMYFUNCTION("""COMPUTED_VALUE"""),TRUE)</f>
        <v>1</v>
      </c>
      <c r="K381" s="32"/>
      <c r="L381" s="32" t="b">
        <f>IFERROR(__xludf.DUMMYFUNCTION("""COMPUTED_VALUE"""),FALSE)</f>
        <v>0</v>
      </c>
      <c r="M381" s="32" t="b">
        <f>IFERROR(__xludf.DUMMYFUNCTION("""COMPUTED_VALUE"""),FALSE)</f>
        <v>0</v>
      </c>
      <c r="N381" s="32"/>
    </row>
    <row r="382">
      <c r="A382" s="32" t="str">
        <f>IFERROR(__xludf.DUMMYFUNCTION("""COMPUTED_VALUE"""),"Antler Stab")</f>
        <v>Antler Stab</v>
      </c>
      <c r="B382" s="34">
        <f>IFERROR(__xludf.DUMMYFUNCTION("""COMPUTED_VALUE"""),1.0)</f>
        <v>1</v>
      </c>
      <c r="C382" s="32">
        <f>IFERROR(__xludf.DUMMYFUNCTION("""COMPUTED_VALUE"""),0.0)</f>
        <v>0</v>
      </c>
      <c r="D382" s="32"/>
      <c r="E382" s="32" t="str">
        <f>IFERROR(__xludf.DUMMYFUNCTION("""COMPUTED_VALUE"""),"Deal damage equal to your attack.")</f>
        <v>Deal damage equal to your attack.</v>
      </c>
      <c r="F382" s="32" t="str">
        <f>IFERROR(__xludf.DUMMYFUNCTION("""COMPUTED_VALUE"""),"Natural/Hit or Miss")</f>
        <v>Natural/Hit or Miss</v>
      </c>
      <c r="G382" s="32">
        <f>IFERROR(__xludf.DUMMYFUNCTION("""COMPUTED_VALUE"""),1.0)</f>
        <v>1</v>
      </c>
      <c r="H382" s="32" t="str">
        <f>IFERROR(__xludf.DUMMYFUNCTION("""COMPUTED_VALUE"""),"Physical")</f>
        <v>Physical</v>
      </c>
      <c r="I382" s="32" t="str">
        <f>IFERROR(__xludf.DUMMYFUNCTION("""COMPUTED_VALUE"""),"Mob")</f>
        <v>Mob</v>
      </c>
      <c r="J382" s="32" t="b">
        <f>IFERROR(__xludf.DUMMYFUNCTION("""COMPUTED_VALUE"""),TRUE)</f>
        <v>1</v>
      </c>
      <c r="K382" s="32"/>
      <c r="L382" s="32" t="b">
        <f>IFERROR(__xludf.DUMMYFUNCTION("""COMPUTED_VALUE"""),FALSE)</f>
        <v>0</v>
      </c>
      <c r="M382" s="32" t="b">
        <f>IFERROR(__xludf.DUMMYFUNCTION("""COMPUTED_VALUE"""),FALSE)</f>
        <v>0</v>
      </c>
      <c r="N382" s="32"/>
    </row>
    <row r="383">
      <c r="A383" s="32" t="str">
        <f>IFERROR(__xludf.DUMMYFUNCTION("""COMPUTED_VALUE"""),"Acidic Claws")</f>
        <v>Acidic Claws</v>
      </c>
      <c r="B383" s="34">
        <f>IFERROR(__xludf.DUMMYFUNCTION("""COMPUTED_VALUE"""),1.0)</f>
        <v>1</v>
      </c>
      <c r="C383" s="32">
        <f>IFERROR(__xludf.DUMMYFUNCTION("""COMPUTED_VALUE"""),0.0)</f>
        <v>0</v>
      </c>
      <c r="D383" s="32"/>
      <c r="E383" s="32" t="str">
        <f>IFERROR(__xludf.DUMMYFUNCTION("""COMPUTED_VALUE"""),"Poison X and Bleed X per round to 1 target, where X is equal to your attack.")</f>
        <v>Poison X and Bleed X per round to 1 target, where X is equal to your attack.</v>
      </c>
      <c r="F383" s="32" t="str">
        <f>IFERROR(__xludf.DUMMYFUNCTION("""COMPUTED_VALUE"""),"Natural/Hit or Miss")</f>
        <v>Natural/Hit or Miss</v>
      </c>
      <c r="G383" s="32">
        <f>IFERROR(__xludf.DUMMYFUNCTION("""COMPUTED_VALUE"""),1.0)</f>
        <v>1</v>
      </c>
      <c r="H383" s="32" t="str">
        <f>IFERROR(__xludf.DUMMYFUNCTION("""COMPUTED_VALUE"""),"Physical")</f>
        <v>Physical</v>
      </c>
      <c r="I383" s="32" t="str">
        <f>IFERROR(__xludf.DUMMYFUNCTION("""COMPUTED_VALUE"""),"Mob")</f>
        <v>Mob</v>
      </c>
      <c r="J383" s="32" t="b">
        <f>IFERROR(__xludf.DUMMYFUNCTION("""COMPUTED_VALUE"""),TRUE)</f>
        <v>1</v>
      </c>
      <c r="K383" s="32"/>
      <c r="L383" s="32" t="b">
        <f>IFERROR(__xludf.DUMMYFUNCTION("""COMPUTED_VALUE"""),FALSE)</f>
        <v>0</v>
      </c>
      <c r="M383" s="32" t="b">
        <f>IFERROR(__xludf.DUMMYFUNCTION("""COMPUTED_VALUE"""),FALSE)</f>
        <v>0</v>
      </c>
      <c r="N383" s="32"/>
    </row>
    <row r="384">
      <c r="A384" s="32" t="str">
        <f>IFERROR(__xludf.DUMMYFUNCTION("""COMPUTED_VALUE"""),"Acidic Jaws")</f>
        <v>Acidic Jaws</v>
      </c>
      <c r="B384" s="34">
        <f>IFERROR(__xludf.DUMMYFUNCTION("""COMPUTED_VALUE"""),1.0)</f>
        <v>1</v>
      </c>
      <c r="C384" s="32">
        <f>IFERROR(__xludf.DUMMYFUNCTION("""COMPUTED_VALUE"""),0.0)</f>
        <v>0</v>
      </c>
      <c r="D384" s="32"/>
      <c r="E384" s="32" t="str">
        <f>IFERROR(__xludf.DUMMYFUNCTION("""COMPUTED_VALUE"""),"Poison X*2 per round to 1 target, where X is equal to your attack. 25% chance this action activates again.")</f>
        <v>Poison X*2 per round to 1 target, where X is equal to your attack. 25% chance this action activates again.</v>
      </c>
      <c r="F384" s="32" t="str">
        <f>IFERROR(__xludf.DUMMYFUNCTION("""COMPUTED_VALUE"""),"Natural/Hit or Miss")</f>
        <v>Natural/Hit or Miss</v>
      </c>
      <c r="G384" s="32">
        <f>IFERROR(__xludf.DUMMYFUNCTION("""COMPUTED_VALUE"""),1.0)</f>
        <v>1</v>
      </c>
      <c r="H384" s="32" t="str">
        <f>IFERROR(__xludf.DUMMYFUNCTION("""COMPUTED_VALUE"""),"Physical")</f>
        <v>Physical</v>
      </c>
      <c r="I384" s="32" t="str">
        <f>IFERROR(__xludf.DUMMYFUNCTION("""COMPUTED_VALUE"""),"Mob")</f>
        <v>Mob</v>
      </c>
      <c r="J384" s="32" t="b">
        <f>IFERROR(__xludf.DUMMYFUNCTION("""COMPUTED_VALUE"""),TRUE)</f>
        <v>1</v>
      </c>
      <c r="K384" s="32"/>
      <c r="L384" s="32" t="b">
        <f>IFERROR(__xludf.DUMMYFUNCTION("""COMPUTED_VALUE"""),FALSE)</f>
        <v>0</v>
      </c>
      <c r="M384" s="32" t="b">
        <f>IFERROR(__xludf.DUMMYFUNCTION("""COMPUTED_VALUE"""),FALSE)</f>
        <v>0</v>
      </c>
      <c r="N384" s="32"/>
    </row>
    <row r="385">
      <c r="A385" s="32" t="str">
        <f>IFERROR(__xludf.DUMMYFUNCTION("""COMPUTED_VALUE"""),"Camouflage")</f>
        <v>Camouflage</v>
      </c>
      <c r="B385" s="34">
        <f>IFERROR(__xludf.DUMMYFUNCTION("""COMPUTED_VALUE"""),1.0)</f>
        <v>1</v>
      </c>
      <c r="C385" s="32">
        <f>IFERROR(__xludf.DUMMYFUNCTION("""COMPUTED_VALUE"""),0.0)</f>
        <v>0</v>
      </c>
      <c r="D385" s="32"/>
      <c r="E385" s="32"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32" t="str">
        <f>IFERROR(__xludf.DUMMYFUNCTION("""COMPUTED_VALUE"""),"Natural/Fail or Succeed")</f>
        <v>Natural/Fail or Succeed</v>
      </c>
      <c r="G385" s="32" t="str">
        <f>IFERROR(__xludf.DUMMYFUNCTION("""COMPUTED_VALUE"""),"Self")</f>
        <v>Self</v>
      </c>
      <c r="H385" s="32" t="str">
        <f>IFERROR(__xludf.DUMMYFUNCTION("""COMPUTED_VALUE"""),"Physical")</f>
        <v>Physical</v>
      </c>
      <c r="I385" s="32" t="str">
        <f>IFERROR(__xludf.DUMMYFUNCTION("""COMPUTED_VALUE"""),"Mob")</f>
        <v>Mob</v>
      </c>
      <c r="J385" s="32" t="b">
        <f>IFERROR(__xludf.DUMMYFUNCTION("""COMPUTED_VALUE"""),TRUE)</f>
        <v>1</v>
      </c>
      <c r="K385" s="32"/>
      <c r="L385" s="32" t="b">
        <f>IFERROR(__xludf.DUMMYFUNCTION("""COMPUTED_VALUE"""),FALSE)</f>
        <v>0</v>
      </c>
      <c r="M385" s="32" t="b">
        <f>IFERROR(__xludf.DUMMYFUNCTION("""COMPUTED_VALUE"""),FALSE)</f>
        <v>0</v>
      </c>
      <c r="N385" s="32"/>
    </row>
    <row r="386">
      <c r="A386" s="32" t="str">
        <f>IFERROR(__xludf.DUMMYFUNCTION("""COMPUTED_VALUE"""),"[Element] Shot")</f>
        <v>[Element] Shot</v>
      </c>
      <c r="B386" s="34">
        <f>IFERROR(__xludf.DUMMYFUNCTION("""COMPUTED_VALUE"""),4.0)</f>
        <v>4</v>
      </c>
      <c r="C386" s="32">
        <f>IFERROR(__xludf.DUMMYFUNCTION("""COMPUTED_VALUE"""),40.0)</f>
        <v>40</v>
      </c>
      <c r="D386" s="32"/>
      <c r="E386" s="32"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32" t="str">
        <f>IFERROR(__xludf.DUMMYFUNCTION("""COMPUTED_VALUE"""),"Fail/succeed")</f>
        <v>Fail/succeed</v>
      </c>
      <c r="G386" s="32"/>
      <c r="H386" s="32" t="str">
        <f>IFERROR(__xludf.DUMMYFUNCTION("""COMPUTED_VALUE"""),"Ranged")</f>
        <v>Ranged</v>
      </c>
      <c r="I386" s="32" t="str">
        <f>IFERROR(__xludf.DUMMYFUNCTION("""COMPUTED_VALUE"""),"Player")</f>
        <v>Player</v>
      </c>
      <c r="J386" s="32" t="b">
        <f>IFERROR(__xludf.DUMMYFUNCTION("""COMPUTED_VALUE"""),FALSE)</f>
        <v>0</v>
      </c>
      <c r="K386" s="32"/>
      <c r="L386" s="32" t="b">
        <f>IFERROR(__xludf.DUMMYFUNCTION("""COMPUTED_VALUE"""),FALSE)</f>
        <v>0</v>
      </c>
      <c r="M386" s="32" t="b">
        <f>IFERROR(__xludf.DUMMYFUNCTION("""COMPUTED_VALUE"""),TRUE)</f>
        <v>1</v>
      </c>
      <c r="N386" s="32"/>
    </row>
    <row r="387">
      <c r="A387" s="32" t="str">
        <f>IFERROR(__xludf.DUMMYFUNCTION("""COMPUTED_VALUE"""),"Accuracy Boost")</f>
        <v>Accuracy Boost</v>
      </c>
      <c r="B387" s="34">
        <f>IFERROR(__xludf.DUMMYFUNCTION("""COMPUTED_VALUE"""),6.0)</f>
        <v>6</v>
      </c>
      <c r="C387" s="32">
        <f>IFERROR(__xludf.DUMMYFUNCTION("""COMPUTED_VALUE"""),60.0)</f>
        <v>60</v>
      </c>
      <c r="D387" s="32"/>
      <c r="E387" s="32" t="str">
        <f>IFERROR(__xludf.DUMMYFUNCTION("""COMPUTED_VALUE"""),"Raise accuracy by X2 for 3 rounds (1 use)")</f>
        <v>Raise accuracy by X2 for 3 rounds (1 use)</v>
      </c>
      <c r="F387" s="32" t="str">
        <f>IFERROR(__xludf.DUMMYFUNCTION("""COMPUTED_VALUE"""),"Will Succeed")</f>
        <v>Will Succeed</v>
      </c>
      <c r="G387" s="32"/>
      <c r="H387" s="32" t="str">
        <f>IFERROR(__xludf.DUMMYFUNCTION("""COMPUTED_VALUE"""),"Ranged")</f>
        <v>Ranged</v>
      </c>
      <c r="I387" s="32" t="str">
        <f>IFERROR(__xludf.DUMMYFUNCTION("""COMPUTED_VALUE"""),"Player")</f>
        <v>Player</v>
      </c>
      <c r="J387" s="32" t="b">
        <f>IFERROR(__xludf.DUMMYFUNCTION("""COMPUTED_VALUE"""),FALSE)</f>
        <v>0</v>
      </c>
      <c r="K387" s="32"/>
      <c r="L387" s="32" t="b">
        <f>IFERROR(__xludf.DUMMYFUNCTION("""COMPUTED_VALUE"""),FALSE)</f>
        <v>0</v>
      </c>
      <c r="M387" s="32" t="b">
        <f>IFERROR(__xludf.DUMMYFUNCTION("""COMPUTED_VALUE"""),TRUE)</f>
        <v>1</v>
      </c>
      <c r="N387" s="32"/>
    </row>
    <row r="388">
      <c r="A388" s="32" t="str">
        <f>IFERROR(__xludf.DUMMYFUNCTION("""COMPUTED_VALUE"""),"Archer’s Wrath")</f>
        <v>Archer’s Wrath</v>
      </c>
      <c r="B388" s="34">
        <f>IFERROR(__xludf.DUMMYFUNCTION("""COMPUTED_VALUE"""),5.0)</f>
        <v>5</v>
      </c>
      <c r="C388" s="32" t="str">
        <f>IFERROR(__xludf.DUMMYFUNCTION("""COMPUTED_VALUE"""),"X")</f>
        <v>X</v>
      </c>
      <c r="D388" s="32"/>
      <c r="E388" s="32" t="str">
        <f>IFERROR(__xludf.DUMMYFUNCTION("""COMPUTED_VALUE"""),"Roll a D20 for additional accuracy, times it by the amount of mana you pay.")</f>
        <v>Roll a D20 for additional accuracy, times it by the amount of mana you pay.</v>
      </c>
      <c r="F388" s="32" t="str">
        <f>IFERROR(__xludf.DUMMYFUNCTION("""COMPUTED_VALUE"""),"Will Succeed")</f>
        <v>Will Succeed</v>
      </c>
      <c r="G388" s="32"/>
      <c r="H388" s="32" t="str">
        <f>IFERROR(__xludf.DUMMYFUNCTION("""COMPUTED_VALUE"""),"Ranged")</f>
        <v>Ranged</v>
      </c>
      <c r="I388" s="32" t="str">
        <f>IFERROR(__xludf.DUMMYFUNCTION("""COMPUTED_VALUE"""),"Player")</f>
        <v>Player</v>
      </c>
      <c r="J388" s="32" t="b">
        <f>IFERROR(__xludf.DUMMYFUNCTION("""COMPUTED_VALUE"""),FALSE)</f>
        <v>0</v>
      </c>
      <c r="K388" s="32"/>
      <c r="L388" s="32" t="b">
        <f>IFERROR(__xludf.DUMMYFUNCTION("""COMPUTED_VALUE"""),FALSE)</f>
        <v>0</v>
      </c>
      <c r="M388" s="32" t="b">
        <f>IFERROR(__xludf.DUMMYFUNCTION("""COMPUTED_VALUE"""),TRUE)</f>
        <v>1</v>
      </c>
      <c r="N388" s="32"/>
    </row>
    <row r="389">
      <c r="A389" s="32" t="str">
        <f>IFERROR(__xludf.DUMMYFUNCTION("""COMPUTED_VALUE"""),"Bullseye")</f>
        <v>Bullseye</v>
      </c>
      <c r="B389" s="34">
        <f>IFERROR(__xludf.DUMMYFUNCTION("""COMPUTED_VALUE"""),9.0)</f>
        <v>9</v>
      </c>
      <c r="C389" s="32">
        <f>IFERROR(__xludf.DUMMYFUNCTION("""COMPUTED_VALUE"""),300.0)</f>
        <v>300</v>
      </c>
      <c r="D389" s="32"/>
      <c r="E389" s="32"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32" t="str">
        <f>IFERROR(__xludf.DUMMYFUNCTION("""COMPUTED_VALUE"""),"Fail/succeed")</f>
        <v>Fail/succeed</v>
      </c>
      <c r="G389" s="32"/>
      <c r="H389" s="32" t="str">
        <f>IFERROR(__xludf.DUMMYFUNCTION("""COMPUTED_VALUE"""),"Ranged")</f>
        <v>Ranged</v>
      </c>
      <c r="I389" s="32" t="str">
        <f>IFERROR(__xludf.DUMMYFUNCTION("""COMPUTED_VALUE"""),"Player")</f>
        <v>Player</v>
      </c>
      <c r="J389" s="32" t="b">
        <f>IFERROR(__xludf.DUMMYFUNCTION("""COMPUTED_VALUE"""),FALSE)</f>
        <v>0</v>
      </c>
      <c r="K389" s="32"/>
      <c r="L389" s="32" t="b">
        <f>IFERROR(__xludf.DUMMYFUNCTION("""COMPUTED_VALUE"""),FALSE)</f>
        <v>0</v>
      </c>
      <c r="M389" s="32" t="b">
        <f>IFERROR(__xludf.DUMMYFUNCTION("""COMPUTED_VALUE"""),TRUE)</f>
        <v>1</v>
      </c>
      <c r="N389" s="32"/>
    </row>
    <row r="390">
      <c r="A390" s="32" t="str">
        <f>IFERROR(__xludf.DUMMYFUNCTION("""COMPUTED_VALUE"""),"Good shot")</f>
        <v>Good shot</v>
      </c>
      <c r="B390" s="34">
        <f>IFERROR(__xludf.DUMMYFUNCTION("""COMPUTED_VALUE"""),1.0)</f>
        <v>1</v>
      </c>
      <c r="C390" s="32">
        <f>IFERROR(__xludf.DUMMYFUNCTION("""COMPUTED_VALUE"""),10.0)</f>
        <v>10</v>
      </c>
      <c r="D390" s="32"/>
      <c r="E390" s="32" t="str">
        <f>IFERROR(__xludf.DUMMYFUNCTION("""COMPUTED_VALUE"""),"Roll for a ranged attack twice take the higher")</f>
        <v>Roll for a ranged attack twice take the higher</v>
      </c>
      <c r="F390" s="32" t="str">
        <f>IFERROR(__xludf.DUMMYFUNCTION("""COMPUTED_VALUE"""),"Will Succeed")</f>
        <v>Will Succeed</v>
      </c>
      <c r="G390" s="32" t="str">
        <f>IFERROR(__xludf.DUMMYFUNCTION("""COMPUTED_VALUE"""),"Self")</f>
        <v>Self</v>
      </c>
      <c r="H390" s="32" t="str">
        <f>IFERROR(__xludf.DUMMYFUNCTION("""COMPUTED_VALUE"""),"Ranged")</f>
        <v>Ranged</v>
      </c>
      <c r="I390" s="32" t="str">
        <f>IFERROR(__xludf.DUMMYFUNCTION("""COMPUTED_VALUE"""),"Player")</f>
        <v>Player</v>
      </c>
      <c r="J390" s="32" t="b">
        <f>IFERROR(__xludf.DUMMYFUNCTION("""COMPUTED_VALUE"""),FALSE)</f>
        <v>0</v>
      </c>
      <c r="K390" s="32"/>
      <c r="L390" s="32" t="b">
        <f>IFERROR(__xludf.DUMMYFUNCTION("""COMPUTED_VALUE"""),FALSE)</f>
        <v>0</v>
      </c>
      <c r="M390" s="32" t="b">
        <f>IFERROR(__xludf.DUMMYFUNCTION("""COMPUTED_VALUE"""),TRUE)</f>
        <v>1</v>
      </c>
      <c r="N390" s="32"/>
    </row>
    <row r="391">
      <c r="A391" s="32" t="str">
        <f>IFERROR(__xludf.DUMMYFUNCTION("""COMPUTED_VALUE"""),"Lock On")</f>
        <v>Lock On</v>
      </c>
      <c r="B391" s="34">
        <f>IFERROR(__xludf.DUMMYFUNCTION("""COMPUTED_VALUE"""),7.0)</f>
        <v>7</v>
      </c>
      <c r="C391" s="32">
        <f>IFERROR(__xludf.DUMMYFUNCTION("""COMPUTED_VALUE"""),100.0)</f>
        <v>100</v>
      </c>
      <c r="D391" s="32"/>
      <c r="E391" s="32" t="str">
        <f>IFERROR(__xludf.DUMMYFUNCTION("""COMPUTED_VALUE"""),"Target cannot evade for 3 rounds.")</f>
        <v>Target cannot evade for 3 rounds.</v>
      </c>
      <c r="F391" s="32" t="str">
        <f>IFERROR(__xludf.DUMMYFUNCTION("""COMPUTED_VALUE"""),"Fail/succeed")</f>
        <v>Fail/succeed</v>
      </c>
      <c r="G391" s="32"/>
      <c r="H391" s="32" t="str">
        <f>IFERROR(__xludf.DUMMYFUNCTION("""COMPUTED_VALUE"""),"Ranged")</f>
        <v>Ranged</v>
      </c>
      <c r="I391" s="32" t="str">
        <f>IFERROR(__xludf.DUMMYFUNCTION("""COMPUTED_VALUE"""),"Player")</f>
        <v>Player</v>
      </c>
      <c r="J391" s="32" t="b">
        <f>IFERROR(__xludf.DUMMYFUNCTION("""COMPUTED_VALUE"""),FALSE)</f>
        <v>0</v>
      </c>
      <c r="K391" s="32"/>
      <c r="L391" s="32" t="b">
        <f>IFERROR(__xludf.DUMMYFUNCTION("""COMPUTED_VALUE"""),FALSE)</f>
        <v>0</v>
      </c>
      <c r="M391" s="32" t="b">
        <f>IFERROR(__xludf.DUMMYFUNCTION("""COMPUTED_VALUE"""),TRUE)</f>
        <v>1</v>
      </c>
      <c r="N391" s="32"/>
    </row>
    <row r="392">
      <c r="A392" s="32" t="str">
        <f>IFERROR(__xludf.DUMMYFUNCTION("""COMPUTED_VALUE"""),"Multishot")</f>
        <v>Multishot</v>
      </c>
      <c r="B392" s="34">
        <f>IFERROR(__xludf.DUMMYFUNCTION("""COMPUTED_VALUE"""),9.0)</f>
        <v>9</v>
      </c>
      <c r="C392" s="32" t="str">
        <f>IFERROR(__xludf.DUMMYFUNCTION("""COMPUTED_VALUE"""),"X*300")</f>
        <v>X*300</v>
      </c>
      <c r="D392" s="32"/>
      <c r="E392" s="32" t="str">
        <f>IFERROR(__xludf.DUMMYFUNCTION("""COMPUTED_VALUE"""),"Multiples the damage of the next attack by X. X= SP you pay for X Cost.")</f>
        <v>Multiples the damage of the next attack by X. X= SP you pay for X Cost.</v>
      </c>
      <c r="F392" s="32" t="str">
        <f>IFERROR(__xludf.DUMMYFUNCTION("""COMPUTED_VALUE"""),"Fail/succeed")</f>
        <v>Fail/succeed</v>
      </c>
      <c r="G392" s="32"/>
      <c r="H392" s="32" t="str">
        <f>IFERROR(__xludf.DUMMYFUNCTION("""COMPUTED_VALUE"""),"Ranged")</f>
        <v>Ranged</v>
      </c>
      <c r="I392" s="32" t="str">
        <f>IFERROR(__xludf.DUMMYFUNCTION("""COMPUTED_VALUE"""),"Player")</f>
        <v>Player</v>
      </c>
      <c r="J392" s="32" t="b">
        <f>IFERROR(__xludf.DUMMYFUNCTION("""COMPUTED_VALUE"""),FALSE)</f>
        <v>0</v>
      </c>
      <c r="K392" s="32"/>
      <c r="L392" s="32" t="b">
        <f>IFERROR(__xludf.DUMMYFUNCTION("""COMPUTED_VALUE"""),FALSE)</f>
        <v>0</v>
      </c>
      <c r="M392" s="32" t="b">
        <f>IFERROR(__xludf.DUMMYFUNCTION("""COMPUTED_VALUE"""),TRUE)</f>
        <v>1</v>
      </c>
      <c r="N392" s="32"/>
    </row>
    <row r="393">
      <c r="A393" s="32" t="str">
        <f>IFERROR(__xludf.DUMMYFUNCTION("""COMPUTED_VALUE"""),"Pinning shot")</f>
        <v>Pinning shot</v>
      </c>
      <c r="B393" s="34">
        <f>IFERROR(__xludf.DUMMYFUNCTION("""COMPUTED_VALUE"""),3.0)</f>
        <v>3</v>
      </c>
      <c r="C393" s="32">
        <f>IFERROR(__xludf.DUMMYFUNCTION("""COMPUTED_VALUE"""),30.0)</f>
        <v>30</v>
      </c>
      <c r="D393" s="32"/>
      <c r="E393" s="32" t="str">
        <f>IFERROR(__xludf.DUMMYFUNCTION("""COMPUTED_VALUE"""),"The target is immobilized until the end of its next turn.")</f>
        <v>The target is immobilized until the end of its next turn.</v>
      </c>
      <c r="F393" s="32" t="str">
        <f>IFERROR(__xludf.DUMMYFUNCTION("""COMPUTED_VALUE"""),"Fail/succeed")</f>
        <v>Fail/succeed</v>
      </c>
      <c r="G393" s="32"/>
      <c r="H393" s="32" t="str">
        <f>IFERROR(__xludf.DUMMYFUNCTION("""COMPUTED_VALUE"""),"Ranged")</f>
        <v>Ranged</v>
      </c>
      <c r="I393" s="32" t="str">
        <f>IFERROR(__xludf.DUMMYFUNCTION("""COMPUTED_VALUE"""),"Player")</f>
        <v>Player</v>
      </c>
      <c r="J393" s="32" t="b">
        <f>IFERROR(__xludf.DUMMYFUNCTION("""COMPUTED_VALUE"""),FALSE)</f>
        <v>0</v>
      </c>
      <c r="K393" s="32"/>
      <c r="L393" s="32" t="b">
        <f>IFERROR(__xludf.DUMMYFUNCTION("""COMPUTED_VALUE"""),FALSE)</f>
        <v>0</v>
      </c>
      <c r="M393" s="32" t="b">
        <f>IFERROR(__xludf.DUMMYFUNCTION("""COMPUTED_VALUE"""),TRUE)</f>
        <v>1</v>
      </c>
      <c r="N393" s="32"/>
    </row>
    <row r="394">
      <c r="A394" s="32" t="str">
        <f>IFERROR(__xludf.DUMMYFUNCTION("""COMPUTED_VALUE"""),"Rapid Swoop")</f>
        <v>Rapid Swoop</v>
      </c>
      <c r="B394" s="34">
        <f>IFERROR(__xludf.DUMMYFUNCTION("""COMPUTED_VALUE"""),1.0)</f>
        <v>1</v>
      </c>
      <c r="C394" s="32">
        <f>IFERROR(__xludf.DUMMYFUNCTION("""COMPUTED_VALUE"""),0.0)</f>
        <v>0</v>
      </c>
      <c r="D394" s="32"/>
      <c r="E394" s="32" t="str">
        <f>IFERROR(__xludf.DUMMYFUNCTION("""COMPUTED_VALUE"""),"D20x1000 damage.")</f>
        <v>D20x1000 damage.</v>
      </c>
      <c r="F394" s="32" t="str">
        <f>IFERROR(__xludf.DUMMYFUNCTION("""COMPUTED_VALUE"""),"Natural/Hit or Miss")</f>
        <v>Natural/Hit or Miss</v>
      </c>
      <c r="G394" s="32">
        <f>IFERROR(__xludf.DUMMYFUNCTION("""COMPUTED_VALUE"""),1.0)</f>
        <v>1</v>
      </c>
      <c r="H394" s="32" t="str">
        <f>IFERROR(__xludf.DUMMYFUNCTION("""COMPUTED_VALUE"""),"Ranged")</f>
        <v>Ranged</v>
      </c>
      <c r="I394" s="32" t="str">
        <f>IFERROR(__xludf.DUMMYFUNCTION("""COMPUTED_VALUE"""),"Mob")</f>
        <v>Mob</v>
      </c>
      <c r="J394" s="32" t="b">
        <f>IFERROR(__xludf.DUMMYFUNCTION("""COMPUTED_VALUE"""),TRUE)</f>
        <v>1</v>
      </c>
      <c r="K394" s="32"/>
      <c r="L394" s="32" t="b">
        <f>IFERROR(__xludf.DUMMYFUNCTION("""COMPUTED_VALUE"""),FALSE)</f>
        <v>0</v>
      </c>
      <c r="M394" s="32" t="b">
        <f>IFERROR(__xludf.DUMMYFUNCTION("""COMPUTED_VALUE"""),TRUE)</f>
        <v>1</v>
      </c>
      <c r="N394" s="32"/>
    </row>
    <row r="395">
      <c r="A395" s="32" t="str">
        <f>IFERROR(__xludf.DUMMYFUNCTION("""COMPUTED_VALUE"""),"Skydive")</f>
        <v>Skydive</v>
      </c>
      <c r="B395" s="34">
        <f>IFERROR(__xludf.DUMMYFUNCTION("""COMPUTED_VALUE"""),1.0)</f>
        <v>1</v>
      </c>
      <c r="C395" s="32">
        <f>IFERROR(__xludf.DUMMYFUNCTION("""COMPUTED_VALUE"""),0.0)</f>
        <v>0</v>
      </c>
      <c r="D395" s="32"/>
      <c r="E395" s="32" t="str">
        <f>IFERROR(__xludf.DUMMYFUNCTION("""COMPUTED_VALUE"""),"5000 damage")</f>
        <v>5000 damage</v>
      </c>
      <c r="F395" s="32" t="str">
        <f>IFERROR(__xludf.DUMMYFUNCTION("""COMPUTED_VALUE"""),"Natural/Hit or Miss")</f>
        <v>Natural/Hit or Miss</v>
      </c>
      <c r="G395" s="32">
        <f>IFERROR(__xludf.DUMMYFUNCTION("""COMPUTED_VALUE"""),1.0)</f>
        <v>1</v>
      </c>
      <c r="H395" s="32" t="str">
        <f>IFERROR(__xludf.DUMMYFUNCTION("""COMPUTED_VALUE"""),"Ranged")</f>
        <v>Ranged</v>
      </c>
      <c r="I395" s="32" t="str">
        <f>IFERROR(__xludf.DUMMYFUNCTION("""COMPUTED_VALUE"""),"Mob")</f>
        <v>Mob</v>
      </c>
      <c r="J395" s="32" t="b">
        <f>IFERROR(__xludf.DUMMYFUNCTION("""COMPUTED_VALUE"""),TRUE)</f>
        <v>1</v>
      </c>
      <c r="K395" s="32"/>
      <c r="L395" s="32" t="b">
        <f>IFERROR(__xludf.DUMMYFUNCTION("""COMPUTED_VALUE"""),FALSE)</f>
        <v>0</v>
      </c>
      <c r="M395" s="32" t="b">
        <f>IFERROR(__xludf.DUMMYFUNCTION("""COMPUTED_VALUE"""),FALSE)</f>
        <v>0</v>
      </c>
      <c r="N395" s="32"/>
    </row>
    <row r="396">
      <c r="A396" s="32" t="str">
        <f>IFERROR(__xludf.DUMMYFUNCTION("""COMPUTED_VALUE"""),"Thousand Arrows")</f>
        <v>Thousand Arrows</v>
      </c>
      <c r="B396" s="34">
        <f>IFERROR(__xludf.DUMMYFUNCTION("""COMPUTED_VALUE"""),9.0)</f>
        <v>9</v>
      </c>
      <c r="C396" s="32">
        <f>IFERROR(__xludf.DUMMYFUNCTION("""COMPUTED_VALUE"""),300.0)</f>
        <v>300</v>
      </c>
      <c r="D396" s="32"/>
      <c r="E396" s="32"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32" t="str">
        <f>IFERROR(__xludf.DUMMYFUNCTION("""COMPUTED_VALUE"""),"Cannot Avoid")</f>
        <v>Cannot Avoid</v>
      </c>
      <c r="G396" s="32" t="str">
        <f>IFERROR(__xludf.DUMMYFUNCTION("""COMPUTED_VALUE"""),"All")</f>
        <v>All</v>
      </c>
      <c r="H396" s="32" t="str">
        <f>IFERROR(__xludf.DUMMYFUNCTION("""COMPUTED_VALUE"""),"Ranged")</f>
        <v>Ranged</v>
      </c>
      <c r="I396" s="32" t="str">
        <f>IFERROR(__xludf.DUMMYFUNCTION("""COMPUTED_VALUE"""),"Player")</f>
        <v>Player</v>
      </c>
      <c r="J396" s="32" t="b">
        <f>IFERROR(__xludf.DUMMYFUNCTION("""COMPUTED_VALUE"""),TRUE)</f>
        <v>1</v>
      </c>
      <c r="K396" s="32" t="str">
        <f>IFERROR(__xludf.DUMMYFUNCTION("""COMPUTED_VALUE"""),"shop spell")</f>
        <v>shop spell</v>
      </c>
      <c r="L396" s="32" t="b">
        <f>IFERROR(__xludf.DUMMYFUNCTION("""COMPUTED_VALUE"""),FALSE)</f>
        <v>0</v>
      </c>
      <c r="M396" s="32" t="b">
        <f>IFERROR(__xludf.DUMMYFUNCTION("""COMPUTED_VALUE"""),FALSE)</f>
        <v>0</v>
      </c>
      <c r="N396" s="32"/>
    </row>
    <row r="397">
      <c r="A397" s="32" t="str">
        <f>IFERROR(__xludf.DUMMYFUNCTION("""COMPUTED_VALUE"""),"Torpedo")</f>
        <v>Torpedo</v>
      </c>
      <c r="B397" s="34">
        <f>IFERROR(__xludf.DUMMYFUNCTION("""COMPUTED_VALUE"""),1.0)</f>
        <v>1</v>
      </c>
      <c r="C397" s="33">
        <f>IFERROR(__xludf.DUMMYFUNCTION("""COMPUTED_VALUE"""),0.0)</f>
        <v>0</v>
      </c>
      <c r="D397" s="32"/>
      <c r="E397" s="32" t="str">
        <f>IFERROR(__xludf.DUMMYFUNCTION("""COMPUTED_VALUE"""),"10,000 times d20 damage.")</f>
        <v>10,000 times d20 damage.</v>
      </c>
      <c r="F397" s="32" t="str">
        <f>IFERROR(__xludf.DUMMYFUNCTION("""COMPUTED_VALUE"""),"Natural/ Hit or Miss")</f>
        <v>Natural/ Hit or Miss</v>
      </c>
      <c r="G397" s="32">
        <f>IFERROR(__xludf.DUMMYFUNCTION("""COMPUTED_VALUE"""),1.0)</f>
        <v>1</v>
      </c>
      <c r="H397" s="32" t="str">
        <f>IFERROR(__xludf.DUMMYFUNCTION("""COMPUTED_VALUE"""),"Ranged")</f>
        <v>Ranged</v>
      </c>
      <c r="I397" s="32" t="str">
        <f>IFERROR(__xludf.DUMMYFUNCTION("""COMPUTED_VALUE"""),"Mob")</f>
        <v>Mob</v>
      </c>
      <c r="J397" s="32" t="b">
        <f>IFERROR(__xludf.DUMMYFUNCTION("""COMPUTED_VALUE"""),TRUE)</f>
        <v>1</v>
      </c>
      <c r="K397" s="32" t="str">
        <f>IFERROR(__xludf.DUMMYFUNCTION("""COMPUTED_VALUE"""),"Vehicle Power")</f>
        <v>Vehicle Power</v>
      </c>
      <c r="L397" s="32" t="b">
        <f>IFERROR(__xludf.DUMMYFUNCTION("""COMPUTED_VALUE"""),FALSE)</f>
        <v>0</v>
      </c>
      <c r="M397" s="32" t="b">
        <f>IFERROR(__xludf.DUMMYFUNCTION("""COMPUTED_VALUE"""),FALSE)</f>
        <v>0</v>
      </c>
      <c r="N397" s="32"/>
    </row>
    <row r="398">
      <c r="A398" s="32" t="str">
        <f>IFERROR(__xludf.DUMMYFUNCTION("""COMPUTED_VALUE"""),"Tower Of Balance III")</f>
        <v>Tower Of Balance III</v>
      </c>
      <c r="B398" s="34">
        <f>IFERROR(__xludf.DUMMYFUNCTION("""COMPUTED_VALUE"""),8.0)</f>
        <v>8</v>
      </c>
      <c r="C398" s="32">
        <f>IFERROR(__xludf.DUMMYFUNCTION("""COMPUTED_VALUE"""),200.0)</f>
        <v>200</v>
      </c>
      <c r="D398" s="32"/>
      <c r="E398" s="32"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32" t="str">
        <f>IFERROR(__xludf.DUMMYFUNCTION("""COMPUTED_VALUE"""),"Will Succeed")</f>
        <v>Will Succeed</v>
      </c>
      <c r="G398" s="32"/>
      <c r="H398" s="32" t="str">
        <f>IFERROR(__xludf.DUMMYFUNCTION("""COMPUTED_VALUE"""),"Ranged")</f>
        <v>Ranged</v>
      </c>
      <c r="I398" s="32" t="str">
        <f>IFERROR(__xludf.DUMMYFUNCTION("""COMPUTED_VALUE"""),"Player")</f>
        <v>Player</v>
      </c>
      <c r="J398" s="32" t="b">
        <f>IFERROR(__xludf.DUMMYFUNCTION("""COMPUTED_VALUE"""),FALSE)</f>
        <v>0</v>
      </c>
      <c r="K398" s="32"/>
      <c r="L398" s="32" t="b">
        <f>IFERROR(__xludf.DUMMYFUNCTION("""COMPUTED_VALUE"""),FALSE)</f>
        <v>0</v>
      </c>
      <c r="M398" s="32" t="b">
        <f>IFERROR(__xludf.DUMMYFUNCTION("""COMPUTED_VALUE"""),TRUE)</f>
        <v>1</v>
      </c>
      <c r="N398" s="32"/>
    </row>
    <row r="399">
      <c r="A399" s="32" t="str">
        <f>IFERROR(__xludf.DUMMYFUNCTION("""COMPUTED_VALUE"""),"Web Shot")</f>
        <v>Web Shot</v>
      </c>
      <c r="B399" s="34">
        <f>IFERROR(__xludf.DUMMYFUNCTION("""COMPUTED_VALUE"""),1.0)</f>
        <v>1</v>
      </c>
      <c r="C399" s="32">
        <f>IFERROR(__xludf.DUMMYFUNCTION("""COMPUTED_VALUE"""),0.0)</f>
        <v>0</v>
      </c>
      <c r="D399" s="32"/>
      <c r="E399" s="32" t="str">
        <f>IFERROR(__xludf.DUMMYFUNCTION("""COMPUTED_VALUE"""),"5000 damage, target cannot flee from battle for the rest of battle.")</f>
        <v>5000 damage, target cannot flee from battle for the rest of battle.</v>
      </c>
      <c r="F399" s="32" t="str">
        <f>IFERROR(__xludf.DUMMYFUNCTION("""COMPUTED_VALUE"""),"Natural/Hit or Miss")</f>
        <v>Natural/Hit or Miss</v>
      </c>
      <c r="G399" s="32">
        <f>IFERROR(__xludf.DUMMYFUNCTION("""COMPUTED_VALUE"""),1.0)</f>
        <v>1</v>
      </c>
      <c r="H399" s="32" t="str">
        <f>IFERROR(__xludf.DUMMYFUNCTION("""COMPUTED_VALUE"""),"Ranged")</f>
        <v>Ranged</v>
      </c>
      <c r="I399" s="32" t="str">
        <f>IFERROR(__xludf.DUMMYFUNCTION("""COMPUTED_VALUE"""),"Mob")</f>
        <v>Mob</v>
      </c>
      <c r="J399" s="32" t="b">
        <f>IFERROR(__xludf.DUMMYFUNCTION("""COMPUTED_VALUE"""),TRUE)</f>
        <v>1</v>
      </c>
      <c r="K399" s="32"/>
      <c r="L399" s="32" t="b">
        <f>IFERROR(__xludf.DUMMYFUNCTION("""COMPUTED_VALUE"""),FALSE)</f>
        <v>0</v>
      </c>
      <c r="M399" s="32" t="b">
        <f>IFERROR(__xludf.DUMMYFUNCTION("""COMPUTED_VALUE"""),FALSE)</f>
        <v>0</v>
      </c>
      <c r="N399" s="32"/>
    </row>
    <row r="400">
      <c r="A400" s="32" t="str">
        <f>IFERROR(__xludf.DUMMYFUNCTION("""COMPUTED_VALUE"""),"Cannon Bombardment")</f>
        <v>Cannon Bombardment</v>
      </c>
      <c r="B400" s="34">
        <f>IFERROR(__xludf.DUMMYFUNCTION("""COMPUTED_VALUE"""),1.0)</f>
        <v>1</v>
      </c>
      <c r="C400" s="32">
        <f>IFERROR(__xludf.DUMMYFUNCTION("""COMPUTED_VALUE"""),0.0)</f>
        <v>0</v>
      </c>
      <c r="D400" s="32"/>
      <c r="E400" s="32"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32" t="str">
        <f>IFERROR(__xludf.DUMMYFUNCTION("""COMPUTED_VALUE"""),"Natural/Fail or Succeed")</f>
        <v>Natural/Fail or Succeed</v>
      </c>
      <c r="G400" s="32" t="str">
        <f>IFERROR(__xludf.DUMMYFUNCTION("""COMPUTED_VALUE"""),"All")</f>
        <v>All</v>
      </c>
      <c r="H400" s="32" t="str">
        <f>IFERROR(__xludf.DUMMYFUNCTION("""COMPUTED_VALUE"""),"Ranged")</f>
        <v>Ranged</v>
      </c>
      <c r="I400" s="32"/>
      <c r="J400" s="32" t="b">
        <f>IFERROR(__xludf.DUMMYFUNCTION("""COMPUTED_VALUE"""),FALSE)</f>
        <v>0</v>
      </c>
      <c r="K400" s="32"/>
      <c r="L400" s="32" t="b">
        <f>IFERROR(__xludf.DUMMYFUNCTION("""COMPUTED_VALUE"""),FALSE)</f>
        <v>0</v>
      </c>
      <c r="M400" s="32" t="b">
        <f>IFERROR(__xludf.DUMMYFUNCTION("""COMPUTED_VALUE"""),FALSE)</f>
        <v>0</v>
      </c>
      <c r="N400" s="32"/>
    </row>
    <row r="401">
      <c r="A401" s="32" t="str">
        <f>IFERROR(__xludf.DUMMYFUNCTION("""COMPUTED_VALUE"""),"Acidic Spit")</f>
        <v>Acidic Spit</v>
      </c>
      <c r="B401" s="34">
        <f>IFERROR(__xludf.DUMMYFUNCTION("""COMPUTED_VALUE"""),1.0)</f>
        <v>1</v>
      </c>
      <c r="C401" s="32">
        <f>IFERROR(__xludf.DUMMYFUNCTION("""COMPUTED_VALUE"""),0.0)</f>
        <v>0</v>
      </c>
      <c r="D401" s="32"/>
      <c r="E401" s="32" t="str">
        <f>IFERROR(__xludf.DUMMYFUNCTION("""COMPUTED_VALUE"""),"Poison X per round to 2 targets, where X is equal to your accuracy.")</f>
        <v>Poison X per round to 2 targets, where X is equal to your accuracy.</v>
      </c>
      <c r="F401" s="32" t="str">
        <f>IFERROR(__xludf.DUMMYFUNCTION("""COMPUTED_VALUE"""),"Natural/Hit or Miss")</f>
        <v>Natural/Hit or Miss</v>
      </c>
      <c r="G401" s="32">
        <f>IFERROR(__xludf.DUMMYFUNCTION("""COMPUTED_VALUE"""),2.0)</f>
        <v>2</v>
      </c>
      <c r="H401" s="32" t="str">
        <f>IFERROR(__xludf.DUMMYFUNCTION("""COMPUTED_VALUE"""),"Ranged")</f>
        <v>Ranged</v>
      </c>
      <c r="I401" s="32" t="str">
        <f>IFERROR(__xludf.DUMMYFUNCTION("""COMPUTED_VALUE"""),"Mob")</f>
        <v>Mob</v>
      </c>
      <c r="J401" s="32" t="b">
        <f>IFERROR(__xludf.DUMMYFUNCTION("""COMPUTED_VALUE"""),TRUE)</f>
        <v>1</v>
      </c>
      <c r="K401" s="32"/>
      <c r="L401" s="32" t="b">
        <f>IFERROR(__xludf.DUMMYFUNCTION("""COMPUTED_VALUE"""),FALSE)</f>
        <v>0</v>
      </c>
      <c r="M401" s="32" t="b">
        <f>IFERROR(__xludf.DUMMYFUNCTION("""COMPUTED_VALUE"""),FALSE)</f>
        <v>0</v>
      </c>
      <c r="N401" s="32"/>
    </row>
    <row r="402">
      <c r="A402" s="32" t="str">
        <f>IFERROR(__xludf.DUMMYFUNCTION("""COMPUTED_VALUE"""),"A Deal With The Spirit World")</f>
        <v>A Deal With The Spirit World</v>
      </c>
      <c r="B402" s="34">
        <f>IFERROR(__xludf.DUMMYFUNCTION("""COMPUTED_VALUE"""),7.0)</f>
        <v>7</v>
      </c>
      <c r="C402" s="32"/>
      <c r="D402" s="32" t="str">
        <f>IFERROR(__xludf.DUMMYFUNCTION("""COMPUTED_VALUE"""),"X")</f>
        <v>X</v>
      </c>
      <c r="E402" s="32" t="str">
        <f>IFERROR(__xludf.DUMMYFUNCTION("""COMPUTED_VALUE"""),"Deal X unblockable damage to self to drain X*100 SP from target.")</f>
        <v>Deal X unblockable damage to self to drain X*100 SP from target.</v>
      </c>
      <c r="F402" s="32" t="str">
        <f>IFERROR(__xludf.DUMMYFUNCTION("""COMPUTED_VALUE"""),"Fail/Succeed")</f>
        <v>Fail/Succeed</v>
      </c>
      <c r="G402" s="32"/>
      <c r="H402" s="32" t="str">
        <f>IFERROR(__xludf.DUMMYFUNCTION("""COMPUTED_VALUE"""),"Spirit")</f>
        <v>Spirit</v>
      </c>
      <c r="I402" s="32" t="str">
        <f>IFERROR(__xludf.DUMMYFUNCTION("""COMPUTED_VALUE"""),"Player")</f>
        <v>Player</v>
      </c>
      <c r="J402" s="32" t="b">
        <f>IFERROR(__xludf.DUMMYFUNCTION("""COMPUTED_VALUE"""),FALSE)</f>
        <v>0</v>
      </c>
      <c r="K402" s="32"/>
      <c r="L402" s="32" t="b">
        <f>IFERROR(__xludf.DUMMYFUNCTION("""COMPUTED_VALUE"""),TRUE)</f>
        <v>1</v>
      </c>
      <c r="M402" s="32" t="b">
        <f>IFERROR(__xludf.DUMMYFUNCTION("""COMPUTED_VALUE"""),FALSE)</f>
        <v>0</v>
      </c>
      <c r="N402" s="32"/>
    </row>
    <row r="403">
      <c r="A403" s="32" t="str">
        <f>IFERROR(__xludf.DUMMYFUNCTION("""COMPUTED_VALUE"""),"Big Chomping Souls")</f>
        <v>Big Chomping Souls</v>
      </c>
      <c r="B403" s="34">
        <f>IFERROR(__xludf.DUMMYFUNCTION("""COMPUTED_VALUE"""),1.0)</f>
        <v>1</v>
      </c>
      <c r="C403" s="32">
        <f>IFERROR(__xludf.DUMMYFUNCTION("""COMPUTED_VALUE"""),0.0)</f>
        <v>0</v>
      </c>
      <c r="D403" s="32"/>
      <c r="E403" s="32"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32" t="str">
        <f>IFERROR(__xludf.DUMMYFUNCTION("""COMPUTED_VALUE"""),"Natural/Cannot Avoid")</f>
        <v>Natural/Cannot Avoid</v>
      </c>
      <c r="G403" s="32" t="str">
        <f>IFERROR(__xludf.DUMMYFUNCTION("""COMPUTED_VALUE"""),"All")</f>
        <v>All</v>
      </c>
      <c r="H403" s="32" t="str">
        <f>IFERROR(__xludf.DUMMYFUNCTION("""COMPUTED_VALUE"""),"Spirit")</f>
        <v>Spirit</v>
      </c>
      <c r="I403" s="32" t="str">
        <f>IFERROR(__xludf.DUMMYFUNCTION("""COMPUTED_VALUE"""),"Mob")</f>
        <v>Mob</v>
      </c>
      <c r="J403" s="32" t="b">
        <f>IFERROR(__xludf.DUMMYFUNCTION("""COMPUTED_VALUE"""),TRUE)</f>
        <v>1</v>
      </c>
      <c r="K403" s="32"/>
      <c r="L403" s="32" t="b">
        <f>IFERROR(__xludf.DUMMYFUNCTION("""COMPUTED_VALUE"""),TRUE)</f>
        <v>1</v>
      </c>
      <c r="M403" s="32" t="b">
        <f>IFERROR(__xludf.DUMMYFUNCTION("""COMPUTED_VALUE"""),FALSE)</f>
        <v>0</v>
      </c>
      <c r="N403" s="32" t="str">
        <f>IFERROR(__xludf.DUMMYFUNCTION("""COMPUTED_VALUE"""),"Abstara")</f>
        <v>Abstara</v>
      </c>
    </row>
    <row r="404">
      <c r="A404" s="32" t="str">
        <f>IFERROR(__xludf.DUMMYFUNCTION("""COMPUTED_VALUE"""),"Confuse")</f>
        <v>Confuse</v>
      </c>
      <c r="B404" s="34">
        <f>IFERROR(__xludf.DUMMYFUNCTION("""COMPUTED_VALUE"""),6.0)</f>
        <v>6</v>
      </c>
      <c r="C404" s="32">
        <f>IFERROR(__xludf.DUMMYFUNCTION("""COMPUTED_VALUE"""),90.0)</f>
        <v>90</v>
      </c>
      <c r="D404" s="32"/>
      <c r="E404" s="32" t="str">
        <f>IFERROR(__xludf.DUMMYFUNCTION("""COMPUTED_VALUE"""),"Makes the target incapable of performing their next action.")</f>
        <v>Makes the target incapable of performing their next action.</v>
      </c>
      <c r="F404" s="32" t="str">
        <f>IFERROR(__xludf.DUMMYFUNCTION("""COMPUTED_VALUE"""),"Fail/Succeed")</f>
        <v>Fail/Succeed</v>
      </c>
      <c r="G404" s="32"/>
      <c r="H404" s="32" t="str">
        <f>IFERROR(__xludf.DUMMYFUNCTION("""COMPUTED_VALUE"""),"Spirit")</f>
        <v>Spirit</v>
      </c>
      <c r="I404" s="32" t="str">
        <f>IFERROR(__xludf.DUMMYFUNCTION("""COMPUTED_VALUE"""),"Player")</f>
        <v>Player</v>
      </c>
      <c r="J404" s="32" t="b">
        <f>IFERROR(__xludf.DUMMYFUNCTION("""COMPUTED_VALUE"""),FALSE)</f>
        <v>0</v>
      </c>
      <c r="K404" s="32"/>
      <c r="L404" s="32" t="b">
        <f>IFERROR(__xludf.DUMMYFUNCTION("""COMPUTED_VALUE"""),TRUE)</f>
        <v>1</v>
      </c>
      <c r="M404" s="32" t="b">
        <f>IFERROR(__xludf.DUMMYFUNCTION("""COMPUTED_VALUE"""),FALSE)</f>
        <v>0</v>
      </c>
      <c r="N404" s="32"/>
    </row>
    <row r="405">
      <c r="A405" s="32" t="str">
        <f>IFERROR(__xludf.DUMMYFUNCTION("""COMPUTED_VALUE"""),"Degrade")</f>
        <v>Degrade</v>
      </c>
      <c r="B405" s="34">
        <f>IFERROR(__xludf.DUMMYFUNCTION("""COMPUTED_VALUE"""),1.0)</f>
        <v>1</v>
      </c>
      <c r="C405" s="32">
        <f>IFERROR(__xludf.DUMMYFUNCTION("""COMPUTED_VALUE"""),10.0)</f>
        <v>10</v>
      </c>
      <c r="D405" s="32"/>
      <c r="E405" s="32" t="str">
        <f>IFERROR(__xludf.DUMMYFUNCTION("""COMPUTED_VALUE"""),"1 Targets Max HP is reduced to 100.")</f>
        <v>1 Targets Max HP is reduced to 100.</v>
      </c>
      <c r="F405" s="32" t="str">
        <f>IFERROR(__xludf.DUMMYFUNCTION("""COMPUTED_VALUE"""),"Fail/Succeed")</f>
        <v>Fail/Succeed</v>
      </c>
      <c r="G405" s="32"/>
      <c r="H405" s="32" t="str">
        <f>IFERROR(__xludf.DUMMYFUNCTION("""COMPUTED_VALUE"""),"Spirit")</f>
        <v>Spirit</v>
      </c>
      <c r="I405" s="32" t="str">
        <f>IFERROR(__xludf.DUMMYFUNCTION("""COMPUTED_VALUE"""),"Player")</f>
        <v>Player</v>
      </c>
      <c r="J405" s="32" t="b">
        <f>IFERROR(__xludf.DUMMYFUNCTION("""COMPUTED_VALUE"""),FALSE)</f>
        <v>0</v>
      </c>
      <c r="K405" s="32"/>
      <c r="L405" s="32" t="b">
        <f>IFERROR(__xludf.DUMMYFUNCTION("""COMPUTED_VALUE"""),TRUE)</f>
        <v>1</v>
      </c>
      <c r="M405" s="32" t="b">
        <f>IFERROR(__xludf.DUMMYFUNCTION("""COMPUTED_VALUE"""),FALSE)</f>
        <v>0</v>
      </c>
      <c r="N405" s="32"/>
    </row>
    <row r="406">
      <c r="A406" s="32" t="str">
        <f>IFERROR(__xludf.DUMMYFUNCTION("""COMPUTED_VALUE"""),"Distant Warrior")</f>
        <v>Distant Warrior</v>
      </c>
      <c r="B406" s="34">
        <f>IFERROR(__xludf.DUMMYFUNCTION("""COMPUTED_VALUE"""),9.0)</f>
        <v>9</v>
      </c>
      <c r="C406" s="32" t="str">
        <f>IFERROR(__xludf.DUMMYFUNCTION("""COMPUTED_VALUE"""),"X*1000")</f>
        <v>X*1000</v>
      </c>
      <c r="D406" s="32"/>
      <c r="E406" s="32"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32" t="str">
        <f>IFERROR(__xludf.DUMMYFUNCTION("""COMPUTED_VALUE"""),"Will Succeed")</f>
        <v>Will Succeed</v>
      </c>
      <c r="G406" s="32"/>
      <c r="H406" s="32" t="str">
        <f>IFERROR(__xludf.DUMMYFUNCTION("""COMPUTED_VALUE"""),"Spirit")</f>
        <v>Spirit</v>
      </c>
      <c r="I406" s="32" t="str">
        <f>IFERROR(__xludf.DUMMYFUNCTION("""COMPUTED_VALUE"""),"Player")</f>
        <v>Player</v>
      </c>
      <c r="J406" s="32" t="b">
        <f>IFERROR(__xludf.DUMMYFUNCTION("""COMPUTED_VALUE"""),FALSE)</f>
        <v>0</v>
      </c>
      <c r="K406" s="32"/>
      <c r="L406" s="32" t="b">
        <f>IFERROR(__xludf.DUMMYFUNCTION("""COMPUTED_VALUE"""),TRUE)</f>
        <v>1</v>
      </c>
      <c r="M406" s="32" t="b">
        <f>IFERROR(__xludf.DUMMYFUNCTION("""COMPUTED_VALUE"""),FALSE)</f>
        <v>0</v>
      </c>
      <c r="N406" s="32"/>
    </row>
    <row r="407">
      <c r="A407" s="32" t="str">
        <f>IFERROR(__xludf.DUMMYFUNCTION("""COMPUTED_VALUE"""),"Enthrall")</f>
        <v>Enthrall</v>
      </c>
      <c r="B407" s="34">
        <f>IFERROR(__xludf.DUMMYFUNCTION("""COMPUTED_VALUE"""),9.0)</f>
        <v>9</v>
      </c>
      <c r="C407" s="32">
        <f>IFERROR(__xludf.DUMMYFUNCTION("""COMPUTED_VALUE"""),1000.0)</f>
        <v>1000</v>
      </c>
      <c r="D407" s="32"/>
      <c r="E407" s="32"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32" t="str">
        <f>IFERROR(__xludf.DUMMYFUNCTION("""COMPUTED_VALUE"""),"Fail/Succeed")</f>
        <v>Fail/Succeed</v>
      </c>
      <c r="G407" s="32"/>
      <c r="H407" s="32" t="str">
        <f>IFERROR(__xludf.DUMMYFUNCTION("""COMPUTED_VALUE"""),"Spirit")</f>
        <v>Spirit</v>
      </c>
      <c r="I407" s="32" t="str">
        <f>IFERROR(__xludf.DUMMYFUNCTION("""COMPUTED_VALUE"""),"Player")</f>
        <v>Player</v>
      </c>
      <c r="J407" s="32" t="b">
        <f>IFERROR(__xludf.DUMMYFUNCTION("""COMPUTED_VALUE"""),FALSE)</f>
        <v>0</v>
      </c>
      <c r="K407" s="32"/>
      <c r="L407" s="32" t="b">
        <f>IFERROR(__xludf.DUMMYFUNCTION("""COMPUTED_VALUE"""),TRUE)</f>
        <v>1</v>
      </c>
      <c r="M407" s="32" t="b">
        <f>IFERROR(__xludf.DUMMYFUNCTION("""COMPUTED_VALUE"""),FALSE)</f>
        <v>0</v>
      </c>
      <c r="N407" s="32"/>
    </row>
    <row r="408">
      <c r="A408" s="32" t="str">
        <f>IFERROR(__xludf.DUMMYFUNCTION("""COMPUTED_VALUE"""),"Final Blast")</f>
        <v>Final Blast</v>
      </c>
      <c r="B408" s="34">
        <f>IFERROR(__xludf.DUMMYFUNCTION("""COMPUTED_VALUE"""),6.0)</f>
        <v>6</v>
      </c>
      <c r="C408" s="32" t="str">
        <f>IFERROR(__xludf.DUMMYFUNCTION("""COMPUTED_VALUE"""),"Current SP")</f>
        <v>Current SP</v>
      </c>
      <c r="D408" s="32"/>
      <c r="E408" s="32" t="str">
        <f>IFERROR(__xludf.DUMMYFUNCTION("""COMPUTED_VALUE"""),"Deal Current SP *10 damage to all enemies.")</f>
        <v>Deal Current SP *10 damage to all enemies.</v>
      </c>
      <c r="F408" s="32" t="str">
        <f>IFERROR(__xludf.DUMMYFUNCTION("""COMPUTED_VALUE"""),"Canot Avoid")</f>
        <v>Canot Avoid</v>
      </c>
      <c r="G408" s="32">
        <f>IFERROR(__xludf.DUMMYFUNCTION("""COMPUTED_VALUE"""),1.0)</f>
        <v>1</v>
      </c>
      <c r="H408" s="32" t="str">
        <f>IFERROR(__xludf.DUMMYFUNCTION("""COMPUTED_VALUE"""),"Spirit")</f>
        <v>Spirit</v>
      </c>
      <c r="I408" s="32" t="str">
        <f>IFERROR(__xludf.DUMMYFUNCTION("""COMPUTED_VALUE"""),"Player")</f>
        <v>Player</v>
      </c>
      <c r="J408" s="32" t="b">
        <f>IFERROR(__xludf.DUMMYFUNCTION("""COMPUTED_VALUE"""),FALSE)</f>
        <v>0</v>
      </c>
      <c r="K408" s="32"/>
      <c r="L408" s="32" t="b">
        <f>IFERROR(__xludf.DUMMYFUNCTION("""COMPUTED_VALUE"""),TRUE)</f>
        <v>1</v>
      </c>
      <c r="M408" s="32" t="b">
        <f>IFERROR(__xludf.DUMMYFUNCTION("""COMPUTED_VALUE"""),FALSE)</f>
        <v>0</v>
      </c>
      <c r="N408" s="32"/>
    </row>
    <row r="409">
      <c r="A409" s="32" t="str">
        <f>IFERROR(__xludf.DUMMYFUNCTION("""COMPUTED_VALUE"""),"Final Rest")</f>
        <v>Final Rest</v>
      </c>
      <c r="B409" s="34">
        <f>IFERROR(__xludf.DUMMYFUNCTION("""COMPUTED_VALUE"""),6.0)</f>
        <v>6</v>
      </c>
      <c r="C409" s="32">
        <f>IFERROR(__xludf.DUMMYFUNCTION("""COMPUTED_VALUE"""),90.0)</f>
        <v>90</v>
      </c>
      <c r="D409" s="32"/>
      <c r="E409" s="32" t="str">
        <f>IFERROR(__xludf.DUMMYFUNCTION("""COMPUTED_VALUE"""),"25% chance of instantly banishing any target, 20% chance to banish self.")</f>
        <v>25% chance of instantly banishing any target, 20% chance to banish self.</v>
      </c>
      <c r="F409" s="32" t="str">
        <f>IFERROR(__xludf.DUMMYFUNCTION("""COMPUTED_VALUE"""),"Fail/Succeed")</f>
        <v>Fail/Succeed</v>
      </c>
      <c r="G409" s="32"/>
      <c r="H409" s="32" t="str">
        <f>IFERROR(__xludf.DUMMYFUNCTION("""COMPUTED_VALUE"""),"Spirit")</f>
        <v>Spirit</v>
      </c>
      <c r="I409" s="32" t="str">
        <f>IFERROR(__xludf.DUMMYFUNCTION("""COMPUTED_VALUE"""),"Player")</f>
        <v>Player</v>
      </c>
      <c r="J409" s="32" t="b">
        <f>IFERROR(__xludf.DUMMYFUNCTION("""COMPUTED_VALUE"""),FALSE)</f>
        <v>0</v>
      </c>
      <c r="K409" s="32"/>
      <c r="L409" s="32" t="b">
        <f>IFERROR(__xludf.DUMMYFUNCTION("""COMPUTED_VALUE"""),TRUE)</f>
        <v>1</v>
      </c>
      <c r="M409" s="32" t="b">
        <f>IFERROR(__xludf.DUMMYFUNCTION("""COMPUTED_VALUE"""),FALSE)</f>
        <v>0</v>
      </c>
      <c r="N409" s="32"/>
    </row>
    <row r="410">
      <c r="A410" s="32" t="str">
        <f>IFERROR(__xludf.DUMMYFUNCTION("""COMPUTED_VALUE"""),"Gain Soul")</f>
        <v>Gain Soul</v>
      </c>
      <c r="B410" s="34">
        <f>IFERROR(__xludf.DUMMYFUNCTION("""COMPUTED_VALUE"""),6.0)</f>
        <v>6</v>
      </c>
      <c r="C410" s="32">
        <f>IFERROR(__xludf.DUMMYFUNCTION("""COMPUTED_VALUE"""),90.0)</f>
        <v>90</v>
      </c>
      <c r="D410" s="32"/>
      <c r="E410" s="32" t="str">
        <f>IFERROR(__xludf.DUMMYFUNCTION("""COMPUTED_VALUE"""),"Undoes Lost Soul. If Lost Soul hasn’t been casted, then doubles the effects of the next two spells.")</f>
        <v>Undoes Lost Soul. If Lost Soul hasn’t been casted, then doubles the effects of the next two spells.</v>
      </c>
      <c r="F410" s="32" t="str">
        <f>IFERROR(__xludf.DUMMYFUNCTION("""COMPUTED_VALUE"""),"Will Succeed")</f>
        <v>Will Succeed</v>
      </c>
      <c r="G410" s="32"/>
      <c r="H410" s="32" t="str">
        <f>IFERROR(__xludf.DUMMYFUNCTION("""COMPUTED_VALUE"""),"Spirit")</f>
        <v>Spirit</v>
      </c>
      <c r="I410" s="32" t="str">
        <f>IFERROR(__xludf.DUMMYFUNCTION("""COMPUTED_VALUE"""),"Player")</f>
        <v>Player</v>
      </c>
      <c r="J410" s="32" t="b">
        <f>IFERROR(__xludf.DUMMYFUNCTION("""COMPUTED_VALUE"""),FALSE)</f>
        <v>0</v>
      </c>
      <c r="K410" s="32"/>
      <c r="L410" s="32" t="b">
        <f>IFERROR(__xludf.DUMMYFUNCTION("""COMPUTED_VALUE"""),TRUE)</f>
        <v>1</v>
      </c>
      <c r="M410" s="32" t="b">
        <f>IFERROR(__xludf.DUMMYFUNCTION("""COMPUTED_VALUE"""),FALSE)</f>
        <v>0</v>
      </c>
      <c r="N410" s="32"/>
    </row>
    <row r="411">
      <c r="A411" s="32" t="str">
        <f>IFERROR(__xludf.DUMMYFUNCTION("""COMPUTED_VALUE"""),"HP Recover")</f>
        <v>HP Recover</v>
      </c>
      <c r="B411" s="34">
        <f>IFERROR(__xludf.DUMMYFUNCTION("""COMPUTED_VALUE"""),1.0)</f>
        <v>1</v>
      </c>
      <c r="C411" s="32">
        <f>IFERROR(__xludf.DUMMYFUNCTION("""COMPUTED_VALUE"""),0.0)</f>
        <v>0</v>
      </c>
      <c r="D411" s="32"/>
      <c r="E411" s="32" t="str">
        <f>IFERROR(__xludf.DUMMYFUNCTION("""COMPUTED_VALUE"""),"Regain 5000 HP. Can only be used three times per character per session.")</f>
        <v>Regain 5000 HP. Can only be used three times per character per session.</v>
      </c>
      <c r="F411" s="32" t="str">
        <f>IFERROR(__xludf.DUMMYFUNCTION("""COMPUTED_VALUE"""),"Natural/Will Succeed")</f>
        <v>Natural/Will Succeed</v>
      </c>
      <c r="G411" s="32"/>
      <c r="H411" s="32" t="str">
        <f>IFERROR(__xludf.DUMMYFUNCTION("""COMPUTED_VALUE"""),"Spirit")</f>
        <v>Spirit</v>
      </c>
      <c r="I411" s="32" t="str">
        <f>IFERROR(__xludf.DUMMYFUNCTION("""COMPUTED_VALUE"""),"Player")</f>
        <v>Player</v>
      </c>
      <c r="J411" s="32" t="b">
        <f>IFERROR(__xludf.DUMMYFUNCTION("""COMPUTED_VALUE"""),FALSE)</f>
        <v>0</v>
      </c>
      <c r="K411" s="32"/>
      <c r="L411" s="32" t="b">
        <f>IFERROR(__xludf.DUMMYFUNCTION("""COMPUTED_VALUE"""),TRUE)</f>
        <v>1</v>
      </c>
      <c r="M411" s="32" t="b">
        <f>IFERROR(__xludf.DUMMYFUNCTION("""COMPUTED_VALUE"""),FALSE)</f>
        <v>0</v>
      </c>
      <c r="N411" s="32"/>
    </row>
    <row r="412">
      <c r="A412" s="32" t="str">
        <f>IFERROR(__xludf.DUMMYFUNCTION("""COMPUTED_VALUE"""),"Lost Soul")</f>
        <v>Lost Soul</v>
      </c>
      <c r="B412" s="34">
        <f>IFERROR(__xludf.DUMMYFUNCTION("""COMPUTED_VALUE"""),6.0)</f>
        <v>6</v>
      </c>
      <c r="C412" s="32">
        <f>IFERROR(__xludf.DUMMYFUNCTION("""COMPUTED_VALUE"""),90.0)</f>
        <v>90</v>
      </c>
      <c r="D412" s="32"/>
      <c r="E412" s="32"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32" t="str">
        <f>IFERROR(__xludf.DUMMYFUNCTION("""COMPUTED_VALUE"""),"Will Succeed")</f>
        <v>Will Succeed</v>
      </c>
      <c r="G412" s="32"/>
      <c r="H412" s="32" t="str">
        <f>IFERROR(__xludf.DUMMYFUNCTION("""COMPUTED_VALUE"""),"Spirit")</f>
        <v>Spirit</v>
      </c>
      <c r="I412" s="32" t="str">
        <f>IFERROR(__xludf.DUMMYFUNCTION("""COMPUTED_VALUE"""),"Player")</f>
        <v>Player</v>
      </c>
      <c r="J412" s="32" t="b">
        <f>IFERROR(__xludf.DUMMYFUNCTION("""COMPUTED_VALUE"""),FALSE)</f>
        <v>0</v>
      </c>
      <c r="K412" s="32"/>
      <c r="L412" s="32" t="b">
        <f>IFERROR(__xludf.DUMMYFUNCTION("""COMPUTED_VALUE"""),TRUE)</f>
        <v>1</v>
      </c>
      <c r="M412" s="32" t="b">
        <f>IFERROR(__xludf.DUMMYFUNCTION("""COMPUTED_VALUE"""),FALSE)</f>
        <v>0</v>
      </c>
      <c r="N412" s="32"/>
    </row>
    <row r="413">
      <c r="A413" s="32" t="str">
        <f>IFERROR(__xludf.DUMMYFUNCTION("""COMPUTED_VALUE"""),"Negative Energy")</f>
        <v>Negative Energy</v>
      </c>
      <c r="B413" s="34">
        <f>IFERROR(__xludf.DUMMYFUNCTION("""COMPUTED_VALUE"""),5.0)</f>
        <v>5</v>
      </c>
      <c r="C413" s="32">
        <f>IFERROR(__xludf.DUMMYFUNCTION("""COMPUTED_VALUE"""),50.0)</f>
        <v>50</v>
      </c>
      <c r="D413" s="32"/>
      <c r="E413" s="32" t="str">
        <f>IFERROR(__xludf.DUMMYFUNCTION("""COMPUTED_VALUE"""),"Target halfs the damage from their next attack.")</f>
        <v>Target halfs the damage from their next attack.</v>
      </c>
      <c r="F413" s="32" t="str">
        <f>IFERROR(__xludf.DUMMYFUNCTION("""COMPUTED_VALUE"""),"Fail/succeed")</f>
        <v>Fail/succeed</v>
      </c>
      <c r="G413" s="32"/>
      <c r="H413" s="32" t="str">
        <f>IFERROR(__xludf.DUMMYFUNCTION("""COMPUTED_VALUE"""),"Spirit")</f>
        <v>Spirit</v>
      </c>
      <c r="I413" s="32" t="str">
        <f>IFERROR(__xludf.DUMMYFUNCTION("""COMPUTED_VALUE"""),"Player")</f>
        <v>Player</v>
      </c>
      <c r="J413" s="32" t="b">
        <f>IFERROR(__xludf.DUMMYFUNCTION("""COMPUTED_VALUE"""),FALSE)</f>
        <v>0</v>
      </c>
      <c r="K413" s="32"/>
      <c r="L413" s="32" t="b">
        <f>IFERROR(__xludf.DUMMYFUNCTION("""COMPUTED_VALUE"""),TRUE)</f>
        <v>1</v>
      </c>
      <c r="M413" s="32" t="b">
        <f>IFERROR(__xludf.DUMMYFUNCTION("""COMPUTED_VALUE"""),FALSE)</f>
        <v>0</v>
      </c>
      <c r="N413" s="32"/>
    </row>
    <row r="414">
      <c r="A414" s="32" t="str">
        <f>IFERROR(__xludf.DUMMYFUNCTION("""COMPUTED_VALUE"""),"Portal From Abstara")</f>
        <v>Portal From Abstara</v>
      </c>
      <c r="B414" s="34">
        <f>IFERROR(__xludf.DUMMYFUNCTION("""COMPUTED_VALUE"""),9.0)</f>
        <v>9</v>
      </c>
      <c r="C414" s="33">
        <f>IFERROR(__xludf.DUMMYFUNCTION("""COMPUTED_VALUE"""),1000.0)</f>
        <v>1000</v>
      </c>
      <c r="D414" s="32"/>
      <c r="E414" s="32" t="str">
        <f>IFERROR(__xludf.DUMMYFUNCTION("""COMPUTED_VALUE"""),"Creates a demonic summoning portal sending demons to instantly kill everyone in battle, even the caster.")</f>
        <v>Creates a demonic summoning portal sending demons to instantly kill everyone in battle, even the caster.</v>
      </c>
      <c r="F414" s="32" t="str">
        <f>IFERROR(__xludf.DUMMYFUNCTION("""COMPUTED_VALUE"""),"Fail/Succeed")</f>
        <v>Fail/Succeed</v>
      </c>
      <c r="G414" s="32" t="str">
        <f>IFERROR(__xludf.DUMMYFUNCTION("""COMPUTED_VALUE"""),"All")</f>
        <v>All</v>
      </c>
      <c r="H414" s="32" t="str">
        <f>IFERROR(__xludf.DUMMYFUNCTION("""COMPUTED_VALUE"""),"Spirit")</f>
        <v>Spirit</v>
      </c>
      <c r="I414" s="32" t="str">
        <f>IFERROR(__xludf.DUMMYFUNCTION("""COMPUTED_VALUE"""),"Player")</f>
        <v>Player</v>
      </c>
      <c r="J414" s="32" t="b">
        <f>IFERROR(__xludf.DUMMYFUNCTION("""COMPUTED_VALUE"""),TRUE)</f>
        <v>1</v>
      </c>
      <c r="K414" s="32" t="str">
        <f>IFERROR(__xludf.DUMMYFUNCTION("""COMPUTED_VALUE"""),"shop spell")</f>
        <v>shop spell</v>
      </c>
      <c r="L414" s="32" t="b">
        <f>IFERROR(__xludf.DUMMYFUNCTION("""COMPUTED_VALUE"""),TRUE)</f>
        <v>1</v>
      </c>
      <c r="M414" s="32" t="b">
        <f>IFERROR(__xludf.DUMMYFUNCTION("""COMPUTED_VALUE"""),FALSE)</f>
        <v>0</v>
      </c>
      <c r="N414" s="32"/>
    </row>
    <row r="415">
      <c r="A415" s="32" t="str">
        <f>IFERROR(__xludf.DUMMYFUNCTION("""COMPUTED_VALUE"""),"Positive Energy")</f>
        <v>Positive Energy</v>
      </c>
      <c r="B415" s="34">
        <f>IFERROR(__xludf.DUMMYFUNCTION("""COMPUTED_VALUE"""),5.0)</f>
        <v>5</v>
      </c>
      <c r="C415" s="32">
        <f>IFERROR(__xludf.DUMMYFUNCTION("""COMPUTED_VALUE"""),50.0)</f>
        <v>50</v>
      </c>
      <c r="D415" s="32"/>
      <c r="E415" s="32" t="str">
        <f>IFERROR(__xludf.DUMMYFUNCTION("""COMPUTED_VALUE"""),"X2 additional spirit damage for caster only.")</f>
        <v>X2 additional spirit damage for caster only.</v>
      </c>
      <c r="F415" s="32" t="str">
        <f>IFERROR(__xludf.DUMMYFUNCTION("""COMPUTED_VALUE"""),"Fail/Succeed")</f>
        <v>Fail/Succeed</v>
      </c>
      <c r="G415" s="32"/>
      <c r="H415" s="32" t="str">
        <f>IFERROR(__xludf.DUMMYFUNCTION("""COMPUTED_VALUE"""),"Spirit")</f>
        <v>Spirit</v>
      </c>
      <c r="I415" s="32" t="str">
        <f>IFERROR(__xludf.DUMMYFUNCTION("""COMPUTED_VALUE"""),"Player")</f>
        <v>Player</v>
      </c>
      <c r="J415" s="32" t="b">
        <f>IFERROR(__xludf.DUMMYFUNCTION("""COMPUTED_VALUE"""),FALSE)</f>
        <v>0</v>
      </c>
      <c r="K415" s="32"/>
      <c r="L415" s="32" t="b">
        <f>IFERROR(__xludf.DUMMYFUNCTION("""COMPUTED_VALUE"""),TRUE)</f>
        <v>1</v>
      </c>
      <c r="M415" s="32" t="b">
        <f>IFERROR(__xludf.DUMMYFUNCTION("""COMPUTED_VALUE"""),FALSE)</f>
        <v>0</v>
      </c>
      <c r="N415" s="32"/>
    </row>
    <row r="416">
      <c r="A416" s="32" t="str">
        <f>IFERROR(__xludf.DUMMYFUNCTION("""COMPUTED_VALUE"""),"Possession")</f>
        <v>Possession</v>
      </c>
      <c r="B416" s="34">
        <f>IFERROR(__xludf.DUMMYFUNCTION("""COMPUTED_VALUE"""),6.0)</f>
        <v>6</v>
      </c>
      <c r="C416" s="32">
        <f>IFERROR(__xludf.DUMMYFUNCTION("""COMPUTED_VALUE"""),90.0)</f>
        <v>90</v>
      </c>
      <c r="D416" s="32"/>
      <c r="E416" s="32" t="str">
        <f>IFERROR(__xludf.DUMMYFUNCTION("""COMPUTED_VALUE"""),"Possess one target, making them under your control until they are killed or banished. Cannot be canceled.")</f>
        <v>Possess one target, making them under your control until they are killed or banished. Cannot be canceled.</v>
      </c>
      <c r="F416" s="32" t="str">
        <f>IFERROR(__xludf.DUMMYFUNCTION("""COMPUTED_VALUE"""),"Fail/Succeed")</f>
        <v>Fail/Succeed</v>
      </c>
      <c r="G416" s="32"/>
      <c r="H416" s="32" t="str">
        <f>IFERROR(__xludf.DUMMYFUNCTION("""COMPUTED_VALUE"""),"Spirit")</f>
        <v>Spirit</v>
      </c>
      <c r="I416" s="32" t="str">
        <f>IFERROR(__xludf.DUMMYFUNCTION("""COMPUTED_VALUE"""),"Player")</f>
        <v>Player</v>
      </c>
      <c r="J416" s="32" t="b">
        <f>IFERROR(__xludf.DUMMYFUNCTION("""COMPUTED_VALUE"""),FALSE)</f>
        <v>0</v>
      </c>
      <c r="K416" s="32"/>
      <c r="L416" s="32" t="b">
        <f>IFERROR(__xludf.DUMMYFUNCTION("""COMPUTED_VALUE"""),TRUE)</f>
        <v>1</v>
      </c>
      <c r="M416" s="32" t="b">
        <f>IFERROR(__xludf.DUMMYFUNCTION("""COMPUTED_VALUE"""),FALSE)</f>
        <v>0</v>
      </c>
      <c r="N416" s="32"/>
    </row>
    <row r="417">
      <c r="A417" s="32" t="str">
        <f>IFERROR(__xludf.DUMMYFUNCTION("""COMPUTED_VALUE"""),"Rain of Souls")</f>
        <v>Rain of Souls</v>
      </c>
      <c r="B417" s="34">
        <f>IFERROR(__xludf.DUMMYFUNCTION("""COMPUTED_VALUE"""),9.0)</f>
        <v>9</v>
      </c>
      <c r="C417" s="32">
        <f>IFERROR(__xludf.DUMMYFUNCTION("""COMPUTED_VALUE"""),300.0)</f>
        <v>300</v>
      </c>
      <c r="D417" s="32"/>
      <c r="E417" s="32" t="str">
        <f>IFERROR(__xludf.DUMMYFUNCTION("""COMPUTED_VALUE"""),"Release X amount of souls to regain X*100 SP for self and allies.")</f>
        <v>Release X amount of souls to regain X*100 SP for self and allies.</v>
      </c>
      <c r="F417" s="32" t="str">
        <f>IFERROR(__xludf.DUMMYFUNCTION("""COMPUTED_VALUE"""),"Will Succeed")</f>
        <v>Will Succeed</v>
      </c>
      <c r="G417" s="32"/>
      <c r="H417" s="32" t="str">
        <f>IFERROR(__xludf.DUMMYFUNCTION("""COMPUTED_VALUE"""),"Spirit")</f>
        <v>Spirit</v>
      </c>
      <c r="I417" s="32" t="str">
        <f>IFERROR(__xludf.DUMMYFUNCTION("""COMPUTED_VALUE"""),"Player")</f>
        <v>Player</v>
      </c>
      <c r="J417" s="32" t="b">
        <f>IFERROR(__xludf.DUMMYFUNCTION("""COMPUTED_VALUE"""),FALSE)</f>
        <v>0</v>
      </c>
      <c r="K417" s="32"/>
      <c r="L417" s="32" t="b">
        <f>IFERROR(__xludf.DUMMYFUNCTION("""COMPUTED_VALUE"""),TRUE)</f>
        <v>1</v>
      </c>
      <c r="M417" s="32" t="b">
        <f>IFERROR(__xludf.DUMMYFUNCTION("""COMPUTED_VALUE"""),FALSE)</f>
        <v>0</v>
      </c>
      <c r="N417" s="32"/>
    </row>
    <row r="418">
      <c r="A418" s="32" t="str">
        <f>IFERROR(__xludf.DUMMYFUNCTION("""COMPUTED_VALUE"""),"Reapers Curse")</f>
        <v>Reapers Curse</v>
      </c>
      <c r="B418" s="34">
        <f>IFERROR(__xludf.DUMMYFUNCTION("""COMPUTED_VALUE"""),1.0)</f>
        <v>1</v>
      </c>
      <c r="C418" s="32">
        <f>IFERROR(__xludf.DUMMYFUNCTION("""COMPUTED_VALUE"""),0.0)</f>
        <v>0</v>
      </c>
      <c r="D418" s="32"/>
      <c r="E418" s="32" t="str">
        <f>IFERROR(__xludf.DUMMYFUNCTION("""COMPUTED_VALUE"""),"Permanantly kills the target. If it's player, their character is removed from the game.")</f>
        <v>Permanantly kills the target. If it's player, their character is removed from the game.</v>
      </c>
      <c r="F418" s="32" t="str">
        <f>IFERROR(__xludf.DUMMYFUNCTION("""COMPUTED_VALUE"""),"Fail or Succeed")</f>
        <v>Fail or Succeed</v>
      </c>
      <c r="G418" s="32"/>
      <c r="H418" s="32" t="str">
        <f>IFERROR(__xludf.DUMMYFUNCTION("""COMPUTED_VALUE"""),"Spirit")</f>
        <v>Spirit</v>
      </c>
      <c r="I418" s="32" t="str">
        <f>IFERROR(__xludf.DUMMYFUNCTION("""COMPUTED_VALUE"""),"Mob")</f>
        <v>Mob</v>
      </c>
      <c r="J418" s="32" t="b">
        <f>IFERROR(__xludf.DUMMYFUNCTION("""COMPUTED_VALUE"""),TRUE)</f>
        <v>1</v>
      </c>
      <c r="K418" s="32"/>
      <c r="L418" s="32" t="b">
        <f>IFERROR(__xludf.DUMMYFUNCTION("""COMPUTED_VALUE"""),TRUE)</f>
        <v>1</v>
      </c>
      <c r="M418" s="32" t="b">
        <f>IFERROR(__xludf.DUMMYFUNCTION("""COMPUTED_VALUE"""),TRUE)</f>
        <v>1</v>
      </c>
      <c r="N418" s="32"/>
    </row>
    <row r="419">
      <c r="A419" s="32" t="str">
        <f>IFERROR(__xludf.DUMMYFUNCTION("""COMPUTED_VALUE"""),"Soul Absorption")</f>
        <v>Soul Absorption</v>
      </c>
      <c r="B419" s="34">
        <f>IFERROR(__xludf.DUMMYFUNCTION("""COMPUTED_VALUE"""),8.0)</f>
        <v>8</v>
      </c>
      <c r="C419" s="32">
        <f>IFERROR(__xludf.DUMMYFUNCTION("""COMPUTED_VALUE"""),200.0)</f>
        <v>200</v>
      </c>
      <c r="D419" s="32"/>
      <c r="E419" s="32"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32" t="str">
        <f>IFERROR(__xludf.DUMMYFUNCTION("""COMPUTED_VALUE"""),"Fail/succeed")</f>
        <v>Fail/succeed</v>
      </c>
      <c r="G419" s="32"/>
      <c r="H419" s="32" t="str">
        <f>IFERROR(__xludf.DUMMYFUNCTION("""COMPUTED_VALUE"""),"Spirit")</f>
        <v>Spirit</v>
      </c>
      <c r="I419" s="32" t="str">
        <f>IFERROR(__xludf.DUMMYFUNCTION("""COMPUTED_VALUE"""),"Player")</f>
        <v>Player</v>
      </c>
      <c r="J419" s="32" t="b">
        <f>IFERROR(__xludf.DUMMYFUNCTION("""COMPUTED_VALUE"""),FALSE)</f>
        <v>0</v>
      </c>
      <c r="K419" s="32"/>
      <c r="L419" s="32" t="b">
        <f>IFERROR(__xludf.DUMMYFUNCTION("""COMPUTED_VALUE"""),TRUE)</f>
        <v>1</v>
      </c>
      <c r="M419" s="32" t="b">
        <f>IFERROR(__xludf.DUMMYFUNCTION("""COMPUTED_VALUE"""),FALSE)</f>
        <v>0</v>
      </c>
      <c r="N419" s="32"/>
    </row>
    <row r="420">
      <c r="A420" s="32" t="str">
        <f>IFERROR(__xludf.DUMMYFUNCTION("""COMPUTED_VALUE"""),"Soul Trap")</f>
        <v>Soul Trap</v>
      </c>
      <c r="B420" s="34">
        <f>IFERROR(__xludf.DUMMYFUNCTION("""COMPUTED_VALUE"""),6.0)</f>
        <v>6</v>
      </c>
      <c r="C420" s="32">
        <f>IFERROR(__xludf.DUMMYFUNCTION("""COMPUTED_VALUE"""),60.0)</f>
        <v>60</v>
      </c>
      <c r="D420" s="32"/>
      <c r="E420" s="32" t="str">
        <f>IFERROR(__xludf.DUMMYFUNCTION("""COMPUTED_VALUE"""),"Trap 1 target in a soul binding cage causing Stun 3.")</f>
        <v>Trap 1 target in a soul binding cage causing Stun 3.</v>
      </c>
      <c r="F420" s="32" t="str">
        <f>IFERROR(__xludf.DUMMYFUNCTION("""COMPUTED_VALUE"""),"Fail/Succeed")</f>
        <v>Fail/Succeed</v>
      </c>
      <c r="G420" s="32"/>
      <c r="H420" s="32" t="str">
        <f>IFERROR(__xludf.DUMMYFUNCTION("""COMPUTED_VALUE"""),"Spirit")</f>
        <v>Spirit</v>
      </c>
      <c r="I420" s="32" t="str">
        <f>IFERROR(__xludf.DUMMYFUNCTION("""COMPUTED_VALUE"""),"Player")</f>
        <v>Player</v>
      </c>
      <c r="J420" s="32" t="b">
        <f>IFERROR(__xludf.DUMMYFUNCTION("""COMPUTED_VALUE"""),FALSE)</f>
        <v>0</v>
      </c>
      <c r="K420" s="32"/>
      <c r="L420" s="32" t="b">
        <f>IFERROR(__xludf.DUMMYFUNCTION("""COMPUTED_VALUE"""),TRUE)</f>
        <v>1</v>
      </c>
      <c r="M420" s="32" t="b">
        <f>IFERROR(__xludf.DUMMYFUNCTION("""COMPUTED_VALUE"""),FALSE)</f>
        <v>0</v>
      </c>
      <c r="N420" s="32"/>
    </row>
    <row r="421">
      <c r="A421" s="32" t="str">
        <f>IFERROR(__xludf.DUMMYFUNCTION("""COMPUTED_VALUE"""),"SP Recover")</f>
        <v>SP Recover</v>
      </c>
      <c r="B421" s="34">
        <f>IFERROR(__xludf.DUMMYFUNCTION("""COMPUTED_VALUE"""),1.0)</f>
        <v>1</v>
      </c>
      <c r="C421" s="32">
        <f>IFERROR(__xludf.DUMMYFUNCTION("""COMPUTED_VALUE"""),0.0)</f>
        <v>0</v>
      </c>
      <c r="D421" s="32"/>
      <c r="E421" s="32" t="str">
        <f>IFERROR(__xludf.DUMMYFUNCTION("""COMPUTED_VALUE"""),"Regain 5000 SP. Can only be used three times per character per session.")</f>
        <v>Regain 5000 SP. Can only be used three times per character per session.</v>
      </c>
      <c r="F421" s="32" t="str">
        <f>IFERROR(__xludf.DUMMYFUNCTION("""COMPUTED_VALUE"""),"Natural/Will Succeed")</f>
        <v>Natural/Will Succeed</v>
      </c>
      <c r="G421" s="32"/>
      <c r="H421" s="32" t="str">
        <f>IFERROR(__xludf.DUMMYFUNCTION("""COMPUTED_VALUE"""),"Spirit")</f>
        <v>Spirit</v>
      </c>
      <c r="I421" s="32" t="str">
        <f>IFERROR(__xludf.DUMMYFUNCTION("""COMPUTED_VALUE"""),"Player")</f>
        <v>Player</v>
      </c>
      <c r="J421" s="32" t="b">
        <f>IFERROR(__xludf.DUMMYFUNCTION("""COMPUTED_VALUE"""),FALSE)</f>
        <v>0</v>
      </c>
      <c r="K421" s="32"/>
      <c r="L421" s="32" t="b">
        <f>IFERROR(__xludf.DUMMYFUNCTION("""COMPUTED_VALUE"""),TRUE)</f>
        <v>1</v>
      </c>
      <c r="M421" s="32" t="b">
        <f>IFERROR(__xludf.DUMMYFUNCTION("""COMPUTED_VALUE"""),FALSE)</f>
        <v>0</v>
      </c>
      <c r="N421" s="32"/>
    </row>
    <row r="422">
      <c r="A422" s="32" t="str">
        <f>IFERROR(__xludf.DUMMYFUNCTION("""COMPUTED_VALUE"""),"Spirit Drain")</f>
        <v>Spirit Drain</v>
      </c>
      <c r="B422" s="34">
        <f>IFERROR(__xludf.DUMMYFUNCTION("""COMPUTED_VALUE"""),6.0)</f>
        <v>6</v>
      </c>
      <c r="C422" s="32" t="str">
        <f>IFERROR(__xludf.DUMMYFUNCTION("""COMPUTED_VALUE"""),"½ Current SP")</f>
        <v>½ Current SP</v>
      </c>
      <c r="D422" s="32"/>
      <c r="E422" s="32" t="str">
        <f>IFERROR(__xludf.DUMMYFUNCTION("""COMPUTED_VALUE"""),"Costs half current SP, drains half of target’s current SP")</f>
        <v>Costs half current SP, drains half of target’s current SP</v>
      </c>
      <c r="F422" s="32" t="str">
        <f>IFERROR(__xludf.DUMMYFUNCTION("""COMPUTED_VALUE"""),"Fail/Succeed")</f>
        <v>Fail/Succeed</v>
      </c>
      <c r="G422" s="32"/>
      <c r="H422" s="32" t="str">
        <f>IFERROR(__xludf.DUMMYFUNCTION("""COMPUTED_VALUE"""),"Spirit")</f>
        <v>Spirit</v>
      </c>
      <c r="I422" s="32" t="str">
        <f>IFERROR(__xludf.DUMMYFUNCTION("""COMPUTED_VALUE"""),"Player")</f>
        <v>Player</v>
      </c>
      <c r="J422" s="32" t="b">
        <f>IFERROR(__xludf.DUMMYFUNCTION("""COMPUTED_VALUE"""),FALSE)</f>
        <v>0</v>
      </c>
      <c r="K422" s="32"/>
      <c r="L422" s="32" t="b">
        <f>IFERROR(__xludf.DUMMYFUNCTION("""COMPUTED_VALUE"""),TRUE)</f>
        <v>1</v>
      </c>
      <c r="M422" s="32" t="b">
        <f>IFERROR(__xludf.DUMMYFUNCTION("""COMPUTED_VALUE"""),FALSE)</f>
        <v>0</v>
      </c>
      <c r="N422" s="32"/>
    </row>
    <row r="423">
      <c r="A423" s="32" t="str">
        <f>IFERROR(__xludf.DUMMYFUNCTION("""COMPUTED_VALUE"""),"Incorporeal Form")</f>
        <v>Incorporeal Form</v>
      </c>
      <c r="B423" s="34">
        <f>IFERROR(__xludf.DUMMYFUNCTION("""COMPUTED_VALUE"""),9.0)</f>
        <v>9</v>
      </c>
      <c r="C423" s="32">
        <f>IFERROR(__xludf.DUMMYFUNCTION("""COMPUTED_VALUE"""),500.0)</f>
        <v>500</v>
      </c>
      <c r="D423" s="32"/>
      <c r="E423" s="32" t="str">
        <f>IFERROR(__xludf.DUMMYFUNCTION("""COMPUTED_VALUE"""),"Grants Incorporeal 3 to self Can only be cast once every 6 rounds.")</f>
        <v>Grants Incorporeal 3 to self Can only be cast once every 6 rounds.</v>
      </c>
      <c r="F423" s="32" t="str">
        <f>IFERROR(__xludf.DUMMYFUNCTION("""COMPUTED_VALUE"""),"Fail/Succeed")</f>
        <v>Fail/Succeed</v>
      </c>
      <c r="G423" s="32" t="str">
        <f>IFERROR(__xludf.DUMMYFUNCTION("""COMPUTED_VALUE"""),"Self")</f>
        <v>Self</v>
      </c>
      <c r="H423" s="32" t="str">
        <f>IFERROR(__xludf.DUMMYFUNCTION("""COMPUTED_VALUE"""),"Spirit")</f>
        <v>Spirit</v>
      </c>
      <c r="I423" s="32" t="str">
        <f>IFERROR(__xludf.DUMMYFUNCTION("""COMPUTED_VALUE"""),"Player")</f>
        <v>Player</v>
      </c>
      <c r="J423" s="32" t="b">
        <f>IFERROR(__xludf.DUMMYFUNCTION("""COMPUTED_VALUE"""),FALSE)</f>
        <v>0</v>
      </c>
      <c r="K423" s="32"/>
      <c r="L423" s="32" t="b">
        <f>IFERROR(__xludf.DUMMYFUNCTION("""COMPUTED_VALUE"""),FALSE)</f>
        <v>0</v>
      </c>
      <c r="M423" s="32" t="b">
        <f>IFERROR(__xludf.DUMMYFUNCTION("""COMPUTED_VALUE"""),FALSE)</f>
        <v>0</v>
      </c>
      <c r="N423" s="32"/>
    </row>
    <row r="424">
      <c r="A424" s="32" t="str">
        <f>IFERROR(__xludf.DUMMYFUNCTION("""COMPUTED_VALUE"""),"Shaken Soul")</f>
        <v>Shaken Soul</v>
      </c>
      <c r="B424" s="34">
        <f>IFERROR(__xludf.DUMMYFUNCTION("""COMPUTED_VALUE"""),5.0)</f>
        <v>5</v>
      </c>
      <c r="C424" s="32">
        <f>IFERROR(__xludf.DUMMYFUNCTION("""COMPUTED_VALUE"""),50.0)</f>
        <v>50</v>
      </c>
      <c r="D424" s="32"/>
      <c r="E424" s="32"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32" t="str">
        <f>IFERROR(__xludf.DUMMYFUNCTION("""COMPUTED_VALUE"""),"Fail/Succeed")</f>
        <v>Fail/Succeed</v>
      </c>
      <c r="G424" s="32">
        <f>IFERROR(__xludf.DUMMYFUNCTION("""COMPUTED_VALUE"""),1.0)</f>
        <v>1</v>
      </c>
      <c r="H424" s="32" t="str">
        <f>IFERROR(__xludf.DUMMYFUNCTION("""COMPUTED_VALUE"""),"Spirit")</f>
        <v>Spirit</v>
      </c>
      <c r="I424" s="32" t="str">
        <f>IFERROR(__xludf.DUMMYFUNCTION("""COMPUTED_VALUE"""),"Mob")</f>
        <v>Mob</v>
      </c>
      <c r="J424" s="32" t="b">
        <f>IFERROR(__xludf.DUMMYFUNCTION("""COMPUTED_VALUE"""),TRUE)</f>
        <v>1</v>
      </c>
      <c r="K424" s="32"/>
      <c r="L424" s="32" t="b">
        <f>IFERROR(__xludf.DUMMYFUNCTION("""COMPUTED_VALUE"""),FALSE)</f>
        <v>0</v>
      </c>
      <c r="M424" s="32" t="b">
        <f>IFERROR(__xludf.DUMMYFUNCTION("""COMPUTED_VALUE"""),TRUE)</f>
        <v>1</v>
      </c>
      <c r="N424" s="32"/>
    </row>
    <row r="425">
      <c r="A425" s="32" t="str">
        <f>IFERROR(__xludf.DUMMYFUNCTION("""COMPUTED_VALUE"""),"Soul Rend")</f>
        <v>Soul Rend</v>
      </c>
      <c r="B425" s="34">
        <f>IFERROR(__xludf.DUMMYFUNCTION("""COMPUTED_VALUE"""),5.0)</f>
        <v>5</v>
      </c>
      <c r="C425" s="32">
        <f>IFERROR(__xludf.DUMMYFUNCTION("""COMPUTED_VALUE"""),200.0)</f>
        <v>200</v>
      </c>
      <c r="D425" s="32"/>
      <c r="E425" s="32" t="str">
        <f>IFERROR(__xludf.DUMMYFUNCTION("""COMPUTED_VALUE"""),"Deal 2000 unblockable spirit damage and inflict the enemy with 10 Soulburn")</f>
        <v>Deal 2000 unblockable spirit damage and inflict the enemy with 10 Soulburn</v>
      </c>
      <c r="F425" s="32" t="str">
        <f>IFERROR(__xludf.DUMMYFUNCTION("""COMPUTED_VALUE"""),"Hit or MIss")</f>
        <v>Hit or MIss</v>
      </c>
      <c r="G425" s="32">
        <f>IFERROR(__xludf.DUMMYFUNCTION("""COMPUTED_VALUE"""),1.0)</f>
        <v>1</v>
      </c>
      <c r="H425" s="32" t="str">
        <f>IFERROR(__xludf.DUMMYFUNCTION("""COMPUTED_VALUE"""),"Spirit")</f>
        <v>Spirit</v>
      </c>
      <c r="I425" s="32" t="str">
        <f>IFERROR(__xludf.DUMMYFUNCTION("""COMPUTED_VALUE"""),"Player")</f>
        <v>Player</v>
      </c>
      <c r="J425" s="32" t="b">
        <f>IFERROR(__xludf.DUMMYFUNCTION("""COMPUTED_VALUE"""),FALSE)</f>
        <v>0</v>
      </c>
      <c r="K425" s="32"/>
      <c r="L425" s="32" t="b">
        <f>IFERROR(__xludf.DUMMYFUNCTION("""COMPUTED_VALUE"""),FALSE)</f>
        <v>0</v>
      </c>
      <c r="M425" s="32" t="b">
        <f>IFERROR(__xludf.DUMMYFUNCTION("""COMPUTED_VALUE"""),FALSE)</f>
        <v>0</v>
      </c>
      <c r="N425" s="32"/>
    </row>
    <row r="426">
      <c r="A426" s="32" t="str">
        <f>IFERROR(__xludf.DUMMYFUNCTION("""COMPUTED_VALUE"""),"Spirit's March")</f>
        <v>Spirit's March</v>
      </c>
      <c r="B426" s="34">
        <f>IFERROR(__xludf.DUMMYFUNCTION("""COMPUTED_VALUE"""),9.0)</f>
        <v>9</v>
      </c>
      <c r="C426" s="32" t="str">
        <f>IFERROR(__xludf.DUMMYFUNCTION("""COMPUTED_VALUE"""),"1d20*120")</f>
        <v>1d20*120</v>
      </c>
      <c r="D426" s="32"/>
      <c r="E426" s="32"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32" t="str">
        <f>IFERROR(__xludf.DUMMYFUNCTION("""COMPUTED_VALUE"""),"Cannot Avoid")</f>
        <v>Cannot Avoid</v>
      </c>
      <c r="G426" s="32" t="str">
        <f>IFERROR(__xludf.DUMMYFUNCTION("""COMPUTED_VALUE"""),"All")</f>
        <v>All</v>
      </c>
      <c r="H426" s="32" t="str">
        <f>IFERROR(__xludf.DUMMYFUNCTION("""COMPUTED_VALUE"""),"Spirit")</f>
        <v>Spirit</v>
      </c>
      <c r="I426" s="32" t="str">
        <f>IFERROR(__xludf.DUMMYFUNCTION("""COMPUTED_VALUE"""),"Player")</f>
        <v>Player</v>
      </c>
      <c r="J426" s="32" t="b">
        <f>IFERROR(__xludf.DUMMYFUNCTION("""COMPUTED_VALUE"""),FALSE)</f>
        <v>0</v>
      </c>
      <c r="K426" s="32"/>
      <c r="L426" s="32" t="b">
        <f>IFERROR(__xludf.DUMMYFUNCTION("""COMPUTED_VALUE"""),FALSE)</f>
        <v>0</v>
      </c>
      <c r="M426" s="32" t="b">
        <f>IFERROR(__xludf.DUMMYFUNCTION("""COMPUTED_VALUE"""),FALSE)</f>
        <v>0</v>
      </c>
      <c r="N426" s="32"/>
    </row>
    <row r="427">
      <c r="A427" s="32" t="str">
        <f>IFERROR(__xludf.DUMMYFUNCTION("""COMPUTED_VALUE"""),"Spectral Lash")</f>
        <v>Spectral Lash</v>
      </c>
      <c r="B427" s="34">
        <f>IFERROR(__xludf.DUMMYFUNCTION("""COMPUTED_VALUE"""),7.0)</f>
        <v>7</v>
      </c>
      <c r="C427" s="32">
        <f>IFERROR(__xludf.DUMMYFUNCTION("""COMPUTED_VALUE"""),500.0)</f>
        <v>500</v>
      </c>
      <c r="D427" s="32"/>
      <c r="E427" s="32" t="str">
        <f>IFERROR(__xludf.DUMMYFUNCTION("""COMPUTED_VALUE"""),"Unleash a stream of spectral magic upon an enemy inflicting them with Slowness 3 and Disoriented 5")</f>
        <v>Unleash a stream of spectral magic upon an enemy inflicting them with Slowness 3 and Disoriented 5</v>
      </c>
      <c r="F427" s="32" t="str">
        <f>IFERROR(__xludf.DUMMYFUNCTION("""COMPUTED_VALUE"""),"Fail or Succeed")</f>
        <v>Fail or Succeed</v>
      </c>
      <c r="G427" s="32">
        <f>IFERROR(__xludf.DUMMYFUNCTION("""COMPUTED_VALUE"""),1.0)</f>
        <v>1</v>
      </c>
      <c r="H427" s="32" t="str">
        <f>IFERROR(__xludf.DUMMYFUNCTION("""COMPUTED_VALUE"""),"Spirit")</f>
        <v>Spirit</v>
      </c>
      <c r="I427" s="32" t="str">
        <f>IFERROR(__xludf.DUMMYFUNCTION("""COMPUTED_VALUE"""),"Player")</f>
        <v>Player</v>
      </c>
      <c r="J427" s="32" t="b">
        <f>IFERROR(__xludf.DUMMYFUNCTION("""COMPUTED_VALUE"""),FALSE)</f>
        <v>0</v>
      </c>
      <c r="K427" s="32"/>
      <c r="L427" s="32" t="b">
        <f>IFERROR(__xludf.DUMMYFUNCTION("""COMPUTED_VALUE"""),FALSE)</f>
        <v>0</v>
      </c>
      <c r="M427" s="32" t="b">
        <f>IFERROR(__xludf.DUMMYFUNCTION("""COMPUTED_VALUE"""),FALSE)</f>
        <v>0</v>
      </c>
      <c r="N427" s="32"/>
    </row>
    <row r="428">
      <c r="A428" s="32" t="str">
        <f>IFERROR(__xludf.DUMMYFUNCTION("""COMPUTED_VALUE"""),"Taijuma's Spirit Art I: 5 Formation Seal")</f>
        <v>Taijuma's Spirit Art I: 5 Formation Seal</v>
      </c>
      <c r="B428" s="34">
        <f>IFERROR(__xludf.DUMMYFUNCTION("""COMPUTED_VALUE"""),1.0)</f>
        <v>1</v>
      </c>
      <c r="C428" s="32">
        <f>IFERROR(__xludf.DUMMYFUNCTION("""COMPUTED_VALUE"""),0.0)</f>
        <v>0</v>
      </c>
      <c r="D428" s="32"/>
      <c r="E428" s="32"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32" t="str">
        <f>IFERROR(__xludf.DUMMYFUNCTION("""COMPUTED_VALUE"""),"Natural/Fail or Succeed")</f>
        <v>Natural/Fail or Succeed</v>
      </c>
      <c r="G428" s="32">
        <f>IFERROR(__xludf.DUMMYFUNCTION("""COMPUTED_VALUE"""),1.0)</f>
        <v>1</v>
      </c>
      <c r="H428" s="32" t="str">
        <f>IFERROR(__xludf.DUMMYFUNCTION("""COMPUTED_VALUE"""),"Spirit")</f>
        <v>Spirit</v>
      </c>
      <c r="I428" s="32" t="str">
        <f>IFERROR(__xludf.DUMMYFUNCTION("""COMPUTED_VALUE"""),"Mob")</f>
        <v>Mob</v>
      </c>
      <c r="J428" s="32" t="b">
        <f>IFERROR(__xludf.DUMMYFUNCTION("""COMPUTED_VALUE"""),TRUE)</f>
        <v>1</v>
      </c>
      <c r="K428" s="32" t="str">
        <f>IFERROR(__xludf.DUMMYFUNCTION("""COMPUTED_VALUE"""),"Quest Spell")</f>
        <v>Quest Spell</v>
      </c>
      <c r="L428" s="32" t="b">
        <f>IFERROR(__xludf.DUMMYFUNCTION("""COMPUTED_VALUE"""),FALSE)</f>
        <v>0</v>
      </c>
      <c r="M428" s="32" t="b">
        <f>IFERROR(__xludf.DUMMYFUNCTION("""COMPUTED_VALUE"""),FALSE)</f>
        <v>0</v>
      </c>
      <c r="N428" s="32"/>
    </row>
    <row r="429">
      <c r="A429" s="32" t="str">
        <f>IFERROR(__xludf.DUMMYFUNCTION("""COMPUTED_VALUE"""),"Taijuma's Spirit Art II: Shatter")</f>
        <v>Taijuma's Spirit Art II: Shatter</v>
      </c>
      <c r="B429" s="34">
        <f>IFERROR(__xludf.DUMMYFUNCTION("""COMPUTED_VALUE"""),7.0)</f>
        <v>7</v>
      </c>
      <c r="C429" s="32">
        <f>IFERROR(__xludf.DUMMYFUNCTION("""COMPUTED_VALUE"""),1000.0)</f>
        <v>1000</v>
      </c>
      <c r="D429" s="32"/>
      <c r="E429" s="32"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32" t="str">
        <f>IFERROR(__xludf.DUMMYFUNCTION("""COMPUTED_VALUE"""),"Will Succeed")</f>
        <v>Will Succeed</v>
      </c>
      <c r="G429" s="32" t="str">
        <f>IFERROR(__xludf.DUMMYFUNCTION("""COMPUTED_VALUE"""),"Self, 1, or All")</f>
        <v>Self, 1, or All</v>
      </c>
      <c r="H429" s="32" t="str">
        <f>IFERROR(__xludf.DUMMYFUNCTION("""COMPUTED_VALUE"""),"Spirit")</f>
        <v>Spirit</v>
      </c>
      <c r="I429" s="32" t="str">
        <f>IFERROR(__xludf.DUMMYFUNCTION("""COMPUTED_VALUE"""),"Mob")</f>
        <v>Mob</v>
      </c>
      <c r="J429" s="32" t="b">
        <f>IFERROR(__xludf.DUMMYFUNCTION("""COMPUTED_VALUE"""),TRUE)</f>
        <v>1</v>
      </c>
      <c r="K429" s="32" t="str">
        <f>IFERROR(__xludf.DUMMYFUNCTION("""COMPUTED_VALUE"""),"Quest Spell")</f>
        <v>Quest Spell</v>
      </c>
      <c r="L429" s="32" t="b">
        <f>IFERROR(__xludf.DUMMYFUNCTION("""COMPUTED_VALUE"""),FALSE)</f>
        <v>0</v>
      </c>
      <c r="M429" s="32" t="b">
        <f>IFERROR(__xludf.DUMMYFUNCTION("""COMPUTED_VALUE"""),FALSE)</f>
        <v>0</v>
      </c>
      <c r="N429" s="32"/>
    </row>
    <row r="430">
      <c r="A430" s="32" t="str">
        <f>IFERROR(__xludf.DUMMYFUNCTION("""COMPUTED_VALUE"""),"Taijuma's Spirit Art III: Domination")</f>
        <v>Taijuma's Spirit Art III: Domination</v>
      </c>
      <c r="B430" s="34">
        <f>IFERROR(__xludf.DUMMYFUNCTION("""COMPUTED_VALUE"""),8.0)</f>
        <v>8</v>
      </c>
      <c r="C430" s="32">
        <f>IFERROR(__xludf.DUMMYFUNCTION("""COMPUTED_VALUE"""),50.0)</f>
        <v>50</v>
      </c>
      <c r="D430" s="32"/>
      <c r="E430" s="32"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32" t="str">
        <f>IFERROR(__xludf.DUMMYFUNCTION("""COMPUTED_VALUE"""),"Will Succeed")</f>
        <v>Will Succeed</v>
      </c>
      <c r="G430" s="32">
        <f>IFERROR(__xludf.DUMMYFUNCTION("""COMPUTED_VALUE"""),1.0)</f>
        <v>1</v>
      </c>
      <c r="H430" s="32" t="str">
        <f>IFERROR(__xludf.DUMMYFUNCTION("""COMPUTED_VALUE"""),"Spirit")</f>
        <v>Spirit</v>
      </c>
      <c r="I430" s="32" t="str">
        <f>IFERROR(__xludf.DUMMYFUNCTION("""COMPUTED_VALUE"""),"Mob")</f>
        <v>Mob</v>
      </c>
      <c r="J430" s="32" t="b">
        <f>IFERROR(__xludf.DUMMYFUNCTION("""COMPUTED_VALUE"""),TRUE)</f>
        <v>1</v>
      </c>
      <c r="K430" s="32" t="str">
        <f>IFERROR(__xludf.DUMMYFUNCTION("""COMPUTED_VALUE"""),"Quest Spell")</f>
        <v>Quest Spell</v>
      </c>
      <c r="L430" s="32" t="b">
        <f>IFERROR(__xludf.DUMMYFUNCTION("""COMPUTED_VALUE"""),FALSE)</f>
        <v>0</v>
      </c>
      <c r="M430" s="32" t="b">
        <f>IFERROR(__xludf.DUMMYFUNCTION("""COMPUTED_VALUE"""),FALSE)</f>
        <v>0</v>
      </c>
      <c r="N430" s="32"/>
    </row>
    <row r="431">
      <c r="A431" s="32" t="str">
        <f>IFERROR(__xludf.DUMMYFUNCTION("""COMPUTED_VALUE"""),"Taijuma's Spirit Art IV: Destined Death")</f>
        <v>Taijuma's Spirit Art IV: Destined Death</v>
      </c>
      <c r="B431" s="34">
        <f>IFERROR(__xludf.DUMMYFUNCTION("""COMPUTED_VALUE"""),9.0)</f>
        <v>9</v>
      </c>
      <c r="C431" s="32">
        <f>IFERROR(__xludf.DUMMYFUNCTION("""COMPUTED_VALUE"""),500.0)</f>
        <v>500</v>
      </c>
      <c r="D431" s="32"/>
      <c r="E431" s="32"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32" t="str">
        <f>IFERROR(__xludf.DUMMYFUNCTION("""COMPUTED_VALUE"""),"Will Succeed")</f>
        <v>Will Succeed</v>
      </c>
      <c r="G431" s="32" t="str">
        <f>IFERROR(__xludf.DUMMYFUNCTION("""COMPUTED_VALUE"""),"All")</f>
        <v>All</v>
      </c>
      <c r="H431" s="32" t="str">
        <f>IFERROR(__xludf.DUMMYFUNCTION("""COMPUTED_VALUE"""),"Spirit")</f>
        <v>Spirit</v>
      </c>
      <c r="I431" s="32" t="str">
        <f>IFERROR(__xludf.DUMMYFUNCTION("""COMPUTED_VALUE"""),"Mob")</f>
        <v>Mob</v>
      </c>
      <c r="J431" s="32" t="b">
        <f>IFERROR(__xludf.DUMMYFUNCTION("""COMPUTED_VALUE"""),TRUE)</f>
        <v>1</v>
      </c>
      <c r="K431" s="32" t="str">
        <f>IFERROR(__xludf.DUMMYFUNCTION("""COMPUTED_VALUE"""),"Quest Spell")</f>
        <v>Quest Spell</v>
      </c>
      <c r="L431" s="32" t="b">
        <f>IFERROR(__xludf.DUMMYFUNCTION("""COMPUTED_VALUE"""),FALSE)</f>
        <v>0</v>
      </c>
      <c r="M431" s="32" t="b">
        <f>IFERROR(__xludf.DUMMYFUNCTION("""COMPUTED_VALUE"""),FALSE)</f>
        <v>0</v>
      </c>
      <c r="N431" s="32"/>
    </row>
    <row r="432">
      <c r="A432" s="32" t="str">
        <f>IFERROR(__xludf.DUMMYFUNCTION("""COMPUTED_VALUE"""),"Spiritual Meld")</f>
        <v>Spiritual Meld</v>
      </c>
      <c r="B432" s="34">
        <f>IFERROR(__xludf.DUMMYFUNCTION("""COMPUTED_VALUE"""),9.0)</f>
        <v>9</v>
      </c>
      <c r="C432" s="32">
        <f>IFERROR(__xludf.DUMMYFUNCTION("""COMPUTED_VALUE"""),1000.0)</f>
        <v>1000</v>
      </c>
      <c r="D432" s="32"/>
      <c r="E432" s="32"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32" t="str">
        <f>IFERROR(__xludf.DUMMYFUNCTION("""COMPUTED_VALUE"""),"Fail/Succeed")</f>
        <v>Fail/Succeed</v>
      </c>
      <c r="G432" s="32" t="str">
        <f>IFERROR(__xludf.DUMMYFUNCTION("""COMPUTED_VALUE"""),"Self")</f>
        <v>Self</v>
      </c>
      <c r="H432" s="32" t="str">
        <f>IFERROR(__xludf.DUMMYFUNCTION("""COMPUTED_VALUE"""),"Spirit")</f>
        <v>Spirit</v>
      </c>
      <c r="I432" s="32" t="str">
        <f>IFERROR(__xludf.DUMMYFUNCTION("""COMPUTED_VALUE"""),"Player")</f>
        <v>Player</v>
      </c>
      <c r="J432" s="32" t="b">
        <f>IFERROR(__xludf.DUMMYFUNCTION("""COMPUTED_VALUE"""),TRUE)</f>
        <v>1</v>
      </c>
      <c r="K432" s="32" t="str">
        <f>IFERROR(__xludf.DUMMYFUNCTION("""COMPUTED_VALUE"""),"Item")</f>
        <v>Item</v>
      </c>
      <c r="L432" s="32" t="b">
        <f>IFERROR(__xludf.DUMMYFUNCTION("""COMPUTED_VALUE"""),FALSE)</f>
        <v>0</v>
      </c>
      <c r="M432" s="32" t="b">
        <f>IFERROR(__xludf.DUMMYFUNCTION("""COMPUTED_VALUE"""),FALSE)</f>
        <v>0</v>
      </c>
      <c r="N432" s="32"/>
    </row>
    <row r="433">
      <c r="A433" s="32" t="str">
        <f>IFERROR(__xludf.DUMMYFUNCTION("""COMPUTED_VALUE"""),"Vengeful Strike")</f>
        <v>Vengeful Strike</v>
      </c>
      <c r="B433" s="34">
        <f>IFERROR(__xludf.DUMMYFUNCTION("""COMPUTED_VALUE"""),9.0)</f>
        <v>9</v>
      </c>
      <c r="C433" s="32">
        <f>IFERROR(__xludf.DUMMYFUNCTION("""COMPUTED_VALUE"""),500.0)</f>
        <v>500</v>
      </c>
      <c r="D433" s="32"/>
      <c r="E433" s="32"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32" t="str">
        <f>IFERROR(__xludf.DUMMYFUNCTION("""COMPUTED_VALUE"""),"Fail/Succeed")</f>
        <v>Fail/Succeed</v>
      </c>
      <c r="G433" s="32" t="str">
        <f>IFERROR(__xludf.DUMMYFUNCTION("""COMPUTED_VALUE"""),"Self")</f>
        <v>Self</v>
      </c>
      <c r="H433" s="32" t="str">
        <f>IFERROR(__xludf.DUMMYFUNCTION("""COMPUTED_VALUE"""),"Spirit")</f>
        <v>Spirit</v>
      </c>
      <c r="I433" s="32" t="str">
        <f>IFERROR(__xludf.DUMMYFUNCTION("""COMPUTED_VALUE"""),"Player")</f>
        <v>Player</v>
      </c>
      <c r="J433" s="32" t="b">
        <f>IFERROR(__xludf.DUMMYFUNCTION("""COMPUTED_VALUE"""),FALSE)</f>
        <v>0</v>
      </c>
      <c r="K433" s="32"/>
      <c r="L433" s="32" t="b">
        <f>IFERROR(__xludf.DUMMYFUNCTION("""COMPUTED_VALUE"""),FALSE)</f>
        <v>0</v>
      </c>
      <c r="M433" s="32" t="b">
        <f>IFERROR(__xludf.DUMMYFUNCTION("""COMPUTED_VALUE"""),FALSE)</f>
        <v>0</v>
      </c>
      <c r="N433" s="32"/>
    </row>
    <row r="434">
      <c r="A434" s="32" t="str">
        <f>IFERROR(__xludf.DUMMYFUNCTION("""COMPUTED_VALUE"""),"Soul Shot")</f>
        <v>Soul Shot</v>
      </c>
      <c r="B434" s="34">
        <f>IFERROR(__xludf.DUMMYFUNCTION("""COMPUTED_VALUE"""),1.0)</f>
        <v>1</v>
      </c>
      <c r="C434" s="32" t="str">
        <f>IFERROR(__xludf.DUMMYFUNCTION("""COMPUTED_VALUE"""),"X")</f>
        <v>X</v>
      </c>
      <c r="D434" s="32"/>
      <c r="E434" s="32" t="str">
        <f>IFERROR(__xludf.DUMMYFUNCTION("""COMPUTED_VALUE"""),"Deals X*100 Undefendable Spirit damage to a single enemy where X is equal to SP spent.")</f>
        <v>Deals X*100 Undefendable Spirit damage to a single enemy where X is equal to SP spent.</v>
      </c>
      <c r="F434" s="32" t="str">
        <f>IFERROR(__xludf.DUMMYFUNCTION("""COMPUTED_VALUE"""),"Hit/Miss")</f>
        <v>Hit/Miss</v>
      </c>
      <c r="G434" s="32">
        <f>IFERROR(__xludf.DUMMYFUNCTION("""COMPUTED_VALUE"""),1.0)</f>
        <v>1</v>
      </c>
      <c r="H434" s="32" t="str">
        <f>IFERROR(__xludf.DUMMYFUNCTION("""COMPUTED_VALUE"""),"Spirit")</f>
        <v>Spirit</v>
      </c>
      <c r="I434" s="32" t="str">
        <f>IFERROR(__xludf.DUMMYFUNCTION("""COMPUTED_VALUE"""),"Player")</f>
        <v>Player</v>
      </c>
      <c r="J434" s="32" t="b">
        <f>IFERROR(__xludf.DUMMYFUNCTION("""COMPUTED_VALUE"""),FALSE)</f>
        <v>0</v>
      </c>
      <c r="K434" s="32"/>
      <c r="L434" s="32" t="b">
        <f>IFERROR(__xludf.DUMMYFUNCTION("""COMPUTED_VALUE"""),FALSE)</f>
        <v>0</v>
      </c>
      <c r="M434" s="32" t="b">
        <f>IFERROR(__xludf.DUMMYFUNCTION("""COMPUTED_VALUE"""),FALSE)</f>
        <v>0</v>
      </c>
      <c r="N434" s="32"/>
    </row>
    <row r="435">
      <c r="A435" s="32" t="str">
        <f>IFERROR(__xludf.DUMMYFUNCTION("""COMPUTED_VALUE"""),"Dread")</f>
        <v>Dread</v>
      </c>
      <c r="B435" s="34">
        <f>IFERROR(__xludf.DUMMYFUNCTION("""COMPUTED_VALUE"""),5.0)</f>
        <v>5</v>
      </c>
      <c r="C435" s="32" t="str">
        <f>IFERROR(__xludf.DUMMYFUNCTION("""COMPUTED_VALUE"""),"X")</f>
        <v>X</v>
      </c>
      <c r="D435" s="32"/>
      <c r="E435" s="32" t="str">
        <f>IFERROR(__xludf.DUMMYFUNCTION("""COMPUTED_VALUE"""),"Deals X*50 Spirit damage per round for 3 rounds to a single target where X is equal to SP spent.")</f>
        <v>Deals X*50 Spirit damage per round for 3 rounds to a single target where X is equal to SP spent.</v>
      </c>
      <c r="F435" s="32" t="str">
        <f>IFERROR(__xludf.DUMMYFUNCTION("""COMPUTED_VALUE"""),"Hit/Miss")</f>
        <v>Hit/Miss</v>
      </c>
      <c r="G435" s="32">
        <f>IFERROR(__xludf.DUMMYFUNCTION("""COMPUTED_VALUE"""),1.0)</f>
        <v>1</v>
      </c>
      <c r="H435" s="32" t="str">
        <f>IFERROR(__xludf.DUMMYFUNCTION("""COMPUTED_VALUE"""),"Spirit")</f>
        <v>Spirit</v>
      </c>
      <c r="I435" s="32" t="str">
        <f>IFERROR(__xludf.DUMMYFUNCTION("""COMPUTED_VALUE"""),"Player")</f>
        <v>Player</v>
      </c>
      <c r="J435" s="32" t="b">
        <f>IFERROR(__xludf.DUMMYFUNCTION("""COMPUTED_VALUE"""),FALSE)</f>
        <v>0</v>
      </c>
      <c r="K435" s="32"/>
      <c r="L435" s="32" t="b">
        <f>IFERROR(__xludf.DUMMYFUNCTION("""COMPUTED_VALUE"""),FALSE)</f>
        <v>0</v>
      </c>
      <c r="M435" s="32" t="b">
        <f>IFERROR(__xludf.DUMMYFUNCTION("""COMPUTED_VALUE"""),FALSE)</f>
        <v>0</v>
      </c>
      <c r="N435" s="32"/>
    </row>
    <row r="436">
      <c r="A436" s="32" t="str">
        <f>IFERROR(__xludf.DUMMYFUNCTION("""COMPUTED_VALUE"""),"Spirit Fog")</f>
        <v>Spirit Fog</v>
      </c>
      <c r="B436" s="34">
        <f>IFERROR(__xludf.DUMMYFUNCTION("""COMPUTED_VALUE"""),5.0)</f>
        <v>5</v>
      </c>
      <c r="C436" s="32" t="str">
        <f>IFERROR(__xludf.DUMMYFUNCTION("""COMPUTED_VALUE"""),"X")</f>
        <v>X</v>
      </c>
      <c r="D436" s="32"/>
      <c r="E436" s="32" t="str">
        <f>IFERROR(__xludf.DUMMYFUNCTION("""COMPUTED_VALUE"""),"Deals X*25 Undefendable Spirit damage to all enemies where X is equal to SP spent.")</f>
        <v>Deals X*25 Undefendable Spirit damage to all enemies where X is equal to SP spent.</v>
      </c>
      <c r="F436" s="32" t="str">
        <f>IFERROR(__xludf.DUMMYFUNCTION("""COMPUTED_VALUE"""),"Cannot Avoid")</f>
        <v>Cannot Avoid</v>
      </c>
      <c r="G436" s="32" t="str">
        <f>IFERROR(__xludf.DUMMYFUNCTION("""COMPUTED_VALUE"""),"All")</f>
        <v>All</v>
      </c>
      <c r="H436" s="32" t="str">
        <f>IFERROR(__xludf.DUMMYFUNCTION("""COMPUTED_VALUE"""),"Spirit")</f>
        <v>Spirit</v>
      </c>
      <c r="I436" s="32" t="str">
        <f>IFERROR(__xludf.DUMMYFUNCTION("""COMPUTED_VALUE"""),"Player")</f>
        <v>Player</v>
      </c>
      <c r="J436" s="32" t="b">
        <f>IFERROR(__xludf.DUMMYFUNCTION("""COMPUTED_VALUE"""),FALSE)</f>
        <v>0</v>
      </c>
      <c r="K436" s="32"/>
      <c r="L436" s="32" t="b">
        <f>IFERROR(__xludf.DUMMYFUNCTION("""COMPUTED_VALUE"""),FALSE)</f>
        <v>0</v>
      </c>
      <c r="M436" s="32" t="b">
        <f>IFERROR(__xludf.DUMMYFUNCTION("""COMPUTED_VALUE"""),FALSE)</f>
        <v>0</v>
      </c>
      <c r="N436" s="32"/>
    </row>
    <row r="437">
      <c r="A437" s="32" t="str">
        <f>IFERROR(__xludf.DUMMYFUNCTION("""COMPUTED_VALUE"""),"Burning Dread")</f>
        <v>Burning Dread</v>
      </c>
      <c r="B437" s="34">
        <f>IFERROR(__xludf.DUMMYFUNCTION("""COMPUTED_VALUE"""),6.0)</f>
        <v>6</v>
      </c>
      <c r="C437" s="32" t="str">
        <f>IFERROR(__xludf.DUMMYFUNCTION("""COMPUTED_VALUE"""),"X")</f>
        <v>X</v>
      </c>
      <c r="D437" s="32"/>
      <c r="E437" s="32" t="str">
        <f>IFERROR(__xludf.DUMMYFUNCTION("""COMPUTED_VALUE"""),"Deals X*10 Spirit damage per round to all enemies for 3 rounds where X is equal to SP spent.")</f>
        <v>Deals X*10 Spirit damage per round to all enemies for 3 rounds where X is equal to SP spent.</v>
      </c>
      <c r="F437" s="32" t="str">
        <f>IFERROR(__xludf.DUMMYFUNCTION("""COMPUTED_VALUE"""),"Cannot Avoid")</f>
        <v>Cannot Avoid</v>
      </c>
      <c r="G437" s="32" t="str">
        <f>IFERROR(__xludf.DUMMYFUNCTION("""COMPUTED_VALUE"""),"All")</f>
        <v>All</v>
      </c>
      <c r="H437" s="32" t="str">
        <f>IFERROR(__xludf.DUMMYFUNCTION("""COMPUTED_VALUE"""),"Spirit")</f>
        <v>Spirit</v>
      </c>
      <c r="I437" s="32" t="str">
        <f>IFERROR(__xludf.DUMMYFUNCTION("""COMPUTED_VALUE"""),"Player")</f>
        <v>Player</v>
      </c>
      <c r="J437" s="32" t="b">
        <f>IFERROR(__xludf.DUMMYFUNCTION("""COMPUTED_VALUE"""),FALSE)</f>
        <v>0</v>
      </c>
      <c r="K437" s="32"/>
      <c r="L437" s="32" t="b">
        <f>IFERROR(__xludf.DUMMYFUNCTION("""COMPUTED_VALUE"""),FALSE)</f>
        <v>0</v>
      </c>
      <c r="M437" s="32" t="b">
        <f>IFERROR(__xludf.DUMMYFUNCTION("""COMPUTED_VALUE"""),FALSE)</f>
        <v>0</v>
      </c>
      <c r="N437" s="32"/>
    </row>
    <row r="438">
      <c r="A438" s="32" t="str">
        <f>IFERROR(__xludf.DUMMYFUNCTION("""COMPUTED_VALUE"""),"Stasis Madness")</f>
        <v>Stasis Madness</v>
      </c>
      <c r="B438" s="34">
        <f>IFERROR(__xludf.DUMMYFUNCTION("""COMPUTED_VALUE"""),6.0)</f>
        <v>6</v>
      </c>
      <c r="C438" s="32" t="str">
        <f>IFERROR(__xludf.DUMMYFUNCTION("""COMPUTED_VALUE"""),"X*100")</f>
        <v>X*100</v>
      </c>
      <c r="D438" s="32"/>
      <c r="E438" s="32" t="str">
        <f>IFERROR(__xludf.DUMMYFUNCTION("""COMPUTED_VALUE"""),"Target becomes completely unresponsive for X rounds")</f>
        <v>Target becomes completely unresponsive for X rounds</v>
      </c>
      <c r="F438" s="32" t="str">
        <f>IFERROR(__xludf.DUMMYFUNCTION("""COMPUTED_VALUE"""),"Fail/Succeed")</f>
        <v>Fail/Succeed</v>
      </c>
      <c r="G438" s="32"/>
      <c r="H438" s="32" t="str">
        <f>IFERROR(__xludf.DUMMYFUNCTION("""COMPUTED_VALUE"""),"Stasis")</f>
        <v>Stasis</v>
      </c>
      <c r="I438" s="32" t="str">
        <f>IFERROR(__xludf.DUMMYFUNCTION("""COMPUTED_VALUE"""),"Player")</f>
        <v>Player</v>
      </c>
      <c r="J438" s="32" t="b">
        <f>IFERROR(__xludf.DUMMYFUNCTION("""COMPUTED_VALUE"""),FALSE)</f>
        <v>0</v>
      </c>
      <c r="K438" s="32"/>
      <c r="L438" s="32" t="b">
        <f>IFERROR(__xludf.DUMMYFUNCTION("""COMPUTED_VALUE"""),FALSE)</f>
        <v>0</v>
      </c>
      <c r="M438" s="32" t="b">
        <f>IFERROR(__xludf.DUMMYFUNCTION("""COMPUTED_VALUE"""),FALSE)</f>
        <v>0</v>
      </c>
      <c r="N438" s="32"/>
    </row>
    <row r="439">
      <c r="A439" s="32" t="str">
        <f>IFERROR(__xludf.DUMMYFUNCTION("""COMPUTED_VALUE"""),"Stasis Meteor Shower")</f>
        <v>Stasis Meteor Shower</v>
      </c>
      <c r="B439" s="34">
        <f>IFERROR(__xludf.DUMMYFUNCTION("""COMPUTED_VALUE"""),9.0)</f>
        <v>9</v>
      </c>
      <c r="C439" s="32">
        <f>IFERROR(__xludf.DUMMYFUNCTION("""COMPUTED_VALUE"""),300.0)</f>
        <v>300</v>
      </c>
      <c r="D439" s="32"/>
      <c r="E439" s="32" t="str">
        <f>IFERROR(__xludf.DUMMYFUNCTION("""COMPUTED_VALUE"""),"10,000 order, 10,000 chaos damage to all enemies 15% chance of stun 3.")</f>
        <v>10,000 order, 10,000 chaos damage to all enemies 15% chance of stun 3.</v>
      </c>
      <c r="F439" s="32" t="str">
        <f>IFERROR(__xludf.DUMMYFUNCTION("""COMPUTED_VALUE"""),"Cannot be avoided")</f>
        <v>Cannot be avoided</v>
      </c>
      <c r="G439" s="32"/>
      <c r="H439" s="32" t="str">
        <f>IFERROR(__xludf.DUMMYFUNCTION("""COMPUTED_VALUE"""),"Stasis")</f>
        <v>Stasis</v>
      </c>
      <c r="I439" s="32" t="str">
        <f>IFERROR(__xludf.DUMMYFUNCTION("""COMPUTED_VALUE"""),"Player")</f>
        <v>Player</v>
      </c>
      <c r="J439" s="32" t="b">
        <f>IFERROR(__xludf.DUMMYFUNCTION("""COMPUTED_VALUE"""),FALSE)</f>
        <v>0</v>
      </c>
      <c r="K439" s="32"/>
      <c r="L439" s="32" t="b">
        <f>IFERROR(__xludf.DUMMYFUNCTION("""COMPUTED_VALUE"""),FALSE)</f>
        <v>0</v>
      </c>
      <c r="M439" s="32" t="b">
        <f>IFERROR(__xludf.DUMMYFUNCTION("""COMPUTED_VALUE"""),FALSE)</f>
        <v>0</v>
      </c>
      <c r="N439" s="32"/>
    </row>
    <row r="440">
      <c r="A440" s="32" t="str">
        <f>IFERROR(__xludf.DUMMYFUNCTION("""COMPUTED_VALUE"""),"Stasis Shield")</f>
        <v>Stasis Shield</v>
      </c>
      <c r="B440" s="34">
        <f>IFERROR(__xludf.DUMMYFUNCTION("""COMPUTED_VALUE"""),4.0)</f>
        <v>4</v>
      </c>
      <c r="C440" s="32">
        <f>IFERROR(__xludf.DUMMYFUNCTION("""COMPUTED_VALUE"""),40.0)</f>
        <v>40</v>
      </c>
      <c r="D440" s="32"/>
      <c r="E440" s="32" t="str">
        <f>IFERROR(__xludf.DUMMYFUNCTION("""COMPUTED_VALUE"""),"X4 def to selected target, and Immunity to order and chaos.")</f>
        <v>X4 def to selected target, and Immunity to order and chaos.</v>
      </c>
      <c r="F440" s="32" t="str">
        <f>IFERROR(__xludf.DUMMYFUNCTION("""COMPUTED_VALUE"""),"Will Succeed")</f>
        <v>Will Succeed</v>
      </c>
      <c r="G440" s="32"/>
      <c r="H440" s="32" t="str">
        <f>IFERROR(__xludf.DUMMYFUNCTION("""COMPUTED_VALUE"""),"Stasis")</f>
        <v>Stasis</v>
      </c>
      <c r="I440" s="32" t="str">
        <f>IFERROR(__xludf.DUMMYFUNCTION("""COMPUTED_VALUE"""),"Player")</f>
        <v>Player</v>
      </c>
      <c r="J440" s="32" t="b">
        <f>IFERROR(__xludf.DUMMYFUNCTION("""COMPUTED_VALUE"""),FALSE)</f>
        <v>0</v>
      </c>
      <c r="K440" s="32"/>
      <c r="L440" s="32" t="b">
        <f>IFERROR(__xludf.DUMMYFUNCTION("""COMPUTED_VALUE"""),FALSE)</f>
        <v>0</v>
      </c>
      <c r="M440" s="32" t="b">
        <f>IFERROR(__xludf.DUMMYFUNCTION("""COMPUTED_VALUE"""),FALSE)</f>
        <v>0</v>
      </c>
      <c r="N440" s="32"/>
    </row>
    <row r="441">
      <c r="A441" s="32" t="str">
        <f>IFERROR(__xludf.DUMMYFUNCTION("""COMPUTED_VALUE"""),"Stasis Storm")</f>
        <v>Stasis Storm</v>
      </c>
      <c r="B441" s="34">
        <f>IFERROR(__xludf.DUMMYFUNCTION("""COMPUTED_VALUE"""),2.0)</f>
        <v>2</v>
      </c>
      <c r="C441" s="32">
        <f>IFERROR(__xludf.DUMMYFUNCTION("""COMPUTED_VALUE"""),20.0)</f>
        <v>20</v>
      </c>
      <c r="D441" s="32"/>
      <c r="E441" s="32" t="str">
        <f>IFERROR(__xludf.DUMMYFUNCTION("""COMPUTED_VALUE"""),"1000 continuous order, 1000 continuous chaos damage.")</f>
        <v>1000 continuous order, 1000 continuous chaos damage.</v>
      </c>
      <c r="F441" s="32" t="str">
        <f>IFERROR(__xludf.DUMMYFUNCTION("""COMPUTED_VALUE"""),"Hit or Miss")</f>
        <v>Hit or Miss</v>
      </c>
      <c r="G441" s="32">
        <f>IFERROR(__xludf.DUMMYFUNCTION("""COMPUTED_VALUE"""),1.0)</f>
        <v>1</v>
      </c>
      <c r="H441" s="32" t="str">
        <f>IFERROR(__xludf.DUMMYFUNCTION("""COMPUTED_VALUE"""),"Stasis")</f>
        <v>Stasis</v>
      </c>
      <c r="I441" s="32" t="str">
        <f>IFERROR(__xludf.DUMMYFUNCTION("""COMPUTED_VALUE"""),"Player")</f>
        <v>Player</v>
      </c>
      <c r="J441" s="32" t="b">
        <f>IFERROR(__xludf.DUMMYFUNCTION("""COMPUTED_VALUE"""),FALSE)</f>
        <v>0</v>
      </c>
      <c r="K441" s="32"/>
      <c r="L441" s="32" t="b">
        <f>IFERROR(__xludf.DUMMYFUNCTION("""COMPUTED_VALUE"""),FALSE)</f>
        <v>0</v>
      </c>
      <c r="M441" s="32" t="b">
        <f>IFERROR(__xludf.DUMMYFUNCTION("""COMPUTED_VALUE"""),FALSE)</f>
        <v>0</v>
      </c>
      <c r="N441" s="32"/>
    </row>
    <row r="442">
      <c r="A442" s="32" t="str">
        <f>IFERROR(__xludf.DUMMYFUNCTION("""COMPUTED_VALUE"""),"Stasis Strike")</f>
        <v>Stasis Strike</v>
      </c>
      <c r="B442" s="34">
        <f>IFERROR(__xludf.DUMMYFUNCTION("""COMPUTED_VALUE"""),1.0)</f>
        <v>1</v>
      </c>
      <c r="C442" s="32">
        <f>IFERROR(__xludf.DUMMYFUNCTION("""COMPUTED_VALUE"""),10.0)</f>
        <v>10</v>
      </c>
      <c r="D442" s="32"/>
      <c r="E442" s="32" t="str">
        <f>IFERROR(__xludf.DUMMYFUNCTION("""COMPUTED_VALUE"""),"500 order, 500 chaos damage")</f>
        <v>500 order, 500 chaos damage</v>
      </c>
      <c r="F442" s="32" t="str">
        <f>IFERROR(__xludf.DUMMYFUNCTION("""COMPUTED_VALUE"""),"Hit or Miss")</f>
        <v>Hit or Miss</v>
      </c>
      <c r="G442" s="32">
        <f>IFERROR(__xludf.DUMMYFUNCTION("""COMPUTED_VALUE"""),1.0)</f>
        <v>1</v>
      </c>
      <c r="H442" s="32" t="str">
        <f>IFERROR(__xludf.DUMMYFUNCTION("""COMPUTED_VALUE"""),"Stasis")</f>
        <v>Stasis</v>
      </c>
      <c r="I442" s="32" t="str">
        <f>IFERROR(__xludf.DUMMYFUNCTION("""COMPUTED_VALUE"""),"Player")</f>
        <v>Player</v>
      </c>
      <c r="J442" s="32" t="b">
        <f>IFERROR(__xludf.DUMMYFUNCTION("""COMPUTED_VALUE"""),FALSE)</f>
        <v>0</v>
      </c>
      <c r="K442" s="32"/>
      <c r="L442" s="32" t="b">
        <f>IFERROR(__xludf.DUMMYFUNCTION("""COMPUTED_VALUE"""),FALSE)</f>
        <v>0</v>
      </c>
      <c r="M442" s="32" t="b">
        <f>IFERROR(__xludf.DUMMYFUNCTION("""COMPUTED_VALUE"""),FALSE)</f>
        <v>0</v>
      </c>
      <c r="N442" s="32"/>
    </row>
    <row r="443">
      <c r="A443" s="32" t="str">
        <f>IFERROR(__xludf.DUMMYFUNCTION("""COMPUTED_VALUE"""),"Stasis Transformation")</f>
        <v>Stasis Transformation</v>
      </c>
      <c r="B443" s="34">
        <f>IFERROR(__xludf.DUMMYFUNCTION("""COMPUTED_VALUE"""),8.0)</f>
        <v>8</v>
      </c>
      <c r="C443" s="32">
        <f>IFERROR(__xludf.DUMMYFUNCTION("""COMPUTED_VALUE"""),200.0)</f>
        <v>200</v>
      </c>
      <c r="D443" s="32"/>
      <c r="E443" s="32" t="str">
        <f>IFERROR(__xludf.DUMMYFUNCTION("""COMPUTED_VALUE"""),"X4 order and chaos damage for self and allies until end of battle.")</f>
        <v>X4 order and chaos damage for self and allies until end of battle.</v>
      </c>
      <c r="F443" s="32" t="str">
        <f>IFERROR(__xludf.DUMMYFUNCTION("""COMPUTED_VALUE"""),"Will succeed")</f>
        <v>Will succeed</v>
      </c>
      <c r="G443" s="32"/>
      <c r="H443" s="32" t="str">
        <f>IFERROR(__xludf.DUMMYFUNCTION("""COMPUTED_VALUE"""),"Stasis")</f>
        <v>Stasis</v>
      </c>
      <c r="I443" s="32" t="str">
        <f>IFERROR(__xludf.DUMMYFUNCTION("""COMPUTED_VALUE"""),"Player")</f>
        <v>Player</v>
      </c>
      <c r="J443" s="32" t="b">
        <f>IFERROR(__xludf.DUMMYFUNCTION("""COMPUTED_VALUE"""),FALSE)</f>
        <v>0</v>
      </c>
      <c r="K443" s="32"/>
      <c r="L443" s="32" t="b">
        <f>IFERROR(__xludf.DUMMYFUNCTION("""COMPUTED_VALUE"""),FALSE)</f>
        <v>0</v>
      </c>
      <c r="M443" s="32" t="b">
        <f>IFERROR(__xludf.DUMMYFUNCTION("""COMPUTED_VALUE"""),FALSE)</f>
        <v>0</v>
      </c>
      <c r="N443" s="32"/>
    </row>
    <row r="444">
      <c r="A444" s="32" t="str">
        <f>IFERROR(__xludf.DUMMYFUNCTION("""COMPUTED_VALUE"""),"Stasis Tsunami")</f>
        <v>Stasis Tsunami</v>
      </c>
      <c r="B444" s="34">
        <f>IFERROR(__xludf.DUMMYFUNCTION("""COMPUTED_VALUE"""),9.0)</f>
        <v>9</v>
      </c>
      <c r="C444" s="32">
        <f>IFERROR(__xludf.DUMMYFUNCTION("""COMPUTED_VALUE"""),300.0)</f>
        <v>300</v>
      </c>
      <c r="D444" s="32"/>
      <c r="E444" s="32" t="str">
        <f>IFERROR(__xludf.DUMMYFUNCTION("""COMPUTED_VALUE"""),"10,000 order, 10,000 chaos damage to all enemies.")</f>
        <v>10,000 order, 10,000 chaos damage to all enemies.</v>
      </c>
      <c r="F444" s="32" t="str">
        <f>IFERROR(__xludf.DUMMYFUNCTION("""COMPUTED_VALUE"""),"Cannot be avoided")</f>
        <v>Cannot be avoided</v>
      </c>
      <c r="G444" s="32"/>
      <c r="H444" s="32" t="str">
        <f>IFERROR(__xludf.DUMMYFUNCTION("""COMPUTED_VALUE"""),"Stasis")</f>
        <v>Stasis</v>
      </c>
      <c r="I444" s="32" t="str">
        <f>IFERROR(__xludf.DUMMYFUNCTION("""COMPUTED_VALUE"""),"Player")</f>
        <v>Player</v>
      </c>
      <c r="J444" s="32" t="b">
        <f>IFERROR(__xludf.DUMMYFUNCTION("""COMPUTED_VALUE"""),FALSE)</f>
        <v>0</v>
      </c>
      <c r="K444" s="32"/>
      <c r="L444" s="32" t="b">
        <f>IFERROR(__xludf.DUMMYFUNCTION("""COMPUTED_VALUE"""),FALSE)</f>
        <v>0</v>
      </c>
      <c r="M444" s="32" t="b">
        <f>IFERROR(__xludf.DUMMYFUNCTION("""COMPUTED_VALUE"""),FALSE)</f>
        <v>0</v>
      </c>
      <c r="N444" s="32"/>
    </row>
    <row r="445">
      <c r="A445" s="32" t="str">
        <f>IFERROR(__xludf.DUMMYFUNCTION("""COMPUTED_VALUE"""),"Tower Of Stasis")</f>
        <v>Tower Of Stasis</v>
      </c>
      <c r="B445" s="34">
        <f>IFERROR(__xludf.DUMMYFUNCTION("""COMPUTED_VALUE"""),8.0)</f>
        <v>8</v>
      </c>
      <c r="C445" s="32">
        <f>IFERROR(__xludf.DUMMYFUNCTION("""COMPUTED_VALUE"""),200.0)</f>
        <v>200</v>
      </c>
      <c r="D445" s="32"/>
      <c r="E445" s="32"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32" t="str">
        <f>IFERROR(__xludf.DUMMYFUNCTION("""COMPUTED_VALUE"""),"Fail or succeed")</f>
        <v>Fail or succeed</v>
      </c>
      <c r="G445" s="32">
        <f>IFERROR(__xludf.DUMMYFUNCTION("""COMPUTED_VALUE"""),1.0)</f>
        <v>1</v>
      </c>
      <c r="H445" s="32" t="str">
        <f>IFERROR(__xludf.DUMMYFUNCTION("""COMPUTED_VALUE"""),"Stasis")</f>
        <v>Stasis</v>
      </c>
      <c r="I445" s="32" t="str">
        <f>IFERROR(__xludf.DUMMYFUNCTION("""COMPUTED_VALUE"""),"Player")</f>
        <v>Player</v>
      </c>
      <c r="J445" s="32" t="b">
        <f>IFERROR(__xludf.DUMMYFUNCTION("""COMPUTED_VALUE"""),FALSE)</f>
        <v>0</v>
      </c>
      <c r="K445" s="32"/>
      <c r="L445" s="32" t="b">
        <f>IFERROR(__xludf.DUMMYFUNCTION("""COMPUTED_VALUE"""),FALSE)</f>
        <v>0</v>
      </c>
      <c r="M445" s="32" t="b">
        <f>IFERROR(__xludf.DUMMYFUNCTION("""COMPUTED_VALUE"""),FALSE)</f>
        <v>0</v>
      </c>
      <c r="N445" s="32"/>
    </row>
    <row r="446">
      <c r="A446" s="32" t="str">
        <f>IFERROR(__xludf.DUMMYFUNCTION("""COMPUTED_VALUE"""),"Contradiction")</f>
        <v>Contradiction</v>
      </c>
      <c r="B446" s="34">
        <f>IFERROR(__xludf.DUMMYFUNCTION("""COMPUTED_VALUE"""),1.0)</f>
        <v>1</v>
      </c>
      <c r="C446" s="32" t="str">
        <f>IFERROR(__xludf.DUMMYFUNCTION("""COMPUTED_VALUE"""),"X")</f>
        <v>X</v>
      </c>
      <c r="D446" s="32"/>
      <c r="E446" s="32" t="str">
        <f>IFERROR(__xludf.DUMMYFUNCTION("""COMPUTED_VALUE"""),"Deals X*50 Order and X*50 Chaos damage to a single enemy where X is equal to SP spent.")</f>
        <v>Deals X*50 Order and X*50 Chaos damage to a single enemy where X is equal to SP spent.</v>
      </c>
      <c r="F446" s="32" t="str">
        <f>IFERROR(__xludf.DUMMYFUNCTION("""COMPUTED_VALUE"""),"Hit/Miss")</f>
        <v>Hit/Miss</v>
      </c>
      <c r="G446" s="32">
        <f>IFERROR(__xludf.DUMMYFUNCTION("""COMPUTED_VALUE"""),1.0)</f>
        <v>1</v>
      </c>
      <c r="H446" s="32" t="str">
        <f>IFERROR(__xludf.DUMMYFUNCTION("""COMPUTED_VALUE"""),"Stasis")</f>
        <v>Stasis</v>
      </c>
      <c r="I446" s="32" t="str">
        <f>IFERROR(__xludf.DUMMYFUNCTION("""COMPUTED_VALUE"""),"Player")</f>
        <v>Player</v>
      </c>
      <c r="J446" s="32" t="b">
        <f>IFERROR(__xludf.DUMMYFUNCTION("""COMPUTED_VALUE"""),FALSE)</f>
        <v>0</v>
      </c>
      <c r="K446" s="32"/>
      <c r="L446" s="32" t="b">
        <f>IFERROR(__xludf.DUMMYFUNCTION("""COMPUTED_VALUE"""),FALSE)</f>
        <v>0</v>
      </c>
      <c r="M446" s="32" t="b">
        <f>IFERROR(__xludf.DUMMYFUNCTION("""COMPUTED_VALUE"""),FALSE)</f>
        <v>0</v>
      </c>
      <c r="N446" s="32"/>
    </row>
    <row r="447">
      <c r="A447" s="32" t="str">
        <f>IFERROR(__xludf.DUMMYFUNCTION("""COMPUTED_VALUE"""),"Static Breakdown")</f>
        <v>Static Breakdown</v>
      </c>
      <c r="B447" s="34">
        <f>IFERROR(__xludf.DUMMYFUNCTION("""COMPUTED_VALUE"""),5.0)</f>
        <v>5</v>
      </c>
      <c r="C447" s="32" t="str">
        <f>IFERROR(__xludf.DUMMYFUNCTION("""COMPUTED_VALUE"""),"X")</f>
        <v>X</v>
      </c>
      <c r="D447" s="32"/>
      <c r="E447" s="32" t="str">
        <f>IFERROR(__xludf.DUMMYFUNCTION("""COMPUTED_VALUE"""),"Deals X*25 Order and X*25 Chaos damage per round for 3 rounds to a single target where X is equal to SP spent.")</f>
        <v>Deals X*25 Order and X*25 Chaos damage per round for 3 rounds to a single target where X is equal to SP spent.</v>
      </c>
      <c r="F447" s="32" t="str">
        <f>IFERROR(__xludf.DUMMYFUNCTION("""COMPUTED_VALUE"""),"Hit/Miss")</f>
        <v>Hit/Miss</v>
      </c>
      <c r="G447" s="32">
        <f>IFERROR(__xludf.DUMMYFUNCTION("""COMPUTED_VALUE"""),1.0)</f>
        <v>1</v>
      </c>
      <c r="H447" s="32" t="str">
        <f>IFERROR(__xludf.DUMMYFUNCTION("""COMPUTED_VALUE"""),"Stasis")</f>
        <v>Stasis</v>
      </c>
      <c r="I447" s="32" t="str">
        <f>IFERROR(__xludf.DUMMYFUNCTION("""COMPUTED_VALUE"""),"Player")</f>
        <v>Player</v>
      </c>
      <c r="J447" s="32" t="b">
        <f>IFERROR(__xludf.DUMMYFUNCTION("""COMPUTED_VALUE"""),FALSE)</f>
        <v>0</v>
      </c>
      <c r="K447" s="32"/>
      <c r="L447" s="32" t="b">
        <f>IFERROR(__xludf.DUMMYFUNCTION("""COMPUTED_VALUE"""),FALSE)</f>
        <v>0</v>
      </c>
      <c r="M447" s="32" t="b">
        <f>IFERROR(__xludf.DUMMYFUNCTION("""COMPUTED_VALUE"""),FALSE)</f>
        <v>0</v>
      </c>
      <c r="N447" s="32"/>
    </row>
    <row r="448">
      <c r="A448" s="32" t="str">
        <f>IFERROR(__xludf.DUMMYFUNCTION("""COMPUTED_VALUE"""),"Colliding Forces")</f>
        <v>Colliding Forces</v>
      </c>
      <c r="B448" s="34">
        <f>IFERROR(__xludf.DUMMYFUNCTION("""COMPUTED_VALUE"""),5.0)</f>
        <v>5</v>
      </c>
      <c r="C448" s="32" t="str">
        <f>IFERROR(__xludf.DUMMYFUNCTION("""COMPUTED_VALUE"""),"X")</f>
        <v>X</v>
      </c>
      <c r="D448" s="32"/>
      <c r="E448" s="32" t="str">
        <f>IFERROR(__xludf.DUMMYFUNCTION("""COMPUTED_VALUE"""),"Deals X*15 Order and X*15 Chaos damage to all enemies where X is equal to SP spent.")</f>
        <v>Deals X*15 Order and X*15 Chaos damage to all enemies where X is equal to SP spent.</v>
      </c>
      <c r="F448" s="32" t="str">
        <f>IFERROR(__xludf.DUMMYFUNCTION("""COMPUTED_VALUE"""),"Cannot Avoid")</f>
        <v>Cannot Avoid</v>
      </c>
      <c r="G448" s="32" t="str">
        <f>IFERROR(__xludf.DUMMYFUNCTION("""COMPUTED_VALUE"""),"All")</f>
        <v>All</v>
      </c>
      <c r="H448" s="32" t="str">
        <f>IFERROR(__xludf.DUMMYFUNCTION("""COMPUTED_VALUE"""),"Stasis")</f>
        <v>Stasis</v>
      </c>
      <c r="I448" s="32" t="str">
        <f>IFERROR(__xludf.DUMMYFUNCTION("""COMPUTED_VALUE"""),"Player")</f>
        <v>Player</v>
      </c>
      <c r="J448" s="32" t="b">
        <f>IFERROR(__xludf.DUMMYFUNCTION("""COMPUTED_VALUE"""),FALSE)</f>
        <v>0</v>
      </c>
      <c r="K448" s="32"/>
      <c r="L448" s="32" t="b">
        <f>IFERROR(__xludf.DUMMYFUNCTION("""COMPUTED_VALUE"""),FALSE)</f>
        <v>0</v>
      </c>
      <c r="M448" s="32" t="b">
        <f>IFERROR(__xludf.DUMMYFUNCTION("""COMPUTED_VALUE"""),FALSE)</f>
        <v>0</v>
      </c>
      <c r="N448" s="32"/>
    </row>
    <row r="449">
      <c r="A449" s="32" t="str">
        <f>IFERROR(__xludf.DUMMYFUNCTION("""COMPUTED_VALUE"""),"Mass Static Breakdown")</f>
        <v>Mass Static Breakdown</v>
      </c>
      <c r="B449" s="34">
        <f>IFERROR(__xludf.DUMMYFUNCTION("""COMPUTED_VALUE"""),6.0)</f>
        <v>6</v>
      </c>
      <c r="C449" s="32" t="str">
        <f>IFERROR(__xludf.DUMMYFUNCTION("""COMPUTED_VALUE"""),"X")</f>
        <v>X</v>
      </c>
      <c r="D449" s="32"/>
      <c r="E449" s="32" t="str">
        <f>IFERROR(__xludf.DUMMYFUNCTION("""COMPUTED_VALUE"""),"Deals X*5 Order and X*5 Chaos damage per round to all enemies for 3 rounds where X is equal to SP spent.")</f>
        <v>Deals X*5 Order and X*5 Chaos damage per round to all enemies for 3 rounds where X is equal to SP spent.</v>
      </c>
      <c r="F449" s="32" t="str">
        <f>IFERROR(__xludf.DUMMYFUNCTION("""COMPUTED_VALUE"""),"Cannot Avoid")</f>
        <v>Cannot Avoid</v>
      </c>
      <c r="G449" s="32" t="str">
        <f>IFERROR(__xludf.DUMMYFUNCTION("""COMPUTED_VALUE"""),"All")</f>
        <v>All</v>
      </c>
      <c r="H449" s="32" t="str">
        <f>IFERROR(__xludf.DUMMYFUNCTION("""COMPUTED_VALUE"""),"Stasis")</f>
        <v>Stasis</v>
      </c>
      <c r="I449" s="32" t="str">
        <f>IFERROR(__xludf.DUMMYFUNCTION("""COMPUTED_VALUE"""),"Player")</f>
        <v>Player</v>
      </c>
      <c r="J449" s="32" t="b">
        <f>IFERROR(__xludf.DUMMYFUNCTION("""COMPUTED_VALUE"""),FALSE)</f>
        <v>0</v>
      </c>
      <c r="K449" s="32"/>
      <c r="L449" s="32" t="b">
        <f>IFERROR(__xludf.DUMMYFUNCTION("""COMPUTED_VALUE"""),FALSE)</f>
        <v>0</v>
      </c>
      <c r="M449" s="32" t="b">
        <f>IFERROR(__xludf.DUMMYFUNCTION("""COMPUTED_VALUE"""),FALSE)</f>
        <v>0</v>
      </c>
      <c r="N449" s="32"/>
    </row>
    <row r="450">
      <c r="A450" s="32" t="str">
        <f>IFERROR(__xludf.DUMMYFUNCTION("""COMPUTED_VALUE"""),"Tower Of Storm")</f>
        <v>Tower Of Storm</v>
      </c>
      <c r="B450" s="34">
        <f>IFERROR(__xludf.DUMMYFUNCTION("""COMPUTED_VALUE"""),9.0)</f>
        <v>9</v>
      </c>
      <c r="C450" s="32">
        <f>IFERROR(__xludf.DUMMYFUNCTION("""COMPUTED_VALUE"""),300.0)</f>
        <v>300</v>
      </c>
      <c r="D450" s="32"/>
      <c r="E450" s="32" t="str">
        <f>IFERROR(__xludf.DUMMYFUNCTION("""COMPUTED_VALUE"""),"X4 additional storm damage for caster and allies. Plus Storm Immunity to caster only for 3 rounds.")</f>
        <v>X4 additional storm damage for caster and allies. Plus Storm Immunity to caster only for 3 rounds.</v>
      </c>
      <c r="F450" s="32" t="str">
        <f>IFERROR(__xludf.DUMMYFUNCTION("""COMPUTED_VALUE"""),"Fail/Succeed")</f>
        <v>Fail/Succeed</v>
      </c>
      <c r="G450" s="32"/>
      <c r="H450" s="32" t="str">
        <f>IFERROR(__xludf.DUMMYFUNCTION("""COMPUTED_VALUE"""),"Storm")</f>
        <v>Storm</v>
      </c>
      <c r="I450" s="32" t="str">
        <f>IFERROR(__xludf.DUMMYFUNCTION("""COMPUTED_VALUE"""),"Player")</f>
        <v>Player</v>
      </c>
      <c r="J450" s="32" t="b">
        <f>IFERROR(__xludf.DUMMYFUNCTION("""COMPUTED_VALUE"""),FALSE)</f>
        <v>0</v>
      </c>
      <c r="K450" s="32"/>
      <c r="L450" s="32" t="b">
        <f>IFERROR(__xludf.DUMMYFUNCTION("""COMPUTED_VALUE"""),FALSE)</f>
        <v>0</v>
      </c>
      <c r="M450" s="32" t="b">
        <f>IFERROR(__xludf.DUMMYFUNCTION("""COMPUTED_VALUE"""),FALSE)</f>
        <v>0</v>
      </c>
      <c r="N450" s="32"/>
    </row>
    <row r="451">
      <c r="A451" s="32" t="str">
        <f>IFERROR(__xludf.DUMMYFUNCTION("""COMPUTED_VALUE"""),"Calm storm")</f>
        <v>Calm storm</v>
      </c>
      <c r="B451" s="34">
        <f>IFERROR(__xludf.DUMMYFUNCTION("""COMPUTED_VALUE"""),7.0)</f>
        <v>7</v>
      </c>
      <c r="C451" s="32" t="str">
        <f>IFERROR(__xludf.DUMMYFUNCTION("""COMPUTED_VALUE"""),"X")</f>
        <v>X</v>
      </c>
      <c r="D451" s="32"/>
      <c r="E451" s="32" t="str">
        <f>IFERROR(__xludf.DUMMYFUNCTION("""COMPUTED_VALUE"""),"Negate X*4 points of storm damage.")</f>
        <v>Negate X*4 points of storm damage.</v>
      </c>
      <c r="F451" s="32" t="str">
        <f>IFERROR(__xludf.DUMMYFUNCTION("""COMPUTED_VALUE"""),"Fail/Succeed")</f>
        <v>Fail/Succeed</v>
      </c>
      <c r="G451" s="32"/>
      <c r="H451" s="32" t="str">
        <f>IFERROR(__xludf.DUMMYFUNCTION("""COMPUTED_VALUE"""),"Storm")</f>
        <v>Storm</v>
      </c>
      <c r="I451" s="32" t="str">
        <f>IFERROR(__xludf.DUMMYFUNCTION("""COMPUTED_VALUE"""),"Player")</f>
        <v>Player</v>
      </c>
      <c r="J451" s="32" t="b">
        <f>IFERROR(__xludf.DUMMYFUNCTION("""COMPUTED_VALUE"""),FALSE)</f>
        <v>0</v>
      </c>
      <c r="K451" s="32"/>
      <c r="L451" s="32" t="b">
        <f>IFERROR(__xludf.DUMMYFUNCTION("""COMPUTED_VALUE"""),FALSE)</f>
        <v>0</v>
      </c>
      <c r="M451" s="32" t="b">
        <f>IFERROR(__xludf.DUMMYFUNCTION("""COMPUTED_VALUE"""),FALSE)</f>
        <v>0</v>
      </c>
      <c r="N451" s="32"/>
    </row>
    <row r="452">
      <c r="A452" s="32" t="str">
        <f>IFERROR(__xludf.DUMMYFUNCTION("""COMPUTED_VALUE"""),"Cyclone")</f>
        <v>Cyclone</v>
      </c>
      <c r="B452" s="34">
        <f>IFERROR(__xludf.DUMMYFUNCTION("""COMPUTED_VALUE"""),3.0)</f>
        <v>3</v>
      </c>
      <c r="C452" s="32">
        <f>IFERROR(__xludf.DUMMYFUNCTION("""COMPUTED_VALUE"""),240.0)</f>
        <v>240</v>
      </c>
      <c r="D452" s="32"/>
      <c r="E452" s="32" t="str">
        <f>IFERROR(__xludf.DUMMYFUNCTION("""COMPUTED_VALUE"""),"3000 Storm Damage and 3000 Water damage to all enemies. ")</f>
        <v>3000 Storm Damage and 3000 Water damage to all enemies. </v>
      </c>
      <c r="F452" s="32" t="str">
        <f>IFERROR(__xludf.DUMMYFUNCTION("""COMPUTED_VALUE"""),"Cannot Avoid")</f>
        <v>Cannot Avoid</v>
      </c>
      <c r="G452" s="32"/>
      <c r="H452" s="32" t="str">
        <f>IFERROR(__xludf.DUMMYFUNCTION("""COMPUTED_VALUE"""),"Storm")</f>
        <v>Storm</v>
      </c>
      <c r="I452" s="32" t="str">
        <f>IFERROR(__xludf.DUMMYFUNCTION("""COMPUTED_VALUE"""),"Player")</f>
        <v>Player</v>
      </c>
      <c r="J452" s="32" t="b">
        <f>IFERROR(__xludf.DUMMYFUNCTION("""COMPUTED_VALUE"""),FALSE)</f>
        <v>0</v>
      </c>
      <c r="K452" s="32"/>
      <c r="L452" s="32" t="b">
        <f>IFERROR(__xludf.DUMMYFUNCTION("""COMPUTED_VALUE"""),FALSE)</f>
        <v>0</v>
      </c>
      <c r="M452" s="32" t="b">
        <f>IFERROR(__xludf.DUMMYFUNCTION("""COMPUTED_VALUE"""),FALSE)</f>
        <v>0</v>
      </c>
      <c r="N452" s="32"/>
    </row>
    <row r="453">
      <c r="A453" s="32" t="str">
        <f>IFERROR(__xludf.DUMMYFUNCTION("""COMPUTED_VALUE"""),"Dreading Storm")</f>
        <v>Dreading Storm</v>
      </c>
      <c r="B453" s="34">
        <f>IFERROR(__xludf.DUMMYFUNCTION("""COMPUTED_VALUE"""),8.0)</f>
        <v>8</v>
      </c>
      <c r="C453" s="32">
        <f>IFERROR(__xludf.DUMMYFUNCTION("""COMPUTED_VALUE"""),200.0)</f>
        <v>200</v>
      </c>
      <c r="D453" s="32"/>
      <c r="E453" s="32" t="str">
        <f>IFERROR(__xludf.DUMMYFUNCTION("""COMPUTED_VALUE"""),"5000 storm damage to all enemies, 50% chance to negate the next incoming stun attempts.")</f>
        <v>5000 storm damage to all enemies, 50% chance to negate the next incoming stun attempts.</v>
      </c>
      <c r="F453" s="32" t="str">
        <f>IFERROR(__xludf.DUMMYFUNCTION("""COMPUTED_VALUE"""),"Cannot Avoid")</f>
        <v>Cannot Avoid</v>
      </c>
      <c r="G453" s="32"/>
      <c r="H453" s="32" t="str">
        <f>IFERROR(__xludf.DUMMYFUNCTION("""COMPUTED_VALUE"""),"Storm")</f>
        <v>Storm</v>
      </c>
      <c r="I453" s="32" t="str">
        <f>IFERROR(__xludf.DUMMYFUNCTION("""COMPUTED_VALUE"""),"Player")</f>
        <v>Player</v>
      </c>
      <c r="J453" s="32" t="b">
        <f>IFERROR(__xludf.DUMMYFUNCTION("""COMPUTED_VALUE"""),FALSE)</f>
        <v>0</v>
      </c>
      <c r="K453" s="32"/>
      <c r="L453" s="32" t="b">
        <f>IFERROR(__xludf.DUMMYFUNCTION("""COMPUTED_VALUE"""),FALSE)</f>
        <v>0</v>
      </c>
      <c r="M453" s="32" t="b">
        <f>IFERROR(__xludf.DUMMYFUNCTION("""COMPUTED_VALUE"""),FALSE)</f>
        <v>0</v>
      </c>
      <c r="N453" s="32"/>
    </row>
    <row r="454">
      <c r="A454" s="32" t="str">
        <f>IFERROR(__xludf.DUMMYFUNCTION("""COMPUTED_VALUE"""),"Eel Nado")</f>
        <v>Eel Nado</v>
      </c>
      <c r="B454" s="34">
        <f>IFERROR(__xludf.DUMMYFUNCTION("""COMPUTED_VALUE"""),9.0)</f>
        <v>9</v>
      </c>
      <c r="C454" s="32">
        <f>IFERROR(__xludf.DUMMYFUNCTION("""COMPUTED_VALUE"""),800.0)</f>
        <v>800</v>
      </c>
      <c r="D454" s="32"/>
      <c r="E454" s="32" t="str">
        <f>IFERROR(__xludf.DUMMYFUNCTION("""COMPUTED_VALUE"""),"20,000 storm and water damage to all enemies, 75% chance to summon 2 Eel Sharks if the battle is in water. ")</f>
        <v>20,000 storm and water damage to all enemies, 75% chance to summon 2 Eel Sharks if the battle is in water. </v>
      </c>
      <c r="F454" s="32" t="str">
        <f>IFERROR(__xludf.DUMMYFUNCTION("""COMPUTED_VALUE"""),"Hit/Miss")</f>
        <v>Hit/Miss</v>
      </c>
      <c r="G454" s="32">
        <f>IFERROR(__xludf.DUMMYFUNCTION("""COMPUTED_VALUE"""),1.0)</f>
        <v>1</v>
      </c>
      <c r="H454" s="32" t="str">
        <f>IFERROR(__xludf.DUMMYFUNCTION("""COMPUTED_VALUE"""),"Storm")</f>
        <v>Storm</v>
      </c>
      <c r="I454" s="32" t="str">
        <f>IFERROR(__xludf.DUMMYFUNCTION("""COMPUTED_VALUE"""),"Player")</f>
        <v>Player</v>
      </c>
      <c r="J454" s="32" t="b">
        <f>IFERROR(__xludf.DUMMYFUNCTION("""COMPUTED_VALUE"""),FALSE)</f>
        <v>0</v>
      </c>
      <c r="K454" s="32"/>
      <c r="L454" s="32" t="b">
        <f>IFERROR(__xludf.DUMMYFUNCTION("""COMPUTED_VALUE"""),FALSE)</f>
        <v>0</v>
      </c>
      <c r="M454" s="32" t="b">
        <f>IFERROR(__xludf.DUMMYFUNCTION("""COMPUTED_VALUE"""),FALSE)</f>
        <v>0</v>
      </c>
      <c r="N454" s="32"/>
    </row>
    <row r="455">
      <c r="A455" s="32" t="str">
        <f>IFERROR(__xludf.DUMMYFUNCTION("""COMPUTED_VALUE"""),"Elemental Storm")</f>
        <v>Elemental Storm</v>
      </c>
      <c r="B455" s="34">
        <f>IFERROR(__xludf.DUMMYFUNCTION("""COMPUTED_VALUE"""),9.0)</f>
        <v>9</v>
      </c>
      <c r="C455" s="33">
        <f>IFERROR(__xludf.DUMMYFUNCTION("""COMPUTED_VALUE"""),7200.0)</f>
        <v>7200</v>
      </c>
      <c r="D455" s="32"/>
      <c r="E455" s="32" t="str">
        <f>IFERROR(__xludf.DUMMYFUNCTION("""COMPUTED_VALUE"""),"20,000 fire, water, earth, light, dark, order, chaos, nature, and storm damage to all enemies.")</f>
        <v>20,000 fire, water, earth, light, dark, order, chaos, nature, and storm damage to all enemies.</v>
      </c>
      <c r="F455" s="32" t="str">
        <f>IFERROR(__xludf.DUMMYFUNCTION("""COMPUTED_VALUE"""),"Cannot Avoid")</f>
        <v>Cannot Avoid</v>
      </c>
      <c r="G455" s="32"/>
      <c r="H455" s="32" t="str">
        <f>IFERROR(__xludf.DUMMYFUNCTION("""COMPUTED_VALUE"""),"Storm")</f>
        <v>Storm</v>
      </c>
      <c r="I455" s="32" t="str">
        <f>IFERROR(__xludf.DUMMYFUNCTION("""COMPUTED_VALUE"""),"Player")</f>
        <v>Player</v>
      </c>
      <c r="J455" s="32" t="b">
        <f>IFERROR(__xludf.DUMMYFUNCTION("""COMPUTED_VALUE"""),FALSE)</f>
        <v>0</v>
      </c>
      <c r="K455" s="32"/>
      <c r="L455" s="32" t="b">
        <f>IFERROR(__xludf.DUMMYFUNCTION("""COMPUTED_VALUE"""),FALSE)</f>
        <v>0</v>
      </c>
      <c r="M455" s="32" t="b">
        <f>IFERROR(__xludf.DUMMYFUNCTION("""COMPUTED_VALUE"""),FALSE)</f>
        <v>0</v>
      </c>
      <c r="N455" s="32"/>
    </row>
    <row r="456">
      <c r="A456" s="32" t="str">
        <f>IFERROR(__xludf.DUMMYFUNCTION("""COMPUTED_VALUE"""),"Freezing Fog")</f>
        <v>Freezing Fog</v>
      </c>
      <c r="B456" s="34">
        <f>IFERROR(__xludf.DUMMYFUNCTION("""COMPUTED_VALUE"""),9.0)</f>
        <v>9</v>
      </c>
      <c r="C456" s="32">
        <f>IFERROR(__xludf.DUMMYFUNCTION("""COMPUTED_VALUE"""),300.0)</f>
        <v>300</v>
      </c>
      <c r="D456" s="32"/>
      <c r="E456" s="32" t="str">
        <f>IFERROR(__xludf.DUMMYFUNCTION("""COMPUTED_VALUE"""),"50% chance of freezing 1d6 enemies.")</f>
        <v>50% chance of freezing 1d6 enemies.</v>
      </c>
      <c r="F456" s="32" t="str">
        <f>IFERROR(__xludf.DUMMYFUNCTION("""COMPUTED_VALUE"""),"Will Succeed")</f>
        <v>Will Succeed</v>
      </c>
      <c r="G456" s="32" t="str">
        <f>IFERROR(__xludf.DUMMYFUNCTION("""COMPUTED_VALUE"""),"1d6")</f>
        <v>1d6</v>
      </c>
      <c r="H456" s="32" t="str">
        <f>IFERROR(__xludf.DUMMYFUNCTION("""COMPUTED_VALUE"""),"Storm")</f>
        <v>Storm</v>
      </c>
      <c r="I456" s="32" t="str">
        <f>IFERROR(__xludf.DUMMYFUNCTION("""COMPUTED_VALUE"""),"Player")</f>
        <v>Player</v>
      </c>
      <c r="J456" s="32" t="b">
        <f>IFERROR(__xludf.DUMMYFUNCTION("""COMPUTED_VALUE"""),FALSE)</f>
        <v>0</v>
      </c>
      <c r="K456" s="32"/>
      <c r="L456" s="32" t="b">
        <f>IFERROR(__xludf.DUMMYFUNCTION("""COMPUTED_VALUE"""),FALSE)</f>
        <v>0</v>
      </c>
      <c r="M456" s="32" t="b">
        <f>IFERROR(__xludf.DUMMYFUNCTION("""COMPUTED_VALUE"""),FALSE)</f>
        <v>0</v>
      </c>
      <c r="N456" s="32"/>
    </row>
    <row r="457">
      <c r="A457" s="32" t="str">
        <f>IFERROR(__xludf.DUMMYFUNCTION("""COMPUTED_VALUE"""),"Gust of Wind")</f>
        <v>Gust of Wind</v>
      </c>
      <c r="B457" s="34">
        <f>IFERROR(__xludf.DUMMYFUNCTION("""COMPUTED_VALUE"""),2.0)</f>
        <v>2</v>
      </c>
      <c r="C457" s="32">
        <f>IFERROR(__xludf.DUMMYFUNCTION("""COMPUTED_VALUE"""),80.0)</f>
        <v>80</v>
      </c>
      <c r="D457" s="32"/>
      <c r="E457" s="32" t="str">
        <f>IFERROR(__xludf.DUMMYFUNCTION("""COMPUTED_VALUE"""),"2000 storm damage to all enemies. 50% chance to remove those targets from battle.")</f>
        <v>2000 storm damage to all enemies. 50% chance to remove those targets from battle.</v>
      </c>
      <c r="F457" s="32" t="str">
        <f>IFERROR(__xludf.DUMMYFUNCTION("""COMPUTED_VALUE"""),"Cannot Avoid")</f>
        <v>Cannot Avoid</v>
      </c>
      <c r="G457" s="32" t="str">
        <f>IFERROR(__xludf.DUMMYFUNCTION("""COMPUTED_VALUE"""),"All")</f>
        <v>All</v>
      </c>
      <c r="H457" s="32" t="str">
        <f>IFERROR(__xludf.DUMMYFUNCTION("""COMPUTED_VALUE"""),"Storm")</f>
        <v>Storm</v>
      </c>
      <c r="I457" s="32" t="str">
        <f>IFERROR(__xludf.DUMMYFUNCTION("""COMPUTED_VALUE"""),"Player")</f>
        <v>Player</v>
      </c>
      <c r="J457" s="32" t="b">
        <f>IFERROR(__xludf.DUMMYFUNCTION("""COMPUTED_VALUE"""),FALSE)</f>
        <v>0</v>
      </c>
      <c r="K457" s="32"/>
      <c r="L457" s="32" t="b">
        <f>IFERROR(__xludf.DUMMYFUNCTION("""COMPUTED_VALUE"""),FALSE)</f>
        <v>0</v>
      </c>
      <c r="M457" s="32" t="b">
        <f>IFERROR(__xludf.DUMMYFUNCTION("""COMPUTED_VALUE"""),FALSE)</f>
        <v>0</v>
      </c>
      <c r="N457" s="32"/>
    </row>
    <row r="458">
      <c r="A458" s="32" t="str">
        <f>IFERROR(__xludf.DUMMYFUNCTION("""COMPUTED_VALUE"""),"HailStorm")</f>
        <v>HailStorm</v>
      </c>
      <c r="B458" s="34">
        <f>IFERROR(__xludf.DUMMYFUNCTION("""COMPUTED_VALUE"""),5.0)</f>
        <v>5</v>
      </c>
      <c r="C458" s="32">
        <f>IFERROR(__xludf.DUMMYFUNCTION("""COMPUTED_VALUE"""),80.0)</f>
        <v>80</v>
      </c>
      <c r="D458" s="32"/>
      <c r="E458" s="32" t="str">
        <f>IFERROR(__xludf.DUMMYFUNCTION("""COMPUTED_VALUE"""),"Makes all percentage freezing effects 100% for self and allies.")</f>
        <v>Makes all percentage freezing effects 100% for self and allies.</v>
      </c>
      <c r="F458" s="32" t="str">
        <f>IFERROR(__xludf.DUMMYFUNCTION("""COMPUTED_VALUE"""),"Fail/Succeed")</f>
        <v>Fail/Succeed</v>
      </c>
      <c r="G458" s="32" t="str">
        <f>IFERROR(__xludf.DUMMYFUNCTION("""COMPUTED_VALUE"""),"Self")</f>
        <v>Self</v>
      </c>
      <c r="H458" s="32" t="str">
        <f>IFERROR(__xludf.DUMMYFUNCTION("""COMPUTED_VALUE"""),"Storm")</f>
        <v>Storm</v>
      </c>
      <c r="I458" s="32" t="str">
        <f>IFERROR(__xludf.DUMMYFUNCTION("""COMPUTED_VALUE"""),"Player")</f>
        <v>Player</v>
      </c>
      <c r="J458" s="32" t="b">
        <f>IFERROR(__xludf.DUMMYFUNCTION("""COMPUTED_VALUE"""),TRUE)</f>
        <v>1</v>
      </c>
      <c r="K458" s="32" t="str">
        <f>IFERROR(__xludf.DUMMYFUNCTION("""COMPUTED_VALUE"""),"shop spell")</f>
        <v>shop spell</v>
      </c>
      <c r="L458" s="32" t="b">
        <f>IFERROR(__xludf.DUMMYFUNCTION("""COMPUTED_VALUE"""),FALSE)</f>
        <v>0</v>
      </c>
      <c r="M458" s="32" t="b">
        <f>IFERROR(__xludf.DUMMYFUNCTION("""COMPUTED_VALUE"""),FALSE)</f>
        <v>0</v>
      </c>
      <c r="N458" s="32"/>
    </row>
    <row r="459">
      <c r="A459" s="32" t="str">
        <f>IFERROR(__xludf.DUMMYFUNCTION("""COMPUTED_VALUE"""),"Hurricane")</f>
        <v>Hurricane</v>
      </c>
      <c r="B459" s="34">
        <f>IFERROR(__xludf.DUMMYFUNCTION("""COMPUTED_VALUE"""),3.0)</f>
        <v>3</v>
      </c>
      <c r="C459" s="32" t="str">
        <f>IFERROR(__xludf.DUMMYFUNCTION("""COMPUTED_VALUE"""),"d12*20")</f>
        <v>d12*20</v>
      </c>
      <c r="D459" s="32"/>
      <c r="E459" s="32"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32" t="str">
        <f>IFERROR(__xludf.DUMMYFUNCTION("""COMPUTED_VALUE"""),"Cannot Avoid")</f>
        <v>Cannot Avoid</v>
      </c>
      <c r="G459" s="32" t="str">
        <f>IFERROR(__xludf.DUMMYFUNCTION("""COMPUTED_VALUE"""),"All")</f>
        <v>All</v>
      </c>
      <c r="H459" s="32" t="str">
        <f>IFERROR(__xludf.DUMMYFUNCTION("""COMPUTED_VALUE"""),"Storm")</f>
        <v>Storm</v>
      </c>
      <c r="I459" s="32" t="str">
        <f>IFERROR(__xludf.DUMMYFUNCTION("""COMPUTED_VALUE"""),"Player")</f>
        <v>Player</v>
      </c>
      <c r="J459" s="32" t="b">
        <f>IFERROR(__xludf.DUMMYFUNCTION("""COMPUTED_VALUE"""),FALSE)</f>
        <v>0</v>
      </c>
      <c r="K459" s="32"/>
      <c r="L459" s="32" t="b">
        <f>IFERROR(__xludf.DUMMYFUNCTION("""COMPUTED_VALUE"""),FALSE)</f>
        <v>0</v>
      </c>
      <c r="M459" s="32" t="b">
        <f>IFERROR(__xludf.DUMMYFUNCTION("""COMPUTED_VALUE"""),FALSE)</f>
        <v>0</v>
      </c>
      <c r="N459" s="32"/>
    </row>
    <row r="460">
      <c r="A460" s="32" t="str">
        <f>IFERROR(__xludf.DUMMYFUNCTION("""COMPUTED_VALUE"""),"Roaring Frost Winds")</f>
        <v>Roaring Frost Winds</v>
      </c>
      <c r="B460" s="34">
        <f>IFERROR(__xludf.DUMMYFUNCTION("""COMPUTED_VALUE"""),8.0)</f>
        <v>8</v>
      </c>
      <c r="C460" s="32">
        <f>IFERROR(__xludf.DUMMYFUNCTION("""COMPUTED_VALUE"""),560.0)</f>
        <v>560</v>
      </c>
      <c r="D460" s="32"/>
      <c r="E460" s="32" t="str">
        <f>IFERROR(__xludf.DUMMYFUNCTION("""COMPUTED_VALUE"""),"14,000 storm damage to all enemies, 50% chance to freeze all targets.")</f>
        <v>14,000 storm damage to all enemies, 50% chance to freeze all targets.</v>
      </c>
      <c r="F460" s="32" t="str">
        <f>IFERROR(__xludf.DUMMYFUNCTION("""COMPUTED_VALUE"""),"Cannot Avoid")</f>
        <v>Cannot Avoid</v>
      </c>
      <c r="G460" s="32"/>
      <c r="H460" s="32" t="str">
        <f>IFERROR(__xludf.DUMMYFUNCTION("""COMPUTED_VALUE"""),"Storm")</f>
        <v>Storm</v>
      </c>
      <c r="I460" s="32" t="str">
        <f>IFERROR(__xludf.DUMMYFUNCTION("""COMPUTED_VALUE"""),"Player")</f>
        <v>Player</v>
      </c>
      <c r="J460" s="32" t="b">
        <f>IFERROR(__xludf.DUMMYFUNCTION("""COMPUTED_VALUE"""),FALSE)</f>
        <v>0</v>
      </c>
      <c r="K460" s="32"/>
      <c r="L460" s="32" t="b">
        <f>IFERROR(__xludf.DUMMYFUNCTION("""COMPUTED_VALUE"""),FALSE)</f>
        <v>0</v>
      </c>
      <c r="M460" s="32" t="b">
        <f>IFERROR(__xludf.DUMMYFUNCTION("""COMPUTED_VALUE"""),FALSE)</f>
        <v>0</v>
      </c>
      <c r="N460" s="32"/>
    </row>
    <row r="461">
      <c r="A461" s="32" t="str">
        <f>IFERROR(__xludf.DUMMYFUNCTION("""COMPUTED_VALUE"""),"Shocking Strike")</f>
        <v>Shocking Strike</v>
      </c>
      <c r="B461" s="34">
        <f>IFERROR(__xludf.DUMMYFUNCTION("""COMPUTED_VALUE"""),6.0)</f>
        <v>6</v>
      </c>
      <c r="C461" s="32">
        <f>IFERROR(__xludf.DUMMYFUNCTION("""COMPUTED_VALUE"""),240.0)</f>
        <v>240</v>
      </c>
      <c r="D461" s="32"/>
      <c r="E461" s="32" t="str">
        <f>IFERROR(__xludf.DUMMYFUNCTION("""COMPUTED_VALUE"""),"6000 storm damage, Stun 3")</f>
        <v>6000 storm damage, Stun 3</v>
      </c>
      <c r="F461" s="32" t="str">
        <f>IFERROR(__xludf.DUMMYFUNCTION("""COMPUTED_VALUE"""),"Hit/Miss")</f>
        <v>Hit/Miss</v>
      </c>
      <c r="G461" s="32">
        <f>IFERROR(__xludf.DUMMYFUNCTION("""COMPUTED_VALUE"""),1.0)</f>
        <v>1</v>
      </c>
      <c r="H461" s="32" t="str">
        <f>IFERROR(__xludf.DUMMYFUNCTION("""COMPUTED_VALUE"""),"Storm")</f>
        <v>Storm</v>
      </c>
      <c r="I461" s="32" t="str">
        <f>IFERROR(__xludf.DUMMYFUNCTION("""COMPUTED_VALUE"""),"Player")</f>
        <v>Player</v>
      </c>
      <c r="J461" s="32" t="b">
        <f>IFERROR(__xludf.DUMMYFUNCTION("""COMPUTED_VALUE"""),FALSE)</f>
        <v>0</v>
      </c>
      <c r="K461" s="32"/>
      <c r="L461" s="32" t="b">
        <f>IFERROR(__xludf.DUMMYFUNCTION("""COMPUTED_VALUE"""),FALSE)</f>
        <v>0</v>
      </c>
      <c r="M461" s="32" t="b">
        <f>IFERROR(__xludf.DUMMYFUNCTION("""COMPUTED_VALUE"""),FALSE)</f>
        <v>0</v>
      </c>
      <c r="N461" s="32"/>
    </row>
    <row r="462">
      <c r="A462" s="32" t="str">
        <f>IFERROR(__xludf.DUMMYFUNCTION("""COMPUTED_VALUE"""),"Static Charge")</f>
        <v>Static Charge</v>
      </c>
      <c r="B462" s="34">
        <f>IFERROR(__xludf.DUMMYFUNCTION("""COMPUTED_VALUE"""),4.0)</f>
        <v>4</v>
      </c>
      <c r="C462" s="32" t="str">
        <f>IFERROR(__xludf.DUMMYFUNCTION("""COMPUTED_VALUE"""),"X")</f>
        <v>X</v>
      </c>
      <c r="D462" s="32"/>
      <c r="E462" s="32" t="str">
        <f>IFERROR(__xludf.DUMMYFUNCTION("""COMPUTED_VALUE"""),"Target gains X*4 Storm damage and X*4 Storm resistance, can’t be used on self.")</f>
        <v>Target gains X*4 Storm damage and X*4 Storm resistance, can’t be used on self.</v>
      </c>
      <c r="F462" s="32" t="str">
        <f>IFERROR(__xludf.DUMMYFUNCTION("""COMPUTED_VALUE"""),"Will Succeed")</f>
        <v>Will Succeed</v>
      </c>
      <c r="G462" s="32"/>
      <c r="H462" s="32" t="str">
        <f>IFERROR(__xludf.DUMMYFUNCTION("""COMPUTED_VALUE"""),"Storm")</f>
        <v>Storm</v>
      </c>
      <c r="I462" s="32" t="str">
        <f>IFERROR(__xludf.DUMMYFUNCTION("""COMPUTED_VALUE"""),"Player")</f>
        <v>Player</v>
      </c>
      <c r="J462" s="32" t="b">
        <f>IFERROR(__xludf.DUMMYFUNCTION("""COMPUTED_VALUE"""),FALSE)</f>
        <v>0</v>
      </c>
      <c r="K462" s="32"/>
      <c r="L462" s="32" t="b">
        <f>IFERROR(__xludf.DUMMYFUNCTION("""COMPUTED_VALUE"""),FALSE)</f>
        <v>0</v>
      </c>
      <c r="M462" s="32" t="b">
        <f>IFERROR(__xludf.DUMMYFUNCTION("""COMPUTED_VALUE"""),FALSE)</f>
        <v>0</v>
      </c>
      <c r="N462" s="32"/>
    </row>
    <row r="463">
      <c r="A463" s="32" t="str">
        <f>IFERROR(__xludf.DUMMYFUNCTION("""COMPUTED_VALUE"""),"Stun Negation")</f>
        <v>Stun Negation</v>
      </c>
      <c r="B463" s="34">
        <f>IFERROR(__xludf.DUMMYFUNCTION("""COMPUTED_VALUE"""),6.0)</f>
        <v>6</v>
      </c>
      <c r="C463" s="32">
        <f>IFERROR(__xludf.DUMMYFUNCTION("""COMPUTED_VALUE"""),60.0)</f>
        <v>60</v>
      </c>
      <c r="D463" s="32"/>
      <c r="E463" s="32" t="str">
        <f>IFERROR(__xludf.DUMMYFUNCTION("""COMPUTED_VALUE"""),"Negate the next 3 incoming stun attempts.")</f>
        <v>Negate the next 3 incoming stun attempts.</v>
      </c>
      <c r="F463" s="32" t="str">
        <f>IFERROR(__xludf.DUMMYFUNCTION("""COMPUTED_VALUE"""),"Fail/Succeed")</f>
        <v>Fail/Succeed</v>
      </c>
      <c r="G463" s="32"/>
      <c r="H463" s="32" t="str">
        <f>IFERROR(__xludf.DUMMYFUNCTION("""COMPUTED_VALUE"""),"Storm")</f>
        <v>Storm</v>
      </c>
      <c r="I463" s="32" t="str">
        <f>IFERROR(__xludf.DUMMYFUNCTION("""COMPUTED_VALUE"""),"Player")</f>
        <v>Player</v>
      </c>
      <c r="J463" s="32" t="b">
        <f>IFERROR(__xludf.DUMMYFUNCTION("""COMPUTED_VALUE"""),FALSE)</f>
        <v>0</v>
      </c>
      <c r="K463" s="32"/>
      <c r="L463" s="32" t="b">
        <f>IFERROR(__xludf.DUMMYFUNCTION("""COMPUTED_VALUE"""),FALSE)</f>
        <v>0</v>
      </c>
      <c r="M463" s="32" t="b">
        <f>IFERROR(__xludf.DUMMYFUNCTION("""COMPUTED_VALUE"""),FALSE)</f>
        <v>0</v>
      </c>
      <c r="N463" s="32"/>
    </row>
    <row r="464">
      <c r="A464" s="32" t="str">
        <f>IFERROR(__xludf.DUMMYFUNCTION("""COMPUTED_VALUE"""),"Stun Wave")</f>
        <v>Stun Wave</v>
      </c>
      <c r="B464" s="34">
        <f>IFERROR(__xludf.DUMMYFUNCTION("""COMPUTED_VALUE"""),1.0)</f>
        <v>1</v>
      </c>
      <c r="C464" s="32">
        <f>IFERROR(__xludf.DUMMYFUNCTION("""COMPUTED_VALUE"""),10.0)</f>
        <v>10</v>
      </c>
      <c r="D464" s="32"/>
      <c r="E464" s="32" t="str">
        <f>IFERROR(__xludf.DUMMYFUNCTION("""COMPUTED_VALUE"""),"Stun 3")</f>
        <v>Stun 3</v>
      </c>
      <c r="F464" s="32" t="str">
        <f>IFERROR(__xludf.DUMMYFUNCTION("""COMPUTED_VALUE"""),"Fail/Succeed")</f>
        <v>Fail/Succeed</v>
      </c>
      <c r="G464" s="32"/>
      <c r="H464" s="32" t="str">
        <f>IFERROR(__xludf.DUMMYFUNCTION("""COMPUTED_VALUE"""),"Storm")</f>
        <v>Storm</v>
      </c>
      <c r="I464" s="32" t="str">
        <f>IFERROR(__xludf.DUMMYFUNCTION("""COMPUTED_VALUE"""),"Player")</f>
        <v>Player</v>
      </c>
      <c r="J464" s="32" t="b">
        <f>IFERROR(__xludf.DUMMYFUNCTION("""COMPUTED_VALUE"""),FALSE)</f>
        <v>0</v>
      </c>
      <c r="K464" s="32"/>
      <c r="L464" s="32" t="b">
        <f>IFERROR(__xludf.DUMMYFUNCTION("""COMPUTED_VALUE"""),FALSE)</f>
        <v>0</v>
      </c>
      <c r="M464" s="32" t="b">
        <f>IFERROR(__xludf.DUMMYFUNCTION("""COMPUTED_VALUE"""),FALSE)</f>
        <v>0</v>
      </c>
      <c r="N464" s="32"/>
    </row>
    <row r="465">
      <c r="A465" s="32" t="str">
        <f>IFERROR(__xludf.DUMMYFUNCTION("""COMPUTED_VALUE"""),"Thunderstorm")</f>
        <v>Thunderstorm</v>
      </c>
      <c r="B465" s="34">
        <f>IFERROR(__xludf.DUMMYFUNCTION("""COMPUTED_VALUE"""),6.0)</f>
        <v>6</v>
      </c>
      <c r="C465" s="32">
        <f>IFERROR(__xludf.DUMMYFUNCTION("""COMPUTED_VALUE"""),60.0)</f>
        <v>60</v>
      </c>
      <c r="D465" s="32"/>
      <c r="E465" s="32"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32" t="str">
        <f>IFERROR(__xludf.DUMMYFUNCTION("""COMPUTED_VALUE"""),"Will Succeed")</f>
        <v>Will Succeed</v>
      </c>
      <c r="G465" s="32"/>
      <c r="H465" s="32" t="str">
        <f>IFERROR(__xludf.DUMMYFUNCTION("""COMPUTED_VALUE"""),"Storm")</f>
        <v>Storm</v>
      </c>
      <c r="I465" s="32" t="str">
        <f>IFERROR(__xludf.DUMMYFUNCTION("""COMPUTED_VALUE"""),"Player")</f>
        <v>Player</v>
      </c>
      <c r="J465" s="32" t="b">
        <f>IFERROR(__xludf.DUMMYFUNCTION("""COMPUTED_VALUE"""),FALSE)</f>
        <v>0</v>
      </c>
      <c r="K465" s="32"/>
      <c r="L465" s="32" t="b">
        <f>IFERROR(__xludf.DUMMYFUNCTION("""COMPUTED_VALUE"""),FALSE)</f>
        <v>0</v>
      </c>
      <c r="M465" s="32" t="b">
        <f>IFERROR(__xludf.DUMMYFUNCTION("""COMPUTED_VALUE"""),FALSE)</f>
        <v>0</v>
      </c>
      <c r="N465" s="32"/>
    </row>
    <row r="466">
      <c r="A466" s="32" t="str">
        <f>IFERROR(__xludf.DUMMYFUNCTION("""COMPUTED_VALUE"""),"Brewing Storm")</f>
        <v>Brewing Storm</v>
      </c>
      <c r="B466" s="34">
        <f>IFERROR(__xludf.DUMMYFUNCTION("""COMPUTED_VALUE"""),9.0)</f>
        <v>9</v>
      </c>
      <c r="C466" s="32">
        <f>IFERROR(__xludf.DUMMYFUNCTION("""COMPUTED_VALUE"""),500.0)</f>
        <v>500</v>
      </c>
      <c r="D466" s="32"/>
      <c r="E466" s="32"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32" t="str">
        <f>IFERROR(__xludf.DUMMYFUNCTION("""COMPUTED_VALUE"""),"Will Succeed")</f>
        <v>Will Succeed</v>
      </c>
      <c r="G466" s="32" t="str">
        <f>IFERROR(__xludf.DUMMYFUNCTION("""COMPUTED_VALUE"""),"All")</f>
        <v>All</v>
      </c>
      <c r="H466" s="32" t="str">
        <f>IFERROR(__xludf.DUMMYFUNCTION("""COMPUTED_VALUE"""),"Storm")</f>
        <v>Storm</v>
      </c>
      <c r="I466" s="32" t="str">
        <f>IFERROR(__xludf.DUMMYFUNCTION("""COMPUTED_VALUE"""),"Player")</f>
        <v>Player</v>
      </c>
      <c r="J466" s="32" t="b">
        <f>IFERROR(__xludf.DUMMYFUNCTION("""COMPUTED_VALUE"""),FALSE)</f>
        <v>0</v>
      </c>
      <c r="K466" s="32"/>
      <c r="L466" s="32" t="b">
        <f>IFERROR(__xludf.DUMMYFUNCTION("""COMPUTED_VALUE"""),FALSE)</f>
        <v>0</v>
      </c>
      <c r="M466" s="32" t="b">
        <f>IFERROR(__xludf.DUMMYFUNCTION("""COMPUTED_VALUE"""),FALSE)</f>
        <v>0</v>
      </c>
      <c r="N466" s="32"/>
    </row>
    <row r="467">
      <c r="A467" s="32" t="str">
        <f>IFERROR(__xludf.DUMMYFUNCTION("""COMPUTED_VALUE"""),"Lightning Strike")</f>
        <v>Lightning Strike</v>
      </c>
      <c r="B467" s="34">
        <f>IFERROR(__xludf.DUMMYFUNCTION("""COMPUTED_VALUE"""),1.0)</f>
        <v>1</v>
      </c>
      <c r="C467" s="32" t="str">
        <f>IFERROR(__xludf.DUMMYFUNCTION("""COMPUTED_VALUE"""),"X")</f>
        <v>X</v>
      </c>
      <c r="D467" s="32"/>
      <c r="E467" s="32" t="str">
        <f>IFERROR(__xludf.DUMMYFUNCTION("""COMPUTED_VALUE"""),"Deals X*100 Storm damage to a single enemy where X is equal to SP spent.")</f>
        <v>Deals X*100 Storm damage to a single enemy where X is equal to SP spent.</v>
      </c>
      <c r="F467" s="32" t="str">
        <f>IFERROR(__xludf.DUMMYFUNCTION("""COMPUTED_VALUE"""),"Hit/Miss")</f>
        <v>Hit/Miss</v>
      </c>
      <c r="G467" s="32">
        <f>IFERROR(__xludf.DUMMYFUNCTION("""COMPUTED_VALUE"""),1.0)</f>
        <v>1</v>
      </c>
      <c r="H467" s="32" t="str">
        <f>IFERROR(__xludf.DUMMYFUNCTION("""COMPUTED_VALUE"""),"Storm")</f>
        <v>Storm</v>
      </c>
      <c r="I467" s="32" t="str">
        <f>IFERROR(__xludf.DUMMYFUNCTION("""COMPUTED_VALUE"""),"Player")</f>
        <v>Player</v>
      </c>
      <c r="J467" s="32" t="b">
        <f>IFERROR(__xludf.DUMMYFUNCTION("""COMPUTED_VALUE"""),FALSE)</f>
        <v>0</v>
      </c>
      <c r="K467" s="32"/>
      <c r="L467" s="32" t="b">
        <f>IFERROR(__xludf.DUMMYFUNCTION("""COMPUTED_VALUE"""),FALSE)</f>
        <v>0</v>
      </c>
      <c r="M467" s="32" t="b">
        <f>IFERROR(__xludf.DUMMYFUNCTION("""COMPUTED_VALUE"""),FALSE)</f>
        <v>0</v>
      </c>
      <c r="N467" s="32"/>
    </row>
    <row r="468">
      <c r="A468" s="32" t="str">
        <f>IFERROR(__xludf.DUMMYFUNCTION("""COMPUTED_VALUE"""),"Shocking Touch")</f>
        <v>Shocking Touch</v>
      </c>
      <c r="B468" s="34">
        <f>IFERROR(__xludf.DUMMYFUNCTION("""COMPUTED_VALUE"""),5.0)</f>
        <v>5</v>
      </c>
      <c r="C468" s="32" t="str">
        <f>IFERROR(__xludf.DUMMYFUNCTION("""COMPUTED_VALUE"""),"X")</f>
        <v>X</v>
      </c>
      <c r="D468" s="32"/>
      <c r="E468" s="32" t="str">
        <f>IFERROR(__xludf.DUMMYFUNCTION("""COMPUTED_VALUE"""),"Deals X*50 Storm damage per round for 3 rounds to a single target where X is equal to SP spent.")</f>
        <v>Deals X*50 Storm damage per round for 3 rounds to a single target where X is equal to SP spent.</v>
      </c>
      <c r="F468" s="32" t="str">
        <f>IFERROR(__xludf.DUMMYFUNCTION("""COMPUTED_VALUE"""),"Hit/Miss")</f>
        <v>Hit/Miss</v>
      </c>
      <c r="G468" s="32">
        <f>IFERROR(__xludf.DUMMYFUNCTION("""COMPUTED_VALUE"""),1.0)</f>
        <v>1</v>
      </c>
      <c r="H468" s="32" t="str">
        <f>IFERROR(__xludf.DUMMYFUNCTION("""COMPUTED_VALUE"""),"Storm")</f>
        <v>Storm</v>
      </c>
      <c r="I468" s="32" t="str">
        <f>IFERROR(__xludf.DUMMYFUNCTION("""COMPUTED_VALUE"""),"Player")</f>
        <v>Player</v>
      </c>
      <c r="J468" s="32" t="b">
        <f>IFERROR(__xludf.DUMMYFUNCTION("""COMPUTED_VALUE"""),FALSE)</f>
        <v>0</v>
      </c>
      <c r="K468" s="32"/>
      <c r="L468" s="32" t="b">
        <f>IFERROR(__xludf.DUMMYFUNCTION("""COMPUTED_VALUE"""),FALSE)</f>
        <v>0</v>
      </c>
      <c r="M468" s="32" t="b">
        <f>IFERROR(__xludf.DUMMYFUNCTION("""COMPUTED_VALUE"""),FALSE)</f>
        <v>0</v>
      </c>
      <c r="N468" s="32"/>
    </row>
    <row r="469">
      <c r="A469" s="32" t="str">
        <f>IFERROR(__xludf.DUMMYFUNCTION("""COMPUTED_VALUE"""),"Chain Lightning")</f>
        <v>Chain Lightning</v>
      </c>
      <c r="B469" s="34">
        <f>IFERROR(__xludf.DUMMYFUNCTION("""COMPUTED_VALUE"""),5.0)</f>
        <v>5</v>
      </c>
      <c r="C469" s="32" t="str">
        <f>IFERROR(__xludf.DUMMYFUNCTION("""COMPUTED_VALUE"""),"X")</f>
        <v>X</v>
      </c>
      <c r="D469" s="32"/>
      <c r="E469" s="32" t="str">
        <f>IFERROR(__xludf.DUMMYFUNCTION("""COMPUTED_VALUE"""),"Deals X*25 Storm damage to all enemies where X is equal to SP spent.")</f>
        <v>Deals X*25 Storm damage to all enemies where X is equal to SP spent.</v>
      </c>
      <c r="F469" s="32" t="str">
        <f>IFERROR(__xludf.DUMMYFUNCTION("""COMPUTED_VALUE"""),"Cannot Avoid")</f>
        <v>Cannot Avoid</v>
      </c>
      <c r="G469" s="32" t="str">
        <f>IFERROR(__xludf.DUMMYFUNCTION("""COMPUTED_VALUE"""),"All")</f>
        <v>All</v>
      </c>
      <c r="H469" s="32" t="str">
        <f>IFERROR(__xludf.DUMMYFUNCTION("""COMPUTED_VALUE"""),"Storm")</f>
        <v>Storm</v>
      </c>
      <c r="I469" s="32" t="str">
        <f>IFERROR(__xludf.DUMMYFUNCTION("""COMPUTED_VALUE"""),"Player")</f>
        <v>Player</v>
      </c>
      <c r="J469" s="32" t="b">
        <f>IFERROR(__xludf.DUMMYFUNCTION("""COMPUTED_VALUE"""),FALSE)</f>
        <v>0</v>
      </c>
      <c r="K469" s="32"/>
      <c r="L469" s="32" t="b">
        <f>IFERROR(__xludf.DUMMYFUNCTION("""COMPUTED_VALUE"""),FALSE)</f>
        <v>0</v>
      </c>
      <c r="M469" s="32" t="b">
        <f>IFERROR(__xludf.DUMMYFUNCTION("""COMPUTED_VALUE"""),FALSE)</f>
        <v>0</v>
      </c>
      <c r="N469" s="32"/>
    </row>
    <row r="470">
      <c r="A470" s="32" t="str">
        <f>IFERROR(__xludf.DUMMYFUNCTION("""COMPUTED_VALUE"""),"Mass Charge")</f>
        <v>Mass Charge</v>
      </c>
      <c r="B470" s="34">
        <f>IFERROR(__xludf.DUMMYFUNCTION("""COMPUTED_VALUE"""),6.0)</f>
        <v>6</v>
      </c>
      <c r="C470" s="32" t="str">
        <f>IFERROR(__xludf.DUMMYFUNCTION("""COMPUTED_VALUE"""),"X")</f>
        <v>X</v>
      </c>
      <c r="D470" s="32"/>
      <c r="E470" s="32" t="str">
        <f>IFERROR(__xludf.DUMMYFUNCTION("""COMPUTED_VALUE"""),"Deals X*10 Storm damage per round to all enemies for 3 rounds where X is equal to SP spent.")</f>
        <v>Deals X*10 Storm damage per round to all enemies for 3 rounds where X is equal to SP spent.</v>
      </c>
      <c r="F470" s="32" t="str">
        <f>IFERROR(__xludf.DUMMYFUNCTION("""COMPUTED_VALUE"""),"Cannot Avoid")</f>
        <v>Cannot Avoid</v>
      </c>
      <c r="G470" s="32" t="str">
        <f>IFERROR(__xludf.DUMMYFUNCTION("""COMPUTED_VALUE"""),"All")</f>
        <v>All</v>
      </c>
      <c r="H470" s="32" t="str">
        <f>IFERROR(__xludf.DUMMYFUNCTION("""COMPUTED_VALUE"""),"Storm")</f>
        <v>Storm</v>
      </c>
      <c r="I470" s="32" t="str">
        <f>IFERROR(__xludf.DUMMYFUNCTION("""COMPUTED_VALUE"""),"Player")</f>
        <v>Player</v>
      </c>
      <c r="J470" s="32" t="b">
        <f>IFERROR(__xludf.DUMMYFUNCTION("""COMPUTED_VALUE"""),FALSE)</f>
        <v>0</v>
      </c>
      <c r="K470" s="32"/>
      <c r="L470" s="32" t="b">
        <f>IFERROR(__xludf.DUMMYFUNCTION("""COMPUTED_VALUE"""),FALSE)</f>
        <v>0</v>
      </c>
      <c r="M470" s="32" t="b">
        <f>IFERROR(__xludf.DUMMYFUNCTION("""COMPUTED_VALUE"""),FALSE)</f>
        <v>0</v>
      </c>
      <c r="N470" s="32"/>
    </row>
    <row r="471">
      <c r="A471" s="32" t="str">
        <f>IFERROR(__xludf.DUMMYFUNCTION("""COMPUTED_VALUE"""),"Tornado")</f>
        <v>Tornado</v>
      </c>
      <c r="B471" s="34">
        <f>IFERROR(__xludf.DUMMYFUNCTION("""COMPUTED_VALUE"""),3.0)</f>
        <v>3</v>
      </c>
      <c r="C471" s="32" t="str">
        <f>IFERROR(__xludf.DUMMYFUNCTION("""COMPUTED_VALUE"""),"d20*40")</f>
        <v>d20*40</v>
      </c>
      <c r="D471" s="32"/>
      <c r="E471" s="32"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32" t="str">
        <f>IFERROR(__xludf.DUMMYFUNCTION("""COMPUTED_VALUE"""),"Cannot Avoid")</f>
        <v>Cannot Avoid</v>
      </c>
      <c r="G471" s="32" t="str">
        <f>IFERROR(__xludf.DUMMYFUNCTION("""COMPUTED_VALUE"""),"All")</f>
        <v>All</v>
      </c>
      <c r="H471" s="32" t="str">
        <f>IFERROR(__xludf.DUMMYFUNCTION("""COMPUTED_VALUE"""),"Storm")</f>
        <v>Storm</v>
      </c>
      <c r="I471" s="32" t="str">
        <f>IFERROR(__xludf.DUMMYFUNCTION("""COMPUTED_VALUE"""),"Player")</f>
        <v>Player</v>
      </c>
      <c r="J471" s="32" t="b">
        <f>IFERROR(__xludf.DUMMYFUNCTION("""COMPUTED_VALUE"""),FALSE)</f>
        <v>0</v>
      </c>
      <c r="K471" s="32"/>
      <c r="L471" s="32" t="b">
        <f>IFERROR(__xludf.DUMMYFUNCTION("""COMPUTED_VALUE"""),TRUE)</f>
        <v>1</v>
      </c>
      <c r="M471" s="32" t="b">
        <f>IFERROR(__xludf.DUMMYFUNCTION("""COMPUTED_VALUE"""),FALSE)</f>
        <v>0</v>
      </c>
      <c r="N471" s="32"/>
    </row>
    <row r="472">
      <c r="A472" s="32" t="str">
        <f>IFERROR(__xludf.DUMMYFUNCTION("""COMPUTED_VALUE"""),"Dimensional Punch")</f>
        <v>Dimensional Punch</v>
      </c>
      <c r="B472" s="34">
        <f>IFERROR(__xludf.DUMMYFUNCTION("""COMPUTED_VALUE"""),6.0)</f>
        <v>6</v>
      </c>
      <c r="C472" s="32">
        <f>IFERROR(__xludf.DUMMYFUNCTION("""COMPUTED_VALUE"""),600.0)</f>
        <v>600</v>
      </c>
      <c r="D472" s="32"/>
      <c r="E472" s="32" t="str">
        <f>IFERROR(__xludf.DUMMYFUNCTION("""COMPUTED_VALUE"""),"send a punch to the target that hits from behind, 5000 dmg.")</f>
        <v>send a punch to the target that hits from behind, 5000 dmg.</v>
      </c>
      <c r="F472" s="32" t="str">
        <f>IFERROR(__xludf.DUMMYFUNCTION("""COMPUTED_VALUE"""),"Hit or Miss")</f>
        <v>Hit or Miss</v>
      </c>
      <c r="G472" s="32">
        <f>IFERROR(__xludf.DUMMYFUNCTION("""COMPUTED_VALUE"""),1.0)</f>
        <v>1</v>
      </c>
      <c r="H472" s="32" t="str">
        <f>IFERROR(__xludf.DUMMYFUNCTION("""COMPUTED_VALUE"""),"Time")</f>
        <v>Time</v>
      </c>
      <c r="I472" s="32" t="str">
        <f>IFERROR(__xludf.DUMMYFUNCTION("""COMPUTED_VALUE"""),"Player")</f>
        <v>Player</v>
      </c>
      <c r="J472" s="32" t="b">
        <f>IFERROR(__xludf.DUMMYFUNCTION("""COMPUTED_VALUE"""),TRUE)</f>
        <v>1</v>
      </c>
      <c r="K472" s="32" t="str">
        <f>IFERROR(__xludf.DUMMYFUNCTION("""COMPUTED_VALUE"""),"(Can only be obtained in the Solreach expansion)")</f>
        <v>(Can only be obtained in the Solreach expansion)</v>
      </c>
      <c r="L472" s="32" t="b">
        <f>IFERROR(__xludf.DUMMYFUNCTION("""COMPUTED_VALUE"""),FALSE)</f>
        <v>0</v>
      </c>
      <c r="M472" s="32" t="b">
        <f>IFERROR(__xludf.DUMMYFUNCTION("""COMPUTED_VALUE"""),FALSE)</f>
        <v>0</v>
      </c>
      <c r="N472" s="32"/>
    </row>
    <row r="473">
      <c r="A473" s="32" t="str">
        <f>IFERROR(__xludf.DUMMYFUNCTION("""COMPUTED_VALUE"""),"Pocket Exile Dimension")</f>
        <v>Pocket Exile Dimension</v>
      </c>
      <c r="B473" s="34">
        <f>IFERROR(__xludf.DUMMYFUNCTION("""COMPUTED_VALUE"""),7.0)</f>
        <v>7</v>
      </c>
      <c r="C473" s="32">
        <f>IFERROR(__xludf.DUMMYFUNCTION("""COMPUTED_VALUE"""),700.0)</f>
        <v>700</v>
      </c>
      <c r="D473" s="32"/>
      <c r="E473" s="32" t="str">
        <f>IFERROR(__xludf.DUMMYFUNCTION("""COMPUTED_VALUE"""),"send up to 2 targets into an inescapable pocket dimension with the caster until caster is defeated")</f>
        <v>send up to 2 targets into an inescapable pocket dimension with the caster until caster is defeated</v>
      </c>
      <c r="F473" s="32" t="str">
        <f>IFERROR(__xludf.DUMMYFUNCTION("""COMPUTED_VALUE"""),"Fail/succeed")</f>
        <v>Fail/succeed</v>
      </c>
      <c r="G473" s="32"/>
      <c r="H473" s="32" t="str">
        <f>IFERROR(__xludf.DUMMYFUNCTION("""COMPUTED_VALUE"""),"Time")</f>
        <v>Time</v>
      </c>
      <c r="I473" s="32" t="str">
        <f>IFERROR(__xludf.DUMMYFUNCTION("""COMPUTED_VALUE"""),"Player")</f>
        <v>Player</v>
      </c>
      <c r="J473" s="32" t="b">
        <f>IFERROR(__xludf.DUMMYFUNCTION("""COMPUTED_VALUE"""),TRUE)</f>
        <v>1</v>
      </c>
      <c r="K473" s="32" t="str">
        <f>IFERROR(__xludf.DUMMYFUNCTION("""COMPUTED_VALUE"""),"(Can only be obtained in the Solreach expansion)")</f>
        <v>(Can only be obtained in the Solreach expansion)</v>
      </c>
      <c r="L473" s="32" t="b">
        <f>IFERROR(__xludf.DUMMYFUNCTION("""COMPUTED_VALUE"""),FALSE)</f>
        <v>0</v>
      </c>
      <c r="M473" s="32" t="b">
        <f>IFERROR(__xludf.DUMMYFUNCTION("""COMPUTED_VALUE"""),FALSE)</f>
        <v>0</v>
      </c>
      <c r="N473" s="32"/>
    </row>
    <row r="474">
      <c r="A474" s="32" t="str">
        <f>IFERROR(__xludf.DUMMYFUNCTION("""COMPUTED_VALUE"""),"Punch of time")</f>
        <v>Punch of time</v>
      </c>
      <c r="B474" s="34">
        <f>IFERROR(__xludf.DUMMYFUNCTION("""COMPUTED_VALUE"""),2.0)</f>
        <v>2</v>
      </c>
      <c r="C474" s="32">
        <f>IFERROR(__xludf.DUMMYFUNCTION("""COMPUTED_VALUE"""),200.0)</f>
        <v>200</v>
      </c>
      <c r="D474" s="32"/>
      <c r="E474" s="32"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32" t="str">
        <f>IFERROR(__xludf.DUMMYFUNCTION("""COMPUTED_VALUE"""),"Fail/succeed")</f>
        <v>Fail/succeed</v>
      </c>
      <c r="G474" s="32"/>
      <c r="H474" s="32" t="str">
        <f>IFERROR(__xludf.DUMMYFUNCTION("""COMPUTED_VALUE"""),"Time")</f>
        <v>Time</v>
      </c>
      <c r="I474" s="32" t="str">
        <f>IFERROR(__xludf.DUMMYFUNCTION("""COMPUTED_VALUE"""),"Player")</f>
        <v>Player</v>
      </c>
      <c r="J474" s="32" t="b">
        <f>IFERROR(__xludf.DUMMYFUNCTION("""COMPUTED_VALUE"""),TRUE)</f>
        <v>1</v>
      </c>
      <c r="K474" s="32" t="str">
        <f>IFERROR(__xludf.DUMMYFUNCTION("""COMPUTED_VALUE"""),"(Can only be obtained in the Solreach expansion)")</f>
        <v>(Can only be obtained in the Solreach expansion)</v>
      </c>
      <c r="L474" s="32" t="b">
        <f>IFERROR(__xludf.DUMMYFUNCTION("""COMPUTED_VALUE"""),FALSE)</f>
        <v>0</v>
      </c>
      <c r="M474" s="32" t="b">
        <f>IFERROR(__xludf.DUMMYFUNCTION("""COMPUTED_VALUE"""),FALSE)</f>
        <v>0</v>
      </c>
      <c r="N474" s="32"/>
    </row>
    <row r="475">
      <c r="A475" s="32" t="str">
        <f>IFERROR(__xludf.DUMMYFUNCTION("""COMPUTED_VALUE"""),"Reverse Attack")</f>
        <v>Reverse Attack</v>
      </c>
      <c r="B475" s="34">
        <f>IFERROR(__xludf.DUMMYFUNCTION("""COMPUTED_VALUE"""),2.0)</f>
        <v>2</v>
      </c>
      <c r="C475" s="32">
        <f>IFERROR(__xludf.DUMMYFUNCTION("""COMPUTED_VALUE"""),200.0)</f>
        <v>200</v>
      </c>
      <c r="D475" s="32"/>
      <c r="E475" s="32" t="str">
        <f>IFERROR(__xludf.DUMMYFUNCTION("""COMPUTED_VALUE"""),"Target is hit with the last damage spell that took place in battle.")</f>
        <v>Target is hit with the last damage spell that took place in battle.</v>
      </c>
      <c r="F475" s="32" t="str">
        <f>IFERROR(__xludf.DUMMYFUNCTION("""COMPUTED_VALUE"""),"Fail/succeed")</f>
        <v>Fail/succeed</v>
      </c>
      <c r="G475" s="32"/>
      <c r="H475" s="32" t="str">
        <f>IFERROR(__xludf.DUMMYFUNCTION("""COMPUTED_VALUE"""),"Time")</f>
        <v>Time</v>
      </c>
      <c r="I475" s="32" t="str">
        <f>IFERROR(__xludf.DUMMYFUNCTION("""COMPUTED_VALUE"""),"Player")</f>
        <v>Player</v>
      </c>
      <c r="J475" s="32" t="b">
        <f>IFERROR(__xludf.DUMMYFUNCTION("""COMPUTED_VALUE"""),TRUE)</f>
        <v>1</v>
      </c>
      <c r="K475" s="32" t="str">
        <f>IFERROR(__xludf.DUMMYFUNCTION("""COMPUTED_VALUE"""),"(Can only be obtained in the Solreach expansion)")</f>
        <v>(Can only be obtained in the Solreach expansion)</v>
      </c>
      <c r="L475" s="32" t="b">
        <f>IFERROR(__xludf.DUMMYFUNCTION("""COMPUTED_VALUE"""),FALSE)</f>
        <v>0</v>
      </c>
      <c r="M475" s="32" t="b">
        <f>IFERROR(__xludf.DUMMYFUNCTION("""COMPUTED_VALUE"""),FALSE)</f>
        <v>0</v>
      </c>
      <c r="N475" s="32"/>
    </row>
    <row r="476">
      <c r="A476" s="32" t="str">
        <f>IFERROR(__xludf.DUMMYFUNCTION("""COMPUTED_VALUE"""),"Reversed round")</f>
        <v>Reversed round</v>
      </c>
      <c r="B476" s="34">
        <f>IFERROR(__xludf.DUMMYFUNCTION("""COMPUTED_VALUE"""),9.0)</f>
        <v>9</v>
      </c>
      <c r="C476" s="32">
        <f>IFERROR(__xludf.DUMMYFUNCTION("""COMPUTED_VALUE"""),1000.0)</f>
        <v>1000</v>
      </c>
      <c r="D476" s="32"/>
      <c r="E476" s="32" t="str">
        <f>IFERROR(__xludf.DUMMYFUNCTION("""COMPUTED_VALUE"""),"Undo 1 action from a single target.")</f>
        <v>Undo 1 action from a single target.</v>
      </c>
      <c r="F476" s="32" t="str">
        <f>IFERROR(__xludf.DUMMYFUNCTION("""COMPUTED_VALUE"""),"Fail/succeed")</f>
        <v>Fail/succeed</v>
      </c>
      <c r="G476" s="32"/>
      <c r="H476" s="32" t="str">
        <f>IFERROR(__xludf.DUMMYFUNCTION("""COMPUTED_VALUE"""),"Time")</f>
        <v>Time</v>
      </c>
      <c r="I476" s="32" t="str">
        <f>IFERROR(__xludf.DUMMYFUNCTION("""COMPUTED_VALUE"""),"Player")</f>
        <v>Player</v>
      </c>
      <c r="J476" s="32" t="b">
        <f>IFERROR(__xludf.DUMMYFUNCTION("""COMPUTED_VALUE"""),TRUE)</f>
        <v>1</v>
      </c>
      <c r="K476" s="32" t="str">
        <f>IFERROR(__xludf.DUMMYFUNCTION("""COMPUTED_VALUE"""),"(Can only be obtained in the Solreach expansion)")</f>
        <v>(Can only be obtained in the Solreach expansion)</v>
      </c>
      <c r="L476" s="32" t="b">
        <f>IFERROR(__xludf.DUMMYFUNCTION("""COMPUTED_VALUE"""),FALSE)</f>
        <v>0</v>
      </c>
      <c r="M476" s="32" t="b">
        <f>IFERROR(__xludf.DUMMYFUNCTION("""COMPUTED_VALUE"""),FALSE)</f>
        <v>0</v>
      </c>
      <c r="N476" s="32"/>
    </row>
    <row r="477">
      <c r="A477" s="32" t="str">
        <f>IFERROR(__xludf.DUMMYFUNCTION("""COMPUTED_VALUE"""),"Speed of light")</f>
        <v>Speed of light</v>
      </c>
      <c r="B477" s="34">
        <f>IFERROR(__xludf.DUMMYFUNCTION("""COMPUTED_VALUE"""),1.0)</f>
        <v>1</v>
      </c>
      <c r="C477" s="32">
        <f>IFERROR(__xludf.DUMMYFUNCTION("""COMPUTED_VALUE"""),100.0)</f>
        <v>100</v>
      </c>
      <c r="D477" s="32"/>
      <c r="E477" s="32" t="str">
        <f>IFERROR(__xludf.DUMMYFUNCTION("""COMPUTED_VALUE"""),"If the caster has a lower dodge roll than the enemy, the caster will dodge the enemies attack for 3 rounds.")</f>
        <v>If the caster has a lower dodge roll than the enemy, the caster will dodge the enemies attack for 3 rounds.</v>
      </c>
      <c r="F477" s="32" t="str">
        <f>IFERROR(__xludf.DUMMYFUNCTION("""COMPUTED_VALUE"""),"Fail/succeed")</f>
        <v>Fail/succeed</v>
      </c>
      <c r="G477" s="32"/>
      <c r="H477" s="32" t="str">
        <f>IFERROR(__xludf.DUMMYFUNCTION("""COMPUTED_VALUE"""),"Time")</f>
        <v>Time</v>
      </c>
      <c r="I477" s="32" t="str">
        <f>IFERROR(__xludf.DUMMYFUNCTION("""COMPUTED_VALUE"""),"Player")</f>
        <v>Player</v>
      </c>
      <c r="J477" s="32" t="b">
        <f>IFERROR(__xludf.DUMMYFUNCTION("""COMPUTED_VALUE"""),TRUE)</f>
        <v>1</v>
      </c>
      <c r="K477" s="32" t="str">
        <f>IFERROR(__xludf.DUMMYFUNCTION("""COMPUTED_VALUE"""),"(Can only be obtained in the Solreach expansion)")</f>
        <v>(Can only be obtained in the Solreach expansion)</v>
      </c>
      <c r="L477" s="32" t="b">
        <f>IFERROR(__xludf.DUMMYFUNCTION("""COMPUTED_VALUE"""),FALSE)</f>
        <v>0</v>
      </c>
      <c r="M477" s="32" t="b">
        <f>IFERROR(__xludf.DUMMYFUNCTION("""COMPUTED_VALUE"""),FALSE)</f>
        <v>0</v>
      </c>
      <c r="N477" s="32"/>
    </row>
    <row r="478">
      <c r="A478" s="32" t="str">
        <f>IFERROR(__xludf.DUMMYFUNCTION("""COMPUTED_VALUE"""),"Time Distortion")</f>
        <v>Time Distortion</v>
      </c>
      <c r="B478" s="34">
        <f>IFERROR(__xludf.DUMMYFUNCTION("""COMPUTED_VALUE"""),4.0)</f>
        <v>4</v>
      </c>
      <c r="C478" s="32">
        <f>IFERROR(__xludf.DUMMYFUNCTION("""COMPUTED_VALUE"""),400.0)</f>
        <v>400</v>
      </c>
      <c r="D478" s="32"/>
      <c r="E478" s="32"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32" t="str">
        <f>IFERROR(__xludf.DUMMYFUNCTION("""COMPUTED_VALUE"""),"Fail/Succeed")</f>
        <v>Fail/Succeed</v>
      </c>
      <c r="G478" s="32"/>
      <c r="H478" s="32" t="str">
        <f>IFERROR(__xludf.DUMMYFUNCTION("""COMPUTED_VALUE"""),"Time")</f>
        <v>Time</v>
      </c>
      <c r="I478" s="32" t="str">
        <f>IFERROR(__xludf.DUMMYFUNCTION("""COMPUTED_VALUE"""),"Player")</f>
        <v>Player</v>
      </c>
      <c r="J478" s="32" t="b">
        <f>IFERROR(__xludf.DUMMYFUNCTION("""COMPUTED_VALUE"""),TRUE)</f>
        <v>1</v>
      </c>
      <c r="K478" s="32" t="str">
        <f>IFERROR(__xludf.DUMMYFUNCTION("""COMPUTED_VALUE"""),"(Can only be obtained in the Solreach expansion)")</f>
        <v>(Can only be obtained in the Solreach expansion)</v>
      </c>
      <c r="L478" s="32" t="b">
        <f>IFERROR(__xludf.DUMMYFUNCTION("""COMPUTED_VALUE"""),FALSE)</f>
        <v>0</v>
      </c>
      <c r="M478" s="32" t="b">
        <f>IFERROR(__xludf.DUMMYFUNCTION("""COMPUTED_VALUE"""),FALSE)</f>
        <v>0</v>
      </c>
      <c r="N478" s="32"/>
    </row>
    <row r="479">
      <c r="A479" s="32" t="str">
        <f>IFERROR(__xludf.DUMMYFUNCTION("""COMPUTED_VALUE"""),"Time Lapse")</f>
        <v>Time Lapse</v>
      </c>
      <c r="B479" s="34">
        <f>IFERROR(__xludf.DUMMYFUNCTION("""COMPUTED_VALUE"""),5.0)</f>
        <v>5</v>
      </c>
      <c r="C479" s="32">
        <f>IFERROR(__xludf.DUMMYFUNCTION("""COMPUTED_VALUE"""),500.0)</f>
        <v>500</v>
      </c>
      <c r="D479" s="32"/>
      <c r="E479" s="32"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32" t="str">
        <f>IFERROR(__xludf.DUMMYFUNCTION("""COMPUTED_VALUE"""),"Fail/succeed")</f>
        <v>Fail/succeed</v>
      </c>
      <c r="G479" s="32"/>
      <c r="H479" s="32" t="str">
        <f>IFERROR(__xludf.DUMMYFUNCTION("""COMPUTED_VALUE"""),"Time")</f>
        <v>Time</v>
      </c>
      <c r="I479" s="32" t="str">
        <f>IFERROR(__xludf.DUMMYFUNCTION("""COMPUTED_VALUE"""),"Player")</f>
        <v>Player</v>
      </c>
      <c r="J479" s="32" t="b">
        <f>IFERROR(__xludf.DUMMYFUNCTION("""COMPUTED_VALUE"""),TRUE)</f>
        <v>1</v>
      </c>
      <c r="K479" s="32" t="str">
        <f>IFERROR(__xludf.DUMMYFUNCTION("""COMPUTED_VALUE"""),"(Can only be obtained in the Solreach expansion)")</f>
        <v>(Can only be obtained in the Solreach expansion)</v>
      </c>
      <c r="L479" s="32" t="b">
        <f>IFERROR(__xludf.DUMMYFUNCTION("""COMPUTED_VALUE"""),FALSE)</f>
        <v>0</v>
      </c>
      <c r="M479" s="32" t="b">
        <f>IFERROR(__xludf.DUMMYFUNCTION("""COMPUTED_VALUE"""),FALSE)</f>
        <v>0</v>
      </c>
      <c r="N479" s="32"/>
    </row>
    <row r="480">
      <c r="A480" s="32" t="str">
        <f>IFERROR(__xludf.DUMMYFUNCTION("""COMPUTED_VALUE"""),"Time Rift")</f>
        <v>Time Rift</v>
      </c>
      <c r="B480" s="34">
        <f>IFERROR(__xludf.DUMMYFUNCTION("""COMPUTED_VALUE"""),3.0)</f>
        <v>3</v>
      </c>
      <c r="C480" s="32">
        <f>IFERROR(__xludf.DUMMYFUNCTION("""COMPUTED_VALUE"""),300.0)</f>
        <v>300</v>
      </c>
      <c r="D480" s="32"/>
      <c r="E480" s="32" t="str">
        <f>IFERROR(__xludf.DUMMYFUNCTION("""COMPUTED_VALUE"""),"sends target to different timeline of dungeon (1-6 floors back- roll a d6 for amount of floors)")</f>
        <v>sends target to different timeline of dungeon (1-6 floors back- roll a d6 for amount of floors)</v>
      </c>
      <c r="F480" s="32" t="str">
        <f>IFERROR(__xludf.DUMMYFUNCTION("""COMPUTED_VALUE"""),"Fail/succeed")</f>
        <v>Fail/succeed</v>
      </c>
      <c r="G480" s="32"/>
      <c r="H480" s="32" t="str">
        <f>IFERROR(__xludf.DUMMYFUNCTION("""COMPUTED_VALUE"""),"Time")</f>
        <v>Time</v>
      </c>
      <c r="I480" s="32" t="str">
        <f>IFERROR(__xludf.DUMMYFUNCTION("""COMPUTED_VALUE"""),"Player")</f>
        <v>Player</v>
      </c>
      <c r="J480" s="32" t="b">
        <f>IFERROR(__xludf.DUMMYFUNCTION("""COMPUTED_VALUE"""),TRUE)</f>
        <v>1</v>
      </c>
      <c r="K480" s="32" t="str">
        <f>IFERROR(__xludf.DUMMYFUNCTION("""COMPUTED_VALUE"""),"(Can only be obtained in the Solreach expansion)")</f>
        <v>(Can only be obtained in the Solreach expansion)</v>
      </c>
      <c r="L480" s="32" t="b">
        <f>IFERROR(__xludf.DUMMYFUNCTION("""COMPUTED_VALUE"""),FALSE)</f>
        <v>0</v>
      </c>
      <c r="M480" s="32" t="b">
        <f>IFERROR(__xludf.DUMMYFUNCTION("""COMPUTED_VALUE"""),FALSE)</f>
        <v>0</v>
      </c>
      <c r="N480" s="32"/>
    </row>
    <row r="481">
      <c r="A481" s="32" t="str">
        <f>IFERROR(__xludf.DUMMYFUNCTION("""COMPUTED_VALUE"""),"Time Roar")</f>
        <v>Time Roar</v>
      </c>
      <c r="B481" s="34">
        <f>IFERROR(__xludf.DUMMYFUNCTION("""COMPUTED_VALUE"""),8.0)</f>
        <v>8</v>
      </c>
      <c r="C481" s="32" t="str">
        <f>IFERROR(__xludf.DUMMYFUNCTION("""COMPUTED_VALUE"""),"X*1000")</f>
        <v>X*1000</v>
      </c>
      <c r="D481" s="32"/>
      <c r="E481" s="32" t="str">
        <f>IFERROR(__xludf.DUMMYFUNCTION("""COMPUTED_VALUE"""),"time stops for everyone except the caster and 1 enemy for x rounds.")</f>
        <v>time stops for everyone except the caster and 1 enemy for x rounds.</v>
      </c>
      <c r="F481" s="32" t="str">
        <f>IFERROR(__xludf.DUMMYFUNCTION("""COMPUTED_VALUE"""),"Fail/succeed")</f>
        <v>Fail/succeed</v>
      </c>
      <c r="G481" s="32"/>
      <c r="H481" s="32" t="str">
        <f>IFERROR(__xludf.DUMMYFUNCTION("""COMPUTED_VALUE"""),"Time")</f>
        <v>Time</v>
      </c>
      <c r="I481" s="32" t="str">
        <f>IFERROR(__xludf.DUMMYFUNCTION("""COMPUTED_VALUE"""),"Player")</f>
        <v>Player</v>
      </c>
      <c r="J481" s="32" t="b">
        <f>IFERROR(__xludf.DUMMYFUNCTION("""COMPUTED_VALUE"""),TRUE)</f>
        <v>1</v>
      </c>
      <c r="K481" s="32" t="str">
        <f>IFERROR(__xludf.DUMMYFUNCTION("""COMPUTED_VALUE"""),"(Can only be obtained in the Solreach expansion)")</f>
        <v>(Can only be obtained in the Solreach expansion)</v>
      </c>
      <c r="L481" s="32" t="b">
        <f>IFERROR(__xludf.DUMMYFUNCTION("""COMPUTED_VALUE"""),FALSE)</f>
        <v>0</v>
      </c>
      <c r="M481" s="32" t="b">
        <f>IFERROR(__xludf.DUMMYFUNCTION("""COMPUTED_VALUE"""),FALSE)</f>
        <v>0</v>
      </c>
      <c r="N481" s="32"/>
    </row>
    <row r="482">
      <c r="A482" s="32" t="str">
        <f>IFERROR(__xludf.DUMMYFUNCTION("""COMPUTED_VALUE"""),"Tower Of Time")</f>
        <v>Tower Of Time</v>
      </c>
      <c r="B482" s="34">
        <f>IFERROR(__xludf.DUMMYFUNCTION("""COMPUTED_VALUE"""),8.0)</f>
        <v>8</v>
      </c>
      <c r="C482" s="32">
        <f>IFERROR(__xludf.DUMMYFUNCTION("""COMPUTED_VALUE"""),800.0)</f>
        <v>800</v>
      </c>
      <c r="D482" s="32"/>
      <c r="E482" s="32"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32" t="str">
        <f>IFERROR(__xludf.DUMMYFUNCTION("""COMPUTED_VALUE"""),"Fail/succeed")</f>
        <v>Fail/succeed</v>
      </c>
      <c r="G482" s="32"/>
      <c r="H482" s="32" t="str">
        <f>IFERROR(__xludf.DUMMYFUNCTION("""COMPUTED_VALUE"""),"Time")</f>
        <v>Time</v>
      </c>
      <c r="I482" s="32" t="str">
        <f>IFERROR(__xludf.DUMMYFUNCTION("""COMPUTED_VALUE"""),"Player")</f>
        <v>Player</v>
      </c>
      <c r="J482" s="32" t="b">
        <f>IFERROR(__xludf.DUMMYFUNCTION("""COMPUTED_VALUE"""),TRUE)</f>
        <v>1</v>
      </c>
      <c r="K482" s="32" t="str">
        <f>IFERROR(__xludf.DUMMYFUNCTION("""COMPUTED_VALUE"""),"(Can only be obtained in the Solreach expansion)")</f>
        <v>(Can only be obtained in the Solreach expansion)</v>
      </c>
      <c r="L482" s="32" t="b">
        <f>IFERROR(__xludf.DUMMYFUNCTION("""COMPUTED_VALUE"""),FALSE)</f>
        <v>0</v>
      </c>
      <c r="M482" s="32" t="b">
        <f>IFERROR(__xludf.DUMMYFUNCTION("""COMPUTED_VALUE"""),FALSE)</f>
        <v>0</v>
      </c>
      <c r="N482" s="32"/>
    </row>
    <row r="483">
      <c r="A483" s="32" t="str">
        <f>IFERROR(__xludf.DUMMYFUNCTION("""COMPUTED_VALUE"""),"Twilight Masquerade")</f>
        <v>Twilight Masquerade</v>
      </c>
      <c r="B483" s="34">
        <f>IFERROR(__xludf.DUMMYFUNCTION("""COMPUTED_VALUE"""),9.0)</f>
        <v>9</v>
      </c>
      <c r="C483" s="32">
        <f>IFERROR(__xludf.DUMMYFUNCTION("""COMPUTED_VALUE"""),1000.0)</f>
        <v>1000</v>
      </c>
      <c r="D483" s="32"/>
      <c r="E483" s="32" t="str">
        <f>IFERROR(__xludf.DUMMYFUNCTION("""COMPUTED_VALUE"""),"Become Immune to attacks for 3 rounds.")</f>
        <v>Become Immune to attacks for 3 rounds.</v>
      </c>
      <c r="F483" s="32" t="str">
        <f>IFERROR(__xludf.DUMMYFUNCTION("""COMPUTED_VALUE"""),"Fail/Succeed")</f>
        <v>Fail/Succeed</v>
      </c>
      <c r="G483" s="32"/>
      <c r="H483" s="32" t="str">
        <f>IFERROR(__xludf.DUMMYFUNCTION("""COMPUTED_VALUE"""),"Twilight")</f>
        <v>Twilight</v>
      </c>
      <c r="I483" s="32" t="str">
        <f>IFERROR(__xludf.DUMMYFUNCTION("""COMPUTED_VALUE"""),"Player")</f>
        <v>Player</v>
      </c>
      <c r="J483" s="32" t="b">
        <f>IFERROR(__xludf.DUMMYFUNCTION("""COMPUTED_VALUE"""),FALSE)</f>
        <v>0</v>
      </c>
      <c r="K483" s="32"/>
      <c r="L483" s="32" t="b">
        <f>IFERROR(__xludf.DUMMYFUNCTION("""COMPUTED_VALUE"""),FALSE)</f>
        <v>0</v>
      </c>
      <c r="M483" s="32" t="b">
        <f>IFERROR(__xludf.DUMMYFUNCTION("""COMPUTED_VALUE"""),FALSE)</f>
        <v>0</v>
      </c>
      <c r="N483" s="32"/>
    </row>
    <row r="484">
      <c r="A484" s="32" t="str">
        <f>IFERROR(__xludf.DUMMYFUNCTION("""COMPUTED_VALUE"""),"Twilight Shield")</f>
        <v>Twilight Shield</v>
      </c>
      <c r="B484" s="34">
        <f>IFERROR(__xludf.DUMMYFUNCTION("""COMPUTED_VALUE"""),5.0)</f>
        <v>5</v>
      </c>
      <c r="C484" s="32">
        <f>IFERROR(__xludf.DUMMYFUNCTION("""COMPUTED_VALUE"""),50.0)</f>
        <v>50</v>
      </c>
      <c r="D484" s="32"/>
      <c r="E484" s="32" t="str">
        <f>IFERROR(__xludf.DUMMYFUNCTION("""COMPUTED_VALUE""")," X2 def, gives immunity to dark and light for self")</f>
        <v> X2 def, gives immunity to dark and light for self</v>
      </c>
      <c r="F484" s="32" t="str">
        <f>IFERROR(__xludf.DUMMYFUNCTION("""COMPUTED_VALUE"""),"Will Succeed")</f>
        <v>Will Succeed</v>
      </c>
      <c r="G484" s="32"/>
      <c r="H484" s="32" t="str">
        <f>IFERROR(__xludf.DUMMYFUNCTION("""COMPUTED_VALUE"""),"Twilight")</f>
        <v>Twilight</v>
      </c>
      <c r="I484" s="32" t="str">
        <f>IFERROR(__xludf.DUMMYFUNCTION("""COMPUTED_VALUE"""),"Player")</f>
        <v>Player</v>
      </c>
      <c r="J484" s="32" t="b">
        <f>IFERROR(__xludf.DUMMYFUNCTION("""COMPUTED_VALUE"""),FALSE)</f>
        <v>0</v>
      </c>
      <c r="K484" s="32"/>
      <c r="L484" s="32" t="b">
        <f>IFERROR(__xludf.DUMMYFUNCTION("""COMPUTED_VALUE"""),FALSE)</f>
        <v>0</v>
      </c>
      <c r="M484" s="32" t="b">
        <f>IFERROR(__xludf.DUMMYFUNCTION("""COMPUTED_VALUE"""),FALSE)</f>
        <v>0</v>
      </c>
      <c r="N484" s="32"/>
    </row>
    <row r="485">
      <c r="A485" s="32" t="str">
        <f>IFERROR(__xludf.DUMMYFUNCTION("""COMPUTED_VALUE"""),"Twilight Transformation")</f>
        <v>Twilight Transformation</v>
      </c>
      <c r="B485" s="34">
        <f>IFERROR(__xludf.DUMMYFUNCTION("""COMPUTED_VALUE"""),8.0)</f>
        <v>8</v>
      </c>
      <c r="C485" s="32">
        <f>IFERROR(__xludf.DUMMYFUNCTION("""COMPUTED_VALUE"""),200.0)</f>
        <v>200</v>
      </c>
      <c r="D485" s="32"/>
      <c r="E485" s="32" t="str">
        <f>IFERROR(__xludf.DUMMYFUNCTION("""COMPUTED_VALUE"""),"Grants X4 light and dark damage to twilight spells and weapons for the caster until end of battle.")</f>
        <v>Grants X4 light and dark damage to twilight spells and weapons for the caster until end of battle.</v>
      </c>
      <c r="F485" s="32" t="str">
        <f>IFERROR(__xludf.DUMMYFUNCTION("""COMPUTED_VALUE"""),"Will Succeed")</f>
        <v>Will Succeed</v>
      </c>
      <c r="G485" s="32"/>
      <c r="H485" s="32" t="str">
        <f>IFERROR(__xludf.DUMMYFUNCTION("""COMPUTED_VALUE"""),"Twilight")</f>
        <v>Twilight</v>
      </c>
      <c r="I485" s="32" t="str">
        <f>IFERROR(__xludf.DUMMYFUNCTION("""COMPUTED_VALUE"""),"Player")</f>
        <v>Player</v>
      </c>
      <c r="J485" s="32" t="b">
        <f>IFERROR(__xludf.DUMMYFUNCTION("""COMPUTED_VALUE"""),FALSE)</f>
        <v>0</v>
      </c>
      <c r="K485" s="32"/>
      <c r="L485" s="32" t="b">
        <f>IFERROR(__xludf.DUMMYFUNCTION("""COMPUTED_VALUE"""),FALSE)</f>
        <v>0</v>
      </c>
      <c r="M485" s="32" t="b">
        <f>IFERROR(__xludf.DUMMYFUNCTION("""COMPUTED_VALUE"""),FALSE)</f>
        <v>0</v>
      </c>
      <c r="N485" s="32"/>
    </row>
    <row r="486">
      <c r="A486" s="32" t="str">
        <f>IFERROR(__xludf.DUMMYFUNCTION("""COMPUTED_VALUE"""),"Lash of Twilight")</f>
        <v>Lash of Twilight</v>
      </c>
      <c r="B486" s="34">
        <f>IFERROR(__xludf.DUMMYFUNCTION("""COMPUTED_VALUE"""),1.0)</f>
        <v>1</v>
      </c>
      <c r="C486" s="32" t="str">
        <f>IFERROR(__xludf.DUMMYFUNCTION("""COMPUTED_VALUE"""),"X")</f>
        <v>X</v>
      </c>
      <c r="D486" s="32"/>
      <c r="E486" s="32" t="str">
        <f>IFERROR(__xludf.DUMMYFUNCTION("""COMPUTED_VALUE"""),"Deals X*50 Light and X*50 Dark damage to a single enemy where X is equal to SP spent.")</f>
        <v>Deals X*50 Light and X*50 Dark damage to a single enemy where X is equal to SP spent.</v>
      </c>
      <c r="F486" s="32" t="str">
        <f>IFERROR(__xludf.DUMMYFUNCTION("""COMPUTED_VALUE"""),"Hit/Miss")</f>
        <v>Hit/Miss</v>
      </c>
      <c r="G486" s="32">
        <f>IFERROR(__xludf.DUMMYFUNCTION("""COMPUTED_VALUE"""),1.0)</f>
        <v>1</v>
      </c>
      <c r="H486" s="32" t="str">
        <f>IFERROR(__xludf.DUMMYFUNCTION("""COMPUTED_VALUE"""),"Twilight")</f>
        <v>Twilight</v>
      </c>
      <c r="I486" s="32" t="str">
        <f>IFERROR(__xludf.DUMMYFUNCTION("""COMPUTED_VALUE"""),"Player")</f>
        <v>Player</v>
      </c>
      <c r="J486" s="32" t="b">
        <f>IFERROR(__xludf.DUMMYFUNCTION("""COMPUTED_VALUE"""),FALSE)</f>
        <v>0</v>
      </c>
      <c r="K486" s="32"/>
      <c r="L486" s="32" t="b">
        <f>IFERROR(__xludf.DUMMYFUNCTION("""COMPUTED_VALUE"""),FALSE)</f>
        <v>0</v>
      </c>
      <c r="M486" s="32" t="b">
        <f>IFERROR(__xludf.DUMMYFUNCTION("""COMPUTED_VALUE"""),FALSE)</f>
        <v>0</v>
      </c>
      <c r="N486" s="32"/>
    </row>
    <row r="487">
      <c r="A487" s="32" t="str">
        <f>IFERROR(__xludf.DUMMYFUNCTION("""COMPUTED_VALUE"""),"Searing Twilight")</f>
        <v>Searing Twilight</v>
      </c>
      <c r="B487" s="34">
        <f>IFERROR(__xludf.DUMMYFUNCTION("""COMPUTED_VALUE"""),5.0)</f>
        <v>5</v>
      </c>
      <c r="C487" s="32" t="str">
        <f>IFERROR(__xludf.DUMMYFUNCTION("""COMPUTED_VALUE"""),"X")</f>
        <v>X</v>
      </c>
      <c r="D487" s="32"/>
      <c r="E487" s="32" t="str">
        <f>IFERROR(__xludf.DUMMYFUNCTION("""COMPUTED_VALUE"""),"Deals X*25 Light and X*25 Dark damage per round for 3 rounds to a single target where X is equal to SP spent.")</f>
        <v>Deals X*25 Light and X*25 Dark damage per round for 3 rounds to a single target where X is equal to SP spent.</v>
      </c>
      <c r="F487" s="32" t="str">
        <f>IFERROR(__xludf.DUMMYFUNCTION("""COMPUTED_VALUE"""),"Hit/Miss")</f>
        <v>Hit/Miss</v>
      </c>
      <c r="G487" s="32">
        <f>IFERROR(__xludf.DUMMYFUNCTION("""COMPUTED_VALUE"""),1.0)</f>
        <v>1</v>
      </c>
      <c r="H487" s="32" t="str">
        <f>IFERROR(__xludf.DUMMYFUNCTION("""COMPUTED_VALUE"""),"Twilight")</f>
        <v>Twilight</v>
      </c>
      <c r="I487" s="32" t="str">
        <f>IFERROR(__xludf.DUMMYFUNCTION("""COMPUTED_VALUE"""),"Player")</f>
        <v>Player</v>
      </c>
      <c r="J487" s="32" t="b">
        <f>IFERROR(__xludf.DUMMYFUNCTION("""COMPUTED_VALUE"""),FALSE)</f>
        <v>0</v>
      </c>
      <c r="K487" s="32"/>
      <c r="L487" s="32" t="b">
        <f>IFERROR(__xludf.DUMMYFUNCTION("""COMPUTED_VALUE"""),FALSE)</f>
        <v>0</v>
      </c>
      <c r="M487" s="32" t="b">
        <f>IFERROR(__xludf.DUMMYFUNCTION("""COMPUTED_VALUE"""),FALSE)</f>
        <v>0</v>
      </c>
      <c r="N487" s="32"/>
    </row>
    <row r="488">
      <c r="A488" s="32" t="str">
        <f>IFERROR(__xludf.DUMMYFUNCTION("""COMPUTED_VALUE"""),"The Setting Sun")</f>
        <v>The Setting Sun</v>
      </c>
      <c r="B488" s="34">
        <f>IFERROR(__xludf.DUMMYFUNCTION("""COMPUTED_VALUE"""),5.0)</f>
        <v>5</v>
      </c>
      <c r="C488" s="32" t="str">
        <f>IFERROR(__xludf.DUMMYFUNCTION("""COMPUTED_VALUE"""),"X")</f>
        <v>X</v>
      </c>
      <c r="D488" s="32"/>
      <c r="E488" s="32" t="str">
        <f>IFERROR(__xludf.DUMMYFUNCTION("""COMPUTED_VALUE"""),"Deals X*15 Light and X*15 Dark damage to all enemies where X is equal to SP spent.")</f>
        <v>Deals X*15 Light and X*15 Dark damage to all enemies where X is equal to SP spent.</v>
      </c>
      <c r="F488" s="32" t="str">
        <f>IFERROR(__xludf.DUMMYFUNCTION("""COMPUTED_VALUE"""),"Cannot Avoid")</f>
        <v>Cannot Avoid</v>
      </c>
      <c r="G488" s="32" t="str">
        <f>IFERROR(__xludf.DUMMYFUNCTION("""COMPUTED_VALUE"""),"All")</f>
        <v>All</v>
      </c>
      <c r="H488" s="32" t="str">
        <f>IFERROR(__xludf.DUMMYFUNCTION("""COMPUTED_VALUE"""),"Twilight")</f>
        <v>Twilight</v>
      </c>
      <c r="I488" s="32" t="str">
        <f>IFERROR(__xludf.DUMMYFUNCTION("""COMPUTED_VALUE"""),"Player")</f>
        <v>Player</v>
      </c>
      <c r="J488" s="32" t="b">
        <f>IFERROR(__xludf.DUMMYFUNCTION("""COMPUTED_VALUE"""),FALSE)</f>
        <v>0</v>
      </c>
      <c r="K488" s="32"/>
      <c r="L488" s="32" t="b">
        <f>IFERROR(__xludf.DUMMYFUNCTION("""COMPUTED_VALUE"""),FALSE)</f>
        <v>0</v>
      </c>
      <c r="M488" s="32" t="b">
        <f>IFERROR(__xludf.DUMMYFUNCTION("""COMPUTED_VALUE"""),FALSE)</f>
        <v>0</v>
      </c>
      <c r="N488" s="32"/>
    </row>
    <row r="489">
      <c r="A489" s="32" t="str">
        <f>IFERROR(__xludf.DUMMYFUNCTION("""COMPUTED_VALUE"""),"Danse Macabre")</f>
        <v>Danse Macabre</v>
      </c>
      <c r="B489" s="34">
        <f>IFERROR(__xludf.DUMMYFUNCTION("""COMPUTED_VALUE"""),6.0)</f>
        <v>6</v>
      </c>
      <c r="C489" s="32" t="str">
        <f>IFERROR(__xludf.DUMMYFUNCTION("""COMPUTED_VALUE"""),"X")</f>
        <v>X</v>
      </c>
      <c r="D489" s="32"/>
      <c r="E489" s="32" t="str">
        <f>IFERROR(__xludf.DUMMYFUNCTION("""COMPUTED_VALUE"""),"Deals X*5 Light and X*5 Dark damage per round to all enemies for 3 rounds where X is equal to SP spent.")</f>
        <v>Deals X*5 Light and X*5 Dark damage per round to all enemies for 3 rounds where X is equal to SP spent.</v>
      </c>
      <c r="F489" s="32" t="str">
        <f>IFERROR(__xludf.DUMMYFUNCTION("""COMPUTED_VALUE"""),"Cannot Avoid")</f>
        <v>Cannot Avoid</v>
      </c>
      <c r="G489" s="32" t="str">
        <f>IFERROR(__xludf.DUMMYFUNCTION("""COMPUTED_VALUE"""),"All")</f>
        <v>All</v>
      </c>
      <c r="H489" s="32" t="str">
        <f>IFERROR(__xludf.DUMMYFUNCTION("""COMPUTED_VALUE"""),"Twilight")</f>
        <v>Twilight</v>
      </c>
      <c r="I489" s="32" t="str">
        <f>IFERROR(__xludf.DUMMYFUNCTION("""COMPUTED_VALUE"""),"Player")</f>
        <v>Player</v>
      </c>
      <c r="J489" s="32" t="b">
        <f>IFERROR(__xludf.DUMMYFUNCTION("""COMPUTED_VALUE"""),FALSE)</f>
        <v>0</v>
      </c>
      <c r="K489" s="32"/>
      <c r="L489" s="32" t="b">
        <f>IFERROR(__xludf.DUMMYFUNCTION("""COMPUTED_VALUE"""),FALSE)</f>
        <v>0</v>
      </c>
      <c r="M489" s="32" t="b">
        <f>IFERROR(__xludf.DUMMYFUNCTION("""COMPUTED_VALUE"""),FALSE)</f>
        <v>0</v>
      </c>
      <c r="N489" s="32"/>
    </row>
    <row r="490">
      <c r="A490" s="32" t="str">
        <f>IFERROR(__xludf.DUMMYFUNCTION("""COMPUTED_VALUE"""),"Banish")</f>
        <v>Banish</v>
      </c>
      <c r="B490" s="34">
        <f>IFERROR(__xludf.DUMMYFUNCTION("""COMPUTED_VALUE"""),9.0)</f>
        <v>9</v>
      </c>
      <c r="C490" s="32">
        <f>IFERROR(__xludf.DUMMYFUNCTION("""COMPUTED_VALUE"""),2000.0)</f>
        <v>2000</v>
      </c>
      <c r="D490" s="32"/>
      <c r="E490" s="32" t="str">
        <f>IFERROR(__xludf.DUMMYFUNCTION("""COMPUTED_VALUE"""),"Banish 1 target.")</f>
        <v>Banish 1 target.</v>
      </c>
      <c r="F490" s="32" t="str">
        <f>IFERROR(__xludf.DUMMYFUNCTION("""COMPUTED_VALUE"""),"Fail/succeed")</f>
        <v>Fail/succeed</v>
      </c>
      <c r="G490" s="32"/>
      <c r="H490" s="32" t="str">
        <f>IFERROR(__xludf.DUMMYFUNCTION("""COMPUTED_VALUE"""),"Voodoo")</f>
        <v>Voodoo</v>
      </c>
      <c r="I490" s="32" t="str">
        <f>IFERROR(__xludf.DUMMYFUNCTION("""COMPUTED_VALUE"""),"Player")</f>
        <v>Player</v>
      </c>
      <c r="J490" s="32" t="b">
        <f>IFERROR(__xludf.DUMMYFUNCTION("""COMPUTED_VALUE"""),FALSE)</f>
        <v>0</v>
      </c>
      <c r="K490" s="32"/>
      <c r="L490" s="32" t="b">
        <f>IFERROR(__xludf.DUMMYFUNCTION("""COMPUTED_VALUE"""),FALSE)</f>
        <v>0</v>
      </c>
      <c r="M490" s="32" t="b">
        <f>IFERROR(__xludf.DUMMYFUNCTION("""COMPUTED_VALUE"""),FALSE)</f>
        <v>0</v>
      </c>
      <c r="N490" s="32"/>
    </row>
    <row r="491">
      <c r="A491" s="32" t="str">
        <f>IFERROR(__xludf.DUMMYFUNCTION("""COMPUTED_VALUE"""),"Blast of Despair")</f>
        <v>Blast of Despair</v>
      </c>
      <c r="B491" s="34">
        <f>IFERROR(__xludf.DUMMYFUNCTION("""COMPUTED_VALUE"""),6.0)</f>
        <v>6</v>
      </c>
      <c r="C491" s="32" t="str">
        <f>IFERROR(__xludf.DUMMYFUNCTION("""COMPUTED_VALUE"""),"X")</f>
        <v>X</v>
      </c>
      <c r="D491" s="32"/>
      <c r="E491" s="32"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32" t="str">
        <f>IFERROR(__xludf.DUMMYFUNCTION("""COMPUTED_VALUE"""),"Hit/Miss")</f>
        <v>Hit/Miss</v>
      </c>
      <c r="G491" s="32">
        <f>IFERROR(__xludf.DUMMYFUNCTION("""COMPUTED_VALUE"""),1.0)</f>
        <v>1</v>
      </c>
      <c r="H491" s="32" t="str">
        <f>IFERROR(__xludf.DUMMYFUNCTION("""COMPUTED_VALUE"""),"Voodoo")</f>
        <v>Voodoo</v>
      </c>
      <c r="I491" s="32" t="str">
        <f>IFERROR(__xludf.DUMMYFUNCTION("""COMPUTED_VALUE"""),"Player")</f>
        <v>Player</v>
      </c>
      <c r="J491" s="32" t="b">
        <f>IFERROR(__xludf.DUMMYFUNCTION("""COMPUTED_VALUE"""),FALSE)</f>
        <v>0</v>
      </c>
      <c r="K491" s="32"/>
      <c r="L491" s="32" t="b">
        <f>IFERROR(__xludf.DUMMYFUNCTION("""COMPUTED_VALUE"""),FALSE)</f>
        <v>0</v>
      </c>
      <c r="M491" s="32" t="b">
        <f>IFERROR(__xludf.DUMMYFUNCTION("""COMPUTED_VALUE"""),FALSE)</f>
        <v>0</v>
      </c>
      <c r="N491" s="32"/>
    </row>
    <row r="492">
      <c r="A492" s="32" t="str">
        <f>IFERROR(__xludf.DUMMYFUNCTION("""COMPUTED_VALUE"""),"End The Voodoo Contract")</f>
        <v>End The Voodoo Contract</v>
      </c>
      <c r="B492" s="34">
        <f>IFERROR(__xludf.DUMMYFUNCTION("""COMPUTED_VALUE"""),9.0)</f>
        <v>9</v>
      </c>
      <c r="C492" s="32">
        <f>IFERROR(__xludf.DUMMYFUNCTION("""COMPUTED_VALUE"""),500.0)</f>
        <v>500</v>
      </c>
      <c r="D492" s="32"/>
      <c r="E492" s="32" t="str">
        <f>IFERROR(__xludf.DUMMYFUNCTION("""COMPUTED_VALUE"""),"Caster dies and the target dies too.")</f>
        <v>Caster dies and the target dies too.</v>
      </c>
      <c r="F492" s="32" t="str">
        <f>IFERROR(__xludf.DUMMYFUNCTION("""COMPUTED_VALUE"""),"Fail/Succeed")</f>
        <v>Fail/Succeed</v>
      </c>
      <c r="G492" s="32"/>
      <c r="H492" s="32" t="str">
        <f>IFERROR(__xludf.DUMMYFUNCTION("""COMPUTED_VALUE"""),"Voodoo")</f>
        <v>Voodoo</v>
      </c>
      <c r="I492" s="32" t="str">
        <f>IFERROR(__xludf.DUMMYFUNCTION("""COMPUTED_VALUE"""),"Player")</f>
        <v>Player</v>
      </c>
      <c r="J492" s="32" t="b">
        <f>IFERROR(__xludf.DUMMYFUNCTION("""COMPUTED_VALUE"""),FALSE)</f>
        <v>0</v>
      </c>
      <c r="K492" s="32"/>
      <c r="L492" s="32" t="b">
        <f>IFERROR(__xludf.DUMMYFUNCTION("""COMPUTED_VALUE"""),FALSE)</f>
        <v>0</v>
      </c>
      <c r="M492" s="32" t="b">
        <f>IFERROR(__xludf.DUMMYFUNCTION("""COMPUTED_VALUE"""),FALSE)</f>
        <v>0</v>
      </c>
      <c r="N492" s="32"/>
    </row>
    <row r="493">
      <c r="A493" s="32" t="str">
        <f>IFERROR(__xludf.DUMMYFUNCTION("""COMPUTED_VALUE"""),"Enrapture")</f>
        <v>Enrapture</v>
      </c>
      <c r="B493" s="34">
        <f>IFERROR(__xludf.DUMMYFUNCTION("""COMPUTED_VALUE"""),7.0)</f>
        <v>7</v>
      </c>
      <c r="C493" s="32">
        <f>IFERROR(__xludf.DUMMYFUNCTION("""COMPUTED_VALUE"""),300.0)</f>
        <v>300</v>
      </c>
      <c r="D493" s="32"/>
      <c r="E493" s="32"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32" t="str">
        <f>IFERROR(__xludf.DUMMYFUNCTION("""COMPUTED_VALUE"""),"Fail/Succeed")</f>
        <v>Fail/Succeed</v>
      </c>
      <c r="G493" s="32"/>
      <c r="H493" s="32" t="str">
        <f>IFERROR(__xludf.DUMMYFUNCTION("""COMPUTED_VALUE"""),"Voodoo")</f>
        <v>Voodoo</v>
      </c>
      <c r="I493" s="32" t="str">
        <f>IFERROR(__xludf.DUMMYFUNCTION("""COMPUTED_VALUE"""),"Player")</f>
        <v>Player</v>
      </c>
      <c r="J493" s="32" t="b">
        <f>IFERROR(__xludf.DUMMYFUNCTION("""COMPUTED_VALUE"""),FALSE)</f>
        <v>0</v>
      </c>
      <c r="K493" s="32"/>
      <c r="L493" s="32" t="b">
        <f>IFERROR(__xludf.DUMMYFUNCTION("""COMPUTED_VALUE"""),FALSE)</f>
        <v>0</v>
      </c>
      <c r="M493" s="32" t="b">
        <f>IFERROR(__xludf.DUMMYFUNCTION("""COMPUTED_VALUE"""),FALSE)</f>
        <v>0</v>
      </c>
      <c r="N493" s="32"/>
    </row>
    <row r="494">
      <c r="A494" s="32" t="str">
        <f>IFERROR(__xludf.DUMMYFUNCTION("""COMPUTED_VALUE"""),"Good Fortune")</f>
        <v>Good Fortune</v>
      </c>
      <c r="B494" s="34">
        <f>IFERROR(__xludf.DUMMYFUNCTION("""COMPUTED_VALUE"""),5.0)</f>
        <v>5</v>
      </c>
      <c r="C494" s="32">
        <f>IFERROR(__xludf.DUMMYFUNCTION("""COMPUTED_VALUE"""),50.0)</f>
        <v>50</v>
      </c>
      <c r="D494" s="32"/>
      <c r="E494" s="32" t="str">
        <f>IFERROR(__xludf.DUMMYFUNCTION("""COMPUTED_VALUE"""),"25% chance to gain an extra loot roll. You must activate this effect before the end of battle.")</f>
        <v>25% chance to gain an extra loot roll. You must activate this effect before the end of battle.</v>
      </c>
      <c r="F494" s="32" t="str">
        <f>IFERROR(__xludf.DUMMYFUNCTION("""COMPUTED_VALUE"""),"Will Succeed")</f>
        <v>Will Succeed</v>
      </c>
      <c r="G494" s="32"/>
      <c r="H494" s="32" t="str">
        <f>IFERROR(__xludf.DUMMYFUNCTION("""COMPUTED_VALUE"""),"Voodoo")</f>
        <v>Voodoo</v>
      </c>
      <c r="I494" s="32" t="str">
        <f>IFERROR(__xludf.DUMMYFUNCTION("""COMPUTED_VALUE"""),"Player")</f>
        <v>Player</v>
      </c>
      <c r="J494" s="32" t="b">
        <f>IFERROR(__xludf.DUMMYFUNCTION("""COMPUTED_VALUE"""),FALSE)</f>
        <v>0</v>
      </c>
      <c r="K494" s="32"/>
      <c r="L494" s="32" t="b">
        <f>IFERROR(__xludf.DUMMYFUNCTION("""COMPUTED_VALUE"""),FALSE)</f>
        <v>0</v>
      </c>
      <c r="M494" s="32" t="b">
        <f>IFERROR(__xludf.DUMMYFUNCTION("""COMPUTED_VALUE"""),FALSE)</f>
        <v>0</v>
      </c>
      <c r="N494" s="32"/>
    </row>
    <row r="495">
      <c r="A495" s="32" t="str">
        <f>IFERROR(__xludf.DUMMYFUNCTION("""COMPUTED_VALUE"""),"Hex With Bad Luck")</f>
        <v>Hex With Bad Luck</v>
      </c>
      <c r="B495" s="34">
        <f>IFERROR(__xludf.DUMMYFUNCTION("""COMPUTED_VALUE"""),1.0)</f>
        <v>1</v>
      </c>
      <c r="C495" s="32">
        <f>IFERROR(__xludf.DUMMYFUNCTION("""COMPUTED_VALUE"""),10.0)</f>
        <v>10</v>
      </c>
      <c r="D495" s="32"/>
      <c r="E495" s="32" t="str">
        <f>IFERROR(__xludf.DUMMYFUNCTION("""COMPUTED_VALUE"""),"Target Halfs their d20 rolls for 3 rounds")</f>
        <v>Target Halfs their d20 rolls for 3 rounds</v>
      </c>
      <c r="F495" s="32" t="str">
        <f>IFERROR(__xludf.DUMMYFUNCTION("""COMPUTED_VALUE"""),"Fail/Succeed")</f>
        <v>Fail/Succeed</v>
      </c>
      <c r="G495" s="32"/>
      <c r="H495" s="32" t="str">
        <f>IFERROR(__xludf.DUMMYFUNCTION("""COMPUTED_VALUE"""),"Voodoo")</f>
        <v>Voodoo</v>
      </c>
      <c r="I495" s="32" t="str">
        <f>IFERROR(__xludf.DUMMYFUNCTION("""COMPUTED_VALUE"""),"Player")</f>
        <v>Player</v>
      </c>
      <c r="J495" s="32" t="b">
        <f>IFERROR(__xludf.DUMMYFUNCTION("""COMPUTED_VALUE"""),FALSE)</f>
        <v>0</v>
      </c>
      <c r="K495" s="32"/>
      <c r="L495" s="32" t="b">
        <f>IFERROR(__xludf.DUMMYFUNCTION("""COMPUTED_VALUE"""),FALSE)</f>
        <v>0</v>
      </c>
      <c r="M495" s="32" t="b">
        <f>IFERROR(__xludf.DUMMYFUNCTION("""COMPUTED_VALUE"""),FALSE)</f>
        <v>0</v>
      </c>
      <c r="N495" s="32"/>
    </row>
    <row r="496">
      <c r="A496" s="32" t="str">
        <f>IFERROR(__xludf.DUMMYFUNCTION("""COMPUTED_VALUE"""),"Last Gamble")</f>
        <v>Last Gamble</v>
      </c>
      <c r="B496" s="34">
        <f>IFERROR(__xludf.DUMMYFUNCTION("""COMPUTED_VALUE"""),9.0)</f>
        <v>9</v>
      </c>
      <c r="C496" s="32">
        <f>IFERROR(__xludf.DUMMYFUNCTION("""COMPUTED_VALUE"""),1000.0)</f>
        <v>1000</v>
      </c>
      <c r="D496" s="32"/>
      <c r="E496" s="32" t="str">
        <f>IFERROR(__xludf.DUMMYFUNCTION("""COMPUTED_VALUE"""),"All enemies Cannot use any spells for the rest of the battle.")</f>
        <v>All enemies Cannot use any spells for the rest of the battle.</v>
      </c>
      <c r="F496" s="32" t="str">
        <f>IFERROR(__xludf.DUMMYFUNCTION("""COMPUTED_VALUE"""),"Fail/Succeed")</f>
        <v>Fail/Succeed</v>
      </c>
      <c r="G496" s="32"/>
      <c r="H496" s="32" t="str">
        <f>IFERROR(__xludf.DUMMYFUNCTION("""COMPUTED_VALUE"""),"Voodoo")</f>
        <v>Voodoo</v>
      </c>
      <c r="I496" s="32" t="str">
        <f>IFERROR(__xludf.DUMMYFUNCTION("""COMPUTED_VALUE"""),"Player")</f>
        <v>Player</v>
      </c>
      <c r="J496" s="32" t="b">
        <f>IFERROR(__xludf.DUMMYFUNCTION("""COMPUTED_VALUE"""),FALSE)</f>
        <v>0</v>
      </c>
      <c r="K496" s="32"/>
      <c r="L496" s="32" t="b">
        <f>IFERROR(__xludf.DUMMYFUNCTION("""COMPUTED_VALUE"""),FALSE)</f>
        <v>0</v>
      </c>
      <c r="M496" s="32" t="b">
        <f>IFERROR(__xludf.DUMMYFUNCTION("""COMPUTED_VALUE"""),FALSE)</f>
        <v>0</v>
      </c>
      <c r="N496" s="32"/>
    </row>
    <row r="497">
      <c r="A497" s="32" t="str">
        <f>IFERROR(__xludf.DUMMYFUNCTION("""COMPUTED_VALUE"""),"Multi Banishment")</f>
        <v>Multi Banishment</v>
      </c>
      <c r="B497" s="34">
        <f>IFERROR(__xludf.DUMMYFUNCTION("""COMPUTED_VALUE"""),9.0)</f>
        <v>9</v>
      </c>
      <c r="C497" s="32" t="str">
        <f>IFERROR(__xludf.DUMMYFUNCTION("""COMPUTED_VALUE"""),"X*2000")</f>
        <v>X*2000</v>
      </c>
      <c r="D497" s="32"/>
      <c r="E497" s="32" t="str">
        <f>IFERROR(__xludf.DUMMYFUNCTION("""COMPUTED_VALUE"""),"Banish up to 5 targets.")</f>
        <v>Banish up to 5 targets.</v>
      </c>
      <c r="F497" s="32" t="str">
        <f>IFERROR(__xludf.DUMMYFUNCTION("""COMPUTED_VALUE"""),"Fail/succeed")</f>
        <v>Fail/succeed</v>
      </c>
      <c r="G497" s="32"/>
      <c r="H497" s="32" t="str">
        <f>IFERROR(__xludf.DUMMYFUNCTION("""COMPUTED_VALUE"""),"Voodoo")</f>
        <v>Voodoo</v>
      </c>
      <c r="I497" s="32" t="str">
        <f>IFERROR(__xludf.DUMMYFUNCTION("""COMPUTED_VALUE"""),"Player")</f>
        <v>Player</v>
      </c>
      <c r="J497" s="32" t="b">
        <f>IFERROR(__xludf.DUMMYFUNCTION("""COMPUTED_VALUE"""),FALSE)</f>
        <v>0</v>
      </c>
      <c r="K497" s="32"/>
      <c r="L497" s="32" t="b">
        <f>IFERROR(__xludf.DUMMYFUNCTION("""COMPUTED_VALUE"""),FALSE)</f>
        <v>0</v>
      </c>
      <c r="M497" s="32" t="b">
        <f>IFERROR(__xludf.DUMMYFUNCTION("""COMPUTED_VALUE"""),FALSE)</f>
        <v>0</v>
      </c>
      <c r="N497" s="32"/>
    </row>
    <row r="498">
      <c r="A498" s="32" t="str">
        <f>IFERROR(__xludf.DUMMYFUNCTION("""COMPUTED_VALUE"""),"Multi-Magic")</f>
        <v>Multi-Magic</v>
      </c>
      <c r="B498" s="34">
        <f>IFERROR(__xludf.DUMMYFUNCTION("""COMPUTED_VALUE"""),9.0)</f>
        <v>9</v>
      </c>
      <c r="C498" s="32">
        <f>IFERROR(__xludf.DUMMYFUNCTION("""COMPUTED_VALUE"""),1000.0)</f>
        <v>1000</v>
      </c>
      <c r="D498" s="32"/>
      <c r="E498" s="32"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32" t="str">
        <f>IFERROR(__xludf.DUMMYFUNCTION("""COMPUTED_VALUE"""),"Will Succeed")</f>
        <v>Will Succeed</v>
      </c>
      <c r="G498" s="32" t="str">
        <f>IFERROR(__xludf.DUMMYFUNCTION("""COMPUTED_VALUE"""),"Self")</f>
        <v>Self</v>
      </c>
      <c r="H498" s="32" t="str">
        <f>IFERROR(__xludf.DUMMYFUNCTION("""COMPUTED_VALUE"""),"Voodoo")</f>
        <v>Voodoo</v>
      </c>
      <c r="I498" s="32" t="str">
        <f>IFERROR(__xludf.DUMMYFUNCTION("""COMPUTED_VALUE"""),"Player")</f>
        <v>Player</v>
      </c>
      <c r="J498" s="32" t="b">
        <f>IFERROR(__xludf.DUMMYFUNCTION("""COMPUTED_VALUE"""),TRUE)</f>
        <v>1</v>
      </c>
      <c r="K498" s="32" t="str">
        <f>IFERROR(__xludf.DUMMYFUNCTION("""COMPUTED_VALUE"""),"shop spell")</f>
        <v>shop spell</v>
      </c>
      <c r="L498" s="32" t="b">
        <f>IFERROR(__xludf.DUMMYFUNCTION("""COMPUTED_VALUE"""),FALSE)</f>
        <v>0</v>
      </c>
      <c r="M498" s="32" t="b">
        <f>IFERROR(__xludf.DUMMYFUNCTION("""COMPUTED_VALUE"""),FALSE)</f>
        <v>0</v>
      </c>
      <c r="N498" s="32"/>
    </row>
    <row r="499">
      <c r="A499" s="32" t="str">
        <f>IFERROR(__xludf.DUMMYFUNCTION("""COMPUTED_VALUE"""),"O' Sweet Child of Mine")</f>
        <v>O' Sweet Child of Mine</v>
      </c>
      <c r="B499" s="34">
        <f>IFERROR(__xludf.DUMMYFUNCTION("""COMPUTED_VALUE"""),9.0)</f>
        <v>9</v>
      </c>
      <c r="C499" s="32">
        <f>IFERROR(__xludf.DUMMYFUNCTION("""COMPUTED_VALUE"""),1000.0)</f>
        <v>1000</v>
      </c>
      <c r="D499" s="32"/>
      <c r="E499" s="32"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32" t="str">
        <f>IFERROR(__xludf.DUMMYFUNCTION("""COMPUTED_VALUE"""),"Fail/Succeed")</f>
        <v>Fail/Succeed</v>
      </c>
      <c r="G499" s="32">
        <f>IFERROR(__xludf.DUMMYFUNCTION("""COMPUTED_VALUE"""),1.0)</f>
        <v>1</v>
      </c>
      <c r="H499" s="32" t="str">
        <f>IFERROR(__xludf.DUMMYFUNCTION("""COMPUTED_VALUE"""),"Voodoo")</f>
        <v>Voodoo</v>
      </c>
      <c r="I499" s="32" t="str">
        <f>IFERROR(__xludf.DUMMYFUNCTION("""COMPUTED_VALUE"""),"Mob")</f>
        <v>Mob</v>
      </c>
      <c r="J499" s="32" t="b">
        <f>IFERROR(__xludf.DUMMYFUNCTION("""COMPUTED_VALUE"""),TRUE)</f>
        <v>1</v>
      </c>
      <c r="K499" s="32"/>
      <c r="L499" s="32" t="b">
        <f>IFERROR(__xludf.DUMMYFUNCTION("""COMPUTED_VALUE"""),FALSE)</f>
        <v>0</v>
      </c>
      <c r="M499" s="32" t="b">
        <f>IFERROR(__xludf.DUMMYFUNCTION("""COMPUTED_VALUE"""),FALSE)</f>
        <v>0</v>
      </c>
      <c r="N499" s="32"/>
    </row>
    <row r="500">
      <c r="A500" s="32" t="str">
        <f>IFERROR(__xludf.DUMMYFUNCTION("""COMPUTED_VALUE"""),"Rejuvenate")</f>
        <v>Rejuvenate</v>
      </c>
      <c r="B500" s="34">
        <f>IFERROR(__xludf.DUMMYFUNCTION("""COMPUTED_VALUE"""),2.0)</f>
        <v>2</v>
      </c>
      <c r="C500" s="32">
        <f>IFERROR(__xludf.DUMMYFUNCTION("""COMPUTED_VALUE"""),20.0)</f>
        <v>20</v>
      </c>
      <c r="D500" s="32"/>
      <c r="E500" s="32" t="str">
        <f>IFERROR(__xludf.DUMMYFUNCTION("""COMPUTED_VALUE"""),"Heal 2000 HP, 50% chance of contracting an Undead enemy. Max 1 Enemy.")</f>
        <v>Heal 2000 HP, 50% chance of contracting an Undead enemy. Max 1 Enemy.</v>
      </c>
      <c r="F500" s="32" t="str">
        <f>IFERROR(__xludf.DUMMYFUNCTION("""COMPUTED_VALUE"""),"Fail/Succeed")</f>
        <v>Fail/Succeed</v>
      </c>
      <c r="G500" s="32"/>
      <c r="H500" s="32" t="str">
        <f>IFERROR(__xludf.DUMMYFUNCTION("""COMPUTED_VALUE"""),"Voodoo")</f>
        <v>Voodoo</v>
      </c>
      <c r="I500" s="32" t="str">
        <f>IFERROR(__xludf.DUMMYFUNCTION("""COMPUTED_VALUE"""),"Player")</f>
        <v>Player</v>
      </c>
      <c r="J500" s="32" t="b">
        <f>IFERROR(__xludf.DUMMYFUNCTION("""COMPUTED_VALUE"""),FALSE)</f>
        <v>0</v>
      </c>
      <c r="K500" s="32"/>
      <c r="L500" s="32" t="b">
        <f>IFERROR(__xludf.DUMMYFUNCTION("""COMPUTED_VALUE"""),FALSE)</f>
        <v>0</v>
      </c>
      <c r="M500" s="32" t="b">
        <f>IFERROR(__xludf.DUMMYFUNCTION("""COMPUTED_VALUE"""),FALSE)</f>
        <v>0</v>
      </c>
      <c r="N500" s="32"/>
    </row>
    <row r="501">
      <c r="A501" s="32" t="str">
        <f>IFERROR(__xludf.DUMMYFUNCTION("""COMPUTED_VALUE"""),"Second Chance")</f>
        <v>Second Chance</v>
      </c>
      <c r="B501" s="34">
        <f>IFERROR(__xludf.DUMMYFUNCTION("""COMPUTED_VALUE"""),9.0)</f>
        <v>9</v>
      </c>
      <c r="C501" s="32">
        <f>IFERROR(__xludf.DUMMYFUNCTION("""COMPUTED_VALUE"""),1000.0)</f>
        <v>1000</v>
      </c>
      <c r="D501" s="32"/>
      <c r="E501" s="32"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32" t="str">
        <f>IFERROR(__xludf.DUMMYFUNCTION("""COMPUTED_VALUE"""),"Will Succeed")</f>
        <v>Will Succeed</v>
      </c>
      <c r="G501" s="32"/>
      <c r="H501" s="32" t="str">
        <f>IFERROR(__xludf.DUMMYFUNCTION("""COMPUTED_VALUE"""),"Voodoo")</f>
        <v>Voodoo</v>
      </c>
      <c r="I501" s="32" t="str">
        <f>IFERROR(__xludf.DUMMYFUNCTION("""COMPUTED_VALUE"""),"Player")</f>
        <v>Player</v>
      </c>
      <c r="J501" s="32" t="b">
        <f>IFERROR(__xludf.DUMMYFUNCTION("""COMPUTED_VALUE"""),FALSE)</f>
        <v>0</v>
      </c>
      <c r="K501" s="32"/>
      <c r="L501" s="32" t="b">
        <f>IFERROR(__xludf.DUMMYFUNCTION("""COMPUTED_VALUE"""),FALSE)</f>
        <v>0</v>
      </c>
      <c r="M501" s="32" t="b">
        <f>IFERROR(__xludf.DUMMYFUNCTION("""COMPUTED_VALUE"""),FALSE)</f>
        <v>0</v>
      </c>
      <c r="N501" s="32"/>
    </row>
    <row r="502">
      <c r="A502" s="32" t="str">
        <f>IFERROR(__xludf.DUMMYFUNCTION("""COMPUTED_VALUE"""),"Stand in")</f>
        <v>Stand in</v>
      </c>
      <c r="B502" s="34">
        <f>IFERROR(__xludf.DUMMYFUNCTION("""COMPUTED_VALUE"""),9.0)</f>
        <v>9</v>
      </c>
      <c r="C502" s="32">
        <f>IFERROR(__xludf.DUMMYFUNCTION("""COMPUTED_VALUE"""),1000.0)</f>
        <v>1000</v>
      </c>
      <c r="D502" s="32"/>
      <c r="E502" s="32"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32" t="str">
        <f>IFERROR(__xludf.DUMMYFUNCTION("""COMPUTED_VALUE"""),"Fail/Succeed")</f>
        <v>Fail/Succeed</v>
      </c>
      <c r="G502" s="32"/>
      <c r="H502" s="32" t="str">
        <f>IFERROR(__xludf.DUMMYFUNCTION("""COMPUTED_VALUE"""),"Voodoo")</f>
        <v>Voodoo</v>
      </c>
      <c r="I502" s="32" t="str">
        <f>IFERROR(__xludf.DUMMYFUNCTION("""COMPUTED_VALUE"""),"Player")</f>
        <v>Player</v>
      </c>
      <c r="J502" s="32" t="b">
        <f>IFERROR(__xludf.DUMMYFUNCTION("""COMPUTED_VALUE"""),FALSE)</f>
        <v>0</v>
      </c>
      <c r="K502" s="32"/>
      <c r="L502" s="32" t="b">
        <f>IFERROR(__xludf.DUMMYFUNCTION("""COMPUTED_VALUE"""),FALSE)</f>
        <v>0</v>
      </c>
      <c r="M502" s="32" t="b">
        <f>IFERROR(__xludf.DUMMYFUNCTION("""COMPUTED_VALUE"""),FALSE)</f>
        <v>0</v>
      </c>
      <c r="N502" s="32"/>
    </row>
    <row r="503">
      <c r="A503" s="32" t="str">
        <f>IFERROR(__xludf.DUMMYFUNCTION("""COMPUTED_VALUE"""),"Tower Of Karma")</f>
        <v>Tower Of Karma</v>
      </c>
      <c r="B503" s="34">
        <f>IFERROR(__xludf.DUMMYFUNCTION("""COMPUTED_VALUE"""),8.0)</f>
        <v>8</v>
      </c>
      <c r="C503" s="32">
        <f>IFERROR(__xludf.DUMMYFUNCTION("""COMPUTED_VALUE"""),400.0)</f>
        <v>400</v>
      </c>
      <c r="D503" s="32"/>
      <c r="E503" s="32"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32" t="str">
        <f>IFERROR(__xludf.DUMMYFUNCTION("""COMPUTED_VALUE"""),"Hit or Miss")</f>
        <v>Hit or Miss</v>
      </c>
      <c r="G503" s="32">
        <f>IFERROR(__xludf.DUMMYFUNCTION("""COMPUTED_VALUE"""),1.0)</f>
        <v>1</v>
      </c>
      <c r="H503" s="32" t="str">
        <f>IFERROR(__xludf.DUMMYFUNCTION("""COMPUTED_VALUE"""),"Voodoo")</f>
        <v>Voodoo</v>
      </c>
      <c r="I503" s="32" t="str">
        <f>IFERROR(__xludf.DUMMYFUNCTION("""COMPUTED_VALUE"""),"Player")</f>
        <v>Player</v>
      </c>
      <c r="J503" s="32" t="b">
        <f>IFERROR(__xludf.DUMMYFUNCTION("""COMPUTED_VALUE"""),FALSE)</f>
        <v>0</v>
      </c>
      <c r="K503" s="32"/>
      <c r="L503" s="32" t="b">
        <f>IFERROR(__xludf.DUMMYFUNCTION("""COMPUTED_VALUE"""),FALSE)</f>
        <v>0</v>
      </c>
      <c r="M503" s="32" t="b">
        <f>IFERROR(__xludf.DUMMYFUNCTION("""COMPUTED_VALUE"""),FALSE)</f>
        <v>0</v>
      </c>
      <c r="N503" s="32"/>
    </row>
    <row r="504">
      <c r="A504" s="32" t="str">
        <f>IFERROR(__xludf.DUMMYFUNCTION("""COMPUTED_VALUE"""),"Transfer")</f>
        <v>Transfer</v>
      </c>
      <c r="B504" s="34">
        <f>IFERROR(__xludf.DUMMYFUNCTION("""COMPUTED_VALUE"""),9.0)</f>
        <v>9</v>
      </c>
      <c r="C504" s="32">
        <f>IFERROR(__xludf.DUMMYFUNCTION("""COMPUTED_VALUE"""),500.0)</f>
        <v>500</v>
      </c>
      <c r="D504" s="32"/>
      <c r="E504" s="32" t="str">
        <f>IFERROR(__xludf.DUMMYFUNCTION("""COMPUTED_VALUE"""),"Allows the caster to transfer a curse from one target on to another target. Cannot be used on self.")</f>
        <v>Allows the caster to transfer a curse from one target on to another target. Cannot be used on self.</v>
      </c>
      <c r="F504" s="32" t="str">
        <f>IFERROR(__xludf.DUMMYFUNCTION("""COMPUTED_VALUE"""),"Fail/Succeed")</f>
        <v>Fail/Succeed</v>
      </c>
      <c r="G504" s="32"/>
      <c r="H504" s="32" t="str">
        <f>IFERROR(__xludf.DUMMYFUNCTION("""COMPUTED_VALUE"""),"Voodoo")</f>
        <v>Voodoo</v>
      </c>
      <c r="I504" s="32" t="str">
        <f>IFERROR(__xludf.DUMMYFUNCTION("""COMPUTED_VALUE"""),"Player")</f>
        <v>Player</v>
      </c>
      <c r="J504" s="32" t="b">
        <f>IFERROR(__xludf.DUMMYFUNCTION("""COMPUTED_VALUE"""),FALSE)</f>
        <v>0</v>
      </c>
      <c r="K504" s="32"/>
      <c r="L504" s="32" t="b">
        <f>IFERROR(__xludf.DUMMYFUNCTION("""COMPUTED_VALUE"""),FALSE)</f>
        <v>0</v>
      </c>
      <c r="M504" s="32" t="b">
        <f>IFERROR(__xludf.DUMMYFUNCTION("""COMPUTED_VALUE"""),FALSE)</f>
        <v>0</v>
      </c>
      <c r="N504" s="32"/>
    </row>
    <row r="505">
      <c r="A505" s="32" t="str">
        <f>IFERROR(__xludf.DUMMYFUNCTION("""COMPUTED_VALUE"""),"Transform Enemy Curse")</f>
        <v>Transform Enemy Curse</v>
      </c>
      <c r="B505" s="34">
        <f>IFERROR(__xludf.DUMMYFUNCTION("""COMPUTED_VALUE"""),3.0)</f>
        <v>3</v>
      </c>
      <c r="C505" s="32">
        <f>IFERROR(__xludf.DUMMYFUNCTION("""COMPUTED_VALUE"""),30.0)</f>
        <v>30</v>
      </c>
      <c r="D505" s="32"/>
      <c r="E505" s="32"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32" t="str">
        <f>IFERROR(__xludf.DUMMYFUNCTION("""COMPUTED_VALUE"""),"Fail or Succeed")</f>
        <v>Fail or Succeed</v>
      </c>
      <c r="G505" s="32"/>
      <c r="H505" s="32" t="str">
        <f>IFERROR(__xludf.DUMMYFUNCTION("""COMPUTED_VALUE"""),"Voodoo")</f>
        <v>Voodoo</v>
      </c>
      <c r="I505" s="32" t="str">
        <f>IFERROR(__xludf.DUMMYFUNCTION("""COMPUTED_VALUE"""),"Player")</f>
        <v>Player</v>
      </c>
      <c r="J505" s="32" t="b">
        <f>IFERROR(__xludf.DUMMYFUNCTION("""COMPUTED_VALUE"""),FALSE)</f>
        <v>0</v>
      </c>
      <c r="K505" s="32"/>
      <c r="L505" s="32" t="b">
        <f>IFERROR(__xludf.DUMMYFUNCTION("""COMPUTED_VALUE"""),FALSE)</f>
        <v>0</v>
      </c>
      <c r="M505" s="32" t="b">
        <f>IFERROR(__xludf.DUMMYFUNCTION("""COMPUTED_VALUE"""),FALSE)</f>
        <v>0</v>
      </c>
      <c r="N505" s="32"/>
    </row>
    <row r="506">
      <c r="A506" s="32" t="str">
        <f>IFERROR(__xludf.DUMMYFUNCTION("""COMPUTED_VALUE"""),"Voodoo Ritual of Raise The Dead")</f>
        <v>Voodoo Ritual of Raise The Dead</v>
      </c>
      <c r="B506" s="34">
        <f>IFERROR(__xludf.DUMMYFUNCTION("""COMPUTED_VALUE"""),6.0)</f>
        <v>6</v>
      </c>
      <c r="C506" s="32">
        <f>IFERROR(__xludf.DUMMYFUNCTION("""COMPUTED_VALUE"""),60.0)</f>
        <v>60</v>
      </c>
      <c r="D506" s="32"/>
      <c r="E506" s="32" t="str">
        <f>IFERROR(__xludf.DUMMYFUNCTION("""COMPUTED_VALUE"""),"Raise a dead enemy to fight by your side.")</f>
        <v>Raise a dead enemy to fight by your side.</v>
      </c>
      <c r="F506" s="32" t="str">
        <f>IFERROR(__xludf.DUMMYFUNCTION("""COMPUTED_VALUE"""),"Fail/succeed")</f>
        <v>Fail/succeed</v>
      </c>
      <c r="G506" s="32"/>
      <c r="H506" s="32" t="str">
        <f>IFERROR(__xludf.DUMMYFUNCTION("""COMPUTED_VALUE"""),"Voodoo")</f>
        <v>Voodoo</v>
      </c>
      <c r="I506" s="32" t="str">
        <f>IFERROR(__xludf.DUMMYFUNCTION("""COMPUTED_VALUE"""),"Player")</f>
        <v>Player</v>
      </c>
      <c r="J506" s="32" t="b">
        <f>IFERROR(__xludf.DUMMYFUNCTION("""COMPUTED_VALUE"""),FALSE)</f>
        <v>0</v>
      </c>
      <c r="K506" s="32"/>
      <c r="L506" s="32" t="b">
        <f>IFERROR(__xludf.DUMMYFUNCTION("""COMPUTED_VALUE"""),FALSE)</f>
        <v>0</v>
      </c>
      <c r="M506" s="32" t="b">
        <f>IFERROR(__xludf.DUMMYFUNCTION("""COMPUTED_VALUE"""),FALSE)</f>
        <v>0</v>
      </c>
      <c r="N506" s="32"/>
    </row>
    <row r="507">
      <c r="A507" s="32" t="str">
        <f>IFERROR(__xludf.DUMMYFUNCTION("""COMPUTED_VALUE"""),"Weight Shift")</f>
        <v>Weight Shift</v>
      </c>
      <c r="B507" s="34">
        <f>IFERROR(__xludf.DUMMYFUNCTION("""COMPUTED_VALUE"""),4.0)</f>
        <v>4</v>
      </c>
      <c r="C507" s="32">
        <f>IFERROR(__xludf.DUMMYFUNCTION("""COMPUTED_VALUE"""),40.0)</f>
        <v>40</v>
      </c>
      <c r="D507" s="32"/>
      <c r="E507" s="32" t="str">
        <f>IFERROR(__xludf.DUMMYFUNCTION("""COMPUTED_VALUE"""),"Shift the weight of your enemy for 3 rounds, lowers their evasion by 5.")</f>
        <v>Shift the weight of your enemy for 3 rounds, lowers their evasion by 5.</v>
      </c>
      <c r="F507" s="32" t="str">
        <f>IFERROR(__xludf.DUMMYFUNCTION("""COMPUTED_VALUE"""),"Fail/succeed")</f>
        <v>Fail/succeed</v>
      </c>
      <c r="G507" s="32"/>
      <c r="H507" s="32" t="str">
        <f>IFERROR(__xludf.DUMMYFUNCTION("""COMPUTED_VALUE"""),"Voodoo")</f>
        <v>Voodoo</v>
      </c>
      <c r="I507" s="32" t="str">
        <f>IFERROR(__xludf.DUMMYFUNCTION("""COMPUTED_VALUE"""),"Player")</f>
        <v>Player</v>
      </c>
      <c r="J507" s="32" t="b">
        <f>IFERROR(__xludf.DUMMYFUNCTION("""COMPUTED_VALUE"""),FALSE)</f>
        <v>0</v>
      </c>
      <c r="K507" s="32"/>
      <c r="L507" s="32" t="b">
        <f>IFERROR(__xludf.DUMMYFUNCTION("""COMPUTED_VALUE"""),FALSE)</f>
        <v>0</v>
      </c>
      <c r="M507" s="32" t="b">
        <f>IFERROR(__xludf.DUMMYFUNCTION("""COMPUTED_VALUE"""),FALSE)</f>
        <v>0</v>
      </c>
      <c r="N507" s="32"/>
    </row>
    <row r="508">
      <c r="A508" s="32" t="str">
        <f>IFERROR(__xludf.DUMMYFUNCTION("""COMPUTED_VALUE"""),"Poison Flask")</f>
        <v>Poison Flask</v>
      </c>
      <c r="B508" s="34">
        <f>IFERROR(__xludf.DUMMYFUNCTION("""COMPUTED_VALUE"""),3.0)</f>
        <v>3</v>
      </c>
      <c r="C508" s="32">
        <f>IFERROR(__xludf.DUMMYFUNCTION("""COMPUTED_VALUE"""),50.0)</f>
        <v>50</v>
      </c>
      <c r="D508" s="32"/>
      <c r="E508" s="32" t="str">
        <f>IFERROR(__xludf.DUMMYFUNCTION("""COMPUTED_VALUE"""),"Throw a flask of viscous poison, Shattering it on your enemies and inflicting Poison 3000 for 3 rounds")</f>
        <v>Throw a flask of viscous poison, Shattering it on your enemies and inflicting Poison 3000 for 3 rounds</v>
      </c>
      <c r="F508" s="32" t="str">
        <f>IFERROR(__xludf.DUMMYFUNCTION("""COMPUTED_VALUE"""),"Hit/Miss")</f>
        <v>Hit/Miss</v>
      </c>
      <c r="G508" s="32">
        <f>IFERROR(__xludf.DUMMYFUNCTION("""COMPUTED_VALUE"""),1.0)</f>
        <v>1</v>
      </c>
      <c r="H508" s="32" t="str">
        <f>IFERROR(__xludf.DUMMYFUNCTION("""COMPUTED_VALUE"""),"Voodoo")</f>
        <v>Voodoo</v>
      </c>
      <c r="I508" s="32" t="str">
        <f>IFERROR(__xludf.DUMMYFUNCTION("""COMPUTED_VALUE"""),"Player")</f>
        <v>Player</v>
      </c>
      <c r="J508" s="32" t="b">
        <f>IFERROR(__xludf.DUMMYFUNCTION("""COMPUTED_VALUE"""),FALSE)</f>
        <v>0</v>
      </c>
      <c r="K508" s="32"/>
      <c r="L508" s="32" t="b">
        <f>IFERROR(__xludf.DUMMYFUNCTION("""COMPUTED_VALUE"""),FALSE)</f>
        <v>0</v>
      </c>
      <c r="M508" s="32" t="b">
        <f>IFERROR(__xludf.DUMMYFUNCTION("""COMPUTED_VALUE"""),FALSE)</f>
        <v>0</v>
      </c>
      <c r="N508" s="32"/>
    </row>
    <row r="509">
      <c r="A509" s="32" t="str">
        <f>IFERROR(__xludf.DUMMYFUNCTION("""COMPUTED_VALUE"""),"1000 Poisons Body")</f>
        <v>1000 Poisons Body</v>
      </c>
      <c r="B509" s="34">
        <f>IFERROR(__xludf.DUMMYFUNCTION("""COMPUTED_VALUE"""),8.0)</f>
        <v>8</v>
      </c>
      <c r="C509" s="32">
        <f>IFERROR(__xludf.DUMMYFUNCTION("""COMPUTED_VALUE"""),500.0)</f>
        <v>500</v>
      </c>
      <c r="D509" s="32"/>
      <c r="E509" s="32"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32" t="str">
        <f>IFERROR(__xludf.DUMMYFUNCTION("""COMPUTED_VALUE"""),"Will Succeed")</f>
        <v>Will Succeed</v>
      </c>
      <c r="G509" s="32" t="str">
        <f>IFERROR(__xludf.DUMMYFUNCTION("""COMPUTED_VALUE"""),"Self")</f>
        <v>Self</v>
      </c>
      <c r="H509" s="32" t="str">
        <f>IFERROR(__xludf.DUMMYFUNCTION("""COMPUTED_VALUE"""),"Voodoo")</f>
        <v>Voodoo</v>
      </c>
      <c r="I509" s="32" t="str">
        <f>IFERROR(__xludf.DUMMYFUNCTION("""COMPUTED_VALUE"""),"Player")</f>
        <v>Player</v>
      </c>
      <c r="J509" s="32" t="b">
        <f>IFERROR(__xludf.DUMMYFUNCTION("""COMPUTED_VALUE"""),FALSE)</f>
        <v>0</v>
      </c>
      <c r="K509" s="32"/>
      <c r="L509" s="32" t="b">
        <f>IFERROR(__xludf.DUMMYFUNCTION("""COMPUTED_VALUE"""),FALSE)</f>
        <v>0</v>
      </c>
      <c r="M509" s="32" t="b">
        <f>IFERROR(__xludf.DUMMYFUNCTION("""COMPUTED_VALUE"""),FALSE)</f>
        <v>0</v>
      </c>
      <c r="N509" s="32"/>
    </row>
    <row r="510">
      <c r="A510" s="32" t="str">
        <f>IFERROR(__xludf.DUMMYFUNCTION("""COMPUTED_VALUE"""),"Contagion")</f>
        <v>Contagion</v>
      </c>
      <c r="B510" s="34">
        <f>IFERROR(__xludf.DUMMYFUNCTION("""COMPUTED_VALUE"""),5.0)</f>
        <v>5</v>
      </c>
      <c r="C510" s="32">
        <f>IFERROR(__xludf.DUMMYFUNCTION("""COMPUTED_VALUE"""),100.0)</f>
        <v>100</v>
      </c>
      <c r="D510" s="32"/>
      <c r="E510" s="32" t="str">
        <f>IFERROR(__xludf.DUMMYFUNCTION("""COMPUTED_VALUE"""),"Unleashes a Plague onto the Battlefield Infecting all enemies causing them to take Poison 5000 for 3 rounds")</f>
        <v>Unleashes a Plague onto the Battlefield Infecting all enemies causing them to take Poison 5000 for 3 rounds</v>
      </c>
      <c r="F510" s="32" t="str">
        <f>IFERROR(__xludf.DUMMYFUNCTION("""COMPUTED_VALUE"""),"Fail/Succeed")</f>
        <v>Fail/Succeed</v>
      </c>
      <c r="G510" s="32" t="str">
        <f>IFERROR(__xludf.DUMMYFUNCTION("""COMPUTED_VALUE"""),"All")</f>
        <v>All</v>
      </c>
      <c r="H510" s="32" t="str">
        <f>IFERROR(__xludf.DUMMYFUNCTION("""COMPUTED_VALUE"""),"Voodoo")</f>
        <v>Voodoo</v>
      </c>
      <c r="I510" s="32" t="str">
        <f>IFERROR(__xludf.DUMMYFUNCTION("""COMPUTED_VALUE"""),"Player")</f>
        <v>Player</v>
      </c>
      <c r="J510" s="32" t="b">
        <f>IFERROR(__xludf.DUMMYFUNCTION("""COMPUTED_VALUE"""),FALSE)</f>
        <v>0</v>
      </c>
      <c r="K510" s="32"/>
      <c r="L510" s="32" t="b">
        <f>IFERROR(__xludf.DUMMYFUNCTION("""COMPUTED_VALUE"""),FALSE)</f>
        <v>0</v>
      </c>
      <c r="M510" s="32" t="b">
        <f>IFERROR(__xludf.DUMMYFUNCTION("""COMPUTED_VALUE"""),FALSE)</f>
        <v>0</v>
      </c>
      <c r="N510" s="32"/>
    </row>
    <row r="511">
      <c r="A511" s="32" t="str">
        <f>IFERROR(__xludf.DUMMYFUNCTION("""COMPUTED_VALUE"""),"Mutagen")</f>
        <v>Mutagen</v>
      </c>
      <c r="B511" s="34">
        <f>IFERROR(__xludf.DUMMYFUNCTION("""COMPUTED_VALUE"""),6.0)</f>
        <v>6</v>
      </c>
      <c r="C511" s="32">
        <f>IFERROR(__xludf.DUMMYFUNCTION("""COMPUTED_VALUE"""),100.0)</f>
        <v>100</v>
      </c>
      <c r="D511" s="32"/>
      <c r="E511" s="32"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32" t="str">
        <f>IFERROR(__xludf.DUMMYFUNCTION("""COMPUTED_VALUE"""),"Will Succeed")</f>
        <v>Will Succeed</v>
      </c>
      <c r="G511" s="32" t="str">
        <f>IFERROR(__xludf.DUMMYFUNCTION("""COMPUTED_VALUE"""),"self")</f>
        <v>self</v>
      </c>
      <c r="H511" s="32" t="str">
        <f>IFERROR(__xludf.DUMMYFUNCTION("""COMPUTED_VALUE"""),"Voodoo")</f>
        <v>Voodoo</v>
      </c>
      <c r="I511" s="32" t="str">
        <f>IFERROR(__xludf.DUMMYFUNCTION("""COMPUTED_VALUE"""),"Player")</f>
        <v>Player</v>
      </c>
      <c r="J511" s="32" t="b">
        <f>IFERROR(__xludf.DUMMYFUNCTION("""COMPUTED_VALUE"""),FALSE)</f>
        <v>0</v>
      </c>
      <c r="K511" s="32"/>
      <c r="L511" s="32" t="b">
        <f>IFERROR(__xludf.DUMMYFUNCTION("""COMPUTED_VALUE"""),FALSE)</f>
        <v>0</v>
      </c>
      <c r="M511" s="32" t="b">
        <f>IFERROR(__xludf.DUMMYFUNCTION("""COMPUTED_VALUE"""),FALSE)</f>
        <v>0</v>
      </c>
      <c r="N511" s="32"/>
    </row>
    <row r="512">
      <c r="A512" s="32" t="str">
        <f>IFERROR(__xludf.DUMMYFUNCTION("""COMPUTED_VALUE"""),"Warcrimes")</f>
        <v>Warcrimes</v>
      </c>
      <c r="B512" s="34">
        <f>IFERROR(__xludf.DUMMYFUNCTION("""COMPUTED_VALUE"""),9.0)</f>
        <v>9</v>
      </c>
      <c r="C512" s="32">
        <f>IFERROR(__xludf.DUMMYFUNCTION("""COMPUTED_VALUE"""),200.0)</f>
        <v>200</v>
      </c>
      <c r="D512" s="32"/>
      <c r="E512" s="32"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32" t="str">
        <f>IFERROR(__xludf.DUMMYFUNCTION("""COMPUTED_VALUE"""),"Will Succeed")</f>
        <v>Will Succeed</v>
      </c>
      <c r="G512" s="32" t="str">
        <f>IFERROR(__xludf.DUMMYFUNCTION("""COMPUTED_VALUE"""),"All")</f>
        <v>All</v>
      </c>
      <c r="H512" s="32" t="str">
        <f>IFERROR(__xludf.DUMMYFUNCTION("""COMPUTED_VALUE"""),"Voodoo")</f>
        <v>Voodoo</v>
      </c>
      <c r="I512" s="32" t="str">
        <f>IFERROR(__xludf.DUMMYFUNCTION("""COMPUTED_VALUE"""),"Player")</f>
        <v>Player</v>
      </c>
      <c r="J512" s="32" t="b">
        <f>IFERROR(__xludf.DUMMYFUNCTION("""COMPUTED_VALUE"""),FALSE)</f>
        <v>0</v>
      </c>
      <c r="K512" s="32"/>
      <c r="L512" s="32" t="b">
        <f>IFERROR(__xludf.DUMMYFUNCTION("""COMPUTED_VALUE"""),FALSE)</f>
        <v>0</v>
      </c>
      <c r="M512" s="32" t="b">
        <f>IFERROR(__xludf.DUMMYFUNCTION("""COMPUTED_VALUE"""),FALSE)</f>
        <v>0</v>
      </c>
      <c r="N512" s="32"/>
    </row>
    <row r="513">
      <c r="A513" s="32" t="str">
        <f>IFERROR(__xludf.DUMMYFUNCTION("""COMPUTED_VALUE"""),"Last Chance")</f>
        <v>Last Chance</v>
      </c>
      <c r="B513" s="34">
        <f>IFERROR(__xludf.DUMMYFUNCTION("""COMPUTED_VALUE"""),5.0)</f>
        <v>5</v>
      </c>
      <c r="C513" s="32">
        <f>IFERROR(__xludf.DUMMYFUNCTION("""COMPUTED_VALUE"""),200.0)</f>
        <v>200</v>
      </c>
      <c r="D513" s="32"/>
      <c r="E513" s="32" t="str">
        <f>IFERROR(__xludf.DUMMYFUNCTION("""COMPUTED_VALUE"""),"1d2 enemies cannot use spells for 3 rounds.")</f>
        <v>1d2 enemies cannot use spells for 3 rounds.</v>
      </c>
      <c r="F513" s="32" t="str">
        <f>IFERROR(__xludf.DUMMYFUNCTION("""COMPUTED_VALUE"""),"Fail or Succeed")</f>
        <v>Fail or Succeed</v>
      </c>
      <c r="G513" s="32" t="str">
        <f>IFERROR(__xludf.DUMMYFUNCTION("""COMPUTED_VALUE"""),"1 or 2")</f>
        <v>1 or 2</v>
      </c>
      <c r="H513" s="32" t="str">
        <f>IFERROR(__xludf.DUMMYFUNCTION("""COMPUTED_VALUE"""),"Voodoo")</f>
        <v>Voodoo</v>
      </c>
      <c r="I513" s="32" t="str">
        <f>IFERROR(__xludf.DUMMYFUNCTION("""COMPUTED_VALUE"""),"Player")</f>
        <v>Player</v>
      </c>
      <c r="J513" s="32" t="b">
        <f>IFERROR(__xludf.DUMMYFUNCTION("""COMPUTED_VALUE"""),FALSE)</f>
        <v>0</v>
      </c>
      <c r="K513" s="32"/>
      <c r="L513" s="32" t="b">
        <f>IFERROR(__xludf.DUMMYFUNCTION("""COMPUTED_VALUE"""),FALSE)</f>
        <v>0</v>
      </c>
      <c r="M513" s="32" t="b">
        <f>IFERROR(__xludf.DUMMYFUNCTION("""COMPUTED_VALUE"""),FALSE)</f>
        <v>0</v>
      </c>
      <c r="N513" s="32"/>
    </row>
    <row r="514">
      <c r="A514" s="32" t="str">
        <f>IFERROR(__xludf.DUMMYFUNCTION("""COMPUTED_VALUE"""),"Voodoo Needle")</f>
        <v>Voodoo Needle</v>
      </c>
      <c r="B514" s="34">
        <f>IFERROR(__xludf.DUMMYFUNCTION("""COMPUTED_VALUE"""),1.0)</f>
        <v>1</v>
      </c>
      <c r="C514" s="32" t="str">
        <f>IFERROR(__xludf.DUMMYFUNCTION("""COMPUTED_VALUE"""),"X")</f>
        <v>X</v>
      </c>
      <c r="D514" s="32"/>
      <c r="E514" s="32" t="str">
        <f>IFERROR(__xludf.DUMMYFUNCTION("""COMPUTED_VALUE"""),"Deals X*100 Voodoo damage to a single enemy where X is equal to SP spent.")</f>
        <v>Deals X*100 Voodoo damage to a single enemy where X is equal to SP spent.</v>
      </c>
      <c r="F514" s="32" t="str">
        <f>IFERROR(__xludf.DUMMYFUNCTION("""COMPUTED_VALUE"""),"Hit/Miss")</f>
        <v>Hit/Miss</v>
      </c>
      <c r="G514" s="32">
        <f>IFERROR(__xludf.DUMMYFUNCTION("""COMPUTED_VALUE"""),1.0)</f>
        <v>1</v>
      </c>
      <c r="H514" s="32" t="str">
        <f>IFERROR(__xludf.DUMMYFUNCTION("""COMPUTED_VALUE"""),"Voodoo")</f>
        <v>Voodoo</v>
      </c>
      <c r="I514" s="32" t="str">
        <f>IFERROR(__xludf.DUMMYFUNCTION("""COMPUTED_VALUE"""),"Player")</f>
        <v>Player</v>
      </c>
      <c r="J514" s="32" t="b">
        <f>IFERROR(__xludf.DUMMYFUNCTION("""COMPUTED_VALUE"""),FALSE)</f>
        <v>0</v>
      </c>
      <c r="K514" s="32"/>
      <c r="L514" s="32" t="b">
        <f>IFERROR(__xludf.DUMMYFUNCTION("""COMPUTED_VALUE"""),FALSE)</f>
        <v>0</v>
      </c>
      <c r="M514" s="32" t="b">
        <f>IFERROR(__xludf.DUMMYFUNCTION("""COMPUTED_VALUE"""),FALSE)</f>
        <v>0</v>
      </c>
      <c r="N514" s="32"/>
    </row>
    <row r="515">
      <c r="A515" s="32" t="str">
        <f>IFERROR(__xludf.DUMMYFUNCTION("""COMPUTED_VALUE"""),"Hex")</f>
        <v>Hex</v>
      </c>
      <c r="B515" s="34">
        <f>IFERROR(__xludf.DUMMYFUNCTION("""COMPUTED_VALUE"""),5.0)</f>
        <v>5</v>
      </c>
      <c r="C515" s="32" t="str">
        <f>IFERROR(__xludf.DUMMYFUNCTION("""COMPUTED_VALUE"""),"X")</f>
        <v>X</v>
      </c>
      <c r="D515" s="32"/>
      <c r="E515" s="32" t="str">
        <f>IFERROR(__xludf.DUMMYFUNCTION("""COMPUTED_VALUE"""),"Deals X*50 Voodoo damage per round for 3 rounds to a single target where X is equal to SP spent.")</f>
        <v>Deals X*50 Voodoo damage per round for 3 rounds to a single target where X is equal to SP spent.</v>
      </c>
      <c r="F515" s="32" t="str">
        <f>IFERROR(__xludf.DUMMYFUNCTION("""COMPUTED_VALUE"""),"Hit/Miss")</f>
        <v>Hit/Miss</v>
      </c>
      <c r="G515" s="32">
        <f>IFERROR(__xludf.DUMMYFUNCTION("""COMPUTED_VALUE"""),1.0)</f>
        <v>1</v>
      </c>
      <c r="H515" s="32" t="str">
        <f>IFERROR(__xludf.DUMMYFUNCTION("""COMPUTED_VALUE"""),"Voodoo")</f>
        <v>Voodoo</v>
      </c>
      <c r="I515" s="32" t="str">
        <f>IFERROR(__xludf.DUMMYFUNCTION("""COMPUTED_VALUE"""),"Player")</f>
        <v>Player</v>
      </c>
      <c r="J515" s="32" t="b">
        <f>IFERROR(__xludf.DUMMYFUNCTION("""COMPUTED_VALUE"""),FALSE)</f>
        <v>0</v>
      </c>
      <c r="K515" s="32"/>
      <c r="L515" s="32" t="b">
        <f>IFERROR(__xludf.DUMMYFUNCTION("""COMPUTED_VALUE"""),FALSE)</f>
        <v>0</v>
      </c>
      <c r="M515" s="32" t="b">
        <f>IFERROR(__xludf.DUMMYFUNCTION("""COMPUTED_VALUE"""),FALSE)</f>
        <v>0</v>
      </c>
      <c r="N515" s="32"/>
    </row>
    <row r="516">
      <c r="A516" s="32" t="str">
        <f>IFERROR(__xludf.DUMMYFUNCTION("""COMPUTED_VALUE"""),"Voodoo Meteor Shower")</f>
        <v>Voodoo Meteor Shower</v>
      </c>
      <c r="B516" s="34">
        <f>IFERROR(__xludf.DUMMYFUNCTION("""COMPUTED_VALUE"""),5.0)</f>
        <v>5</v>
      </c>
      <c r="C516" s="32" t="str">
        <f>IFERROR(__xludf.DUMMYFUNCTION("""COMPUTED_VALUE"""),"X")</f>
        <v>X</v>
      </c>
      <c r="D516" s="32"/>
      <c r="E516" s="32" t="str">
        <f>IFERROR(__xludf.DUMMYFUNCTION("""COMPUTED_VALUE"""),"Deals X*25 Voodoo damage to all enemies where X is equal to SP spent.")</f>
        <v>Deals X*25 Voodoo damage to all enemies where X is equal to SP spent.</v>
      </c>
      <c r="F516" s="32" t="str">
        <f>IFERROR(__xludf.DUMMYFUNCTION("""COMPUTED_VALUE"""),"Cannot Avoid")</f>
        <v>Cannot Avoid</v>
      </c>
      <c r="G516" s="32" t="str">
        <f>IFERROR(__xludf.DUMMYFUNCTION("""COMPUTED_VALUE"""),"All")</f>
        <v>All</v>
      </c>
      <c r="H516" s="32" t="str">
        <f>IFERROR(__xludf.DUMMYFUNCTION("""COMPUTED_VALUE"""),"Voodoo")</f>
        <v>Voodoo</v>
      </c>
      <c r="I516" s="32" t="str">
        <f>IFERROR(__xludf.DUMMYFUNCTION("""COMPUTED_VALUE"""),"Player")</f>
        <v>Player</v>
      </c>
      <c r="J516" s="32" t="b">
        <f>IFERROR(__xludf.DUMMYFUNCTION("""COMPUTED_VALUE"""),FALSE)</f>
        <v>0</v>
      </c>
      <c r="K516" s="32"/>
      <c r="L516" s="32" t="b">
        <f>IFERROR(__xludf.DUMMYFUNCTION("""COMPUTED_VALUE"""),FALSE)</f>
        <v>0</v>
      </c>
      <c r="M516" s="32" t="b">
        <f>IFERROR(__xludf.DUMMYFUNCTION("""COMPUTED_VALUE"""),FALSE)</f>
        <v>0</v>
      </c>
      <c r="N516" s="32"/>
    </row>
    <row r="517">
      <c r="A517" s="32" t="str">
        <f>IFERROR(__xludf.DUMMYFUNCTION("""COMPUTED_VALUE"""),"Mass Hex")</f>
        <v>Mass Hex</v>
      </c>
      <c r="B517" s="34">
        <f>IFERROR(__xludf.DUMMYFUNCTION("""COMPUTED_VALUE"""),6.0)</f>
        <v>6</v>
      </c>
      <c r="C517" s="32" t="str">
        <f>IFERROR(__xludf.DUMMYFUNCTION("""COMPUTED_VALUE"""),"X")</f>
        <v>X</v>
      </c>
      <c r="D517" s="32"/>
      <c r="E517" s="32" t="str">
        <f>IFERROR(__xludf.DUMMYFUNCTION("""COMPUTED_VALUE"""),"Deals X*10 Voodoo damage per round to all enemies for 3 rounds where X is equal to SP spent.")</f>
        <v>Deals X*10 Voodoo damage per round to all enemies for 3 rounds where X is equal to SP spent.</v>
      </c>
      <c r="F517" s="32" t="str">
        <f>IFERROR(__xludf.DUMMYFUNCTION("""COMPUTED_VALUE"""),"Cannot Avoid")</f>
        <v>Cannot Avoid</v>
      </c>
      <c r="G517" s="32" t="str">
        <f>IFERROR(__xludf.DUMMYFUNCTION("""COMPUTED_VALUE"""),"All")</f>
        <v>All</v>
      </c>
      <c r="H517" s="32" t="str">
        <f>IFERROR(__xludf.DUMMYFUNCTION("""COMPUTED_VALUE"""),"Voodoo")</f>
        <v>Voodoo</v>
      </c>
      <c r="I517" s="32" t="str">
        <f>IFERROR(__xludf.DUMMYFUNCTION("""COMPUTED_VALUE"""),"Player")</f>
        <v>Player</v>
      </c>
      <c r="J517" s="32" t="b">
        <f>IFERROR(__xludf.DUMMYFUNCTION("""COMPUTED_VALUE"""),FALSE)</f>
        <v>0</v>
      </c>
      <c r="K517" s="32"/>
      <c r="L517" s="32" t="b">
        <f>IFERROR(__xludf.DUMMYFUNCTION("""COMPUTED_VALUE"""),FALSE)</f>
        <v>0</v>
      </c>
      <c r="M517" s="32" t="b">
        <f>IFERROR(__xludf.DUMMYFUNCTION("""COMPUTED_VALUE"""),FALSE)</f>
        <v>0</v>
      </c>
      <c r="N517" s="32"/>
    </row>
    <row r="518">
      <c r="A518" s="32" t="str">
        <f>IFERROR(__xludf.DUMMYFUNCTION("""COMPUTED_VALUE"""),"Ancient Frost Grand Mages Curse")</f>
        <v>Ancient Frost Grand Mages Curse</v>
      </c>
      <c r="B518" s="34">
        <f>IFERROR(__xludf.DUMMYFUNCTION("""COMPUTED_VALUE"""),1.0)</f>
        <v>1</v>
      </c>
      <c r="C518" s="33">
        <f>IFERROR(__xludf.DUMMYFUNCTION("""COMPUTED_VALUE"""),10000.0)</f>
        <v>10000</v>
      </c>
      <c r="D518" s="32"/>
      <c r="E518" s="32"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32" t="str">
        <f>IFERROR(__xludf.DUMMYFUNCTION("""COMPUTED_VALUE"""),"Fail or Succeed")</f>
        <v>Fail or Succeed</v>
      </c>
      <c r="G518" s="32">
        <f>IFERROR(__xludf.DUMMYFUNCTION("""COMPUTED_VALUE"""),1.0)</f>
        <v>1</v>
      </c>
      <c r="H518" s="32" t="str">
        <f>IFERROR(__xludf.DUMMYFUNCTION("""COMPUTED_VALUE"""),"Water")</f>
        <v>Water</v>
      </c>
      <c r="I518" s="32" t="str">
        <f>IFERROR(__xludf.DUMMYFUNCTION("""COMPUTED_VALUE"""),"Mob")</f>
        <v>Mob</v>
      </c>
      <c r="J518" s="32" t="b">
        <f>IFERROR(__xludf.DUMMYFUNCTION("""COMPUTED_VALUE"""),TRUE)</f>
        <v>1</v>
      </c>
      <c r="K518" s="32"/>
      <c r="L518" s="32" t="b">
        <f>IFERROR(__xludf.DUMMYFUNCTION("""COMPUTED_VALUE"""),TRUE)</f>
        <v>1</v>
      </c>
      <c r="M518" s="32" t="b">
        <f>IFERROR(__xludf.DUMMYFUNCTION("""COMPUTED_VALUE"""),FALSE)</f>
        <v>0</v>
      </c>
      <c r="N518" s="32"/>
    </row>
    <row r="519">
      <c r="A519" s="32" t="str">
        <f>IFERROR(__xludf.DUMMYFUNCTION("""COMPUTED_VALUE"""),"Ancient Frost Troll Call")</f>
        <v>Ancient Frost Troll Call</v>
      </c>
      <c r="B519" s="34">
        <f>IFERROR(__xludf.DUMMYFUNCTION("""COMPUTED_VALUE"""),1.0)</f>
        <v>1</v>
      </c>
      <c r="C519" s="32">
        <f>IFERROR(__xludf.DUMMYFUNCTION("""COMPUTED_VALUE"""),0.0)</f>
        <v>0</v>
      </c>
      <c r="D519" s="32"/>
      <c r="E519" s="32" t="str">
        <f>IFERROR(__xludf.DUMMYFUNCTION("""COMPUTED_VALUE"""),"Calls in 2 other giant frost trolls into battle, has a 50% chance to call in 3 of them.")</f>
        <v>Calls in 2 other giant frost trolls into battle, has a 50% chance to call in 3 of them.</v>
      </c>
      <c r="F519" s="32" t="str">
        <f>IFERROR(__xludf.DUMMYFUNCTION("""COMPUTED_VALUE"""),"Natural/Fail Or Succeed")</f>
        <v>Natural/Fail Or Succeed</v>
      </c>
      <c r="G519" s="32" t="str">
        <f>IFERROR(__xludf.DUMMYFUNCTION("""COMPUTED_VALUE"""),"Self")</f>
        <v>Self</v>
      </c>
      <c r="H519" s="32" t="str">
        <f>IFERROR(__xludf.DUMMYFUNCTION("""COMPUTED_VALUE"""),"Water")</f>
        <v>Water</v>
      </c>
      <c r="I519" s="32" t="str">
        <f>IFERROR(__xludf.DUMMYFUNCTION("""COMPUTED_VALUE"""),"Mob")</f>
        <v>Mob</v>
      </c>
      <c r="J519" s="32" t="b">
        <f>IFERROR(__xludf.DUMMYFUNCTION("""COMPUTED_VALUE"""),TRUE)</f>
        <v>1</v>
      </c>
      <c r="K519" s="32"/>
      <c r="L519" s="32" t="b">
        <f>IFERROR(__xludf.DUMMYFUNCTION("""COMPUTED_VALUE"""),TRUE)</f>
        <v>1</v>
      </c>
      <c r="M519" s="32" t="b">
        <f>IFERROR(__xludf.DUMMYFUNCTION("""COMPUTED_VALUE"""),FALSE)</f>
        <v>0</v>
      </c>
      <c r="N519" s="32"/>
    </row>
    <row r="520">
      <c r="A520" s="32" t="str">
        <f>IFERROR(__xludf.DUMMYFUNCTION("""COMPUTED_VALUE"""),"Ancient Monolith Of Water")</f>
        <v>Ancient Monolith Of Water</v>
      </c>
      <c r="B520" s="34">
        <f>IFERROR(__xludf.DUMMYFUNCTION("""COMPUTED_VALUE"""),9.0)</f>
        <v>9</v>
      </c>
      <c r="C520" s="32">
        <f>IFERROR(__xludf.DUMMYFUNCTION("""COMPUTED_VALUE"""),300.0)</f>
        <v>300</v>
      </c>
      <c r="D520" s="32"/>
      <c r="E520" s="32" t="str">
        <f>IFERROR(__xludf.DUMMYFUNCTION("""COMPUTED_VALUE"""),"X4 additional water damage for caster and allies, + fire immunity to caster only for 3 rounds.")</f>
        <v>X4 additional water damage for caster and allies, + fire immunity to caster only for 3 rounds.</v>
      </c>
      <c r="F520" s="32" t="str">
        <f>IFERROR(__xludf.DUMMYFUNCTION("""COMPUTED_VALUE"""),"Fail/Succeed")</f>
        <v>Fail/Succeed</v>
      </c>
      <c r="G520" s="32"/>
      <c r="H520" s="32" t="str">
        <f>IFERROR(__xludf.DUMMYFUNCTION("""COMPUTED_VALUE"""),"Water")</f>
        <v>Water</v>
      </c>
      <c r="I520" s="32" t="str">
        <f>IFERROR(__xludf.DUMMYFUNCTION("""COMPUTED_VALUE"""),"Player")</f>
        <v>Player</v>
      </c>
      <c r="J520" s="32" t="b">
        <f>IFERROR(__xludf.DUMMYFUNCTION("""COMPUTED_VALUE"""),FALSE)</f>
        <v>0</v>
      </c>
      <c r="K520" s="32"/>
      <c r="L520" s="32" t="b">
        <f>IFERROR(__xludf.DUMMYFUNCTION("""COMPUTED_VALUE"""),TRUE)</f>
        <v>1</v>
      </c>
      <c r="M520" s="32" t="b">
        <f>IFERROR(__xludf.DUMMYFUNCTION("""COMPUTED_VALUE"""),FALSE)</f>
        <v>0</v>
      </c>
      <c r="N520" s="32"/>
    </row>
    <row r="521">
      <c r="A521" s="32" t="str">
        <f>IFERROR(__xludf.DUMMYFUNCTION("""COMPUTED_VALUE"""),"Aquafie")</f>
        <v>Aquafie</v>
      </c>
      <c r="B521" s="34">
        <f>IFERROR(__xludf.DUMMYFUNCTION("""COMPUTED_VALUE"""),4.0)</f>
        <v>4</v>
      </c>
      <c r="C521" s="32" t="str">
        <f>IFERROR(__xludf.DUMMYFUNCTION("""COMPUTED_VALUE"""),"X*3")</f>
        <v>X*3</v>
      </c>
      <c r="D521" s="32"/>
      <c r="E521" s="32" t="str">
        <f>IFERROR(__xludf.DUMMYFUNCTION("""COMPUTED_VALUE"""),"Target gains X*4 Water damage and X*4 Water resistance, can’t be used on self.")</f>
        <v>Target gains X*4 Water damage and X*4 Water resistance, can’t be used on self.</v>
      </c>
      <c r="F521" s="32" t="str">
        <f>IFERROR(__xludf.DUMMYFUNCTION("""COMPUTED_VALUE"""),"Will Succeed")</f>
        <v>Will Succeed</v>
      </c>
      <c r="G521" s="32"/>
      <c r="H521" s="32" t="str">
        <f>IFERROR(__xludf.DUMMYFUNCTION("""COMPUTED_VALUE"""),"Water")</f>
        <v>Water</v>
      </c>
      <c r="I521" s="32" t="str">
        <f>IFERROR(__xludf.DUMMYFUNCTION("""COMPUTED_VALUE"""),"Player")</f>
        <v>Player</v>
      </c>
      <c r="J521" s="32" t="b">
        <f>IFERROR(__xludf.DUMMYFUNCTION("""COMPUTED_VALUE"""),FALSE)</f>
        <v>0</v>
      </c>
      <c r="K521" s="32"/>
      <c r="L521" s="32" t="b">
        <f>IFERROR(__xludf.DUMMYFUNCTION("""COMPUTED_VALUE"""),TRUE)</f>
        <v>1</v>
      </c>
      <c r="M521" s="32" t="b">
        <f>IFERROR(__xludf.DUMMYFUNCTION("""COMPUTED_VALUE"""),FALSE)</f>
        <v>0</v>
      </c>
      <c r="N521" s="32"/>
    </row>
    <row r="522">
      <c r="A522" s="32" t="str">
        <f>IFERROR(__xludf.DUMMYFUNCTION("""COMPUTED_VALUE"""),"Avalanche")</f>
        <v>Avalanche</v>
      </c>
      <c r="B522" s="34">
        <f>IFERROR(__xludf.DUMMYFUNCTION("""COMPUTED_VALUE"""),8.0)</f>
        <v>8</v>
      </c>
      <c r="C522" s="32" t="str">
        <f>IFERROR(__xludf.DUMMYFUNCTION("""COMPUTED_VALUE"""),"X")</f>
        <v>X</v>
      </c>
      <c r="D522" s="32"/>
      <c r="E522" s="32" t="str">
        <f>IFERROR(__xludf.DUMMYFUNCTION("""COMPUTED_VALUE"""),"X*20 water damage to all enemies, Where X is equal to SP spent, 50% instant death")</f>
        <v>X*20 water damage to all enemies, Where X is equal to SP spent, 50% instant death</v>
      </c>
      <c r="F522" s="32" t="str">
        <f>IFERROR(__xludf.DUMMYFUNCTION("""COMPUTED_VALUE"""),"Not Avoidable")</f>
        <v>Not Avoidable</v>
      </c>
      <c r="G522" s="32"/>
      <c r="H522" s="32" t="str">
        <f>IFERROR(__xludf.DUMMYFUNCTION("""COMPUTED_VALUE"""),"Water")</f>
        <v>Water</v>
      </c>
      <c r="I522" s="32" t="str">
        <f>IFERROR(__xludf.DUMMYFUNCTION("""COMPUTED_VALUE"""),"Player")</f>
        <v>Player</v>
      </c>
      <c r="J522" s="32" t="b">
        <f>IFERROR(__xludf.DUMMYFUNCTION("""COMPUTED_VALUE"""),FALSE)</f>
        <v>0</v>
      </c>
      <c r="K522" s="32"/>
      <c r="L522" s="32" t="b">
        <f>IFERROR(__xludf.DUMMYFUNCTION("""COMPUTED_VALUE"""),TRUE)</f>
        <v>1</v>
      </c>
      <c r="M522" s="32" t="b">
        <f>IFERROR(__xludf.DUMMYFUNCTION("""COMPUTED_VALUE"""),FALSE)</f>
        <v>0</v>
      </c>
      <c r="N522" s="32"/>
    </row>
    <row r="523">
      <c r="A523" s="32" t="str">
        <f>IFERROR(__xludf.DUMMYFUNCTION("""COMPUTED_VALUE"""),"Blizzard")</f>
        <v>Blizzard</v>
      </c>
      <c r="B523" s="34">
        <f>IFERROR(__xludf.DUMMYFUNCTION("""COMPUTED_VALUE"""),6.0)</f>
        <v>6</v>
      </c>
      <c r="C523" s="32">
        <f>IFERROR(__xludf.DUMMYFUNCTION("""COMPUTED_VALUE"""),240.0)</f>
        <v>240</v>
      </c>
      <c r="D523" s="32"/>
      <c r="E523" s="32" t="str">
        <f>IFERROR(__xludf.DUMMYFUNCTION("""COMPUTED_VALUE"""),"6000 water damage to all enemies; 50% chance to freeze 1d6 enemies.")</f>
        <v>6000 water damage to all enemies; 50% chance to freeze 1d6 enemies.</v>
      </c>
      <c r="F523" s="32" t="str">
        <f>IFERROR(__xludf.DUMMYFUNCTION("""COMPUTED_VALUE"""),"Cannot Avoid")</f>
        <v>Cannot Avoid</v>
      </c>
      <c r="G523" s="32" t="str">
        <f>IFERROR(__xludf.DUMMYFUNCTION("""COMPUTED_VALUE"""),"1d6")</f>
        <v>1d6</v>
      </c>
      <c r="H523" s="32" t="str">
        <f>IFERROR(__xludf.DUMMYFUNCTION("""COMPUTED_VALUE"""),"Water")</f>
        <v>Water</v>
      </c>
      <c r="I523" s="32" t="str">
        <f>IFERROR(__xludf.DUMMYFUNCTION("""COMPUTED_VALUE"""),"Player")</f>
        <v>Player</v>
      </c>
      <c r="J523" s="32" t="b">
        <f>IFERROR(__xludf.DUMMYFUNCTION("""COMPUTED_VALUE"""),FALSE)</f>
        <v>0</v>
      </c>
      <c r="K523" s="32"/>
      <c r="L523" s="32" t="b">
        <f>IFERROR(__xludf.DUMMYFUNCTION("""COMPUTED_VALUE"""),TRUE)</f>
        <v>1</v>
      </c>
      <c r="M523" s="32" t="b">
        <f>IFERROR(__xludf.DUMMYFUNCTION("""COMPUTED_VALUE"""),FALSE)</f>
        <v>0</v>
      </c>
      <c r="N523" s="32"/>
    </row>
    <row r="524">
      <c r="A524" s="32" t="str">
        <f>IFERROR(__xludf.DUMMYFUNCTION("""COMPUTED_VALUE"""),"Call Of The Abyss")</f>
        <v>Call Of The Abyss</v>
      </c>
      <c r="B524" s="34">
        <f>IFERROR(__xludf.DUMMYFUNCTION("""COMPUTED_VALUE"""),9.0)</f>
        <v>9</v>
      </c>
      <c r="C524" s="33">
        <f>IFERROR(__xludf.DUMMYFUNCTION("""COMPUTED_VALUE"""),1000.0)</f>
        <v>1000</v>
      </c>
      <c r="D524" s="32"/>
      <c r="E524" s="32" t="str">
        <f>IFERROR(__xludf.DUMMYFUNCTION("""COMPUTED_VALUE"""),"Summon a random enemy from the abyss to fight by your side, roll a d11 to determine the summoned creature.")</f>
        <v>Summon a random enemy from the abyss to fight by your side, roll a d11 to determine the summoned creature.</v>
      </c>
      <c r="F524" s="32" t="str">
        <f>IFERROR(__xludf.DUMMYFUNCTION("""COMPUTED_VALUE"""),"Fail/Succeed")</f>
        <v>Fail/Succeed</v>
      </c>
      <c r="G524" s="32" t="str">
        <f>IFERROR(__xludf.DUMMYFUNCTION("""COMPUTED_VALUE"""),"Self")</f>
        <v>Self</v>
      </c>
      <c r="H524" s="32" t="str">
        <f>IFERROR(__xludf.DUMMYFUNCTION("""COMPUTED_VALUE"""),"Water")</f>
        <v>Water</v>
      </c>
      <c r="I524" s="32" t="str">
        <f>IFERROR(__xludf.DUMMYFUNCTION("""COMPUTED_VALUE"""),"Mob")</f>
        <v>Mob</v>
      </c>
      <c r="J524" s="32" t="b">
        <f>IFERROR(__xludf.DUMMYFUNCTION("""COMPUTED_VALUE"""),TRUE)</f>
        <v>1</v>
      </c>
      <c r="K524" s="32"/>
      <c r="L524" s="32" t="b">
        <f>IFERROR(__xludf.DUMMYFUNCTION("""COMPUTED_VALUE"""),TRUE)</f>
        <v>1</v>
      </c>
      <c r="M524" s="32" t="b">
        <f>IFERROR(__xludf.DUMMYFUNCTION("""COMPUTED_VALUE"""),FALSE)</f>
        <v>0</v>
      </c>
      <c r="N524" s="32"/>
    </row>
    <row r="525">
      <c r="A525" s="32" t="str">
        <f>IFERROR(__xludf.DUMMYFUNCTION("""COMPUTED_VALUE"""),"Crashing Waves")</f>
        <v>Crashing Waves</v>
      </c>
      <c r="B525" s="34">
        <f>IFERROR(__xludf.DUMMYFUNCTION("""COMPUTED_VALUE"""),9.0)</f>
        <v>9</v>
      </c>
      <c r="C525" s="32">
        <f>IFERROR(__xludf.DUMMYFUNCTION("""COMPUTED_VALUE"""),800.0)</f>
        <v>800</v>
      </c>
      <c r="D525" s="32"/>
      <c r="E525" s="32" t="str">
        <f>IFERROR(__xludf.DUMMYFUNCTION("""COMPUTED_VALUE"""),"20,000 water damage to all enemies +75% chance of instant death.")</f>
        <v>20,000 water damage to all enemies +75% chance of instant death.</v>
      </c>
      <c r="F525" s="32" t="str">
        <f>IFERROR(__xludf.DUMMYFUNCTION("""COMPUTED_VALUE"""),"Not Avoidable")</f>
        <v>Not Avoidable</v>
      </c>
      <c r="G525" s="32"/>
      <c r="H525" s="32" t="str">
        <f>IFERROR(__xludf.DUMMYFUNCTION("""COMPUTED_VALUE"""),"Water")</f>
        <v>Water</v>
      </c>
      <c r="I525" s="32" t="str">
        <f>IFERROR(__xludf.DUMMYFUNCTION("""COMPUTED_VALUE"""),"Player")</f>
        <v>Player</v>
      </c>
      <c r="J525" s="32" t="b">
        <f>IFERROR(__xludf.DUMMYFUNCTION("""COMPUTED_VALUE"""),FALSE)</f>
        <v>0</v>
      </c>
      <c r="K525" s="32"/>
      <c r="L525" s="32" t="b">
        <f>IFERROR(__xludf.DUMMYFUNCTION("""COMPUTED_VALUE"""),TRUE)</f>
        <v>1</v>
      </c>
      <c r="M525" s="32" t="b">
        <f>IFERROR(__xludf.DUMMYFUNCTION("""COMPUTED_VALUE"""),FALSE)</f>
        <v>0</v>
      </c>
      <c r="N525" s="32"/>
    </row>
    <row r="526">
      <c r="A526" s="32" t="str">
        <f>IFERROR(__xludf.DUMMYFUNCTION("""COMPUTED_VALUE"""),"Crashing Waves (Enhanced)")</f>
        <v>Crashing Waves (Enhanced)</v>
      </c>
      <c r="B526" s="34">
        <f>IFERROR(__xludf.DUMMYFUNCTION("""COMPUTED_VALUE"""),9.0)</f>
        <v>9</v>
      </c>
      <c r="C526" s="33">
        <f>IFERROR(__xludf.DUMMYFUNCTION("""COMPUTED_VALUE"""),5000.0)</f>
        <v>5000</v>
      </c>
      <c r="D526" s="32"/>
      <c r="E526" s="32" t="str">
        <f>IFERROR(__xludf.DUMMYFUNCTION("""COMPUTED_VALUE"""),"20,000 water damage to all enemies +80% chance of instant death.")</f>
        <v>20,000 water damage to all enemies +80% chance of instant death.</v>
      </c>
      <c r="F526" s="32" t="str">
        <f>IFERROR(__xludf.DUMMYFUNCTION("""COMPUTED_VALUE"""),"Cannot Avoid")</f>
        <v>Cannot Avoid</v>
      </c>
      <c r="G526" s="32" t="str">
        <f>IFERROR(__xludf.DUMMYFUNCTION("""COMPUTED_VALUE"""),"All")</f>
        <v>All</v>
      </c>
      <c r="H526" s="32" t="str">
        <f>IFERROR(__xludf.DUMMYFUNCTION("""COMPUTED_VALUE"""),"Water")</f>
        <v>Water</v>
      </c>
      <c r="I526" s="32" t="str">
        <f>IFERROR(__xludf.DUMMYFUNCTION("""COMPUTED_VALUE"""),"Mob")</f>
        <v>Mob</v>
      </c>
      <c r="J526" s="32" t="b">
        <f>IFERROR(__xludf.DUMMYFUNCTION("""COMPUTED_VALUE"""),TRUE)</f>
        <v>1</v>
      </c>
      <c r="K526" s="32"/>
      <c r="L526" s="32" t="b">
        <f>IFERROR(__xludf.DUMMYFUNCTION("""COMPUTED_VALUE"""),TRUE)</f>
        <v>1</v>
      </c>
      <c r="M526" s="32" t="b">
        <f>IFERROR(__xludf.DUMMYFUNCTION("""COMPUTED_VALUE"""),FALSE)</f>
        <v>0</v>
      </c>
      <c r="N526" s="32"/>
    </row>
    <row r="527">
      <c r="A527" s="32" t="str">
        <f>IFERROR(__xludf.DUMMYFUNCTION("""COMPUTED_VALUE"""),"Frost Barrier")</f>
        <v>Frost Barrier</v>
      </c>
      <c r="B527" s="34">
        <f>IFERROR(__xludf.DUMMYFUNCTION("""COMPUTED_VALUE"""),9.0)</f>
        <v>9</v>
      </c>
      <c r="C527" s="32">
        <f>IFERROR(__xludf.DUMMYFUNCTION("""COMPUTED_VALUE"""),2000.0)</f>
        <v>2000</v>
      </c>
      <c r="D527" s="32"/>
      <c r="E527" s="32" t="str">
        <f>IFERROR(__xludf.DUMMYFUNCTION("""COMPUTED_VALUE"""),"Self and allies are immune to storm, water and nature for 3/r")</f>
        <v>Self and allies are immune to storm, water and nature for 3/r</v>
      </c>
      <c r="F527" s="32" t="str">
        <f>IFERROR(__xludf.DUMMYFUNCTION("""COMPUTED_VALUE"""),"Fail/Succeed")</f>
        <v>Fail/Succeed</v>
      </c>
      <c r="G527" s="32" t="str">
        <f>IFERROR(__xludf.DUMMYFUNCTION("""COMPUTED_VALUE"""),"Self")</f>
        <v>Self</v>
      </c>
      <c r="H527" s="32" t="str">
        <f>IFERROR(__xludf.DUMMYFUNCTION("""COMPUTED_VALUE"""),"Water")</f>
        <v>Water</v>
      </c>
      <c r="I527" s="32" t="str">
        <f>IFERROR(__xludf.DUMMYFUNCTION("""COMPUTED_VALUE"""),"Mob")</f>
        <v>Mob</v>
      </c>
      <c r="J527" s="32" t="b">
        <f>IFERROR(__xludf.DUMMYFUNCTION("""COMPUTED_VALUE"""),TRUE)</f>
        <v>1</v>
      </c>
      <c r="K527" s="32"/>
      <c r="L527" s="32" t="b">
        <f>IFERROR(__xludf.DUMMYFUNCTION("""COMPUTED_VALUE"""),TRUE)</f>
        <v>1</v>
      </c>
      <c r="M527" s="32" t="b">
        <f>IFERROR(__xludf.DUMMYFUNCTION("""COMPUTED_VALUE"""),FALSE)</f>
        <v>0</v>
      </c>
      <c r="N527" s="32"/>
    </row>
    <row r="528">
      <c r="A528" s="32" t="str">
        <f>IFERROR(__xludf.DUMMYFUNCTION("""COMPUTED_VALUE"""),"Frost Boost")</f>
        <v>Frost Boost</v>
      </c>
      <c r="B528" s="34">
        <f>IFERROR(__xludf.DUMMYFUNCTION("""COMPUTED_VALUE"""),9.0)</f>
        <v>9</v>
      </c>
      <c r="C528" s="32">
        <f>IFERROR(__xludf.DUMMYFUNCTION("""COMPUTED_VALUE"""),5000.0)</f>
        <v>5000</v>
      </c>
      <c r="D528" s="32"/>
      <c r="E528" s="32" t="str">
        <f>IFERROR(__xludf.DUMMYFUNCTION("""COMPUTED_VALUE"""),"X2 damage to water spells, 100% chance to all freezing effects for caster only.")</f>
        <v>X2 damage to water spells, 100% chance to all freezing effects for caster only.</v>
      </c>
      <c r="F528" s="32" t="str">
        <f>IFERROR(__xludf.DUMMYFUNCTION("""COMPUTED_VALUE"""),"Fail/Succeed")</f>
        <v>Fail/Succeed</v>
      </c>
      <c r="G528" s="32" t="str">
        <f>IFERROR(__xludf.DUMMYFUNCTION("""COMPUTED_VALUE"""),"Self")</f>
        <v>Self</v>
      </c>
      <c r="H528" s="32" t="str">
        <f>IFERROR(__xludf.DUMMYFUNCTION("""COMPUTED_VALUE"""),"Water")</f>
        <v>Water</v>
      </c>
      <c r="I528" s="32" t="str">
        <f>IFERROR(__xludf.DUMMYFUNCTION("""COMPUTED_VALUE"""),"Mob")</f>
        <v>Mob</v>
      </c>
      <c r="J528" s="32" t="b">
        <f>IFERROR(__xludf.DUMMYFUNCTION("""COMPUTED_VALUE"""),TRUE)</f>
        <v>1</v>
      </c>
      <c r="K528" s="32"/>
      <c r="L528" s="32" t="b">
        <f>IFERROR(__xludf.DUMMYFUNCTION("""COMPUTED_VALUE"""),TRUE)</f>
        <v>1</v>
      </c>
      <c r="M528" s="32" t="b">
        <f>IFERROR(__xludf.DUMMYFUNCTION("""COMPUTED_VALUE"""),FALSE)</f>
        <v>0</v>
      </c>
      <c r="N528" s="32"/>
    </row>
    <row r="529">
      <c r="A529" s="32" t="str">
        <f>IFERROR(__xludf.DUMMYFUNCTION("""COMPUTED_VALUE"""),"Frost Cloak")</f>
        <v>Frost Cloak</v>
      </c>
      <c r="B529" s="34">
        <f>IFERROR(__xludf.DUMMYFUNCTION("""COMPUTED_VALUE"""),9.0)</f>
        <v>9</v>
      </c>
      <c r="C529" s="32">
        <f>IFERROR(__xludf.DUMMYFUNCTION("""COMPUTED_VALUE"""),1000.0)</f>
        <v>1000</v>
      </c>
      <c r="D529" s="32"/>
      <c r="E529" s="32" t="str">
        <f>IFERROR(__xludf.DUMMYFUNCTION("""COMPUTED_VALUE"""),"When caster is hit, Enemy is frozen for 3 rounds. Casters cloak lasts for 3 rounds")</f>
        <v>When caster is hit, Enemy is frozen for 3 rounds. Casters cloak lasts for 3 rounds</v>
      </c>
      <c r="F529" s="32" t="str">
        <f>IFERROR(__xludf.DUMMYFUNCTION("""COMPUTED_VALUE"""),"Fail/Succeed")</f>
        <v>Fail/Succeed</v>
      </c>
      <c r="G529" s="32" t="str">
        <f>IFERROR(__xludf.DUMMYFUNCTION("""COMPUTED_VALUE"""),"Self")</f>
        <v>Self</v>
      </c>
      <c r="H529" s="32" t="str">
        <f>IFERROR(__xludf.DUMMYFUNCTION("""COMPUTED_VALUE"""),"Water")</f>
        <v>Water</v>
      </c>
      <c r="I529" s="32" t="str">
        <f>IFERROR(__xludf.DUMMYFUNCTION("""COMPUTED_VALUE"""),"Mob")</f>
        <v>Mob</v>
      </c>
      <c r="J529" s="32" t="b">
        <f>IFERROR(__xludf.DUMMYFUNCTION("""COMPUTED_VALUE"""),TRUE)</f>
        <v>1</v>
      </c>
      <c r="K529" s="32"/>
      <c r="L529" s="32" t="b">
        <f>IFERROR(__xludf.DUMMYFUNCTION("""COMPUTED_VALUE"""),TRUE)</f>
        <v>1</v>
      </c>
      <c r="M529" s="32" t="b">
        <f>IFERROR(__xludf.DUMMYFUNCTION("""COMPUTED_VALUE"""),FALSE)</f>
        <v>0</v>
      </c>
      <c r="N529" s="32"/>
    </row>
    <row r="530">
      <c r="A530" s="32" t="str">
        <f>IFERROR(__xludf.DUMMYFUNCTION("""COMPUTED_VALUE"""),"Frost Golem’s Call")</f>
        <v>Frost Golem’s Call</v>
      </c>
      <c r="B530" s="34">
        <f>IFERROR(__xludf.DUMMYFUNCTION("""COMPUTED_VALUE"""),1.0)</f>
        <v>1</v>
      </c>
      <c r="C530" s="32">
        <f>IFERROR(__xludf.DUMMYFUNCTION("""COMPUTED_VALUE"""),0.0)</f>
        <v>0</v>
      </c>
      <c r="D530" s="32"/>
      <c r="E530" s="32" t="str">
        <f>IFERROR(__xludf.DUMMYFUNCTION("""COMPUTED_VALUE"""),"Calls in 1 Frost Golem to battle, 60% chance to call in 3 of them")</f>
        <v>Calls in 1 Frost Golem to battle, 60% chance to call in 3 of them</v>
      </c>
      <c r="F530" s="32" t="str">
        <f>IFERROR(__xludf.DUMMYFUNCTION("""COMPUTED_VALUE"""),"Natural/Fail Or Succeed")</f>
        <v>Natural/Fail Or Succeed</v>
      </c>
      <c r="G530" s="32" t="str">
        <f>IFERROR(__xludf.DUMMYFUNCTION("""COMPUTED_VALUE"""),"Self")</f>
        <v>Self</v>
      </c>
      <c r="H530" s="32" t="str">
        <f>IFERROR(__xludf.DUMMYFUNCTION("""COMPUTED_VALUE"""),"Water")</f>
        <v>Water</v>
      </c>
      <c r="I530" s="32" t="str">
        <f>IFERROR(__xludf.DUMMYFUNCTION("""COMPUTED_VALUE"""),"Mob")</f>
        <v>Mob</v>
      </c>
      <c r="J530" s="32" t="b">
        <f>IFERROR(__xludf.DUMMYFUNCTION("""COMPUTED_VALUE"""),TRUE)</f>
        <v>1</v>
      </c>
      <c r="K530" s="32"/>
      <c r="L530" s="32" t="b">
        <f>IFERROR(__xludf.DUMMYFUNCTION("""COMPUTED_VALUE"""),TRUE)</f>
        <v>1</v>
      </c>
      <c r="M530" s="32" t="b">
        <f>IFERROR(__xludf.DUMMYFUNCTION("""COMPUTED_VALUE"""),FALSE)</f>
        <v>0</v>
      </c>
      <c r="N530" s="32"/>
    </row>
    <row r="531">
      <c r="A531" s="32" t="str">
        <f>IFERROR(__xludf.DUMMYFUNCTION("""COMPUTED_VALUE"""),"Geyser")</f>
        <v>Geyser</v>
      </c>
      <c r="B531" s="34">
        <f>IFERROR(__xludf.DUMMYFUNCTION("""COMPUTED_VALUE"""),3.0)</f>
        <v>3</v>
      </c>
      <c r="C531" s="32">
        <f>IFERROR(__xludf.DUMMYFUNCTION("""COMPUTED_VALUE"""),30.0)</f>
        <v>30</v>
      </c>
      <c r="D531" s="32"/>
      <c r="E531" s="32" t="str">
        <f>IFERROR(__xludf.DUMMYFUNCTION("""COMPUTED_VALUE"""),"3000 Damage to a single target, 50% chance they lose their next turn.")</f>
        <v>3000 Damage to a single target, 50% chance they lose their next turn.</v>
      </c>
      <c r="F531" s="32" t="str">
        <f>IFERROR(__xludf.DUMMYFUNCTION("""COMPUTED_VALUE"""),"Fail/Succeed")</f>
        <v>Fail/Succeed</v>
      </c>
      <c r="G531" s="32"/>
      <c r="H531" s="32" t="str">
        <f>IFERROR(__xludf.DUMMYFUNCTION("""COMPUTED_VALUE"""),"Water")</f>
        <v>Water</v>
      </c>
      <c r="I531" s="32" t="str">
        <f>IFERROR(__xludf.DUMMYFUNCTION("""COMPUTED_VALUE"""),"Player")</f>
        <v>Player</v>
      </c>
      <c r="J531" s="32" t="b">
        <f>IFERROR(__xludf.DUMMYFUNCTION("""COMPUTED_VALUE"""),FALSE)</f>
        <v>0</v>
      </c>
      <c r="K531" s="32"/>
      <c r="L531" s="32" t="b">
        <f>IFERROR(__xludf.DUMMYFUNCTION("""COMPUTED_VALUE"""),TRUE)</f>
        <v>1</v>
      </c>
      <c r="M531" s="32" t="b">
        <f>IFERROR(__xludf.DUMMYFUNCTION("""COMPUTED_VALUE"""),FALSE)</f>
        <v>0</v>
      </c>
      <c r="N531" s="32"/>
    </row>
    <row r="532">
      <c r="A532" s="32" t="str">
        <f>IFERROR(__xludf.DUMMYFUNCTION("""COMPUTED_VALUE"""),"Geyser (Enhanced)")</f>
        <v>Geyser (Enhanced)</v>
      </c>
      <c r="B532" s="34">
        <f>IFERROR(__xludf.DUMMYFUNCTION("""COMPUTED_VALUE"""),9.0)</f>
        <v>9</v>
      </c>
      <c r="C532" s="33">
        <f>IFERROR(__xludf.DUMMYFUNCTION("""COMPUTED_VALUE"""),1000.0)</f>
        <v>1000</v>
      </c>
      <c r="D532" s="32"/>
      <c r="E532" s="32" t="str">
        <f>IFERROR(__xludf.DUMMYFUNCTION("""COMPUTED_VALUE"""),"20,000 water Damage to all targets, 75% chance they lose their next turn")</f>
        <v>20,000 water Damage to all targets, 75% chance they lose their next turn</v>
      </c>
      <c r="F532" s="32" t="str">
        <f>IFERROR(__xludf.DUMMYFUNCTION("""COMPUTED_VALUE"""),"Fail/Succeed")</f>
        <v>Fail/Succeed</v>
      </c>
      <c r="G532" s="32" t="str">
        <f>IFERROR(__xludf.DUMMYFUNCTION("""COMPUTED_VALUE"""),"All")</f>
        <v>All</v>
      </c>
      <c r="H532" s="32" t="str">
        <f>IFERROR(__xludf.DUMMYFUNCTION("""COMPUTED_VALUE"""),"Water")</f>
        <v>Water</v>
      </c>
      <c r="I532" s="32" t="str">
        <f>IFERROR(__xludf.DUMMYFUNCTION("""COMPUTED_VALUE"""),"Mob")</f>
        <v>Mob</v>
      </c>
      <c r="J532" s="32" t="b">
        <f>IFERROR(__xludf.DUMMYFUNCTION("""COMPUTED_VALUE"""),TRUE)</f>
        <v>1</v>
      </c>
      <c r="K532" s="32"/>
      <c r="L532" s="32" t="b">
        <f>IFERROR(__xludf.DUMMYFUNCTION("""COMPUTED_VALUE"""),TRUE)</f>
        <v>1</v>
      </c>
      <c r="M532" s="32" t="b">
        <f>IFERROR(__xludf.DUMMYFUNCTION("""COMPUTED_VALUE"""),FALSE)</f>
        <v>0</v>
      </c>
      <c r="N532" s="32"/>
    </row>
    <row r="533">
      <c r="A533" s="32" t="str">
        <f>IFERROR(__xludf.DUMMYFUNCTION("""COMPUTED_VALUE"""),"Hyper Whirlpool")</f>
        <v>Hyper Whirlpool</v>
      </c>
      <c r="B533" s="34">
        <f>IFERROR(__xludf.DUMMYFUNCTION("""COMPUTED_VALUE"""),9.0)</f>
        <v>9</v>
      </c>
      <c r="C533" s="33">
        <f>IFERROR(__xludf.DUMMYFUNCTION("""COMPUTED_VALUE"""),1000.0)</f>
        <v>1000</v>
      </c>
      <c r="D533" s="32"/>
      <c r="E533" s="32"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32" t="str">
        <f>IFERROR(__xludf.DUMMYFUNCTION("""COMPUTED_VALUE"""),"Cannot Avoid")</f>
        <v>Cannot Avoid</v>
      </c>
      <c r="G533" s="32" t="str">
        <f>IFERROR(__xludf.DUMMYFUNCTION("""COMPUTED_VALUE"""),"All")</f>
        <v>All</v>
      </c>
      <c r="H533" s="32" t="str">
        <f>IFERROR(__xludf.DUMMYFUNCTION("""COMPUTED_VALUE"""),"Water")</f>
        <v>Water</v>
      </c>
      <c r="I533" s="32" t="str">
        <f>IFERROR(__xludf.DUMMYFUNCTION("""COMPUTED_VALUE"""),"Mob")</f>
        <v>Mob</v>
      </c>
      <c r="J533" s="32" t="b">
        <f>IFERROR(__xludf.DUMMYFUNCTION("""COMPUTED_VALUE"""),TRUE)</f>
        <v>1</v>
      </c>
      <c r="K533" s="32"/>
      <c r="L533" s="32" t="b">
        <f>IFERROR(__xludf.DUMMYFUNCTION("""COMPUTED_VALUE"""),TRUE)</f>
        <v>1</v>
      </c>
      <c r="M533" s="32" t="b">
        <f>IFERROR(__xludf.DUMMYFUNCTION("""COMPUTED_VALUE"""),FALSE)</f>
        <v>0</v>
      </c>
      <c r="N533" s="32"/>
    </row>
    <row r="534">
      <c r="A534" s="32" t="str">
        <f>IFERROR(__xludf.DUMMYFUNCTION("""COMPUTED_VALUE"""),"Ice Ball")</f>
        <v>Ice Ball</v>
      </c>
      <c r="B534" s="34">
        <f>IFERROR(__xludf.DUMMYFUNCTION("""COMPUTED_VALUE"""),1.0)</f>
        <v>1</v>
      </c>
      <c r="C534" s="32">
        <f>IFERROR(__xludf.DUMMYFUNCTION("""COMPUTED_VALUE"""),10.0)</f>
        <v>10</v>
      </c>
      <c r="D534" s="32"/>
      <c r="E534" s="32" t="str">
        <f>IFERROR(__xludf.DUMMYFUNCTION("""COMPUTED_VALUE"""),"1000 water damage, 20% chance to freeze target.")</f>
        <v>1000 water damage, 20% chance to freeze target.</v>
      </c>
      <c r="F534" s="32" t="str">
        <f>IFERROR(__xludf.DUMMYFUNCTION("""COMPUTED_VALUE"""),"Hit/Miss")</f>
        <v>Hit/Miss</v>
      </c>
      <c r="G534" s="32">
        <f>IFERROR(__xludf.DUMMYFUNCTION("""COMPUTED_VALUE"""),1.0)</f>
        <v>1</v>
      </c>
      <c r="H534" s="32" t="str">
        <f>IFERROR(__xludf.DUMMYFUNCTION("""COMPUTED_VALUE"""),"Water")</f>
        <v>Water</v>
      </c>
      <c r="I534" s="32" t="str">
        <f>IFERROR(__xludf.DUMMYFUNCTION("""COMPUTED_VALUE"""),"Player")</f>
        <v>Player</v>
      </c>
      <c r="J534" s="32" t="b">
        <f>IFERROR(__xludf.DUMMYFUNCTION("""COMPUTED_VALUE"""),FALSE)</f>
        <v>0</v>
      </c>
      <c r="K534" s="32"/>
      <c r="L534" s="32" t="b">
        <f>IFERROR(__xludf.DUMMYFUNCTION("""COMPUTED_VALUE"""),TRUE)</f>
        <v>1</v>
      </c>
      <c r="M534" s="32" t="b">
        <f>IFERROR(__xludf.DUMMYFUNCTION("""COMPUTED_VALUE"""),FALSE)</f>
        <v>0</v>
      </c>
      <c r="N534" s="32"/>
    </row>
    <row r="535">
      <c r="A535" s="32" t="str">
        <f>IFERROR(__xludf.DUMMYFUNCTION("""COMPUTED_VALUE"""),"Ice Horns")</f>
        <v>Ice Horns</v>
      </c>
      <c r="B535" s="34">
        <f>IFERROR(__xludf.DUMMYFUNCTION("""COMPUTED_VALUE"""),1.0)</f>
        <v>1</v>
      </c>
      <c r="C535" s="33">
        <f>IFERROR(__xludf.DUMMYFUNCTION("""COMPUTED_VALUE"""),0.0)</f>
        <v>0</v>
      </c>
      <c r="D535" s="32"/>
      <c r="E535" s="32" t="str">
        <f>IFERROR(__xludf.DUMMYFUNCTION("""COMPUTED_VALUE"""),"5000 damage, +5000 water damage to 2 targets. 50% chance to freeze both targets.")</f>
        <v>5000 damage, +5000 water damage to 2 targets. 50% chance to freeze both targets.</v>
      </c>
      <c r="F535" s="32" t="str">
        <f>IFERROR(__xludf.DUMMYFUNCTION("""COMPUTED_VALUE"""),"Natural/Hit or Miss")</f>
        <v>Natural/Hit or Miss</v>
      </c>
      <c r="G535" s="32">
        <f>IFERROR(__xludf.DUMMYFUNCTION("""COMPUTED_VALUE"""),2.0)</f>
        <v>2</v>
      </c>
      <c r="H535" s="32" t="str">
        <f>IFERROR(__xludf.DUMMYFUNCTION("""COMPUTED_VALUE"""),"Water")</f>
        <v>Water</v>
      </c>
      <c r="I535" s="32" t="str">
        <f>IFERROR(__xludf.DUMMYFUNCTION("""COMPUTED_VALUE"""),"Mob")</f>
        <v>Mob</v>
      </c>
      <c r="J535" s="32" t="b">
        <f>IFERROR(__xludf.DUMMYFUNCTION("""COMPUTED_VALUE"""),TRUE)</f>
        <v>1</v>
      </c>
      <c r="K535" s="32"/>
      <c r="L535" s="32" t="b">
        <f>IFERROR(__xludf.DUMMYFUNCTION("""COMPUTED_VALUE"""),TRUE)</f>
        <v>1</v>
      </c>
      <c r="M535" s="32" t="b">
        <f>IFERROR(__xludf.DUMMYFUNCTION("""COMPUTED_VALUE"""),FALSE)</f>
        <v>0</v>
      </c>
      <c r="N535" s="32"/>
    </row>
    <row r="536">
      <c r="A536" s="32" t="str">
        <f>IFERROR(__xludf.DUMMYFUNCTION("""COMPUTED_VALUE"""),"Icicle Spear")</f>
        <v>Icicle Spear</v>
      </c>
      <c r="B536" s="34">
        <f>IFERROR(__xludf.DUMMYFUNCTION("""COMPUTED_VALUE"""),4.0)</f>
        <v>4</v>
      </c>
      <c r="C536" s="32">
        <f>IFERROR(__xludf.DUMMYFUNCTION("""COMPUTED_VALUE"""),40.0)</f>
        <v>40</v>
      </c>
      <c r="D536" s="32"/>
      <c r="E536" s="32" t="str">
        <f>IFERROR(__xludf.DUMMYFUNCTION("""COMPUTED_VALUE"""),"4000 water damage, 50% chance to freeze target.")</f>
        <v>4000 water damage, 50% chance to freeze target.</v>
      </c>
      <c r="F536" s="32" t="str">
        <f>IFERROR(__xludf.DUMMYFUNCTION("""COMPUTED_VALUE"""),"Hit/Miss")</f>
        <v>Hit/Miss</v>
      </c>
      <c r="G536" s="32">
        <f>IFERROR(__xludf.DUMMYFUNCTION("""COMPUTED_VALUE"""),1.0)</f>
        <v>1</v>
      </c>
      <c r="H536" s="32" t="str">
        <f>IFERROR(__xludf.DUMMYFUNCTION("""COMPUTED_VALUE"""),"Water")</f>
        <v>Water</v>
      </c>
      <c r="I536" s="32" t="str">
        <f>IFERROR(__xludf.DUMMYFUNCTION("""COMPUTED_VALUE"""),"Player")</f>
        <v>Player</v>
      </c>
      <c r="J536" s="32" t="b">
        <f>IFERROR(__xludf.DUMMYFUNCTION("""COMPUTED_VALUE"""),FALSE)</f>
        <v>0</v>
      </c>
      <c r="K536" s="32"/>
      <c r="L536" s="32" t="b">
        <f>IFERROR(__xludf.DUMMYFUNCTION("""COMPUTED_VALUE"""),TRUE)</f>
        <v>1</v>
      </c>
      <c r="M536" s="32" t="b">
        <f>IFERROR(__xludf.DUMMYFUNCTION("""COMPUTED_VALUE"""),FALSE)</f>
        <v>0</v>
      </c>
      <c r="N536" s="32"/>
    </row>
    <row r="537">
      <c r="A537" s="32" t="str">
        <f>IFERROR(__xludf.DUMMYFUNCTION("""COMPUTED_VALUE"""),"Quench")</f>
        <v>Quench</v>
      </c>
      <c r="B537" s="34">
        <f>IFERROR(__xludf.DUMMYFUNCTION("""COMPUTED_VALUE"""),2.0)</f>
        <v>2</v>
      </c>
      <c r="C537" s="32">
        <f>IFERROR(__xludf.DUMMYFUNCTION("""COMPUTED_VALUE"""),20.0)</f>
        <v>20</v>
      </c>
      <c r="D537" s="32"/>
      <c r="E537" s="32" t="str">
        <f>IFERROR(__xludf.DUMMYFUNCTION("""COMPUTED_VALUE"""),"Negate the next incoming fire spell.")</f>
        <v>Negate the next incoming fire spell.</v>
      </c>
      <c r="F537" s="32" t="str">
        <f>IFERROR(__xludf.DUMMYFUNCTION("""COMPUTED_VALUE"""),"Fail/Succeed")</f>
        <v>Fail/Succeed</v>
      </c>
      <c r="G537" s="32"/>
      <c r="H537" s="32" t="str">
        <f>IFERROR(__xludf.DUMMYFUNCTION("""COMPUTED_VALUE"""),"Water")</f>
        <v>Water</v>
      </c>
      <c r="I537" s="32" t="str">
        <f>IFERROR(__xludf.DUMMYFUNCTION("""COMPUTED_VALUE"""),"Player")</f>
        <v>Player</v>
      </c>
      <c r="J537" s="32" t="b">
        <f>IFERROR(__xludf.DUMMYFUNCTION("""COMPUTED_VALUE"""),FALSE)</f>
        <v>0</v>
      </c>
      <c r="K537" s="32"/>
      <c r="L537" s="32" t="b">
        <f>IFERROR(__xludf.DUMMYFUNCTION("""COMPUTED_VALUE"""),TRUE)</f>
        <v>1</v>
      </c>
      <c r="M537" s="32" t="b">
        <f>IFERROR(__xludf.DUMMYFUNCTION("""COMPUTED_VALUE"""),FALSE)</f>
        <v>0</v>
      </c>
      <c r="N537" s="32"/>
    </row>
    <row r="538">
      <c r="A538" s="32" t="str">
        <f>IFERROR(__xludf.DUMMYFUNCTION("""COMPUTED_VALUE"""),"Rain Storm")</f>
        <v>Rain Storm</v>
      </c>
      <c r="B538" s="34">
        <f>IFERROR(__xludf.DUMMYFUNCTION("""COMPUTED_VALUE"""),9.0)</f>
        <v>9</v>
      </c>
      <c r="C538" s="33">
        <f>IFERROR(__xludf.DUMMYFUNCTION("""COMPUTED_VALUE"""),300.0)</f>
        <v>300</v>
      </c>
      <c r="D538" s="32"/>
      <c r="E538" s="32" t="str">
        <f>IFERROR(__xludf.DUMMYFUNCTION("""COMPUTED_VALUE"""),"Changes the weather to rain, X4 damage to water spells for self and allies.")</f>
        <v>Changes the weather to rain, X4 damage to water spells for self and allies.</v>
      </c>
      <c r="F538" s="32" t="str">
        <f>IFERROR(__xludf.DUMMYFUNCTION("""COMPUTED_VALUE"""),"Fail/Succeed")</f>
        <v>Fail/Succeed</v>
      </c>
      <c r="G538" s="32" t="str">
        <f>IFERROR(__xludf.DUMMYFUNCTION("""COMPUTED_VALUE"""),"Self")</f>
        <v>Self</v>
      </c>
      <c r="H538" s="32" t="str">
        <f>IFERROR(__xludf.DUMMYFUNCTION("""COMPUTED_VALUE"""),"Water")</f>
        <v>Water</v>
      </c>
      <c r="I538" s="32" t="str">
        <f>IFERROR(__xludf.DUMMYFUNCTION("""COMPUTED_VALUE"""),"Player")</f>
        <v>Player</v>
      </c>
      <c r="J538" s="32" t="b">
        <f>IFERROR(__xludf.DUMMYFUNCTION("""COMPUTED_VALUE"""),TRUE)</f>
        <v>1</v>
      </c>
      <c r="K538" s="32" t="str">
        <f>IFERROR(__xludf.DUMMYFUNCTION("""COMPUTED_VALUE"""),"shop spell")</f>
        <v>shop spell</v>
      </c>
      <c r="L538" s="32" t="b">
        <f>IFERROR(__xludf.DUMMYFUNCTION("""COMPUTED_VALUE"""),TRUE)</f>
        <v>1</v>
      </c>
      <c r="M538" s="32" t="b">
        <f>IFERROR(__xludf.DUMMYFUNCTION("""COMPUTED_VALUE"""),FALSE)</f>
        <v>0</v>
      </c>
      <c r="N538" s="32"/>
    </row>
    <row r="539">
      <c r="A539" s="32" t="str">
        <f>IFERROR(__xludf.DUMMYFUNCTION("""COMPUTED_VALUE"""),"Rapid Frost Peck")</f>
        <v>Rapid Frost Peck</v>
      </c>
      <c r="B539" s="34">
        <f>IFERROR(__xludf.DUMMYFUNCTION("""COMPUTED_VALUE"""),1.0)</f>
        <v>1</v>
      </c>
      <c r="C539" s="32">
        <f>IFERROR(__xludf.DUMMYFUNCTION("""COMPUTED_VALUE"""),0.0)</f>
        <v>0</v>
      </c>
      <c r="D539" s="32"/>
      <c r="E539" s="32" t="str">
        <f>IFERROR(__xludf.DUMMYFUNCTION("""COMPUTED_VALUE"""),"d20x1000 water damage. 50% chance to freeze the target.")</f>
        <v>d20x1000 water damage. 50% chance to freeze the target.</v>
      </c>
      <c r="F539" s="32" t="str">
        <f>IFERROR(__xludf.DUMMYFUNCTION("""COMPUTED_VALUE"""),"Natural/Hit Or Miss")</f>
        <v>Natural/Hit Or Miss</v>
      </c>
      <c r="G539" s="32">
        <f>IFERROR(__xludf.DUMMYFUNCTION("""COMPUTED_VALUE"""),1.0)</f>
        <v>1</v>
      </c>
      <c r="H539" s="32" t="str">
        <f>IFERROR(__xludf.DUMMYFUNCTION("""COMPUTED_VALUE"""),"Water")</f>
        <v>Water</v>
      </c>
      <c r="I539" s="32" t="str">
        <f>IFERROR(__xludf.DUMMYFUNCTION("""COMPUTED_VALUE"""),"Mob")</f>
        <v>Mob</v>
      </c>
      <c r="J539" s="32" t="b">
        <f>IFERROR(__xludf.DUMMYFUNCTION("""COMPUTED_VALUE"""),TRUE)</f>
        <v>1</v>
      </c>
      <c r="K539" s="32"/>
      <c r="L539" s="32" t="b">
        <f>IFERROR(__xludf.DUMMYFUNCTION("""COMPUTED_VALUE"""),TRUE)</f>
        <v>1</v>
      </c>
      <c r="M539" s="32" t="b">
        <f>IFERROR(__xludf.DUMMYFUNCTION("""COMPUTED_VALUE"""),FALSE)</f>
        <v>0</v>
      </c>
      <c r="N539" s="32"/>
    </row>
    <row r="540">
      <c r="A540" s="32" t="str">
        <f>IFERROR(__xludf.DUMMYFUNCTION("""COMPUTED_VALUE"""),"Snowmans Wrath")</f>
        <v>Snowmans Wrath</v>
      </c>
      <c r="B540" s="34">
        <f>IFERROR(__xludf.DUMMYFUNCTION("""COMPUTED_VALUE"""),9.0)</f>
        <v>9</v>
      </c>
      <c r="C540" s="32">
        <f>IFERROR(__xludf.DUMMYFUNCTION("""COMPUTED_VALUE"""),1000.0)</f>
        <v>1000</v>
      </c>
      <c r="D540" s="32"/>
      <c r="E540" s="32" t="str">
        <f>IFERROR(__xludf.DUMMYFUNCTION("""COMPUTED_VALUE"""),"20,000 damage, 50% chance to freeze the target for 3 rounds. ")</f>
        <v>20,000 damage, 50% chance to freeze the target for 3 rounds. </v>
      </c>
      <c r="F540" s="32" t="str">
        <f>IFERROR(__xludf.DUMMYFUNCTION("""COMPUTED_VALUE"""),"Hit/Miss")</f>
        <v>Hit/Miss</v>
      </c>
      <c r="G540" s="32">
        <f>IFERROR(__xludf.DUMMYFUNCTION("""COMPUTED_VALUE"""),1.0)</f>
        <v>1</v>
      </c>
      <c r="H540" s="32" t="str">
        <f>IFERROR(__xludf.DUMMYFUNCTION("""COMPUTED_VALUE"""),"Water")</f>
        <v>Water</v>
      </c>
      <c r="I540" s="32" t="str">
        <f>IFERROR(__xludf.DUMMYFUNCTION("""COMPUTED_VALUE"""),"Mob")</f>
        <v>Mob</v>
      </c>
      <c r="J540" s="32" t="b">
        <f>IFERROR(__xludf.DUMMYFUNCTION("""COMPUTED_VALUE"""),TRUE)</f>
        <v>1</v>
      </c>
      <c r="K540" s="32"/>
      <c r="L540" s="32" t="b">
        <f>IFERROR(__xludf.DUMMYFUNCTION("""COMPUTED_VALUE"""),TRUE)</f>
        <v>1</v>
      </c>
      <c r="M540" s="32" t="b">
        <f>IFERROR(__xludf.DUMMYFUNCTION("""COMPUTED_VALUE"""),FALSE)</f>
        <v>0</v>
      </c>
      <c r="N540" s="32"/>
    </row>
    <row r="541">
      <c r="A541" s="32" t="str">
        <f>IFERROR(__xludf.DUMMYFUNCTION("""COMPUTED_VALUE"""),"Storm Of Snowballs")</f>
        <v>Storm Of Snowballs</v>
      </c>
      <c r="B541" s="34">
        <f>IFERROR(__xludf.DUMMYFUNCTION("""COMPUTED_VALUE"""),9.0)</f>
        <v>9</v>
      </c>
      <c r="C541" s="32">
        <f>IFERROR(__xludf.DUMMYFUNCTION("""COMPUTED_VALUE"""),1000.0)</f>
        <v>1000</v>
      </c>
      <c r="D541" s="32"/>
      <c r="E541" s="32" t="str">
        <f>IFERROR(__xludf.DUMMYFUNCTION("""COMPUTED_VALUE"""),"20,000 water damage to all enemies, 25% chance to freeze those enemies.")</f>
        <v>20,000 water damage to all enemies, 25% chance to freeze those enemies.</v>
      </c>
      <c r="F541" s="32" t="str">
        <f>IFERROR(__xludf.DUMMYFUNCTION("""COMPUTED_VALUE"""),"Cannot Avoid")</f>
        <v>Cannot Avoid</v>
      </c>
      <c r="G541" s="32" t="str">
        <f>IFERROR(__xludf.DUMMYFUNCTION("""COMPUTED_VALUE"""),"All")</f>
        <v>All</v>
      </c>
      <c r="H541" s="32" t="str">
        <f>IFERROR(__xludf.DUMMYFUNCTION("""COMPUTED_VALUE"""),"Water")</f>
        <v>Water</v>
      </c>
      <c r="I541" s="32" t="str">
        <f>IFERROR(__xludf.DUMMYFUNCTION("""COMPUTED_VALUE"""),"Mob")</f>
        <v>Mob</v>
      </c>
      <c r="J541" s="32" t="b">
        <f>IFERROR(__xludf.DUMMYFUNCTION("""COMPUTED_VALUE"""),TRUE)</f>
        <v>1</v>
      </c>
      <c r="K541" s="32" t="str">
        <f>IFERROR(__xludf.DUMMYFUNCTION("""COMPUTED_VALUE"""),"Event Spell")</f>
        <v>Event Spell</v>
      </c>
      <c r="L541" s="32" t="b">
        <f>IFERROR(__xludf.DUMMYFUNCTION("""COMPUTED_VALUE"""),TRUE)</f>
        <v>1</v>
      </c>
      <c r="M541" s="32" t="b">
        <f>IFERROR(__xludf.DUMMYFUNCTION("""COMPUTED_VALUE"""),FALSE)</f>
        <v>0</v>
      </c>
      <c r="N541" s="32"/>
    </row>
    <row r="542">
      <c r="A542" s="32" t="str">
        <f>IFERROR(__xludf.DUMMYFUNCTION("""COMPUTED_VALUE"""),"Tower Of Atlantis")</f>
        <v>Tower Of Atlantis</v>
      </c>
      <c r="B542" s="34">
        <f>IFERROR(__xludf.DUMMYFUNCTION("""COMPUTED_VALUE"""),9.0)</f>
        <v>9</v>
      </c>
      <c r="C542" s="32">
        <f>IFERROR(__xludf.DUMMYFUNCTION("""COMPUTED_VALUE"""),500.0)</f>
        <v>500</v>
      </c>
      <c r="D542" s="32"/>
      <c r="E542" s="32"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32" t="str">
        <f>IFERROR(__xludf.DUMMYFUNCTION("""COMPUTED_VALUE"""),"Hit/Miss")</f>
        <v>Hit/Miss</v>
      </c>
      <c r="G542" s="32">
        <f>IFERROR(__xludf.DUMMYFUNCTION("""COMPUTED_VALUE"""),1.0)</f>
        <v>1</v>
      </c>
      <c r="H542" s="32" t="str">
        <f>IFERROR(__xludf.DUMMYFUNCTION("""COMPUTED_VALUE"""),"Water")</f>
        <v>Water</v>
      </c>
      <c r="I542" s="32" t="str">
        <f>IFERROR(__xludf.DUMMYFUNCTION("""COMPUTED_VALUE"""),"Player")</f>
        <v>Player</v>
      </c>
      <c r="J542" s="32" t="b">
        <f>IFERROR(__xludf.DUMMYFUNCTION("""COMPUTED_VALUE"""),FALSE)</f>
        <v>0</v>
      </c>
      <c r="K542" s="32"/>
      <c r="L542" s="32" t="b">
        <f>IFERROR(__xludf.DUMMYFUNCTION("""COMPUTED_VALUE"""),TRUE)</f>
        <v>1</v>
      </c>
      <c r="M542" s="32" t="b">
        <f>IFERROR(__xludf.DUMMYFUNCTION("""COMPUTED_VALUE"""),FALSE)</f>
        <v>0</v>
      </c>
      <c r="N542" s="32"/>
    </row>
    <row r="543">
      <c r="A543" s="32" t="str">
        <f>IFERROR(__xludf.DUMMYFUNCTION("""COMPUTED_VALUE"""),"Water Ward")</f>
        <v>Water Ward</v>
      </c>
      <c r="B543" s="34">
        <f>IFERROR(__xludf.DUMMYFUNCTION("""COMPUTED_VALUE"""),9.0)</f>
        <v>9</v>
      </c>
      <c r="C543" s="33">
        <f>IFERROR(__xludf.DUMMYFUNCTION("""COMPUTED_VALUE"""),300.0)</f>
        <v>300</v>
      </c>
      <c r="D543" s="32"/>
      <c r="E543" s="32"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32" t="str">
        <f>IFERROR(__xludf.DUMMYFUNCTION("""COMPUTED_VALUE"""),"Fail/Succeed")</f>
        <v>Fail/Succeed</v>
      </c>
      <c r="G543" s="32" t="str">
        <f>IFERROR(__xludf.DUMMYFUNCTION("""COMPUTED_VALUE"""),"Self")</f>
        <v>Self</v>
      </c>
      <c r="H543" s="32" t="str">
        <f>IFERROR(__xludf.DUMMYFUNCTION("""COMPUTED_VALUE"""),"Water")</f>
        <v>Water</v>
      </c>
      <c r="I543" s="32" t="str">
        <f>IFERROR(__xludf.DUMMYFUNCTION("""COMPUTED_VALUE"""),"Mob")</f>
        <v>Mob</v>
      </c>
      <c r="J543" s="32" t="b">
        <f>IFERROR(__xludf.DUMMYFUNCTION("""COMPUTED_VALUE"""),TRUE)</f>
        <v>1</v>
      </c>
      <c r="K543" s="32"/>
      <c r="L543" s="32" t="b">
        <f>IFERROR(__xludf.DUMMYFUNCTION("""COMPUTED_VALUE"""),TRUE)</f>
        <v>1</v>
      </c>
      <c r="M543" s="32" t="b">
        <f>IFERROR(__xludf.DUMMYFUNCTION("""COMPUTED_VALUE"""),FALSE)</f>
        <v>0</v>
      </c>
      <c r="N543" s="32"/>
    </row>
    <row r="544">
      <c r="A544" s="32" t="str">
        <f>IFERROR(__xludf.DUMMYFUNCTION("""COMPUTED_VALUE"""),"Waters of Tranquility")</f>
        <v>Waters of Tranquility</v>
      </c>
      <c r="B544" s="34">
        <f>IFERROR(__xludf.DUMMYFUNCTION("""COMPUTED_VALUE"""),7.0)</f>
        <v>7</v>
      </c>
      <c r="C544" s="32" t="str">
        <f>IFERROR(__xludf.DUMMYFUNCTION("""COMPUTED_VALUE"""),"X")</f>
        <v>X</v>
      </c>
      <c r="D544" s="32"/>
      <c r="E544" s="32" t="str">
        <f>IFERROR(__xludf.DUMMYFUNCTION("""COMPUTED_VALUE"""),"Negate X*4 water damage.")</f>
        <v>Negate X*4 water damage.</v>
      </c>
      <c r="F544" s="32" t="str">
        <f>IFERROR(__xludf.DUMMYFUNCTION("""COMPUTED_VALUE"""),"Fail/Succeed")</f>
        <v>Fail/Succeed</v>
      </c>
      <c r="G544" s="32"/>
      <c r="H544" s="32" t="str">
        <f>IFERROR(__xludf.DUMMYFUNCTION("""COMPUTED_VALUE"""),"Water")</f>
        <v>Water</v>
      </c>
      <c r="I544" s="32" t="str">
        <f>IFERROR(__xludf.DUMMYFUNCTION("""COMPUTED_VALUE"""),"Player")</f>
        <v>Player</v>
      </c>
      <c r="J544" s="32" t="b">
        <f>IFERROR(__xludf.DUMMYFUNCTION("""COMPUTED_VALUE"""),FALSE)</f>
        <v>0</v>
      </c>
      <c r="K544" s="32"/>
      <c r="L544" s="32" t="b">
        <f>IFERROR(__xludf.DUMMYFUNCTION("""COMPUTED_VALUE"""),TRUE)</f>
        <v>1</v>
      </c>
      <c r="M544" s="32" t="b">
        <f>IFERROR(__xludf.DUMMYFUNCTION("""COMPUTED_VALUE"""),FALSE)</f>
        <v>0</v>
      </c>
      <c r="N544" s="32"/>
    </row>
    <row r="545">
      <c r="A545" s="32" t="str">
        <f>IFERROR(__xludf.DUMMYFUNCTION("""COMPUTED_VALUE"""),"Waveless Echo")</f>
        <v>Waveless Echo</v>
      </c>
      <c r="B545" s="34">
        <f>IFERROR(__xludf.DUMMYFUNCTION("""COMPUTED_VALUE"""),1.0)</f>
        <v>1</v>
      </c>
      <c r="C545" s="33">
        <f>IFERROR(__xludf.DUMMYFUNCTION("""COMPUTED_VALUE"""),0.0)</f>
        <v>0</v>
      </c>
      <c r="D545" s="32"/>
      <c r="E545" s="32" t="str">
        <f>IFERROR(__xludf.DUMMYFUNCTION("""COMPUTED_VALUE"""),"Call in 2 sea worms to battle..")</f>
        <v>Call in 2 sea worms to battle..</v>
      </c>
      <c r="F545" s="32" t="str">
        <f>IFERROR(__xludf.DUMMYFUNCTION("""COMPUTED_VALUE"""),"Natural/Fail or Succeed")</f>
        <v>Natural/Fail or Succeed</v>
      </c>
      <c r="G545" s="32" t="str">
        <f>IFERROR(__xludf.DUMMYFUNCTION("""COMPUTED_VALUE"""),"Self")</f>
        <v>Self</v>
      </c>
      <c r="H545" s="32" t="str">
        <f>IFERROR(__xludf.DUMMYFUNCTION("""COMPUTED_VALUE"""),"Water")</f>
        <v>Water</v>
      </c>
      <c r="I545" s="32" t="str">
        <f>IFERROR(__xludf.DUMMYFUNCTION("""COMPUTED_VALUE"""),"Mob")</f>
        <v>Mob</v>
      </c>
      <c r="J545" s="32" t="b">
        <f>IFERROR(__xludf.DUMMYFUNCTION("""COMPUTED_VALUE"""),TRUE)</f>
        <v>1</v>
      </c>
      <c r="K545" s="32"/>
      <c r="L545" s="32" t="b">
        <f>IFERROR(__xludf.DUMMYFUNCTION("""COMPUTED_VALUE"""),TRUE)</f>
        <v>1</v>
      </c>
      <c r="M545" s="32" t="b">
        <f>IFERROR(__xludf.DUMMYFUNCTION("""COMPUTED_VALUE"""),FALSE)</f>
        <v>0</v>
      </c>
      <c r="N545" s="32"/>
    </row>
    <row r="546">
      <c r="A546" s="32" t="str">
        <f>IFERROR(__xludf.DUMMYFUNCTION("""COMPUTED_VALUE"""),"Water Beam")</f>
        <v>Water Beam</v>
      </c>
      <c r="B546" s="34">
        <f>IFERROR(__xludf.DUMMYFUNCTION("""COMPUTED_VALUE"""),1.0)</f>
        <v>1</v>
      </c>
      <c r="C546" s="32" t="str">
        <f>IFERROR(__xludf.DUMMYFUNCTION("""COMPUTED_VALUE"""),"X")</f>
        <v>X</v>
      </c>
      <c r="D546" s="32"/>
      <c r="E546" s="32" t="str">
        <f>IFERROR(__xludf.DUMMYFUNCTION("""COMPUTED_VALUE"""),"Deals X*100 Water undefendable damage to a single enemy where X is equal to SP spent.")</f>
        <v>Deals X*100 Water undefendable damage to a single enemy where X is equal to SP spent.</v>
      </c>
      <c r="F546" s="32" t="str">
        <f>IFERROR(__xludf.DUMMYFUNCTION("""COMPUTED_VALUE"""),"Hit/Miss")</f>
        <v>Hit/Miss</v>
      </c>
      <c r="G546" s="32">
        <f>IFERROR(__xludf.DUMMYFUNCTION("""COMPUTED_VALUE"""),1.0)</f>
        <v>1</v>
      </c>
      <c r="H546" s="32" t="str">
        <f>IFERROR(__xludf.DUMMYFUNCTION("""COMPUTED_VALUE"""),"Water")</f>
        <v>Water</v>
      </c>
      <c r="I546" s="32" t="str">
        <f>IFERROR(__xludf.DUMMYFUNCTION("""COMPUTED_VALUE"""),"Player")</f>
        <v>Player</v>
      </c>
      <c r="J546" s="32" t="b">
        <f>IFERROR(__xludf.DUMMYFUNCTION("""COMPUTED_VALUE"""),FALSE)</f>
        <v>0</v>
      </c>
      <c r="K546" s="32"/>
      <c r="L546" s="32" t="b">
        <f>IFERROR(__xludf.DUMMYFUNCTION("""COMPUTED_VALUE"""),FALSE)</f>
        <v>0</v>
      </c>
      <c r="M546" s="32" t="b">
        <f>IFERROR(__xludf.DUMMYFUNCTION("""COMPUTED_VALUE"""),FALSE)</f>
        <v>0</v>
      </c>
      <c r="N546" s="32"/>
    </row>
    <row r="547">
      <c r="A547" s="32" t="str">
        <f>IFERROR(__xludf.DUMMYFUNCTION("""COMPUTED_VALUE"""),"Frostbite")</f>
        <v>Frostbite</v>
      </c>
      <c r="B547" s="34">
        <f>IFERROR(__xludf.DUMMYFUNCTION("""COMPUTED_VALUE"""),5.0)</f>
        <v>5</v>
      </c>
      <c r="C547" s="32" t="str">
        <f>IFERROR(__xludf.DUMMYFUNCTION("""COMPUTED_VALUE"""),"X")</f>
        <v>X</v>
      </c>
      <c r="D547" s="32"/>
      <c r="E547" s="32" t="str">
        <f>IFERROR(__xludf.DUMMYFUNCTION("""COMPUTED_VALUE"""),"Deals X*50 Water damage per round for 3 rounds to a single target where X is equal to SP spent.")</f>
        <v>Deals X*50 Water damage per round for 3 rounds to a single target where X is equal to SP spent.</v>
      </c>
      <c r="F547" s="32" t="str">
        <f>IFERROR(__xludf.DUMMYFUNCTION("""COMPUTED_VALUE"""),"Hit/Miss")</f>
        <v>Hit/Miss</v>
      </c>
      <c r="G547" s="32">
        <f>IFERROR(__xludf.DUMMYFUNCTION("""COMPUTED_VALUE"""),1.0)</f>
        <v>1</v>
      </c>
      <c r="H547" s="32" t="str">
        <f>IFERROR(__xludf.DUMMYFUNCTION("""COMPUTED_VALUE"""),"Water")</f>
        <v>Water</v>
      </c>
      <c r="I547" s="32" t="str">
        <f>IFERROR(__xludf.DUMMYFUNCTION("""COMPUTED_VALUE"""),"Player")</f>
        <v>Player</v>
      </c>
      <c r="J547" s="32" t="b">
        <f>IFERROR(__xludf.DUMMYFUNCTION("""COMPUTED_VALUE"""),FALSE)</f>
        <v>0</v>
      </c>
      <c r="K547" s="32"/>
      <c r="L547" s="32" t="b">
        <f>IFERROR(__xludf.DUMMYFUNCTION("""COMPUTED_VALUE"""),FALSE)</f>
        <v>0</v>
      </c>
      <c r="M547" s="32" t="b">
        <f>IFERROR(__xludf.DUMMYFUNCTION("""COMPUTED_VALUE"""),FALSE)</f>
        <v>0</v>
      </c>
      <c r="N547" s="32"/>
    </row>
    <row r="548">
      <c r="A548" s="32" t="str">
        <f>IFERROR(__xludf.DUMMYFUNCTION("""COMPUTED_VALUE"""),"Torrential Downpour")</f>
        <v>Torrential Downpour</v>
      </c>
      <c r="B548" s="34">
        <f>IFERROR(__xludf.DUMMYFUNCTION("""COMPUTED_VALUE"""),5.0)</f>
        <v>5</v>
      </c>
      <c r="C548" s="32" t="str">
        <f>IFERROR(__xludf.DUMMYFUNCTION("""COMPUTED_VALUE"""),"X")</f>
        <v>X</v>
      </c>
      <c r="D548" s="32"/>
      <c r="E548" s="32" t="str">
        <f>IFERROR(__xludf.DUMMYFUNCTION("""COMPUTED_VALUE"""),"Deals X*25 Water undefendable damage to all enemies where X is equal to SP spent.")</f>
        <v>Deals X*25 Water undefendable damage to all enemies where X is equal to SP spent.</v>
      </c>
      <c r="F548" s="32" t="str">
        <f>IFERROR(__xludf.DUMMYFUNCTION("""COMPUTED_VALUE"""),"Cannot Avoid")</f>
        <v>Cannot Avoid</v>
      </c>
      <c r="G548" s="32" t="str">
        <f>IFERROR(__xludf.DUMMYFUNCTION("""COMPUTED_VALUE"""),"All")</f>
        <v>All</v>
      </c>
      <c r="H548" s="32" t="str">
        <f>IFERROR(__xludf.DUMMYFUNCTION("""COMPUTED_VALUE"""),"Water")</f>
        <v>Water</v>
      </c>
      <c r="I548" s="32" t="str">
        <f>IFERROR(__xludf.DUMMYFUNCTION("""COMPUTED_VALUE"""),"Player")</f>
        <v>Player</v>
      </c>
      <c r="J548" s="32" t="b">
        <f>IFERROR(__xludf.DUMMYFUNCTION("""COMPUTED_VALUE"""),FALSE)</f>
        <v>0</v>
      </c>
      <c r="K548" s="32"/>
      <c r="L548" s="32" t="b">
        <f>IFERROR(__xludf.DUMMYFUNCTION("""COMPUTED_VALUE"""),FALSE)</f>
        <v>0</v>
      </c>
      <c r="M548" s="32" t="b">
        <f>IFERROR(__xludf.DUMMYFUNCTION("""COMPUTED_VALUE"""),FALSE)</f>
        <v>0</v>
      </c>
      <c r="N548" s="32"/>
    </row>
    <row r="549">
      <c r="A549" s="32" t="str">
        <f>IFERROR(__xludf.DUMMYFUNCTION("""COMPUTED_VALUE"""),"Deep Freeze")</f>
        <v>Deep Freeze</v>
      </c>
      <c r="B549" s="34">
        <f>IFERROR(__xludf.DUMMYFUNCTION("""COMPUTED_VALUE"""),6.0)</f>
        <v>6</v>
      </c>
      <c r="C549" s="32" t="str">
        <f>IFERROR(__xludf.DUMMYFUNCTION("""COMPUTED_VALUE"""),"X")</f>
        <v>X</v>
      </c>
      <c r="D549" s="32"/>
      <c r="E549" s="32" t="str">
        <f>IFERROR(__xludf.DUMMYFUNCTION("""COMPUTED_VALUE"""),"Deals X*10 Water damage per round to all enemies for 3 rounds where X is equal to SP spent.")</f>
        <v>Deals X*10 Water damage per round to all enemies for 3 rounds where X is equal to SP spent.</v>
      </c>
      <c r="F549" s="32" t="str">
        <f>IFERROR(__xludf.DUMMYFUNCTION("""COMPUTED_VALUE"""),"Cannot Avoid")</f>
        <v>Cannot Avoid</v>
      </c>
      <c r="G549" s="32" t="str">
        <f>IFERROR(__xludf.DUMMYFUNCTION("""COMPUTED_VALUE"""),"All")</f>
        <v>All</v>
      </c>
      <c r="H549" s="32" t="str">
        <f>IFERROR(__xludf.DUMMYFUNCTION("""COMPUTED_VALUE"""),"Water")</f>
        <v>Water</v>
      </c>
      <c r="I549" s="32" t="str">
        <f>IFERROR(__xludf.DUMMYFUNCTION("""COMPUTED_VALUE"""),"Player")</f>
        <v>Player</v>
      </c>
      <c r="J549" s="32" t="b">
        <f>IFERROR(__xludf.DUMMYFUNCTION("""COMPUTED_VALUE"""),FALSE)</f>
        <v>0</v>
      </c>
      <c r="K549" s="32"/>
      <c r="L549" s="32" t="b">
        <f>IFERROR(__xludf.DUMMYFUNCTION("""COMPUTED_VALUE"""),FALSE)</f>
        <v>0</v>
      </c>
      <c r="M549" s="32" t="b">
        <f>IFERROR(__xludf.DUMMYFUNCTION("""COMPUTED_VALUE"""),FALSE)</f>
        <v>0</v>
      </c>
      <c r="N549" s="32"/>
    </row>
    <row r="550">
      <c r="A550" s="32" t="str">
        <f>IFERROR(__xludf.DUMMYFUNCTION("""COMPUTED_VALUE"""),"Tsunami")</f>
        <v>Tsunami</v>
      </c>
      <c r="B550" s="34">
        <f>IFERROR(__xludf.DUMMYFUNCTION("""COMPUTED_VALUE"""),9.0)</f>
        <v>9</v>
      </c>
      <c r="C550" s="32" t="str">
        <f>IFERROR(__xludf.DUMMYFUNCTION("""COMPUTED_VALUE"""),"d20*40")</f>
        <v>d20*40</v>
      </c>
      <c r="D550" s="32"/>
      <c r="E550" s="32"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32" t="str">
        <f>IFERROR(__xludf.DUMMYFUNCTION("""COMPUTED_VALUE"""),"Cannot Avoid")</f>
        <v>Cannot Avoid</v>
      </c>
      <c r="G550" s="32" t="str">
        <f>IFERROR(__xludf.DUMMYFUNCTION("""COMPUTED_VALUE"""),"All")</f>
        <v>All</v>
      </c>
      <c r="H550" s="32" t="str">
        <f>IFERROR(__xludf.DUMMYFUNCTION("""COMPUTED_VALUE"""),"Water")</f>
        <v>Water</v>
      </c>
      <c r="I550" s="32" t="str">
        <f>IFERROR(__xludf.DUMMYFUNCTION("""COMPUTED_VALUE"""),"Player")</f>
        <v>Player</v>
      </c>
      <c r="J550" s="32" t="b">
        <f>IFERROR(__xludf.DUMMYFUNCTION("""COMPUTED_VALUE"""),FALSE)</f>
        <v>0</v>
      </c>
      <c r="K550" s="32"/>
      <c r="L550" s="32" t="b">
        <f>IFERROR(__xludf.DUMMYFUNCTION("""COMPUTED_VALUE"""),TRUE)</f>
        <v>1</v>
      </c>
      <c r="M550" s="32" t="b">
        <f>IFERROR(__xludf.DUMMYFUNCTION("""COMPUTED_VALUE"""),FALSE)</f>
        <v>0</v>
      </c>
      <c r="N550" s="32"/>
    </row>
    <row r="551">
      <c r="A551" s="32" t="str">
        <f>IFERROR(__xludf.DUMMYFUNCTION("""COMPUTED_VALUE"""),"Cease-Fire")</f>
        <v>Cease-Fire</v>
      </c>
      <c r="B551" s="34">
        <f>IFERROR(__xludf.DUMMYFUNCTION("""COMPUTED_VALUE"""),9.0)</f>
        <v>9</v>
      </c>
      <c r="C551" s="32" t="str">
        <f>IFERROR(__xludf.DUMMYFUNCTION("""COMPUTED_VALUE"""),"X*1000")</f>
        <v>X*1000</v>
      </c>
      <c r="D551" s="32"/>
      <c r="E551" s="32"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32" t="str">
        <f>IFERROR(__xludf.DUMMYFUNCTION("""COMPUTED_VALUE"""),"Fail/Succeed")</f>
        <v>Fail/Succeed</v>
      </c>
      <c r="G551" s="32"/>
      <c r="H551" s="32" t="str">
        <f>IFERROR(__xludf.DUMMYFUNCTION("""COMPUTED_VALUE"""),"Zen")</f>
        <v>Zen</v>
      </c>
      <c r="I551" s="32" t="str">
        <f>IFERROR(__xludf.DUMMYFUNCTION("""COMPUTED_VALUE"""),"Player")</f>
        <v>Player</v>
      </c>
      <c r="J551" s="32" t="b">
        <f>IFERROR(__xludf.DUMMYFUNCTION("""COMPUTED_VALUE"""),FALSE)</f>
        <v>0</v>
      </c>
      <c r="K551" s="32"/>
      <c r="L551" s="32" t="b">
        <f>IFERROR(__xludf.DUMMYFUNCTION("""COMPUTED_VALUE"""),FALSE)</f>
        <v>0</v>
      </c>
      <c r="M551" s="32" t="b">
        <f>IFERROR(__xludf.DUMMYFUNCTION("""COMPUTED_VALUE"""),FALSE)</f>
        <v>0</v>
      </c>
      <c r="N551" s="32"/>
    </row>
    <row r="552">
      <c r="A552" s="32" t="str">
        <f>IFERROR(__xludf.DUMMYFUNCTION("""COMPUTED_VALUE"""),"Elemental Fists")</f>
        <v>Elemental Fists</v>
      </c>
      <c r="B552" s="34">
        <f>IFERROR(__xludf.DUMMYFUNCTION("""COMPUTED_VALUE"""),1.0)</f>
        <v>1</v>
      </c>
      <c r="C552" s="32">
        <f>IFERROR(__xludf.DUMMYFUNCTION("""COMPUTED_VALUE"""),0.0)</f>
        <v>0</v>
      </c>
      <c r="D552" s="32"/>
      <c r="E552" s="32"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32" t="str">
        <f>IFERROR(__xludf.DUMMYFUNCTION("""COMPUTED_VALUE"""),"Natural/Hit or Miss")</f>
        <v>Natural/Hit or Miss</v>
      </c>
      <c r="G552" s="32">
        <f>IFERROR(__xludf.DUMMYFUNCTION("""COMPUTED_VALUE"""),1.0)</f>
        <v>1</v>
      </c>
      <c r="H552" s="32" t="str">
        <f>IFERROR(__xludf.DUMMYFUNCTION("""COMPUTED_VALUE"""),"Zen")</f>
        <v>Zen</v>
      </c>
      <c r="I552" s="32" t="str">
        <f>IFERROR(__xludf.DUMMYFUNCTION("""COMPUTED_VALUE"""),"Player")</f>
        <v>Player</v>
      </c>
      <c r="J552" s="32" t="b">
        <f>IFERROR(__xludf.DUMMYFUNCTION("""COMPUTED_VALUE"""),FALSE)</f>
        <v>0</v>
      </c>
      <c r="K552" s="32"/>
      <c r="L552" s="32" t="b">
        <f>IFERROR(__xludf.DUMMYFUNCTION("""COMPUTED_VALUE"""),FALSE)</f>
        <v>0</v>
      </c>
      <c r="M552" s="32" t="b">
        <f>IFERROR(__xludf.DUMMYFUNCTION("""COMPUTED_VALUE"""),FALSE)</f>
        <v>0</v>
      </c>
      <c r="N552" s="32"/>
    </row>
    <row r="553">
      <c r="A553" s="32" t="str">
        <f>IFERROR(__xludf.DUMMYFUNCTION("""COMPUTED_VALUE"""),"Evade")</f>
        <v>Evade</v>
      </c>
      <c r="B553" s="34">
        <f>IFERROR(__xludf.DUMMYFUNCTION("""COMPUTED_VALUE"""),1.0)</f>
        <v>1</v>
      </c>
      <c r="C553" s="32">
        <f>IFERROR(__xludf.DUMMYFUNCTION("""COMPUTED_VALUE"""),10.0)</f>
        <v>10</v>
      </c>
      <c r="D553" s="32"/>
      <c r="E553" s="32" t="str">
        <f>IFERROR(__xludf.DUMMYFUNCTION("""COMPUTED_VALUE"""),"+5 to evasion until the end of battle. Can only be used once.")</f>
        <v>+5 to evasion until the end of battle. Can only be used once.</v>
      </c>
      <c r="F553" s="32" t="str">
        <f>IFERROR(__xludf.DUMMYFUNCTION("""COMPUTED_VALUE"""),"Fail/Succeed")</f>
        <v>Fail/Succeed</v>
      </c>
      <c r="G553" s="32"/>
      <c r="H553" s="32" t="str">
        <f>IFERROR(__xludf.DUMMYFUNCTION("""COMPUTED_VALUE"""),"Zen")</f>
        <v>Zen</v>
      </c>
      <c r="I553" s="32" t="str">
        <f>IFERROR(__xludf.DUMMYFUNCTION("""COMPUTED_VALUE"""),"Player")</f>
        <v>Player</v>
      </c>
      <c r="J553" s="32" t="b">
        <f>IFERROR(__xludf.DUMMYFUNCTION("""COMPUTED_VALUE"""),FALSE)</f>
        <v>0</v>
      </c>
      <c r="K553" s="32"/>
      <c r="L553" s="32" t="b">
        <f>IFERROR(__xludf.DUMMYFUNCTION("""COMPUTED_VALUE"""),FALSE)</f>
        <v>0</v>
      </c>
      <c r="M553" s="32" t="b">
        <f>IFERROR(__xludf.DUMMYFUNCTION("""COMPUTED_VALUE"""),FALSE)</f>
        <v>0</v>
      </c>
      <c r="N553" s="32"/>
    </row>
    <row r="554">
      <c r="A554" s="32" t="str">
        <f>IFERROR(__xludf.DUMMYFUNCTION("""COMPUTED_VALUE"""),"FlashStep")</f>
        <v>FlashStep</v>
      </c>
      <c r="B554" s="34">
        <f>IFERROR(__xludf.DUMMYFUNCTION("""COMPUTED_VALUE"""),9.0)</f>
        <v>9</v>
      </c>
      <c r="C554" s="32">
        <f>IFERROR(__xludf.DUMMYFUNCTION("""COMPUTED_VALUE"""),600.0)</f>
        <v>600</v>
      </c>
      <c r="D554" s="32"/>
      <c r="E554" s="32"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32" t="str">
        <f>IFERROR(__xludf.DUMMYFUNCTION("""COMPUTED_VALUE"""),"Hit/Miss")</f>
        <v>Hit/Miss</v>
      </c>
      <c r="G554" s="32">
        <f>IFERROR(__xludf.DUMMYFUNCTION("""COMPUTED_VALUE"""),1.0)</f>
        <v>1</v>
      </c>
      <c r="H554" s="32" t="str">
        <f>IFERROR(__xludf.DUMMYFUNCTION("""COMPUTED_VALUE"""),"Zen")</f>
        <v>Zen</v>
      </c>
      <c r="I554" s="32" t="str">
        <f>IFERROR(__xludf.DUMMYFUNCTION("""COMPUTED_VALUE"""),"Player")</f>
        <v>Player</v>
      </c>
      <c r="J554" s="32" t="b">
        <f>IFERROR(__xludf.DUMMYFUNCTION("""COMPUTED_VALUE"""),FALSE)</f>
        <v>0</v>
      </c>
      <c r="K554" s="32"/>
      <c r="L554" s="32" t="b">
        <f>IFERROR(__xludf.DUMMYFUNCTION("""COMPUTED_VALUE"""),FALSE)</f>
        <v>0</v>
      </c>
      <c r="M554" s="32" t="b">
        <f>IFERROR(__xludf.DUMMYFUNCTION("""COMPUTED_VALUE"""),FALSE)</f>
        <v>0</v>
      </c>
      <c r="N554" s="32"/>
    </row>
    <row r="555">
      <c r="A555" s="32" t="str">
        <f>IFERROR(__xludf.DUMMYFUNCTION("""COMPUTED_VALUE"""),"Focus")</f>
        <v>Focus</v>
      </c>
      <c r="B555" s="34">
        <f>IFERROR(__xludf.DUMMYFUNCTION("""COMPUTED_VALUE"""),1.0)</f>
        <v>1</v>
      </c>
      <c r="C555" s="32">
        <f>IFERROR(__xludf.DUMMYFUNCTION("""COMPUTED_VALUE"""),10.0)</f>
        <v>10</v>
      </c>
      <c r="D555" s="32"/>
      <c r="E555" s="32" t="str">
        <f>IFERROR(__xludf.DUMMYFUNCTION("""COMPUTED_VALUE"""),"Gain X2 attack, accuracy, and defense till the end of battle.")</f>
        <v>Gain X2 attack, accuracy, and defense till the end of battle.</v>
      </c>
      <c r="F555" s="32" t="str">
        <f>IFERROR(__xludf.DUMMYFUNCTION("""COMPUTED_VALUE"""),"Fail/succeed")</f>
        <v>Fail/succeed</v>
      </c>
      <c r="G555" s="32"/>
      <c r="H555" s="32" t="str">
        <f>IFERROR(__xludf.DUMMYFUNCTION("""COMPUTED_VALUE"""),"Zen")</f>
        <v>Zen</v>
      </c>
      <c r="I555" s="32" t="str">
        <f>IFERROR(__xludf.DUMMYFUNCTION("""COMPUTED_VALUE"""),"Player")</f>
        <v>Player</v>
      </c>
      <c r="J555" s="32" t="b">
        <f>IFERROR(__xludf.DUMMYFUNCTION("""COMPUTED_VALUE"""),FALSE)</f>
        <v>0</v>
      </c>
      <c r="K555" s="32"/>
      <c r="L555" s="32" t="b">
        <f>IFERROR(__xludf.DUMMYFUNCTION("""COMPUTED_VALUE"""),FALSE)</f>
        <v>0</v>
      </c>
      <c r="M555" s="32" t="b">
        <f>IFERROR(__xludf.DUMMYFUNCTION("""COMPUTED_VALUE"""),FALSE)</f>
        <v>0</v>
      </c>
      <c r="N555" s="32"/>
    </row>
    <row r="556">
      <c r="A556" s="32" t="str">
        <f>IFERROR(__xludf.DUMMYFUNCTION("""COMPUTED_VALUE"""),"Foresight")</f>
        <v>Foresight</v>
      </c>
      <c r="B556" s="34">
        <f>IFERROR(__xludf.DUMMYFUNCTION("""COMPUTED_VALUE"""),8.0)</f>
        <v>8</v>
      </c>
      <c r="C556" s="32">
        <f>IFERROR(__xludf.DUMMYFUNCTION("""COMPUTED_VALUE"""),1000.0)</f>
        <v>1000</v>
      </c>
      <c r="D556" s="32"/>
      <c r="E556" s="32" t="str">
        <f>IFERROR(__xludf.DUMMYFUNCTION("""COMPUTED_VALUE"""),"Immune to instant death and evade all attacks the rest of the round. (Cannot avoid attacks are still avoided)")</f>
        <v>Immune to instant death and evade all attacks the rest of the round. (Cannot avoid attacks are still avoided)</v>
      </c>
      <c r="F556" s="32" t="str">
        <f>IFERROR(__xludf.DUMMYFUNCTION("""COMPUTED_VALUE"""),"Fail/Succeed")</f>
        <v>Fail/Succeed</v>
      </c>
      <c r="G556" s="32"/>
      <c r="H556" s="32" t="str">
        <f>IFERROR(__xludf.DUMMYFUNCTION("""COMPUTED_VALUE"""),"Zen")</f>
        <v>Zen</v>
      </c>
      <c r="I556" s="32" t="str">
        <f>IFERROR(__xludf.DUMMYFUNCTION("""COMPUTED_VALUE"""),"Player")</f>
        <v>Player</v>
      </c>
      <c r="J556" s="32" t="b">
        <f>IFERROR(__xludf.DUMMYFUNCTION("""COMPUTED_VALUE"""),FALSE)</f>
        <v>0</v>
      </c>
      <c r="K556" s="32"/>
      <c r="L556" s="32" t="b">
        <f>IFERROR(__xludf.DUMMYFUNCTION("""COMPUTED_VALUE"""),FALSE)</f>
        <v>0</v>
      </c>
      <c r="M556" s="32" t="b">
        <f>IFERROR(__xludf.DUMMYFUNCTION("""COMPUTED_VALUE"""),FALSE)</f>
        <v>0</v>
      </c>
      <c r="N556" s="32"/>
    </row>
    <row r="557">
      <c r="A557" s="32" t="str">
        <f>IFERROR(__xludf.DUMMYFUNCTION("""COMPUTED_VALUE"""),"Ki Blast")</f>
        <v>Ki Blast</v>
      </c>
      <c r="B557" s="34">
        <f>IFERROR(__xludf.DUMMYFUNCTION("""COMPUTED_VALUE"""),9.0)</f>
        <v>9</v>
      </c>
      <c r="C557" s="33">
        <f>IFERROR(__xludf.DUMMYFUNCTION("""COMPUTED_VALUE"""),7200.0)</f>
        <v>7200</v>
      </c>
      <c r="D557" s="32"/>
      <c r="E557" s="32" t="str">
        <f>IFERROR(__xludf.DUMMYFUNCTION("""COMPUTED_VALUE"""),"36,000 storm, earth, water, fire, and nature damage.")</f>
        <v>36,000 storm, earth, water, fire, and nature damage.</v>
      </c>
      <c r="F557" s="32" t="str">
        <f>IFERROR(__xludf.DUMMYFUNCTION("""COMPUTED_VALUE"""),"Cannot Avoid")</f>
        <v>Cannot Avoid</v>
      </c>
      <c r="G557" s="32"/>
      <c r="H557" s="32" t="str">
        <f>IFERROR(__xludf.DUMMYFUNCTION("""COMPUTED_VALUE"""),"Zen")</f>
        <v>Zen</v>
      </c>
      <c r="I557" s="32" t="str">
        <f>IFERROR(__xludf.DUMMYFUNCTION("""COMPUTED_VALUE"""),"Player")</f>
        <v>Player</v>
      </c>
      <c r="J557" s="32" t="b">
        <f>IFERROR(__xludf.DUMMYFUNCTION("""COMPUTED_VALUE"""),FALSE)</f>
        <v>0</v>
      </c>
      <c r="K557" s="32"/>
      <c r="L557" s="32" t="b">
        <f>IFERROR(__xludf.DUMMYFUNCTION("""COMPUTED_VALUE"""),FALSE)</f>
        <v>0</v>
      </c>
      <c r="M557" s="32" t="b">
        <f>IFERROR(__xludf.DUMMYFUNCTION("""COMPUTED_VALUE"""),FALSE)</f>
        <v>0</v>
      </c>
      <c r="N557" s="32"/>
    </row>
    <row r="558">
      <c r="A558" s="32" t="str">
        <f>IFERROR(__xludf.DUMMYFUNCTION("""COMPUTED_VALUE"""),"Ki Charge")</f>
        <v>Ki Charge</v>
      </c>
      <c r="B558" s="34">
        <f>IFERROR(__xludf.DUMMYFUNCTION("""COMPUTED_VALUE"""),7.0)</f>
        <v>7</v>
      </c>
      <c r="C558" s="32">
        <f>IFERROR(__xludf.DUMMYFUNCTION("""COMPUTED_VALUE"""),400.0)</f>
        <v>400</v>
      </c>
      <c r="D558" s="32"/>
      <c r="E558" s="32" t="str">
        <f>IFERROR(__xludf.DUMMYFUNCTION("""COMPUTED_VALUE"""),"X2 additional storm, earth, water, fire, and nature damage.")</f>
        <v>X2 additional storm, earth, water, fire, and nature damage.</v>
      </c>
      <c r="F558" s="32" t="str">
        <f>IFERROR(__xludf.DUMMYFUNCTION("""COMPUTED_VALUE"""),"Will Suceed.")</f>
        <v>Will Suceed.</v>
      </c>
      <c r="G558" s="32" t="str">
        <f>IFERROR(__xludf.DUMMYFUNCTION("""COMPUTED_VALUE"""),"Self")</f>
        <v>Self</v>
      </c>
      <c r="H558" s="32" t="str">
        <f>IFERROR(__xludf.DUMMYFUNCTION("""COMPUTED_VALUE"""),"Zen")</f>
        <v>Zen</v>
      </c>
      <c r="I558" s="32" t="str">
        <f>IFERROR(__xludf.DUMMYFUNCTION("""COMPUTED_VALUE"""),"Player")</f>
        <v>Player</v>
      </c>
      <c r="J558" s="32" t="b">
        <f>IFERROR(__xludf.DUMMYFUNCTION("""COMPUTED_VALUE"""),FALSE)</f>
        <v>0</v>
      </c>
      <c r="K558" s="32"/>
      <c r="L558" s="32" t="b">
        <f>IFERROR(__xludf.DUMMYFUNCTION("""COMPUTED_VALUE"""),FALSE)</f>
        <v>0</v>
      </c>
      <c r="M558" s="32" t="b">
        <f>IFERROR(__xludf.DUMMYFUNCTION("""COMPUTED_VALUE"""),FALSE)</f>
        <v>0</v>
      </c>
      <c r="N558" s="32"/>
    </row>
    <row r="559">
      <c r="A559" s="32" t="str">
        <f>IFERROR(__xludf.DUMMYFUNCTION("""COMPUTED_VALUE"""),"Max Evade")</f>
        <v>Max Evade</v>
      </c>
      <c r="B559" s="34">
        <f>IFERROR(__xludf.DUMMYFUNCTION("""COMPUTED_VALUE"""),6.0)</f>
        <v>6</v>
      </c>
      <c r="C559" s="32">
        <f>IFERROR(__xludf.DUMMYFUNCTION("""COMPUTED_VALUE"""),60.0)</f>
        <v>60</v>
      </c>
      <c r="D559" s="32"/>
      <c r="E559" s="32" t="str">
        <f>IFERROR(__xludf.DUMMYFUNCTION("""COMPUTED_VALUE"""),"+5 evasion and mobility for 3 rounds.")</f>
        <v>+5 evasion and mobility for 3 rounds.</v>
      </c>
      <c r="F559" s="32" t="str">
        <f>IFERROR(__xludf.DUMMYFUNCTION("""COMPUTED_VALUE"""),"Will Succeed")</f>
        <v>Will Succeed</v>
      </c>
      <c r="G559" s="32"/>
      <c r="H559" s="32" t="str">
        <f>IFERROR(__xludf.DUMMYFUNCTION("""COMPUTED_VALUE"""),"Zen")</f>
        <v>Zen</v>
      </c>
      <c r="I559" s="32" t="str">
        <f>IFERROR(__xludf.DUMMYFUNCTION("""COMPUTED_VALUE"""),"Player")</f>
        <v>Player</v>
      </c>
      <c r="J559" s="32" t="b">
        <f>IFERROR(__xludf.DUMMYFUNCTION("""COMPUTED_VALUE"""),FALSE)</f>
        <v>0</v>
      </c>
      <c r="K559" s="32"/>
      <c r="L559" s="32" t="b">
        <f>IFERROR(__xludf.DUMMYFUNCTION("""COMPUTED_VALUE"""),FALSE)</f>
        <v>0</v>
      </c>
      <c r="M559" s="32" t="b">
        <f>IFERROR(__xludf.DUMMYFUNCTION("""COMPUTED_VALUE"""),FALSE)</f>
        <v>0</v>
      </c>
      <c r="N559" s="32"/>
    </row>
    <row r="560">
      <c r="A560" s="32" t="str">
        <f>IFERROR(__xludf.DUMMYFUNCTION("""COMPUTED_VALUE"""),"Max Focus")</f>
        <v>Max Focus</v>
      </c>
      <c r="B560" s="34">
        <f>IFERROR(__xludf.DUMMYFUNCTION("""COMPUTED_VALUE"""),9.0)</f>
        <v>9</v>
      </c>
      <c r="C560" s="32" t="str">
        <f>IFERROR(__xludf.DUMMYFUNCTION("""COMPUTED_VALUE"""),"X*2000")</f>
        <v>X*2000</v>
      </c>
      <c r="D560" s="32"/>
      <c r="E560" s="32" t="str">
        <f>IFERROR(__xludf.DUMMYFUNCTION("""COMPUTED_VALUE"""),"You gain X Evasion, Mobility, and Intimidation where X is equal to the SP you pay (Max 5) for 3 rounds.")</f>
        <v>You gain X Evasion, Mobility, and Intimidation where X is equal to the SP you pay (Max 5) for 3 rounds.</v>
      </c>
      <c r="F560" s="32" t="str">
        <f>IFERROR(__xludf.DUMMYFUNCTION("""COMPUTED_VALUE"""),"Fail/Succeed")</f>
        <v>Fail/Succeed</v>
      </c>
      <c r="G560" s="32" t="str">
        <f>IFERROR(__xludf.DUMMYFUNCTION("""COMPUTED_VALUE"""),"Self")</f>
        <v>Self</v>
      </c>
      <c r="H560" s="32" t="str">
        <f>IFERROR(__xludf.DUMMYFUNCTION("""COMPUTED_VALUE"""),"Zen")</f>
        <v>Zen</v>
      </c>
      <c r="I560" s="32" t="str">
        <f>IFERROR(__xludf.DUMMYFUNCTION("""COMPUTED_VALUE"""),"Player")</f>
        <v>Player</v>
      </c>
      <c r="J560" s="32" t="b">
        <f>IFERROR(__xludf.DUMMYFUNCTION("""COMPUTED_VALUE"""),FALSE)</f>
        <v>0</v>
      </c>
      <c r="K560" s="32"/>
      <c r="L560" s="32" t="b">
        <f>IFERROR(__xludf.DUMMYFUNCTION("""COMPUTED_VALUE"""),FALSE)</f>
        <v>0</v>
      </c>
      <c r="M560" s="32" t="b">
        <f>IFERROR(__xludf.DUMMYFUNCTION("""COMPUTED_VALUE"""),FALSE)</f>
        <v>0</v>
      </c>
      <c r="N560" s="32"/>
    </row>
    <row r="561">
      <c r="A561" s="32" t="str">
        <f>IFERROR(__xludf.DUMMYFUNCTION("""COMPUTED_VALUE"""),"Mind Press")</f>
        <v>Mind Press</v>
      </c>
      <c r="B561" s="34">
        <f>IFERROR(__xludf.DUMMYFUNCTION("""COMPUTED_VALUE"""),9.0)</f>
        <v>9</v>
      </c>
      <c r="C561" s="33">
        <f>IFERROR(__xludf.DUMMYFUNCTION("""COMPUTED_VALUE"""),12000.0)</f>
        <v>12000</v>
      </c>
      <c r="D561" s="32"/>
      <c r="E561" s="32" t="str">
        <f>IFERROR(__xludf.DUMMYFUNCTION("""COMPUTED_VALUE"""),"30,000 damage to all enemies. Cannot resist or be immune to.")</f>
        <v>30,000 damage to all enemies. Cannot resist or be immune to.</v>
      </c>
      <c r="F561" s="32" t="str">
        <f>IFERROR(__xludf.DUMMYFUNCTION("""COMPUTED_VALUE"""),"Will Succeed")</f>
        <v>Will Succeed</v>
      </c>
      <c r="G561" s="32"/>
      <c r="H561" s="32" t="str">
        <f>IFERROR(__xludf.DUMMYFUNCTION("""COMPUTED_VALUE"""),"Zen")</f>
        <v>Zen</v>
      </c>
      <c r="I561" s="32" t="str">
        <f>IFERROR(__xludf.DUMMYFUNCTION("""COMPUTED_VALUE"""),"Player")</f>
        <v>Player</v>
      </c>
      <c r="J561" s="32" t="b">
        <f>IFERROR(__xludf.DUMMYFUNCTION("""COMPUTED_VALUE"""),FALSE)</f>
        <v>0</v>
      </c>
      <c r="K561" s="32"/>
      <c r="L561" s="32" t="b">
        <f>IFERROR(__xludf.DUMMYFUNCTION("""COMPUTED_VALUE"""),FALSE)</f>
        <v>0</v>
      </c>
      <c r="M561" s="32" t="b">
        <f>IFERROR(__xludf.DUMMYFUNCTION("""COMPUTED_VALUE"""),FALSE)</f>
        <v>0</v>
      </c>
      <c r="N561" s="32"/>
    </row>
    <row r="562">
      <c r="A562" s="32" t="str">
        <f>IFERROR(__xludf.DUMMYFUNCTION("""COMPUTED_VALUE"""),"Monks Blessing")</f>
        <v>Monks Blessing</v>
      </c>
      <c r="B562" s="34">
        <f>IFERROR(__xludf.DUMMYFUNCTION("""COMPUTED_VALUE"""),6.0)</f>
        <v>6</v>
      </c>
      <c r="C562" s="32">
        <f>IFERROR(__xludf.DUMMYFUNCTION("""COMPUTED_VALUE"""),60.0)</f>
        <v>60</v>
      </c>
      <c r="D562" s="32"/>
      <c r="E562" s="32"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32" t="str">
        <f>IFERROR(__xludf.DUMMYFUNCTION("""COMPUTED_VALUE"""),"Fail/Succeed")</f>
        <v>Fail/Succeed</v>
      </c>
      <c r="G562" s="32"/>
      <c r="H562" s="32" t="str">
        <f>IFERROR(__xludf.DUMMYFUNCTION("""COMPUTED_VALUE"""),"Zen")</f>
        <v>Zen</v>
      </c>
      <c r="I562" s="32" t="str">
        <f>IFERROR(__xludf.DUMMYFUNCTION("""COMPUTED_VALUE"""),"Player")</f>
        <v>Player</v>
      </c>
      <c r="J562" s="32" t="b">
        <f>IFERROR(__xludf.DUMMYFUNCTION("""COMPUTED_VALUE"""),FALSE)</f>
        <v>0</v>
      </c>
      <c r="K562" s="32"/>
      <c r="L562" s="32" t="b">
        <f>IFERROR(__xludf.DUMMYFUNCTION("""COMPUTED_VALUE"""),FALSE)</f>
        <v>0</v>
      </c>
      <c r="M562" s="32" t="b">
        <f>IFERROR(__xludf.DUMMYFUNCTION("""COMPUTED_VALUE"""),FALSE)</f>
        <v>0</v>
      </c>
      <c r="N562" s="32"/>
    </row>
    <row r="563">
      <c r="A563" s="32" t="str">
        <f>IFERROR(__xludf.DUMMYFUNCTION("""COMPUTED_VALUE"""),"The All Knowing Eye")</f>
        <v>The All Knowing Eye</v>
      </c>
      <c r="B563" s="34">
        <f>IFERROR(__xludf.DUMMYFUNCTION("""COMPUTED_VALUE"""),8.0)</f>
        <v>8</v>
      </c>
      <c r="C563" s="32">
        <f>IFERROR(__xludf.DUMMYFUNCTION("""COMPUTED_VALUE"""),500.0)</f>
        <v>500</v>
      </c>
      <c r="D563" s="32"/>
      <c r="E563" s="32" t="str">
        <f>IFERROR(__xludf.DUMMYFUNCTION("""COMPUTED_VALUE"""),"Increase your roll number by 5 for 3 rounds and take no damage from the next incoming attack. (Battle Only)")</f>
        <v>Increase your roll number by 5 for 3 rounds and take no damage from the next incoming attack. (Battle Only)</v>
      </c>
      <c r="F563" s="32" t="str">
        <f>IFERROR(__xludf.DUMMYFUNCTION("""COMPUTED_VALUE"""),"Fail/Succeed")</f>
        <v>Fail/Succeed</v>
      </c>
      <c r="G563" s="32"/>
      <c r="H563" s="32" t="str">
        <f>IFERROR(__xludf.DUMMYFUNCTION("""COMPUTED_VALUE"""),"Zen")</f>
        <v>Zen</v>
      </c>
      <c r="I563" s="32" t="str">
        <f>IFERROR(__xludf.DUMMYFUNCTION("""COMPUTED_VALUE"""),"Player")</f>
        <v>Player</v>
      </c>
      <c r="J563" s="32" t="b">
        <f>IFERROR(__xludf.DUMMYFUNCTION("""COMPUTED_VALUE"""),FALSE)</f>
        <v>0</v>
      </c>
      <c r="K563" s="32"/>
      <c r="L563" s="32" t="b">
        <f>IFERROR(__xludf.DUMMYFUNCTION("""COMPUTED_VALUE"""),FALSE)</f>
        <v>0</v>
      </c>
      <c r="M563" s="32" t="b">
        <f>IFERROR(__xludf.DUMMYFUNCTION("""COMPUTED_VALUE"""),FALSE)</f>
        <v>0</v>
      </c>
      <c r="N563" s="32"/>
    </row>
    <row r="564">
      <c r="A564" s="32" t="str">
        <f>IFERROR(__xludf.DUMMYFUNCTION("""COMPUTED_VALUE"""),"Insanity Pulse")</f>
        <v>Insanity Pulse</v>
      </c>
      <c r="B564" s="34">
        <f>IFERROR(__xludf.DUMMYFUNCTION("""COMPUTED_VALUE"""),9.0)</f>
        <v>9</v>
      </c>
      <c r="C564" s="32">
        <f>IFERROR(__xludf.DUMMYFUNCTION("""COMPUTED_VALUE"""),10000.0)</f>
        <v>10000</v>
      </c>
      <c r="D564" s="32"/>
      <c r="E564" s="32"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32" t="str">
        <f>IFERROR(__xludf.DUMMYFUNCTION("""COMPUTED_VALUE"""),"Fail/Succeed")</f>
        <v>Fail/Succeed</v>
      </c>
      <c r="G564" s="32" t="str">
        <f>IFERROR(__xludf.DUMMYFUNCTION("""COMPUTED_VALUE"""),"Self")</f>
        <v>Self</v>
      </c>
      <c r="H564" s="32" t="str">
        <f>IFERROR(__xludf.DUMMYFUNCTION("""COMPUTED_VALUE"""),"Chaos")</f>
        <v>Chaos</v>
      </c>
      <c r="I564" s="32" t="str">
        <f>IFERROR(__xludf.DUMMYFUNCTION("""COMPUTED_VALUE"""),"Mob")</f>
        <v>Mob</v>
      </c>
      <c r="J564" s="32" t="b">
        <f>IFERROR(__xludf.DUMMYFUNCTION("""COMPUTED_VALUE"""),TRUE)</f>
        <v>1</v>
      </c>
      <c r="K564" s="32" t="str">
        <f>IFERROR(__xludf.DUMMYFUNCTION("""COMPUTED_VALUE"""),"Lathom Only")</f>
        <v>Lathom Only</v>
      </c>
      <c r="L564" s="32" t="b">
        <f>IFERROR(__xludf.DUMMYFUNCTION("""COMPUTED_VALUE"""),FALSE)</f>
        <v>0</v>
      </c>
      <c r="M564" s="32" t="b">
        <f>IFERROR(__xludf.DUMMYFUNCTION("""COMPUTED_VALUE"""),FALSE)</f>
        <v>0</v>
      </c>
      <c r="N564" s="32"/>
    </row>
    <row r="565">
      <c r="A565" s="32" t="str">
        <f>IFERROR(__xludf.DUMMYFUNCTION("""COMPUTED_VALUE"""),"Defender's Tenacity")</f>
        <v>Defender's Tenacity</v>
      </c>
      <c r="B565" s="34">
        <f>IFERROR(__xludf.DUMMYFUNCTION("""COMPUTED_VALUE"""),5.0)</f>
        <v>5</v>
      </c>
      <c r="C565" s="32" t="str">
        <f>IFERROR(__xludf.DUMMYFUNCTION("""COMPUTED_VALUE"""),"X")</f>
        <v>X</v>
      </c>
      <c r="D565" s="32"/>
      <c r="E565" s="32" t="str">
        <f>IFERROR(__xludf.DUMMYFUNCTION("""COMPUTED_VALUE"""),"Roll a D20 for additional defense, times it by the amount of mana you pay.")</f>
        <v>Roll a D20 for additional defense, times it by the amount of mana you pay.</v>
      </c>
      <c r="F565" s="32" t="str">
        <f>IFERROR(__xludf.DUMMYFUNCTION("""COMPUTED_VALUE"""),"Will Succeed")</f>
        <v>Will Succeed</v>
      </c>
      <c r="G565" s="32" t="str">
        <f>IFERROR(__xludf.DUMMYFUNCTION("""COMPUTED_VALUE"""),"Self")</f>
        <v>Self</v>
      </c>
      <c r="H565" s="32" t="str">
        <f>IFERROR(__xludf.DUMMYFUNCTION("""COMPUTED_VALUE"""),"Physical")</f>
        <v>Physical</v>
      </c>
      <c r="I565" s="32" t="str">
        <f>IFERROR(__xludf.DUMMYFUNCTION("""COMPUTED_VALUE"""),"Player")</f>
        <v>Player</v>
      </c>
      <c r="J565" s="32" t="b">
        <f>IFERROR(__xludf.DUMMYFUNCTION("""COMPUTED_VALUE"""),FALSE)</f>
        <v>0</v>
      </c>
      <c r="K565" s="32"/>
      <c r="L565" s="32" t="b">
        <f>IFERROR(__xludf.DUMMYFUNCTION("""COMPUTED_VALUE"""),FALSE)</f>
        <v>0</v>
      </c>
      <c r="M565" s="32" t="b">
        <f>IFERROR(__xludf.DUMMYFUNCTION("""COMPUTED_VALUE"""),FALSE)</f>
        <v>0</v>
      </c>
      <c r="N565" s="32"/>
    </row>
    <row r="566">
      <c r="A566" s="32" t="str">
        <f>IFERROR(__xludf.DUMMYFUNCTION("""COMPUTED_VALUE"""),"Marauder's Rage")</f>
        <v>Marauder's Rage</v>
      </c>
      <c r="B566" s="34">
        <f>IFERROR(__xludf.DUMMYFUNCTION("""COMPUTED_VALUE"""),5.0)</f>
        <v>5</v>
      </c>
      <c r="C566" s="32" t="str">
        <f>IFERROR(__xludf.DUMMYFUNCTION("""COMPUTED_VALUE"""),"X")</f>
        <v>X</v>
      </c>
      <c r="D566" s="32"/>
      <c r="E566" s="32" t="str">
        <f>IFERROR(__xludf.DUMMYFUNCTION("""COMPUTED_VALUE"""),"Roll a D20 for additional attack, times it by the amount of mana you pay.")</f>
        <v>Roll a D20 for additional attack, times it by the amount of mana you pay.</v>
      </c>
      <c r="F566" s="32" t="str">
        <f>IFERROR(__xludf.DUMMYFUNCTION("""COMPUTED_VALUE"""),"Will Succeed")</f>
        <v>Will Succeed</v>
      </c>
      <c r="G566" s="32" t="str">
        <f>IFERROR(__xludf.DUMMYFUNCTION("""COMPUTED_VALUE"""),"Self")</f>
        <v>Self</v>
      </c>
      <c r="H566" s="32" t="str">
        <f>IFERROR(__xludf.DUMMYFUNCTION("""COMPUTED_VALUE"""),"Melee")</f>
        <v>Melee</v>
      </c>
      <c r="I566" s="32"/>
      <c r="J566" s="32" t="b">
        <f>IFERROR(__xludf.DUMMYFUNCTION("""COMPUTED_VALUE"""),FALSE)</f>
        <v>0</v>
      </c>
      <c r="K566" s="32"/>
      <c r="L566" s="32" t="b">
        <f>IFERROR(__xludf.DUMMYFUNCTION("""COMPUTED_VALUE"""),FALSE)</f>
        <v>0</v>
      </c>
      <c r="M566" s="32" t="b">
        <f>IFERROR(__xludf.DUMMYFUNCTION("""COMPUTED_VALUE"""),FALSE)</f>
        <v>0</v>
      </c>
      <c r="N566" s="32"/>
    </row>
    <row r="567">
      <c r="A567" s="32" t="str">
        <f>IFERROR(__xludf.DUMMYFUNCTION("""COMPUTED_VALUE"""),"Warden Call")</f>
        <v>Warden Call</v>
      </c>
      <c r="B567" s="34">
        <f>IFERROR(__xludf.DUMMYFUNCTION("""COMPUTED_VALUE"""),1.0)</f>
        <v>1</v>
      </c>
      <c r="C567" s="32">
        <f>IFERROR(__xludf.DUMMYFUNCTION("""COMPUTED_VALUE"""),0.0)</f>
        <v>0</v>
      </c>
      <c r="D567" s="32"/>
      <c r="E567" s="32" t="str">
        <f>IFERROR(__xludf.DUMMYFUNCTION("""COMPUTED_VALUE"""),"Call a d4 of Dragonian Wardens to battle.")</f>
        <v>Call a d4 of Dragonian Wardens to battle.</v>
      </c>
      <c r="F567" s="32" t="str">
        <f>IFERROR(__xludf.DUMMYFUNCTION("""COMPUTED_VALUE"""),"Natural/Fail or Succeed")</f>
        <v>Natural/Fail or Succeed</v>
      </c>
      <c r="G567" s="32" t="str">
        <f>IFERROR(__xludf.DUMMYFUNCTION("""COMPUTED_VALUE"""),"Self")</f>
        <v>Self</v>
      </c>
      <c r="H567" s="32" t="str">
        <f>IFERROR(__xludf.DUMMYFUNCTION("""COMPUTED_VALUE"""),"Order")</f>
        <v>Order</v>
      </c>
      <c r="I567" s="32" t="str">
        <f>IFERROR(__xludf.DUMMYFUNCTION("""COMPUTED_VALUE"""),"Mob")</f>
        <v>Mob</v>
      </c>
      <c r="J567" s="32" t="b">
        <f>IFERROR(__xludf.DUMMYFUNCTION("""COMPUTED_VALUE"""),TRUE)</f>
        <v>1</v>
      </c>
      <c r="K567" s="32"/>
      <c r="L567" s="32" t="b">
        <f>IFERROR(__xludf.DUMMYFUNCTION("""COMPUTED_VALUE"""),FALSE)</f>
        <v>0</v>
      </c>
      <c r="M567" s="32" t="b">
        <f>IFERROR(__xludf.DUMMYFUNCTION("""COMPUTED_VALUE"""),FALSE)</f>
        <v>0</v>
      </c>
      <c r="N567" s="32"/>
    </row>
    <row r="568">
      <c r="A568" s="32" t="str">
        <f>IFERROR(__xludf.DUMMYFUNCTION("""COMPUTED_VALUE"""),"Confine")</f>
        <v>Confine</v>
      </c>
      <c r="B568" s="34">
        <f>IFERROR(__xludf.DUMMYFUNCTION("""COMPUTED_VALUE"""),1.0)</f>
        <v>1</v>
      </c>
      <c r="C568" s="32">
        <f>IFERROR(__xludf.DUMMYFUNCTION("""COMPUTED_VALUE"""),0.0)</f>
        <v>0</v>
      </c>
      <c r="D568" s="32"/>
      <c r="E568" s="32"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32" t="str">
        <f>IFERROR(__xludf.DUMMYFUNCTION("""COMPUTED_VALUE"""),"Natural/Hit or Miss")</f>
        <v>Natural/Hit or Miss</v>
      </c>
      <c r="G568" s="32">
        <f>IFERROR(__xludf.DUMMYFUNCTION("""COMPUTED_VALUE"""),1.0)</f>
        <v>1</v>
      </c>
      <c r="H568" s="32" t="str">
        <f>IFERROR(__xludf.DUMMYFUNCTION("""COMPUTED_VALUE"""),"Melee")</f>
        <v>Melee</v>
      </c>
      <c r="I568" s="32" t="str">
        <f>IFERROR(__xludf.DUMMYFUNCTION("""COMPUTED_VALUE"""),"Mob")</f>
        <v>Mob</v>
      </c>
      <c r="J568" s="32" t="b">
        <f>IFERROR(__xludf.DUMMYFUNCTION("""COMPUTED_VALUE"""),TRUE)</f>
        <v>1</v>
      </c>
      <c r="K568" s="32"/>
      <c r="L568" s="32" t="b">
        <f>IFERROR(__xludf.DUMMYFUNCTION("""COMPUTED_VALUE"""),FALSE)</f>
        <v>0</v>
      </c>
      <c r="M568" s="32" t="b">
        <f>IFERROR(__xludf.DUMMYFUNCTION("""COMPUTED_VALUE"""),FALSE)</f>
        <v>0</v>
      </c>
      <c r="N568" s="32"/>
    </row>
    <row r="569">
      <c r="A569" s="32" t="str">
        <f>IFERROR(__xludf.DUMMYFUNCTION("""COMPUTED_VALUE"""),"Flames of the Undead")</f>
        <v>Flames of the Undead</v>
      </c>
      <c r="B569" s="34">
        <f>IFERROR(__xludf.DUMMYFUNCTION("""COMPUTED_VALUE"""),3.0)</f>
        <v>3</v>
      </c>
      <c r="C569" s="32" t="str">
        <f>IFERROR(__xludf.DUMMYFUNCTION("""COMPUTED_VALUE"""),"X")</f>
        <v>X</v>
      </c>
      <c r="D569" s="32"/>
      <c r="E569" s="32" t="str">
        <f>IFERROR(__xludf.DUMMYFUNCTION("""COMPUTED_VALUE"""),"Can only be used by Undead, deals X*10 damage to all non-undead enemies, and X*100 to all Undead enemies.")</f>
        <v>Can only be used by Undead, deals X*10 damage to all non-undead enemies, and X*100 to all Undead enemies.</v>
      </c>
      <c r="F569" s="32" t="str">
        <f>IFERROR(__xludf.DUMMYFUNCTION("""COMPUTED_VALUE"""),"Cannot Avoid")</f>
        <v>Cannot Avoid</v>
      </c>
      <c r="G569" s="32" t="str">
        <f>IFERROR(__xludf.DUMMYFUNCTION("""COMPUTED_VALUE"""),"All")</f>
        <v>All</v>
      </c>
      <c r="H569" s="32" t="str">
        <f>IFERROR(__xludf.DUMMYFUNCTION("""COMPUTED_VALUE"""),"Fire")</f>
        <v>Fire</v>
      </c>
      <c r="I569" s="32" t="str">
        <f>IFERROR(__xludf.DUMMYFUNCTION("""COMPUTED_VALUE"""),"Player")</f>
        <v>Player</v>
      </c>
      <c r="J569" s="32" t="b">
        <f>IFERROR(__xludf.DUMMYFUNCTION("""COMPUTED_VALUE"""),FALSE)</f>
        <v>0</v>
      </c>
      <c r="K569" s="32"/>
      <c r="L569" s="32" t="b">
        <f>IFERROR(__xludf.DUMMYFUNCTION("""COMPUTED_VALUE"""),FALSE)</f>
        <v>0</v>
      </c>
      <c r="M569" s="32" t="b">
        <f>IFERROR(__xludf.DUMMYFUNCTION("""COMPUTED_VALUE"""),FALSE)</f>
        <v>0</v>
      </c>
      <c r="N569" s="32"/>
    </row>
    <row r="570">
      <c r="A570" s="32" t="str">
        <f>IFERROR(__xludf.DUMMYFUNCTION("""COMPUTED_VALUE"""),"Chameldrian Camoflauge")</f>
        <v>Chameldrian Camoflauge</v>
      </c>
      <c r="B570" s="34">
        <f>IFERROR(__xludf.DUMMYFUNCTION("""COMPUTED_VALUE"""),1.0)</f>
        <v>1</v>
      </c>
      <c r="C570" s="33">
        <f>IFERROR(__xludf.DUMMYFUNCTION("""COMPUTED_VALUE"""),0.0)</f>
        <v>0</v>
      </c>
      <c r="D570" s="32"/>
      <c r="E570" s="32"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32" t="str">
        <f>IFERROR(__xludf.DUMMYFUNCTION("""COMPUTED_VALUE"""),"Natural/Fail or Succeed")</f>
        <v>Natural/Fail or Succeed</v>
      </c>
      <c r="G570" s="32" t="str">
        <f>IFERROR(__xludf.DUMMYFUNCTION("""COMPUTED_VALUE"""),"Self")</f>
        <v>Self</v>
      </c>
      <c r="H570" s="32" t="str">
        <f>IFERROR(__xludf.DUMMYFUNCTION("""COMPUTED_VALUE"""),"Nature")</f>
        <v>Nature</v>
      </c>
      <c r="I570" s="32" t="str">
        <f>IFERROR(__xludf.DUMMYFUNCTION("""COMPUTED_VALUE"""),"Mob")</f>
        <v>Mob</v>
      </c>
      <c r="J570" s="32" t="b">
        <f>IFERROR(__xludf.DUMMYFUNCTION("""COMPUTED_VALUE"""),TRUE)</f>
        <v>1</v>
      </c>
      <c r="K570" s="32"/>
      <c r="L570" s="32" t="b">
        <f>IFERROR(__xludf.DUMMYFUNCTION("""COMPUTED_VALUE"""),FALSE)</f>
        <v>0</v>
      </c>
      <c r="M570" s="32" t="b">
        <f>IFERROR(__xludf.DUMMYFUNCTION("""COMPUTED_VALUE"""),FALSE)</f>
        <v>0</v>
      </c>
      <c r="N570" s="32"/>
    </row>
    <row r="571">
      <c r="A571" s="32"/>
      <c r="B571" s="32"/>
      <c r="C571" s="32"/>
      <c r="D571" s="32"/>
      <c r="E571" s="32"/>
      <c r="F571" s="32"/>
      <c r="G571" s="32"/>
      <c r="H571" s="32"/>
      <c r="I571" s="32"/>
      <c r="J571" s="32" t="b">
        <f>IFERROR(__xludf.DUMMYFUNCTION("""COMPUTED_VALUE"""),FALSE)</f>
        <v>0</v>
      </c>
      <c r="K571" s="32"/>
      <c r="L571" s="32" t="b">
        <f>IFERROR(__xludf.DUMMYFUNCTION("""COMPUTED_VALUE"""),FALSE)</f>
        <v>0</v>
      </c>
      <c r="M571" s="32" t="b">
        <f>IFERROR(__xludf.DUMMYFUNCTION("""COMPUTED_VALUE"""),FALSE)</f>
        <v>0</v>
      </c>
      <c r="N571" s="32"/>
    </row>
    <row r="572">
      <c r="A572" s="32"/>
      <c r="B572" s="32"/>
      <c r="C572" s="32"/>
      <c r="D572" s="32"/>
      <c r="E572" s="32"/>
      <c r="F572" s="32"/>
      <c r="G572" s="32"/>
      <c r="H572" s="32"/>
      <c r="I572" s="32"/>
      <c r="J572" s="32" t="b">
        <f>IFERROR(__xludf.DUMMYFUNCTION("""COMPUTED_VALUE"""),FALSE)</f>
        <v>0</v>
      </c>
      <c r="K572" s="32"/>
      <c r="L572" s="32" t="b">
        <f>IFERROR(__xludf.DUMMYFUNCTION("""COMPUTED_VALUE"""),FALSE)</f>
        <v>0</v>
      </c>
      <c r="M572" s="32" t="b">
        <f>IFERROR(__xludf.DUMMYFUNCTION("""COMPUTED_VALUE"""),FALSE)</f>
        <v>0</v>
      </c>
      <c r="N572" s="32"/>
    </row>
    <row r="573">
      <c r="A573" s="32"/>
      <c r="B573" s="32"/>
      <c r="C573" s="32"/>
      <c r="D573" s="32"/>
      <c r="E573" s="32"/>
      <c r="F573" s="32"/>
      <c r="G573" s="32"/>
      <c r="H573" s="32"/>
      <c r="I573" s="32"/>
      <c r="J573" s="32" t="b">
        <f>IFERROR(__xludf.DUMMYFUNCTION("""COMPUTED_VALUE"""),FALSE)</f>
        <v>0</v>
      </c>
      <c r="K573" s="32"/>
      <c r="L573" s="32" t="b">
        <f>IFERROR(__xludf.DUMMYFUNCTION("""COMPUTED_VALUE"""),FALSE)</f>
        <v>0</v>
      </c>
      <c r="M573" s="32" t="b">
        <f>IFERROR(__xludf.DUMMYFUNCTION("""COMPUTED_VALUE"""),FALSE)</f>
        <v>0</v>
      </c>
      <c r="N573" s="32"/>
    </row>
    <row r="574">
      <c r="A574" s="32"/>
      <c r="B574" s="32"/>
      <c r="C574" s="32"/>
      <c r="D574" s="32"/>
      <c r="E574" s="32"/>
      <c r="F574" s="32"/>
      <c r="G574" s="32"/>
      <c r="H574" s="32"/>
      <c r="I574" s="32"/>
      <c r="J574" s="32" t="b">
        <f>IFERROR(__xludf.DUMMYFUNCTION("""COMPUTED_VALUE"""),FALSE)</f>
        <v>0</v>
      </c>
      <c r="K574" s="32"/>
      <c r="L574" s="32" t="b">
        <f>IFERROR(__xludf.DUMMYFUNCTION("""COMPUTED_VALUE"""),FALSE)</f>
        <v>0</v>
      </c>
      <c r="M574" s="32" t="b">
        <f>IFERROR(__xludf.DUMMYFUNCTION("""COMPUTED_VALUE"""),FALSE)</f>
        <v>0</v>
      </c>
      <c r="N574" s="32"/>
    </row>
    <row r="575">
      <c r="A575" s="32"/>
      <c r="B575" s="32"/>
      <c r="C575" s="32"/>
      <c r="D575" s="32"/>
      <c r="E575" s="32"/>
      <c r="F575" s="32"/>
      <c r="G575" s="32"/>
      <c r="H575" s="32"/>
      <c r="I575" s="32"/>
      <c r="J575" s="32" t="b">
        <f>IFERROR(__xludf.DUMMYFUNCTION("""COMPUTED_VALUE"""),FALSE)</f>
        <v>0</v>
      </c>
      <c r="K575" s="32"/>
      <c r="L575" s="32" t="b">
        <f>IFERROR(__xludf.DUMMYFUNCTION("""COMPUTED_VALUE"""),FALSE)</f>
        <v>0</v>
      </c>
      <c r="M575" s="32" t="b">
        <f>IFERROR(__xludf.DUMMYFUNCTION("""COMPUTED_VALUE"""),FALSE)</f>
        <v>0</v>
      </c>
      <c r="N575" s="32"/>
    </row>
    <row r="576">
      <c r="A576" s="32"/>
      <c r="B576" s="32"/>
      <c r="C576" s="32"/>
      <c r="D576" s="32"/>
      <c r="E576" s="32"/>
      <c r="F576" s="32"/>
      <c r="G576" s="32"/>
      <c r="H576" s="32"/>
      <c r="I576" s="32"/>
      <c r="J576" s="32" t="b">
        <f>IFERROR(__xludf.DUMMYFUNCTION("""COMPUTED_VALUE"""),FALSE)</f>
        <v>0</v>
      </c>
      <c r="K576" s="32"/>
      <c r="L576" s="32" t="b">
        <f>IFERROR(__xludf.DUMMYFUNCTION("""COMPUTED_VALUE"""),FALSE)</f>
        <v>0</v>
      </c>
      <c r="M576" s="32" t="b">
        <f>IFERROR(__xludf.DUMMYFUNCTION("""COMPUTED_VALUE"""),FALSE)</f>
        <v>0</v>
      </c>
      <c r="N576" s="32"/>
    </row>
    <row r="577">
      <c r="A577" s="32"/>
      <c r="B577" s="32"/>
      <c r="C577" s="32"/>
      <c r="D577" s="32"/>
      <c r="E577" s="32"/>
      <c r="F577" s="32"/>
      <c r="G577" s="32"/>
      <c r="H577" s="32"/>
      <c r="I577" s="32"/>
      <c r="J577" s="32" t="b">
        <f>IFERROR(__xludf.DUMMYFUNCTION("""COMPUTED_VALUE"""),FALSE)</f>
        <v>0</v>
      </c>
      <c r="K577" s="32"/>
      <c r="L577" s="32" t="b">
        <f>IFERROR(__xludf.DUMMYFUNCTION("""COMPUTED_VALUE"""),FALSE)</f>
        <v>0</v>
      </c>
      <c r="M577" s="32" t="b">
        <f>IFERROR(__xludf.DUMMYFUNCTION("""COMPUTED_VALUE"""),FALSE)</f>
        <v>0</v>
      </c>
      <c r="N577" s="32"/>
    </row>
    <row r="578">
      <c r="A578" s="32"/>
      <c r="B578" s="32"/>
      <c r="C578" s="32"/>
      <c r="D578" s="32"/>
      <c r="E578" s="32"/>
      <c r="F578" s="32"/>
      <c r="G578" s="32"/>
      <c r="H578" s="32"/>
      <c r="I578" s="32"/>
      <c r="J578" s="32" t="b">
        <f>IFERROR(__xludf.DUMMYFUNCTION("""COMPUTED_VALUE"""),FALSE)</f>
        <v>0</v>
      </c>
      <c r="K578" s="32"/>
      <c r="L578" s="32" t="b">
        <f>IFERROR(__xludf.DUMMYFUNCTION("""COMPUTED_VALUE"""),FALSE)</f>
        <v>0</v>
      </c>
      <c r="M578" s="32" t="b">
        <f>IFERROR(__xludf.DUMMYFUNCTION("""COMPUTED_VALUE"""),FALSE)</f>
        <v>0</v>
      </c>
      <c r="N578" s="32"/>
    </row>
    <row r="579">
      <c r="A579" s="32"/>
      <c r="B579" s="32"/>
      <c r="C579" s="32"/>
      <c r="D579" s="32"/>
      <c r="E579" s="32"/>
      <c r="F579" s="32"/>
      <c r="G579" s="32"/>
      <c r="H579" s="32"/>
      <c r="I579" s="32"/>
      <c r="J579" s="32" t="b">
        <f>IFERROR(__xludf.DUMMYFUNCTION("""COMPUTED_VALUE"""),FALSE)</f>
        <v>0</v>
      </c>
      <c r="K579" s="32"/>
      <c r="L579" s="32" t="b">
        <f>IFERROR(__xludf.DUMMYFUNCTION("""COMPUTED_VALUE"""),FALSE)</f>
        <v>0</v>
      </c>
      <c r="M579" s="32" t="b">
        <f>IFERROR(__xludf.DUMMYFUNCTION("""COMPUTED_VALUE"""),FALSE)</f>
        <v>0</v>
      </c>
      <c r="N579" s="32"/>
    </row>
    <row r="580">
      <c r="A580" s="32"/>
      <c r="B580" s="32"/>
      <c r="C580" s="32"/>
      <c r="D580" s="32"/>
      <c r="E580" s="32"/>
      <c r="F580" s="32"/>
      <c r="G580" s="32"/>
      <c r="H580" s="32"/>
      <c r="I580" s="32"/>
      <c r="J580" s="32" t="b">
        <f>IFERROR(__xludf.DUMMYFUNCTION("""COMPUTED_VALUE"""),FALSE)</f>
        <v>0</v>
      </c>
      <c r="K580" s="32"/>
      <c r="L580" s="32" t="b">
        <f>IFERROR(__xludf.DUMMYFUNCTION("""COMPUTED_VALUE"""),FALSE)</f>
        <v>0</v>
      </c>
      <c r="M580" s="32" t="b">
        <f>IFERROR(__xludf.DUMMYFUNCTION("""COMPUTED_VALUE"""),FALSE)</f>
        <v>0</v>
      </c>
      <c r="N580" s="32"/>
    </row>
    <row r="581">
      <c r="A581" s="32"/>
      <c r="B581" s="32"/>
      <c r="C581" s="32"/>
      <c r="D581" s="32"/>
      <c r="E581" s="32"/>
      <c r="F581" s="32"/>
      <c r="G581" s="32"/>
      <c r="H581" s="32"/>
      <c r="I581" s="32"/>
      <c r="J581" s="32" t="b">
        <f>IFERROR(__xludf.DUMMYFUNCTION("""COMPUTED_VALUE"""),FALSE)</f>
        <v>0</v>
      </c>
      <c r="K581" s="32"/>
      <c r="L581" s="32" t="b">
        <f>IFERROR(__xludf.DUMMYFUNCTION("""COMPUTED_VALUE"""),FALSE)</f>
        <v>0</v>
      </c>
      <c r="M581" s="32" t="b">
        <f>IFERROR(__xludf.DUMMYFUNCTION("""COMPUTED_VALUE"""),FALSE)</f>
        <v>0</v>
      </c>
      <c r="N581" s="32"/>
    </row>
    <row r="582">
      <c r="A582" s="32"/>
      <c r="B582" s="32"/>
      <c r="C582" s="32"/>
      <c r="D582" s="32"/>
      <c r="E582" s="32"/>
      <c r="F582" s="32"/>
      <c r="G582" s="32"/>
      <c r="H582" s="32"/>
      <c r="I582" s="32"/>
      <c r="J582" s="32" t="b">
        <f>IFERROR(__xludf.DUMMYFUNCTION("""COMPUTED_VALUE"""),FALSE)</f>
        <v>0</v>
      </c>
      <c r="K582" s="32"/>
      <c r="L582" s="32" t="b">
        <f>IFERROR(__xludf.DUMMYFUNCTION("""COMPUTED_VALUE"""),FALSE)</f>
        <v>0</v>
      </c>
      <c r="M582" s="32" t="b">
        <f>IFERROR(__xludf.DUMMYFUNCTION("""COMPUTED_VALUE"""),FALSE)</f>
        <v>0</v>
      </c>
      <c r="N582" s="32"/>
    </row>
    <row r="583">
      <c r="A583" s="32"/>
      <c r="B583" s="32"/>
      <c r="C583" s="32"/>
      <c r="D583" s="32"/>
      <c r="E583" s="32"/>
      <c r="F583" s="32"/>
      <c r="G583" s="32"/>
      <c r="H583" s="32"/>
      <c r="I583" s="32"/>
      <c r="J583" s="32" t="b">
        <f>IFERROR(__xludf.DUMMYFUNCTION("""COMPUTED_VALUE"""),FALSE)</f>
        <v>0</v>
      </c>
      <c r="K583" s="32"/>
      <c r="L583" s="32" t="b">
        <f>IFERROR(__xludf.DUMMYFUNCTION("""COMPUTED_VALUE"""),FALSE)</f>
        <v>0</v>
      </c>
      <c r="M583" s="32" t="b">
        <f>IFERROR(__xludf.DUMMYFUNCTION("""COMPUTED_VALUE"""),FALSE)</f>
        <v>0</v>
      </c>
      <c r="N583" s="32"/>
    </row>
    <row r="584">
      <c r="A584" s="32"/>
      <c r="B584" s="32"/>
      <c r="C584" s="32"/>
      <c r="D584" s="32"/>
      <c r="E584" s="32"/>
      <c r="F584" s="32"/>
      <c r="G584" s="32"/>
      <c r="H584" s="32"/>
      <c r="I584" s="32"/>
      <c r="J584" s="32" t="b">
        <f>IFERROR(__xludf.DUMMYFUNCTION("""COMPUTED_VALUE"""),FALSE)</f>
        <v>0</v>
      </c>
      <c r="K584" s="32"/>
      <c r="L584" s="32" t="b">
        <f>IFERROR(__xludf.DUMMYFUNCTION("""COMPUTED_VALUE"""),FALSE)</f>
        <v>0</v>
      </c>
      <c r="M584" s="32" t="b">
        <f>IFERROR(__xludf.DUMMYFUNCTION("""COMPUTED_VALUE"""),FALSE)</f>
        <v>0</v>
      </c>
      <c r="N584" s="32"/>
    </row>
    <row r="585">
      <c r="A585" s="32"/>
      <c r="B585" s="32"/>
      <c r="C585" s="32"/>
      <c r="D585" s="32"/>
      <c r="E585" s="32"/>
      <c r="F585" s="32"/>
      <c r="G585" s="32"/>
      <c r="H585" s="32"/>
      <c r="I585" s="32"/>
      <c r="J585" s="32" t="b">
        <f>IFERROR(__xludf.DUMMYFUNCTION("""COMPUTED_VALUE"""),FALSE)</f>
        <v>0</v>
      </c>
      <c r="K585" s="32"/>
      <c r="L585" s="32" t="b">
        <f>IFERROR(__xludf.DUMMYFUNCTION("""COMPUTED_VALUE"""),FALSE)</f>
        <v>0</v>
      </c>
      <c r="M585" s="32" t="b">
        <f>IFERROR(__xludf.DUMMYFUNCTION("""COMPUTED_VALUE"""),FALSE)</f>
        <v>0</v>
      </c>
      <c r="N585" s="32"/>
    </row>
    <row r="586">
      <c r="A586" s="32"/>
      <c r="B586" s="32"/>
      <c r="C586" s="32"/>
      <c r="D586" s="32"/>
      <c r="E586" s="32"/>
      <c r="F586" s="32"/>
      <c r="G586" s="32"/>
      <c r="H586" s="32"/>
      <c r="I586" s="32"/>
      <c r="J586" s="32" t="b">
        <f>IFERROR(__xludf.DUMMYFUNCTION("""COMPUTED_VALUE"""),FALSE)</f>
        <v>0</v>
      </c>
      <c r="K586" s="32"/>
      <c r="L586" s="32" t="b">
        <f>IFERROR(__xludf.DUMMYFUNCTION("""COMPUTED_VALUE"""),FALSE)</f>
        <v>0</v>
      </c>
      <c r="M586" s="32" t="b">
        <f>IFERROR(__xludf.DUMMYFUNCTION("""COMPUTED_VALUE"""),FALSE)</f>
        <v>0</v>
      </c>
      <c r="N586" s="32"/>
    </row>
    <row r="587">
      <c r="A587" s="32"/>
      <c r="B587" s="32"/>
      <c r="C587" s="32"/>
      <c r="D587" s="32"/>
      <c r="E587" s="32"/>
      <c r="F587" s="32"/>
      <c r="G587" s="32"/>
      <c r="H587" s="32"/>
      <c r="I587" s="32"/>
      <c r="J587" s="32" t="b">
        <f>IFERROR(__xludf.DUMMYFUNCTION("""COMPUTED_VALUE"""),TRUE)</f>
        <v>1</v>
      </c>
      <c r="K587" s="32"/>
      <c r="L587" s="32" t="b">
        <f>IFERROR(__xludf.DUMMYFUNCTION("""COMPUTED_VALUE"""),FALSE)</f>
        <v>0</v>
      </c>
      <c r="M587" s="32" t="b">
        <f>IFERROR(__xludf.DUMMYFUNCTION("""COMPUTED_VALUE"""),FALSE)</f>
        <v>0</v>
      </c>
      <c r="N587" s="32"/>
    </row>
    <row r="588">
      <c r="A588" s="32"/>
      <c r="B588" s="32"/>
      <c r="C588" s="32"/>
      <c r="D588" s="32"/>
      <c r="E588" s="32"/>
      <c r="F588" s="32"/>
      <c r="G588" s="32"/>
      <c r="H588" s="32"/>
      <c r="I588" s="32"/>
      <c r="J588" s="32" t="b">
        <f>IFERROR(__xludf.DUMMYFUNCTION("""COMPUTED_VALUE"""),TRUE)</f>
        <v>1</v>
      </c>
      <c r="K588" s="32"/>
      <c r="L588" s="32" t="b">
        <f>IFERROR(__xludf.DUMMYFUNCTION("""COMPUTED_VALUE"""),FALSE)</f>
        <v>0</v>
      </c>
      <c r="M588" s="32" t="b">
        <f>IFERROR(__xludf.DUMMYFUNCTION("""COMPUTED_VALUE"""),FALSE)</f>
        <v>0</v>
      </c>
      <c r="N588" s="32"/>
    </row>
    <row r="589">
      <c r="A589" s="32"/>
      <c r="B589" s="32"/>
      <c r="C589" s="32"/>
      <c r="D589" s="32"/>
      <c r="E589" s="32"/>
      <c r="F589" s="32"/>
      <c r="G589" s="32"/>
      <c r="H589" s="32"/>
      <c r="I589" s="32"/>
      <c r="J589" s="32" t="b">
        <f>IFERROR(__xludf.DUMMYFUNCTION("""COMPUTED_VALUE"""),FALSE)</f>
        <v>0</v>
      </c>
      <c r="K589" s="32"/>
      <c r="L589" s="32" t="b">
        <f>IFERROR(__xludf.DUMMYFUNCTION("""COMPUTED_VALUE"""),FALSE)</f>
        <v>0</v>
      </c>
      <c r="M589" s="32" t="b">
        <f>IFERROR(__xludf.DUMMYFUNCTION("""COMPUTED_VALUE"""),FALSE)</f>
        <v>0</v>
      </c>
      <c r="N589" s="32"/>
    </row>
    <row r="590">
      <c r="A590" s="32"/>
      <c r="B590" s="32"/>
      <c r="C590" s="32"/>
      <c r="D590" s="32"/>
      <c r="E590" s="32"/>
      <c r="F590" s="32"/>
      <c r="G590" s="32"/>
      <c r="H590" s="32"/>
      <c r="I590" s="32"/>
      <c r="J590" s="32" t="b">
        <f>IFERROR(__xludf.DUMMYFUNCTION("""COMPUTED_VALUE"""),FALSE)</f>
        <v>0</v>
      </c>
      <c r="K590" s="32"/>
      <c r="L590" s="32" t="b">
        <f>IFERROR(__xludf.DUMMYFUNCTION("""COMPUTED_VALUE"""),FALSE)</f>
        <v>0</v>
      </c>
      <c r="M590" s="32" t="b">
        <f>IFERROR(__xludf.DUMMYFUNCTION("""COMPUTED_VALUE"""),FALSE)</f>
        <v>0</v>
      </c>
      <c r="N590" s="32"/>
    </row>
    <row r="591">
      <c r="A591" s="32"/>
      <c r="B591" s="32"/>
      <c r="C591" s="32"/>
      <c r="D591" s="32"/>
      <c r="E591" s="32"/>
      <c r="F591" s="32"/>
      <c r="G591" s="32"/>
      <c r="H591" s="32"/>
      <c r="I591" s="32"/>
      <c r="J591" s="32" t="b">
        <f>IFERROR(__xludf.DUMMYFUNCTION("""COMPUTED_VALUE"""),FALSE)</f>
        <v>0</v>
      </c>
      <c r="K591" s="32"/>
      <c r="L591" s="32" t="b">
        <f>IFERROR(__xludf.DUMMYFUNCTION("""COMPUTED_VALUE"""),FALSE)</f>
        <v>0</v>
      </c>
      <c r="M591" s="32" t="b">
        <f>IFERROR(__xludf.DUMMYFUNCTION("""COMPUTED_VALUE"""),FALSE)</f>
        <v>0</v>
      </c>
      <c r="N591" s="32"/>
    </row>
    <row r="592">
      <c r="A592" s="32"/>
      <c r="B592" s="32"/>
      <c r="C592" s="32"/>
      <c r="D592" s="32"/>
      <c r="E592" s="32"/>
      <c r="F592" s="32"/>
      <c r="G592" s="32"/>
      <c r="H592" s="32"/>
      <c r="I592" s="32"/>
      <c r="J592" s="32" t="b">
        <f>IFERROR(__xludf.DUMMYFUNCTION("""COMPUTED_VALUE"""),FALSE)</f>
        <v>0</v>
      </c>
      <c r="K592" s="32"/>
      <c r="L592" s="32" t="b">
        <f>IFERROR(__xludf.DUMMYFUNCTION("""COMPUTED_VALUE"""),FALSE)</f>
        <v>0</v>
      </c>
      <c r="M592" s="32" t="b">
        <f>IFERROR(__xludf.DUMMYFUNCTION("""COMPUTED_VALUE"""),FALSE)</f>
        <v>0</v>
      </c>
      <c r="N592" s="32"/>
    </row>
    <row r="593">
      <c r="A593" s="32"/>
      <c r="B593" s="32"/>
      <c r="C593" s="32"/>
      <c r="D593" s="32"/>
      <c r="E593" s="32"/>
      <c r="F593" s="32"/>
      <c r="G593" s="32"/>
      <c r="H593" s="32"/>
      <c r="I593" s="32"/>
      <c r="J593" s="32" t="b">
        <f>IFERROR(__xludf.DUMMYFUNCTION("""COMPUTED_VALUE"""),FALSE)</f>
        <v>0</v>
      </c>
      <c r="K593" s="32"/>
      <c r="L593" s="32" t="b">
        <f>IFERROR(__xludf.DUMMYFUNCTION("""COMPUTED_VALUE"""),FALSE)</f>
        <v>0</v>
      </c>
      <c r="M593" s="32" t="b">
        <f>IFERROR(__xludf.DUMMYFUNCTION("""COMPUTED_VALUE"""),FALSE)</f>
        <v>0</v>
      </c>
      <c r="N593" s="32"/>
    </row>
    <row r="594">
      <c r="A594" s="32"/>
      <c r="B594" s="32"/>
      <c r="C594" s="32"/>
      <c r="D594" s="32"/>
      <c r="E594" s="32"/>
      <c r="F594" s="32"/>
      <c r="G594" s="32"/>
      <c r="H594" s="32"/>
      <c r="I594" s="32"/>
      <c r="J594" s="32" t="b">
        <f>IFERROR(__xludf.DUMMYFUNCTION("""COMPUTED_VALUE"""),TRUE)</f>
        <v>1</v>
      </c>
      <c r="K594" s="32"/>
      <c r="L594" s="32" t="b">
        <f>IFERROR(__xludf.DUMMYFUNCTION("""COMPUTED_VALUE"""),FALSE)</f>
        <v>0</v>
      </c>
      <c r="M594" s="32" t="b">
        <f>IFERROR(__xludf.DUMMYFUNCTION("""COMPUTED_VALUE"""),FALSE)</f>
        <v>0</v>
      </c>
      <c r="N594" s="32"/>
    </row>
    <row r="595">
      <c r="A595" s="32"/>
      <c r="B595" s="32"/>
      <c r="C595" s="32"/>
      <c r="D595" s="32"/>
      <c r="E595" s="32"/>
      <c r="F595" s="32"/>
      <c r="G595" s="32"/>
      <c r="H595" s="32"/>
      <c r="I595" s="32"/>
      <c r="J595" s="32" t="b">
        <f>IFERROR(__xludf.DUMMYFUNCTION("""COMPUTED_VALUE"""),FALSE)</f>
        <v>0</v>
      </c>
      <c r="K595" s="32"/>
      <c r="L595" s="32" t="b">
        <f>IFERROR(__xludf.DUMMYFUNCTION("""COMPUTED_VALUE"""),FALSE)</f>
        <v>0</v>
      </c>
      <c r="M595" s="32" t="b">
        <f>IFERROR(__xludf.DUMMYFUNCTION("""COMPUTED_VALUE"""),FALSE)</f>
        <v>0</v>
      </c>
      <c r="N595" s="32"/>
    </row>
    <row r="596">
      <c r="A596" s="32"/>
      <c r="B596" s="32"/>
      <c r="C596" s="32"/>
      <c r="D596" s="32"/>
      <c r="E596" s="32"/>
      <c r="F596" s="32"/>
      <c r="G596" s="32"/>
      <c r="H596" s="32"/>
      <c r="I596" s="32"/>
      <c r="J596" s="32" t="b">
        <f>IFERROR(__xludf.DUMMYFUNCTION("""COMPUTED_VALUE"""),TRUE)</f>
        <v>1</v>
      </c>
      <c r="K596" s="32"/>
      <c r="L596" s="32" t="b">
        <f>IFERROR(__xludf.DUMMYFUNCTION("""COMPUTED_VALUE"""),FALSE)</f>
        <v>0</v>
      </c>
      <c r="M596" s="32" t="b">
        <f>IFERROR(__xludf.DUMMYFUNCTION("""COMPUTED_VALUE"""),FALSE)</f>
        <v>0</v>
      </c>
      <c r="N596" s="32"/>
    </row>
    <row r="597">
      <c r="A597" s="32"/>
      <c r="B597" s="32"/>
      <c r="C597" s="32"/>
      <c r="D597" s="32"/>
      <c r="E597" s="32"/>
      <c r="F597" s="32"/>
      <c r="G597" s="32"/>
      <c r="H597" s="32"/>
      <c r="I597" s="32"/>
      <c r="J597" s="32" t="b">
        <f>IFERROR(__xludf.DUMMYFUNCTION("""COMPUTED_VALUE"""),FALSE)</f>
        <v>0</v>
      </c>
      <c r="K597" s="32"/>
      <c r="L597" s="32" t="b">
        <f>IFERROR(__xludf.DUMMYFUNCTION("""COMPUTED_VALUE"""),FALSE)</f>
        <v>0</v>
      </c>
      <c r="M597" s="32" t="b">
        <f>IFERROR(__xludf.DUMMYFUNCTION("""COMPUTED_VALUE"""),FALSE)</f>
        <v>0</v>
      </c>
      <c r="N597" s="32"/>
    </row>
    <row r="598">
      <c r="A598" s="32"/>
      <c r="B598" s="32"/>
      <c r="C598" s="32"/>
      <c r="D598" s="32"/>
      <c r="E598" s="32"/>
      <c r="F598" s="32"/>
      <c r="G598" s="32"/>
      <c r="H598" s="32"/>
      <c r="I598" s="32"/>
      <c r="J598" s="32" t="b">
        <f>IFERROR(__xludf.DUMMYFUNCTION("""COMPUTED_VALUE"""),FALSE)</f>
        <v>0</v>
      </c>
      <c r="K598" s="32"/>
      <c r="L598" s="32" t="b">
        <f>IFERROR(__xludf.DUMMYFUNCTION("""COMPUTED_VALUE"""),FALSE)</f>
        <v>0</v>
      </c>
      <c r="M598" s="32" t="b">
        <f>IFERROR(__xludf.DUMMYFUNCTION("""COMPUTED_VALUE"""),FALSE)</f>
        <v>0</v>
      </c>
      <c r="N598" s="32"/>
    </row>
    <row r="599">
      <c r="A599" s="32"/>
      <c r="B599" s="32"/>
      <c r="C599" s="32"/>
      <c r="D599" s="32"/>
      <c r="E599" s="32"/>
      <c r="F599" s="32"/>
      <c r="G599" s="32"/>
      <c r="H599" s="32"/>
      <c r="I599" s="32"/>
      <c r="J599" s="32" t="b">
        <f>IFERROR(__xludf.DUMMYFUNCTION("""COMPUTED_VALUE"""),FALSE)</f>
        <v>0</v>
      </c>
      <c r="K599" s="32"/>
      <c r="L599" s="32" t="b">
        <f>IFERROR(__xludf.DUMMYFUNCTION("""COMPUTED_VALUE"""),FALSE)</f>
        <v>0</v>
      </c>
      <c r="M599" s="32" t="b">
        <f>IFERROR(__xludf.DUMMYFUNCTION("""COMPUTED_VALUE"""),FALSE)</f>
        <v>0</v>
      </c>
      <c r="N599" s="32"/>
    </row>
    <row r="600">
      <c r="A600" s="32"/>
      <c r="B600" s="32"/>
      <c r="C600" s="32"/>
      <c r="D600" s="32"/>
      <c r="E600" s="32"/>
      <c r="F600" s="32"/>
      <c r="G600" s="32"/>
      <c r="H600" s="32"/>
      <c r="I600" s="32"/>
      <c r="J600" s="32" t="b">
        <f>IFERROR(__xludf.DUMMYFUNCTION("""COMPUTED_VALUE"""),FALSE)</f>
        <v>0</v>
      </c>
      <c r="K600" s="32"/>
      <c r="L600" s="32" t="b">
        <f>IFERROR(__xludf.DUMMYFUNCTION("""COMPUTED_VALUE"""),FALSE)</f>
        <v>0</v>
      </c>
      <c r="M600" s="32" t="b">
        <f>IFERROR(__xludf.DUMMYFUNCTION("""COMPUTED_VALUE"""),FALSE)</f>
        <v>0</v>
      </c>
      <c r="N600" s="32"/>
    </row>
    <row r="601">
      <c r="A601" s="32"/>
      <c r="B601" s="32"/>
      <c r="C601" s="32"/>
      <c r="D601" s="32"/>
      <c r="E601" s="32"/>
      <c r="F601" s="32"/>
      <c r="G601" s="32"/>
      <c r="H601" s="32"/>
      <c r="I601" s="32"/>
      <c r="J601" s="32" t="b">
        <f>IFERROR(__xludf.DUMMYFUNCTION("""COMPUTED_VALUE"""),FALSE)</f>
        <v>0</v>
      </c>
      <c r="K601" s="32"/>
      <c r="L601" s="32" t="b">
        <f>IFERROR(__xludf.DUMMYFUNCTION("""COMPUTED_VALUE"""),FALSE)</f>
        <v>0</v>
      </c>
      <c r="M601" s="32" t="b">
        <f>IFERROR(__xludf.DUMMYFUNCTION("""COMPUTED_VALUE"""),FALSE)</f>
        <v>0</v>
      </c>
      <c r="N601" s="32"/>
    </row>
    <row r="602">
      <c r="A602" s="32"/>
      <c r="B602" s="32"/>
      <c r="C602" s="32"/>
      <c r="D602" s="32"/>
      <c r="E602" s="32"/>
      <c r="F602" s="32"/>
      <c r="G602" s="32"/>
      <c r="H602" s="32"/>
      <c r="I602" s="32"/>
      <c r="J602" s="32" t="b">
        <f>IFERROR(__xludf.DUMMYFUNCTION("""COMPUTED_VALUE"""),FALSE)</f>
        <v>0</v>
      </c>
      <c r="K602" s="32"/>
      <c r="L602" s="32" t="b">
        <f>IFERROR(__xludf.DUMMYFUNCTION("""COMPUTED_VALUE"""),FALSE)</f>
        <v>0</v>
      </c>
      <c r="M602" s="32" t="b">
        <f>IFERROR(__xludf.DUMMYFUNCTION("""COMPUTED_VALUE"""),FALSE)</f>
        <v>0</v>
      </c>
      <c r="N602" s="32"/>
    </row>
    <row r="603">
      <c r="A603" s="32"/>
      <c r="B603" s="32"/>
      <c r="C603" s="32"/>
      <c r="D603" s="32"/>
      <c r="E603" s="32"/>
      <c r="F603" s="32"/>
      <c r="G603" s="32"/>
      <c r="H603" s="32"/>
      <c r="I603" s="32"/>
      <c r="J603" s="32" t="b">
        <f>IFERROR(__xludf.DUMMYFUNCTION("""COMPUTED_VALUE"""),FALSE)</f>
        <v>0</v>
      </c>
      <c r="K603" s="32"/>
      <c r="L603" s="32" t="b">
        <f>IFERROR(__xludf.DUMMYFUNCTION("""COMPUTED_VALUE"""),FALSE)</f>
        <v>0</v>
      </c>
      <c r="M603" s="32" t="b">
        <f>IFERROR(__xludf.DUMMYFUNCTION("""COMPUTED_VALUE"""),FALSE)</f>
        <v>0</v>
      </c>
      <c r="N603" s="32"/>
    </row>
    <row r="604">
      <c r="A604" s="32"/>
      <c r="B604" s="32"/>
      <c r="C604" s="32"/>
      <c r="D604" s="32"/>
      <c r="E604" s="32"/>
      <c r="F604" s="32"/>
      <c r="G604" s="32"/>
      <c r="H604" s="32"/>
      <c r="I604" s="32"/>
      <c r="J604" s="32" t="b">
        <f>IFERROR(__xludf.DUMMYFUNCTION("""COMPUTED_VALUE"""),FALSE)</f>
        <v>0</v>
      </c>
      <c r="K604" s="32"/>
      <c r="L604" s="32" t="b">
        <f>IFERROR(__xludf.DUMMYFUNCTION("""COMPUTED_VALUE"""),FALSE)</f>
        <v>0</v>
      </c>
      <c r="M604" s="32" t="b">
        <f>IFERROR(__xludf.DUMMYFUNCTION("""COMPUTED_VALUE"""),FALSE)</f>
        <v>0</v>
      </c>
      <c r="N604" s="32"/>
    </row>
    <row r="605">
      <c r="A605" s="32"/>
      <c r="B605" s="32"/>
      <c r="C605" s="32"/>
      <c r="D605" s="32"/>
      <c r="E605" s="32"/>
      <c r="F605" s="32"/>
      <c r="G605" s="32"/>
      <c r="H605" s="32"/>
      <c r="I605" s="32"/>
      <c r="J605" s="32" t="b">
        <f>IFERROR(__xludf.DUMMYFUNCTION("""COMPUTED_VALUE"""),FALSE)</f>
        <v>0</v>
      </c>
      <c r="K605" s="32"/>
      <c r="L605" s="32" t="b">
        <f>IFERROR(__xludf.DUMMYFUNCTION("""COMPUTED_VALUE"""),FALSE)</f>
        <v>0</v>
      </c>
      <c r="M605" s="32" t="b">
        <f>IFERROR(__xludf.DUMMYFUNCTION("""COMPUTED_VALUE"""),FALSE)</f>
        <v>0</v>
      </c>
      <c r="N605" s="32"/>
    </row>
    <row r="606">
      <c r="A606" s="32"/>
      <c r="B606" s="32"/>
      <c r="C606" s="32"/>
      <c r="D606" s="32"/>
      <c r="E606" s="32"/>
      <c r="F606" s="32"/>
      <c r="G606" s="32"/>
      <c r="H606" s="32"/>
      <c r="I606" s="32"/>
      <c r="J606" s="32" t="b">
        <f>IFERROR(__xludf.DUMMYFUNCTION("""COMPUTED_VALUE"""),FALSE)</f>
        <v>0</v>
      </c>
      <c r="K606" s="32"/>
      <c r="L606" s="32" t="b">
        <f>IFERROR(__xludf.DUMMYFUNCTION("""COMPUTED_VALUE"""),FALSE)</f>
        <v>0</v>
      </c>
      <c r="M606" s="32" t="b">
        <f>IFERROR(__xludf.DUMMYFUNCTION("""COMPUTED_VALUE"""),FALSE)</f>
        <v>0</v>
      </c>
      <c r="N606" s="32"/>
    </row>
    <row r="607">
      <c r="A607" s="32"/>
      <c r="B607" s="32"/>
      <c r="C607" s="32"/>
      <c r="D607" s="32"/>
      <c r="E607" s="32"/>
      <c r="F607" s="32"/>
      <c r="G607" s="32"/>
      <c r="H607" s="32"/>
      <c r="I607" s="32"/>
      <c r="J607" s="32" t="b">
        <f>IFERROR(__xludf.DUMMYFUNCTION("""COMPUTED_VALUE"""),FALSE)</f>
        <v>0</v>
      </c>
      <c r="K607" s="32"/>
      <c r="L607" s="32" t="b">
        <f>IFERROR(__xludf.DUMMYFUNCTION("""COMPUTED_VALUE"""),FALSE)</f>
        <v>0</v>
      </c>
      <c r="M607" s="32" t="b">
        <f>IFERROR(__xludf.DUMMYFUNCTION("""COMPUTED_VALUE"""),FALSE)</f>
        <v>0</v>
      </c>
      <c r="N607" s="32"/>
    </row>
    <row r="608">
      <c r="A608" s="32"/>
      <c r="B608" s="32"/>
      <c r="C608" s="32"/>
      <c r="D608" s="32"/>
      <c r="E608" s="32"/>
      <c r="F608" s="32"/>
      <c r="G608" s="32"/>
      <c r="H608" s="32"/>
      <c r="I608" s="32"/>
      <c r="J608" s="32" t="b">
        <f>IFERROR(__xludf.DUMMYFUNCTION("""COMPUTED_VALUE"""),TRUE)</f>
        <v>1</v>
      </c>
      <c r="K608" s="32"/>
      <c r="L608" s="32" t="b">
        <f>IFERROR(__xludf.DUMMYFUNCTION("""COMPUTED_VALUE"""),FALSE)</f>
        <v>0</v>
      </c>
      <c r="M608" s="32" t="b">
        <f>IFERROR(__xludf.DUMMYFUNCTION("""COMPUTED_VALUE"""),FALSE)</f>
        <v>0</v>
      </c>
      <c r="N608" s="32"/>
    </row>
    <row r="609">
      <c r="A609" s="32"/>
      <c r="B609" s="32"/>
      <c r="C609" s="32"/>
      <c r="D609" s="32"/>
      <c r="E609" s="32"/>
      <c r="F609" s="32"/>
      <c r="G609" s="32"/>
      <c r="H609" s="32"/>
      <c r="I609" s="32"/>
      <c r="J609" s="32" t="b">
        <f>IFERROR(__xludf.DUMMYFUNCTION("""COMPUTED_VALUE"""),TRUE)</f>
        <v>1</v>
      </c>
      <c r="K609" s="32" t="str">
        <f>IFERROR(__xludf.DUMMYFUNCTION("""COMPUTED_VALUE"""),"mob power")</f>
        <v>mob power</v>
      </c>
      <c r="L609" s="32" t="b">
        <f>IFERROR(__xludf.DUMMYFUNCTION("""COMPUTED_VALUE"""),FALSE)</f>
        <v>0</v>
      </c>
      <c r="M609" s="32" t="b">
        <f>IFERROR(__xludf.DUMMYFUNCTION("""COMPUTED_VALUE"""),FALSE)</f>
        <v>0</v>
      </c>
      <c r="N609" s="32"/>
    </row>
    <row r="610">
      <c r="A610" s="32"/>
      <c r="B610" s="32"/>
      <c r="C610" s="32"/>
      <c r="D610" s="32"/>
      <c r="E610" s="32"/>
      <c r="F610" s="32"/>
      <c r="G610" s="32"/>
      <c r="H610" s="32"/>
      <c r="I610" s="32"/>
      <c r="J610" s="32" t="b">
        <f>IFERROR(__xludf.DUMMYFUNCTION("""COMPUTED_VALUE"""),FALSE)</f>
        <v>0</v>
      </c>
      <c r="K610" s="32"/>
      <c r="L610" s="32" t="b">
        <f>IFERROR(__xludf.DUMMYFUNCTION("""COMPUTED_VALUE"""),TRUE)</f>
        <v>1</v>
      </c>
      <c r="M610" s="32" t="b">
        <f>IFERROR(__xludf.DUMMYFUNCTION("""COMPUTED_VALUE"""),FALSE)</f>
        <v>0</v>
      </c>
      <c r="N610" s="32"/>
    </row>
    <row r="611">
      <c r="A611" s="32"/>
      <c r="B611" s="32"/>
      <c r="C611" s="32"/>
      <c r="D611" s="32"/>
      <c r="E611" s="32"/>
      <c r="F611" s="32"/>
      <c r="G611" s="32"/>
      <c r="H611" s="32"/>
      <c r="I611" s="32"/>
      <c r="J611" s="32" t="b">
        <f>IFERROR(__xludf.DUMMYFUNCTION("""COMPUTED_VALUE"""),FALSE)</f>
        <v>0</v>
      </c>
      <c r="K611" s="32"/>
      <c r="L611" s="32" t="b">
        <f>IFERROR(__xludf.DUMMYFUNCTION("""COMPUTED_VALUE"""),TRUE)</f>
        <v>1</v>
      </c>
      <c r="M611" s="32" t="b">
        <f>IFERROR(__xludf.DUMMYFUNCTION("""COMPUTED_VALUE"""),FALSE)</f>
        <v>0</v>
      </c>
      <c r="N611" s="32"/>
    </row>
    <row r="612">
      <c r="A612" s="32"/>
      <c r="B612" s="32"/>
      <c r="C612" s="32"/>
      <c r="D612" s="32"/>
      <c r="E612" s="32"/>
      <c r="F612" s="32"/>
      <c r="G612" s="32"/>
      <c r="H612" s="32"/>
      <c r="I612" s="32"/>
      <c r="J612" s="32" t="b">
        <f>IFERROR(__xludf.DUMMYFUNCTION("""COMPUTED_VALUE"""),FALSE)</f>
        <v>0</v>
      </c>
      <c r="K612" s="32"/>
      <c r="L612" s="32" t="b">
        <f>IFERROR(__xludf.DUMMYFUNCTION("""COMPUTED_VALUE"""),TRUE)</f>
        <v>1</v>
      </c>
      <c r="M612" s="32" t="b">
        <f>IFERROR(__xludf.DUMMYFUNCTION("""COMPUTED_VALUE"""),FALSE)</f>
        <v>0</v>
      </c>
      <c r="N612" s="32"/>
    </row>
    <row r="613">
      <c r="A613" s="32"/>
      <c r="B613" s="32"/>
      <c r="C613" s="32"/>
      <c r="D613" s="32"/>
      <c r="E613" s="32"/>
      <c r="F613" s="32"/>
      <c r="G613" s="32"/>
      <c r="H613" s="32"/>
      <c r="I613" s="32"/>
      <c r="J613" s="32" t="b">
        <f>IFERROR(__xludf.DUMMYFUNCTION("""COMPUTED_VALUE"""),FALSE)</f>
        <v>0</v>
      </c>
      <c r="K613" s="32"/>
      <c r="L613" s="32" t="b">
        <f>IFERROR(__xludf.DUMMYFUNCTION("""COMPUTED_VALUE"""),TRUE)</f>
        <v>1</v>
      </c>
      <c r="M613" s="32" t="b">
        <f>IFERROR(__xludf.DUMMYFUNCTION("""COMPUTED_VALUE"""),FALSE)</f>
        <v>0</v>
      </c>
      <c r="N613" s="32"/>
    </row>
    <row r="614">
      <c r="A614" s="32"/>
      <c r="B614" s="32"/>
      <c r="C614" s="32"/>
      <c r="D614" s="32"/>
      <c r="E614" s="32"/>
      <c r="F614" s="32"/>
      <c r="G614" s="32"/>
      <c r="H614" s="32"/>
      <c r="I614" s="32"/>
      <c r="J614" s="32" t="b">
        <f>IFERROR(__xludf.DUMMYFUNCTION("""COMPUTED_VALUE"""),FALSE)</f>
        <v>0</v>
      </c>
      <c r="K614" s="32"/>
      <c r="L614" s="32" t="b">
        <f>IFERROR(__xludf.DUMMYFUNCTION("""COMPUTED_VALUE"""),TRUE)</f>
        <v>1</v>
      </c>
      <c r="M614" s="32" t="b">
        <f>IFERROR(__xludf.DUMMYFUNCTION("""COMPUTED_VALUE"""),FALSE)</f>
        <v>0</v>
      </c>
      <c r="N614" s="32"/>
    </row>
    <row r="615">
      <c r="A615" s="32"/>
      <c r="B615" s="32"/>
      <c r="C615" s="32"/>
      <c r="D615" s="32"/>
      <c r="E615" s="32"/>
      <c r="F615" s="32"/>
      <c r="G615" s="32"/>
      <c r="H615" s="32"/>
      <c r="I615" s="32"/>
      <c r="J615" s="32" t="b">
        <f>IFERROR(__xludf.DUMMYFUNCTION("""COMPUTED_VALUE"""),FALSE)</f>
        <v>0</v>
      </c>
      <c r="K615" s="32"/>
      <c r="L615" s="32" t="b">
        <f>IFERROR(__xludf.DUMMYFUNCTION("""COMPUTED_VALUE"""),FALSE)</f>
        <v>0</v>
      </c>
      <c r="M615" s="32" t="b">
        <f>IFERROR(__xludf.DUMMYFUNCTION("""COMPUTED_VALUE"""),FALSE)</f>
        <v>0</v>
      </c>
      <c r="N615" s="32"/>
    </row>
    <row r="616">
      <c r="A616" s="32"/>
      <c r="B616" s="32"/>
      <c r="C616" s="32"/>
      <c r="D616" s="32"/>
      <c r="E616" s="32"/>
      <c r="F616" s="32"/>
      <c r="G616" s="32"/>
      <c r="H616" s="32"/>
      <c r="I616" s="32"/>
      <c r="J616" s="32" t="b">
        <f>IFERROR(__xludf.DUMMYFUNCTION("""COMPUTED_VALUE"""),FALSE)</f>
        <v>0</v>
      </c>
      <c r="K616" s="32"/>
      <c r="L616" s="32" t="b">
        <f>IFERROR(__xludf.DUMMYFUNCTION("""COMPUTED_VALUE"""),FALSE)</f>
        <v>0</v>
      </c>
      <c r="M616" s="32" t="b">
        <f>IFERROR(__xludf.DUMMYFUNCTION("""COMPUTED_VALUE"""),FALSE)</f>
        <v>0</v>
      </c>
      <c r="N616" s="32"/>
    </row>
    <row r="617">
      <c r="A617" s="32"/>
      <c r="B617" s="32"/>
      <c r="C617" s="32"/>
      <c r="D617" s="32"/>
      <c r="E617" s="32"/>
      <c r="F617" s="32"/>
      <c r="G617" s="32"/>
      <c r="H617" s="32"/>
      <c r="I617" s="32"/>
      <c r="J617" s="32" t="b">
        <f>IFERROR(__xludf.DUMMYFUNCTION("""COMPUTED_VALUE"""),FALSE)</f>
        <v>0</v>
      </c>
      <c r="K617" s="32"/>
      <c r="L617" s="32" t="b">
        <f>IFERROR(__xludf.DUMMYFUNCTION("""COMPUTED_VALUE"""),FALSE)</f>
        <v>0</v>
      </c>
      <c r="M617" s="32" t="b">
        <f>IFERROR(__xludf.DUMMYFUNCTION("""COMPUTED_VALUE"""),FALSE)</f>
        <v>0</v>
      </c>
      <c r="N617" s="32"/>
    </row>
    <row r="618">
      <c r="A618" s="32"/>
      <c r="B618" s="32"/>
      <c r="C618" s="32"/>
      <c r="D618" s="32"/>
      <c r="E618" s="32"/>
      <c r="F618" s="32"/>
      <c r="G618" s="32"/>
      <c r="H618" s="32"/>
      <c r="I618" s="32"/>
      <c r="J618" s="32" t="b">
        <f>IFERROR(__xludf.DUMMYFUNCTION("""COMPUTED_VALUE"""),FALSE)</f>
        <v>0</v>
      </c>
      <c r="K618" s="32"/>
      <c r="L618" s="32" t="b">
        <f>IFERROR(__xludf.DUMMYFUNCTION("""COMPUTED_VALUE"""),FALSE)</f>
        <v>0</v>
      </c>
      <c r="M618" s="32" t="b">
        <f>IFERROR(__xludf.DUMMYFUNCTION("""COMPUTED_VALUE"""),FALSE)</f>
        <v>0</v>
      </c>
      <c r="N618" s="32"/>
    </row>
    <row r="619">
      <c r="A619" s="32"/>
      <c r="B619" s="32"/>
      <c r="C619" s="32"/>
      <c r="D619" s="32"/>
      <c r="E619" s="32"/>
      <c r="F619" s="32"/>
      <c r="G619" s="32"/>
      <c r="H619" s="32"/>
      <c r="I619" s="32"/>
      <c r="J619" s="32" t="b">
        <f>IFERROR(__xludf.DUMMYFUNCTION("""COMPUTED_VALUE"""),FALSE)</f>
        <v>0</v>
      </c>
      <c r="K619" s="32"/>
      <c r="L619" s="32" t="b">
        <f>IFERROR(__xludf.DUMMYFUNCTION("""COMPUTED_VALUE"""),FALSE)</f>
        <v>0</v>
      </c>
      <c r="M619" s="32" t="b">
        <f>IFERROR(__xludf.DUMMYFUNCTION("""COMPUTED_VALUE"""),FALSE)</f>
        <v>0</v>
      </c>
      <c r="N619" s="32"/>
    </row>
    <row r="620">
      <c r="A620" s="32"/>
      <c r="B620" s="32"/>
      <c r="C620" s="32"/>
      <c r="D620" s="32"/>
      <c r="E620" s="32"/>
      <c r="F620" s="32"/>
      <c r="G620" s="32"/>
      <c r="H620" s="32"/>
      <c r="I620" s="32"/>
      <c r="J620" s="32" t="b">
        <f>IFERROR(__xludf.DUMMYFUNCTION("""COMPUTED_VALUE"""),FALSE)</f>
        <v>0</v>
      </c>
      <c r="K620" s="32"/>
      <c r="L620" s="32" t="b">
        <f>IFERROR(__xludf.DUMMYFUNCTION("""COMPUTED_VALUE"""),FALSE)</f>
        <v>0</v>
      </c>
      <c r="M620" s="32" t="b">
        <f>IFERROR(__xludf.DUMMYFUNCTION("""COMPUTED_VALUE"""),FALSE)</f>
        <v>0</v>
      </c>
      <c r="N620" s="32"/>
    </row>
    <row r="621">
      <c r="A621" s="32"/>
      <c r="B621" s="32"/>
      <c r="C621" s="32"/>
      <c r="D621" s="32"/>
      <c r="E621" s="32"/>
      <c r="F621" s="32"/>
      <c r="G621" s="32"/>
      <c r="H621" s="32"/>
      <c r="I621" s="32"/>
      <c r="J621" s="32" t="b">
        <f>IFERROR(__xludf.DUMMYFUNCTION("""COMPUTED_VALUE"""),FALSE)</f>
        <v>0</v>
      </c>
      <c r="K621" s="32"/>
      <c r="L621" s="32" t="b">
        <f>IFERROR(__xludf.DUMMYFUNCTION("""COMPUTED_VALUE"""),FALSE)</f>
        <v>0</v>
      </c>
      <c r="M621" s="32" t="b">
        <f>IFERROR(__xludf.DUMMYFUNCTION("""COMPUTED_VALUE"""),FALSE)</f>
        <v>0</v>
      </c>
      <c r="N621" s="32"/>
    </row>
    <row r="622">
      <c r="A622" s="32"/>
      <c r="B622" s="32"/>
      <c r="C622" s="32"/>
      <c r="D622" s="32"/>
      <c r="E622" s="32"/>
      <c r="F622" s="32"/>
      <c r="G622" s="32"/>
      <c r="H622" s="32"/>
      <c r="I622" s="32"/>
      <c r="J622" s="32" t="b">
        <f>IFERROR(__xludf.DUMMYFUNCTION("""COMPUTED_VALUE"""),FALSE)</f>
        <v>0</v>
      </c>
      <c r="K622" s="32"/>
      <c r="L622" s="32" t="b">
        <f>IFERROR(__xludf.DUMMYFUNCTION("""COMPUTED_VALUE"""),FALSE)</f>
        <v>0</v>
      </c>
      <c r="M622" s="32" t="b">
        <f>IFERROR(__xludf.DUMMYFUNCTION("""COMPUTED_VALUE"""),FALSE)</f>
        <v>0</v>
      </c>
      <c r="N622" s="32"/>
    </row>
    <row r="623">
      <c r="A623" s="32"/>
      <c r="B623" s="32"/>
      <c r="C623" s="32"/>
      <c r="D623" s="32"/>
      <c r="E623" s="32"/>
      <c r="F623" s="32"/>
      <c r="G623" s="32"/>
      <c r="H623" s="32"/>
      <c r="I623" s="32"/>
      <c r="J623" s="32" t="b">
        <f>IFERROR(__xludf.DUMMYFUNCTION("""COMPUTED_VALUE"""),FALSE)</f>
        <v>0</v>
      </c>
      <c r="K623" s="32"/>
      <c r="L623" s="32" t="b">
        <f>IFERROR(__xludf.DUMMYFUNCTION("""COMPUTED_VALUE"""),FALSE)</f>
        <v>0</v>
      </c>
      <c r="M623" s="32" t="b">
        <f>IFERROR(__xludf.DUMMYFUNCTION("""COMPUTED_VALUE"""),FALSE)</f>
        <v>0</v>
      </c>
      <c r="N623" s="32"/>
    </row>
    <row r="624">
      <c r="A624" s="32"/>
      <c r="B624" s="32"/>
      <c r="C624" s="32"/>
      <c r="D624" s="32"/>
      <c r="E624" s="32"/>
      <c r="F624" s="32"/>
      <c r="G624" s="32"/>
      <c r="H624" s="32"/>
      <c r="I624" s="32"/>
      <c r="J624" s="32" t="b">
        <f>IFERROR(__xludf.DUMMYFUNCTION("""COMPUTED_VALUE"""),FALSE)</f>
        <v>0</v>
      </c>
      <c r="K624" s="32"/>
      <c r="L624" s="32" t="b">
        <f>IFERROR(__xludf.DUMMYFUNCTION("""COMPUTED_VALUE"""),FALSE)</f>
        <v>0</v>
      </c>
      <c r="M624" s="32" t="b">
        <f>IFERROR(__xludf.DUMMYFUNCTION("""COMPUTED_VALUE"""),FALSE)</f>
        <v>0</v>
      </c>
      <c r="N624" s="32"/>
    </row>
    <row r="625">
      <c r="A625" s="32"/>
      <c r="B625" s="32"/>
      <c r="C625" s="32"/>
      <c r="D625" s="32"/>
      <c r="E625" s="32"/>
      <c r="F625" s="32"/>
      <c r="G625" s="32"/>
      <c r="H625" s="32"/>
      <c r="I625" s="32"/>
      <c r="J625" s="32" t="b">
        <f>IFERROR(__xludf.DUMMYFUNCTION("""COMPUTED_VALUE"""),FALSE)</f>
        <v>0</v>
      </c>
      <c r="K625" s="32"/>
      <c r="L625" s="32" t="b">
        <f>IFERROR(__xludf.DUMMYFUNCTION("""COMPUTED_VALUE"""),FALSE)</f>
        <v>0</v>
      </c>
      <c r="M625" s="32" t="b">
        <f>IFERROR(__xludf.DUMMYFUNCTION("""COMPUTED_VALUE"""),FALSE)</f>
        <v>0</v>
      </c>
      <c r="N625" s="32"/>
    </row>
    <row r="626">
      <c r="A626" s="32"/>
      <c r="B626" s="32"/>
      <c r="C626" s="32"/>
      <c r="D626" s="32"/>
      <c r="E626" s="32"/>
      <c r="F626" s="32"/>
      <c r="G626" s="32"/>
      <c r="H626" s="32"/>
      <c r="I626" s="32"/>
      <c r="J626" s="32" t="b">
        <f>IFERROR(__xludf.DUMMYFUNCTION("""COMPUTED_VALUE"""),FALSE)</f>
        <v>0</v>
      </c>
      <c r="K626" s="32"/>
      <c r="L626" s="32" t="b">
        <f>IFERROR(__xludf.DUMMYFUNCTION("""COMPUTED_VALUE"""),FALSE)</f>
        <v>0</v>
      </c>
      <c r="M626" s="32" t="b">
        <f>IFERROR(__xludf.DUMMYFUNCTION("""COMPUTED_VALUE"""),FALSE)</f>
        <v>0</v>
      </c>
      <c r="N626" s="32"/>
    </row>
    <row r="627">
      <c r="A627" s="32"/>
      <c r="B627" s="32"/>
      <c r="C627" s="32"/>
      <c r="D627" s="32"/>
      <c r="E627" s="32"/>
      <c r="F627" s="32"/>
      <c r="G627" s="32"/>
      <c r="H627" s="32"/>
      <c r="I627" s="32"/>
      <c r="J627" s="32" t="b">
        <f>IFERROR(__xludf.DUMMYFUNCTION("""COMPUTED_VALUE"""),FALSE)</f>
        <v>0</v>
      </c>
      <c r="K627" s="32"/>
      <c r="L627" s="32" t="b">
        <f>IFERROR(__xludf.DUMMYFUNCTION("""COMPUTED_VALUE"""),FALSE)</f>
        <v>0</v>
      </c>
      <c r="M627" s="32" t="b">
        <f>IFERROR(__xludf.DUMMYFUNCTION("""COMPUTED_VALUE"""),FALSE)</f>
        <v>0</v>
      </c>
      <c r="N627" s="32"/>
    </row>
    <row r="628">
      <c r="A628" s="32"/>
      <c r="B628" s="32"/>
      <c r="C628" s="32"/>
      <c r="D628" s="32"/>
      <c r="E628" s="32"/>
      <c r="F628" s="32"/>
      <c r="G628" s="32"/>
      <c r="H628" s="32"/>
      <c r="I628" s="32"/>
      <c r="J628" s="32" t="b">
        <f>IFERROR(__xludf.DUMMYFUNCTION("""COMPUTED_VALUE"""),FALSE)</f>
        <v>0</v>
      </c>
      <c r="K628" s="32"/>
      <c r="L628" s="32" t="b">
        <f>IFERROR(__xludf.DUMMYFUNCTION("""COMPUTED_VALUE"""),FALSE)</f>
        <v>0</v>
      </c>
      <c r="M628" s="32" t="b">
        <f>IFERROR(__xludf.DUMMYFUNCTION("""COMPUTED_VALUE"""),FALSE)</f>
        <v>0</v>
      </c>
      <c r="N628" s="32"/>
    </row>
    <row r="629">
      <c r="A629" s="32"/>
      <c r="B629" s="32"/>
      <c r="C629" s="32"/>
      <c r="D629" s="32"/>
      <c r="E629" s="32"/>
      <c r="F629" s="32"/>
      <c r="G629" s="32"/>
      <c r="H629" s="32"/>
      <c r="I629" s="32"/>
      <c r="J629" s="32" t="b">
        <f>IFERROR(__xludf.DUMMYFUNCTION("""COMPUTED_VALUE"""),FALSE)</f>
        <v>0</v>
      </c>
      <c r="K629" s="32"/>
      <c r="L629" s="32" t="b">
        <f>IFERROR(__xludf.DUMMYFUNCTION("""COMPUTED_VALUE"""),FALSE)</f>
        <v>0</v>
      </c>
      <c r="M629" s="32" t="b">
        <f>IFERROR(__xludf.DUMMYFUNCTION("""COMPUTED_VALUE"""),FALSE)</f>
        <v>0</v>
      </c>
      <c r="N629" s="32"/>
    </row>
    <row r="630">
      <c r="A630" s="32"/>
      <c r="B630" s="32"/>
      <c r="C630" s="32"/>
      <c r="D630" s="32"/>
      <c r="E630" s="32"/>
      <c r="F630" s="32"/>
      <c r="G630" s="32"/>
      <c r="H630" s="32"/>
      <c r="I630" s="32"/>
      <c r="J630" s="32" t="b">
        <f>IFERROR(__xludf.DUMMYFUNCTION("""COMPUTED_VALUE"""),FALSE)</f>
        <v>0</v>
      </c>
      <c r="K630" s="32"/>
      <c r="L630" s="32" t="b">
        <f>IFERROR(__xludf.DUMMYFUNCTION("""COMPUTED_VALUE"""),FALSE)</f>
        <v>0</v>
      </c>
      <c r="M630" s="32" t="b">
        <f>IFERROR(__xludf.DUMMYFUNCTION("""COMPUTED_VALUE"""),FALSE)</f>
        <v>0</v>
      </c>
      <c r="N630" s="32"/>
    </row>
    <row r="631">
      <c r="A631" s="32"/>
      <c r="B631" s="32"/>
      <c r="C631" s="32"/>
      <c r="D631" s="32"/>
      <c r="E631" s="32"/>
      <c r="F631" s="32"/>
      <c r="G631" s="32"/>
      <c r="H631" s="32"/>
      <c r="I631" s="32"/>
      <c r="J631" s="32" t="b">
        <f>IFERROR(__xludf.DUMMYFUNCTION("""COMPUTED_VALUE"""),FALSE)</f>
        <v>0</v>
      </c>
      <c r="K631" s="32"/>
      <c r="L631" s="32" t="b">
        <f>IFERROR(__xludf.DUMMYFUNCTION("""COMPUTED_VALUE"""),FALSE)</f>
        <v>0</v>
      </c>
      <c r="M631" s="32" t="b">
        <f>IFERROR(__xludf.DUMMYFUNCTION("""COMPUTED_VALUE"""),FALSE)</f>
        <v>0</v>
      </c>
      <c r="N631" s="32"/>
    </row>
    <row r="632">
      <c r="A632" s="32"/>
      <c r="B632" s="32"/>
      <c r="C632" s="32"/>
      <c r="D632" s="32"/>
      <c r="E632" s="32"/>
      <c r="F632" s="32"/>
      <c r="G632" s="32"/>
      <c r="H632" s="32"/>
      <c r="I632" s="32"/>
      <c r="J632" s="32" t="b">
        <f>IFERROR(__xludf.DUMMYFUNCTION("""COMPUTED_VALUE"""),FALSE)</f>
        <v>0</v>
      </c>
      <c r="K632" s="32"/>
      <c r="L632" s="32" t="b">
        <f>IFERROR(__xludf.DUMMYFUNCTION("""COMPUTED_VALUE"""),FALSE)</f>
        <v>0</v>
      </c>
      <c r="M632" s="32" t="b">
        <f>IFERROR(__xludf.DUMMYFUNCTION("""COMPUTED_VALUE"""),FALSE)</f>
        <v>0</v>
      </c>
      <c r="N632" s="32"/>
    </row>
    <row r="633">
      <c r="A633" s="32"/>
      <c r="B633" s="32"/>
      <c r="C633" s="32"/>
      <c r="D633" s="32"/>
      <c r="E633" s="32"/>
      <c r="F633" s="32"/>
      <c r="G633" s="32"/>
      <c r="H633" s="32"/>
      <c r="I633" s="32"/>
      <c r="J633" s="32" t="b">
        <f>IFERROR(__xludf.DUMMYFUNCTION("""COMPUTED_VALUE"""),FALSE)</f>
        <v>0</v>
      </c>
      <c r="K633" s="32"/>
      <c r="L633" s="32" t="b">
        <f>IFERROR(__xludf.DUMMYFUNCTION("""COMPUTED_VALUE"""),FALSE)</f>
        <v>0</v>
      </c>
      <c r="M633" s="32" t="b">
        <f>IFERROR(__xludf.DUMMYFUNCTION("""COMPUTED_VALUE"""),FALSE)</f>
        <v>0</v>
      </c>
      <c r="N633" s="32"/>
    </row>
    <row r="634">
      <c r="A634" s="32"/>
      <c r="B634" s="32"/>
      <c r="C634" s="32"/>
      <c r="D634" s="32"/>
      <c r="E634" s="32"/>
      <c r="F634" s="32"/>
      <c r="G634" s="32"/>
      <c r="H634" s="32"/>
      <c r="I634" s="32"/>
      <c r="J634" s="32" t="b">
        <f>IFERROR(__xludf.DUMMYFUNCTION("""COMPUTED_VALUE"""),FALSE)</f>
        <v>0</v>
      </c>
      <c r="K634" s="32"/>
      <c r="L634" s="32" t="b">
        <f>IFERROR(__xludf.DUMMYFUNCTION("""COMPUTED_VALUE"""),TRUE)</f>
        <v>1</v>
      </c>
      <c r="M634" s="32" t="b">
        <f>IFERROR(__xludf.DUMMYFUNCTION("""COMPUTED_VALUE"""),FALSE)</f>
        <v>0</v>
      </c>
      <c r="N634" s="32"/>
    </row>
    <row r="635">
      <c r="A635" s="32"/>
      <c r="B635" s="32"/>
      <c r="C635" s="32"/>
      <c r="D635" s="32"/>
      <c r="E635" s="32"/>
      <c r="F635" s="32"/>
      <c r="G635" s="32"/>
      <c r="H635" s="32"/>
      <c r="I635" s="32"/>
      <c r="J635" s="32" t="b">
        <f>IFERROR(__xludf.DUMMYFUNCTION("""COMPUTED_VALUE"""),FALSE)</f>
        <v>0</v>
      </c>
      <c r="K635" s="32"/>
      <c r="L635" s="32" t="b">
        <f>IFERROR(__xludf.DUMMYFUNCTION("""COMPUTED_VALUE"""),FALSE)</f>
        <v>0</v>
      </c>
      <c r="M635" s="32" t="b">
        <f>IFERROR(__xludf.DUMMYFUNCTION("""COMPUTED_VALUE"""),FALSE)</f>
        <v>0</v>
      </c>
      <c r="N635" s="32"/>
    </row>
    <row r="636">
      <c r="A636" s="32"/>
      <c r="B636" s="32"/>
      <c r="C636" s="32"/>
      <c r="D636" s="32"/>
      <c r="E636" s="32"/>
      <c r="F636" s="32"/>
      <c r="G636" s="32"/>
      <c r="H636" s="32"/>
      <c r="I636" s="32"/>
      <c r="J636" s="32" t="b">
        <f>IFERROR(__xludf.DUMMYFUNCTION("""COMPUTED_VALUE"""),FALSE)</f>
        <v>0</v>
      </c>
      <c r="K636" s="32"/>
      <c r="L636" s="32" t="b">
        <f>IFERROR(__xludf.DUMMYFUNCTION("""COMPUTED_VALUE"""),TRUE)</f>
        <v>1</v>
      </c>
      <c r="M636" s="32" t="b">
        <f>IFERROR(__xludf.DUMMYFUNCTION("""COMPUTED_VALUE"""),FALSE)</f>
        <v>0</v>
      </c>
      <c r="N636" s="32"/>
    </row>
    <row r="637">
      <c r="A637" s="32"/>
      <c r="B637" s="32"/>
      <c r="C637" s="32"/>
      <c r="D637" s="32"/>
      <c r="E637" s="32"/>
      <c r="F637" s="32"/>
      <c r="G637" s="32"/>
      <c r="H637" s="32"/>
      <c r="I637" s="32"/>
      <c r="J637" s="32" t="b">
        <f>IFERROR(__xludf.DUMMYFUNCTION("""COMPUTED_VALUE"""),FALSE)</f>
        <v>0</v>
      </c>
      <c r="K637" s="32"/>
      <c r="L637" s="32" t="b">
        <f>IFERROR(__xludf.DUMMYFUNCTION("""COMPUTED_VALUE"""),TRUE)</f>
        <v>1</v>
      </c>
      <c r="M637" s="32" t="b">
        <f>IFERROR(__xludf.DUMMYFUNCTION("""COMPUTED_VALUE"""),FALSE)</f>
        <v>0</v>
      </c>
      <c r="N637" s="32"/>
    </row>
    <row r="638">
      <c r="A638" s="32"/>
      <c r="B638" s="32"/>
      <c r="C638" s="32"/>
      <c r="D638" s="32"/>
      <c r="E638" s="32"/>
      <c r="F638" s="32"/>
      <c r="G638" s="32"/>
      <c r="H638" s="32"/>
      <c r="I638" s="32"/>
      <c r="J638" s="32" t="b">
        <f>IFERROR(__xludf.DUMMYFUNCTION("""COMPUTED_VALUE"""),FALSE)</f>
        <v>0</v>
      </c>
      <c r="K638" s="32"/>
      <c r="L638" s="32" t="b">
        <f>IFERROR(__xludf.DUMMYFUNCTION("""COMPUTED_VALUE"""),TRUE)</f>
        <v>1</v>
      </c>
      <c r="M638" s="32" t="b">
        <f>IFERROR(__xludf.DUMMYFUNCTION("""COMPUTED_VALUE"""),FALSE)</f>
        <v>0</v>
      </c>
      <c r="N638" s="32"/>
    </row>
    <row r="639">
      <c r="A639" s="32"/>
      <c r="B639" s="32"/>
      <c r="C639" s="32"/>
      <c r="D639" s="32"/>
      <c r="E639" s="32"/>
      <c r="F639" s="32"/>
      <c r="G639" s="32"/>
      <c r="H639" s="32"/>
      <c r="I639" s="32"/>
      <c r="J639" s="32" t="b">
        <f>IFERROR(__xludf.DUMMYFUNCTION("""COMPUTED_VALUE"""),TRUE)</f>
        <v>1</v>
      </c>
      <c r="K639" s="32" t="str">
        <f>IFERROR(__xludf.DUMMYFUNCTION("""COMPUTED_VALUE"""),"Mob spell")</f>
        <v>Mob spell</v>
      </c>
      <c r="L639" s="32" t="b">
        <f>IFERROR(__xludf.DUMMYFUNCTION("""COMPUTED_VALUE"""),TRUE)</f>
        <v>1</v>
      </c>
      <c r="M639" s="32" t="b">
        <f>IFERROR(__xludf.DUMMYFUNCTION("""COMPUTED_VALUE"""),FALSE)</f>
        <v>0</v>
      </c>
      <c r="N639" s="32"/>
    </row>
    <row r="640">
      <c r="A640" s="32"/>
      <c r="B640" s="32"/>
      <c r="C640" s="32"/>
      <c r="D640" s="32"/>
      <c r="E640" s="32"/>
      <c r="F640" s="32"/>
      <c r="G640" s="32"/>
      <c r="H640" s="32"/>
      <c r="I640" s="32"/>
      <c r="J640" s="32" t="b">
        <f>IFERROR(__xludf.DUMMYFUNCTION("""COMPUTED_VALUE"""),FALSE)</f>
        <v>0</v>
      </c>
      <c r="K640" s="32"/>
      <c r="L640" s="32" t="b">
        <f>IFERROR(__xludf.DUMMYFUNCTION("""COMPUTED_VALUE"""),TRUE)</f>
        <v>1</v>
      </c>
      <c r="M640" s="32" t="b">
        <f>IFERROR(__xludf.DUMMYFUNCTION("""COMPUTED_VALUE"""),FALSE)</f>
        <v>0</v>
      </c>
      <c r="N640" s="32"/>
    </row>
    <row r="641">
      <c r="A641" s="32"/>
      <c r="B641" s="32"/>
      <c r="C641" s="32"/>
      <c r="D641" s="32"/>
      <c r="E641" s="32"/>
      <c r="F641" s="32"/>
      <c r="G641" s="32"/>
      <c r="H641" s="32"/>
      <c r="I641" s="32"/>
      <c r="J641" s="32" t="b">
        <f>IFERROR(__xludf.DUMMYFUNCTION("""COMPUTED_VALUE"""),FALSE)</f>
        <v>0</v>
      </c>
      <c r="K641" s="32"/>
      <c r="L641" s="32" t="b">
        <f>IFERROR(__xludf.DUMMYFUNCTION("""COMPUTED_VALUE"""),TRUE)</f>
        <v>1</v>
      </c>
      <c r="M641" s="32" t="b">
        <f>IFERROR(__xludf.DUMMYFUNCTION("""COMPUTED_VALUE"""),FALSE)</f>
        <v>0</v>
      </c>
      <c r="N641" s="32"/>
    </row>
    <row r="642">
      <c r="A642" s="32"/>
      <c r="B642" s="32"/>
      <c r="C642" s="32"/>
      <c r="D642" s="32"/>
      <c r="E642" s="32"/>
      <c r="F642" s="32"/>
      <c r="G642" s="32"/>
      <c r="H642" s="32"/>
      <c r="I642" s="32"/>
      <c r="J642" s="32" t="b">
        <f>IFERROR(__xludf.DUMMYFUNCTION("""COMPUTED_VALUE"""),FALSE)</f>
        <v>0</v>
      </c>
      <c r="K642" s="32"/>
      <c r="L642" s="32" t="b">
        <f>IFERROR(__xludf.DUMMYFUNCTION("""COMPUTED_VALUE"""),TRUE)</f>
        <v>1</v>
      </c>
      <c r="M642" s="32" t="b">
        <f>IFERROR(__xludf.DUMMYFUNCTION("""COMPUTED_VALUE"""),FALSE)</f>
        <v>0</v>
      </c>
      <c r="N642" s="32"/>
    </row>
    <row r="643">
      <c r="A643" s="32"/>
      <c r="B643" s="32"/>
      <c r="C643" s="32"/>
      <c r="D643" s="32"/>
      <c r="E643" s="32"/>
      <c r="F643" s="32"/>
      <c r="G643" s="32"/>
      <c r="H643" s="32"/>
      <c r="I643" s="32"/>
      <c r="J643" s="32" t="b">
        <f>IFERROR(__xludf.DUMMYFUNCTION("""COMPUTED_VALUE"""),FALSE)</f>
        <v>0</v>
      </c>
      <c r="K643" s="32"/>
      <c r="L643" s="32" t="b">
        <f>IFERROR(__xludf.DUMMYFUNCTION("""COMPUTED_VALUE"""),FALSE)</f>
        <v>0</v>
      </c>
      <c r="M643" s="32" t="b">
        <f>IFERROR(__xludf.DUMMYFUNCTION("""COMPUTED_VALUE"""),FALSE)</f>
        <v>0</v>
      </c>
      <c r="N643" s="32"/>
    </row>
    <row r="644">
      <c r="A644" s="32"/>
      <c r="B644" s="32"/>
      <c r="C644" s="32"/>
      <c r="D644" s="32"/>
      <c r="E644" s="32"/>
      <c r="F644" s="32"/>
      <c r="G644" s="32"/>
      <c r="H644" s="32"/>
      <c r="I644" s="32"/>
      <c r="J644" s="32" t="b">
        <f>IFERROR(__xludf.DUMMYFUNCTION("""COMPUTED_VALUE"""),FALSE)</f>
        <v>0</v>
      </c>
      <c r="K644" s="32"/>
      <c r="L644" s="32" t="b">
        <f>IFERROR(__xludf.DUMMYFUNCTION("""COMPUTED_VALUE"""),FALSE)</f>
        <v>0</v>
      </c>
      <c r="M644" s="32" t="b">
        <f>IFERROR(__xludf.DUMMYFUNCTION("""COMPUTED_VALUE"""),FALSE)</f>
        <v>0</v>
      </c>
      <c r="N644" s="32"/>
    </row>
    <row r="645">
      <c r="A645" s="32"/>
      <c r="B645" s="32"/>
      <c r="C645" s="32"/>
      <c r="D645" s="32"/>
      <c r="E645" s="32"/>
      <c r="F645" s="32"/>
      <c r="G645" s="32"/>
      <c r="H645" s="32"/>
      <c r="I645" s="32"/>
      <c r="J645" s="32" t="b">
        <f>IFERROR(__xludf.DUMMYFUNCTION("""COMPUTED_VALUE"""),FALSE)</f>
        <v>0</v>
      </c>
      <c r="K645" s="32"/>
      <c r="L645" s="32" t="b">
        <f>IFERROR(__xludf.DUMMYFUNCTION("""COMPUTED_VALUE"""),FALSE)</f>
        <v>0</v>
      </c>
      <c r="M645" s="32" t="b">
        <f>IFERROR(__xludf.DUMMYFUNCTION("""COMPUTED_VALUE"""),FALSE)</f>
        <v>0</v>
      </c>
      <c r="N645" s="32"/>
    </row>
    <row r="646">
      <c r="A646" s="32"/>
      <c r="B646" s="32"/>
      <c r="C646" s="32"/>
      <c r="D646" s="32"/>
      <c r="E646" s="32"/>
      <c r="F646" s="32"/>
      <c r="G646" s="32"/>
      <c r="H646" s="32"/>
      <c r="I646" s="32"/>
      <c r="J646" s="32" t="b">
        <f>IFERROR(__xludf.DUMMYFUNCTION("""COMPUTED_VALUE"""),FALSE)</f>
        <v>0</v>
      </c>
      <c r="K646" s="32"/>
      <c r="L646" s="32" t="b">
        <f>IFERROR(__xludf.DUMMYFUNCTION("""COMPUTED_VALUE"""),FALSE)</f>
        <v>0</v>
      </c>
      <c r="M646" s="32" t="b">
        <f>IFERROR(__xludf.DUMMYFUNCTION("""COMPUTED_VALUE"""),FALSE)</f>
        <v>0</v>
      </c>
      <c r="N646" s="32"/>
    </row>
    <row r="647">
      <c r="A647" s="32"/>
      <c r="B647" s="32"/>
      <c r="C647" s="32"/>
      <c r="D647" s="32"/>
      <c r="E647" s="32"/>
      <c r="F647" s="32"/>
      <c r="G647" s="32"/>
      <c r="H647" s="32"/>
      <c r="I647" s="32"/>
      <c r="J647" s="32" t="b">
        <f>IFERROR(__xludf.DUMMYFUNCTION("""COMPUTED_VALUE"""),FALSE)</f>
        <v>0</v>
      </c>
      <c r="K647" s="32"/>
      <c r="L647" s="32" t="b">
        <f>IFERROR(__xludf.DUMMYFUNCTION("""COMPUTED_VALUE"""),FALSE)</f>
        <v>0</v>
      </c>
      <c r="M647" s="32" t="b">
        <f>IFERROR(__xludf.DUMMYFUNCTION("""COMPUTED_VALUE"""),FALSE)</f>
        <v>0</v>
      </c>
      <c r="N647" s="32"/>
    </row>
    <row r="648">
      <c r="A648" s="32"/>
      <c r="B648" s="32"/>
      <c r="C648" s="32"/>
      <c r="D648" s="32"/>
      <c r="E648" s="32"/>
      <c r="F648" s="32"/>
      <c r="G648" s="32"/>
      <c r="H648" s="32"/>
      <c r="I648" s="32"/>
      <c r="J648" s="32" t="b">
        <f>IFERROR(__xludf.DUMMYFUNCTION("""COMPUTED_VALUE"""),FALSE)</f>
        <v>0</v>
      </c>
      <c r="K648" s="32"/>
      <c r="L648" s="32" t="b">
        <f>IFERROR(__xludf.DUMMYFUNCTION("""COMPUTED_VALUE"""),FALSE)</f>
        <v>0</v>
      </c>
      <c r="M648" s="32" t="b">
        <f>IFERROR(__xludf.DUMMYFUNCTION("""COMPUTED_VALUE"""),FALSE)</f>
        <v>0</v>
      </c>
      <c r="N648" s="32"/>
    </row>
    <row r="649">
      <c r="A649" s="32"/>
      <c r="B649" s="32"/>
      <c r="C649" s="32"/>
      <c r="D649" s="32"/>
      <c r="E649" s="32"/>
      <c r="F649" s="32"/>
      <c r="G649" s="32"/>
      <c r="H649" s="32"/>
      <c r="I649" s="32"/>
      <c r="J649" s="32" t="b">
        <f>IFERROR(__xludf.DUMMYFUNCTION("""COMPUTED_VALUE"""),FALSE)</f>
        <v>0</v>
      </c>
      <c r="K649" s="32"/>
      <c r="L649" s="32" t="b">
        <f>IFERROR(__xludf.DUMMYFUNCTION("""COMPUTED_VALUE"""),FALSE)</f>
        <v>0</v>
      </c>
      <c r="M649" s="32" t="b">
        <f>IFERROR(__xludf.DUMMYFUNCTION("""COMPUTED_VALUE"""),FALSE)</f>
        <v>0</v>
      </c>
      <c r="N649" s="32"/>
    </row>
    <row r="650">
      <c r="A650" s="32"/>
      <c r="B650" s="32"/>
      <c r="C650" s="32"/>
      <c r="D650" s="32"/>
      <c r="E650" s="32"/>
      <c r="F650" s="32"/>
      <c r="G650" s="32"/>
      <c r="H650" s="32"/>
      <c r="I650" s="32"/>
      <c r="J650" s="32" t="b">
        <f>IFERROR(__xludf.DUMMYFUNCTION("""COMPUTED_VALUE"""),FALSE)</f>
        <v>0</v>
      </c>
      <c r="K650" s="32"/>
      <c r="L650" s="32" t="b">
        <f>IFERROR(__xludf.DUMMYFUNCTION("""COMPUTED_VALUE"""),FALSE)</f>
        <v>0</v>
      </c>
      <c r="M650" s="32" t="b">
        <f>IFERROR(__xludf.DUMMYFUNCTION("""COMPUTED_VALUE"""),FALSE)</f>
        <v>0</v>
      </c>
      <c r="N650" s="32"/>
    </row>
    <row r="651">
      <c r="A651" s="32"/>
      <c r="B651" s="32"/>
      <c r="C651" s="32"/>
      <c r="D651" s="32"/>
      <c r="E651" s="32"/>
      <c r="F651" s="32"/>
      <c r="G651" s="32"/>
      <c r="H651" s="32"/>
      <c r="I651" s="32"/>
      <c r="J651" s="32" t="b">
        <f>IFERROR(__xludf.DUMMYFUNCTION("""COMPUTED_VALUE"""),FALSE)</f>
        <v>0</v>
      </c>
      <c r="K651" s="32"/>
      <c r="L651" s="32" t="b">
        <f>IFERROR(__xludf.DUMMYFUNCTION("""COMPUTED_VALUE"""),FALSE)</f>
        <v>0</v>
      </c>
      <c r="M651" s="32" t="b">
        <f>IFERROR(__xludf.DUMMYFUNCTION("""COMPUTED_VALUE"""),FALSE)</f>
        <v>0</v>
      </c>
      <c r="N651" s="32"/>
    </row>
    <row r="652">
      <c r="A652" s="32"/>
      <c r="B652" s="32"/>
      <c r="C652" s="32"/>
      <c r="D652" s="32"/>
      <c r="E652" s="32"/>
      <c r="F652" s="32"/>
      <c r="G652" s="32"/>
      <c r="H652" s="32"/>
      <c r="I652" s="32"/>
      <c r="J652" s="32" t="b">
        <f>IFERROR(__xludf.DUMMYFUNCTION("""COMPUTED_VALUE"""),FALSE)</f>
        <v>0</v>
      </c>
      <c r="K652" s="32"/>
      <c r="L652" s="32" t="b">
        <f>IFERROR(__xludf.DUMMYFUNCTION("""COMPUTED_VALUE"""),FALSE)</f>
        <v>0</v>
      </c>
      <c r="M652" s="32" t="b">
        <f>IFERROR(__xludf.DUMMYFUNCTION("""COMPUTED_VALUE"""),FALSE)</f>
        <v>0</v>
      </c>
      <c r="N652" s="32"/>
    </row>
    <row r="653">
      <c r="A653" s="32"/>
      <c r="B653" s="32"/>
      <c r="C653" s="32"/>
      <c r="D653" s="32"/>
      <c r="E653" s="32"/>
      <c r="F653" s="32"/>
      <c r="G653" s="32"/>
      <c r="H653" s="32"/>
      <c r="I653" s="32"/>
      <c r="J653" s="32" t="b">
        <f>IFERROR(__xludf.DUMMYFUNCTION("""COMPUTED_VALUE"""),FALSE)</f>
        <v>0</v>
      </c>
      <c r="K653" s="32"/>
      <c r="L653" s="32" t="b">
        <f>IFERROR(__xludf.DUMMYFUNCTION("""COMPUTED_VALUE"""),FALSE)</f>
        <v>0</v>
      </c>
      <c r="M653" s="32" t="b">
        <f>IFERROR(__xludf.DUMMYFUNCTION("""COMPUTED_VALUE"""),FALSE)</f>
        <v>0</v>
      </c>
      <c r="N653" s="32"/>
    </row>
    <row r="654">
      <c r="A654" s="32"/>
      <c r="B654" s="32"/>
      <c r="C654" s="32"/>
      <c r="D654" s="32"/>
      <c r="E654" s="32"/>
      <c r="F654" s="32"/>
      <c r="G654" s="32"/>
      <c r="H654" s="32"/>
      <c r="I654" s="32"/>
      <c r="J654" s="32" t="b">
        <f>IFERROR(__xludf.DUMMYFUNCTION("""COMPUTED_VALUE"""),FALSE)</f>
        <v>0</v>
      </c>
      <c r="K654" s="32"/>
      <c r="L654" s="32" t="b">
        <f>IFERROR(__xludf.DUMMYFUNCTION("""COMPUTED_VALUE"""),FALSE)</f>
        <v>0</v>
      </c>
      <c r="M654" s="32" t="b">
        <f>IFERROR(__xludf.DUMMYFUNCTION("""COMPUTED_VALUE"""),FALSE)</f>
        <v>0</v>
      </c>
      <c r="N654" s="32"/>
    </row>
    <row r="655">
      <c r="A655" s="32"/>
      <c r="B655" s="32"/>
      <c r="C655" s="32"/>
      <c r="D655" s="32"/>
      <c r="E655" s="32"/>
      <c r="F655" s="32"/>
      <c r="G655" s="32"/>
      <c r="H655" s="32"/>
      <c r="I655" s="32"/>
      <c r="J655" s="32" t="b">
        <f>IFERROR(__xludf.DUMMYFUNCTION("""COMPUTED_VALUE"""),FALSE)</f>
        <v>0</v>
      </c>
      <c r="K655" s="32"/>
      <c r="L655" s="32" t="b">
        <f>IFERROR(__xludf.DUMMYFUNCTION("""COMPUTED_VALUE"""),FALSE)</f>
        <v>0</v>
      </c>
      <c r="M655" s="32" t="b">
        <f>IFERROR(__xludf.DUMMYFUNCTION("""COMPUTED_VALUE"""),FALSE)</f>
        <v>0</v>
      </c>
      <c r="N655" s="32"/>
    </row>
    <row r="656">
      <c r="A656" s="32"/>
      <c r="B656" s="32"/>
      <c r="C656" s="32"/>
      <c r="D656" s="32"/>
      <c r="E656" s="32"/>
      <c r="F656" s="32"/>
      <c r="G656" s="32"/>
      <c r="H656" s="32"/>
      <c r="I656" s="32"/>
      <c r="J656" s="32" t="b">
        <f>IFERROR(__xludf.DUMMYFUNCTION("""COMPUTED_VALUE"""),FALSE)</f>
        <v>0</v>
      </c>
      <c r="K656" s="32"/>
      <c r="L656" s="32" t="b">
        <f>IFERROR(__xludf.DUMMYFUNCTION("""COMPUTED_VALUE"""),FALSE)</f>
        <v>0</v>
      </c>
      <c r="M656" s="32" t="b">
        <f>IFERROR(__xludf.DUMMYFUNCTION("""COMPUTED_VALUE"""),FALSE)</f>
        <v>0</v>
      </c>
      <c r="N656" s="32"/>
    </row>
    <row r="657">
      <c r="A657" s="32"/>
      <c r="B657" s="32"/>
      <c r="C657" s="32"/>
      <c r="D657" s="32"/>
      <c r="E657" s="32"/>
      <c r="F657" s="32"/>
      <c r="G657" s="32"/>
      <c r="H657" s="32"/>
      <c r="I657" s="32"/>
      <c r="J657" s="32" t="b">
        <f>IFERROR(__xludf.DUMMYFUNCTION("""COMPUTED_VALUE"""),FALSE)</f>
        <v>0</v>
      </c>
      <c r="K657" s="32"/>
      <c r="L657" s="32" t="b">
        <f>IFERROR(__xludf.DUMMYFUNCTION("""COMPUTED_VALUE"""),FALSE)</f>
        <v>0</v>
      </c>
      <c r="M657" s="32" t="b">
        <f>IFERROR(__xludf.DUMMYFUNCTION("""COMPUTED_VALUE"""),FALSE)</f>
        <v>0</v>
      </c>
      <c r="N657" s="32"/>
    </row>
    <row r="658">
      <c r="A658" s="32"/>
      <c r="B658" s="32"/>
      <c r="C658" s="32"/>
      <c r="D658" s="32"/>
      <c r="E658" s="32"/>
      <c r="F658" s="32"/>
      <c r="G658" s="32"/>
      <c r="H658" s="32"/>
      <c r="I658" s="32"/>
      <c r="J658" s="32" t="b">
        <f>IFERROR(__xludf.DUMMYFUNCTION("""COMPUTED_VALUE"""),FALSE)</f>
        <v>0</v>
      </c>
      <c r="K658" s="32"/>
      <c r="L658" s="32" t="b">
        <f>IFERROR(__xludf.DUMMYFUNCTION("""COMPUTED_VALUE"""),FALSE)</f>
        <v>0</v>
      </c>
      <c r="M658" s="32" t="b">
        <f>IFERROR(__xludf.DUMMYFUNCTION("""COMPUTED_VALUE"""),FALSE)</f>
        <v>0</v>
      </c>
      <c r="N658" s="32"/>
    </row>
    <row r="659">
      <c r="A659" s="32"/>
      <c r="B659" s="32"/>
      <c r="C659" s="32"/>
      <c r="D659" s="32"/>
      <c r="E659" s="32"/>
      <c r="F659" s="32"/>
      <c r="G659" s="32"/>
      <c r="H659" s="32"/>
      <c r="I659" s="32"/>
      <c r="J659" s="32" t="b">
        <f>IFERROR(__xludf.DUMMYFUNCTION("""COMPUTED_VALUE"""),FALSE)</f>
        <v>0</v>
      </c>
      <c r="K659" s="32"/>
      <c r="L659" s="32" t="b">
        <f>IFERROR(__xludf.DUMMYFUNCTION("""COMPUTED_VALUE"""),FALSE)</f>
        <v>0</v>
      </c>
      <c r="M659" s="32" t="b">
        <f>IFERROR(__xludf.DUMMYFUNCTION("""COMPUTED_VALUE"""),FALSE)</f>
        <v>0</v>
      </c>
      <c r="N659" s="32"/>
    </row>
    <row r="660">
      <c r="A660" s="32"/>
      <c r="B660" s="32"/>
      <c r="C660" s="32"/>
      <c r="D660" s="32"/>
      <c r="E660" s="32"/>
      <c r="F660" s="32"/>
      <c r="G660" s="32"/>
      <c r="H660" s="32"/>
      <c r="I660" s="32"/>
      <c r="J660" s="32" t="b">
        <f>IFERROR(__xludf.DUMMYFUNCTION("""COMPUTED_VALUE"""),FALSE)</f>
        <v>0</v>
      </c>
      <c r="K660" s="32"/>
      <c r="L660" s="32" t="b">
        <f>IFERROR(__xludf.DUMMYFUNCTION("""COMPUTED_VALUE"""),FALSE)</f>
        <v>0</v>
      </c>
      <c r="M660" s="32" t="b">
        <f>IFERROR(__xludf.DUMMYFUNCTION("""COMPUTED_VALUE"""),FALSE)</f>
        <v>0</v>
      </c>
      <c r="N660" s="32"/>
    </row>
    <row r="661">
      <c r="A661" s="32"/>
      <c r="B661" s="32"/>
      <c r="C661" s="32"/>
      <c r="D661" s="32"/>
      <c r="E661" s="32"/>
      <c r="F661" s="32"/>
      <c r="G661" s="32"/>
      <c r="H661" s="32"/>
      <c r="I661" s="32"/>
      <c r="J661" s="32" t="b">
        <f>IFERROR(__xludf.DUMMYFUNCTION("""COMPUTED_VALUE"""),FALSE)</f>
        <v>0</v>
      </c>
      <c r="K661" s="32"/>
      <c r="L661" s="32" t="b">
        <f>IFERROR(__xludf.DUMMYFUNCTION("""COMPUTED_VALUE"""),FALSE)</f>
        <v>0</v>
      </c>
      <c r="M661" s="32" t="b">
        <f>IFERROR(__xludf.DUMMYFUNCTION("""COMPUTED_VALUE"""),FALSE)</f>
        <v>0</v>
      </c>
      <c r="N661" s="32"/>
    </row>
    <row r="662">
      <c r="A662" s="32"/>
      <c r="B662" s="32"/>
      <c r="C662" s="32"/>
      <c r="D662" s="32"/>
      <c r="E662" s="32"/>
      <c r="F662" s="32"/>
      <c r="G662" s="32"/>
      <c r="H662" s="32"/>
      <c r="I662" s="32"/>
      <c r="J662" s="32" t="b">
        <f>IFERROR(__xludf.DUMMYFUNCTION("""COMPUTED_VALUE"""),FALSE)</f>
        <v>0</v>
      </c>
      <c r="K662" s="32"/>
      <c r="L662" s="32" t="b">
        <f>IFERROR(__xludf.DUMMYFUNCTION("""COMPUTED_VALUE"""),FALSE)</f>
        <v>0</v>
      </c>
      <c r="M662" s="32" t="b">
        <f>IFERROR(__xludf.DUMMYFUNCTION("""COMPUTED_VALUE"""),FALSE)</f>
        <v>0</v>
      </c>
      <c r="N662" s="32"/>
    </row>
    <row r="663">
      <c r="A663" s="32"/>
      <c r="B663" s="32"/>
      <c r="C663" s="32"/>
      <c r="D663" s="32"/>
      <c r="E663" s="32"/>
      <c r="F663" s="32"/>
      <c r="G663" s="32"/>
      <c r="H663" s="32"/>
      <c r="I663" s="32"/>
      <c r="J663" s="32" t="b">
        <f>IFERROR(__xludf.DUMMYFUNCTION("""COMPUTED_VALUE"""),FALSE)</f>
        <v>0</v>
      </c>
      <c r="K663" s="32"/>
      <c r="L663" s="32" t="b">
        <f>IFERROR(__xludf.DUMMYFUNCTION("""COMPUTED_VALUE"""),FALSE)</f>
        <v>0</v>
      </c>
      <c r="M663" s="32" t="b">
        <f>IFERROR(__xludf.DUMMYFUNCTION("""COMPUTED_VALUE"""),FALSE)</f>
        <v>0</v>
      </c>
      <c r="N663" s="32"/>
    </row>
    <row r="664">
      <c r="A664" s="32"/>
      <c r="B664" s="32"/>
      <c r="C664" s="32"/>
      <c r="D664" s="32"/>
      <c r="E664" s="32"/>
      <c r="F664" s="32"/>
      <c r="G664" s="32"/>
      <c r="H664" s="32"/>
      <c r="I664" s="32"/>
      <c r="J664" s="32" t="b">
        <f>IFERROR(__xludf.DUMMYFUNCTION("""COMPUTED_VALUE"""),FALSE)</f>
        <v>0</v>
      </c>
      <c r="K664" s="32"/>
      <c r="L664" s="32" t="b">
        <f>IFERROR(__xludf.DUMMYFUNCTION("""COMPUTED_VALUE"""),FALSE)</f>
        <v>0</v>
      </c>
      <c r="M664" s="32" t="b">
        <f>IFERROR(__xludf.DUMMYFUNCTION("""COMPUTED_VALUE"""),FALSE)</f>
        <v>0</v>
      </c>
      <c r="N664" s="32"/>
    </row>
    <row r="665">
      <c r="A665" s="32"/>
      <c r="B665" s="32"/>
      <c r="C665" s="32"/>
      <c r="D665" s="32"/>
      <c r="E665" s="32"/>
      <c r="F665" s="32"/>
      <c r="G665" s="32"/>
      <c r="H665" s="32"/>
      <c r="I665" s="32"/>
      <c r="J665" s="32" t="b">
        <f>IFERROR(__xludf.DUMMYFUNCTION("""COMPUTED_VALUE"""),FALSE)</f>
        <v>0</v>
      </c>
      <c r="K665" s="32"/>
      <c r="L665" s="32" t="b">
        <f>IFERROR(__xludf.DUMMYFUNCTION("""COMPUTED_VALUE"""),FALSE)</f>
        <v>0</v>
      </c>
      <c r="M665" s="32" t="b">
        <f>IFERROR(__xludf.DUMMYFUNCTION("""COMPUTED_VALUE"""),FALSE)</f>
        <v>0</v>
      </c>
      <c r="N665" s="32"/>
    </row>
    <row r="666">
      <c r="A666" s="32"/>
      <c r="B666" s="32"/>
      <c r="C666" s="32"/>
      <c r="D666" s="32"/>
      <c r="E666" s="32"/>
      <c r="F666" s="32"/>
      <c r="G666" s="32"/>
      <c r="H666" s="32"/>
      <c r="I666" s="32"/>
      <c r="J666" s="32" t="b">
        <f>IFERROR(__xludf.DUMMYFUNCTION("""COMPUTED_VALUE"""),FALSE)</f>
        <v>0</v>
      </c>
      <c r="K666" s="32"/>
      <c r="L666" s="32" t="b">
        <f>IFERROR(__xludf.DUMMYFUNCTION("""COMPUTED_VALUE"""),FALSE)</f>
        <v>0</v>
      </c>
      <c r="M666" s="32" t="b">
        <f>IFERROR(__xludf.DUMMYFUNCTION("""COMPUTED_VALUE"""),FALSE)</f>
        <v>0</v>
      </c>
      <c r="N666" s="32"/>
    </row>
    <row r="667">
      <c r="A667" s="32"/>
      <c r="B667" s="32"/>
      <c r="C667" s="32"/>
      <c r="D667" s="32"/>
      <c r="E667" s="32"/>
      <c r="F667" s="32"/>
      <c r="G667" s="32"/>
      <c r="H667" s="32"/>
      <c r="I667" s="32"/>
      <c r="J667" s="32" t="b">
        <f>IFERROR(__xludf.DUMMYFUNCTION("""COMPUTED_VALUE"""),FALSE)</f>
        <v>0</v>
      </c>
      <c r="K667" s="32"/>
      <c r="L667" s="32" t="b">
        <f>IFERROR(__xludf.DUMMYFUNCTION("""COMPUTED_VALUE"""),FALSE)</f>
        <v>0</v>
      </c>
      <c r="M667" s="32" t="b">
        <f>IFERROR(__xludf.DUMMYFUNCTION("""COMPUTED_VALUE"""),FALSE)</f>
        <v>0</v>
      </c>
      <c r="N667" s="32"/>
    </row>
    <row r="668">
      <c r="A668" s="32"/>
      <c r="B668" s="32"/>
      <c r="C668" s="32"/>
      <c r="D668" s="32"/>
      <c r="E668" s="32"/>
      <c r="F668" s="32"/>
      <c r="G668" s="32"/>
      <c r="H668" s="32"/>
      <c r="I668" s="32"/>
      <c r="J668" s="32" t="b">
        <f>IFERROR(__xludf.DUMMYFUNCTION("""COMPUTED_VALUE"""),FALSE)</f>
        <v>0</v>
      </c>
      <c r="K668" s="32"/>
      <c r="L668" s="32" t="b">
        <f>IFERROR(__xludf.DUMMYFUNCTION("""COMPUTED_VALUE"""),FALSE)</f>
        <v>0</v>
      </c>
      <c r="M668" s="32" t="b">
        <f>IFERROR(__xludf.DUMMYFUNCTION("""COMPUTED_VALUE"""),FALSE)</f>
        <v>0</v>
      </c>
      <c r="N668" s="32"/>
    </row>
    <row r="669">
      <c r="A669" s="32"/>
      <c r="B669" s="32"/>
      <c r="C669" s="32"/>
      <c r="D669" s="32"/>
      <c r="E669" s="32"/>
      <c r="F669" s="32"/>
      <c r="G669" s="32"/>
      <c r="H669" s="32"/>
      <c r="I669" s="32"/>
      <c r="J669" s="32" t="b">
        <f>IFERROR(__xludf.DUMMYFUNCTION("""COMPUTED_VALUE"""),FALSE)</f>
        <v>0</v>
      </c>
      <c r="K669" s="32"/>
      <c r="L669" s="32" t="b">
        <f>IFERROR(__xludf.DUMMYFUNCTION("""COMPUTED_VALUE"""),FALSE)</f>
        <v>0</v>
      </c>
      <c r="M669" s="32" t="b">
        <f>IFERROR(__xludf.DUMMYFUNCTION("""COMPUTED_VALUE"""),FALSE)</f>
        <v>0</v>
      </c>
      <c r="N669" s="32"/>
    </row>
    <row r="670">
      <c r="A670" s="32"/>
      <c r="B670" s="32"/>
      <c r="C670" s="32"/>
      <c r="D670" s="32"/>
      <c r="E670" s="32"/>
      <c r="F670" s="32"/>
      <c r="G670" s="32"/>
      <c r="H670" s="32"/>
      <c r="I670" s="32"/>
      <c r="J670" s="32" t="b">
        <f>IFERROR(__xludf.DUMMYFUNCTION("""COMPUTED_VALUE"""),FALSE)</f>
        <v>0</v>
      </c>
      <c r="K670" s="32"/>
      <c r="L670" s="32" t="b">
        <f>IFERROR(__xludf.DUMMYFUNCTION("""COMPUTED_VALUE"""),FALSE)</f>
        <v>0</v>
      </c>
      <c r="M670" s="32" t="b">
        <f>IFERROR(__xludf.DUMMYFUNCTION("""COMPUTED_VALUE"""),FALSE)</f>
        <v>0</v>
      </c>
      <c r="N670" s="32"/>
    </row>
    <row r="671">
      <c r="A671" s="32"/>
      <c r="B671" s="32"/>
      <c r="C671" s="32"/>
      <c r="D671" s="32"/>
      <c r="E671" s="32"/>
      <c r="F671" s="32"/>
      <c r="G671" s="32"/>
      <c r="H671" s="32"/>
      <c r="I671" s="32"/>
      <c r="J671" s="32" t="b">
        <f>IFERROR(__xludf.DUMMYFUNCTION("""COMPUTED_VALUE"""),FALSE)</f>
        <v>0</v>
      </c>
      <c r="K671" s="32"/>
      <c r="L671" s="32" t="b">
        <f>IFERROR(__xludf.DUMMYFUNCTION("""COMPUTED_VALUE"""),FALSE)</f>
        <v>0</v>
      </c>
      <c r="M671" s="32" t="b">
        <f>IFERROR(__xludf.DUMMYFUNCTION("""COMPUTED_VALUE"""),FALSE)</f>
        <v>0</v>
      </c>
      <c r="N671" s="32"/>
    </row>
    <row r="672">
      <c r="A672" s="32"/>
      <c r="B672" s="32"/>
      <c r="C672" s="32"/>
      <c r="D672" s="32"/>
      <c r="E672" s="32"/>
      <c r="F672" s="32"/>
      <c r="G672" s="32"/>
      <c r="H672" s="32"/>
      <c r="I672" s="32"/>
      <c r="J672" s="32" t="b">
        <f>IFERROR(__xludf.DUMMYFUNCTION("""COMPUTED_VALUE"""),FALSE)</f>
        <v>0</v>
      </c>
      <c r="K672" s="32"/>
      <c r="L672" s="32" t="b">
        <f>IFERROR(__xludf.DUMMYFUNCTION("""COMPUTED_VALUE"""),FALSE)</f>
        <v>0</v>
      </c>
      <c r="M672" s="32" t="b">
        <f>IFERROR(__xludf.DUMMYFUNCTION("""COMPUTED_VALUE"""),FALSE)</f>
        <v>0</v>
      </c>
      <c r="N672" s="32"/>
    </row>
    <row r="673">
      <c r="A673" s="32"/>
      <c r="B673" s="32"/>
      <c r="C673" s="32"/>
      <c r="D673" s="32"/>
      <c r="E673" s="32"/>
      <c r="F673" s="32"/>
      <c r="G673" s="32"/>
      <c r="H673" s="32"/>
      <c r="I673" s="32"/>
      <c r="J673" s="32" t="b">
        <f>IFERROR(__xludf.DUMMYFUNCTION("""COMPUTED_VALUE"""),FALSE)</f>
        <v>0</v>
      </c>
      <c r="K673" s="32"/>
      <c r="L673" s="32" t="b">
        <f>IFERROR(__xludf.DUMMYFUNCTION("""COMPUTED_VALUE"""),FALSE)</f>
        <v>0</v>
      </c>
      <c r="M673" s="32" t="b">
        <f>IFERROR(__xludf.DUMMYFUNCTION("""COMPUTED_VALUE"""),FALSE)</f>
        <v>0</v>
      </c>
      <c r="N673" s="32"/>
    </row>
    <row r="674">
      <c r="A674" s="32"/>
      <c r="B674" s="32"/>
      <c r="C674" s="32"/>
      <c r="D674" s="32"/>
      <c r="E674" s="32"/>
      <c r="F674" s="32"/>
      <c r="G674" s="32"/>
      <c r="H674" s="32"/>
      <c r="I674" s="32"/>
      <c r="J674" s="32" t="b">
        <f>IFERROR(__xludf.DUMMYFUNCTION("""COMPUTED_VALUE"""),FALSE)</f>
        <v>0</v>
      </c>
      <c r="K674" s="32"/>
      <c r="L674" s="32" t="b">
        <f>IFERROR(__xludf.DUMMYFUNCTION("""COMPUTED_VALUE"""),FALSE)</f>
        <v>0</v>
      </c>
      <c r="M674" s="32" t="b">
        <f>IFERROR(__xludf.DUMMYFUNCTION("""COMPUTED_VALUE"""),FALSE)</f>
        <v>0</v>
      </c>
      <c r="N674" s="32"/>
    </row>
    <row r="675">
      <c r="A675" s="32"/>
      <c r="B675" s="32"/>
      <c r="C675" s="32"/>
      <c r="D675" s="32"/>
      <c r="E675" s="32"/>
      <c r="F675" s="32"/>
      <c r="G675" s="32"/>
      <c r="H675" s="32"/>
      <c r="I675" s="32"/>
      <c r="J675" s="32" t="b">
        <f>IFERROR(__xludf.DUMMYFUNCTION("""COMPUTED_VALUE"""),FALSE)</f>
        <v>0</v>
      </c>
      <c r="K675" s="32"/>
      <c r="L675" s="32" t="b">
        <f>IFERROR(__xludf.DUMMYFUNCTION("""COMPUTED_VALUE"""),FALSE)</f>
        <v>0</v>
      </c>
      <c r="M675" s="32" t="b">
        <f>IFERROR(__xludf.DUMMYFUNCTION("""COMPUTED_VALUE"""),FALSE)</f>
        <v>0</v>
      </c>
      <c r="N675" s="32"/>
    </row>
    <row r="676">
      <c r="A676" s="32"/>
      <c r="B676" s="32"/>
      <c r="C676" s="32"/>
      <c r="D676" s="32"/>
      <c r="E676" s="32"/>
      <c r="F676" s="32"/>
      <c r="G676" s="32"/>
      <c r="H676" s="32"/>
      <c r="I676" s="32"/>
      <c r="J676" s="32" t="b">
        <f>IFERROR(__xludf.DUMMYFUNCTION("""COMPUTED_VALUE"""),FALSE)</f>
        <v>0</v>
      </c>
      <c r="K676" s="32"/>
      <c r="L676" s="32" t="b">
        <f>IFERROR(__xludf.DUMMYFUNCTION("""COMPUTED_VALUE"""),FALSE)</f>
        <v>0</v>
      </c>
      <c r="M676" s="32" t="b">
        <f>IFERROR(__xludf.DUMMYFUNCTION("""COMPUTED_VALUE"""),FALSE)</f>
        <v>0</v>
      </c>
      <c r="N676" s="32"/>
    </row>
    <row r="677">
      <c r="A677" s="32"/>
      <c r="B677" s="32"/>
      <c r="C677" s="32"/>
      <c r="D677" s="32"/>
      <c r="E677" s="32"/>
      <c r="F677" s="32"/>
      <c r="G677" s="32"/>
      <c r="H677" s="32"/>
      <c r="I677" s="32"/>
      <c r="J677" s="32" t="b">
        <f>IFERROR(__xludf.DUMMYFUNCTION("""COMPUTED_VALUE"""),FALSE)</f>
        <v>0</v>
      </c>
      <c r="K677" s="32"/>
      <c r="L677" s="32" t="b">
        <f>IFERROR(__xludf.DUMMYFUNCTION("""COMPUTED_VALUE"""),FALSE)</f>
        <v>0</v>
      </c>
      <c r="M677" s="32" t="b">
        <f>IFERROR(__xludf.DUMMYFUNCTION("""COMPUTED_VALUE"""),FALSE)</f>
        <v>0</v>
      </c>
      <c r="N677" s="32"/>
    </row>
    <row r="678">
      <c r="A678" s="32"/>
      <c r="B678" s="32"/>
      <c r="C678" s="32"/>
      <c r="D678" s="32"/>
      <c r="E678" s="32"/>
      <c r="F678" s="32"/>
      <c r="G678" s="32"/>
      <c r="H678" s="32"/>
      <c r="I678" s="32"/>
      <c r="J678" s="32" t="b">
        <f>IFERROR(__xludf.DUMMYFUNCTION("""COMPUTED_VALUE"""),FALSE)</f>
        <v>0</v>
      </c>
      <c r="K678" s="32"/>
      <c r="L678" s="32" t="b">
        <f>IFERROR(__xludf.DUMMYFUNCTION("""COMPUTED_VALUE"""),FALSE)</f>
        <v>0</v>
      </c>
      <c r="M678" s="32" t="b">
        <f>IFERROR(__xludf.DUMMYFUNCTION("""COMPUTED_VALUE"""),FALSE)</f>
        <v>0</v>
      </c>
      <c r="N678" s="32"/>
    </row>
    <row r="679">
      <c r="A679" s="32"/>
      <c r="B679" s="32"/>
      <c r="C679" s="32"/>
      <c r="D679" s="32"/>
      <c r="E679" s="32"/>
      <c r="F679" s="32"/>
      <c r="G679" s="32"/>
      <c r="H679" s="32"/>
      <c r="I679" s="32"/>
      <c r="J679" s="32" t="b">
        <f>IFERROR(__xludf.DUMMYFUNCTION("""COMPUTED_VALUE"""),FALSE)</f>
        <v>0</v>
      </c>
      <c r="K679" s="32"/>
      <c r="L679" s="32" t="b">
        <f>IFERROR(__xludf.DUMMYFUNCTION("""COMPUTED_VALUE"""),FALSE)</f>
        <v>0</v>
      </c>
      <c r="M679" s="32" t="b">
        <f>IFERROR(__xludf.DUMMYFUNCTION("""COMPUTED_VALUE"""),FALSE)</f>
        <v>0</v>
      </c>
      <c r="N679" s="32"/>
    </row>
    <row r="680">
      <c r="A680" s="32"/>
      <c r="B680" s="32"/>
      <c r="C680" s="32"/>
      <c r="D680" s="32"/>
      <c r="E680" s="32"/>
      <c r="F680" s="32"/>
      <c r="G680" s="32"/>
      <c r="H680" s="32"/>
      <c r="I680" s="32"/>
      <c r="J680" s="32" t="b">
        <f>IFERROR(__xludf.DUMMYFUNCTION("""COMPUTED_VALUE"""),FALSE)</f>
        <v>0</v>
      </c>
      <c r="K680" s="32"/>
      <c r="L680" s="32" t="b">
        <f>IFERROR(__xludf.DUMMYFUNCTION("""COMPUTED_VALUE"""),FALSE)</f>
        <v>0</v>
      </c>
      <c r="M680" s="32" t="b">
        <f>IFERROR(__xludf.DUMMYFUNCTION("""COMPUTED_VALUE"""),FALSE)</f>
        <v>0</v>
      </c>
      <c r="N680" s="32"/>
    </row>
    <row r="681">
      <c r="A681" s="32"/>
      <c r="B681" s="32"/>
      <c r="C681" s="32"/>
      <c r="D681" s="32"/>
      <c r="E681" s="32"/>
      <c r="F681" s="32"/>
      <c r="G681" s="32"/>
      <c r="H681" s="32"/>
      <c r="I681" s="32"/>
      <c r="J681" s="32" t="b">
        <f>IFERROR(__xludf.DUMMYFUNCTION("""COMPUTED_VALUE"""),FALSE)</f>
        <v>0</v>
      </c>
      <c r="K681" s="32"/>
      <c r="L681" s="32" t="b">
        <f>IFERROR(__xludf.DUMMYFUNCTION("""COMPUTED_VALUE"""),FALSE)</f>
        <v>0</v>
      </c>
      <c r="M681" s="32" t="b">
        <f>IFERROR(__xludf.DUMMYFUNCTION("""COMPUTED_VALUE"""),FALSE)</f>
        <v>0</v>
      </c>
      <c r="N681" s="32"/>
    </row>
    <row r="682">
      <c r="A682" s="32"/>
      <c r="B682" s="32"/>
      <c r="C682" s="32"/>
      <c r="D682" s="32"/>
      <c r="E682" s="32"/>
      <c r="F682" s="32"/>
      <c r="G682" s="32"/>
      <c r="H682" s="32"/>
      <c r="I682" s="32"/>
      <c r="J682" s="32" t="b">
        <f>IFERROR(__xludf.DUMMYFUNCTION("""COMPUTED_VALUE"""),FALSE)</f>
        <v>0</v>
      </c>
      <c r="K682" s="32"/>
      <c r="L682" s="32" t="b">
        <f>IFERROR(__xludf.DUMMYFUNCTION("""COMPUTED_VALUE"""),FALSE)</f>
        <v>0</v>
      </c>
      <c r="M682" s="32" t="b">
        <f>IFERROR(__xludf.DUMMYFUNCTION("""COMPUTED_VALUE"""),FALSE)</f>
        <v>0</v>
      </c>
      <c r="N682" s="32"/>
    </row>
    <row r="683">
      <c r="A683" s="32"/>
      <c r="B683" s="32"/>
      <c r="C683" s="32"/>
      <c r="D683" s="32"/>
      <c r="E683" s="32"/>
      <c r="F683" s="32"/>
      <c r="G683" s="32"/>
      <c r="H683" s="32"/>
      <c r="I683" s="32"/>
      <c r="J683" s="32" t="b">
        <f>IFERROR(__xludf.DUMMYFUNCTION("""COMPUTED_VALUE"""),FALSE)</f>
        <v>0</v>
      </c>
      <c r="K683" s="32"/>
      <c r="L683" s="32" t="b">
        <f>IFERROR(__xludf.DUMMYFUNCTION("""COMPUTED_VALUE"""),FALSE)</f>
        <v>0</v>
      </c>
      <c r="M683" s="32" t="b">
        <f>IFERROR(__xludf.DUMMYFUNCTION("""COMPUTED_VALUE"""),FALSE)</f>
        <v>0</v>
      </c>
      <c r="N683" s="32"/>
    </row>
    <row r="684">
      <c r="A684" s="32"/>
      <c r="B684" s="32"/>
      <c r="C684" s="32"/>
      <c r="D684" s="32"/>
      <c r="E684" s="32"/>
      <c r="F684" s="32"/>
      <c r="G684" s="32"/>
      <c r="H684" s="32"/>
      <c r="I684" s="32"/>
      <c r="J684" s="32" t="b">
        <f>IFERROR(__xludf.DUMMYFUNCTION("""COMPUTED_VALUE"""),FALSE)</f>
        <v>0</v>
      </c>
      <c r="K684" s="32"/>
      <c r="L684" s="32" t="b">
        <f>IFERROR(__xludf.DUMMYFUNCTION("""COMPUTED_VALUE"""),FALSE)</f>
        <v>0</v>
      </c>
      <c r="M684" s="32" t="b">
        <f>IFERROR(__xludf.DUMMYFUNCTION("""COMPUTED_VALUE"""),FALSE)</f>
        <v>0</v>
      </c>
      <c r="N684" s="32"/>
    </row>
    <row r="685">
      <c r="A685" s="32"/>
      <c r="B685" s="32"/>
      <c r="C685" s="32"/>
      <c r="D685" s="32"/>
      <c r="E685" s="32"/>
      <c r="F685" s="32"/>
      <c r="G685" s="32"/>
      <c r="H685" s="32"/>
      <c r="I685" s="32"/>
      <c r="J685" s="32" t="b">
        <f>IFERROR(__xludf.DUMMYFUNCTION("""COMPUTED_VALUE"""),FALSE)</f>
        <v>0</v>
      </c>
      <c r="K685" s="32"/>
      <c r="L685" s="32" t="b">
        <f>IFERROR(__xludf.DUMMYFUNCTION("""COMPUTED_VALUE"""),FALSE)</f>
        <v>0</v>
      </c>
      <c r="M685" s="32" t="b">
        <f>IFERROR(__xludf.DUMMYFUNCTION("""COMPUTED_VALUE"""),FALSE)</f>
        <v>0</v>
      </c>
      <c r="N685" s="32"/>
    </row>
    <row r="686">
      <c r="A686" s="32"/>
      <c r="B686" s="32"/>
      <c r="C686" s="32"/>
      <c r="D686" s="32"/>
      <c r="E686" s="32"/>
      <c r="F686" s="32"/>
      <c r="G686" s="32"/>
      <c r="H686" s="32"/>
      <c r="I686" s="32"/>
      <c r="J686" s="32" t="b">
        <f>IFERROR(__xludf.DUMMYFUNCTION("""COMPUTED_VALUE"""),FALSE)</f>
        <v>0</v>
      </c>
      <c r="K686" s="32"/>
      <c r="L686" s="32" t="b">
        <f>IFERROR(__xludf.DUMMYFUNCTION("""COMPUTED_VALUE"""),FALSE)</f>
        <v>0</v>
      </c>
      <c r="M686" s="32" t="b">
        <f>IFERROR(__xludf.DUMMYFUNCTION("""COMPUTED_VALUE"""),FALSE)</f>
        <v>0</v>
      </c>
      <c r="N686" s="32"/>
    </row>
    <row r="687">
      <c r="A687" s="32"/>
      <c r="B687" s="32"/>
      <c r="C687" s="32"/>
      <c r="D687" s="32"/>
      <c r="E687" s="32"/>
      <c r="F687" s="32"/>
      <c r="G687" s="32"/>
      <c r="H687" s="32"/>
      <c r="I687" s="32"/>
      <c r="J687" s="32" t="b">
        <f>IFERROR(__xludf.DUMMYFUNCTION("""COMPUTED_VALUE"""),FALSE)</f>
        <v>0</v>
      </c>
      <c r="K687" s="32"/>
      <c r="L687" s="32" t="b">
        <f>IFERROR(__xludf.DUMMYFUNCTION("""COMPUTED_VALUE"""),FALSE)</f>
        <v>0</v>
      </c>
      <c r="M687" s="32" t="b">
        <f>IFERROR(__xludf.DUMMYFUNCTION("""COMPUTED_VALUE"""),FALSE)</f>
        <v>0</v>
      </c>
      <c r="N687" s="32"/>
    </row>
    <row r="688">
      <c r="A688" s="32"/>
      <c r="B688" s="32"/>
      <c r="C688" s="32"/>
      <c r="D688" s="32"/>
      <c r="E688" s="32"/>
      <c r="F688" s="32"/>
      <c r="G688" s="32"/>
      <c r="H688" s="32"/>
      <c r="I688" s="32"/>
      <c r="J688" s="32" t="b">
        <f>IFERROR(__xludf.DUMMYFUNCTION("""COMPUTED_VALUE"""),FALSE)</f>
        <v>0</v>
      </c>
      <c r="K688" s="32"/>
      <c r="L688" s="32" t="b">
        <f>IFERROR(__xludf.DUMMYFUNCTION("""COMPUTED_VALUE"""),FALSE)</f>
        <v>0</v>
      </c>
      <c r="M688" s="32" t="b">
        <f>IFERROR(__xludf.DUMMYFUNCTION("""COMPUTED_VALUE"""),FALSE)</f>
        <v>0</v>
      </c>
      <c r="N688" s="32"/>
    </row>
    <row r="689">
      <c r="A689" s="32"/>
      <c r="B689" s="32"/>
      <c r="C689" s="32"/>
      <c r="D689" s="32"/>
      <c r="E689" s="32"/>
      <c r="F689" s="32"/>
      <c r="G689" s="32"/>
      <c r="H689" s="32"/>
      <c r="I689" s="32"/>
      <c r="J689" s="32" t="b">
        <f>IFERROR(__xludf.DUMMYFUNCTION("""COMPUTED_VALUE"""),FALSE)</f>
        <v>0</v>
      </c>
      <c r="K689" s="32"/>
      <c r="L689" s="32" t="b">
        <f>IFERROR(__xludf.DUMMYFUNCTION("""COMPUTED_VALUE"""),FALSE)</f>
        <v>0</v>
      </c>
      <c r="M689" s="32" t="b">
        <f>IFERROR(__xludf.DUMMYFUNCTION("""COMPUTED_VALUE"""),FALSE)</f>
        <v>0</v>
      </c>
      <c r="N689" s="32"/>
    </row>
    <row r="690">
      <c r="A690" s="32"/>
      <c r="B690" s="32"/>
      <c r="C690" s="32"/>
      <c r="D690" s="32"/>
      <c r="E690" s="32"/>
      <c r="F690" s="32"/>
      <c r="G690" s="32"/>
      <c r="H690" s="32"/>
      <c r="I690" s="32"/>
      <c r="J690" s="32" t="b">
        <f>IFERROR(__xludf.DUMMYFUNCTION("""COMPUTED_VALUE"""),FALSE)</f>
        <v>0</v>
      </c>
      <c r="K690" s="32"/>
      <c r="L690" s="32" t="b">
        <f>IFERROR(__xludf.DUMMYFUNCTION("""COMPUTED_VALUE"""),FALSE)</f>
        <v>0</v>
      </c>
      <c r="M690" s="32" t="b">
        <f>IFERROR(__xludf.DUMMYFUNCTION("""COMPUTED_VALUE"""),FALSE)</f>
        <v>0</v>
      </c>
      <c r="N690" s="32"/>
    </row>
    <row r="691">
      <c r="A691" s="32"/>
      <c r="B691" s="32"/>
      <c r="C691" s="32"/>
      <c r="D691" s="32"/>
      <c r="E691" s="32"/>
      <c r="F691" s="32"/>
      <c r="G691" s="32"/>
      <c r="H691" s="32"/>
      <c r="I691" s="32"/>
      <c r="J691" s="32" t="b">
        <f>IFERROR(__xludf.DUMMYFUNCTION("""COMPUTED_VALUE"""),FALSE)</f>
        <v>0</v>
      </c>
      <c r="K691" s="32"/>
      <c r="L691" s="32" t="b">
        <f>IFERROR(__xludf.DUMMYFUNCTION("""COMPUTED_VALUE"""),FALSE)</f>
        <v>0</v>
      </c>
      <c r="M691" s="32" t="b">
        <f>IFERROR(__xludf.DUMMYFUNCTION("""COMPUTED_VALUE"""),FALSE)</f>
        <v>0</v>
      </c>
      <c r="N691" s="32"/>
    </row>
    <row r="692">
      <c r="A692" s="32"/>
      <c r="B692" s="32"/>
      <c r="C692" s="32"/>
      <c r="D692" s="32"/>
      <c r="E692" s="32"/>
      <c r="F692" s="32"/>
      <c r="G692" s="32"/>
      <c r="H692" s="32"/>
      <c r="I692" s="32"/>
      <c r="J692" s="32" t="b">
        <f>IFERROR(__xludf.DUMMYFUNCTION("""COMPUTED_VALUE"""),FALSE)</f>
        <v>0</v>
      </c>
      <c r="K692" s="32"/>
      <c r="L692" s="32" t="b">
        <f>IFERROR(__xludf.DUMMYFUNCTION("""COMPUTED_VALUE"""),FALSE)</f>
        <v>0</v>
      </c>
      <c r="M692" s="32" t="b">
        <f>IFERROR(__xludf.DUMMYFUNCTION("""COMPUTED_VALUE"""),FALSE)</f>
        <v>0</v>
      </c>
      <c r="N692" s="32"/>
    </row>
    <row r="693">
      <c r="A693" s="32"/>
      <c r="B693" s="32"/>
      <c r="C693" s="32"/>
      <c r="D693" s="32"/>
      <c r="E693" s="32"/>
      <c r="F693" s="32"/>
      <c r="G693" s="32"/>
      <c r="H693" s="32"/>
      <c r="I693" s="32"/>
      <c r="J693" s="32" t="b">
        <f>IFERROR(__xludf.DUMMYFUNCTION("""COMPUTED_VALUE"""),FALSE)</f>
        <v>0</v>
      </c>
      <c r="K693" s="32"/>
      <c r="L693" s="32" t="b">
        <f>IFERROR(__xludf.DUMMYFUNCTION("""COMPUTED_VALUE"""),FALSE)</f>
        <v>0</v>
      </c>
      <c r="M693" s="32" t="b">
        <f>IFERROR(__xludf.DUMMYFUNCTION("""COMPUTED_VALUE"""),FALSE)</f>
        <v>0</v>
      </c>
      <c r="N693" s="32"/>
    </row>
    <row r="694">
      <c r="A694" s="32"/>
      <c r="B694" s="32"/>
      <c r="C694" s="32"/>
      <c r="D694" s="32"/>
      <c r="E694" s="32"/>
      <c r="F694" s="32"/>
      <c r="G694" s="32"/>
      <c r="H694" s="32"/>
      <c r="I694" s="32"/>
      <c r="J694" s="32" t="b">
        <f>IFERROR(__xludf.DUMMYFUNCTION("""COMPUTED_VALUE"""),FALSE)</f>
        <v>0</v>
      </c>
      <c r="K694" s="32"/>
      <c r="L694" s="32" t="b">
        <f>IFERROR(__xludf.DUMMYFUNCTION("""COMPUTED_VALUE"""),FALSE)</f>
        <v>0</v>
      </c>
      <c r="M694" s="32" t="b">
        <f>IFERROR(__xludf.DUMMYFUNCTION("""COMPUTED_VALUE"""),FALSE)</f>
        <v>0</v>
      </c>
      <c r="N694" s="32"/>
    </row>
    <row r="695">
      <c r="A695" s="32"/>
      <c r="B695" s="32"/>
      <c r="C695" s="32"/>
      <c r="D695" s="32"/>
      <c r="E695" s="32"/>
      <c r="F695" s="32"/>
      <c r="G695" s="32"/>
      <c r="H695" s="32"/>
      <c r="I695" s="32"/>
      <c r="J695" s="32" t="b">
        <f>IFERROR(__xludf.DUMMYFUNCTION("""COMPUTED_VALUE"""),FALSE)</f>
        <v>0</v>
      </c>
      <c r="K695" s="32"/>
      <c r="L695" s="32" t="b">
        <f>IFERROR(__xludf.DUMMYFUNCTION("""COMPUTED_VALUE"""),FALSE)</f>
        <v>0</v>
      </c>
      <c r="M695" s="32" t="b">
        <f>IFERROR(__xludf.DUMMYFUNCTION("""COMPUTED_VALUE"""),FALSE)</f>
        <v>0</v>
      </c>
      <c r="N695" s="32"/>
    </row>
    <row r="696">
      <c r="A696" s="32"/>
      <c r="B696" s="32"/>
      <c r="C696" s="32"/>
      <c r="D696" s="32"/>
      <c r="E696" s="32"/>
      <c r="F696" s="32"/>
      <c r="G696" s="32"/>
      <c r="H696" s="32"/>
      <c r="I696" s="32"/>
      <c r="J696" s="32" t="b">
        <f>IFERROR(__xludf.DUMMYFUNCTION("""COMPUTED_VALUE"""),FALSE)</f>
        <v>0</v>
      </c>
      <c r="K696" s="32"/>
      <c r="L696" s="32" t="b">
        <f>IFERROR(__xludf.DUMMYFUNCTION("""COMPUTED_VALUE"""),FALSE)</f>
        <v>0</v>
      </c>
      <c r="M696" s="32" t="b">
        <f>IFERROR(__xludf.DUMMYFUNCTION("""COMPUTED_VALUE"""),FALSE)</f>
        <v>0</v>
      </c>
      <c r="N696" s="32"/>
    </row>
    <row r="697">
      <c r="A697" s="32"/>
      <c r="B697" s="32"/>
      <c r="C697" s="32"/>
      <c r="D697" s="32"/>
      <c r="E697" s="32"/>
      <c r="F697" s="32"/>
      <c r="G697" s="32"/>
      <c r="H697" s="32"/>
      <c r="I697" s="32"/>
      <c r="J697" s="32" t="b">
        <f>IFERROR(__xludf.DUMMYFUNCTION("""COMPUTED_VALUE"""),FALSE)</f>
        <v>0</v>
      </c>
      <c r="K697" s="32"/>
      <c r="L697" s="32" t="b">
        <f>IFERROR(__xludf.DUMMYFUNCTION("""COMPUTED_VALUE"""),FALSE)</f>
        <v>0</v>
      </c>
      <c r="M697" s="32" t="b">
        <f>IFERROR(__xludf.DUMMYFUNCTION("""COMPUTED_VALUE"""),FALSE)</f>
        <v>0</v>
      </c>
      <c r="N697" s="32"/>
    </row>
    <row r="698">
      <c r="A698" s="32"/>
      <c r="B698" s="32"/>
      <c r="C698" s="32"/>
      <c r="D698" s="32"/>
      <c r="E698" s="32"/>
      <c r="F698" s="32"/>
      <c r="G698" s="32"/>
      <c r="H698" s="32"/>
      <c r="I698" s="32"/>
      <c r="J698" s="32" t="b">
        <f>IFERROR(__xludf.DUMMYFUNCTION("""COMPUTED_VALUE"""),FALSE)</f>
        <v>0</v>
      </c>
      <c r="K698" s="32"/>
      <c r="L698" s="32" t="b">
        <f>IFERROR(__xludf.DUMMYFUNCTION("""COMPUTED_VALUE"""),FALSE)</f>
        <v>0</v>
      </c>
      <c r="M698" s="32" t="b">
        <f>IFERROR(__xludf.DUMMYFUNCTION("""COMPUTED_VALUE"""),FALSE)</f>
        <v>0</v>
      </c>
      <c r="N698" s="32"/>
    </row>
    <row r="699">
      <c r="A699" s="32"/>
      <c r="B699" s="32"/>
      <c r="C699" s="32"/>
      <c r="D699" s="32"/>
      <c r="E699" s="32"/>
      <c r="F699" s="32"/>
      <c r="G699" s="32"/>
      <c r="H699" s="32"/>
      <c r="I699" s="32"/>
      <c r="J699" s="32" t="b">
        <f>IFERROR(__xludf.DUMMYFUNCTION("""COMPUTED_VALUE"""),FALSE)</f>
        <v>0</v>
      </c>
      <c r="K699" s="32"/>
      <c r="L699" s="32" t="b">
        <f>IFERROR(__xludf.DUMMYFUNCTION("""COMPUTED_VALUE"""),FALSE)</f>
        <v>0</v>
      </c>
      <c r="M699" s="32" t="b">
        <f>IFERROR(__xludf.DUMMYFUNCTION("""COMPUTED_VALUE"""),FALSE)</f>
        <v>0</v>
      </c>
      <c r="N699" s="32"/>
    </row>
    <row r="700">
      <c r="A700" s="32"/>
      <c r="B700" s="32"/>
      <c r="C700" s="32"/>
      <c r="D700" s="32"/>
      <c r="E700" s="32"/>
      <c r="F700" s="32"/>
      <c r="G700" s="32"/>
      <c r="H700" s="32"/>
      <c r="I700" s="32"/>
      <c r="J700" s="32" t="b">
        <f>IFERROR(__xludf.DUMMYFUNCTION("""COMPUTED_VALUE"""),FALSE)</f>
        <v>0</v>
      </c>
      <c r="K700" s="32"/>
      <c r="L700" s="32" t="b">
        <f>IFERROR(__xludf.DUMMYFUNCTION("""COMPUTED_VALUE"""),FALSE)</f>
        <v>0</v>
      </c>
      <c r="M700" s="32" t="b">
        <f>IFERROR(__xludf.DUMMYFUNCTION("""COMPUTED_VALUE"""),FALSE)</f>
        <v>0</v>
      </c>
      <c r="N700" s="32"/>
    </row>
    <row r="701">
      <c r="A701" s="32"/>
      <c r="B701" s="32"/>
      <c r="C701" s="32"/>
      <c r="D701" s="32"/>
      <c r="E701" s="32"/>
      <c r="F701" s="32"/>
      <c r="G701" s="32"/>
      <c r="H701" s="32"/>
      <c r="I701" s="32"/>
      <c r="J701" s="32" t="b">
        <f>IFERROR(__xludf.DUMMYFUNCTION("""COMPUTED_VALUE"""),FALSE)</f>
        <v>0</v>
      </c>
      <c r="K701" s="32"/>
      <c r="L701" s="32" t="b">
        <f>IFERROR(__xludf.DUMMYFUNCTION("""COMPUTED_VALUE"""),FALSE)</f>
        <v>0</v>
      </c>
      <c r="M701" s="32" t="b">
        <f>IFERROR(__xludf.DUMMYFUNCTION("""COMPUTED_VALUE"""),FALSE)</f>
        <v>0</v>
      </c>
      <c r="N701" s="32"/>
    </row>
    <row r="702">
      <c r="A702" s="32"/>
      <c r="B702" s="32"/>
      <c r="C702" s="32"/>
      <c r="D702" s="32"/>
      <c r="E702" s="32"/>
      <c r="F702" s="32"/>
      <c r="G702" s="32"/>
      <c r="H702" s="32"/>
      <c r="I702" s="32"/>
      <c r="J702" s="32" t="b">
        <f>IFERROR(__xludf.DUMMYFUNCTION("""COMPUTED_VALUE"""),FALSE)</f>
        <v>0</v>
      </c>
      <c r="K702" s="32"/>
      <c r="L702" s="32" t="b">
        <f>IFERROR(__xludf.DUMMYFUNCTION("""COMPUTED_VALUE"""),FALSE)</f>
        <v>0</v>
      </c>
      <c r="M702" s="32" t="b">
        <f>IFERROR(__xludf.DUMMYFUNCTION("""COMPUTED_VALUE"""),FALSE)</f>
        <v>0</v>
      </c>
      <c r="N702" s="32"/>
    </row>
    <row r="703">
      <c r="A703" s="32"/>
      <c r="B703" s="32"/>
      <c r="C703" s="32"/>
      <c r="D703" s="32"/>
      <c r="E703" s="32"/>
      <c r="F703" s="32"/>
      <c r="G703" s="32"/>
      <c r="H703" s="32"/>
      <c r="I703" s="32"/>
      <c r="J703" s="32" t="b">
        <f>IFERROR(__xludf.DUMMYFUNCTION("""COMPUTED_VALUE"""),FALSE)</f>
        <v>0</v>
      </c>
      <c r="K703" s="32"/>
      <c r="L703" s="32" t="b">
        <f>IFERROR(__xludf.DUMMYFUNCTION("""COMPUTED_VALUE"""),FALSE)</f>
        <v>0</v>
      </c>
      <c r="M703" s="32" t="b">
        <f>IFERROR(__xludf.DUMMYFUNCTION("""COMPUTED_VALUE"""),FALSE)</f>
        <v>0</v>
      </c>
      <c r="N703" s="32"/>
    </row>
    <row r="704">
      <c r="A704" s="32"/>
      <c r="B704" s="32"/>
      <c r="C704" s="32"/>
      <c r="D704" s="32"/>
      <c r="E704" s="32"/>
      <c r="F704" s="32"/>
      <c r="G704" s="32"/>
      <c r="H704" s="32"/>
      <c r="I704" s="32"/>
      <c r="J704" s="32" t="b">
        <f>IFERROR(__xludf.DUMMYFUNCTION("""COMPUTED_VALUE"""),FALSE)</f>
        <v>0</v>
      </c>
      <c r="K704" s="32"/>
      <c r="L704" s="32" t="b">
        <f>IFERROR(__xludf.DUMMYFUNCTION("""COMPUTED_VALUE"""),FALSE)</f>
        <v>0</v>
      </c>
      <c r="M704" s="32" t="b">
        <f>IFERROR(__xludf.DUMMYFUNCTION("""COMPUTED_VALUE"""),FALSE)</f>
        <v>0</v>
      </c>
      <c r="N704" s="32"/>
    </row>
    <row r="705">
      <c r="A705" s="32"/>
      <c r="B705" s="32"/>
      <c r="C705" s="32"/>
      <c r="D705" s="32"/>
      <c r="E705" s="32"/>
      <c r="F705" s="32"/>
      <c r="G705" s="32"/>
      <c r="H705" s="32"/>
      <c r="I705" s="32"/>
      <c r="J705" s="32" t="b">
        <f>IFERROR(__xludf.DUMMYFUNCTION("""COMPUTED_VALUE"""),FALSE)</f>
        <v>0</v>
      </c>
      <c r="K705" s="32"/>
      <c r="L705" s="32" t="b">
        <f>IFERROR(__xludf.DUMMYFUNCTION("""COMPUTED_VALUE"""),FALSE)</f>
        <v>0</v>
      </c>
      <c r="M705" s="32" t="b">
        <f>IFERROR(__xludf.DUMMYFUNCTION("""COMPUTED_VALUE"""),FALSE)</f>
        <v>0</v>
      </c>
      <c r="N705" s="32"/>
    </row>
    <row r="706">
      <c r="A706" s="32"/>
      <c r="B706" s="32"/>
      <c r="C706" s="32"/>
      <c r="D706" s="32"/>
      <c r="E706" s="32"/>
      <c r="F706" s="32"/>
      <c r="G706" s="32"/>
      <c r="H706" s="32"/>
      <c r="I706" s="32"/>
      <c r="J706" s="32" t="b">
        <f>IFERROR(__xludf.DUMMYFUNCTION("""COMPUTED_VALUE"""),FALSE)</f>
        <v>0</v>
      </c>
      <c r="K706" s="32"/>
      <c r="L706" s="32" t="b">
        <f>IFERROR(__xludf.DUMMYFUNCTION("""COMPUTED_VALUE"""),FALSE)</f>
        <v>0</v>
      </c>
      <c r="M706" s="32" t="b">
        <f>IFERROR(__xludf.DUMMYFUNCTION("""COMPUTED_VALUE"""),FALSE)</f>
        <v>0</v>
      </c>
      <c r="N706" s="32"/>
    </row>
    <row r="707">
      <c r="A707" s="32"/>
      <c r="B707" s="32"/>
      <c r="C707" s="32"/>
      <c r="D707" s="32"/>
      <c r="E707" s="32"/>
      <c r="F707" s="32"/>
      <c r="G707" s="32"/>
      <c r="H707" s="32"/>
      <c r="I707" s="32"/>
      <c r="J707" s="32" t="b">
        <f>IFERROR(__xludf.DUMMYFUNCTION("""COMPUTED_VALUE"""),FALSE)</f>
        <v>0</v>
      </c>
      <c r="K707" s="32"/>
      <c r="L707" s="32" t="b">
        <f>IFERROR(__xludf.DUMMYFUNCTION("""COMPUTED_VALUE"""),FALSE)</f>
        <v>0</v>
      </c>
      <c r="M707" s="32" t="b">
        <f>IFERROR(__xludf.DUMMYFUNCTION("""COMPUTED_VALUE"""),FALSE)</f>
        <v>0</v>
      </c>
      <c r="N707" s="32"/>
    </row>
    <row r="708">
      <c r="A708" s="32"/>
      <c r="B708" s="32"/>
      <c r="C708" s="32"/>
      <c r="D708" s="32"/>
      <c r="E708" s="32"/>
      <c r="F708" s="32"/>
      <c r="G708" s="32"/>
      <c r="H708" s="32"/>
      <c r="I708" s="32"/>
      <c r="J708" s="32" t="b">
        <f>IFERROR(__xludf.DUMMYFUNCTION("""COMPUTED_VALUE"""),FALSE)</f>
        <v>0</v>
      </c>
      <c r="K708" s="32"/>
      <c r="L708" s="32" t="b">
        <f>IFERROR(__xludf.DUMMYFUNCTION("""COMPUTED_VALUE"""),FALSE)</f>
        <v>0</v>
      </c>
      <c r="M708" s="32" t="b">
        <f>IFERROR(__xludf.DUMMYFUNCTION("""COMPUTED_VALUE"""),FALSE)</f>
        <v>0</v>
      </c>
      <c r="N708" s="32"/>
    </row>
    <row r="709">
      <c r="A709" s="32"/>
      <c r="B709" s="32"/>
      <c r="C709" s="32"/>
      <c r="D709" s="32"/>
      <c r="E709" s="32"/>
      <c r="F709" s="32"/>
      <c r="G709" s="32"/>
      <c r="H709" s="32"/>
      <c r="I709" s="32"/>
      <c r="J709" s="32" t="b">
        <f>IFERROR(__xludf.DUMMYFUNCTION("""COMPUTED_VALUE"""),FALSE)</f>
        <v>0</v>
      </c>
      <c r="K709" s="32"/>
      <c r="L709" s="32" t="b">
        <f>IFERROR(__xludf.DUMMYFUNCTION("""COMPUTED_VALUE"""),FALSE)</f>
        <v>0</v>
      </c>
      <c r="M709" s="32" t="b">
        <f>IFERROR(__xludf.DUMMYFUNCTION("""COMPUTED_VALUE"""),FALSE)</f>
        <v>0</v>
      </c>
      <c r="N709" s="32"/>
    </row>
    <row r="710">
      <c r="A710" s="32"/>
      <c r="B710" s="32"/>
      <c r="C710" s="32"/>
      <c r="D710" s="32"/>
      <c r="E710" s="32"/>
      <c r="F710" s="32"/>
      <c r="G710" s="32"/>
      <c r="H710" s="32"/>
      <c r="I710" s="32"/>
      <c r="J710" s="32" t="b">
        <f>IFERROR(__xludf.DUMMYFUNCTION("""COMPUTED_VALUE"""),FALSE)</f>
        <v>0</v>
      </c>
      <c r="K710" s="32"/>
      <c r="L710" s="32" t="b">
        <f>IFERROR(__xludf.DUMMYFUNCTION("""COMPUTED_VALUE"""),FALSE)</f>
        <v>0</v>
      </c>
      <c r="M710" s="32" t="b">
        <f>IFERROR(__xludf.DUMMYFUNCTION("""COMPUTED_VALUE"""),FALSE)</f>
        <v>0</v>
      </c>
      <c r="N710" s="32"/>
    </row>
    <row r="711">
      <c r="A711" s="32"/>
      <c r="B711" s="32"/>
      <c r="C711" s="32"/>
      <c r="D711" s="32"/>
      <c r="E711" s="32"/>
      <c r="F711" s="32"/>
      <c r="G711" s="32"/>
      <c r="H711" s="32"/>
      <c r="I711" s="32"/>
      <c r="J711" s="32" t="b">
        <f>IFERROR(__xludf.DUMMYFUNCTION("""COMPUTED_VALUE"""),FALSE)</f>
        <v>0</v>
      </c>
      <c r="K711" s="32"/>
      <c r="L711" s="32" t="b">
        <f>IFERROR(__xludf.DUMMYFUNCTION("""COMPUTED_VALUE"""),FALSE)</f>
        <v>0</v>
      </c>
      <c r="M711" s="32" t="b">
        <f>IFERROR(__xludf.DUMMYFUNCTION("""COMPUTED_VALUE"""),FALSE)</f>
        <v>0</v>
      </c>
      <c r="N711" s="32"/>
    </row>
    <row r="712">
      <c r="A712" s="32"/>
      <c r="B712" s="32"/>
      <c r="C712" s="32"/>
      <c r="D712" s="32"/>
      <c r="E712" s="32"/>
      <c r="F712" s="32"/>
      <c r="G712" s="32"/>
      <c r="H712" s="32"/>
      <c r="I712" s="32"/>
      <c r="J712" s="32" t="b">
        <f>IFERROR(__xludf.DUMMYFUNCTION("""COMPUTED_VALUE"""),FALSE)</f>
        <v>0</v>
      </c>
      <c r="K712" s="32"/>
      <c r="L712" s="32" t="b">
        <f>IFERROR(__xludf.DUMMYFUNCTION("""COMPUTED_VALUE"""),FALSE)</f>
        <v>0</v>
      </c>
      <c r="M712" s="32" t="b">
        <f>IFERROR(__xludf.DUMMYFUNCTION("""COMPUTED_VALUE"""),FALSE)</f>
        <v>0</v>
      </c>
      <c r="N712" s="32"/>
    </row>
    <row r="713">
      <c r="A713" s="32"/>
      <c r="B713" s="32"/>
      <c r="C713" s="32"/>
      <c r="D713" s="32"/>
      <c r="E713" s="32"/>
      <c r="F713" s="32"/>
      <c r="G713" s="32"/>
      <c r="H713" s="32"/>
      <c r="I713" s="32"/>
      <c r="J713" s="32" t="b">
        <f>IFERROR(__xludf.DUMMYFUNCTION("""COMPUTED_VALUE"""),FALSE)</f>
        <v>0</v>
      </c>
      <c r="K713" s="32"/>
      <c r="L713" s="32" t="b">
        <f>IFERROR(__xludf.DUMMYFUNCTION("""COMPUTED_VALUE"""),FALSE)</f>
        <v>0</v>
      </c>
      <c r="M713" s="32" t="b">
        <f>IFERROR(__xludf.DUMMYFUNCTION("""COMPUTED_VALUE"""),FALSE)</f>
        <v>0</v>
      </c>
      <c r="N713" s="32"/>
    </row>
    <row r="714">
      <c r="A714" s="32"/>
      <c r="B714" s="32"/>
      <c r="C714" s="32"/>
      <c r="D714" s="32"/>
      <c r="E714" s="32"/>
      <c r="F714" s="32"/>
      <c r="G714" s="32"/>
      <c r="H714" s="32"/>
      <c r="I714" s="32"/>
      <c r="J714" s="32" t="b">
        <f>IFERROR(__xludf.DUMMYFUNCTION("""COMPUTED_VALUE"""),FALSE)</f>
        <v>0</v>
      </c>
      <c r="K714" s="32"/>
      <c r="L714" s="32" t="b">
        <f>IFERROR(__xludf.DUMMYFUNCTION("""COMPUTED_VALUE"""),FALSE)</f>
        <v>0</v>
      </c>
      <c r="M714" s="32" t="b">
        <f>IFERROR(__xludf.DUMMYFUNCTION("""COMPUTED_VALUE"""),FALSE)</f>
        <v>0</v>
      </c>
      <c r="N714" s="32"/>
    </row>
    <row r="715">
      <c r="A715" s="32"/>
      <c r="B715" s="32"/>
      <c r="C715" s="32"/>
      <c r="D715" s="32"/>
      <c r="E715" s="32"/>
      <c r="F715" s="32"/>
      <c r="G715" s="32"/>
      <c r="H715" s="32"/>
      <c r="I715" s="32"/>
      <c r="J715" s="32" t="b">
        <f>IFERROR(__xludf.DUMMYFUNCTION("""COMPUTED_VALUE"""),FALSE)</f>
        <v>0</v>
      </c>
      <c r="K715" s="32"/>
      <c r="L715" s="32" t="b">
        <f>IFERROR(__xludf.DUMMYFUNCTION("""COMPUTED_VALUE"""),FALSE)</f>
        <v>0</v>
      </c>
      <c r="M715" s="32" t="b">
        <f>IFERROR(__xludf.DUMMYFUNCTION("""COMPUTED_VALUE"""),FALSE)</f>
        <v>0</v>
      </c>
      <c r="N715" s="32"/>
    </row>
    <row r="716">
      <c r="A716" s="32"/>
      <c r="B716" s="32"/>
      <c r="C716" s="32"/>
      <c r="D716" s="32"/>
      <c r="E716" s="32"/>
      <c r="F716" s="32"/>
      <c r="G716" s="32"/>
      <c r="H716" s="32"/>
      <c r="I716" s="32"/>
      <c r="J716" s="32" t="b">
        <f>IFERROR(__xludf.DUMMYFUNCTION("""COMPUTED_VALUE"""),FALSE)</f>
        <v>0</v>
      </c>
      <c r="K716" s="32"/>
      <c r="L716" s="32" t="b">
        <f>IFERROR(__xludf.DUMMYFUNCTION("""COMPUTED_VALUE"""),FALSE)</f>
        <v>0</v>
      </c>
      <c r="M716" s="32" t="b">
        <f>IFERROR(__xludf.DUMMYFUNCTION("""COMPUTED_VALUE"""),FALSE)</f>
        <v>0</v>
      </c>
      <c r="N716" s="32"/>
    </row>
    <row r="717">
      <c r="A717" s="32"/>
      <c r="B717" s="32"/>
      <c r="C717" s="32"/>
      <c r="D717" s="32"/>
      <c r="E717" s="32"/>
      <c r="F717" s="32"/>
      <c r="G717" s="32"/>
      <c r="H717" s="32"/>
      <c r="I717" s="32"/>
      <c r="J717" s="32" t="b">
        <f>IFERROR(__xludf.DUMMYFUNCTION("""COMPUTED_VALUE"""),FALSE)</f>
        <v>0</v>
      </c>
      <c r="K717" s="32"/>
      <c r="L717" s="32" t="b">
        <f>IFERROR(__xludf.DUMMYFUNCTION("""COMPUTED_VALUE"""),FALSE)</f>
        <v>0</v>
      </c>
      <c r="M717" s="32" t="b">
        <f>IFERROR(__xludf.DUMMYFUNCTION("""COMPUTED_VALUE"""),FALSE)</f>
        <v>0</v>
      </c>
      <c r="N717" s="32"/>
    </row>
    <row r="718">
      <c r="A718" s="32"/>
      <c r="B718" s="32"/>
      <c r="C718" s="32"/>
      <c r="D718" s="32"/>
      <c r="E718" s="32"/>
      <c r="F718" s="32"/>
      <c r="G718" s="32"/>
      <c r="H718" s="32"/>
      <c r="I718" s="32"/>
      <c r="J718" s="32" t="b">
        <f>IFERROR(__xludf.DUMMYFUNCTION("""COMPUTED_VALUE"""),FALSE)</f>
        <v>0</v>
      </c>
      <c r="K718" s="32"/>
      <c r="L718" s="32" t="b">
        <f>IFERROR(__xludf.DUMMYFUNCTION("""COMPUTED_VALUE"""),FALSE)</f>
        <v>0</v>
      </c>
      <c r="M718" s="32" t="b">
        <f>IFERROR(__xludf.DUMMYFUNCTION("""COMPUTED_VALUE"""),FALSE)</f>
        <v>0</v>
      </c>
      <c r="N718" s="32"/>
    </row>
    <row r="719">
      <c r="A719" s="32"/>
      <c r="B719" s="32"/>
      <c r="C719" s="32"/>
      <c r="D719" s="32"/>
      <c r="E719" s="32"/>
      <c r="F719" s="32"/>
      <c r="G719" s="32"/>
      <c r="H719" s="32"/>
      <c r="I719" s="32"/>
      <c r="J719" s="32" t="b">
        <f>IFERROR(__xludf.DUMMYFUNCTION("""COMPUTED_VALUE"""),FALSE)</f>
        <v>0</v>
      </c>
      <c r="K719" s="32"/>
      <c r="L719" s="32" t="b">
        <f>IFERROR(__xludf.DUMMYFUNCTION("""COMPUTED_VALUE"""),FALSE)</f>
        <v>0</v>
      </c>
      <c r="M719" s="32" t="b">
        <f>IFERROR(__xludf.DUMMYFUNCTION("""COMPUTED_VALUE"""),FALSE)</f>
        <v>0</v>
      </c>
      <c r="N719" s="32"/>
    </row>
    <row r="720">
      <c r="A720" s="32"/>
      <c r="B720" s="32"/>
      <c r="C720" s="32"/>
      <c r="D720" s="32"/>
      <c r="E720" s="32"/>
      <c r="F720" s="32"/>
      <c r="G720" s="32"/>
      <c r="H720" s="32"/>
      <c r="I720" s="32"/>
      <c r="J720" s="32" t="b">
        <f>IFERROR(__xludf.DUMMYFUNCTION("""COMPUTED_VALUE"""),FALSE)</f>
        <v>0</v>
      </c>
      <c r="K720" s="32"/>
      <c r="L720" s="32" t="b">
        <f>IFERROR(__xludf.DUMMYFUNCTION("""COMPUTED_VALUE"""),FALSE)</f>
        <v>0</v>
      </c>
      <c r="M720" s="32" t="b">
        <f>IFERROR(__xludf.DUMMYFUNCTION("""COMPUTED_VALUE"""),FALSE)</f>
        <v>0</v>
      </c>
      <c r="N720" s="32"/>
    </row>
    <row r="721">
      <c r="A721" s="32"/>
      <c r="B721" s="32"/>
      <c r="C721" s="32"/>
      <c r="D721" s="32"/>
      <c r="E721" s="32"/>
      <c r="F721" s="32"/>
      <c r="G721" s="32"/>
      <c r="H721" s="32"/>
      <c r="I721" s="32"/>
      <c r="J721" s="32" t="b">
        <f>IFERROR(__xludf.DUMMYFUNCTION("""COMPUTED_VALUE"""),FALSE)</f>
        <v>0</v>
      </c>
      <c r="K721" s="32"/>
      <c r="L721" s="32" t="b">
        <f>IFERROR(__xludf.DUMMYFUNCTION("""COMPUTED_VALUE"""),FALSE)</f>
        <v>0</v>
      </c>
      <c r="M721" s="32" t="b">
        <f>IFERROR(__xludf.DUMMYFUNCTION("""COMPUTED_VALUE"""),FALSE)</f>
        <v>0</v>
      </c>
      <c r="N721" s="32"/>
    </row>
    <row r="722">
      <c r="A722" s="32"/>
      <c r="B722" s="32"/>
      <c r="C722" s="32"/>
      <c r="D722" s="32"/>
      <c r="E722" s="32"/>
      <c r="F722" s="32"/>
      <c r="G722" s="32"/>
      <c r="H722" s="32"/>
      <c r="I722" s="32"/>
      <c r="J722" s="32" t="b">
        <f>IFERROR(__xludf.DUMMYFUNCTION("""COMPUTED_VALUE"""),FALSE)</f>
        <v>0</v>
      </c>
      <c r="K722" s="32"/>
      <c r="L722" s="32" t="b">
        <f>IFERROR(__xludf.DUMMYFUNCTION("""COMPUTED_VALUE"""),FALSE)</f>
        <v>0</v>
      </c>
      <c r="M722" s="32" t="b">
        <f>IFERROR(__xludf.DUMMYFUNCTION("""COMPUTED_VALUE"""),FALSE)</f>
        <v>0</v>
      </c>
      <c r="N722" s="32"/>
    </row>
    <row r="723">
      <c r="A723" s="32"/>
      <c r="B723" s="32"/>
      <c r="C723" s="32"/>
      <c r="D723" s="32"/>
      <c r="E723" s="32"/>
      <c r="F723" s="32"/>
      <c r="G723" s="32"/>
      <c r="H723" s="32"/>
      <c r="I723" s="32"/>
      <c r="J723" s="32" t="b">
        <f>IFERROR(__xludf.DUMMYFUNCTION("""COMPUTED_VALUE"""),FALSE)</f>
        <v>0</v>
      </c>
      <c r="K723" s="32"/>
      <c r="L723" s="32" t="b">
        <f>IFERROR(__xludf.DUMMYFUNCTION("""COMPUTED_VALUE"""),FALSE)</f>
        <v>0</v>
      </c>
      <c r="M723" s="32" t="b">
        <f>IFERROR(__xludf.DUMMYFUNCTION("""COMPUTED_VALUE"""),FALSE)</f>
        <v>0</v>
      </c>
      <c r="N723" s="32"/>
    </row>
    <row r="724">
      <c r="A724" s="32"/>
      <c r="B724" s="32"/>
      <c r="C724" s="32"/>
      <c r="D724" s="32"/>
      <c r="E724" s="32"/>
      <c r="F724" s="32"/>
      <c r="G724" s="32"/>
      <c r="H724" s="32"/>
      <c r="I724" s="32"/>
      <c r="J724" s="32" t="b">
        <f>IFERROR(__xludf.DUMMYFUNCTION("""COMPUTED_VALUE"""),FALSE)</f>
        <v>0</v>
      </c>
      <c r="K724" s="32"/>
      <c r="L724" s="32" t="b">
        <f>IFERROR(__xludf.DUMMYFUNCTION("""COMPUTED_VALUE"""),FALSE)</f>
        <v>0</v>
      </c>
      <c r="M724" s="32" t="b">
        <f>IFERROR(__xludf.DUMMYFUNCTION("""COMPUTED_VALUE"""),FALSE)</f>
        <v>0</v>
      </c>
      <c r="N724" s="32"/>
    </row>
    <row r="725">
      <c r="A725" s="32"/>
      <c r="B725" s="32"/>
      <c r="C725" s="32"/>
      <c r="D725" s="32"/>
      <c r="E725" s="32"/>
      <c r="F725" s="32"/>
      <c r="G725" s="32"/>
      <c r="H725" s="32"/>
      <c r="I725" s="32"/>
      <c r="J725" s="32" t="b">
        <f>IFERROR(__xludf.DUMMYFUNCTION("""COMPUTED_VALUE"""),FALSE)</f>
        <v>0</v>
      </c>
      <c r="K725" s="32"/>
      <c r="L725" s="32" t="b">
        <f>IFERROR(__xludf.DUMMYFUNCTION("""COMPUTED_VALUE"""),FALSE)</f>
        <v>0</v>
      </c>
      <c r="M725" s="32" t="b">
        <f>IFERROR(__xludf.DUMMYFUNCTION("""COMPUTED_VALUE"""),FALSE)</f>
        <v>0</v>
      </c>
      <c r="N725" s="32"/>
    </row>
    <row r="726">
      <c r="A726" s="32"/>
      <c r="B726" s="32"/>
      <c r="C726" s="32"/>
      <c r="D726" s="32"/>
      <c r="E726" s="32"/>
      <c r="F726" s="32"/>
      <c r="G726" s="32"/>
      <c r="H726" s="32"/>
      <c r="I726" s="32"/>
      <c r="J726" s="32" t="b">
        <f>IFERROR(__xludf.DUMMYFUNCTION("""COMPUTED_VALUE"""),FALSE)</f>
        <v>0</v>
      </c>
      <c r="K726" s="32"/>
      <c r="L726" s="32" t="b">
        <f>IFERROR(__xludf.DUMMYFUNCTION("""COMPUTED_VALUE"""),FALSE)</f>
        <v>0</v>
      </c>
      <c r="M726" s="32" t="b">
        <f>IFERROR(__xludf.DUMMYFUNCTION("""COMPUTED_VALUE"""),FALSE)</f>
        <v>0</v>
      </c>
      <c r="N726" s="32"/>
    </row>
    <row r="727">
      <c r="A727" s="32"/>
      <c r="B727" s="32"/>
      <c r="C727" s="32"/>
      <c r="D727" s="32"/>
      <c r="E727" s="32"/>
      <c r="F727" s="32"/>
      <c r="G727" s="32"/>
      <c r="H727" s="32"/>
      <c r="I727" s="32"/>
      <c r="J727" s="32" t="b">
        <f>IFERROR(__xludf.DUMMYFUNCTION("""COMPUTED_VALUE"""),FALSE)</f>
        <v>0</v>
      </c>
      <c r="K727" s="32"/>
      <c r="L727" s="32" t="b">
        <f>IFERROR(__xludf.DUMMYFUNCTION("""COMPUTED_VALUE"""),FALSE)</f>
        <v>0</v>
      </c>
      <c r="M727" s="32" t="b">
        <f>IFERROR(__xludf.DUMMYFUNCTION("""COMPUTED_VALUE"""),FALSE)</f>
        <v>0</v>
      </c>
      <c r="N727" s="32"/>
    </row>
    <row r="728">
      <c r="A728" s="32"/>
      <c r="B728" s="32"/>
      <c r="C728" s="32"/>
      <c r="D728" s="32"/>
      <c r="E728" s="32"/>
      <c r="F728" s="32"/>
      <c r="G728" s="32"/>
      <c r="H728" s="32"/>
      <c r="I728" s="32"/>
      <c r="J728" s="32" t="b">
        <f>IFERROR(__xludf.DUMMYFUNCTION("""COMPUTED_VALUE"""),FALSE)</f>
        <v>0</v>
      </c>
      <c r="K728" s="32"/>
      <c r="L728" s="32" t="b">
        <f>IFERROR(__xludf.DUMMYFUNCTION("""COMPUTED_VALUE"""),FALSE)</f>
        <v>0</v>
      </c>
      <c r="M728" s="32" t="b">
        <f>IFERROR(__xludf.DUMMYFUNCTION("""COMPUTED_VALUE"""),FALSE)</f>
        <v>0</v>
      </c>
      <c r="N728" s="32"/>
    </row>
    <row r="729">
      <c r="A729" s="32"/>
      <c r="B729" s="32"/>
      <c r="C729" s="32"/>
      <c r="D729" s="32"/>
      <c r="E729" s="32"/>
      <c r="F729" s="32"/>
      <c r="G729" s="32"/>
      <c r="H729" s="32"/>
      <c r="I729" s="32"/>
      <c r="J729" s="32" t="b">
        <f>IFERROR(__xludf.DUMMYFUNCTION("""COMPUTED_VALUE"""),FALSE)</f>
        <v>0</v>
      </c>
      <c r="K729" s="32"/>
      <c r="L729" s="32" t="b">
        <f>IFERROR(__xludf.DUMMYFUNCTION("""COMPUTED_VALUE"""),FALSE)</f>
        <v>0</v>
      </c>
      <c r="M729" s="32" t="b">
        <f>IFERROR(__xludf.DUMMYFUNCTION("""COMPUTED_VALUE"""),FALSE)</f>
        <v>0</v>
      </c>
      <c r="N729" s="32"/>
    </row>
    <row r="730">
      <c r="A730" s="32"/>
      <c r="B730" s="32"/>
      <c r="C730" s="32"/>
      <c r="D730" s="32"/>
      <c r="E730" s="32"/>
      <c r="F730" s="32"/>
      <c r="G730" s="32"/>
      <c r="H730" s="32"/>
      <c r="I730" s="32"/>
      <c r="J730" s="32" t="b">
        <f>IFERROR(__xludf.DUMMYFUNCTION("""COMPUTED_VALUE"""),FALSE)</f>
        <v>0</v>
      </c>
      <c r="K730" s="32"/>
      <c r="L730" s="32" t="b">
        <f>IFERROR(__xludf.DUMMYFUNCTION("""COMPUTED_VALUE"""),FALSE)</f>
        <v>0</v>
      </c>
      <c r="M730" s="32" t="b">
        <f>IFERROR(__xludf.DUMMYFUNCTION("""COMPUTED_VALUE"""),FALSE)</f>
        <v>0</v>
      </c>
      <c r="N730" s="32"/>
    </row>
    <row r="731">
      <c r="A731" s="32"/>
      <c r="B731" s="32"/>
      <c r="C731" s="32"/>
      <c r="D731" s="32"/>
      <c r="E731" s="32"/>
      <c r="F731" s="32"/>
      <c r="G731" s="32"/>
      <c r="H731" s="32"/>
      <c r="I731" s="32"/>
      <c r="J731" s="32" t="b">
        <f>IFERROR(__xludf.DUMMYFUNCTION("""COMPUTED_VALUE"""),FALSE)</f>
        <v>0</v>
      </c>
      <c r="K731" s="32"/>
      <c r="L731" s="32" t="b">
        <f>IFERROR(__xludf.DUMMYFUNCTION("""COMPUTED_VALUE"""),FALSE)</f>
        <v>0</v>
      </c>
      <c r="M731" s="32" t="b">
        <f>IFERROR(__xludf.DUMMYFUNCTION("""COMPUTED_VALUE"""),FALSE)</f>
        <v>0</v>
      </c>
      <c r="N731" s="32"/>
    </row>
    <row r="732">
      <c r="A732" s="32"/>
      <c r="B732" s="32"/>
      <c r="C732" s="32"/>
      <c r="D732" s="32"/>
      <c r="E732" s="32"/>
      <c r="F732" s="32"/>
      <c r="G732" s="32"/>
      <c r="H732" s="32"/>
      <c r="I732" s="32"/>
      <c r="J732" s="32" t="b">
        <f>IFERROR(__xludf.DUMMYFUNCTION("""COMPUTED_VALUE"""),FALSE)</f>
        <v>0</v>
      </c>
      <c r="K732" s="32"/>
      <c r="L732" s="32" t="b">
        <f>IFERROR(__xludf.DUMMYFUNCTION("""COMPUTED_VALUE"""),FALSE)</f>
        <v>0</v>
      </c>
      <c r="M732" s="32" t="b">
        <f>IFERROR(__xludf.DUMMYFUNCTION("""COMPUTED_VALUE"""),FALSE)</f>
        <v>0</v>
      </c>
      <c r="N732" s="32"/>
    </row>
    <row r="733">
      <c r="A733" s="32"/>
      <c r="B733" s="32"/>
      <c r="C733" s="32"/>
      <c r="D733" s="32"/>
      <c r="E733" s="32"/>
      <c r="F733" s="32"/>
      <c r="G733" s="32"/>
      <c r="H733" s="32"/>
      <c r="I733" s="32"/>
      <c r="J733" s="32" t="b">
        <f>IFERROR(__xludf.DUMMYFUNCTION("""COMPUTED_VALUE"""),FALSE)</f>
        <v>0</v>
      </c>
      <c r="K733" s="32"/>
      <c r="L733" s="32" t="b">
        <f>IFERROR(__xludf.DUMMYFUNCTION("""COMPUTED_VALUE"""),FALSE)</f>
        <v>0</v>
      </c>
      <c r="M733" s="32" t="b">
        <f>IFERROR(__xludf.DUMMYFUNCTION("""COMPUTED_VALUE"""),FALSE)</f>
        <v>0</v>
      </c>
      <c r="N733" s="32"/>
    </row>
    <row r="734">
      <c r="A734" s="32"/>
      <c r="B734" s="32"/>
      <c r="C734" s="32"/>
      <c r="D734" s="32"/>
      <c r="E734" s="32"/>
      <c r="F734" s="32"/>
      <c r="G734" s="32"/>
      <c r="H734" s="32"/>
      <c r="I734" s="32"/>
      <c r="J734" s="32" t="b">
        <f>IFERROR(__xludf.DUMMYFUNCTION("""COMPUTED_VALUE"""),FALSE)</f>
        <v>0</v>
      </c>
      <c r="K734" s="32"/>
      <c r="L734" s="32" t="b">
        <f>IFERROR(__xludf.DUMMYFUNCTION("""COMPUTED_VALUE"""),FALSE)</f>
        <v>0</v>
      </c>
      <c r="M734" s="32" t="b">
        <f>IFERROR(__xludf.DUMMYFUNCTION("""COMPUTED_VALUE"""),FALSE)</f>
        <v>0</v>
      </c>
      <c r="N734" s="32"/>
    </row>
    <row r="735">
      <c r="A735" s="32"/>
      <c r="B735" s="32"/>
      <c r="C735" s="32"/>
      <c r="D735" s="32"/>
      <c r="E735" s="32"/>
      <c r="F735" s="32"/>
      <c r="G735" s="32"/>
      <c r="H735" s="32"/>
      <c r="I735" s="32"/>
      <c r="J735" s="32" t="b">
        <f>IFERROR(__xludf.DUMMYFUNCTION("""COMPUTED_VALUE"""),FALSE)</f>
        <v>0</v>
      </c>
      <c r="K735" s="32"/>
      <c r="L735" s="32" t="b">
        <f>IFERROR(__xludf.DUMMYFUNCTION("""COMPUTED_VALUE"""),FALSE)</f>
        <v>0</v>
      </c>
      <c r="M735" s="32" t="b">
        <f>IFERROR(__xludf.DUMMYFUNCTION("""COMPUTED_VALUE"""),FALSE)</f>
        <v>0</v>
      </c>
      <c r="N735" s="32"/>
    </row>
    <row r="736">
      <c r="A736" s="32"/>
      <c r="B736" s="32"/>
      <c r="C736" s="32"/>
      <c r="D736" s="32"/>
      <c r="E736" s="32"/>
      <c r="F736" s="32"/>
      <c r="G736" s="32"/>
      <c r="H736" s="32"/>
      <c r="I736" s="32"/>
      <c r="J736" s="32" t="b">
        <f>IFERROR(__xludf.DUMMYFUNCTION("""COMPUTED_VALUE"""),FALSE)</f>
        <v>0</v>
      </c>
      <c r="K736" s="32"/>
      <c r="L736" s="32" t="b">
        <f>IFERROR(__xludf.DUMMYFUNCTION("""COMPUTED_VALUE"""),FALSE)</f>
        <v>0</v>
      </c>
      <c r="M736" s="32" t="b">
        <f>IFERROR(__xludf.DUMMYFUNCTION("""COMPUTED_VALUE"""),FALSE)</f>
        <v>0</v>
      </c>
      <c r="N736" s="32"/>
    </row>
    <row r="737">
      <c r="A737" s="32"/>
      <c r="B737" s="32"/>
      <c r="C737" s="32"/>
      <c r="D737" s="32"/>
      <c r="E737" s="32"/>
      <c r="F737" s="32"/>
      <c r="G737" s="32"/>
      <c r="H737" s="32"/>
      <c r="I737" s="32"/>
      <c r="J737" s="32" t="b">
        <f>IFERROR(__xludf.DUMMYFUNCTION("""COMPUTED_VALUE"""),FALSE)</f>
        <v>0</v>
      </c>
      <c r="K737" s="32"/>
      <c r="L737" s="32" t="b">
        <f>IFERROR(__xludf.DUMMYFUNCTION("""COMPUTED_VALUE"""),FALSE)</f>
        <v>0</v>
      </c>
      <c r="M737" s="32" t="b">
        <f>IFERROR(__xludf.DUMMYFUNCTION("""COMPUTED_VALUE"""),FALSE)</f>
        <v>0</v>
      </c>
      <c r="N737" s="32"/>
    </row>
    <row r="738">
      <c r="A738" s="32"/>
      <c r="B738" s="32"/>
      <c r="C738" s="32"/>
      <c r="D738" s="32"/>
      <c r="E738" s="32"/>
      <c r="F738" s="32"/>
      <c r="G738" s="32"/>
      <c r="H738" s="32"/>
      <c r="I738" s="32"/>
      <c r="J738" s="32" t="b">
        <f>IFERROR(__xludf.DUMMYFUNCTION("""COMPUTED_VALUE"""),FALSE)</f>
        <v>0</v>
      </c>
      <c r="K738" s="32"/>
      <c r="L738" s="32" t="b">
        <f>IFERROR(__xludf.DUMMYFUNCTION("""COMPUTED_VALUE"""),FALSE)</f>
        <v>0</v>
      </c>
      <c r="M738" s="32" t="b">
        <f>IFERROR(__xludf.DUMMYFUNCTION("""COMPUTED_VALUE"""),FALSE)</f>
        <v>0</v>
      </c>
      <c r="N738" s="32"/>
    </row>
    <row r="739">
      <c r="A739" s="32"/>
      <c r="B739" s="32"/>
      <c r="C739" s="32"/>
      <c r="D739" s="32"/>
      <c r="E739" s="32"/>
      <c r="F739" s="32"/>
      <c r="G739" s="32"/>
      <c r="H739" s="32"/>
      <c r="I739" s="32"/>
      <c r="J739" s="32" t="b">
        <f>IFERROR(__xludf.DUMMYFUNCTION("""COMPUTED_VALUE"""),FALSE)</f>
        <v>0</v>
      </c>
      <c r="K739" s="32"/>
      <c r="L739" s="32" t="b">
        <f>IFERROR(__xludf.DUMMYFUNCTION("""COMPUTED_VALUE"""),FALSE)</f>
        <v>0</v>
      </c>
      <c r="M739" s="32" t="b">
        <f>IFERROR(__xludf.DUMMYFUNCTION("""COMPUTED_VALUE"""),FALSE)</f>
        <v>0</v>
      </c>
      <c r="N739" s="32"/>
    </row>
    <row r="740">
      <c r="A740" s="32"/>
      <c r="B740" s="32"/>
      <c r="C740" s="32"/>
      <c r="D740" s="32"/>
      <c r="E740" s="32"/>
      <c r="F740" s="32"/>
      <c r="G740" s="32"/>
      <c r="H740" s="32"/>
      <c r="I740" s="32"/>
      <c r="J740" s="32" t="b">
        <f>IFERROR(__xludf.DUMMYFUNCTION("""COMPUTED_VALUE"""),FALSE)</f>
        <v>0</v>
      </c>
      <c r="K740" s="32"/>
      <c r="L740" s="32" t="b">
        <f>IFERROR(__xludf.DUMMYFUNCTION("""COMPUTED_VALUE"""),FALSE)</f>
        <v>0</v>
      </c>
      <c r="M740" s="32" t="b">
        <f>IFERROR(__xludf.DUMMYFUNCTION("""COMPUTED_VALUE"""),FALSE)</f>
        <v>0</v>
      </c>
      <c r="N740" s="32"/>
    </row>
    <row r="741">
      <c r="A741" s="32"/>
      <c r="B741" s="32"/>
      <c r="C741" s="32"/>
      <c r="D741" s="32"/>
      <c r="E741" s="32"/>
      <c r="F741" s="32"/>
      <c r="G741" s="32"/>
      <c r="H741" s="32"/>
      <c r="I741" s="32"/>
      <c r="J741" s="32" t="b">
        <f>IFERROR(__xludf.DUMMYFUNCTION("""COMPUTED_VALUE"""),FALSE)</f>
        <v>0</v>
      </c>
      <c r="K741" s="32"/>
      <c r="L741" s="32" t="b">
        <f>IFERROR(__xludf.DUMMYFUNCTION("""COMPUTED_VALUE"""),FALSE)</f>
        <v>0</v>
      </c>
      <c r="M741" s="32" t="b">
        <f>IFERROR(__xludf.DUMMYFUNCTION("""COMPUTED_VALUE"""),FALSE)</f>
        <v>0</v>
      </c>
      <c r="N741" s="32"/>
    </row>
    <row r="742">
      <c r="A742" s="32"/>
      <c r="B742" s="32"/>
      <c r="C742" s="32"/>
      <c r="D742" s="32"/>
      <c r="E742" s="32"/>
      <c r="F742" s="32"/>
      <c r="G742" s="32"/>
      <c r="H742" s="32"/>
      <c r="I742" s="32"/>
      <c r="J742" s="32" t="b">
        <f>IFERROR(__xludf.DUMMYFUNCTION("""COMPUTED_VALUE"""),FALSE)</f>
        <v>0</v>
      </c>
      <c r="K742" s="32"/>
      <c r="L742" s="32" t="b">
        <f>IFERROR(__xludf.DUMMYFUNCTION("""COMPUTED_VALUE"""),FALSE)</f>
        <v>0</v>
      </c>
      <c r="M742" s="32" t="b">
        <f>IFERROR(__xludf.DUMMYFUNCTION("""COMPUTED_VALUE"""),FALSE)</f>
        <v>0</v>
      </c>
      <c r="N742" s="32"/>
    </row>
    <row r="743">
      <c r="A743" s="32"/>
      <c r="B743" s="32"/>
      <c r="C743" s="32"/>
      <c r="D743" s="32"/>
      <c r="E743" s="32"/>
      <c r="F743" s="32"/>
      <c r="G743" s="32"/>
      <c r="H743" s="32"/>
      <c r="I743" s="32"/>
      <c r="J743" s="32" t="b">
        <f>IFERROR(__xludf.DUMMYFUNCTION("""COMPUTED_VALUE"""),FALSE)</f>
        <v>0</v>
      </c>
      <c r="K743" s="32"/>
      <c r="L743" s="32" t="b">
        <f>IFERROR(__xludf.DUMMYFUNCTION("""COMPUTED_VALUE"""),FALSE)</f>
        <v>0</v>
      </c>
      <c r="M743" s="32" t="b">
        <f>IFERROR(__xludf.DUMMYFUNCTION("""COMPUTED_VALUE"""),FALSE)</f>
        <v>0</v>
      </c>
      <c r="N743" s="32"/>
    </row>
    <row r="744">
      <c r="A744" s="32"/>
      <c r="B744" s="32"/>
      <c r="C744" s="32"/>
      <c r="D744" s="32"/>
      <c r="E744" s="32"/>
      <c r="F744" s="32"/>
      <c r="G744" s="32"/>
      <c r="H744" s="32"/>
      <c r="I744" s="32"/>
      <c r="J744" s="32" t="b">
        <f>IFERROR(__xludf.DUMMYFUNCTION("""COMPUTED_VALUE"""),FALSE)</f>
        <v>0</v>
      </c>
      <c r="K744" s="32"/>
      <c r="L744" s="32" t="b">
        <f>IFERROR(__xludf.DUMMYFUNCTION("""COMPUTED_VALUE"""),FALSE)</f>
        <v>0</v>
      </c>
      <c r="M744" s="32" t="b">
        <f>IFERROR(__xludf.DUMMYFUNCTION("""COMPUTED_VALUE"""),FALSE)</f>
        <v>0</v>
      </c>
      <c r="N744" s="32"/>
    </row>
    <row r="745">
      <c r="A745" s="32"/>
      <c r="B745" s="32"/>
      <c r="C745" s="32"/>
      <c r="D745" s="32"/>
      <c r="E745" s="32"/>
      <c r="F745" s="32"/>
      <c r="G745" s="32"/>
      <c r="H745" s="32"/>
      <c r="I745" s="32"/>
      <c r="J745" s="32" t="b">
        <f>IFERROR(__xludf.DUMMYFUNCTION("""COMPUTED_VALUE"""),FALSE)</f>
        <v>0</v>
      </c>
      <c r="K745" s="32"/>
      <c r="L745" s="32" t="b">
        <f>IFERROR(__xludf.DUMMYFUNCTION("""COMPUTED_VALUE"""),FALSE)</f>
        <v>0</v>
      </c>
      <c r="M745" s="32" t="b">
        <f>IFERROR(__xludf.DUMMYFUNCTION("""COMPUTED_VALUE"""),FALSE)</f>
        <v>0</v>
      </c>
      <c r="N745" s="32"/>
    </row>
    <row r="746">
      <c r="A746" s="32"/>
      <c r="B746" s="32"/>
      <c r="C746" s="32"/>
      <c r="D746" s="32"/>
      <c r="E746" s="32"/>
      <c r="F746" s="32"/>
      <c r="G746" s="32"/>
      <c r="H746" s="32"/>
      <c r="I746" s="32"/>
      <c r="J746" s="32" t="b">
        <f>IFERROR(__xludf.DUMMYFUNCTION("""COMPUTED_VALUE"""),FALSE)</f>
        <v>0</v>
      </c>
      <c r="K746" s="32"/>
      <c r="L746" s="32" t="b">
        <f>IFERROR(__xludf.DUMMYFUNCTION("""COMPUTED_VALUE"""),FALSE)</f>
        <v>0</v>
      </c>
      <c r="M746" s="32" t="b">
        <f>IFERROR(__xludf.DUMMYFUNCTION("""COMPUTED_VALUE"""),FALSE)</f>
        <v>0</v>
      </c>
      <c r="N746" s="32"/>
    </row>
    <row r="747">
      <c r="A747" s="32"/>
      <c r="B747" s="32"/>
      <c r="C747" s="32"/>
      <c r="D747" s="32"/>
      <c r="E747" s="32"/>
      <c r="F747" s="32"/>
      <c r="G747" s="32"/>
      <c r="H747" s="32"/>
      <c r="I747" s="32"/>
      <c r="J747" s="32" t="b">
        <f>IFERROR(__xludf.DUMMYFUNCTION("""COMPUTED_VALUE"""),FALSE)</f>
        <v>0</v>
      </c>
      <c r="K747" s="32"/>
      <c r="L747" s="32" t="b">
        <f>IFERROR(__xludf.DUMMYFUNCTION("""COMPUTED_VALUE"""),FALSE)</f>
        <v>0</v>
      </c>
      <c r="M747" s="32" t="b">
        <f>IFERROR(__xludf.DUMMYFUNCTION("""COMPUTED_VALUE"""),FALSE)</f>
        <v>0</v>
      </c>
      <c r="N747" s="32"/>
    </row>
    <row r="748">
      <c r="A748" s="32"/>
      <c r="B748" s="32"/>
      <c r="C748" s="32"/>
      <c r="D748" s="32"/>
      <c r="E748" s="32"/>
      <c r="F748" s="32"/>
      <c r="G748" s="32"/>
      <c r="H748" s="32"/>
      <c r="I748" s="32"/>
      <c r="J748" s="32" t="b">
        <f>IFERROR(__xludf.DUMMYFUNCTION("""COMPUTED_VALUE"""),FALSE)</f>
        <v>0</v>
      </c>
      <c r="K748" s="32"/>
      <c r="L748" s="32" t="b">
        <f>IFERROR(__xludf.DUMMYFUNCTION("""COMPUTED_VALUE"""),FALSE)</f>
        <v>0</v>
      </c>
      <c r="M748" s="32" t="b">
        <f>IFERROR(__xludf.DUMMYFUNCTION("""COMPUTED_VALUE"""),FALSE)</f>
        <v>0</v>
      </c>
      <c r="N748" s="32"/>
    </row>
    <row r="749">
      <c r="A749" s="32"/>
      <c r="B749" s="32"/>
      <c r="C749" s="32"/>
      <c r="D749" s="32"/>
      <c r="E749" s="32"/>
      <c r="F749" s="32"/>
      <c r="G749" s="32"/>
      <c r="H749" s="32"/>
      <c r="I749" s="32"/>
      <c r="J749" s="32" t="b">
        <f>IFERROR(__xludf.DUMMYFUNCTION("""COMPUTED_VALUE"""),FALSE)</f>
        <v>0</v>
      </c>
      <c r="K749" s="32"/>
      <c r="L749" s="32" t="b">
        <f>IFERROR(__xludf.DUMMYFUNCTION("""COMPUTED_VALUE"""),FALSE)</f>
        <v>0</v>
      </c>
      <c r="M749" s="32" t="b">
        <f>IFERROR(__xludf.DUMMYFUNCTION("""COMPUTED_VALUE"""),FALSE)</f>
        <v>0</v>
      </c>
      <c r="N749" s="32"/>
    </row>
    <row r="750">
      <c r="A750" s="32"/>
      <c r="B750" s="32"/>
      <c r="C750" s="32"/>
      <c r="D750" s="32"/>
      <c r="E750" s="32"/>
      <c r="F750" s="32"/>
      <c r="G750" s="32"/>
      <c r="H750" s="32"/>
      <c r="I750" s="32"/>
      <c r="J750" s="32" t="b">
        <f>IFERROR(__xludf.DUMMYFUNCTION("""COMPUTED_VALUE"""),FALSE)</f>
        <v>0</v>
      </c>
      <c r="K750" s="32"/>
      <c r="L750" s="32" t="b">
        <f>IFERROR(__xludf.DUMMYFUNCTION("""COMPUTED_VALUE"""),FALSE)</f>
        <v>0</v>
      </c>
      <c r="M750" s="32" t="b">
        <f>IFERROR(__xludf.DUMMYFUNCTION("""COMPUTED_VALUE"""),FALSE)</f>
        <v>0</v>
      </c>
      <c r="N750" s="32"/>
    </row>
    <row r="751">
      <c r="A751" s="32"/>
      <c r="B751" s="32"/>
      <c r="C751" s="32"/>
      <c r="D751" s="32"/>
      <c r="E751" s="32"/>
      <c r="F751" s="32"/>
      <c r="G751" s="32"/>
      <c r="H751" s="32"/>
      <c r="I751" s="32"/>
      <c r="J751" s="32" t="b">
        <f>IFERROR(__xludf.DUMMYFUNCTION("""COMPUTED_VALUE"""),FALSE)</f>
        <v>0</v>
      </c>
      <c r="K751" s="32"/>
      <c r="L751" s="32" t="b">
        <f>IFERROR(__xludf.DUMMYFUNCTION("""COMPUTED_VALUE"""),FALSE)</f>
        <v>0</v>
      </c>
      <c r="M751" s="32" t="b">
        <f>IFERROR(__xludf.DUMMYFUNCTION("""COMPUTED_VALUE"""),FALSE)</f>
        <v>0</v>
      </c>
      <c r="N751" s="32"/>
    </row>
    <row r="752">
      <c r="A752" s="32"/>
      <c r="B752" s="32"/>
      <c r="C752" s="32"/>
      <c r="D752" s="32"/>
      <c r="E752" s="32"/>
      <c r="F752" s="32"/>
      <c r="G752" s="32"/>
      <c r="H752" s="32"/>
      <c r="I752" s="32"/>
      <c r="J752" s="32" t="b">
        <f>IFERROR(__xludf.DUMMYFUNCTION("""COMPUTED_VALUE"""),FALSE)</f>
        <v>0</v>
      </c>
      <c r="K752" s="32"/>
      <c r="L752" s="32" t="b">
        <f>IFERROR(__xludf.DUMMYFUNCTION("""COMPUTED_VALUE"""),FALSE)</f>
        <v>0</v>
      </c>
      <c r="M752" s="32" t="b">
        <f>IFERROR(__xludf.DUMMYFUNCTION("""COMPUTED_VALUE"""),FALSE)</f>
        <v>0</v>
      </c>
      <c r="N752" s="32"/>
    </row>
    <row r="753">
      <c r="A753" s="32"/>
      <c r="B753" s="32"/>
      <c r="C753" s="32"/>
      <c r="D753" s="32"/>
      <c r="E753" s="32"/>
      <c r="F753" s="32"/>
      <c r="G753" s="32"/>
      <c r="H753" s="32"/>
      <c r="I753" s="32"/>
      <c r="J753" s="32" t="b">
        <f>IFERROR(__xludf.DUMMYFUNCTION("""COMPUTED_VALUE"""),FALSE)</f>
        <v>0</v>
      </c>
      <c r="K753" s="32"/>
      <c r="L753" s="32" t="b">
        <f>IFERROR(__xludf.DUMMYFUNCTION("""COMPUTED_VALUE"""),FALSE)</f>
        <v>0</v>
      </c>
      <c r="M753" s="32" t="b">
        <f>IFERROR(__xludf.DUMMYFUNCTION("""COMPUTED_VALUE"""),FALSE)</f>
        <v>0</v>
      </c>
      <c r="N753" s="32"/>
    </row>
    <row r="754">
      <c r="A754" s="32"/>
      <c r="B754" s="32"/>
      <c r="C754" s="32"/>
      <c r="D754" s="32"/>
      <c r="E754" s="32"/>
      <c r="F754" s="32"/>
      <c r="G754" s="32"/>
      <c r="H754" s="32"/>
      <c r="I754" s="32"/>
      <c r="J754" s="32" t="b">
        <f>IFERROR(__xludf.DUMMYFUNCTION("""COMPUTED_VALUE"""),FALSE)</f>
        <v>0</v>
      </c>
      <c r="K754" s="32"/>
      <c r="L754" s="32" t="b">
        <f>IFERROR(__xludf.DUMMYFUNCTION("""COMPUTED_VALUE"""),FALSE)</f>
        <v>0</v>
      </c>
      <c r="M754" s="32" t="b">
        <f>IFERROR(__xludf.DUMMYFUNCTION("""COMPUTED_VALUE"""),FALSE)</f>
        <v>0</v>
      </c>
      <c r="N754" s="32"/>
    </row>
    <row r="755">
      <c r="A755" s="32"/>
      <c r="B755" s="32"/>
      <c r="C755" s="32"/>
      <c r="D755" s="32"/>
      <c r="E755" s="32"/>
      <c r="F755" s="32"/>
      <c r="G755" s="32"/>
      <c r="H755" s="32"/>
      <c r="I755" s="32"/>
      <c r="J755" s="32" t="b">
        <f>IFERROR(__xludf.DUMMYFUNCTION("""COMPUTED_VALUE"""),FALSE)</f>
        <v>0</v>
      </c>
      <c r="K755" s="32"/>
      <c r="L755" s="32" t="b">
        <f>IFERROR(__xludf.DUMMYFUNCTION("""COMPUTED_VALUE"""),FALSE)</f>
        <v>0</v>
      </c>
      <c r="M755" s="32" t="b">
        <f>IFERROR(__xludf.DUMMYFUNCTION("""COMPUTED_VALUE"""),FALSE)</f>
        <v>0</v>
      </c>
      <c r="N755" s="32"/>
    </row>
    <row r="756">
      <c r="A756" s="32"/>
      <c r="B756" s="32"/>
      <c r="C756" s="32"/>
      <c r="D756" s="32"/>
      <c r="E756" s="32"/>
      <c r="F756" s="32"/>
      <c r="G756" s="32"/>
      <c r="H756" s="32"/>
      <c r="I756" s="32"/>
      <c r="J756" s="32" t="b">
        <f>IFERROR(__xludf.DUMMYFUNCTION("""COMPUTED_VALUE"""),FALSE)</f>
        <v>0</v>
      </c>
      <c r="K756" s="32"/>
      <c r="L756" s="32" t="b">
        <f>IFERROR(__xludf.DUMMYFUNCTION("""COMPUTED_VALUE"""),FALSE)</f>
        <v>0</v>
      </c>
      <c r="M756" s="32" t="b">
        <f>IFERROR(__xludf.DUMMYFUNCTION("""COMPUTED_VALUE"""),FALSE)</f>
        <v>0</v>
      </c>
      <c r="N756" s="32"/>
    </row>
    <row r="757">
      <c r="A757" s="32"/>
      <c r="B757" s="32"/>
      <c r="C757" s="32"/>
      <c r="D757" s="32"/>
      <c r="E757" s="32"/>
      <c r="F757" s="32"/>
      <c r="G757" s="32"/>
      <c r="H757" s="32"/>
      <c r="I757" s="32"/>
      <c r="J757" s="32" t="b">
        <f>IFERROR(__xludf.DUMMYFUNCTION("""COMPUTED_VALUE"""),FALSE)</f>
        <v>0</v>
      </c>
      <c r="K757" s="32"/>
      <c r="L757" s="32" t="b">
        <f>IFERROR(__xludf.DUMMYFUNCTION("""COMPUTED_VALUE"""),FALSE)</f>
        <v>0</v>
      </c>
      <c r="M757" s="32" t="b">
        <f>IFERROR(__xludf.DUMMYFUNCTION("""COMPUTED_VALUE"""),FALSE)</f>
        <v>0</v>
      </c>
      <c r="N757" s="32"/>
    </row>
    <row r="758">
      <c r="A758" s="32"/>
      <c r="B758" s="32"/>
      <c r="C758" s="32"/>
      <c r="D758" s="32"/>
      <c r="E758" s="32"/>
      <c r="F758" s="32"/>
      <c r="G758" s="32"/>
      <c r="H758" s="32"/>
      <c r="I758" s="32"/>
      <c r="J758" s="32" t="b">
        <f>IFERROR(__xludf.DUMMYFUNCTION("""COMPUTED_VALUE"""),FALSE)</f>
        <v>0</v>
      </c>
      <c r="K758" s="32"/>
      <c r="L758" s="32" t="b">
        <f>IFERROR(__xludf.DUMMYFUNCTION("""COMPUTED_VALUE"""),FALSE)</f>
        <v>0</v>
      </c>
      <c r="M758" s="32" t="b">
        <f>IFERROR(__xludf.DUMMYFUNCTION("""COMPUTED_VALUE"""),FALSE)</f>
        <v>0</v>
      </c>
      <c r="N758" s="32"/>
    </row>
    <row r="759">
      <c r="A759" s="32"/>
      <c r="B759" s="32"/>
      <c r="C759" s="32"/>
      <c r="D759" s="32"/>
      <c r="E759" s="32"/>
      <c r="F759" s="32"/>
      <c r="G759" s="32"/>
      <c r="H759" s="32"/>
      <c r="I759" s="32"/>
      <c r="J759" s="32" t="b">
        <f>IFERROR(__xludf.DUMMYFUNCTION("""COMPUTED_VALUE"""),FALSE)</f>
        <v>0</v>
      </c>
      <c r="K759" s="32"/>
      <c r="L759" s="32" t="b">
        <f>IFERROR(__xludf.DUMMYFUNCTION("""COMPUTED_VALUE"""),FALSE)</f>
        <v>0</v>
      </c>
      <c r="M759" s="32" t="b">
        <f>IFERROR(__xludf.DUMMYFUNCTION("""COMPUTED_VALUE"""),FALSE)</f>
        <v>0</v>
      </c>
      <c r="N759" s="32"/>
    </row>
    <row r="760">
      <c r="A760" s="32"/>
      <c r="B760" s="32"/>
      <c r="C760" s="32"/>
      <c r="D760" s="32"/>
      <c r="E760" s="32"/>
      <c r="F760" s="32"/>
      <c r="G760" s="32"/>
      <c r="H760" s="32"/>
      <c r="I760" s="32"/>
      <c r="J760" s="32" t="b">
        <f>IFERROR(__xludf.DUMMYFUNCTION("""COMPUTED_VALUE"""),FALSE)</f>
        <v>0</v>
      </c>
      <c r="K760" s="32"/>
      <c r="L760" s="32" t="b">
        <f>IFERROR(__xludf.DUMMYFUNCTION("""COMPUTED_VALUE"""),FALSE)</f>
        <v>0</v>
      </c>
      <c r="M760" s="32" t="b">
        <f>IFERROR(__xludf.DUMMYFUNCTION("""COMPUTED_VALUE"""),FALSE)</f>
        <v>0</v>
      </c>
      <c r="N760" s="32"/>
    </row>
    <row r="761">
      <c r="A761" s="32"/>
      <c r="B761" s="32"/>
      <c r="C761" s="32"/>
      <c r="D761" s="32"/>
      <c r="E761" s="32"/>
      <c r="F761" s="32"/>
      <c r="G761" s="32"/>
      <c r="H761" s="32"/>
      <c r="I761" s="32"/>
      <c r="J761" s="32" t="b">
        <f>IFERROR(__xludf.DUMMYFUNCTION("""COMPUTED_VALUE"""),FALSE)</f>
        <v>0</v>
      </c>
      <c r="K761" s="32"/>
      <c r="L761" s="32" t="b">
        <f>IFERROR(__xludf.DUMMYFUNCTION("""COMPUTED_VALUE"""),FALSE)</f>
        <v>0</v>
      </c>
      <c r="M761" s="32" t="b">
        <f>IFERROR(__xludf.DUMMYFUNCTION("""COMPUTED_VALUE"""),FALSE)</f>
        <v>0</v>
      </c>
      <c r="N761" s="32"/>
    </row>
    <row r="762">
      <c r="A762" s="32"/>
      <c r="B762" s="32"/>
      <c r="C762" s="32"/>
      <c r="D762" s="32"/>
      <c r="E762" s="32"/>
      <c r="F762" s="32"/>
      <c r="G762" s="32"/>
      <c r="H762" s="32"/>
      <c r="I762" s="32"/>
      <c r="J762" s="32" t="b">
        <f>IFERROR(__xludf.DUMMYFUNCTION("""COMPUTED_VALUE"""),FALSE)</f>
        <v>0</v>
      </c>
      <c r="K762" s="32"/>
      <c r="L762" s="32" t="b">
        <f>IFERROR(__xludf.DUMMYFUNCTION("""COMPUTED_VALUE"""),FALSE)</f>
        <v>0</v>
      </c>
      <c r="M762" s="32" t="b">
        <f>IFERROR(__xludf.DUMMYFUNCTION("""COMPUTED_VALUE"""),FALSE)</f>
        <v>0</v>
      </c>
      <c r="N762" s="32"/>
    </row>
    <row r="763">
      <c r="A763" s="32"/>
      <c r="B763" s="32"/>
      <c r="C763" s="32"/>
      <c r="D763" s="32"/>
      <c r="E763" s="32"/>
      <c r="F763" s="32"/>
      <c r="G763" s="32"/>
      <c r="H763" s="32"/>
      <c r="I763" s="32"/>
      <c r="J763" s="32" t="b">
        <f>IFERROR(__xludf.DUMMYFUNCTION("""COMPUTED_VALUE"""),FALSE)</f>
        <v>0</v>
      </c>
      <c r="K763" s="32"/>
      <c r="L763" s="32" t="b">
        <f>IFERROR(__xludf.DUMMYFUNCTION("""COMPUTED_VALUE"""),FALSE)</f>
        <v>0</v>
      </c>
      <c r="M763" s="32" t="b">
        <f>IFERROR(__xludf.DUMMYFUNCTION("""COMPUTED_VALUE"""),FALSE)</f>
        <v>0</v>
      </c>
      <c r="N763" s="32"/>
    </row>
    <row r="764">
      <c r="A764" s="32"/>
      <c r="B764" s="32"/>
      <c r="C764" s="32"/>
      <c r="D764" s="32"/>
      <c r="E764" s="32"/>
      <c r="F764" s="32"/>
      <c r="G764" s="32"/>
      <c r="H764" s="32"/>
      <c r="I764" s="32"/>
      <c r="J764" s="32" t="b">
        <f>IFERROR(__xludf.DUMMYFUNCTION("""COMPUTED_VALUE"""),FALSE)</f>
        <v>0</v>
      </c>
      <c r="K764" s="32"/>
      <c r="L764" s="32" t="b">
        <f>IFERROR(__xludf.DUMMYFUNCTION("""COMPUTED_VALUE"""),FALSE)</f>
        <v>0</v>
      </c>
      <c r="M764" s="32" t="b">
        <f>IFERROR(__xludf.DUMMYFUNCTION("""COMPUTED_VALUE"""),FALSE)</f>
        <v>0</v>
      </c>
      <c r="N764" s="32"/>
    </row>
    <row r="765">
      <c r="A765" s="32"/>
      <c r="B765" s="32"/>
      <c r="C765" s="32"/>
      <c r="D765" s="32"/>
      <c r="E765" s="32"/>
      <c r="F765" s="32"/>
      <c r="G765" s="32"/>
      <c r="H765" s="32"/>
      <c r="I765" s="32"/>
      <c r="J765" s="32" t="b">
        <f>IFERROR(__xludf.DUMMYFUNCTION("""COMPUTED_VALUE"""),FALSE)</f>
        <v>0</v>
      </c>
      <c r="K765" s="32"/>
      <c r="L765" s="32" t="b">
        <f>IFERROR(__xludf.DUMMYFUNCTION("""COMPUTED_VALUE"""),FALSE)</f>
        <v>0</v>
      </c>
      <c r="M765" s="32" t="b">
        <f>IFERROR(__xludf.DUMMYFUNCTION("""COMPUTED_VALUE"""),FALSE)</f>
        <v>0</v>
      </c>
      <c r="N765" s="32"/>
    </row>
    <row r="766">
      <c r="A766" s="32"/>
      <c r="B766" s="32"/>
      <c r="C766" s="32"/>
      <c r="D766" s="32"/>
      <c r="E766" s="32"/>
      <c r="F766" s="32"/>
      <c r="G766" s="32"/>
      <c r="H766" s="32"/>
      <c r="I766" s="32"/>
      <c r="J766" s="32" t="b">
        <f>IFERROR(__xludf.DUMMYFUNCTION("""COMPUTED_VALUE"""),FALSE)</f>
        <v>0</v>
      </c>
      <c r="K766" s="32"/>
      <c r="L766" s="32" t="b">
        <f>IFERROR(__xludf.DUMMYFUNCTION("""COMPUTED_VALUE"""),FALSE)</f>
        <v>0</v>
      </c>
      <c r="M766" s="32" t="b">
        <f>IFERROR(__xludf.DUMMYFUNCTION("""COMPUTED_VALUE"""),FALSE)</f>
        <v>0</v>
      </c>
      <c r="N766" s="32"/>
    </row>
    <row r="767">
      <c r="A767" s="32"/>
      <c r="B767" s="32"/>
      <c r="C767" s="32"/>
      <c r="D767" s="32"/>
      <c r="E767" s="32"/>
      <c r="F767" s="32"/>
      <c r="G767" s="32"/>
      <c r="H767" s="32"/>
      <c r="I767" s="32"/>
      <c r="J767" s="32" t="b">
        <f>IFERROR(__xludf.DUMMYFUNCTION("""COMPUTED_VALUE"""),FALSE)</f>
        <v>0</v>
      </c>
      <c r="K767" s="32"/>
      <c r="L767" s="32" t="b">
        <f>IFERROR(__xludf.DUMMYFUNCTION("""COMPUTED_VALUE"""),FALSE)</f>
        <v>0</v>
      </c>
      <c r="M767" s="32" t="b">
        <f>IFERROR(__xludf.DUMMYFUNCTION("""COMPUTED_VALUE"""),FALSE)</f>
        <v>0</v>
      </c>
      <c r="N767" s="32"/>
    </row>
    <row r="768">
      <c r="A768" s="32"/>
      <c r="B768" s="32"/>
      <c r="C768" s="32"/>
      <c r="D768" s="32"/>
      <c r="E768" s="32"/>
      <c r="F768" s="32"/>
      <c r="G768" s="32"/>
      <c r="H768" s="32"/>
      <c r="I768" s="32"/>
      <c r="J768" s="32" t="b">
        <f>IFERROR(__xludf.DUMMYFUNCTION("""COMPUTED_VALUE"""),FALSE)</f>
        <v>0</v>
      </c>
      <c r="K768" s="32"/>
      <c r="L768" s="32" t="b">
        <f>IFERROR(__xludf.DUMMYFUNCTION("""COMPUTED_VALUE"""),FALSE)</f>
        <v>0</v>
      </c>
      <c r="M768" s="32" t="b">
        <f>IFERROR(__xludf.DUMMYFUNCTION("""COMPUTED_VALUE"""),FALSE)</f>
        <v>0</v>
      </c>
      <c r="N768" s="32"/>
    </row>
    <row r="769">
      <c r="A769" s="32"/>
      <c r="B769" s="32"/>
      <c r="C769" s="32"/>
      <c r="D769" s="32"/>
      <c r="E769" s="32"/>
      <c r="F769" s="32"/>
      <c r="G769" s="32"/>
      <c r="H769" s="32"/>
      <c r="I769" s="32"/>
      <c r="J769" s="32" t="b">
        <f>IFERROR(__xludf.DUMMYFUNCTION("""COMPUTED_VALUE"""),FALSE)</f>
        <v>0</v>
      </c>
      <c r="K769" s="32"/>
      <c r="L769" s="32" t="b">
        <f>IFERROR(__xludf.DUMMYFUNCTION("""COMPUTED_VALUE"""),FALSE)</f>
        <v>0</v>
      </c>
      <c r="M769" s="32" t="b">
        <f>IFERROR(__xludf.DUMMYFUNCTION("""COMPUTED_VALUE"""),FALSE)</f>
        <v>0</v>
      </c>
      <c r="N769" s="32"/>
    </row>
    <row r="770">
      <c r="A770" s="32"/>
      <c r="B770" s="32"/>
      <c r="C770" s="32"/>
      <c r="D770" s="32"/>
      <c r="E770" s="32"/>
      <c r="F770" s="32"/>
      <c r="G770" s="32"/>
      <c r="H770" s="32"/>
      <c r="I770" s="32"/>
      <c r="J770" s="32" t="b">
        <f>IFERROR(__xludf.DUMMYFUNCTION("""COMPUTED_VALUE"""),FALSE)</f>
        <v>0</v>
      </c>
      <c r="K770" s="32"/>
      <c r="L770" s="32" t="b">
        <f>IFERROR(__xludf.DUMMYFUNCTION("""COMPUTED_VALUE"""),FALSE)</f>
        <v>0</v>
      </c>
      <c r="M770" s="32" t="b">
        <f>IFERROR(__xludf.DUMMYFUNCTION("""COMPUTED_VALUE"""),FALSE)</f>
        <v>0</v>
      </c>
      <c r="N770" s="32"/>
    </row>
    <row r="771">
      <c r="A771" s="32"/>
      <c r="B771" s="32"/>
      <c r="C771" s="32"/>
      <c r="D771" s="32"/>
      <c r="E771" s="32"/>
      <c r="F771" s="32"/>
      <c r="G771" s="32"/>
      <c r="H771" s="32"/>
      <c r="I771" s="32"/>
      <c r="J771" s="32" t="b">
        <f>IFERROR(__xludf.DUMMYFUNCTION("""COMPUTED_VALUE"""),FALSE)</f>
        <v>0</v>
      </c>
      <c r="K771" s="32"/>
      <c r="L771" s="32" t="b">
        <f>IFERROR(__xludf.DUMMYFUNCTION("""COMPUTED_VALUE"""),FALSE)</f>
        <v>0</v>
      </c>
      <c r="M771" s="32" t="b">
        <f>IFERROR(__xludf.DUMMYFUNCTION("""COMPUTED_VALUE"""),FALSE)</f>
        <v>0</v>
      </c>
      <c r="N771" s="32"/>
    </row>
    <row r="772">
      <c r="A772" s="32"/>
      <c r="B772" s="32"/>
      <c r="C772" s="32"/>
      <c r="D772" s="32"/>
      <c r="E772" s="32"/>
      <c r="F772" s="32"/>
      <c r="G772" s="32"/>
      <c r="H772" s="32"/>
      <c r="I772" s="32"/>
      <c r="J772" s="32" t="b">
        <f>IFERROR(__xludf.DUMMYFUNCTION("""COMPUTED_VALUE"""),FALSE)</f>
        <v>0</v>
      </c>
      <c r="K772" s="32"/>
      <c r="L772" s="32" t="b">
        <f>IFERROR(__xludf.DUMMYFUNCTION("""COMPUTED_VALUE"""),FALSE)</f>
        <v>0</v>
      </c>
      <c r="M772" s="32" t="b">
        <f>IFERROR(__xludf.DUMMYFUNCTION("""COMPUTED_VALUE"""),FALSE)</f>
        <v>0</v>
      </c>
      <c r="N772" s="32"/>
    </row>
    <row r="773">
      <c r="A773" s="32"/>
      <c r="B773" s="32"/>
      <c r="C773" s="32"/>
      <c r="D773" s="32"/>
      <c r="E773" s="32"/>
      <c r="F773" s="32"/>
      <c r="G773" s="32"/>
      <c r="H773" s="32"/>
      <c r="I773" s="32"/>
      <c r="J773" s="32" t="b">
        <f>IFERROR(__xludf.DUMMYFUNCTION("""COMPUTED_VALUE"""),FALSE)</f>
        <v>0</v>
      </c>
      <c r="K773" s="32"/>
      <c r="L773" s="32" t="b">
        <f>IFERROR(__xludf.DUMMYFUNCTION("""COMPUTED_VALUE"""),FALSE)</f>
        <v>0</v>
      </c>
      <c r="M773" s="32" t="b">
        <f>IFERROR(__xludf.DUMMYFUNCTION("""COMPUTED_VALUE"""),FALSE)</f>
        <v>0</v>
      </c>
      <c r="N773" s="32"/>
    </row>
    <row r="774">
      <c r="A774" s="32"/>
      <c r="B774" s="32"/>
      <c r="C774" s="32"/>
      <c r="D774" s="32"/>
      <c r="E774" s="32"/>
      <c r="F774" s="32"/>
      <c r="G774" s="32"/>
      <c r="H774" s="32"/>
      <c r="I774" s="32"/>
      <c r="J774" s="32" t="b">
        <f>IFERROR(__xludf.DUMMYFUNCTION("""COMPUTED_VALUE"""),FALSE)</f>
        <v>0</v>
      </c>
      <c r="K774" s="32"/>
      <c r="L774" s="32" t="b">
        <f>IFERROR(__xludf.DUMMYFUNCTION("""COMPUTED_VALUE"""),FALSE)</f>
        <v>0</v>
      </c>
      <c r="M774" s="32" t="b">
        <f>IFERROR(__xludf.DUMMYFUNCTION("""COMPUTED_VALUE"""),FALSE)</f>
        <v>0</v>
      </c>
      <c r="N774" s="32"/>
    </row>
    <row r="775">
      <c r="A775" s="32"/>
      <c r="B775" s="32"/>
      <c r="C775" s="32"/>
      <c r="D775" s="32"/>
      <c r="E775" s="32"/>
      <c r="F775" s="32"/>
      <c r="G775" s="32"/>
      <c r="H775" s="32"/>
      <c r="I775" s="32"/>
      <c r="J775" s="32" t="b">
        <f>IFERROR(__xludf.DUMMYFUNCTION("""COMPUTED_VALUE"""),FALSE)</f>
        <v>0</v>
      </c>
      <c r="K775" s="32"/>
      <c r="L775" s="32" t="b">
        <f>IFERROR(__xludf.DUMMYFUNCTION("""COMPUTED_VALUE"""),FALSE)</f>
        <v>0</v>
      </c>
      <c r="M775" s="32" t="b">
        <f>IFERROR(__xludf.DUMMYFUNCTION("""COMPUTED_VALUE"""),FALSE)</f>
        <v>0</v>
      </c>
      <c r="N775" s="32"/>
    </row>
    <row r="776">
      <c r="A776" s="32"/>
      <c r="B776" s="32"/>
      <c r="C776" s="32"/>
      <c r="D776" s="32"/>
      <c r="E776" s="32"/>
      <c r="F776" s="32"/>
      <c r="G776" s="32"/>
      <c r="H776" s="32"/>
      <c r="I776" s="32"/>
      <c r="J776" s="32" t="b">
        <f>IFERROR(__xludf.DUMMYFUNCTION("""COMPUTED_VALUE"""),FALSE)</f>
        <v>0</v>
      </c>
      <c r="K776" s="32"/>
      <c r="L776" s="32" t="b">
        <f>IFERROR(__xludf.DUMMYFUNCTION("""COMPUTED_VALUE"""),FALSE)</f>
        <v>0</v>
      </c>
      <c r="M776" s="32" t="b">
        <f>IFERROR(__xludf.DUMMYFUNCTION("""COMPUTED_VALUE"""),FALSE)</f>
        <v>0</v>
      </c>
      <c r="N776" s="32"/>
    </row>
    <row r="777">
      <c r="A777" s="32"/>
      <c r="B777" s="32"/>
      <c r="C777" s="32"/>
      <c r="D777" s="32"/>
      <c r="E777" s="32"/>
      <c r="F777" s="32"/>
      <c r="G777" s="32"/>
      <c r="H777" s="32"/>
      <c r="I777" s="32"/>
      <c r="J777" s="32" t="b">
        <f>IFERROR(__xludf.DUMMYFUNCTION("""COMPUTED_VALUE"""),FALSE)</f>
        <v>0</v>
      </c>
      <c r="K777" s="32"/>
      <c r="L777" s="32" t="b">
        <f>IFERROR(__xludf.DUMMYFUNCTION("""COMPUTED_VALUE"""),FALSE)</f>
        <v>0</v>
      </c>
      <c r="M777" s="32" t="b">
        <f>IFERROR(__xludf.DUMMYFUNCTION("""COMPUTED_VALUE"""),FALSE)</f>
        <v>0</v>
      </c>
      <c r="N777" s="32"/>
    </row>
    <row r="778">
      <c r="A778" s="32"/>
      <c r="B778" s="32"/>
      <c r="C778" s="32"/>
      <c r="D778" s="32"/>
      <c r="E778" s="32"/>
      <c r="F778" s="32"/>
      <c r="G778" s="32"/>
      <c r="H778" s="32"/>
      <c r="I778" s="32"/>
      <c r="J778" s="32" t="b">
        <f>IFERROR(__xludf.DUMMYFUNCTION("""COMPUTED_VALUE"""),FALSE)</f>
        <v>0</v>
      </c>
      <c r="K778" s="32"/>
      <c r="L778" s="32" t="b">
        <f>IFERROR(__xludf.DUMMYFUNCTION("""COMPUTED_VALUE"""),FALSE)</f>
        <v>0</v>
      </c>
      <c r="M778" s="32" t="b">
        <f>IFERROR(__xludf.DUMMYFUNCTION("""COMPUTED_VALUE"""),FALSE)</f>
        <v>0</v>
      </c>
      <c r="N778" s="32"/>
    </row>
    <row r="779">
      <c r="A779" s="32"/>
      <c r="B779" s="32"/>
      <c r="C779" s="32"/>
      <c r="D779" s="32"/>
      <c r="E779" s="32"/>
      <c r="F779" s="32"/>
      <c r="G779" s="32"/>
      <c r="H779" s="32"/>
      <c r="I779" s="32"/>
      <c r="J779" s="32" t="b">
        <f>IFERROR(__xludf.DUMMYFUNCTION("""COMPUTED_VALUE"""),FALSE)</f>
        <v>0</v>
      </c>
      <c r="K779" s="32"/>
      <c r="L779" s="32" t="b">
        <f>IFERROR(__xludf.DUMMYFUNCTION("""COMPUTED_VALUE"""),FALSE)</f>
        <v>0</v>
      </c>
      <c r="M779" s="32" t="b">
        <f>IFERROR(__xludf.DUMMYFUNCTION("""COMPUTED_VALUE"""),FALSE)</f>
        <v>0</v>
      </c>
      <c r="N779" s="32"/>
    </row>
    <row r="780">
      <c r="A780" s="32"/>
      <c r="B780" s="32"/>
      <c r="C780" s="32"/>
      <c r="D780" s="32"/>
      <c r="E780" s="32"/>
      <c r="F780" s="32"/>
      <c r="G780" s="32"/>
      <c r="H780" s="32"/>
      <c r="I780" s="32"/>
      <c r="J780" s="32" t="b">
        <f>IFERROR(__xludf.DUMMYFUNCTION("""COMPUTED_VALUE"""),FALSE)</f>
        <v>0</v>
      </c>
      <c r="K780" s="32"/>
      <c r="L780" s="32" t="b">
        <f>IFERROR(__xludf.DUMMYFUNCTION("""COMPUTED_VALUE"""),FALSE)</f>
        <v>0</v>
      </c>
      <c r="M780" s="32" t="b">
        <f>IFERROR(__xludf.DUMMYFUNCTION("""COMPUTED_VALUE"""),FALSE)</f>
        <v>0</v>
      </c>
      <c r="N780" s="32"/>
    </row>
    <row r="781">
      <c r="A781" s="32"/>
      <c r="B781" s="32"/>
      <c r="C781" s="32"/>
      <c r="D781" s="32"/>
      <c r="E781" s="32"/>
      <c r="F781" s="32"/>
      <c r="G781" s="32"/>
      <c r="H781" s="32"/>
      <c r="I781" s="32"/>
      <c r="J781" s="32" t="b">
        <f>IFERROR(__xludf.DUMMYFUNCTION("""COMPUTED_VALUE"""),FALSE)</f>
        <v>0</v>
      </c>
      <c r="K781" s="32"/>
      <c r="L781" s="32" t="b">
        <f>IFERROR(__xludf.DUMMYFUNCTION("""COMPUTED_VALUE"""),FALSE)</f>
        <v>0</v>
      </c>
      <c r="M781" s="32" t="b">
        <f>IFERROR(__xludf.DUMMYFUNCTION("""COMPUTED_VALUE"""),FALSE)</f>
        <v>0</v>
      </c>
      <c r="N781" s="32"/>
    </row>
    <row r="782">
      <c r="A782" s="32"/>
      <c r="B782" s="32"/>
      <c r="C782" s="32"/>
      <c r="D782" s="32"/>
      <c r="E782" s="32"/>
      <c r="F782" s="32"/>
      <c r="G782" s="32"/>
      <c r="H782" s="32"/>
      <c r="I782" s="32"/>
      <c r="J782" s="32" t="b">
        <f>IFERROR(__xludf.DUMMYFUNCTION("""COMPUTED_VALUE"""),FALSE)</f>
        <v>0</v>
      </c>
      <c r="K782" s="32"/>
      <c r="L782" s="32" t="b">
        <f>IFERROR(__xludf.DUMMYFUNCTION("""COMPUTED_VALUE"""),FALSE)</f>
        <v>0</v>
      </c>
      <c r="M782" s="32" t="b">
        <f>IFERROR(__xludf.DUMMYFUNCTION("""COMPUTED_VALUE"""),FALSE)</f>
        <v>0</v>
      </c>
      <c r="N782" s="32"/>
    </row>
    <row r="783">
      <c r="A783" s="32"/>
      <c r="B783" s="32"/>
      <c r="C783" s="32"/>
      <c r="D783" s="32"/>
      <c r="E783" s="32"/>
      <c r="F783" s="32"/>
      <c r="G783" s="32"/>
      <c r="H783" s="32"/>
      <c r="I783" s="32"/>
      <c r="J783" s="32" t="b">
        <f>IFERROR(__xludf.DUMMYFUNCTION("""COMPUTED_VALUE"""),FALSE)</f>
        <v>0</v>
      </c>
      <c r="K783" s="32"/>
      <c r="L783" s="32" t="b">
        <f>IFERROR(__xludf.DUMMYFUNCTION("""COMPUTED_VALUE"""),FALSE)</f>
        <v>0</v>
      </c>
      <c r="M783" s="32" t="b">
        <f>IFERROR(__xludf.DUMMYFUNCTION("""COMPUTED_VALUE"""),FALSE)</f>
        <v>0</v>
      </c>
      <c r="N783" s="32"/>
    </row>
    <row r="784">
      <c r="A784" s="32"/>
      <c r="B784" s="32"/>
      <c r="C784" s="32"/>
      <c r="D784" s="32"/>
      <c r="E784" s="32"/>
      <c r="F784" s="32"/>
      <c r="G784" s="32"/>
      <c r="H784" s="32"/>
      <c r="I784" s="32"/>
      <c r="J784" s="32" t="b">
        <f>IFERROR(__xludf.DUMMYFUNCTION("""COMPUTED_VALUE"""),FALSE)</f>
        <v>0</v>
      </c>
      <c r="K784" s="32"/>
      <c r="L784" s="32" t="b">
        <f>IFERROR(__xludf.DUMMYFUNCTION("""COMPUTED_VALUE"""),FALSE)</f>
        <v>0</v>
      </c>
      <c r="M784" s="32" t="b">
        <f>IFERROR(__xludf.DUMMYFUNCTION("""COMPUTED_VALUE"""),FALSE)</f>
        <v>0</v>
      </c>
      <c r="N784" s="32"/>
    </row>
    <row r="785">
      <c r="A785" s="32"/>
      <c r="B785" s="32"/>
      <c r="C785" s="32"/>
      <c r="D785" s="32"/>
      <c r="E785" s="32"/>
      <c r="F785" s="32"/>
      <c r="G785" s="32"/>
      <c r="H785" s="32"/>
      <c r="I785" s="32"/>
      <c r="J785" s="32" t="b">
        <f>IFERROR(__xludf.DUMMYFUNCTION("""COMPUTED_VALUE"""),FALSE)</f>
        <v>0</v>
      </c>
      <c r="K785" s="32"/>
      <c r="L785" s="32" t="b">
        <f>IFERROR(__xludf.DUMMYFUNCTION("""COMPUTED_VALUE"""),FALSE)</f>
        <v>0</v>
      </c>
      <c r="M785" s="32" t="b">
        <f>IFERROR(__xludf.DUMMYFUNCTION("""COMPUTED_VALUE"""),FALSE)</f>
        <v>0</v>
      </c>
      <c r="N785" s="32"/>
    </row>
    <row r="786">
      <c r="A786" s="32"/>
      <c r="B786" s="32"/>
      <c r="C786" s="32"/>
      <c r="D786" s="32"/>
      <c r="E786" s="32"/>
      <c r="F786" s="32"/>
      <c r="G786" s="32"/>
      <c r="H786" s="32"/>
      <c r="I786" s="32"/>
      <c r="J786" s="32" t="b">
        <f>IFERROR(__xludf.DUMMYFUNCTION("""COMPUTED_VALUE"""),FALSE)</f>
        <v>0</v>
      </c>
      <c r="K786" s="32"/>
      <c r="L786" s="32" t="b">
        <f>IFERROR(__xludf.DUMMYFUNCTION("""COMPUTED_VALUE"""),FALSE)</f>
        <v>0</v>
      </c>
      <c r="M786" s="32" t="b">
        <f>IFERROR(__xludf.DUMMYFUNCTION("""COMPUTED_VALUE"""),FALSE)</f>
        <v>0</v>
      </c>
      <c r="N786" s="32"/>
    </row>
    <row r="787">
      <c r="A787" s="32"/>
      <c r="B787" s="32"/>
      <c r="C787" s="32"/>
      <c r="D787" s="32"/>
      <c r="E787" s="32"/>
      <c r="F787" s="32"/>
      <c r="G787" s="32"/>
      <c r="H787" s="32"/>
      <c r="I787" s="32"/>
      <c r="J787" s="32" t="b">
        <f>IFERROR(__xludf.DUMMYFUNCTION("""COMPUTED_VALUE"""),FALSE)</f>
        <v>0</v>
      </c>
      <c r="K787" s="32"/>
      <c r="L787" s="32" t="b">
        <f>IFERROR(__xludf.DUMMYFUNCTION("""COMPUTED_VALUE"""),FALSE)</f>
        <v>0</v>
      </c>
      <c r="M787" s="32" t="b">
        <f>IFERROR(__xludf.DUMMYFUNCTION("""COMPUTED_VALUE"""),FALSE)</f>
        <v>0</v>
      </c>
      <c r="N787" s="32"/>
    </row>
    <row r="788">
      <c r="A788" s="32"/>
      <c r="B788" s="32"/>
      <c r="C788" s="32"/>
      <c r="D788" s="32"/>
      <c r="E788" s="32"/>
      <c r="F788" s="32"/>
      <c r="G788" s="32"/>
      <c r="H788" s="32"/>
      <c r="I788" s="32"/>
      <c r="J788" s="32" t="b">
        <f>IFERROR(__xludf.DUMMYFUNCTION("""COMPUTED_VALUE"""),FALSE)</f>
        <v>0</v>
      </c>
      <c r="K788" s="32"/>
      <c r="L788" s="32" t="b">
        <f>IFERROR(__xludf.DUMMYFUNCTION("""COMPUTED_VALUE"""),FALSE)</f>
        <v>0</v>
      </c>
      <c r="M788" s="32" t="b">
        <f>IFERROR(__xludf.DUMMYFUNCTION("""COMPUTED_VALUE"""),FALSE)</f>
        <v>0</v>
      </c>
      <c r="N788" s="32"/>
    </row>
    <row r="789">
      <c r="A789" s="32"/>
      <c r="B789" s="32"/>
      <c r="C789" s="32"/>
      <c r="D789" s="32"/>
      <c r="E789" s="32"/>
      <c r="F789" s="32"/>
      <c r="G789" s="32"/>
      <c r="H789" s="32"/>
      <c r="I789" s="32"/>
      <c r="J789" s="32" t="b">
        <f>IFERROR(__xludf.DUMMYFUNCTION("""COMPUTED_VALUE"""),FALSE)</f>
        <v>0</v>
      </c>
      <c r="K789" s="32"/>
      <c r="L789" s="32" t="b">
        <f>IFERROR(__xludf.DUMMYFUNCTION("""COMPUTED_VALUE"""),FALSE)</f>
        <v>0</v>
      </c>
      <c r="M789" s="32" t="b">
        <f>IFERROR(__xludf.DUMMYFUNCTION("""COMPUTED_VALUE"""),FALSE)</f>
        <v>0</v>
      </c>
      <c r="N789" s="32"/>
    </row>
    <row r="790">
      <c r="A790" s="32"/>
      <c r="B790" s="32"/>
      <c r="C790" s="32"/>
      <c r="D790" s="32"/>
      <c r="E790" s="32"/>
      <c r="F790" s="32"/>
      <c r="G790" s="32"/>
      <c r="H790" s="32"/>
      <c r="I790" s="32"/>
      <c r="J790" s="32" t="b">
        <f>IFERROR(__xludf.DUMMYFUNCTION("""COMPUTED_VALUE"""),FALSE)</f>
        <v>0</v>
      </c>
      <c r="K790" s="32"/>
      <c r="L790" s="32" t="b">
        <f>IFERROR(__xludf.DUMMYFUNCTION("""COMPUTED_VALUE"""),FALSE)</f>
        <v>0</v>
      </c>
      <c r="M790" s="32" t="b">
        <f>IFERROR(__xludf.DUMMYFUNCTION("""COMPUTED_VALUE"""),FALSE)</f>
        <v>0</v>
      </c>
      <c r="N790" s="32"/>
    </row>
    <row r="791">
      <c r="A791" s="32"/>
      <c r="B791" s="32"/>
      <c r="C791" s="32"/>
      <c r="D791" s="32"/>
      <c r="E791" s="32"/>
      <c r="F791" s="32"/>
      <c r="G791" s="32"/>
      <c r="H791" s="32"/>
      <c r="I791" s="32"/>
      <c r="J791" s="32" t="b">
        <f>IFERROR(__xludf.DUMMYFUNCTION("""COMPUTED_VALUE"""),FALSE)</f>
        <v>0</v>
      </c>
      <c r="K791" s="32"/>
      <c r="L791" s="32" t="b">
        <f>IFERROR(__xludf.DUMMYFUNCTION("""COMPUTED_VALUE"""),FALSE)</f>
        <v>0</v>
      </c>
      <c r="M791" s="32" t="b">
        <f>IFERROR(__xludf.DUMMYFUNCTION("""COMPUTED_VALUE"""),FALSE)</f>
        <v>0</v>
      </c>
      <c r="N791" s="32"/>
    </row>
    <row r="792">
      <c r="A792" s="32"/>
      <c r="B792" s="32"/>
      <c r="C792" s="32"/>
      <c r="D792" s="32"/>
      <c r="E792" s="32"/>
      <c r="F792" s="32"/>
      <c r="G792" s="32"/>
      <c r="H792" s="32"/>
      <c r="I792" s="32"/>
      <c r="J792" s="32" t="b">
        <f>IFERROR(__xludf.DUMMYFUNCTION("""COMPUTED_VALUE"""),FALSE)</f>
        <v>0</v>
      </c>
      <c r="K792" s="32"/>
      <c r="L792" s="32" t="b">
        <f>IFERROR(__xludf.DUMMYFUNCTION("""COMPUTED_VALUE"""),FALSE)</f>
        <v>0</v>
      </c>
      <c r="M792" s="32" t="b">
        <f>IFERROR(__xludf.DUMMYFUNCTION("""COMPUTED_VALUE"""),FALSE)</f>
        <v>0</v>
      </c>
      <c r="N792" s="32"/>
    </row>
    <row r="793">
      <c r="A793" s="32"/>
      <c r="B793" s="32"/>
      <c r="C793" s="32"/>
      <c r="D793" s="32"/>
      <c r="E793" s="32"/>
      <c r="F793" s="32"/>
      <c r="G793" s="32"/>
      <c r="H793" s="32"/>
      <c r="I793" s="32"/>
      <c r="J793" s="32" t="b">
        <f>IFERROR(__xludf.DUMMYFUNCTION("""COMPUTED_VALUE"""),FALSE)</f>
        <v>0</v>
      </c>
      <c r="K793" s="32"/>
      <c r="L793" s="32" t="b">
        <f>IFERROR(__xludf.DUMMYFUNCTION("""COMPUTED_VALUE"""),FALSE)</f>
        <v>0</v>
      </c>
      <c r="M793" s="32" t="b">
        <f>IFERROR(__xludf.DUMMYFUNCTION("""COMPUTED_VALUE"""),FALSE)</f>
        <v>0</v>
      </c>
      <c r="N793" s="32"/>
    </row>
    <row r="794">
      <c r="A794" s="32"/>
      <c r="B794" s="32"/>
      <c r="C794" s="32"/>
      <c r="D794" s="32"/>
      <c r="E794" s="32"/>
      <c r="F794" s="32"/>
      <c r="G794" s="32"/>
      <c r="H794" s="32"/>
      <c r="I794" s="32"/>
      <c r="J794" s="32" t="b">
        <f>IFERROR(__xludf.DUMMYFUNCTION("""COMPUTED_VALUE"""),FALSE)</f>
        <v>0</v>
      </c>
      <c r="K794" s="32"/>
      <c r="L794" s="32" t="b">
        <f>IFERROR(__xludf.DUMMYFUNCTION("""COMPUTED_VALUE"""),FALSE)</f>
        <v>0</v>
      </c>
      <c r="M794" s="32" t="b">
        <f>IFERROR(__xludf.DUMMYFUNCTION("""COMPUTED_VALUE"""),FALSE)</f>
        <v>0</v>
      </c>
      <c r="N794" s="32"/>
    </row>
    <row r="795">
      <c r="A795" s="32"/>
      <c r="B795" s="32"/>
      <c r="C795" s="32"/>
      <c r="D795" s="32"/>
      <c r="E795" s="32"/>
      <c r="F795" s="32"/>
      <c r="G795" s="32"/>
      <c r="H795" s="32"/>
      <c r="I795" s="32"/>
      <c r="J795" s="32" t="b">
        <f>IFERROR(__xludf.DUMMYFUNCTION("""COMPUTED_VALUE"""),FALSE)</f>
        <v>0</v>
      </c>
      <c r="K795" s="32"/>
      <c r="L795" s="32" t="b">
        <f>IFERROR(__xludf.DUMMYFUNCTION("""COMPUTED_VALUE"""),FALSE)</f>
        <v>0</v>
      </c>
      <c r="M795" s="32" t="b">
        <f>IFERROR(__xludf.DUMMYFUNCTION("""COMPUTED_VALUE"""),FALSE)</f>
        <v>0</v>
      </c>
      <c r="N795" s="32"/>
    </row>
    <row r="796">
      <c r="A796" s="32"/>
      <c r="B796" s="32"/>
      <c r="C796" s="32"/>
      <c r="D796" s="32"/>
      <c r="E796" s="32"/>
      <c r="F796" s="32"/>
      <c r="G796" s="32"/>
      <c r="H796" s="32"/>
      <c r="I796" s="32"/>
      <c r="J796" s="32" t="b">
        <f>IFERROR(__xludf.DUMMYFUNCTION("""COMPUTED_VALUE"""),FALSE)</f>
        <v>0</v>
      </c>
      <c r="K796" s="32"/>
      <c r="L796" s="32" t="b">
        <f>IFERROR(__xludf.DUMMYFUNCTION("""COMPUTED_VALUE"""),FALSE)</f>
        <v>0</v>
      </c>
      <c r="M796" s="32" t="b">
        <f>IFERROR(__xludf.DUMMYFUNCTION("""COMPUTED_VALUE"""),FALSE)</f>
        <v>0</v>
      </c>
      <c r="N796" s="32"/>
    </row>
    <row r="797">
      <c r="A797" s="32"/>
      <c r="B797" s="32"/>
      <c r="C797" s="32"/>
      <c r="D797" s="32"/>
      <c r="E797" s="32"/>
      <c r="F797" s="32"/>
      <c r="G797" s="32"/>
      <c r="H797" s="32"/>
      <c r="I797" s="32"/>
      <c r="J797" s="32" t="b">
        <f>IFERROR(__xludf.DUMMYFUNCTION("""COMPUTED_VALUE"""),FALSE)</f>
        <v>0</v>
      </c>
      <c r="K797" s="32"/>
      <c r="L797" s="32" t="b">
        <f>IFERROR(__xludf.DUMMYFUNCTION("""COMPUTED_VALUE"""),FALSE)</f>
        <v>0</v>
      </c>
      <c r="M797" s="32" t="b">
        <f>IFERROR(__xludf.DUMMYFUNCTION("""COMPUTED_VALUE"""),FALSE)</f>
        <v>0</v>
      </c>
      <c r="N797" s="32"/>
    </row>
    <row r="798">
      <c r="A798" s="32"/>
      <c r="B798" s="32"/>
      <c r="C798" s="32"/>
      <c r="D798" s="32"/>
      <c r="E798" s="32"/>
      <c r="F798" s="32"/>
      <c r="G798" s="32"/>
      <c r="H798" s="32"/>
      <c r="I798" s="32"/>
      <c r="J798" s="32" t="b">
        <f>IFERROR(__xludf.DUMMYFUNCTION("""COMPUTED_VALUE"""),FALSE)</f>
        <v>0</v>
      </c>
      <c r="K798" s="32"/>
      <c r="L798" s="32" t="b">
        <f>IFERROR(__xludf.DUMMYFUNCTION("""COMPUTED_VALUE"""),FALSE)</f>
        <v>0</v>
      </c>
      <c r="M798" s="32" t="b">
        <f>IFERROR(__xludf.DUMMYFUNCTION("""COMPUTED_VALUE"""),FALSE)</f>
        <v>0</v>
      </c>
      <c r="N798" s="32"/>
    </row>
    <row r="799">
      <c r="A799" s="32"/>
      <c r="B799" s="32"/>
      <c r="C799" s="32"/>
      <c r="D799" s="32"/>
      <c r="E799" s="32"/>
      <c r="F799" s="32"/>
      <c r="G799" s="32"/>
      <c r="H799" s="32"/>
      <c r="I799" s="32"/>
      <c r="J799" s="32" t="b">
        <f>IFERROR(__xludf.DUMMYFUNCTION("""COMPUTED_VALUE"""),FALSE)</f>
        <v>0</v>
      </c>
      <c r="K799" s="32"/>
      <c r="L799" s="32" t="b">
        <f>IFERROR(__xludf.DUMMYFUNCTION("""COMPUTED_VALUE"""),FALSE)</f>
        <v>0</v>
      </c>
      <c r="M799" s="32" t="b">
        <f>IFERROR(__xludf.DUMMYFUNCTION("""COMPUTED_VALUE"""),FALSE)</f>
        <v>0</v>
      </c>
      <c r="N799" s="32"/>
    </row>
    <row r="800">
      <c r="A800" s="32"/>
      <c r="B800" s="32"/>
      <c r="C800" s="32"/>
      <c r="D800" s="32"/>
      <c r="E800" s="32"/>
      <c r="F800" s="32"/>
      <c r="G800" s="32"/>
      <c r="H800" s="32"/>
      <c r="I800" s="32"/>
      <c r="J800" s="32" t="b">
        <f>IFERROR(__xludf.DUMMYFUNCTION("""COMPUTED_VALUE"""),FALSE)</f>
        <v>0</v>
      </c>
      <c r="K800" s="32"/>
      <c r="L800" s="32" t="b">
        <f>IFERROR(__xludf.DUMMYFUNCTION("""COMPUTED_VALUE"""),FALSE)</f>
        <v>0</v>
      </c>
      <c r="M800" s="32" t="b">
        <f>IFERROR(__xludf.DUMMYFUNCTION("""COMPUTED_VALUE"""),FALSE)</f>
        <v>0</v>
      </c>
      <c r="N800" s="32"/>
    </row>
    <row r="801">
      <c r="A801" s="32"/>
      <c r="B801" s="32"/>
      <c r="C801" s="32"/>
      <c r="D801" s="32"/>
      <c r="E801" s="32"/>
      <c r="F801" s="32"/>
      <c r="G801" s="32"/>
      <c r="H801" s="32"/>
      <c r="I801" s="32"/>
      <c r="J801" s="32" t="b">
        <f>IFERROR(__xludf.DUMMYFUNCTION("""COMPUTED_VALUE"""),FALSE)</f>
        <v>0</v>
      </c>
      <c r="K801" s="32"/>
      <c r="L801" s="32" t="b">
        <f>IFERROR(__xludf.DUMMYFUNCTION("""COMPUTED_VALUE"""),FALSE)</f>
        <v>0</v>
      </c>
      <c r="M801" s="32" t="b">
        <f>IFERROR(__xludf.DUMMYFUNCTION("""COMPUTED_VALUE"""),FALSE)</f>
        <v>0</v>
      </c>
      <c r="N801" s="32"/>
    </row>
    <row r="802">
      <c r="A802" s="32"/>
      <c r="B802" s="32"/>
      <c r="C802" s="32"/>
      <c r="D802" s="32"/>
      <c r="E802" s="32"/>
      <c r="F802" s="32"/>
      <c r="G802" s="32"/>
      <c r="H802" s="32"/>
      <c r="I802" s="32"/>
      <c r="J802" s="32" t="b">
        <f>IFERROR(__xludf.DUMMYFUNCTION("""COMPUTED_VALUE"""),FALSE)</f>
        <v>0</v>
      </c>
      <c r="K802" s="32"/>
      <c r="L802" s="32" t="b">
        <f>IFERROR(__xludf.DUMMYFUNCTION("""COMPUTED_VALUE"""),FALSE)</f>
        <v>0</v>
      </c>
      <c r="M802" s="32" t="b">
        <f>IFERROR(__xludf.DUMMYFUNCTION("""COMPUTED_VALUE"""),FALSE)</f>
        <v>0</v>
      </c>
      <c r="N802" s="32"/>
    </row>
    <row r="803">
      <c r="A803" s="32"/>
      <c r="B803" s="32"/>
      <c r="C803" s="32"/>
      <c r="D803" s="32"/>
      <c r="E803" s="32"/>
      <c r="F803" s="32"/>
      <c r="G803" s="32"/>
      <c r="H803" s="32"/>
      <c r="I803" s="32"/>
      <c r="J803" s="32" t="b">
        <f>IFERROR(__xludf.DUMMYFUNCTION("""COMPUTED_VALUE"""),FALSE)</f>
        <v>0</v>
      </c>
      <c r="K803" s="32"/>
      <c r="L803" s="32" t="b">
        <f>IFERROR(__xludf.DUMMYFUNCTION("""COMPUTED_VALUE"""),FALSE)</f>
        <v>0</v>
      </c>
      <c r="M803" s="32" t="b">
        <f>IFERROR(__xludf.DUMMYFUNCTION("""COMPUTED_VALUE"""),FALSE)</f>
        <v>0</v>
      </c>
      <c r="N803" s="32"/>
    </row>
    <row r="804">
      <c r="A804" s="32"/>
      <c r="B804" s="32"/>
      <c r="C804" s="32"/>
      <c r="D804" s="32"/>
      <c r="E804" s="32"/>
      <c r="F804" s="32"/>
      <c r="G804" s="32"/>
      <c r="H804" s="32"/>
      <c r="I804" s="32"/>
      <c r="J804" s="32" t="b">
        <f>IFERROR(__xludf.DUMMYFUNCTION("""COMPUTED_VALUE"""),FALSE)</f>
        <v>0</v>
      </c>
      <c r="K804" s="32"/>
      <c r="L804" s="32" t="b">
        <f>IFERROR(__xludf.DUMMYFUNCTION("""COMPUTED_VALUE"""),FALSE)</f>
        <v>0</v>
      </c>
      <c r="M804" s="32" t="b">
        <f>IFERROR(__xludf.DUMMYFUNCTION("""COMPUTED_VALUE"""),FALSE)</f>
        <v>0</v>
      </c>
      <c r="N804" s="32"/>
    </row>
    <row r="805">
      <c r="A805" s="32"/>
      <c r="B805" s="32"/>
      <c r="C805" s="32"/>
      <c r="D805" s="32"/>
      <c r="E805" s="32"/>
      <c r="F805" s="32"/>
      <c r="G805" s="32"/>
      <c r="H805" s="32"/>
      <c r="I805" s="32"/>
      <c r="J805" s="32" t="b">
        <f>IFERROR(__xludf.DUMMYFUNCTION("""COMPUTED_VALUE"""),FALSE)</f>
        <v>0</v>
      </c>
      <c r="K805" s="32"/>
      <c r="L805" s="32" t="b">
        <f>IFERROR(__xludf.DUMMYFUNCTION("""COMPUTED_VALUE"""),FALSE)</f>
        <v>0</v>
      </c>
      <c r="M805" s="32" t="b">
        <f>IFERROR(__xludf.DUMMYFUNCTION("""COMPUTED_VALUE"""),FALSE)</f>
        <v>0</v>
      </c>
      <c r="N805" s="32"/>
    </row>
    <row r="806">
      <c r="A806" s="32"/>
      <c r="B806" s="32"/>
      <c r="C806" s="32"/>
      <c r="D806" s="32"/>
      <c r="E806" s="32"/>
      <c r="F806" s="32"/>
      <c r="G806" s="32"/>
      <c r="H806" s="32"/>
      <c r="I806" s="32"/>
      <c r="J806" s="32" t="b">
        <f>IFERROR(__xludf.DUMMYFUNCTION("""COMPUTED_VALUE"""),FALSE)</f>
        <v>0</v>
      </c>
      <c r="K806" s="32"/>
      <c r="L806" s="32" t="b">
        <f>IFERROR(__xludf.DUMMYFUNCTION("""COMPUTED_VALUE"""),FALSE)</f>
        <v>0</v>
      </c>
      <c r="M806" s="32" t="b">
        <f>IFERROR(__xludf.DUMMYFUNCTION("""COMPUTED_VALUE"""),FALSE)</f>
        <v>0</v>
      </c>
      <c r="N806" s="32"/>
    </row>
    <row r="807">
      <c r="A807" s="32"/>
      <c r="B807" s="32"/>
      <c r="C807" s="32"/>
      <c r="D807" s="32"/>
      <c r="E807" s="32"/>
      <c r="F807" s="32"/>
      <c r="G807" s="32"/>
      <c r="H807" s="32"/>
      <c r="I807" s="32"/>
      <c r="J807" s="32" t="b">
        <f>IFERROR(__xludf.DUMMYFUNCTION("""COMPUTED_VALUE"""),FALSE)</f>
        <v>0</v>
      </c>
      <c r="K807" s="32"/>
      <c r="L807" s="32" t="b">
        <f>IFERROR(__xludf.DUMMYFUNCTION("""COMPUTED_VALUE"""),FALSE)</f>
        <v>0</v>
      </c>
      <c r="M807" s="32" t="b">
        <f>IFERROR(__xludf.DUMMYFUNCTION("""COMPUTED_VALUE"""),FALSE)</f>
        <v>0</v>
      </c>
      <c r="N807" s="32"/>
    </row>
    <row r="808">
      <c r="A808" s="32"/>
      <c r="B808" s="32"/>
      <c r="C808" s="32"/>
      <c r="D808" s="32"/>
      <c r="E808" s="32"/>
      <c r="F808" s="32"/>
      <c r="G808" s="32"/>
      <c r="H808" s="32"/>
      <c r="I808" s="32"/>
      <c r="J808" s="32" t="b">
        <f>IFERROR(__xludf.DUMMYFUNCTION("""COMPUTED_VALUE"""),FALSE)</f>
        <v>0</v>
      </c>
      <c r="K808" s="32"/>
      <c r="L808" s="32" t="b">
        <f>IFERROR(__xludf.DUMMYFUNCTION("""COMPUTED_VALUE"""),FALSE)</f>
        <v>0</v>
      </c>
      <c r="M808" s="32" t="b">
        <f>IFERROR(__xludf.DUMMYFUNCTION("""COMPUTED_VALUE"""),FALSE)</f>
        <v>0</v>
      </c>
      <c r="N808" s="32"/>
    </row>
    <row r="809">
      <c r="A809" s="32"/>
      <c r="B809" s="32"/>
      <c r="C809" s="32"/>
      <c r="D809" s="32"/>
      <c r="E809" s="32"/>
      <c r="F809" s="32"/>
      <c r="G809" s="32"/>
      <c r="H809" s="32"/>
      <c r="I809" s="32"/>
      <c r="J809" s="32" t="b">
        <f>IFERROR(__xludf.DUMMYFUNCTION("""COMPUTED_VALUE"""),FALSE)</f>
        <v>0</v>
      </c>
      <c r="K809" s="32"/>
      <c r="L809" s="32" t="b">
        <f>IFERROR(__xludf.DUMMYFUNCTION("""COMPUTED_VALUE"""),FALSE)</f>
        <v>0</v>
      </c>
      <c r="M809" s="32" t="b">
        <f>IFERROR(__xludf.DUMMYFUNCTION("""COMPUTED_VALUE"""),FALSE)</f>
        <v>0</v>
      </c>
      <c r="N809" s="32"/>
    </row>
    <row r="810">
      <c r="A810" s="32"/>
      <c r="B810" s="32"/>
      <c r="C810" s="32"/>
      <c r="D810" s="32"/>
      <c r="E810" s="32"/>
      <c r="F810" s="32"/>
      <c r="G810" s="32"/>
      <c r="H810" s="32"/>
      <c r="I810" s="32"/>
      <c r="J810" s="32" t="b">
        <f>IFERROR(__xludf.DUMMYFUNCTION("""COMPUTED_VALUE"""),FALSE)</f>
        <v>0</v>
      </c>
      <c r="K810" s="32"/>
      <c r="L810" s="32" t="b">
        <f>IFERROR(__xludf.DUMMYFUNCTION("""COMPUTED_VALUE"""),FALSE)</f>
        <v>0</v>
      </c>
      <c r="M810" s="32" t="b">
        <f>IFERROR(__xludf.DUMMYFUNCTION("""COMPUTED_VALUE"""),FALSE)</f>
        <v>0</v>
      </c>
      <c r="N810" s="32"/>
    </row>
    <row r="811">
      <c r="A811" s="32"/>
      <c r="B811" s="32"/>
      <c r="C811" s="32"/>
      <c r="D811" s="32"/>
      <c r="E811" s="32"/>
      <c r="F811" s="32"/>
      <c r="G811" s="32"/>
      <c r="H811" s="32"/>
      <c r="I811" s="32"/>
      <c r="J811" s="32" t="b">
        <f>IFERROR(__xludf.DUMMYFUNCTION("""COMPUTED_VALUE"""),FALSE)</f>
        <v>0</v>
      </c>
      <c r="K811" s="32"/>
      <c r="L811" s="32" t="b">
        <f>IFERROR(__xludf.DUMMYFUNCTION("""COMPUTED_VALUE"""),FALSE)</f>
        <v>0</v>
      </c>
      <c r="M811" s="32" t="b">
        <f>IFERROR(__xludf.DUMMYFUNCTION("""COMPUTED_VALUE"""),FALSE)</f>
        <v>0</v>
      </c>
      <c r="N811" s="32"/>
    </row>
    <row r="812">
      <c r="A812" s="32"/>
      <c r="B812" s="32"/>
      <c r="C812" s="32"/>
      <c r="D812" s="32"/>
      <c r="E812" s="32"/>
      <c r="F812" s="32"/>
      <c r="G812" s="32"/>
      <c r="H812" s="32"/>
      <c r="I812" s="32"/>
      <c r="J812" s="32" t="b">
        <f>IFERROR(__xludf.DUMMYFUNCTION("""COMPUTED_VALUE"""),FALSE)</f>
        <v>0</v>
      </c>
      <c r="K812" s="32"/>
      <c r="L812" s="32" t="b">
        <f>IFERROR(__xludf.DUMMYFUNCTION("""COMPUTED_VALUE"""),FALSE)</f>
        <v>0</v>
      </c>
      <c r="M812" s="32" t="b">
        <f>IFERROR(__xludf.DUMMYFUNCTION("""COMPUTED_VALUE"""),FALSE)</f>
        <v>0</v>
      </c>
      <c r="N812" s="32"/>
    </row>
    <row r="813">
      <c r="A813" s="32"/>
      <c r="B813" s="32"/>
      <c r="C813" s="32"/>
      <c r="D813" s="32"/>
      <c r="E813" s="32"/>
      <c r="F813" s="32"/>
      <c r="G813" s="32"/>
      <c r="H813" s="32"/>
      <c r="I813" s="32"/>
      <c r="J813" s="32" t="b">
        <f>IFERROR(__xludf.DUMMYFUNCTION("""COMPUTED_VALUE"""),FALSE)</f>
        <v>0</v>
      </c>
      <c r="K813" s="32"/>
      <c r="L813" s="32" t="b">
        <f>IFERROR(__xludf.DUMMYFUNCTION("""COMPUTED_VALUE"""),FALSE)</f>
        <v>0</v>
      </c>
      <c r="M813" s="32" t="b">
        <f>IFERROR(__xludf.DUMMYFUNCTION("""COMPUTED_VALUE"""),FALSE)</f>
        <v>0</v>
      </c>
      <c r="N813" s="32"/>
    </row>
    <row r="814">
      <c r="A814" s="32"/>
      <c r="B814" s="32"/>
      <c r="C814" s="32"/>
      <c r="D814" s="32"/>
      <c r="E814" s="32"/>
      <c r="F814" s="32"/>
      <c r="G814" s="32"/>
      <c r="H814" s="32"/>
      <c r="I814" s="32"/>
      <c r="J814" s="32" t="b">
        <f>IFERROR(__xludf.DUMMYFUNCTION("""COMPUTED_VALUE"""),FALSE)</f>
        <v>0</v>
      </c>
      <c r="K814" s="32"/>
      <c r="L814" s="32" t="b">
        <f>IFERROR(__xludf.DUMMYFUNCTION("""COMPUTED_VALUE"""),FALSE)</f>
        <v>0</v>
      </c>
      <c r="M814" s="32" t="b">
        <f>IFERROR(__xludf.DUMMYFUNCTION("""COMPUTED_VALUE"""),FALSE)</f>
        <v>0</v>
      </c>
      <c r="N814" s="32"/>
    </row>
    <row r="815">
      <c r="A815" s="32"/>
      <c r="B815" s="32"/>
      <c r="C815" s="32"/>
      <c r="D815" s="32"/>
      <c r="E815" s="32"/>
      <c r="F815" s="32"/>
      <c r="G815" s="32"/>
      <c r="H815" s="32"/>
      <c r="I815" s="32"/>
      <c r="J815" s="32" t="b">
        <f>IFERROR(__xludf.DUMMYFUNCTION("""COMPUTED_VALUE"""),FALSE)</f>
        <v>0</v>
      </c>
      <c r="K815" s="32"/>
      <c r="L815" s="32" t="b">
        <f>IFERROR(__xludf.DUMMYFUNCTION("""COMPUTED_VALUE"""),FALSE)</f>
        <v>0</v>
      </c>
      <c r="M815" s="32" t="b">
        <f>IFERROR(__xludf.DUMMYFUNCTION("""COMPUTED_VALUE"""),FALSE)</f>
        <v>0</v>
      </c>
      <c r="N815" s="32"/>
    </row>
    <row r="816">
      <c r="A816" s="32"/>
      <c r="B816" s="32"/>
      <c r="C816" s="32"/>
      <c r="D816" s="32"/>
      <c r="E816" s="32"/>
      <c r="F816" s="32"/>
      <c r="G816" s="32"/>
      <c r="H816" s="32"/>
      <c r="I816" s="32"/>
      <c r="J816" s="32" t="b">
        <f>IFERROR(__xludf.DUMMYFUNCTION("""COMPUTED_VALUE"""),FALSE)</f>
        <v>0</v>
      </c>
      <c r="K816" s="32"/>
      <c r="L816" s="32" t="b">
        <f>IFERROR(__xludf.DUMMYFUNCTION("""COMPUTED_VALUE"""),FALSE)</f>
        <v>0</v>
      </c>
      <c r="M816" s="32" t="b">
        <f>IFERROR(__xludf.DUMMYFUNCTION("""COMPUTED_VALUE"""),FALSE)</f>
        <v>0</v>
      </c>
      <c r="N816" s="32"/>
    </row>
    <row r="817">
      <c r="A817" s="32"/>
      <c r="B817" s="32"/>
      <c r="C817" s="32"/>
      <c r="D817" s="32"/>
      <c r="E817" s="32"/>
      <c r="F817" s="32"/>
      <c r="G817" s="32"/>
      <c r="H817" s="32"/>
      <c r="I817" s="32"/>
      <c r="J817" s="32" t="b">
        <f>IFERROR(__xludf.DUMMYFUNCTION("""COMPUTED_VALUE"""),FALSE)</f>
        <v>0</v>
      </c>
      <c r="K817" s="32"/>
      <c r="L817" s="32" t="b">
        <f>IFERROR(__xludf.DUMMYFUNCTION("""COMPUTED_VALUE"""),FALSE)</f>
        <v>0</v>
      </c>
      <c r="M817" s="32" t="b">
        <f>IFERROR(__xludf.DUMMYFUNCTION("""COMPUTED_VALUE"""),FALSE)</f>
        <v>0</v>
      </c>
      <c r="N817" s="32"/>
    </row>
    <row r="818">
      <c r="A818" s="32"/>
      <c r="B818" s="32"/>
      <c r="C818" s="32"/>
      <c r="D818" s="32"/>
      <c r="E818" s="32"/>
      <c r="F818" s="32"/>
      <c r="G818" s="32"/>
      <c r="H818" s="32"/>
      <c r="I818" s="32"/>
      <c r="J818" s="32" t="b">
        <f>IFERROR(__xludf.DUMMYFUNCTION("""COMPUTED_VALUE"""),FALSE)</f>
        <v>0</v>
      </c>
      <c r="K818" s="32"/>
      <c r="L818" s="32" t="b">
        <f>IFERROR(__xludf.DUMMYFUNCTION("""COMPUTED_VALUE"""),FALSE)</f>
        <v>0</v>
      </c>
      <c r="M818" s="32" t="b">
        <f>IFERROR(__xludf.DUMMYFUNCTION("""COMPUTED_VALUE"""),FALSE)</f>
        <v>0</v>
      </c>
      <c r="N818" s="32"/>
    </row>
    <row r="819">
      <c r="A819" s="32"/>
      <c r="B819" s="32"/>
      <c r="C819" s="32"/>
      <c r="D819" s="32"/>
      <c r="E819" s="32"/>
      <c r="F819" s="32"/>
      <c r="G819" s="32"/>
      <c r="H819" s="32"/>
      <c r="I819" s="32"/>
      <c r="J819" s="32" t="b">
        <f>IFERROR(__xludf.DUMMYFUNCTION("""COMPUTED_VALUE"""),FALSE)</f>
        <v>0</v>
      </c>
      <c r="K819" s="32"/>
      <c r="L819" s="32" t="b">
        <f>IFERROR(__xludf.DUMMYFUNCTION("""COMPUTED_VALUE"""),FALSE)</f>
        <v>0</v>
      </c>
      <c r="M819" s="32" t="b">
        <f>IFERROR(__xludf.DUMMYFUNCTION("""COMPUTED_VALUE"""),FALSE)</f>
        <v>0</v>
      </c>
      <c r="N819" s="32"/>
    </row>
    <row r="820">
      <c r="A820" s="32"/>
      <c r="B820" s="32"/>
      <c r="C820" s="32"/>
      <c r="D820" s="32"/>
      <c r="E820" s="32"/>
      <c r="F820" s="32"/>
      <c r="G820" s="32"/>
      <c r="H820" s="32"/>
      <c r="I820" s="32"/>
      <c r="J820" s="32" t="b">
        <f>IFERROR(__xludf.DUMMYFUNCTION("""COMPUTED_VALUE"""),FALSE)</f>
        <v>0</v>
      </c>
      <c r="K820" s="32"/>
      <c r="L820" s="32" t="b">
        <f>IFERROR(__xludf.DUMMYFUNCTION("""COMPUTED_VALUE"""),FALSE)</f>
        <v>0</v>
      </c>
      <c r="M820" s="32" t="b">
        <f>IFERROR(__xludf.DUMMYFUNCTION("""COMPUTED_VALUE"""),FALSE)</f>
        <v>0</v>
      </c>
      <c r="N820" s="32"/>
    </row>
    <row r="821">
      <c r="A821" s="32"/>
      <c r="B821" s="32"/>
      <c r="C821" s="32"/>
      <c r="D821" s="32"/>
      <c r="E821" s="32"/>
      <c r="F821" s="32"/>
      <c r="G821" s="32"/>
      <c r="H821" s="32"/>
      <c r="I821" s="32"/>
      <c r="J821" s="32" t="b">
        <f>IFERROR(__xludf.DUMMYFUNCTION("""COMPUTED_VALUE"""),FALSE)</f>
        <v>0</v>
      </c>
      <c r="K821" s="32"/>
      <c r="L821" s="32" t="b">
        <f>IFERROR(__xludf.DUMMYFUNCTION("""COMPUTED_VALUE"""),FALSE)</f>
        <v>0</v>
      </c>
      <c r="M821" s="32" t="b">
        <f>IFERROR(__xludf.DUMMYFUNCTION("""COMPUTED_VALUE"""),FALSE)</f>
        <v>0</v>
      </c>
      <c r="N821" s="32"/>
    </row>
    <row r="822">
      <c r="A822" s="32"/>
      <c r="B822" s="32"/>
      <c r="C822" s="32"/>
      <c r="D822" s="32"/>
      <c r="E822" s="32"/>
      <c r="F822" s="32"/>
      <c r="G822" s="32"/>
      <c r="H822" s="32"/>
      <c r="I822" s="32"/>
      <c r="J822" s="32" t="b">
        <f>IFERROR(__xludf.DUMMYFUNCTION("""COMPUTED_VALUE"""),FALSE)</f>
        <v>0</v>
      </c>
      <c r="K822" s="32"/>
      <c r="L822" s="32" t="b">
        <f>IFERROR(__xludf.DUMMYFUNCTION("""COMPUTED_VALUE"""),FALSE)</f>
        <v>0</v>
      </c>
      <c r="M822" s="32" t="b">
        <f>IFERROR(__xludf.DUMMYFUNCTION("""COMPUTED_VALUE"""),FALSE)</f>
        <v>0</v>
      </c>
      <c r="N822" s="32"/>
    </row>
    <row r="823">
      <c r="A823" s="32"/>
      <c r="B823" s="32"/>
      <c r="C823" s="32"/>
      <c r="D823" s="32"/>
      <c r="E823" s="32"/>
      <c r="F823" s="32"/>
      <c r="G823" s="32"/>
      <c r="H823" s="32"/>
      <c r="I823" s="32"/>
      <c r="J823" s="32" t="b">
        <f>IFERROR(__xludf.DUMMYFUNCTION("""COMPUTED_VALUE"""),FALSE)</f>
        <v>0</v>
      </c>
      <c r="K823" s="32"/>
      <c r="L823" s="32" t="b">
        <f>IFERROR(__xludf.DUMMYFUNCTION("""COMPUTED_VALUE"""),FALSE)</f>
        <v>0</v>
      </c>
      <c r="M823" s="32" t="b">
        <f>IFERROR(__xludf.DUMMYFUNCTION("""COMPUTED_VALUE"""),FALSE)</f>
        <v>0</v>
      </c>
      <c r="N823" s="32"/>
    </row>
    <row r="824">
      <c r="A824" s="32"/>
      <c r="B824" s="32"/>
      <c r="C824" s="32"/>
      <c r="D824" s="32"/>
      <c r="E824" s="32"/>
      <c r="F824" s="32"/>
      <c r="G824" s="32"/>
      <c r="H824" s="32"/>
      <c r="I824" s="32"/>
      <c r="J824" s="32" t="b">
        <f>IFERROR(__xludf.DUMMYFUNCTION("""COMPUTED_VALUE"""),FALSE)</f>
        <v>0</v>
      </c>
      <c r="K824" s="32"/>
      <c r="L824" s="32" t="b">
        <f>IFERROR(__xludf.DUMMYFUNCTION("""COMPUTED_VALUE"""),FALSE)</f>
        <v>0</v>
      </c>
      <c r="M824" s="32" t="b">
        <f>IFERROR(__xludf.DUMMYFUNCTION("""COMPUTED_VALUE"""),FALSE)</f>
        <v>0</v>
      </c>
      <c r="N824" s="32"/>
    </row>
    <row r="825">
      <c r="A825" s="32"/>
      <c r="B825" s="32"/>
      <c r="C825" s="32"/>
      <c r="D825" s="32"/>
      <c r="E825" s="32"/>
      <c r="F825" s="32"/>
      <c r="G825" s="32"/>
      <c r="H825" s="32"/>
      <c r="I825" s="32"/>
      <c r="J825" s="32" t="b">
        <f>IFERROR(__xludf.DUMMYFUNCTION("""COMPUTED_VALUE"""),FALSE)</f>
        <v>0</v>
      </c>
      <c r="K825" s="32"/>
      <c r="L825" s="32" t="b">
        <f>IFERROR(__xludf.DUMMYFUNCTION("""COMPUTED_VALUE"""),FALSE)</f>
        <v>0</v>
      </c>
      <c r="M825" s="32" t="b">
        <f>IFERROR(__xludf.DUMMYFUNCTION("""COMPUTED_VALUE"""),FALSE)</f>
        <v>0</v>
      </c>
      <c r="N825" s="32"/>
    </row>
    <row r="826">
      <c r="A826" s="32"/>
      <c r="B826" s="32"/>
      <c r="C826" s="32"/>
      <c r="D826" s="32"/>
      <c r="E826" s="32"/>
      <c r="F826" s="32"/>
      <c r="G826" s="32"/>
      <c r="H826" s="32"/>
      <c r="I826" s="32"/>
      <c r="J826" s="32" t="b">
        <f>IFERROR(__xludf.DUMMYFUNCTION("""COMPUTED_VALUE"""),FALSE)</f>
        <v>0</v>
      </c>
      <c r="K826" s="32"/>
      <c r="L826" s="32" t="b">
        <f>IFERROR(__xludf.DUMMYFUNCTION("""COMPUTED_VALUE"""),FALSE)</f>
        <v>0</v>
      </c>
      <c r="M826" s="32" t="b">
        <f>IFERROR(__xludf.DUMMYFUNCTION("""COMPUTED_VALUE"""),FALSE)</f>
        <v>0</v>
      </c>
      <c r="N826" s="32"/>
    </row>
    <row r="827">
      <c r="A827" s="32"/>
      <c r="B827" s="32"/>
      <c r="C827" s="32"/>
      <c r="D827" s="32"/>
      <c r="E827" s="32"/>
      <c r="F827" s="32"/>
      <c r="G827" s="32"/>
      <c r="H827" s="32"/>
      <c r="I827" s="32"/>
      <c r="J827" s="32" t="b">
        <f>IFERROR(__xludf.DUMMYFUNCTION("""COMPUTED_VALUE"""),FALSE)</f>
        <v>0</v>
      </c>
      <c r="K827" s="32"/>
      <c r="L827" s="32" t="b">
        <f>IFERROR(__xludf.DUMMYFUNCTION("""COMPUTED_VALUE"""),FALSE)</f>
        <v>0</v>
      </c>
      <c r="M827" s="32" t="b">
        <f>IFERROR(__xludf.DUMMYFUNCTION("""COMPUTED_VALUE"""),FALSE)</f>
        <v>0</v>
      </c>
      <c r="N827" s="32"/>
    </row>
    <row r="828">
      <c r="A828" s="32"/>
      <c r="B828" s="32"/>
      <c r="C828" s="32"/>
      <c r="D828" s="32"/>
      <c r="E828" s="32"/>
      <c r="F828" s="32"/>
      <c r="G828" s="32"/>
      <c r="H828" s="32"/>
      <c r="I828" s="32"/>
      <c r="J828" s="32" t="b">
        <f>IFERROR(__xludf.DUMMYFUNCTION("""COMPUTED_VALUE"""),FALSE)</f>
        <v>0</v>
      </c>
      <c r="K828" s="32"/>
      <c r="L828" s="32" t="b">
        <f>IFERROR(__xludf.DUMMYFUNCTION("""COMPUTED_VALUE"""),FALSE)</f>
        <v>0</v>
      </c>
      <c r="M828" s="32" t="b">
        <f>IFERROR(__xludf.DUMMYFUNCTION("""COMPUTED_VALUE"""),FALSE)</f>
        <v>0</v>
      </c>
      <c r="N828" s="32"/>
    </row>
    <row r="829">
      <c r="A829" s="32"/>
      <c r="B829" s="32"/>
      <c r="C829" s="32"/>
      <c r="D829" s="32"/>
      <c r="E829" s="32"/>
      <c r="F829" s="32"/>
      <c r="G829" s="32"/>
      <c r="H829" s="32"/>
      <c r="I829" s="32"/>
      <c r="J829" s="32" t="b">
        <f>IFERROR(__xludf.DUMMYFUNCTION("""COMPUTED_VALUE"""),FALSE)</f>
        <v>0</v>
      </c>
      <c r="K829" s="32"/>
      <c r="L829" s="32" t="b">
        <f>IFERROR(__xludf.DUMMYFUNCTION("""COMPUTED_VALUE"""),FALSE)</f>
        <v>0</v>
      </c>
      <c r="M829" s="32" t="b">
        <f>IFERROR(__xludf.DUMMYFUNCTION("""COMPUTED_VALUE"""),FALSE)</f>
        <v>0</v>
      </c>
      <c r="N829" s="32"/>
    </row>
    <row r="830">
      <c r="A830" s="32"/>
      <c r="B830" s="32"/>
      <c r="C830" s="32"/>
      <c r="D830" s="32"/>
      <c r="E830" s="32"/>
      <c r="F830" s="32"/>
      <c r="G830" s="32"/>
      <c r="H830" s="32"/>
      <c r="I830" s="32"/>
      <c r="J830" s="32" t="b">
        <f>IFERROR(__xludf.DUMMYFUNCTION("""COMPUTED_VALUE"""),FALSE)</f>
        <v>0</v>
      </c>
      <c r="K830" s="32"/>
      <c r="L830" s="32" t="b">
        <f>IFERROR(__xludf.DUMMYFUNCTION("""COMPUTED_VALUE"""),FALSE)</f>
        <v>0</v>
      </c>
      <c r="M830" s="32" t="b">
        <f>IFERROR(__xludf.DUMMYFUNCTION("""COMPUTED_VALUE"""),FALSE)</f>
        <v>0</v>
      </c>
      <c r="N830" s="32"/>
    </row>
    <row r="831">
      <c r="A831" s="32"/>
      <c r="B831" s="32"/>
      <c r="C831" s="32"/>
      <c r="D831" s="32"/>
      <c r="E831" s="32"/>
      <c r="F831" s="32"/>
      <c r="G831" s="32"/>
      <c r="H831" s="32"/>
      <c r="I831" s="32"/>
      <c r="J831" s="32" t="b">
        <f>IFERROR(__xludf.DUMMYFUNCTION("""COMPUTED_VALUE"""),FALSE)</f>
        <v>0</v>
      </c>
      <c r="K831" s="32"/>
      <c r="L831" s="32" t="b">
        <f>IFERROR(__xludf.DUMMYFUNCTION("""COMPUTED_VALUE"""),FALSE)</f>
        <v>0</v>
      </c>
      <c r="M831" s="32" t="b">
        <f>IFERROR(__xludf.DUMMYFUNCTION("""COMPUTED_VALUE"""),FALSE)</f>
        <v>0</v>
      </c>
      <c r="N831" s="32"/>
    </row>
    <row r="832">
      <c r="A832" s="32"/>
      <c r="B832" s="32"/>
      <c r="C832" s="32"/>
      <c r="D832" s="32"/>
      <c r="E832" s="32"/>
      <c r="F832" s="32"/>
      <c r="G832" s="32"/>
      <c r="H832" s="32"/>
      <c r="I832" s="32"/>
      <c r="J832" s="32" t="b">
        <f>IFERROR(__xludf.DUMMYFUNCTION("""COMPUTED_VALUE"""),FALSE)</f>
        <v>0</v>
      </c>
      <c r="K832" s="32"/>
      <c r="L832" s="32" t="b">
        <f>IFERROR(__xludf.DUMMYFUNCTION("""COMPUTED_VALUE"""),FALSE)</f>
        <v>0</v>
      </c>
      <c r="M832" s="32" t="b">
        <f>IFERROR(__xludf.DUMMYFUNCTION("""COMPUTED_VALUE"""),FALSE)</f>
        <v>0</v>
      </c>
      <c r="N832" s="32"/>
    </row>
    <row r="833">
      <c r="A833" s="32"/>
      <c r="B833" s="32"/>
      <c r="C833" s="32"/>
      <c r="D833" s="32"/>
      <c r="E833" s="32"/>
      <c r="F833" s="32"/>
      <c r="G833" s="32"/>
      <c r="H833" s="32"/>
      <c r="I833" s="32"/>
      <c r="J833" s="32" t="b">
        <f>IFERROR(__xludf.DUMMYFUNCTION("""COMPUTED_VALUE"""),FALSE)</f>
        <v>0</v>
      </c>
      <c r="K833" s="32"/>
      <c r="L833" s="32" t="b">
        <f>IFERROR(__xludf.DUMMYFUNCTION("""COMPUTED_VALUE"""),FALSE)</f>
        <v>0</v>
      </c>
      <c r="M833" s="32" t="b">
        <f>IFERROR(__xludf.DUMMYFUNCTION("""COMPUTED_VALUE"""),FALSE)</f>
        <v>0</v>
      </c>
      <c r="N833" s="32"/>
    </row>
    <row r="834">
      <c r="A834" s="32"/>
      <c r="B834" s="32"/>
      <c r="C834" s="32"/>
      <c r="D834" s="32"/>
      <c r="E834" s="32"/>
      <c r="F834" s="32"/>
      <c r="G834" s="32"/>
      <c r="H834" s="32"/>
      <c r="I834" s="32"/>
      <c r="J834" s="32" t="b">
        <f>IFERROR(__xludf.DUMMYFUNCTION("""COMPUTED_VALUE"""),FALSE)</f>
        <v>0</v>
      </c>
      <c r="K834" s="32"/>
      <c r="L834" s="32" t="b">
        <f>IFERROR(__xludf.DUMMYFUNCTION("""COMPUTED_VALUE"""),FALSE)</f>
        <v>0</v>
      </c>
      <c r="M834" s="32" t="b">
        <f>IFERROR(__xludf.DUMMYFUNCTION("""COMPUTED_VALUE"""),FALSE)</f>
        <v>0</v>
      </c>
      <c r="N834" s="32"/>
    </row>
    <row r="835">
      <c r="A835" s="32"/>
      <c r="B835" s="32"/>
      <c r="C835" s="32"/>
      <c r="D835" s="32"/>
      <c r="E835" s="32"/>
      <c r="F835" s="32"/>
      <c r="G835" s="32"/>
      <c r="H835" s="32"/>
      <c r="I835" s="32"/>
      <c r="J835" s="32" t="b">
        <f>IFERROR(__xludf.DUMMYFUNCTION("""COMPUTED_VALUE"""),FALSE)</f>
        <v>0</v>
      </c>
      <c r="K835" s="32"/>
      <c r="L835" s="32" t="b">
        <f>IFERROR(__xludf.DUMMYFUNCTION("""COMPUTED_VALUE"""),FALSE)</f>
        <v>0</v>
      </c>
      <c r="M835" s="32" t="b">
        <f>IFERROR(__xludf.DUMMYFUNCTION("""COMPUTED_VALUE"""),FALSE)</f>
        <v>0</v>
      </c>
      <c r="N835" s="32"/>
    </row>
    <row r="836">
      <c r="A836" s="32"/>
      <c r="B836" s="32"/>
      <c r="C836" s="32"/>
      <c r="D836" s="32"/>
      <c r="E836" s="32"/>
      <c r="F836" s="32"/>
      <c r="G836" s="32"/>
      <c r="H836" s="32"/>
      <c r="I836" s="32"/>
      <c r="J836" s="32" t="b">
        <f>IFERROR(__xludf.DUMMYFUNCTION("""COMPUTED_VALUE"""),FALSE)</f>
        <v>0</v>
      </c>
      <c r="K836" s="32"/>
      <c r="L836" s="32" t="b">
        <f>IFERROR(__xludf.DUMMYFUNCTION("""COMPUTED_VALUE"""),FALSE)</f>
        <v>0</v>
      </c>
      <c r="M836" s="32" t="b">
        <f>IFERROR(__xludf.DUMMYFUNCTION("""COMPUTED_VALUE"""),FALSE)</f>
        <v>0</v>
      </c>
      <c r="N836" s="32"/>
    </row>
    <row r="837">
      <c r="A837" s="32"/>
      <c r="B837" s="32"/>
      <c r="C837" s="32"/>
      <c r="D837" s="32"/>
      <c r="E837" s="32"/>
      <c r="F837" s="32"/>
      <c r="G837" s="32"/>
      <c r="H837" s="32"/>
      <c r="I837" s="32"/>
      <c r="J837" s="32" t="b">
        <f>IFERROR(__xludf.DUMMYFUNCTION("""COMPUTED_VALUE"""),FALSE)</f>
        <v>0</v>
      </c>
      <c r="K837" s="32"/>
      <c r="L837" s="32" t="b">
        <f>IFERROR(__xludf.DUMMYFUNCTION("""COMPUTED_VALUE"""),FALSE)</f>
        <v>0</v>
      </c>
      <c r="M837" s="32" t="b">
        <f>IFERROR(__xludf.DUMMYFUNCTION("""COMPUTED_VALUE"""),FALSE)</f>
        <v>0</v>
      </c>
      <c r="N837" s="32"/>
    </row>
    <row r="838">
      <c r="A838" s="32"/>
      <c r="B838" s="32"/>
      <c r="C838" s="32"/>
      <c r="D838" s="32"/>
      <c r="E838" s="32"/>
      <c r="F838" s="32"/>
      <c r="G838" s="32"/>
      <c r="H838" s="32"/>
      <c r="I838" s="32"/>
      <c r="J838" s="32" t="b">
        <f>IFERROR(__xludf.DUMMYFUNCTION("""COMPUTED_VALUE"""),FALSE)</f>
        <v>0</v>
      </c>
      <c r="K838" s="32"/>
      <c r="L838" s="32" t="b">
        <f>IFERROR(__xludf.DUMMYFUNCTION("""COMPUTED_VALUE"""),FALSE)</f>
        <v>0</v>
      </c>
      <c r="M838" s="32" t="b">
        <f>IFERROR(__xludf.DUMMYFUNCTION("""COMPUTED_VALUE"""),FALSE)</f>
        <v>0</v>
      </c>
      <c r="N838" s="32"/>
    </row>
    <row r="839">
      <c r="A839" s="32"/>
      <c r="B839" s="32"/>
      <c r="C839" s="32"/>
      <c r="D839" s="32"/>
      <c r="E839" s="32"/>
      <c r="F839" s="32"/>
      <c r="G839" s="32"/>
      <c r="H839" s="32"/>
      <c r="I839" s="32"/>
      <c r="J839" s="32" t="b">
        <f>IFERROR(__xludf.DUMMYFUNCTION("""COMPUTED_VALUE"""),FALSE)</f>
        <v>0</v>
      </c>
      <c r="K839" s="32"/>
      <c r="L839" s="32" t="b">
        <f>IFERROR(__xludf.DUMMYFUNCTION("""COMPUTED_VALUE"""),FALSE)</f>
        <v>0</v>
      </c>
      <c r="M839" s="32" t="b">
        <f>IFERROR(__xludf.DUMMYFUNCTION("""COMPUTED_VALUE"""),FALSE)</f>
        <v>0</v>
      </c>
      <c r="N839" s="32"/>
    </row>
    <row r="840">
      <c r="A840" s="32"/>
      <c r="B840" s="32"/>
      <c r="C840" s="32"/>
      <c r="D840" s="32"/>
      <c r="E840" s="32"/>
      <c r="F840" s="32"/>
      <c r="G840" s="32"/>
      <c r="H840" s="32"/>
      <c r="I840" s="32"/>
      <c r="J840" s="32" t="b">
        <f>IFERROR(__xludf.DUMMYFUNCTION("""COMPUTED_VALUE"""),FALSE)</f>
        <v>0</v>
      </c>
      <c r="K840" s="32"/>
      <c r="L840" s="32" t="b">
        <f>IFERROR(__xludf.DUMMYFUNCTION("""COMPUTED_VALUE"""),FALSE)</f>
        <v>0</v>
      </c>
      <c r="M840" s="32" t="b">
        <f>IFERROR(__xludf.DUMMYFUNCTION("""COMPUTED_VALUE"""),FALSE)</f>
        <v>0</v>
      </c>
      <c r="N840" s="32"/>
    </row>
    <row r="841">
      <c r="A841" s="32"/>
      <c r="B841" s="32"/>
      <c r="C841" s="32"/>
      <c r="D841" s="32"/>
      <c r="E841" s="32"/>
      <c r="F841" s="32"/>
      <c r="G841" s="32"/>
      <c r="H841" s="32"/>
      <c r="I841" s="32"/>
      <c r="J841" s="32" t="b">
        <f>IFERROR(__xludf.DUMMYFUNCTION("""COMPUTED_VALUE"""),FALSE)</f>
        <v>0</v>
      </c>
      <c r="K841" s="32"/>
      <c r="L841" s="32" t="b">
        <f>IFERROR(__xludf.DUMMYFUNCTION("""COMPUTED_VALUE"""),FALSE)</f>
        <v>0</v>
      </c>
      <c r="M841" s="32" t="b">
        <f>IFERROR(__xludf.DUMMYFUNCTION("""COMPUTED_VALUE"""),FALSE)</f>
        <v>0</v>
      </c>
      <c r="N841" s="32"/>
    </row>
    <row r="842">
      <c r="A842" s="32"/>
      <c r="B842" s="32"/>
      <c r="C842" s="32"/>
      <c r="D842" s="32"/>
      <c r="E842" s="32"/>
      <c r="F842" s="32"/>
      <c r="G842" s="32"/>
      <c r="H842" s="32"/>
      <c r="I842" s="32"/>
      <c r="J842" s="32" t="b">
        <f>IFERROR(__xludf.DUMMYFUNCTION("""COMPUTED_VALUE"""),FALSE)</f>
        <v>0</v>
      </c>
      <c r="K842" s="32"/>
      <c r="L842" s="32" t="b">
        <f>IFERROR(__xludf.DUMMYFUNCTION("""COMPUTED_VALUE"""),FALSE)</f>
        <v>0</v>
      </c>
      <c r="M842" s="32" t="b">
        <f>IFERROR(__xludf.DUMMYFUNCTION("""COMPUTED_VALUE"""),FALSE)</f>
        <v>0</v>
      </c>
      <c r="N842" s="32"/>
    </row>
    <row r="843">
      <c r="A843" s="32"/>
      <c r="B843" s="32"/>
      <c r="C843" s="32"/>
      <c r="D843" s="32"/>
      <c r="E843" s="32"/>
      <c r="F843" s="32"/>
      <c r="G843" s="32"/>
      <c r="H843" s="32"/>
      <c r="I843" s="32"/>
      <c r="J843" s="32" t="b">
        <f>IFERROR(__xludf.DUMMYFUNCTION("""COMPUTED_VALUE"""),FALSE)</f>
        <v>0</v>
      </c>
      <c r="K843" s="32"/>
      <c r="L843" s="32" t="b">
        <f>IFERROR(__xludf.DUMMYFUNCTION("""COMPUTED_VALUE"""),FALSE)</f>
        <v>0</v>
      </c>
      <c r="M843" s="32" t="b">
        <f>IFERROR(__xludf.DUMMYFUNCTION("""COMPUTED_VALUE"""),FALSE)</f>
        <v>0</v>
      </c>
      <c r="N843" s="32"/>
    </row>
    <row r="844">
      <c r="A844" s="32"/>
      <c r="B844" s="32"/>
      <c r="C844" s="32"/>
      <c r="D844" s="32"/>
      <c r="E844" s="32"/>
      <c r="F844" s="32"/>
      <c r="G844" s="32"/>
      <c r="H844" s="32"/>
      <c r="I844" s="32"/>
      <c r="J844" s="32" t="b">
        <f>IFERROR(__xludf.DUMMYFUNCTION("""COMPUTED_VALUE"""),FALSE)</f>
        <v>0</v>
      </c>
      <c r="K844" s="32"/>
      <c r="L844" s="32" t="b">
        <f>IFERROR(__xludf.DUMMYFUNCTION("""COMPUTED_VALUE"""),FALSE)</f>
        <v>0</v>
      </c>
      <c r="M844" s="32" t="b">
        <f>IFERROR(__xludf.DUMMYFUNCTION("""COMPUTED_VALUE"""),FALSE)</f>
        <v>0</v>
      </c>
      <c r="N844" s="32"/>
    </row>
    <row r="845">
      <c r="A845" s="32"/>
      <c r="B845" s="32"/>
      <c r="C845" s="32"/>
      <c r="D845" s="32"/>
      <c r="E845" s="32"/>
      <c r="F845" s="32"/>
      <c r="G845" s="32"/>
      <c r="H845" s="32"/>
      <c r="I845" s="32"/>
      <c r="J845" s="32" t="b">
        <f>IFERROR(__xludf.DUMMYFUNCTION("""COMPUTED_VALUE"""),FALSE)</f>
        <v>0</v>
      </c>
      <c r="K845" s="32"/>
      <c r="L845" s="32" t="b">
        <f>IFERROR(__xludf.DUMMYFUNCTION("""COMPUTED_VALUE"""),FALSE)</f>
        <v>0</v>
      </c>
      <c r="M845" s="32" t="b">
        <f>IFERROR(__xludf.DUMMYFUNCTION("""COMPUTED_VALUE"""),FALSE)</f>
        <v>0</v>
      </c>
      <c r="N845" s="32"/>
    </row>
    <row r="846">
      <c r="A846" s="32"/>
      <c r="B846" s="32"/>
      <c r="C846" s="32"/>
      <c r="D846" s="32"/>
      <c r="E846" s="32"/>
      <c r="F846" s="32"/>
      <c r="G846" s="32"/>
      <c r="H846" s="32"/>
      <c r="I846" s="32"/>
      <c r="J846" s="32" t="b">
        <f>IFERROR(__xludf.DUMMYFUNCTION("""COMPUTED_VALUE"""),FALSE)</f>
        <v>0</v>
      </c>
      <c r="K846" s="32"/>
      <c r="L846" s="32" t="b">
        <f>IFERROR(__xludf.DUMMYFUNCTION("""COMPUTED_VALUE"""),FALSE)</f>
        <v>0</v>
      </c>
      <c r="M846" s="32" t="b">
        <f>IFERROR(__xludf.DUMMYFUNCTION("""COMPUTED_VALUE"""),FALSE)</f>
        <v>0</v>
      </c>
      <c r="N846" s="32"/>
    </row>
    <row r="847">
      <c r="A847" s="32"/>
      <c r="B847" s="32"/>
      <c r="C847" s="32"/>
      <c r="D847" s="32"/>
      <c r="E847" s="32"/>
      <c r="F847" s="32"/>
      <c r="G847" s="32"/>
      <c r="H847" s="32"/>
      <c r="I847" s="32"/>
      <c r="J847" s="32" t="b">
        <f>IFERROR(__xludf.DUMMYFUNCTION("""COMPUTED_VALUE"""),FALSE)</f>
        <v>0</v>
      </c>
      <c r="K847" s="32"/>
      <c r="L847" s="32" t="b">
        <f>IFERROR(__xludf.DUMMYFUNCTION("""COMPUTED_VALUE"""),FALSE)</f>
        <v>0</v>
      </c>
      <c r="M847" s="32" t="b">
        <f>IFERROR(__xludf.DUMMYFUNCTION("""COMPUTED_VALUE"""),FALSE)</f>
        <v>0</v>
      </c>
      <c r="N847" s="32"/>
    </row>
    <row r="848">
      <c r="A848" s="32"/>
      <c r="B848" s="32"/>
      <c r="C848" s="32"/>
      <c r="D848" s="32"/>
      <c r="E848" s="32"/>
      <c r="F848" s="32"/>
      <c r="G848" s="32"/>
      <c r="H848" s="32"/>
      <c r="I848" s="32"/>
      <c r="J848" s="32" t="b">
        <f>IFERROR(__xludf.DUMMYFUNCTION("""COMPUTED_VALUE"""),FALSE)</f>
        <v>0</v>
      </c>
      <c r="K848" s="32"/>
      <c r="L848" s="32" t="b">
        <f>IFERROR(__xludf.DUMMYFUNCTION("""COMPUTED_VALUE"""),FALSE)</f>
        <v>0</v>
      </c>
      <c r="M848" s="32" t="b">
        <f>IFERROR(__xludf.DUMMYFUNCTION("""COMPUTED_VALUE"""),FALSE)</f>
        <v>0</v>
      </c>
      <c r="N848" s="32"/>
    </row>
    <row r="849">
      <c r="A849" s="32"/>
      <c r="B849" s="32"/>
      <c r="C849" s="32"/>
      <c r="D849" s="32"/>
      <c r="E849" s="32"/>
      <c r="F849" s="32"/>
      <c r="G849" s="32"/>
      <c r="H849" s="32"/>
      <c r="I849" s="32"/>
      <c r="J849" s="32" t="b">
        <f>IFERROR(__xludf.DUMMYFUNCTION("""COMPUTED_VALUE"""),FALSE)</f>
        <v>0</v>
      </c>
      <c r="K849" s="32"/>
      <c r="L849" s="32" t="b">
        <f>IFERROR(__xludf.DUMMYFUNCTION("""COMPUTED_VALUE"""),FALSE)</f>
        <v>0</v>
      </c>
      <c r="M849" s="32" t="b">
        <f>IFERROR(__xludf.DUMMYFUNCTION("""COMPUTED_VALUE"""),FALSE)</f>
        <v>0</v>
      </c>
      <c r="N849" s="32"/>
    </row>
    <row r="850">
      <c r="A850" s="32"/>
      <c r="B850" s="32"/>
      <c r="C850" s="32"/>
      <c r="D850" s="32"/>
      <c r="E850" s="32"/>
      <c r="F850" s="32"/>
      <c r="G850" s="32"/>
      <c r="H850" s="32"/>
      <c r="I850" s="32"/>
      <c r="J850" s="32" t="b">
        <f>IFERROR(__xludf.DUMMYFUNCTION("""COMPUTED_VALUE"""),FALSE)</f>
        <v>0</v>
      </c>
      <c r="K850" s="32"/>
      <c r="L850" s="32" t="b">
        <f>IFERROR(__xludf.DUMMYFUNCTION("""COMPUTED_VALUE"""),FALSE)</f>
        <v>0</v>
      </c>
      <c r="M850" s="32" t="b">
        <f>IFERROR(__xludf.DUMMYFUNCTION("""COMPUTED_VALUE"""),FALSE)</f>
        <v>0</v>
      </c>
      <c r="N850" s="32"/>
    </row>
    <row r="851">
      <c r="A851" s="32"/>
      <c r="B851" s="32"/>
      <c r="C851" s="32"/>
      <c r="D851" s="32"/>
      <c r="E851" s="32"/>
      <c r="F851" s="32"/>
      <c r="G851" s="32"/>
      <c r="H851" s="32"/>
      <c r="I851" s="32"/>
      <c r="J851" s="32" t="b">
        <f>IFERROR(__xludf.DUMMYFUNCTION("""COMPUTED_VALUE"""),FALSE)</f>
        <v>0</v>
      </c>
      <c r="K851" s="32"/>
      <c r="L851" s="32" t="b">
        <f>IFERROR(__xludf.DUMMYFUNCTION("""COMPUTED_VALUE"""),FALSE)</f>
        <v>0</v>
      </c>
      <c r="M851" s="32" t="b">
        <f>IFERROR(__xludf.DUMMYFUNCTION("""COMPUTED_VALUE"""),FALSE)</f>
        <v>0</v>
      </c>
      <c r="N851" s="32"/>
    </row>
    <row r="852">
      <c r="A852" s="32"/>
      <c r="B852" s="32"/>
      <c r="C852" s="32"/>
      <c r="D852" s="32"/>
      <c r="E852" s="32"/>
      <c r="F852" s="32"/>
      <c r="G852" s="32"/>
      <c r="H852" s="32"/>
      <c r="I852" s="32"/>
      <c r="J852" s="32" t="b">
        <f>IFERROR(__xludf.DUMMYFUNCTION("""COMPUTED_VALUE"""),FALSE)</f>
        <v>0</v>
      </c>
      <c r="K852" s="32"/>
      <c r="L852" s="32" t="b">
        <f>IFERROR(__xludf.DUMMYFUNCTION("""COMPUTED_VALUE"""),FALSE)</f>
        <v>0</v>
      </c>
      <c r="M852" s="32" t="b">
        <f>IFERROR(__xludf.DUMMYFUNCTION("""COMPUTED_VALUE"""),FALSE)</f>
        <v>0</v>
      </c>
      <c r="N852" s="32"/>
    </row>
    <row r="853">
      <c r="A853" s="32"/>
      <c r="B853" s="32"/>
      <c r="C853" s="32"/>
      <c r="D853" s="32"/>
      <c r="E853" s="32"/>
      <c r="F853" s="32"/>
      <c r="G853" s="32"/>
      <c r="H853" s="32"/>
      <c r="I853" s="32"/>
      <c r="J853" s="32" t="b">
        <f>IFERROR(__xludf.DUMMYFUNCTION("""COMPUTED_VALUE"""),FALSE)</f>
        <v>0</v>
      </c>
      <c r="K853" s="32"/>
      <c r="L853" s="32" t="b">
        <f>IFERROR(__xludf.DUMMYFUNCTION("""COMPUTED_VALUE"""),FALSE)</f>
        <v>0</v>
      </c>
      <c r="M853" s="32" t="b">
        <f>IFERROR(__xludf.DUMMYFUNCTION("""COMPUTED_VALUE"""),FALSE)</f>
        <v>0</v>
      </c>
      <c r="N853" s="32"/>
    </row>
    <row r="854">
      <c r="A854" s="32"/>
      <c r="B854" s="32"/>
      <c r="C854" s="32"/>
      <c r="D854" s="32"/>
      <c r="E854" s="32"/>
      <c r="F854" s="32"/>
      <c r="G854" s="32"/>
      <c r="H854" s="32"/>
      <c r="I854" s="32"/>
      <c r="J854" s="32" t="b">
        <f>IFERROR(__xludf.DUMMYFUNCTION("""COMPUTED_VALUE"""),FALSE)</f>
        <v>0</v>
      </c>
      <c r="K854" s="32"/>
      <c r="L854" s="32" t="b">
        <f>IFERROR(__xludf.DUMMYFUNCTION("""COMPUTED_VALUE"""),FALSE)</f>
        <v>0</v>
      </c>
      <c r="M854" s="32" t="b">
        <f>IFERROR(__xludf.DUMMYFUNCTION("""COMPUTED_VALUE"""),FALSE)</f>
        <v>0</v>
      </c>
      <c r="N854" s="32"/>
    </row>
    <row r="855">
      <c r="A855" s="32"/>
      <c r="B855" s="32"/>
      <c r="C855" s="32"/>
      <c r="D855" s="32"/>
      <c r="E855" s="32"/>
      <c r="F855" s="32"/>
      <c r="G855" s="32"/>
      <c r="H855" s="32"/>
      <c r="I855" s="32"/>
      <c r="J855" s="32" t="b">
        <f>IFERROR(__xludf.DUMMYFUNCTION("""COMPUTED_VALUE"""),FALSE)</f>
        <v>0</v>
      </c>
      <c r="K855" s="32"/>
      <c r="L855" s="32" t="b">
        <f>IFERROR(__xludf.DUMMYFUNCTION("""COMPUTED_VALUE"""),FALSE)</f>
        <v>0</v>
      </c>
      <c r="M855" s="32" t="b">
        <f>IFERROR(__xludf.DUMMYFUNCTION("""COMPUTED_VALUE"""),FALSE)</f>
        <v>0</v>
      </c>
      <c r="N855" s="32"/>
    </row>
    <row r="856">
      <c r="A856" s="32"/>
      <c r="B856" s="32"/>
      <c r="C856" s="32"/>
      <c r="D856" s="32"/>
      <c r="E856" s="32"/>
      <c r="F856" s="32"/>
      <c r="G856" s="32"/>
      <c r="H856" s="32"/>
      <c r="I856" s="32"/>
      <c r="J856" s="32" t="b">
        <f>IFERROR(__xludf.DUMMYFUNCTION("""COMPUTED_VALUE"""),FALSE)</f>
        <v>0</v>
      </c>
      <c r="K856" s="32"/>
      <c r="L856" s="32" t="b">
        <f>IFERROR(__xludf.DUMMYFUNCTION("""COMPUTED_VALUE"""),FALSE)</f>
        <v>0</v>
      </c>
      <c r="M856" s="32" t="b">
        <f>IFERROR(__xludf.DUMMYFUNCTION("""COMPUTED_VALUE"""),FALSE)</f>
        <v>0</v>
      </c>
      <c r="N856" s="32"/>
    </row>
    <row r="857">
      <c r="A857" s="32"/>
      <c r="B857" s="32"/>
      <c r="C857" s="32"/>
      <c r="D857" s="32"/>
      <c r="E857" s="32"/>
      <c r="F857" s="32"/>
      <c r="G857" s="32"/>
      <c r="H857" s="32"/>
      <c r="I857" s="32"/>
      <c r="J857" s="32" t="b">
        <f>IFERROR(__xludf.DUMMYFUNCTION("""COMPUTED_VALUE"""),FALSE)</f>
        <v>0</v>
      </c>
      <c r="K857" s="32"/>
      <c r="L857" s="32" t="b">
        <f>IFERROR(__xludf.DUMMYFUNCTION("""COMPUTED_VALUE"""),FALSE)</f>
        <v>0</v>
      </c>
      <c r="M857" s="32" t="b">
        <f>IFERROR(__xludf.DUMMYFUNCTION("""COMPUTED_VALUE"""),FALSE)</f>
        <v>0</v>
      </c>
      <c r="N857" s="32"/>
    </row>
    <row r="858">
      <c r="A858" s="32"/>
      <c r="B858" s="32"/>
      <c r="C858" s="32"/>
      <c r="D858" s="32"/>
      <c r="E858" s="32"/>
      <c r="F858" s="32"/>
      <c r="G858" s="32"/>
      <c r="H858" s="32"/>
      <c r="I858" s="32"/>
      <c r="J858" s="32" t="b">
        <f>IFERROR(__xludf.DUMMYFUNCTION("""COMPUTED_VALUE"""),FALSE)</f>
        <v>0</v>
      </c>
      <c r="K858" s="32"/>
      <c r="L858" s="32" t="b">
        <f>IFERROR(__xludf.DUMMYFUNCTION("""COMPUTED_VALUE"""),FALSE)</f>
        <v>0</v>
      </c>
      <c r="M858" s="32" t="b">
        <f>IFERROR(__xludf.DUMMYFUNCTION("""COMPUTED_VALUE"""),FALSE)</f>
        <v>0</v>
      </c>
      <c r="N858" s="32"/>
    </row>
    <row r="859">
      <c r="A859" s="32"/>
      <c r="B859" s="32"/>
      <c r="C859" s="32"/>
      <c r="D859" s="32"/>
      <c r="E859" s="32"/>
      <c r="F859" s="32"/>
      <c r="G859" s="32"/>
      <c r="H859" s="32"/>
      <c r="I859" s="32"/>
      <c r="J859" s="32" t="b">
        <f>IFERROR(__xludf.DUMMYFUNCTION("""COMPUTED_VALUE"""),FALSE)</f>
        <v>0</v>
      </c>
      <c r="K859" s="32"/>
      <c r="L859" s="32" t="b">
        <f>IFERROR(__xludf.DUMMYFUNCTION("""COMPUTED_VALUE"""),FALSE)</f>
        <v>0</v>
      </c>
      <c r="M859" s="32" t="b">
        <f>IFERROR(__xludf.DUMMYFUNCTION("""COMPUTED_VALUE"""),FALSE)</f>
        <v>0</v>
      </c>
      <c r="N859" s="32"/>
    </row>
    <row r="860">
      <c r="A860" s="32"/>
      <c r="B860" s="32"/>
      <c r="C860" s="32"/>
      <c r="D860" s="32"/>
      <c r="E860" s="32"/>
      <c r="F860" s="32"/>
      <c r="G860" s="32"/>
      <c r="H860" s="32"/>
      <c r="I860" s="32"/>
      <c r="J860" s="32" t="b">
        <f>IFERROR(__xludf.DUMMYFUNCTION("""COMPUTED_VALUE"""),FALSE)</f>
        <v>0</v>
      </c>
      <c r="K860" s="32"/>
      <c r="L860" s="32" t="b">
        <f>IFERROR(__xludf.DUMMYFUNCTION("""COMPUTED_VALUE"""),FALSE)</f>
        <v>0</v>
      </c>
      <c r="M860" s="32" t="b">
        <f>IFERROR(__xludf.DUMMYFUNCTION("""COMPUTED_VALUE"""),FALSE)</f>
        <v>0</v>
      </c>
      <c r="N860" s="32"/>
    </row>
    <row r="861">
      <c r="A861" s="32"/>
      <c r="B861" s="32"/>
      <c r="C861" s="32"/>
      <c r="D861" s="32"/>
      <c r="E861" s="32"/>
      <c r="F861" s="32"/>
      <c r="G861" s="32"/>
      <c r="H861" s="32"/>
      <c r="I861" s="32"/>
      <c r="J861" s="32" t="b">
        <f>IFERROR(__xludf.DUMMYFUNCTION("""COMPUTED_VALUE"""),FALSE)</f>
        <v>0</v>
      </c>
      <c r="K861" s="32"/>
      <c r="L861" s="32" t="b">
        <f>IFERROR(__xludf.DUMMYFUNCTION("""COMPUTED_VALUE"""),FALSE)</f>
        <v>0</v>
      </c>
      <c r="M861" s="32" t="b">
        <f>IFERROR(__xludf.DUMMYFUNCTION("""COMPUTED_VALUE"""),FALSE)</f>
        <v>0</v>
      </c>
      <c r="N861" s="32"/>
    </row>
    <row r="862">
      <c r="A862" s="32"/>
      <c r="B862" s="32"/>
      <c r="C862" s="32"/>
      <c r="D862" s="32"/>
      <c r="E862" s="32"/>
      <c r="F862" s="32"/>
      <c r="G862" s="32"/>
      <c r="H862" s="32"/>
      <c r="I862" s="32"/>
      <c r="J862" s="32" t="b">
        <f>IFERROR(__xludf.DUMMYFUNCTION("""COMPUTED_VALUE"""),FALSE)</f>
        <v>0</v>
      </c>
      <c r="K862" s="32"/>
      <c r="L862" s="32" t="b">
        <f>IFERROR(__xludf.DUMMYFUNCTION("""COMPUTED_VALUE"""),FALSE)</f>
        <v>0</v>
      </c>
      <c r="M862" s="32" t="b">
        <f>IFERROR(__xludf.DUMMYFUNCTION("""COMPUTED_VALUE"""),FALSE)</f>
        <v>0</v>
      </c>
      <c r="N862" s="32"/>
    </row>
    <row r="863">
      <c r="A863" s="32"/>
      <c r="B863" s="32"/>
      <c r="C863" s="32"/>
      <c r="D863" s="32"/>
      <c r="E863" s="32"/>
      <c r="F863" s="32"/>
      <c r="G863" s="32"/>
      <c r="H863" s="32"/>
      <c r="I863" s="32"/>
      <c r="J863" s="32" t="b">
        <f>IFERROR(__xludf.DUMMYFUNCTION("""COMPUTED_VALUE"""),FALSE)</f>
        <v>0</v>
      </c>
      <c r="K863" s="32"/>
      <c r="L863" s="32" t="b">
        <f>IFERROR(__xludf.DUMMYFUNCTION("""COMPUTED_VALUE"""),FALSE)</f>
        <v>0</v>
      </c>
      <c r="M863" s="32" t="b">
        <f>IFERROR(__xludf.DUMMYFUNCTION("""COMPUTED_VALUE"""),FALSE)</f>
        <v>0</v>
      </c>
      <c r="N863" s="32"/>
    </row>
    <row r="864">
      <c r="A864" s="32"/>
      <c r="B864" s="32"/>
      <c r="C864" s="32"/>
      <c r="D864" s="32"/>
      <c r="E864" s="32"/>
      <c r="F864" s="32"/>
      <c r="G864" s="32"/>
      <c r="H864" s="32"/>
      <c r="I864" s="32"/>
      <c r="J864" s="32" t="b">
        <f>IFERROR(__xludf.DUMMYFUNCTION("""COMPUTED_VALUE"""),FALSE)</f>
        <v>0</v>
      </c>
      <c r="K864" s="32"/>
      <c r="L864" s="32" t="b">
        <f>IFERROR(__xludf.DUMMYFUNCTION("""COMPUTED_VALUE"""),FALSE)</f>
        <v>0</v>
      </c>
      <c r="M864" s="32" t="b">
        <f>IFERROR(__xludf.DUMMYFUNCTION("""COMPUTED_VALUE"""),FALSE)</f>
        <v>0</v>
      </c>
      <c r="N864" s="32"/>
    </row>
    <row r="865">
      <c r="A865" s="32"/>
      <c r="B865" s="32"/>
      <c r="C865" s="32"/>
      <c r="D865" s="32"/>
      <c r="E865" s="32"/>
      <c r="F865" s="32"/>
      <c r="G865" s="32"/>
      <c r="H865" s="32"/>
      <c r="I865" s="32"/>
      <c r="J865" s="32" t="b">
        <f>IFERROR(__xludf.DUMMYFUNCTION("""COMPUTED_VALUE"""),FALSE)</f>
        <v>0</v>
      </c>
      <c r="K865" s="32"/>
      <c r="L865" s="32" t="b">
        <f>IFERROR(__xludf.DUMMYFUNCTION("""COMPUTED_VALUE"""),FALSE)</f>
        <v>0</v>
      </c>
      <c r="M865" s="32" t="b">
        <f>IFERROR(__xludf.DUMMYFUNCTION("""COMPUTED_VALUE"""),FALSE)</f>
        <v>0</v>
      </c>
      <c r="N865" s="32"/>
    </row>
    <row r="866">
      <c r="A866" s="32"/>
      <c r="B866" s="32"/>
      <c r="C866" s="32"/>
      <c r="D866" s="32"/>
      <c r="E866" s="32"/>
      <c r="F866" s="32"/>
      <c r="G866" s="32"/>
      <c r="H866" s="32"/>
      <c r="I866" s="32"/>
      <c r="J866" s="32" t="b">
        <f>IFERROR(__xludf.DUMMYFUNCTION("""COMPUTED_VALUE"""),FALSE)</f>
        <v>0</v>
      </c>
      <c r="K866" s="32"/>
      <c r="L866" s="32" t="b">
        <f>IFERROR(__xludf.DUMMYFUNCTION("""COMPUTED_VALUE"""),FALSE)</f>
        <v>0</v>
      </c>
      <c r="M866" s="32" t="b">
        <f>IFERROR(__xludf.DUMMYFUNCTION("""COMPUTED_VALUE"""),FALSE)</f>
        <v>0</v>
      </c>
      <c r="N866" s="32"/>
    </row>
    <row r="867">
      <c r="A867" s="32"/>
      <c r="B867" s="32"/>
      <c r="C867" s="32"/>
      <c r="D867" s="32"/>
      <c r="E867" s="32"/>
      <c r="F867" s="32"/>
      <c r="G867" s="32"/>
      <c r="H867" s="32"/>
      <c r="I867" s="32"/>
      <c r="J867" s="32" t="b">
        <f>IFERROR(__xludf.DUMMYFUNCTION("""COMPUTED_VALUE"""),FALSE)</f>
        <v>0</v>
      </c>
      <c r="K867" s="32"/>
      <c r="L867" s="32" t="b">
        <f>IFERROR(__xludf.DUMMYFUNCTION("""COMPUTED_VALUE"""),FALSE)</f>
        <v>0</v>
      </c>
      <c r="M867" s="32" t="b">
        <f>IFERROR(__xludf.DUMMYFUNCTION("""COMPUTED_VALUE"""),FALSE)</f>
        <v>0</v>
      </c>
      <c r="N867" s="32"/>
    </row>
    <row r="868">
      <c r="A868" s="32"/>
      <c r="B868" s="32"/>
      <c r="C868" s="32"/>
      <c r="D868" s="32"/>
      <c r="E868" s="32"/>
      <c r="F868" s="32"/>
      <c r="G868" s="32"/>
      <c r="H868" s="32"/>
      <c r="I868" s="32"/>
      <c r="J868" s="32" t="b">
        <f>IFERROR(__xludf.DUMMYFUNCTION("""COMPUTED_VALUE"""),FALSE)</f>
        <v>0</v>
      </c>
      <c r="K868" s="32"/>
      <c r="L868" s="32" t="b">
        <f>IFERROR(__xludf.DUMMYFUNCTION("""COMPUTED_VALUE"""),FALSE)</f>
        <v>0</v>
      </c>
      <c r="M868" s="32" t="b">
        <f>IFERROR(__xludf.DUMMYFUNCTION("""COMPUTED_VALUE"""),FALSE)</f>
        <v>0</v>
      </c>
      <c r="N868" s="32"/>
    </row>
    <row r="869">
      <c r="A869" s="32"/>
      <c r="B869" s="32"/>
      <c r="C869" s="32"/>
      <c r="D869" s="32"/>
      <c r="E869" s="32"/>
      <c r="F869" s="32"/>
      <c r="G869" s="32"/>
      <c r="H869" s="32"/>
      <c r="I869" s="32"/>
      <c r="J869" s="32" t="b">
        <f>IFERROR(__xludf.DUMMYFUNCTION("""COMPUTED_VALUE"""),FALSE)</f>
        <v>0</v>
      </c>
      <c r="K869" s="32"/>
      <c r="L869" s="32" t="b">
        <f>IFERROR(__xludf.DUMMYFUNCTION("""COMPUTED_VALUE"""),FALSE)</f>
        <v>0</v>
      </c>
      <c r="M869" s="32" t="b">
        <f>IFERROR(__xludf.DUMMYFUNCTION("""COMPUTED_VALUE"""),FALSE)</f>
        <v>0</v>
      </c>
      <c r="N869" s="32"/>
    </row>
    <row r="870">
      <c r="A870" s="32"/>
      <c r="B870" s="32"/>
      <c r="C870" s="32"/>
      <c r="D870" s="32"/>
      <c r="E870" s="32"/>
      <c r="F870" s="32"/>
      <c r="G870" s="32"/>
      <c r="H870" s="32"/>
      <c r="I870" s="32"/>
      <c r="J870" s="32" t="b">
        <f>IFERROR(__xludf.DUMMYFUNCTION("""COMPUTED_VALUE"""),FALSE)</f>
        <v>0</v>
      </c>
      <c r="K870" s="32"/>
      <c r="L870" s="32" t="b">
        <f>IFERROR(__xludf.DUMMYFUNCTION("""COMPUTED_VALUE"""),FALSE)</f>
        <v>0</v>
      </c>
      <c r="M870" s="32" t="b">
        <f>IFERROR(__xludf.DUMMYFUNCTION("""COMPUTED_VALUE"""),FALSE)</f>
        <v>0</v>
      </c>
      <c r="N870" s="32"/>
    </row>
    <row r="871">
      <c r="A871" s="32"/>
      <c r="B871" s="32"/>
      <c r="C871" s="32"/>
      <c r="D871" s="32"/>
      <c r="E871" s="32"/>
      <c r="F871" s="32"/>
      <c r="G871" s="32"/>
      <c r="H871" s="32"/>
      <c r="I871" s="32"/>
      <c r="J871" s="32" t="b">
        <f>IFERROR(__xludf.DUMMYFUNCTION("""COMPUTED_VALUE"""),FALSE)</f>
        <v>0</v>
      </c>
      <c r="K871" s="32"/>
      <c r="L871" s="32" t="b">
        <f>IFERROR(__xludf.DUMMYFUNCTION("""COMPUTED_VALUE"""),FALSE)</f>
        <v>0</v>
      </c>
      <c r="M871" s="32" t="b">
        <f>IFERROR(__xludf.DUMMYFUNCTION("""COMPUTED_VALUE"""),FALSE)</f>
        <v>0</v>
      </c>
      <c r="N871" s="32"/>
    </row>
    <row r="872">
      <c r="A872" s="32"/>
      <c r="B872" s="32"/>
      <c r="C872" s="32"/>
      <c r="D872" s="32"/>
      <c r="E872" s="32"/>
      <c r="F872" s="32"/>
      <c r="G872" s="32"/>
      <c r="H872" s="32"/>
      <c r="I872" s="32"/>
      <c r="J872" s="32" t="b">
        <f>IFERROR(__xludf.DUMMYFUNCTION("""COMPUTED_VALUE"""),FALSE)</f>
        <v>0</v>
      </c>
      <c r="K872" s="32"/>
      <c r="L872" s="32" t="b">
        <f>IFERROR(__xludf.DUMMYFUNCTION("""COMPUTED_VALUE"""),FALSE)</f>
        <v>0</v>
      </c>
      <c r="M872" s="32" t="b">
        <f>IFERROR(__xludf.DUMMYFUNCTION("""COMPUTED_VALUE"""),FALSE)</f>
        <v>0</v>
      </c>
      <c r="N872" s="32"/>
    </row>
    <row r="873">
      <c r="A873" s="32"/>
      <c r="B873" s="32"/>
      <c r="C873" s="32"/>
      <c r="D873" s="32"/>
      <c r="E873" s="32"/>
      <c r="F873" s="32"/>
      <c r="G873" s="32"/>
      <c r="H873" s="32"/>
      <c r="I873" s="32"/>
      <c r="J873" s="32" t="b">
        <f>IFERROR(__xludf.DUMMYFUNCTION("""COMPUTED_VALUE"""),FALSE)</f>
        <v>0</v>
      </c>
      <c r="K873" s="32"/>
      <c r="L873" s="32" t="b">
        <f>IFERROR(__xludf.DUMMYFUNCTION("""COMPUTED_VALUE"""),FALSE)</f>
        <v>0</v>
      </c>
      <c r="M873" s="32" t="b">
        <f>IFERROR(__xludf.DUMMYFUNCTION("""COMPUTED_VALUE"""),FALSE)</f>
        <v>0</v>
      </c>
      <c r="N873" s="32"/>
    </row>
    <row r="874">
      <c r="A874" s="32"/>
      <c r="B874" s="32"/>
      <c r="C874" s="32"/>
      <c r="D874" s="32"/>
      <c r="E874" s="32"/>
      <c r="F874" s="32"/>
      <c r="G874" s="32"/>
      <c r="H874" s="32"/>
      <c r="I874" s="32"/>
      <c r="J874" s="32" t="b">
        <f>IFERROR(__xludf.DUMMYFUNCTION("""COMPUTED_VALUE"""),FALSE)</f>
        <v>0</v>
      </c>
      <c r="K874" s="32"/>
      <c r="L874" s="32" t="b">
        <f>IFERROR(__xludf.DUMMYFUNCTION("""COMPUTED_VALUE"""),FALSE)</f>
        <v>0</v>
      </c>
      <c r="M874" s="32" t="b">
        <f>IFERROR(__xludf.DUMMYFUNCTION("""COMPUTED_VALUE"""),FALSE)</f>
        <v>0</v>
      </c>
      <c r="N874" s="32"/>
    </row>
    <row r="875">
      <c r="A875" s="32"/>
      <c r="B875" s="32"/>
      <c r="C875" s="32"/>
      <c r="D875" s="32"/>
      <c r="E875" s="32"/>
      <c r="F875" s="32"/>
      <c r="G875" s="32"/>
      <c r="H875" s="32"/>
      <c r="I875" s="32"/>
      <c r="J875" s="32" t="b">
        <f>IFERROR(__xludf.DUMMYFUNCTION("""COMPUTED_VALUE"""),FALSE)</f>
        <v>0</v>
      </c>
      <c r="K875" s="32"/>
      <c r="L875" s="32" t="b">
        <f>IFERROR(__xludf.DUMMYFUNCTION("""COMPUTED_VALUE"""),FALSE)</f>
        <v>0</v>
      </c>
      <c r="M875" s="32" t="b">
        <f>IFERROR(__xludf.DUMMYFUNCTION("""COMPUTED_VALUE"""),FALSE)</f>
        <v>0</v>
      </c>
      <c r="N875" s="32"/>
    </row>
    <row r="876">
      <c r="A876" s="32"/>
      <c r="B876" s="32"/>
      <c r="C876" s="32"/>
      <c r="D876" s="32"/>
      <c r="E876" s="32"/>
      <c r="F876" s="32"/>
      <c r="G876" s="32"/>
      <c r="H876" s="32"/>
      <c r="I876" s="32"/>
      <c r="J876" s="32" t="b">
        <f>IFERROR(__xludf.DUMMYFUNCTION("""COMPUTED_VALUE"""),FALSE)</f>
        <v>0</v>
      </c>
      <c r="K876" s="32"/>
      <c r="L876" s="32" t="b">
        <f>IFERROR(__xludf.DUMMYFUNCTION("""COMPUTED_VALUE"""),FALSE)</f>
        <v>0</v>
      </c>
      <c r="M876" s="32" t="b">
        <f>IFERROR(__xludf.DUMMYFUNCTION("""COMPUTED_VALUE"""),FALSE)</f>
        <v>0</v>
      </c>
      <c r="N876" s="32"/>
    </row>
    <row r="877">
      <c r="A877" s="32"/>
      <c r="B877" s="32"/>
      <c r="C877" s="32"/>
      <c r="D877" s="32"/>
      <c r="E877" s="32"/>
      <c r="F877" s="32"/>
      <c r="G877" s="32"/>
      <c r="H877" s="32"/>
      <c r="I877" s="32"/>
      <c r="J877" s="32" t="b">
        <f>IFERROR(__xludf.DUMMYFUNCTION("""COMPUTED_VALUE"""),FALSE)</f>
        <v>0</v>
      </c>
      <c r="K877" s="32"/>
      <c r="L877" s="32" t="b">
        <f>IFERROR(__xludf.DUMMYFUNCTION("""COMPUTED_VALUE"""),FALSE)</f>
        <v>0</v>
      </c>
      <c r="M877" s="32" t="b">
        <f>IFERROR(__xludf.DUMMYFUNCTION("""COMPUTED_VALUE"""),FALSE)</f>
        <v>0</v>
      </c>
      <c r="N877" s="32"/>
    </row>
    <row r="878">
      <c r="A878" s="32"/>
      <c r="B878" s="32"/>
      <c r="C878" s="32"/>
      <c r="D878" s="32"/>
      <c r="E878" s="32"/>
      <c r="F878" s="32"/>
      <c r="G878" s="32"/>
      <c r="H878" s="32"/>
      <c r="I878" s="32"/>
      <c r="J878" s="32" t="b">
        <f>IFERROR(__xludf.DUMMYFUNCTION("""COMPUTED_VALUE"""),FALSE)</f>
        <v>0</v>
      </c>
      <c r="K878" s="32"/>
      <c r="L878" s="32" t="b">
        <f>IFERROR(__xludf.DUMMYFUNCTION("""COMPUTED_VALUE"""),FALSE)</f>
        <v>0</v>
      </c>
      <c r="M878" s="32" t="b">
        <f>IFERROR(__xludf.DUMMYFUNCTION("""COMPUTED_VALUE"""),FALSE)</f>
        <v>0</v>
      </c>
      <c r="N878" s="32"/>
    </row>
    <row r="879">
      <c r="A879" s="32"/>
      <c r="B879" s="32"/>
      <c r="C879" s="32"/>
      <c r="D879" s="32"/>
      <c r="E879" s="32"/>
      <c r="F879" s="32"/>
      <c r="G879" s="32"/>
      <c r="H879" s="32"/>
      <c r="I879" s="32"/>
      <c r="J879" s="32" t="b">
        <f>IFERROR(__xludf.DUMMYFUNCTION("""COMPUTED_VALUE"""),FALSE)</f>
        <v>0</v>
      </c>
      <c r="K879" s="32"/>
      <c r="L879" s="32" t="b">
        <f>IFERROR(__xludf.DUMMYFUNCTION("""COMPUTED_VALUE"""),FALSE)</f>
        <v>0</v>
      </c>
      <c r="M879" s="32" t="b">
        <f>IFERROR(__xludf.DUMMYFUNCTION("""COMPUTED_VALUE"""),FALSE)</f>
        <v>0</v>
      </c>
      <c r="N879" s="32"/>
    </row>
    <row r="880">
      <c r="A880" s="32"/>
      <c r="B880" s="32"/>
      <c r="C880" s="32"/>
      <c r="D880" s="32"/>
      <c r="E880" s="32"/>
      <c r="F880" s="32"/>
      <c r="G880" s="32"/>
      <c r="H880" s="32"/>
      <c r="I880" s="32"/>
      <c r="J880" s="32" t="b">
        <f>IFERROR(__xludf.DUMMYFUNCTION("""COMPUTED_VALUE"""),FALSE)</f>
        <v>0</v>
      </c>
      <c r="K880" s="32"/>
      <c r="L880" s="32" t="b">
        <f>IFERROR(__xludf.DUMMYFUNCTION("""COMPUTED_VALUE"""),FALSE)</f>
        <v>0</v>
      </c>
      <c r="M880" s="32" t="b">
        <f>IFERROR(__xludf.DUMMYFUNCTION("""COMPUTED_VALUE"""),FALSE)</f>
        <v>0</v>
      </c>
      <c r="N880" s="32"/>
    </row>
    <row r="881">
      <c r="A881" s="32"/>
      <c r="B881" s="32"/>
      <c r="C881" s="32"/>
      <c r="D881" s="32"/>
      <c r="E881" s="32"/>
      <c r="F881" s="32"/>
      <c r="G881" s="32"/>
      <c r="H881" s="32"/>
      <c r="I881" s="32"/>
      <c r="J881" s="32" t="b">
        <f>IFERROR(__xludf.DUMMYFUNCTION("""COMPUTED_VALUE"""),FALSE)</f>
        <v>0</v>
      </c>
      <c r="K881" s="32"/>
      <c r="L881" s="32" t="b">
        <f>IFERROR(__xludf.DUMMYFUNCTION("""COMPUTED_VALUE"""),FALSE)</f>
        <v>0</v>
      </c>
      <c r="M881" s="32" t="b">
        <f>IFERROR(__xludf.DUMMYFUNCTION("""COMPUTED_VALUE"""),FALSE)</f>
        <v>0</v>
      </c>
      <c r="N881" s="32"/>
    </row>
    <row r="882">
      <c r="A882" s="32"/>
      <c r="B882" s="32"/>
      <c r="C882" s="32"/>
      <c r="D882" s="32"/>
      <c r="E882" s="32"/>
      <c r="F882" s="32"/>
      <c r="G882" s="32"/>
      <c r="H882" s="32"/>
      <c r="I882" s="32"/>
      <c r="J882" s="32" t="b">
        <f>IFERROR(__xludf.DUMMYFUNCTION("""COMPUTED_VALUE"""),FALSE)</f>
        <v>0</v>
      </c>
      <c r="K882" s="32"/>
      <c r="L882" s="32" t="b">
        <f>IFERROR(__xludf.DUMMYFUNCTION("""COMPUTED_VALUE"""),FALSE)</f>
        <v>0</v>
      </c>
      <c r="M882" s="32" t="b">
        <f>IFERROR(__xludf.DUMMYFUNCTION("""COMPUTED_VALUE"""),FALSE)</f>
        <v>0</v>
      </c>
      <c r="N882" s="32"/>
    </row>
    <row r="883">
      <c r="A883" s="32"/>
      <c r="B883" s="32"/>
      <c r="C883" s="32"/>
      <c r="D883" s="32"/>
      <c r="E883" s="32"/>
      <c r="F883" s="32"/>
      <c r="G883" s="32"/>
      <c r="H883" s="32"/>
      <c r="I883" s="32"/>
      <c r="J883" s="32" t="b">
        <f>IFERROR(__xludf.DUMMYFUNCTION("""COMPUTED_VALUE"""),FALSE)</f>
        <v>0</v>
      </c>
      <c r="K883" s="32"/>
      <c r="L883" s="32" t="b">
        <f>IFERROR(__xludf.DUMMYFUNCTION("""COMPUTED_VALUE"""),FALSE)</f>
        <v>0</v>
      </c>
      <c r="M883" s="32" t="b">
        <f>IFERROR(__xludf.DUMMYFUNCTION("""COMPUTED_VALUE"""),FALSE)</f>
        <v>0</v>
      </c>
      <c r="N883" s="32"/>
    </row>
    <row r="884">
      <c r="A884" s="32"/>
      <c r="B884" s="32"/>
      <c r="C884" s="32"/>
      <c r="D884" s="32"/>
      <c r="E884" s="32"/>
      <c r="F884" s="32"/>
      <c r="G884" s="32"/>
      <c r="H884" s="32"/>
      <c r="I884" s="32"/>
      <c r="J884" s="32" t="b">
        <f>IFERROR(__xludf.DUMMYFUNCTION("""COMPUTED_VALUE"""),FALSE)</f>
        <v>0</v>
      </c>
      <c r="K884" s="32"/>
      <c r="L884" s="32" t="b">
        <f>IFERROR(__xludf.DUMMYFUNCTION("""COMPUTED_VALUE"""),FALSE)</f>
        <v>0</v>
      </c>
      <c r="M884" s="32" t="b">
        <f>IFERROR(__xludf.DUMMYFUNCTION("""COMPUTED_VALUE"""),FALSE)</f>
        <v>0</v>
      </c>
      <c r="N884" s="32"/>
    </row>
    <row r="885">
      <c r="A885" s="32"/>
      <c r="B885" s="32"/>
      <c r="C885" s="32"/>
      <c r="D885" s="32"/>
      <c r="E885" s="32"/>
      <c r="F885" s="32"/>
      <c r="G885" s="32"/>
      <c r="H885" s="32"/>
      <c r="I885" s="32"/>
      <c r="J885" s="32" t="b">
        <f>IFERROR(__xludf.DUMMYFUNCTION("""COMPUTED_VALUE"""),FALSE)</f>
        <v>0</v>
      </c>
      <c r="K885" s="32"/>
      <c r="L885" s="32" t="b">
        <f>IFERROR(__xludf.DUMMYFUNCTION("""COMPUTED_VALUE"""),FALSE)</f>
        <v>0</v>
      </c>
      <c r="M885" s="32" t="b">
        <f>IFERROR(__xludf.DUMMYFUNCTION("""COMPUTED_VALUE"""),FALSE)</f>
        <v>0</v>
      </c>
      <c r="N885" s="32"/>
    </row>
    <row r="886">
      <c r="A886" s="32"/>
      <c r="B886" s="32"/>
      <c r="C886" s="32"/>
      <c r="D886" s="32"/>
      <c r="E886" s="32"/>
      <c r="F886" s="32"/>
      <c r="G886" s="32"/>
      <c r="H886" s="32"/>
      <c r="I886" s="32"/>
      <c r="J886" s="32" t="b">
        <f>IFERROR(__xludf.DUMMYFUNCTION("""COMPUTED_VALUE"""),FALSE)</f>
        <v>0</v>
      </c>
      <c r="K886" s="32"/>
      <c r="L886" s="32" t="b">
        <f>IFERROR(__xludf.DUMMYFUNCTION("""COMPUTED_VALUE"""),FALSE)</f>
        <v>0</v>
      </c>
      <c r="M886" s="32" t="b">
        <f>IFERROR(__xludf.DUMMYFUNCTION("""COMPUTED_VALUE"""),FALSE)</f>
        <v>0</v>
      </c>
      <c r="N886" s="32"/>
    </row>
    <row r="887">
      <c r="A887" s="32"/>
      <c r="B887" s="32"/>
      <c r="C887" s="32"/>
      <c r="D887" s="32"/>
      <c r="E887" s="32"/>
      <c r="F887" s="32"/>
      <c r="G887" s="32"/>
      <c r="H887" s="32"/>
      <c r="I887" s="32"/>
      <c r="J887" s="32" t="b">
        <f>IFERROR(__xludf.DUMMYFUNCTION("""COMPUTED_VALUE"""),FALSE)</f>
        <v>0</v>
      </c>
      <c r="K887" s="32"/>
      <c r="L887" s="32" t="b">
        <f>IFERROR(__xludf.DUMMYFUNCTION("""COMPUTED_VALUE"""),FALSE)</f>
        <v>0</v>
      </c>
      <c r="M887" s="32" t="b">
        <f>IFERROR(__xludf.DUMMYFUNCTION("""COMPUTED_VALUE"""),FALSE)</f>
        <v>0</v>
      </c>
      <c r="N887" s="32"/>
    </row>
    <row r="888">
      <c r="A888" s="32"/>
      <c r="B888" s="32"/>
      <c r="C888" s="32"/>
      <c r="D888" s="32"/>
      <c r="E888" s="32"/>
      <c r="F888" s="32"/>
      <c r="G888" s="32"/>
      <c r="H888" s="32"/>
      <c r="I888" s="32"/>
      <c r="J888" s="32" t="b">
        <f>IFERROR(__xludf.DUMMYFUNCTION("""COMPUTED_VALUE"""),FALSE)</f>
        <v>0</v>
      </c>
      <c r="K888" s="32"/>
      <c r="L888" s="32" t="b">
        <f>IFERROR(__xludf.DUMMYFUNCTION("""COMPUTED_VALUE"""),FALSE)</f>
        <v>0</v>
      </c>
      <c r="M888" s="32" t="b">
        <f>IFERROR(__xludf.DUMMYFUNCTION("""COMPUTED_VALUE"""),FALSE)</f>
        <v>0</v>
      </c>
      <c r="N888" s="32"/>
    </row>
    <row r="889">
      <c r="A889" s="32"/>
      <c r="B889" s="32"/>
      <c r="C889" s="32"/>
      <c r="D889" s="32"/>
      <c r="E889" s="32"/>
      <c r="F889" s="32"/>
      <c r="G889" s="32"/>
      <c r="H889" s="32"/>
      <c r="I889" s="32"/>
      <c r="J889" s="32" t="b">
        <f>IFERROR(__xludf.DUMMYFUNCTION("""COMPUTED_VALUE"""),FALSE)</f>
        <v>0</v>
      </c>
      <c r="K889" s="32"/>
      <c r="L889" s="32" t="b">
        <f>IFERROR(__xludf.DUMMYFUNCTION("""COMPUTED_VALUE"""),FALSE)</f>
        <v>0</v>
      </c>
      <c r="M889" s="32" t="b">
        <f>IFERROR(__xludf.DUMMYFUNCTION("""COMPUTED_VALUE"""),FALSE)</f>
        <v>0</v>
      </c>
      <c r="N889" s="32"/>
    </row>
    <row r="890">
      <c r="A890" s="32"/>
      <c r="B890" s="32"/>
      <c r="C890" s="32"/>
      <c r="D890" s="32"/>
      <c r="E890" s="32"/>
      <c r="F890" s="32"/>
      <c r="G890" s="32"/>
      <c r="H890" s="32"/>
      <c r="I890" s="32"/>
      <c r="J890" s="32" t="b">
        <f>IFERROR(__xludf.DUMMYFUNCTION("""COMPUTED_VALUE"""),FALSE)</f>
        <v>0</v>
      </c>
      <c r="K890" s="32"/>
      <c r="L890" s="32" t="b">
        <f>IFERROR(__xludf.DUMMYFUNCTION("""COMPUTED_VALUE"""),FALSE)</f>
        <v>0</v>
      </c>
      <c r="M890" s="32" t="b">
        <f>IFERROR(__xludf.DUMMYFUNCTION("""COMPUTED_VALUE"""),FALSE)</f>
        <v>0</v>
      </c>
      <c r="N890" s="32"/>
    </row>
    <row r="891">
      <c r="A891" s="32"/>
      <c r="B891" s="32"/>
      <c r="C891" s="32"/>
      <c r="D891" s="32"/>
      <c r="E891" s="32"/>
      <c r="F891" s="32"/>
      <c r="G891" s="32"/>
      <c r="H891" s="32"/>
      <c r="I891" s="32"/>
      <c r="J891" s="32" t="b">
        <f>IFERROR(__xludf.DUMMYFUNCTION("""COMPUTED_VALUE"""),FALSE)</f>
        <v>0</v>
      </c>
      <c r="K891" s="32"/>
      <c r="L891" s="32" t="b">
        <f>IFERROR(__xludf.DUMMYFUNCTION("""COMPUTED_VALUE"""),FALSE)</f>
        <v>0</v>
      </c>
      <c r="M891" s="32" t="b">
        <f>IFERROR(__xludf.DUMMYFUNCTION("""COMPUTED_VALUE"""),FALSE)</f>
        <v>0</v>
      </c>
      <c r="N891" s="32"/>
    </row>
    <row r="892">
      <c r="A892" s="32"/>
      <c r="B892" s="32"/>
      <c r="C892" s="32"/>
      <c r="D892" s="32"/>
      <c r="E892" s="32"/>
      <c r="F892" s="32"/>
      <c r="G892" s="32"/>
      <c r="H892" s="32"/>
      <c r="I892" s="32"/>
      <c r="J892" s="32" t="b">
        <f>IFERROR(__xludf.DUMMYFUNCTION("""COMPUTED_VALUE"""),FALSE)</f>
        <v>0</v>
      </c>
      <c r="K892" s="32"/>
      <c r="L892" s="32" t="b">
        <f>IFERROR(__xludf.DUMMYFUNCTION("""COMPUTED_VALUE"""),FALSE)</f>
        <v>0</v>
      </c>
      <c r="M892" s="32" t="b">
        <f>IFERROR(__xludf.DUMMYFUNCTION("""COMPUTED_VALUE"""),FALSE)</f>
        <v>0</v>
      </c>
      <c r="N892" s="32"/>
    </row>
    <row r="893">
      <c r="A893" s="32"/>
      <c r="B893" s="32"/>
      <c r="C893" s="32"/>
      <c r="D893" s="32"/>
      <c r="E893" s="32"/>
      <c r="F893" s="32"/>
      <c r="G893" s="32"/>
      <c r="H893" s="32"/>
      <c r="I893" s="32"/>
      <c r="J893" s="32" t="b">
        <f>IFERROR(__xludf.DUMMYFUNCTION("""COMPUTED_VALUE"""),FALSE)</f>
        <v>0</v>
      </c>
      <c r="K893" s="32"/>
      <c r="L893" s="32" t="b">
        <f>IFERROR(__xludf.DUMMYFUNCTION("""COMPUTED_VALUE"""),FALSE)</f>
        <v>0</v>
      </c>
      <c r="M893" s="32" t="b">
        <f>IFERROR(__xludf.DUMMYFUNCTION("""COMPUTED_VALUE"""),FALSE)</f>
        <v>0</v>
      </c>
      <c r="N893" s="32"/>
    </row>
    <row r="894">
      <c r="A894" s="32"/>
      <c r="B894" s="32"/>
      <c r="C894" s="32"/>
      <c r="D894" s="32"/>
      <c r="E894" s="32"/>
      <c r="F894" s="32"/>
      <c r="G894" s="32"/>
      <c r="H894" s="32"/>
      <c r="I894" s="32"/>
      <c r="J894" s="32" t="b">
        <f>IFERROR(__xludf.DUMMYFUNCTION("""COMPUTED_VALUE"""),FALSE)</f>
        <v>0</v>
      </c>
      <c r="K894" s="32"/>
      <c r="L894" s="32" t="b">
        <f>IFERROR(__xludf.DUMMYFUNCTION("""COMPUTED_VALUE"""),FALSE)</f>
        <v>0</v>
      </c>
      <c r="M894" s="32" t="b">
        <f>IFERROR(__xludf.DUMMYFUNCTION("""COMPUTED_VALUE"""),FALSE)</f>
        <v>0</v>
      </c>
      <c r="N894" s="32"/>
    </row>
    <row r="895">
      <c r="A895" s="32"/>
      <c r="B895" s="32"/>
      <c r="C895" s="32"/>
      <c r="D895" s="32"/>
      <c r="E895" s="32"/>
      <c r="F895" s="32"/>
      <c r="G895" s="32"/>
      <c r="H895" s="32"/>
      <c r="I895" s="32"/>
      <c r="J895" s="32" t="b">
        <f>IFERROR(__xludf.DUMMYFUNCTION("""COMPUTED_VALUE"""),FALSE)</f>
        <v>0</v>
      </c>
      <c r="K895" s="32"/>
      <c r="L895" s="32" t="b">
        <f>IFERROR(__xludf.DUMMYFUNCTION("""COMPUTED_VALUE"""),FALSE)</f>
        <v>0</v>
      </c>
      <c r="M895" s="32" t="b">
        <f>IFERROR(__xludf.DUMMYFUNCTION("""COMPUTED_VALUE"""),FALSE)</f>
        <v>0</v>
      </c>
      <c r="N895" s="32"/>
    </row>
    <row r="896">
      <c r="A896" s="32"/>
      <c r="B896" s="32"/>
      <c r="C896" s="32"/>
      <c r="D896" s="32"/>
      <c r="E896" s="32"/>
      <c r="F896" s="32"/>
      <c r="G896" s="32"/>
      <c r="H896" s="32"/>
      <c r="I896" s="32"/>
      <c r="J896" s="32" t="b">
        <f>IFERROR(__xludf.DUMMYFUNCTION("""COMPUTED_VALUE"""),FALSE)</f>
        <v>0</v>
      </c>
      <c r="K896" s="32"/>
      <c r="L896" s="32" t="b">
        <f>IFERROR(__xludf.DUMMYFUNCTION("""COMPUTED_VALUE"""),FALSE)</f>
        <v>0</v>
      </c>
      <c r="M896" s="32" t="b">
        <f>IFERROR(__xludf.DUMMYFUNCTION("""COMPUTED_VALUE"""),FALSE)</f>
        <v>0</v>
      </c>
      <c r="N896" s="32"/>
    </row>
    <row r="897">
      <c r="A897" s="32"/>
      <c r="B897" s="32"/>
      <c r="C897" s="32"/>
      <c r="D897" s="32"/>
      <c r="E897" s="32"/>
      <c r="F897" s="32"/>
      <c r="G897" s="32"/>
      <c r="H897" s="32"/>
      <c r="I897" s="32"/>
      <c r="J897" s="32" t="b">
        <f>IFERROR(__xludf.DUMMYFUNCTION("""COMPUTED_VALUE"""),FALSE)</f>
        <v>0</v>
      </c>
      <c r="K897" s="32"/>
      <c r="L897" s="32" t="b">
        <f>IFERROR(__xludf.DUMMYFUNCTION("""COMPUTED_VALUE"""),FALSE)</f>
        <v>0</v>
      </c>
      <c r="M897" s="32" t="b">
        <f>IFERROR(__xludf.DUMMYFUNCTION("""COMPUTED_VALUE"""),FALSE)</f>
        <v>0</v>
      </c>
      <c r="N897" s="32"/>
    </row>
    <row r="898">
      <c r="A898" s="32"/>
      <c r="B898" s="32"/>
      <c r="C898" s="32"/>
      <c r="D898" s="32"/>
      <c r="E898" s="32"/>
      <c r="F898" s="32"/>
      <c r="G898" s="32"/>
      <c r="H898" s="32"/>
      <c r="I898" s="32"/>
      <c r="J898" s="32" t="b">
        <f>IFERROR(__xludf.DUMMYFUNCTION("""COMPUTED_VALUE"""),FALSE)</f>
        <v>0</v>
      </c>
      <c r="K898" s="32"/>
      <c r="L898" s="32" t="b">
        <f>IFERROR(__xludf.DUMMYFUNCTION("""COMPUTED_VALUE"""),FALSE)</f>
        <v>0</v>
      </c>
      <c r="M898" s="32" t="b">
        <f>IFERROR(__xludf.DUMMYFUNCTION("""COMPUTED_VALUE"""),FALSE)</f>
        <v>0</v>
      </c>
      <c r="N898" s="32"/>
    </row>
    <row r="899">
      <c r="A899" s="32"/>
      <c r="B899" s="32"/>
      <c r="C899" s="32"/>
      <c r="D899" s="32"/>
      <c r="E899" s="32"/>
      <c r="F899" s="32"/>
      <c r="G899" s="32"/>
      <c r="H899" s="32"/>
      <c r="I899" s="32"/>
      <c r="J899" s="32" t="b">
        <f>IFERROR(__xludf.DUMMYFUNCTION("""COMPUTED_VALUE"""),FALSE)</f>
        <v>0</v>
      </c>
      <c r="K899" s="32"/>
      <c r="L899" s="32" t="b">
        <f>IFERROR(__xludf.DUMMYFUNCTION("""COMPUTED_VALUE"""),FALSE)</f>
        <v>0</v>
      </c>
      <c r="M899" s="32" t="b">
        <f>IFERROR(__xludf.DUMMYFUNCTION("""COMPUTED_VALUE"""),FALSE)</f>
        <v>0</v>
      </c>
      <c r="N899" s="32"/>
    </row>
    <row r="900">
      <c r="A900" s="32"/>
      <c r="B900" s="32"/>
      <c r="C900" s="32"/>
      <c r="D900" s="32"/>
      <c r="E900" s="32"/>
      <c r="F900" s="32"/>
      <c r="G900" s="32"/>
      <c r="H900" s="32"/>
      <c r="I900" s="32"/>
      <c r="J900" s="32" t="b">
        <f>IFERROR(__xludf.DUMMYFUNCTION("""COMPUTED_VALUE"""),FALSE)</f>
        <v>0</v>
      </c>
      <c r="K900" s="32"/>
      <c r="L900" s="32" t="b">
        <f>IFERROR(__xludf.DUMMYFUNCTION("""COMPUTED_VALUE"""),FALSE)</f>
        <v>0</v>
      </c>
      <c r="M900" s="32" t="b">
        <f>IFERROR(__xludf.DUMMYFUNCTION("""COMPUTED_VALUE"""),FALSE)</f>
        <v>0</v>
      </c>
      <c r="N900" s="32"/>
    </row>
    <row r="901">
      <c r="A901" s="32"/>
      <c r="B901" s="32"/>
      <c r="C901" s="32"/>
      <c r="D901" s="32"/>
      <c r="E901" s="32"/>
      <c r="F901" s="32"/>
      <c r="G901" s="32"/>
      <c r="H901" s="32"/>
      <c r="I901" s="32"/>
      <c r="J901" s="32" t="b">
        <f>IFERROR(__xludf.DUMMYFUNCTION("""COMPUTED_VALUE"""),FALSE)</f>
        <v>0</v>
      </c>
      <c r="K901" s="32"/>
      <c r="L901" s="32" t="b">
        <f>IFERROR(__xludf.DUMMYFUNCTION("""COMPUTED_VALUE"""),FALSE)</f>
        <v>0</v>
      </c>
      <c r="M901" s="32" t="b">
        <f>IFERROR(__xludf.DUMMYFUNCTION("""COMPUTED_VALUE"""),FALSE)</f>
        <v>0</v>
      </c>
      <c r="N901" s="32"/>
    </row>
    <row r="902">
      <c r="A902" s="32"/>
      <c r="B902" s="32"/>
      <c r="C902" s="32"/>
      <c r="D902" s="32"/>
      <c r="E902" s="32"/>
      <c r="F902" s="32"/>
      <c r="G902" s="32"/>
      <c r="H902" s="32"/>
      <c r="I902" s="32"/>
      <c r="J902" s="32" t="b">
        <f>IFERROR(__xludf.DUMMYFUNCTION("""COMPUTED_VALUE"""),FALSE)</f>
        <v>0</v>
      </c>
      <c r="K902" s="32"/>
      <c r="L902" s="32" t="b">
        <f>IFERROR(__xludf.DUMMYFUNCTION("""COMPUTED_VALUE"""),FALSE)</f>
        <v>0</v>
      </c>
      <c r="M902" s="32" t="b">
        <f>IFERROR(__xludf.DUMMYFUNCTION("""COMPUTED_VALUE"""),FALSE)</f>
        <v>0</v>
      </c>
      <c r="N902" s="32"/>
    </row>
    <row r="903">
      <c r="A903" s="32"/>
      <c r="B903" s="32"/>
      <c r="C903" s="32"/>
      <c r="D903" s="32"/>
      <c r="E903" s="32"/>
      <c r="F903" s="32"/>
      <c r="G903" s="32"/>
      <c r="H903" s="32"/>
      <c r="I903" s="32"/>
      <c r="J903" s="32" t="b">
        <f>IFERROR(__xludf.DUMMYFUNCTION("""COMPUTED_VALUE"""),FALSE)</f>
        <v>0</v>
      </c>
      <c r="K903" s="32"/>
      <c r="L903" s="32" t="b">
        <f>IFERROR(__xludf.DUMMYFUNCTION("""COMPUTED_VALUE"""),FALSE)</f>
        <v>0</v>
      </c>
      <c r="M903" s="32" t="b">
        <f>IFERROR(__xludf.DUMMYFUNCTION("""COMPUTED_VALUE"""),FALSE)</f>
        <v>0</v>
      </c>
      <c r="N903" s="32"/>
    </row>
    <row r="904">
      <c r="A904" s="32"/>
      <c r="B904" s="32"/>
      <c r="C904" s="32"/>
      <c r="D904" s="32"/>
      <c r="E904" s="32"/>
      <c r="F904" s="32"/>
      <c r="G904" s="32"/>
      <c r="H904" s="32"/>
      <c r="I904" s="32"/>
      <c r="J904" s="32" t="b">
        <f>IFERROR(__xludf.DUMMYFUNCTION("""COMPUTED_VALUE"""),FALSE)</f>
        <v>0</v>
      </c>
      <c r="K904" s="32"/>
      <c r="L904" s="32" t="b">
        <f>IFERROR(__xludf.DUMMYFUNCTION("""COMPUTED_VALUE"""),FALSE)</f>
        <v>0</v>
      </c>
      <c r="M904" s="32" t="b">
        <f>IFERROR(__xludf.DUMMYFUNCTION("""COMPUTED_VALUE"""),FALSE)</f>
        <v>0</v>
      </c>
      <c r="N904" s="32"/>
    </row>
    <row r="905">
      <c r="A905" s="32"/>
      <c r="B905" s="32"/>
      <c r="C905" s="32"/>
      <c r="D905" s="32"/>
      <c r="E905" s="32"/>
      <c r="F905" s="32"/>
      <c r="G905" s="32"/>
      <c r="H905" s="32"/>
      <c r="I905" s="32"/>
      <c r="J905" s="32" t="b">
        <f>IFERROR(__xludf.DUMMYFUNCTION("""COMPUTED_VALUE"""),FALSE)</f>
        <v>0</v>
      </c>
      <c r="K905" s="32"/>
      <c r="L905" s="32" t="b">
        <f>IFERROR(__xludf.DUMMYFUNCTION("""COMPUTED_VALUE"""),FALSE)</f>
        <v>0</v>
      </c>
      <c r="M905" s="32" t="b">
        <f>IFERROR(__xludf.DUMMYFUNCTION("""COMPUTED_VALUE"""),FALSE)</f>
        <v>0</v>
      </c>
      <c r="N905" s="32"/>
    </row>
    <row r="906">
      <c r="A906" s="32"/>
      <c r="B906" s="32"/>
      <c r="C906" s="32"/>
      <c r="D906" s="32"/>
      <c r="E906" s="32"/>
      <c r="F906" s="32"/>
      <c r="G906" s="32"/>
      <c r="H906" s="32"/>
      <c r="I906" s="32"/>
      <c r="J906" s="32" t="b">
        <f>IFERROR(__xludf.DUMMYFUNCTION("""COMPUTED_VALUE"""),FALSE)</f>
        <v>0</v>
      </c>
      <c r="K906" s="32"/>
      <c r="L906" s="32" t="b">
        <f>IFERROR(__xludf.DUMMYFUNCTION("""COMPUTED_VALUE"""),FALSE)</f>
        <v>0</v>
      </c>
      <c r="M906" s="32" t="b">
        <f>IFERROR(__xludf.DUMMYFUNCTION("""COMPUTED_VALUE"""),FALSE)</f>
        <v>0</v>
      </c>
      <c r="N906" s="32"/>
    </row>
    <row r="907">
      <c r="A907" s="32"/>
      <c r="B907" s="32"/>
      <c r="C907" s="32"/>
      <c r="D907" s="32"/>
      <c r="E907" s="32"/>
      <c r="F907" s="32"/>
      <c r="G907" s="32"/>
      <c r="H907" s="32"/>
      <c r="I907" s="32"/>
      <c r="J907" s="32" t="b">
        <f>IFERROR(__xludf.DUMMYFUNCTION("""COMPUTED_VALUE"""),FALSE)</f>
        <v>0</v>
      </c>
      <c r="K907" s="32"/>
      <c r="L907" s="32" t="b">
        <f>IFERROR(__xludf.DUMMYFUNCTION("""COMPUTED_VALUE"""),FALSE)</f>
        <v>0</v>
      </c>
      <c r="M907" s="32" t="b">
        <f>IFERROR(__xludf.DUMMYFUNCTION("""COMPUTED_VALUE"""),FALSE)</f>
        <v>0</v>
      </c>
      <c r="N907" s="32"/>
    </row>
    <row r="908">
      <c r="A908" s="32"/>
      <c r="B908" s="32"/>
      <c r="C908" s="32"/>
      <c r="D908" s="32"/>
      <c r="E908" s="32"/>
      <c r="F908" s="32"/>
      <c r="G908" s="32"/>
      <c r="H908" s="32"/>
      <c r="I908" s="32"/>
      <c r="J908" s="32" t="b">
        <f>IFERROR(__xludf.DUMMYFUNCTION("""COMPUTED_VALUE"""),FALSE)</f>
        <v>0</v>
      </c>
      <c r="K908" s="32"/>
      <c r="L908" s="32" t="b">
        <f>IFERROR(__xludf.DUMMYFUNCTION("""COMPUTED_VALUE"""),FALSE)</f>
        <v>0</v>
      </c>
      <c r="M908" s="32" t="b">
        <f>IFERROR(__xludf.DUMMYFUNCTION("""COMPUTED_VALUE"""),FALSE)</f>
        <v>0</v>
      </c>
      <c r="N908" s="32"/>
    </row>
    <row r="909">
      <c r="A909" s="32"/>
      <c r="B909" s="32"/>
      <c r="C909" s="32"/>
      <c r="D909" s="32"/>
      <c r="E909" s="32"/>
      <c r="F909" s="32"/>
      <c r="G909" s="32"/>
      <c r="H909" s="32"/>
      <c r="I909" s="32"/>
      <c r="J909" s="32" t="b">
        <f>IFERROR(__xludf.DUMMYFUNCTION("""COMPUTED_VALUE"""),FALSE)</f>
        <v>0</v>
      </c>
      <c r="K909" s="32"/>
      <c r="L909" s="32" t="b">
        <f>IFERROR(__xludf.DUMMYFUNCTION("""COMPUTED_VALUE"""),FALSE)</f>
        <v>0</v>
      </c>
      <c r="M909" s="32" t="b">
        <f>IFERROR(__xludf.DUMMYFUNCTION("""COMPUTED_VALUE"""),FALSE)</f>
        <v>0</v>
      </c>
      <c r="N909" s="32"/>
    </row>
    <row r="910">
      <c r="A910" s="32"/>
      <c r="B910" s="32"/>
      <c r="C910" s="32"/>
      <c r="D910" s="32"/>
      <c r="E910" s="32"/>
      <c r="F910" s="32"/>
      <c r="G910" s="32"/>
      <c r="H910" s="32"/>
      <c r="I910" s="32"/>
      <c r="J910" s="32" t="b">
        <f>IFERROR(__xludf.DUMMYFUNCTION("""COMPUTED_VALUE"""),FALSE)</f>
        <v>0</v>
      </c>
      <c r="K910" s="32"/>
      <c r="L910" s="32" t="b">
        <f>IFERROR(__xludf.DUMMYFUNCTION("""COMPUTED_VALUE"""),FALSE)</f>
        <v>0</v>
      </c>
      <c r="M910" s="32" t="b">
        <f>IFERROR(__xludf.DUMMYFUNCTION("""COMPUTED_VALUE"""),FALSE)</f>
        <v>0</v>
      </c>
      <c r="N910" s="32"/>
    </row>
    <row r="911">
      <c r="A911" s="32"/>
      <c r="B911" s="32"/>
      <c r="C911" s="32"/>
      <c r="D911" s="32"/>
      <c r="E911" s="32"/>
      <c r="F911" s="32"/>
      <c r="G911" s="32"/>
      <c r="H911" s="32"/>
      <c r="I911" s="32"/>
      <c r="J911" s="32" t="b">
        <f>IFERROR(__xludf.DUMMYFUNCTION("""COMPUTED_VALUE"""),FALSE)</f>
        <v>0</v>
      </c>
      <c r="K911" s="32"/>
      <c r="L911" s="32" t="b">
        <f>IFERROR(__xludf.DUMMYFUNCTION("""COMPUTED_VALUE"""),FALSE)</f>
        <v>0</v>
      </c>
      <c r="M911" s="32" t="b">
        <f>IFERROR(__xludf.DUMMYFUNCTION("""COMPUTED_VALUE"""),FALSE)</f>
        <v>0</v>
      </c>
      <c r="N911" s="32"/>
    </row>
    <row r="912">
      <c r="A912" s="32"/>
      <c r="B912" s="32"/>
      <c r="C912" s="32"/>
      <c r="D912" s="32"/>
      <c r="E912" s="32"/>
      <c r="F912" s="32"/>
      <c r="G912" s="32"/>
      <c r="H912" s="32"/>
      <c r="I912" s="32"/>
      <c r="J912" s="32" t="b">
        <f>IFERROR(__xludf.DUMMYFUNCTION("""COMPUTED_VALUE"""),FALSE)</f>
        <v>0</v>
      </c>
      <c r="K912" s="32"/>
      <c r="L912" s="32" t="b">
        <f>IFERROR(__xludf.DUMMYFUNCTION("""COMPUTED_VALUE"""),FALSE)</f>
        <v>0</v>
      </c>
      <c r="M912" s="32" t="b">
        <f>IFERROR(__xludf.DUMMYFUNCTION("""COMPUTED_VALUE"""),FALSE)</f>
        <v>0</v>
      </c>
      <c r="N912" s="32"/>
    </row>
    <row r="913">
      <c r="A913" s="32"/>
      <c r="B913" s="32"/>
      <c r="C913" s="32"/>
      <c r="D913" s="32"/>
      <c r="E913" s="32"/>
      <c r="F913" s="32"/>
      <c r="G913" s="32"/>
      <c r="H913" s="32"/>
      <c r="I913" s="32"/>
      <c r="J913" s="32" t="b">
        <f>IFERROR(__xludf.DUMMYFUNCTION("""COMPUTED_VALUE"""),FALSE)</f>
        <v>0</v>
      </c>
      <c r="K913" s="32"/>
      <c r="L913" s="32" t="b">
        <f>IFERROR(__xludf.DUMMYFUNCTION("""COMPUTED_VALUE"""),FALSE)</f>
        <v>0</v>
      </c>
      <c r="M913" s="32" t="b">
        <f>IFERROR(__xludf.DUMMYFUNCTION("""COMPUTED_VALUE"""),FALSE)</f>
        <v>0</v>
      </c>
      <c r="N913" s="32"/>
    </row>
    <row r="914">
      <c r="A914" s="32"/>
      <c r="B914" s="32"/>
      <c r="C914" s="32"/>
      <c r="D914" s="32"/>
      <c r="E914" s="32"/>
      <c r="F914" s="32"/>
      <c r="G914" s="32"/>
      <c r="H914" s="32"/>
      <c r="I914" s="32"/>
      <c r="J914" s="32" t="b">
        <f>IFERROR(__xludf.DUMMYFUNCTION("""COMPUTED_VALUE"""),FALSE)</f>
        <v>0</v>
      </c>
      <c r="K914" s="32"/>
      <c r="L914" s="32" t="b">
        <f>IFERROR(__xludf.DUMMYFUNCTION("""COMPUTED_VALUE"""),FALSE)</f>
        <v>0</v>
      </c>
      <c r="M914" s="32" t="b">
        <f>IFERROR(__xludf.DUMMYFUNCTION("""COMPUTED_VALUE"""),FALSE)</f>
        <v>0</v>
      </c>
      <c r="N914" s="32"/>
    </row>
    <row r="915">
      <c r="A915" s="32"/>
      <c r="B915" s="32"/>
      <c r="C915" s="32"/>
      <c r="D915" s="32"/>
      <c r="E915" s="32"/>
      <c r="F915" s="32"/>
      <c r="G915" s="32"/>
      <c r="H915" s="32"/>
      <c r="I915" s="32"/>
      <c r="J915" s="32" t="b">
        <f>IFERROR(__xludf.DUMMYFUNCTION("""COMPUTED_VALUE"""),FALSE)</f>
        <v>0</v>
      </c>
      <c r="K915" s="32"/>
      <c r="L915" s="32" t="b">
        <f>IFERROR(__xludf.DUMMYFUNCTION("""COMPUTED_VALUE"""),FALSE)</f>
        <v>0</v>
      </c>
      <c r="M915" s="32" t="b">
        <f>IFERROR(__xludf.DUMMYFUNCTION("""COMPUTED_VALUE"""),FALSE)</f>
        <v>0</v>
      </c>
      <c r="N915" s="32"/>
    </row>
    <row r="916">
      <c r="A916" s="32"/>
      <c r="B916" s="32"/>
      <c r="C916" s="32"/>
      <c r="D916" s="32"/>
      <c r="E916" s="32"/>
      <c r="F916" s="32"/>
      <c r="G916" s="32"/>
      <c r="H916" s="32"/>
      <c r="I916" s="32"/>
      <c r="J916" s="32" t="b">
        <f>IFERROR(__xludf.DUMMYFUNCTION("""COMPUTED_VALUE"""),FALSE)</f>
        <v>0</v>
      </c>
      <c r="K916" s="32"/>
      <c r="L916" s="32" t="b">
        <f>IFERROR(__xludf.DUMMYFUNCTION("""COMPUTED_VALUE"""),FALSE)</f>
        <v>0</v>
      </c>
      <c r="M916" s="32" t="b">
        <f>IFERROR(__xludf.DUMMYFUNCTION("""COMPUTED_VALUE"""),FALSE)</f>
        <v>0</v>
      </c>
      <c r="N916" s="32"/>
    </row>
    <row r="917">
      <c r="A917" s="32"/>
      <c r="B917" s="32"/>
      <c r="C917" s="32"/>
      <c r="D917" s="32"/>
      <c r="E917" s="32"/>
      <c r="F917" s="32"/>
      <c r="G917" s="32"/>
      <c r="H917" s="32"/>
      <c r="I917" s="32"/>
      <c r="J917" s="32" t="b">
        <f>IFERROR(__xludf.DUMMYFUNCTION("""COMPUTED_VALUE"""),FALSE)</f>
        <v>0</v>
      </c>
      <c r="K917" s="32"/>
      <c r="L917" s="32" t="b">
        <f>IFERROR(__xludf.DUMMYFUNCTION("""COMPUTED_VALUE"""),FALSE)</f>
        <v>0</v>
      </c>
      <c r="M917" s="32" t="b">
        <f>IFERROR(__xludf.DUMMYFUNCTION("""COMPUTED_VALUE"""),FALSE)</f>
        <v>0</v>
      </c>
      <c r="N917" s="32"/>
    </row>
    <row r="918">
      <c r="A918" s="32"/>
      <c r="B918" s="32"/>
      <c r="C918" s="32"/>
      <c r="D918" s="32"/>
      <c r="E918" s="32"/>
      <c r="F918" s="32"/>
      <c r="G918" s="32"/>
      <c r="H918" s="32"/>
      <c r="I918" s="32"/>
      <c r="J918" s="32" t="b">
        <f>IFERROR(__xludf.DUMMYFUNCTION("""COMPUTED_VALUE"""),FALSE)</f>
        <v>0</v>
      </c>
      <c r="K918" s="32"/>
      <c r="L918" s="32" t="b">
        <f>IFERROR(__xludf.DUMMYFUNCTION("""COMPUTED_VALUE"""),FALSE)</f>
        <v>0</v>
      </c>
      <c r="M918" s="32" t="b">
        <f>IFERROR(__xludf.DUMMYFUNCTION("""COMPUTED_VALUE"""),FALSE)</f>
        <v>0</v>
      </c>
      <c r="N918" s="32"/>
    </row>
    <row r="919">
      <c r="A919" s="32"/>
      <c r="B919" s="32"/>
      <c r="C919" s="32"/>
      <c r="D919" s="32"/>
      <c r="E919" s="32"/>
      <c r="F919" s="32"/>
      <c r="G919" s="32"/>
      <c r="H919" s="32"/>
      <c r="I919" s="32"/>
      <c r="J919" s="32" t="b">
        <f>IFERROR(__xludf.DUMMYFUNCTION("""COMPUTED_VALUE"""),FALSE)</f>
        <v>0</v>
      </c>
      <c r="K919" s="32"/>
      <c r="L919" s="32" t="b">
        <f>IFERROR(__xludf.DUMMYFUNCTION("""COMPUTED_VALUE"""),FALSE)</f>
        <v>0</v>
      </c>
      <c r="M919" s="32" t="b">
        <f>IFERROR(__xludf.DUMMYFUNCTION("""COMPUTED_VALUE"""),FALSE)</f>
        <v>0</v>
      </c>
      <c r="N919" s="32"/>
    </row>
    <row r="920">
      <c r="A920" s="32"/>
      <c r="B920" s="32"/>
      <c r="C920" s="32"/>
      <c r="D920" s="32"/>
      <c r="E920" s="32"/>
      <c r="F920" s="32"/>
      <c r="G920" s="32"/>
      <c r="H920" s="32"/>
      <c r="I920" s="32"/>
      <c r="J920" s="32" t="b">
        <f>IFERROR(__xludf.DUMMYFUNCTION("""COMPUTED_VALUE"""),FALSE)</f>
        <v>0</v>
      </c>
      <c r="K920" s="32"/>
      <c r="L920" s="32" t="b">
        <f>IFERROR(__xludf.DUMMYFUNCTION("""COMPUTED_VALUE"""),FALSE)</f>
        <v>0</v>
      </c>
      <c r="M920" s="32" t="b">
        <f>IFERROR(__xludf.DUMMYFUNCTION("""COMPUTED_VALUE"""),FALSE)</f>
        <v>0</v>
      </c>
      <c r="N920" s="32"/>
    </row>
    <row r="921">
      <c r="A921" s="32"/>
      <c r="B921" s="32"/>
      <c r="C921" s="32"/>
      <c r="D921" s="32"/>
      <c r="E921" s="32"/>
      <c r="F921" s="32"/>
      <c r="G921" s="32"/>
      <c r="H921" s="32"/>
      <c r="I921" s="32"/>
      <c r="J921" s="32" t="b">
        <f>IFERROR(__xludf.DUMMYFUNCTION("""COMPUTED_VALUE"""),FALSE)</f>
        <v>0</v>
      </c>
      <c r="K921" s="32"/>
      <c r="L921" s="32" t="b">
        <f>IFERROR(__xludf.DUMMYFUNCTION("""COMPUTED_VALUE"""),FALSE)</f>
        <v>0</v>
      </c>
      <c r="M921" s="32" t="b">
        <f>IFERROR(__xludf.DUMMYFUNCTION("""COMPUTED_VALUE"""),FALSE)</f>
        <v>0</v>
      </c>
      <c r="N921" s="32"/>
    </row>
    <row r="922">
      <c r="A922" s="32"/>
      <c r="B922" s="32"/>
      <c r="C922" s="32"/>
      <c r="D922" s="32"/>
      <c r="E922" s="32"/>
      <c r="F922" s="32"/>
      <c r="G922" s="32"/>
      <c r="H922" s="32"/>
      <c r="I922" s="32"/>
      <c r="J922" s="32" t="b">
        <f>IFERROR(__xludf.DUMMYFUNCTION("""COMPUTED_VALUE"""),FALSE)</f>
        <v>0</v>
      </c>
      <c r="K922" s="32"/>
      <c r="L922" s="32" t="b">
        <f>IFERROR(__xludf.DUMMYFUNCTION("""COMPUTED_VALUE"""),FALSE)</f>
        <v>0</v>
      </c>
      <c r="M922" s="32" t="b">
        <f>IFERROR(__xludf.DUMMYFUNCTION("""COMPUTED_VALUE"""),FALSE)</f>
        <v>0</v>
      </c>
      <c r="N922" s="32"/>
    </row>
    <row r="923">
      <c r="A923" s="32"/>
      <c r="B923" s="32"/>
      <c r="C923" s="32"/>
      <c r="D923" s="32"/>
      <c r="E923" s="32"/>
      <c r="F923" s="32"/>
      <c r="G923" s="32"/>
      <c r="H923" s="32"/>
      <c r="I923" s="32"/>
      <c r="J923" s="32" t="b">
        <f>IFERROR(__xludf.DUMMYFUNCTION("""COMPUTED_VALUE"""),FALSE)</f>
        <v>0</v>
      </c>
      <c r="K923" s="32"/>
      <c r="L923" s="32" t="b">
        <f>IFERROR(__xludf.DUMMYFUNCTION("""COMPUTED_VALUE"""),FALSE)</f>
        <v>0</v>
      </c>
      <c r="M923" s="32" t="b">
        <f>IFERROR(__xludf.DUMMYFUNCTION("""COMPUTED_VALUE"""),FALSE)</f>
        <v>0</v>
      </c>
      <c r="N923" s="32"/>
    </row>
    <row r="924">
      <c r="A924" s="32"/>
      <c r="B924" s="32"/>
      <c r="C924" s="32"/>
      <c r="D924" s="32"/>
      <c r="E924" s="32"/>
      <c r="F924" s="32"/>
      <c r="G924" s="32"/>
      <c r="H924" s="32"/>
      <c r="I924" s="32"/>
      <c r="J924" s="32" t="b">
        <f>IFERROR(__xludf.DUMMYFUNCTION("""COMPUTED_VALUE"""),FALSE)</f>
        <v>0</v>
      </c>
      <c r="K924" s="32"/>
      <c r="L924" s="32" t="b">
        <f>IFERROR(__xludf.DUMMYFUNCTION("""COMPUTED_VALUE"""),FALSE)</f>
        <v>0</v>
      </c>
      <c r="M924" s="32" t="b">
        <f>IFERROR(__xludf.DUMMYFUNCTION("""COMPUTED_VALUE"""),FALSE)</f>
        <v>0</v>
      </c>
      <c r="N924" s="32"/>
    </row>
    <row r="925">
      <c r="A925" s="32"/>
      <c r="B925" s="32"/>
      <c r="C925" s="32"/>
      <c r="D925" s="32"/>
      <c r="E925" s="32"/>
      <c r="F925" s="32"/>
      <c r="G925" s="32"/>
      <c r="H925" s="32"/>
      <c r="I925" s="32"/>
      <c r="J925" s="32" t="b">
        <f>IFERROR(__xludf.DUMMYFUNCTION("""COMPUTED_VALUE"""),FALSE)</f>
        <v>0</v>
      </c>
      <c r="K925" s="32"/>
      <c r="L925" s="32" t="b">
        <f>IFERROR(__xludf.DUMMYFUNCTION("""COMPUTED_VALUE"""),FALSE)</f>
        <v>0</v>
      </c>
      <c r="M925" s="32" t="b">
        <f>IFERROR(__xludf.DUMMYFUNCTION("""COMPUTED_VALUE"""),FALSE)</f>
        <v>0</v>
      </c>
      <c r="N925" s="32"/>
    </row>
    <row r="926">
      <c r="A926" s="32"/>
      <c r="B926" s="32"/>
      <c r="C926" s="32"/>
      <c r="D926" s="32"/>
      <c r="E926" s="32"/>
      <c r="F926" s="32"/>
      <c r="G926" s="32"/>
      <c r="H926" s="32"/>
      <c r="I926" s="32"/>
      <c r="J926" s="32" t="b">
        <f>IFERROR(__xludf.DUMMYFUNCTION("""COMPUTED_VALUE"""),FALSE)</f>
        <v>0</v>
      </c>
      <c r="K926" s="32"/>
      <c r="L926" s="32" t="b">
        <f>IFERROR(__xludf.DUMMYFUNCTION("""COMPUTED_VALUE"""),FALSE)</f>
        <v>0</v>
      </c>
      <c r="M926" s="32" t="b">
        <f>IFERROR(__xludf.DUMMYFUNCTION("""COMPUTED_VALUE"""),FALSE)</f>
        <v>0</v>
      </c>
      <c r="N926" s="32"/>
    </row>
    <row r="927">
      <c r="A927" s="32"/>
      <c r="B927" s="32"/>
      <c r="C927" s="32"/>
      <c r="D927" s="32"/>
      <c r="E927" s="32"/>
      <c r="F927" s="32"/>
      <c r="G927" s="32"/>
      <c r="H927" s="32"/>
      <c r="I927" s="32"/>
      <c r="J927" s="32" t="b">
        <f>IFERROR(__xludf.DUMMYFUNCTION("""COMPUTED_VALUE"""),FALSE)</f>
        <v>0</v>
      </c>
      <c r="K927" s="32"/>
      <c r="L927" s="32" t="b">
        <f>IFERROR(__xludf.DUMMYFUNCTION("""COMPUTED_VALUE"""),FALSE)</f>
        <v>0</v>
      </c>
      <c r="M927" s="32" t="b">
        <f>IFERROR(__xludf.DUMMYFUNCTION("""COMPUTED_VALUE"""),FALSE)</f>
        <v>0</v>
      </c>
      <c r="N927" s="32"/>
    </row>
    <row r="928">
      <c r="A928" s="32"/>
      <c r="B928" s="32"/>
      <c r="C928" s="32"/>
      <c r="D928" s="32"/>
      <c r="E928" s="32"/>
      <c r="F928" s="32"/>
      <c r="G928" s="32"/>
      <c r="H928" s="32"/>
      <c r="I928" s="32"/>
      <c r="J928" s="32" t="b">
        <f>IFERROR(__xludf.DUMMYFUNCTION("""COMPUTED_VALUE"""),FALSE)</f>
        <v>0</v>
      </c>
      <c r="K928" s="32"/>
      <c r="L928" s="32" t="b">
        <f>IFERROR(__xludf.DUMMYFUNCTION("""COMPUTED_VALUE"""),FALSE)</f>
        <v>0</v>
      </c>
      <c r="M928" s="32" t="b">
        <f>IFERROR(__xludf.DUMMYFUNCTION("""COMPUTED_VALUE"""),FALSE)</f>
        <v>0</v>
      </c>
      <c r="N928" s="32"/>
    </row>
    <row r="929">
      <c r="A929" s="32"/>
      <c r="B929" s="32"/>
      <c r="C929" s="32"/>
      <c r="D929" s="32"/>
      <c r="E929" s="32"/>
      <c r="F929" s="32"/>
      <c r="G929" s="32"/>
      <c r="H929" s="32"/>
      <c r="I929" s="32"/>
      <c r="J929" s="32" t="b">
        <f>IFERROR(__xludf.DUMMYFUNCTION("""COMPUTED_VALUE"""),FALSE)</f>
        <v>0</v>
      </c>
      <c r="K929" s="32"/>
      <c r="L929" s="32" t="b">
        <f>IFERROR(__xludf.DUMMYFUNCTION("""COMPUTED_VALUE"""),FALSE)</f>
        <v>0</v>
      </c>
      <c r="M929" s="32" t="b">
        <f>IFERROR(__xludf.DUMMYFUNCTION("""COMPUTED_VALUE"""),FALSE)</f>
        <v>0</v>
      </c>
      <c r="N929" s="32"/>
    </row>
    <row r="930">
      <c r="A930" s="32"/>
      <c r="B930" s="32"/>
      <c r="C930" s="32"/>
      <c r="D930" s="32"/>
      <c r="E930" s="32"/>
      <c r="F930" s="32"/>
      <c r="G930" s="32"/>
      <c r="H930" s="32"/>
      <c r="I930" s="32"/>
      <c r="J930" s="32" t="b">
        <f>IFERROR(__xludf.DUMMYFUNCTION("""COMPUTED_VALUE"""),FALSE)</f>
        <v>0</v>
      </c>
      <c r="K930" s="32"/>
      <c r="L930" s="32" t="b">
        <f>IFERROR(__xludf.DUMMYFUNCTION("""COMPUTED_VALUE"""),FALSE)</f>
        <v>0</v>
      </c>
      <c r="M930" s="32" t="b">
        <f>IFERROR(__xludf.DUMMYFUNCTION("""COMPUTED_VALUE"""),FALSE)</f>
        <v>0</v>
      </c>
      <c r="N930" s="32"/>
    </row>
    <row r="931">
      <c r="A931" s="32"/>
      <c r="B931" s="32"/>
      <c r="C931" s="32"/>
      <c r="D931" s="32"/>
      <c r="E931" s="32"/>
      <c r="F931" s="32"/>
      <c r="G931" s="32"/>
      <c r="H931" s="32"/>
      <c r="I931" s="32"/>
      <c r="J931" s="32" t="b">
        <f>IFERROR(__xludf.DUMMYFUNCTION("""COMPUTED_VALUE"""),FALSE)</f>
        <v>0</v>
      </c>
      <c r="K931" s="32"/>
      <c r="L931" s="32" t="b">
        <f>IFERROR(__xludf.DUMMYFUNCTION("""COMPUTED_VALUE"""),FALSE)</f>
        <v>0</v>
      </c>
      <c r="M931" s="32" t="b">
        <f>IFERROR(__xludf.DUMMYFUNCTION("""COMPUTED_VALUE"""),FALSE)</f>
        <v>0</v>
      </c>
      <c r="N931" s="32"/>
    </row>
    <row r="932">
      <c r="A932" s="32"/>
      <c r="B932" s="32"/>
      <c r="C932" s="32"/>
      <c r="D932" s="32"/>
      <c r="E932" s="32"/>
      <c r="F932" s="32"/>
      <c r="G932" s="32"/>
      <c r="H932" s="32"/>
      <c r="I932" s="32"/>
      <c r="J932" s="32" t="b">
        <f>IFERROR(__xludf.DUMMYFUNCTION("""COMPUTED_VALUE"""),FALSE)</f>
        <v>0</v>
      </c>
      <c r="K932" s="32"/>
      <c r="L932" s="32" t="b">
        <f>IFERROR(__xludf.DUMMYFUNCTION("""COMPUTED_VALUE"""),FALSE)</f>
        <v>0</v>
      </c>
      <c r="M932" s="32" t="b">
        <f>IFERROR(__xludf.DUMMYFUNCTION("""COMPUTED_VALUE"""),FALSE)</f>
        <v>0</v>
      </c>
      <c r="N932" s="32"/>
    </row>
    <row r="933">
      <c r="A933" s="32"/>
      <c r="B933" s="32"/>
      <c r="C933" s="32"/>
      <c r="D933" s="32"/>
      <c r="E933" s="32"/>
      <c r="F933" s="32"/>
      <c r="G933" s="32"/>
      <c r="H933" s="32"/>
      <c r="I933" s="32"/>
      <c r="J933" s="32" t="b">
        <f>IFERROR(__xludf.DUMMYFUNCTION("""COMPUTED_VALUE"""),FALSE)</f>
        <v>0</v>
      </c>
      <c r="K933" s="32"/>
      <c r="L933" s="32" t="b">
        <f>IFERROR(__xludf.DUMMYFUNCTION("""COMPUTED_VALUE"""),FALSE)</f>
        <v>0</v>
      </c>
      <c r="M933" s="32" t="b">
        <f>IFERROR(__xludf.DUMMYFUNCTION("""COMPUTED_VALUE"""),FALSE)</f>
        <v>0</v>
      </c>
      <c r="N933" s="32"/>
    </row>
    <row r="934">
      <c r="A934" s="32"/>
      <c r="B934" s="32"/>
      <c r="C934" s="32"/>
      <c r="D934" s="32"/>
      <c r="E934" s="32"/>
      <c r="F934" s="32"/>
      <c r="G934" s="32"/>
      <c r="H934" s="32"/>
      <c r="I934" s="32"/>
      <c r="J934" s="32" t="b">
        <f>IFERROR(__xludf.DUMMYFUNCTION("""COMPUTED_VALUE"""),FALSE)</f>
        <v>0</v>
      </c>
      <c r="K934" s="32"/>
      <c r="L934" s="32" t="b">
        <f>IFERROR(__xludf.DUMMYFUNCTION("""COMPUTED_VALUE"""),FALSE)</f>
        <v>0</v>
      </c>
      <c r="M934" s="32" t="b">
        <f>IFERROR(__xludf.DUMMYFUNCTION("""COMPUTED_VALUE"""),FALSE)</f>
        <v>0</v>
      </c>
      <c r="N934" s="32"/>
    </row>
    <row r="935">
      <c r="A935" s="32"/>
      <c r="B935" s="32"/>
      <c r="C935" s="32"/>
      <c r="D935" s="32"/>
      <c r="E935" s="32"/>
      <c r="F935" s="32"/>
      <c r="G935" s="32"/>
      <c r="H935" s="32"/>
      <c r="I935" s="32"/>
      <c r="J935" s="32" t="b">
        <f>IFERROR(__xludf.DUMMYFUNCTION("""COMPUTED_VALUE"""),FALSE)</f>
        <v>0</v>
      </c>
      <c r="K935" s="32"/>
      <c r="L935" s="32" t="b">
        <f>IFERROR(__xludf.DUMMYFUNCTION("""COMPUTED_VALUE"""),FALSE)</f>
        <v>0</v>
      </c>
      <c r="M935" s="32" t="b">
        <f>IFERROR(__xludf.DUMMYFUNCTION("""COMPUTED_VALUE"""),FALSE)</f>
        <v>0</v>
      </c>
      <c r="N935" s="32"/>
    </row>
    <row r="936">
      <c r="A936" s="32"/>
      <c r="B936" s="32"/>
      <c r="C936" s="32"/>
      <c r="D936" s="32"/>
      <c r="E936" s="32"/>
      <c r="F936" s="32"/>
      <c r="G936" s="32"/>
      <c r="H936" s="32"/>
      <c r="I936" s="32"/>
      <c r="J936" s="32" t="b">
        <f>IFERROR(__xludf.DUMMYFUNCTION("""COMPUTED_VALUE"""),FALSE)</f>
        <v>0</v>
      </c>
      <c r="K936" s="32"/>
      <c r="L936" s="32" t="b">
        <f>IFERROR(__xludf.DUMMYFUNCTION("""COMPUTED_VALUE"""),FALSE)</f>
        <v>0</v>
      </c>
      <c r="M936" s="32" t="b">
        <f>IFERROR(__xludf.DUMMYFUNCTION("""COMPUTED_VALUE"""),FALSE)</f>
        <v>0</v>
      </c>
      <c r="N936" s="32"/>
    </row>
    <row r="937">
      <c r="A937" s="32"/>
      <c r="B937" s="32"/>
      <c r="C937" s="32"/>
      <c r="D937" s="32"/>
      <c r="E937" s="32"/>
      <c r="F937" s="32"/>
      <c r="G937" s="32"/>
      <c r="H937" s="32"/>
      <c r="I937" s="32"/>
      <c r="J937" s="32" t="b">
        <f>IFERROR(__xludf.DUMMYFUNCTION("""COMPUTED_VALUE"""),FALSE)</f>
        <v>0</v>
      </c>
      <c r="K937" s="32"/>
      <c r="L937" s="32" t="b">
        <f>IFERROR(__xludf.DUMMYFUNCTION("""COMPUTED_VALUE"""),FALSE)</f>
        <v>0</v>
      </c>
      <c r="M937" s="32" t="b">
        <f>IFERROR(__xludf.DUMMYFUNCTION("""COMPUTED_VALUE"""),FALSE)</f>
        <v>0</v>
      </c>
      <c r="N937" s="32"/>
    </row>
    <row r="938">
      <c r="A938" s="32"/>
      <c r="B938" s="32"/>
      <c r="C938" s="32"/>
      <c r="D938" s="32"/>
      <c r="E938" s="32"/>
      <c r="F938" s="32"/>
      <c r="G938" s="32"/>
      <c r="H938" s="32"/>
      <c r="I938" s="32"/>
      <c r="J938" s="32" t="b">
        <f>IFERROR(__xludf.DUMMYFUNCTION("""COMPUTED_VALUE"""),FALSE)</f>
        <v>0</v>
      </c>
      <c r="K938" s="32"/>
      <c r="L938" s="32" t="b">
        <f>IFERROR(__xludf.DUMMYFUNCTION("""COMPUTED_VALUE"""),FALSE)</f>
        <v>0</v>
      </c>
      <c r="M938" s="32" t="b">
        <f>IFERROR(__xludf.DUMMYFUNCTION("""COMPUTED_VALUE"""),FALSE)</f>
        <v>0</v>
      </c>
      <c r="N938" s="32"/>
    </row>
    <row r="939">
      <c r="A939" s="32"/>
      <c r="B939" s="32"/>
      <c r="C939" s="32"/>
      <c r="D939" s="32"/>
      <c r="E939" s="32"/>
      <c r="F939" s="32"/>
      <c r="G939" s="32"/>
      <c r="H939" s="32"/>
      <c r="I939" s="32"/>
      <c r="J939" s="32" t="b">
        <f>IFERROR(__xludf.DUMMYFUNCTION("""COMPUTED_VALUE"""),FALSE)</f>
        <v>0</v>
      </c>
      <c r="K939" s="32"/>
      <c r="L939" s="32" t="b">
        <f>IFERROR(__xludf.DUMMYFUNCTION("""COMPUTED_VALUE"""),FALSE)</f>
        <v>0</v>
      </c>
      <c r="M939" s="32" t="b">
        <f>IFERROR(__xludf.DUMMYFUNCTION("""COMPUTED_VALUE"""),FALSE)</f>
        <v>0</v>
      </c>
      <c r="N939" s="32"/>
    </row>
    <row r="940">
      <c r="A940" s="32"/>
      <c r="B940" s="32"/>
      <c r="C940" s="32"/>
      <c r="D940" s="32"/>
      <c r="E940" s="32"/>
      <c r="F940" s="32"/>
      <c r="G940" s="32"/>
      <c r="H940" s="32"/>
      <c r="I940" s="32"/>
      <c r="J940" s="32" t="b">
        <f>IFERROR(__xludf.DUMMYFUNCTION("""COMPUTED_VALUE"""),FALSE)</f>
        <v>0</v>
      </c>
      <c r="K940" s="32"/>
      <c r="L940" s="32" t="b">
        <f>IFERROR(__xludf.DUMMYFUNCTION("""COMPUTED_VALUE"""),FALSE)</f>
        <v>0</v>
      </c>
      <c r="M940" s="32" t="b">
        <f>IFERROR(__xludf.DUMMYFUNCTION("""COMPUTED_VALUE"""),FALSE)</f>
        <v>0</v>
      </c>
      <c r="N940" s="32"/>
    </row>
    <row r="941">
      <c r="A941" s="32"/>
      <c r="B941" s="32"/>
      <c r="C941" s="32"/>
      <c r="D941" s="32"/>
      <c r="E941" s="32"/>
      <c r="F941" s="32"/>
      <c r="G941" s="32"/>
      <c r="H941" s="32"/>
      <c r="I941" s="32"/>
      <c r="J941" s="32" t="b">
        <f>IFERROR(__xludf.DUMMYFUNCTION("""COMPUTED_VALUE"""),FALSE)</f>
        <v>0</v>
      </c>
      <c r="K941" s="32"/>
      <c r="L941" s="32" t="b">
        <f>IFERROR(__xludf.DUMMYFUNCTION("""COMPUTED_VALUE"""),FALSE)</f>
        <v>0</v>
      </c>
      <c r="M941" s="32" t="b">
        <f>IFERROR(__xludf.DUMMYFUNCTION("""COMPUTED_VALUE"""),FALSE)</f>
        <v>0</v>
      </c>
      <c r="N941" s="32"/>
    </row>
    <row r="942">
      <c r="A942" s="32"/>
      <c r="B942" s="32"/>
      <c r="C942" s="32"/>
      <c r="D942" s="32"/>
      <c r="E942" s="32"/>
      <c r="F942" s="32"/>
      <c r="G942" s="32"/>
      <c r="H942" s="32"/>
      <c r="I942" s="32"/>
      <c r="J942" s="32" t="b">
        <f>IFERROR(__xludf.DUMMYFUNCTION("""COMPUTED_VALUE"""),FALSE)</f>
        <v>0</v>
      </c>
      <c r="K942" s="32"/>
      <c r="L942" s="32" t="b">
        <f>IFERROR(__xludf.DUMMYFUNCTION("""COMPUTED_VALUE"""),FALSE)</f>
        <v>0</v>
      </c>
      <c r="M942" s="32" t="b">
        <f>IFERROR(__xludf.DUMMYFUNCTION("""COMPUTED_VALUE"""),FALSE)</f>
        <v>0</v>
      </c>
      <c r="N942" s="32"/>
    </row>
    <row r="943">
      <c r="A943" s="32"/>
      <c r="B943" s="32"/>
      <c r="C943" s="32"/>
      <c r="D943" s="32"/>
      <c r="E943" s="32"/>
      <c r="F943" s="32"/>
      <c r="G943" s="32"/>
      <c r="H943" s="32"/>
      <c r="I943" s="32"/>
      <c r="J943" s="32" t="b">
        <f>IFERROR(__xludf.DUMMYFUNCTION("""COMPUTED_VALUE"""),FALSE)</f>
        <v>0</v>
      </c>
      <c r="K943" s="32"/>
      <c r="L943" s="32" t="b">
        <f>IFERROR(__xludf.DUMMYFUNCTION("""COMPUTED_VALUE"""),FALSE)</f>
        <v>0</v>
      </c>
      <c r="M943" s="32" t="b">
        <f>IFERROR(__xludf.DUMMYFUNCTION("""COMPUTED_VALUE"""),FALSE)</f>
        <v>0</v>
      </c>
      <c r="N943" s="32"/>
    </row>
    <row r="944">
      <c r="A944" s="32"/>
      <c r="B944" s="32"/>
      <c r="C944" s="32"/>
      <c r="D944" s="32"/>
      <c r="E944" s="32"/>
      <c r="F944" s="32"/>
      <c r="G944" s="32"/>
      <c r="H944" s="32"/>
      <c r="I944" s="32"/>
      <c r="J944" s="32" t="b">
        <f>IFERROR(__xludf.DUMMYFUNCTION("""COMPUTED_VALUE"""),FALSE)</f>
        <v>0</v>
      </c>
      <c r="K944" s="32"/>
      <c r="L944" s="32" t="b">
        <f>IFERROR(__xludf.DUMMYFUNCTION("""COMPUTED_VALUE"""),FALSE)</f>
        <v>0</v>
      </c>
      <c r="M944" s="32" t="b">
        <f>IFERROR(__xludf.DUMMYFUNCTION("""COMPUTED_VALUE"""),FALSE)</f>
        <v>0</v>
      </c>
      <c r="N944" s="32"/>
    </row>
    <row r="945">
      <c r="A945" s="32"/>
      <c r="B945" s="32"/>
      <c r="C945" s="32"/>
      <c r="D945" s="32"/>
      <c r="E945" s="32"/>
      <c r="F945" s="32"/>
      <c r="G945" s="32"/>
      <c r="H945" s="32"/>
      <c r="I945" s="32"/>
      <c r="J945" s="32" t="b">
        <f>IFERROR(__xludf.DUMMYFUNCTION("""COMPUTED_VALUE"""),FALSE)</f>
        <v>0</v>
      </c>
      <c r="K945" s="32"/>
      <c r="L945" s="32" t="b">
        <f>IFERROR(__xludf.DUMMYFUNCTION("""COMPUTED_VALUE"""),FALSE)</f>
        <v>0</v>
      </c>
      <c r="M945" s="32" t="b">
        <f>IFERROR(__xludf.DUMMYFUNCTION("""COMPUTED_VALUE"""),FALSE)</f>
        <v>0</v>
      </c>
      <c r="N945" s="32"/>
    </row>
    <row r="946">
      <c r="A946" s="32"/>
      <c r="B946" s="32"/>
      <c r="C946" s="32"/>
      <c r="D946" s="32"/>
      <c r="E946" s="32"/>
      <c r="F946" s="32"/>
      <c r="G946" s="32"/>
      <c r="H946" s="32"/>
      <c r="I946" s="32"/>
      <c r="J946" s="32" t="b">
        <f>IFERROR(__xludf.DUMMYFUNCTION("""COMPUTED_VALUE"""),FALSE)</f>
        <v>0</v>
      </c>
      <c r="K946" s="32"/>
      <c r="L946" s="32" t="b">
        <f>IFERROR(__xludf.DUMMYFUNCTION("""COMPUTED_VALUE"""),FALSE)</f>
        <v>0</v>
      </c>
      <c r="M946" s="32" t="b">
        <f>IFERROR(__xludf.DUMMYFUNCTION("""COMPUTED_VALUE"""),FALSE)</f>
        <v>0</v>
      </c>
      <c r="N946" s="32"/>
    </row>
    <row r="947">
      <c r="A947" s="32"/>
      <c r="B947" s="32"/>
      <c r="C947" s="32"/>
      <c r="D947" s="32"/>
      <c r="E947" s="32"/>
      <c r="F947" s="32"/>
      <c r="G947" s="32"/>
      <c r="H947" s="32"/>
      <c r="I947" s="32"/>
      <c r="J947" s="32" t="b">
        <f>IFERROR(__xludf.DUMMYFUNCTION("""COMPUTED_VALUE"""),FALSE)</f>
        <v>0</v>
      </c>
      <c r="K947" s="32"/>
      <c r="L947" s="32" t="b">
        <f>IFERROR(__xludf.DUMMYFUNCTION("""COMPUTED_VALUE"""),FALSE)</f>
        <v>0</v>
      </c>
      <c r="M947" s="32" t="b">
        <f>IFERROR(__xludf.DUMMYFUNCTION("""COMPUTED_VALUE"""),FALSE)</f>
        <v>0</v>
      </c>
      <c r="N947" s="32"/>
    </row>
    <row r="948">
      <c r="A948" s="32"/>
      <c r="B948" s="32"/>
      <c r="C948" s="32"/>
      <c r="D948" s="32"/>
      <c r="E948" s="32"/>
      <c r="F948" s="32"/>
      <c r="G948" s="32"/>
      <c r="H948" s="32"/>
      <c r="I948" s="32"/>
      <c r="J948" s="32" t="b">
        <f>IFERROR(__xludf.DUMMYFUNCTION("""COMPUTED_VALUE"""),FALSE)</f>
        <v>0</v>
      </c>
      <c r="K948" s="32"/>
      <c r="L948" s="32" t="b">
        <f>IFERROR(__xludf.DUMMYFUNCTION("""COMPUTED_VALUE"""),FALSE)</f>
        <v>0</v>
      </c>
      <c r="M948" s="32" t="b">
        <f>IFERROR(__xludf.DUMMYFUNCTION("""COMPUTED_VALUE"""),FALSE)</f>
        <v>0</v>
      </c>
      <c r="N948" s="32"/>
    </row>
    <row r="949">
      <c r="A949" s="32"/>
      <c r="B949" s="32"/>
      <c r="C949" s="32"/>
      <c r="D949" s="32"/>
      <c r="E949" s="32"/>
      <c r="F949" s="32"/>
      <c r="G949" s="32"/>
      <c r="H949" s="32"/>
      <c r="I949" s="32"/>
      <c r="J949" s="32" t="b">
        <f>IFERROR(__xludf.DUMMYFUNCTION("""COMPUTED_VALUE"""),FALSE)</f>
        <v>0</v>
      </c>
      <c r="K949" s="32"/>
      <c r="L949" s="32" t="b">
        <f>IFERROR(__xludf.DUMMYFUNCTION("""COMPUTED_VALUE"""),FALSE)</f>
        <v>0</v>
      </c>
      <c r="M949" s="32" t="b">
        <f>IFERROR(__xludf.DUMMYFUNCTION("""COMPUTED_VALUE"""),FALSE)</f>
        <v>0</v>
      </c>
      <c r="N949" s="32"/>
    </row>
    <row r="950">
      <c r="A950" s="32"/>
      <c r="B950" s="32"/>
      <c r="C950" s="32"/>
      <c r="D950" s="32"/>
      <c r="E950" s="32"/>
      <c r="F950" s="32"/>
      <c r="G950" s="32"/>
      <c r="H950" s="32"/>
      <c r="I950" s="32"/>
      <c r="J950" s="32" t="b">
        <f>IFERROR(__xludf.DUMMYFUNCTION("""COMPUTED_VALUE"""),FALSE)</f>
        <v>0</v>
      </c>
      <c r="K950" s="32"/>
      <c r="L950" s="32" t="b">
        <f>IFERROR(__xludf.DUMMYFUNCTION("""COMPUTED_VALUE"""),FALSE)</f>
        <v>0</v>
      </c>
      <c r="M950" s="32" t="b">
        <f>IFERROR(__xludf.DUMMYFUNCTION("""COMPUTED_VALUE"""),FALSE)</f>
        <v>0</v>
      </c>
      <c r="N950" s="32"/>
    </row>
    <row r="951">
      <c r="A951" s="32"/>
      <c r="B951" s="32"/>
      <c r="C951" s="32"/>
      <c r="D951" s="32"/>
      <c r="E951" s="32"/>
      <c r="F951" s="32"/>
      <c r="G951" s="32"/>
      <c r="H951" s="32"/>
      <c r="I951" s="32"/>
      <c r="J951" s="32" t="b">
        <f>IFERROR(__xludf.DUMMYFUNCTION("""COMPUTED_VALUE"""),FALSE)</f>
        <v>0</v>
      </c>
      <c r="K951" s="32"/>
      <c r="L951" s="32" t="b">
        <f>IFERROR(__xludf.DUMMYFUNCTION("""COMPUTED_VALUE"""),FALSE)</f>
        <v>0</v>
      </c>
      <c r="M951" s="32" t="b">
        <f>IFERROR(__xludf.DUMMYFUNCTION("""COMPUTED_VALUE"""),FALSE)</f>
        <v>0</v>
      </c>
      <c r="N951" s="32"/>
    </row>
    <row r="952">
      <c r="A952" s="32"/>
      <c r="B952" s="32"/>
      <c r="C952" s="32"/>
      <c r="D952" s="32"/>
      <c r="E952" s="32"/>
      <c r="F952" s="32"/>
      <c r="G952" s="32"/>
      <c r="H952" s="32"/>
      <c r="I952" s="32"/>
      <c r="J952" s="32" t="b">
        <f>IFERROR(__xludf.DUMMYFUNCTION("""COMPUTED_VALUE"""),FALSE)</f>
        <v>0</v>
      </c>
      <c r="K952" s="32"/>
      <c r="L952" s="32" t="b">
        <f>IFERROR(__xludf.DUMMYFUNCTION("""COMPUTED_VALUE"""),FALSE)</f>
        <v>0</v>
      </c>
      <c r="M952" s="32" t="b">
        <f>IFERROR(__xludf.DUMMYFUNCTION("""COMPUTED_VALUE"""),FALSE)</f>
        <v>0</v>
      </c>
      <c r="N952" s="32"/>
    </row>
    <row r="953">
      <c r="A953" s="32"/>
      <c r="B953" s="32"/>
      <c r="C953" s="32"/>
      <c r="D953" s="32"/>
      <c r="E953" s="32"/>
      <c r="F953" s="32"/>
      <c r="G953" s="32"/>
      <c r="H953" s="32"/>
      <c r="I953" s="32"/>
      <c r="J953" s="32" t="b">
        <f>IFERROR(__xludf.DUMMYFUNCTION("""COMPUTED_VALUE"""),FALSE)</f>
        <v>0</v>
      </c>
      <c r="K953" s="32"/>
      <c r="L953" s="32" t="b">
        <f>IFERROR(__xludf.DUMMYFUNCTION("""COMPUTED_VALUE"""),FALSE)</f>
        <v>0</v>
      </c>
      <c r="M953" s="32" t="b">
        <f>IFERROR(__xludf.DUMMYFUNCTION("""COMPUTED_VALUE"""),FALSE)</f>
        <v>0</v>
      </c>
      <c r="N953" s="32"/>
    </row>
    <row r="954">
      <c r="A954" s="32"/>
      <c r="B954" s="32"/>
      <c r="C954" s="32"/>
      <c r="D954" s="32"/>
      <c r="E954" s="32"/>
      <c r="F954" s="32"/>
      <c r="G954" s="32"/>
      <c r="H954" s="32"/>
      <c r="I954" s="32"/>
      <c r="J954" s="32" t="b">
        <f>IFERROR(__xludf.DUMMYFUNCTION("""COMPUTED_VALUE"""),FALSE)</f>
        <v>0</v>
      </c>
      <c r="K954" s="32"/>
      <c r="L954" s="32" t="b">
        <f>IFERROR(__xludf.DUMMYFUNCTION("""COMPUTED_VALUE"""),FALSE)</f>
        <v>0</v>
      </c>
      <c r="M954" s="32" t="b">
        <f>IFERROR(__xludf.DUMMYFUNCTION("""COMPUTED_VALUE"""),FALSE)</f>
        <v>0</v>
      </c>
      <c r="N954" s="32"/>
    </row>
    <row r="955">
      <c r="A955" s="32"/>
      <c r="B955" s="32"/>
      <c r="C955" s="32"/>
      <c r="D955" s="32"/>
      <c r="E955" s="32"/>
      <c r="F955" s="32"/>
      <c r="G955" s="32"/>
      <c r="H955" s="32"/>
      <c r="I955" s="32"/>
      <c r="J955" s="32" t="b">
        <f>IFERROR(__xludf.DUMMYFUNCTION("""COMPUTED_VALUE"""),FALSE)</f>
        <v>0</v>
      </c>
      <c r="K955" s="32"/>
      <c r="L955" s="32" t="b">
        <f>IFERROR(__xludf.DUMMYFUNCTION("""COMPUTED_VALUE"""),FALSE)</f>
        <v>0</v>
      </c>
      <c r="M955" s="32" t="b">
        <f>IFERROR(__xludf.DUMMYFUNCTION("""COMPUTED_VALUE"""),FALSE)</f>
        <v>0</v>
      </c>
      <c r="N955" s="32"/>
    </row>
    <row r="956">
      <c r="A956" s="32"/>
      <c r="B956" s="32"/>
      <c r="C956" s="32"/>
      <c r="D956" s="32"/>
      <c r="E956" s="32"/>
      <c r="F956" s="32"/>
      <c r="G956" s="32"/>
      <c r="H956" s="32"/>
      <c r="I956" s="32"/>
      <c r="J956" s="32" t="b">
        <f>IFERROR(__xludf.DUMMYFUNCTION("""COMPUTED_VALUE"""),FALSE)</f>
        <v>0</v>
      </c>
      <c r="K956" s="32"/>
      <c r="L956" s="32" t="b">
        <f>IFERROR(__xludf.DUMMYFUNCTION("""COMPUTED_VALUE"""),FALSE)</f>
        <v>0</v>
      </c>
      <c r="M956" s="32" t="b">
        <f>IFERROR(__xludf.DUMMYFUNCTION("""COMPUTED_VALUE"""),FALSE)</f>
        <v>0</v>
      </c>
      <c r="N956" s="32"/>
    </row>
    <row r="957">
      <c r="A957" s="32"/>
      <c r="B957" s="32"/>
      <c r="C957" s="32"/>
      <c r="D957" s="32"/>
      <c r="E957" s="32"/>
      <c r="F957" s="32"/>
      <c r="G957" s="32"/>
      <c r="H957" s="32"/>
      <c r="I957" s="32"/>
      <c r="J957" s="32" t="b">
        <f>IFERROR(__xludf.DUMMYFUNCTION("""COMPUTED_VALUE"""),FALSE)</f>
        <v>0</v>
      </c>
      <c r="K957" s="32"/>
      <c r="L957" s="32" t="b">
        <f>IFERROR(__xludf.DUMMYFUNCTION("""COMPUTED_VALUE"""),FALSE)</f>
        <v>0</v>
      </c>
      <c r="M957" s="32" t="b">
        <f>IFERROR(__xludf.DUMMYFUNCTION("""COMPUTED_VALUE"""),FALSE)</f>
        <v>0</v>
      </c>
      <c r="N957" s="32"/>
    </row>
    <row r="958">
      <c r="A958" s="32"/>
      <c r="B958" s="32"/>
      <c r="C958" s="32"/>
      <c r="D958" s="32"/>
      <c r="E958" s="32"/>
      <c r="F958" s="32"/>
      <c r="G958" s="32"/>
      <c r="H958" s="32"/>
      <c r="I958" s="32"/>
      <c r="J958" s="32" t="b">
        <f>IFERROR(__xludf.DUMMYFUNCTION("""COMPUTED_VALUE"""),FALSE)</f>
        <v>0</v>
      </c>
      <c r="K958" s="32"/>
      <c r="L958" s="32" t="b">
        <f>IFERROR(__xludf.DUMMYFUNCTION("""COMPUTED_VALUE"""),FALSE)</f>
        <v>0</v>
      </c>
      <c r="M958" s="32" t="b">
        <f>IFERROR(__xludf.DUMMYFUNCTION("""COMPUTED_VALUE"""),FALSE)</f>
        <v>0</v>
      </c>
      <c r="N958" s="32"/>
    </row>
    <row r="959">
      <c r="A959" s="32"/>
      <c r="B959" s="32"/>
      <c r="C959" s="32"/>
      <c r="D959" s="32"/>
      <c r="E959" s="32"/>
      <c r="F959" s="32"/>
      <c r="G959" s="32"/>
      <c r="H959" s="32"/>
      <c r="I959" s="32"/>
      <c r="J959" s="32" t="b">
        <f>IFERROR(__xludf.DUMMYFUNCTION("""COMPUTED_VALUE"""),FALSE)</f>
        <v>0</v>
      </c>
      <c r="K959" s="32"/>
      <c r="L959" s="32" t="b">
        <f>IFERROR(__xludf.DUMMYFUNCTION("""COMPUTED_VALUE"""),FALSE)</f>
        <v>0</v>
      </c>
      <c r="M959" s="32" t="b">
        <f>IFERROR(__xludf.DUMMYFUNCTION("""COMPUTED_VALUE"""),FALSE)</f>
        <v>0</v>
      </c>
      <c r="N959" s="32"/>
    </row>
    <row r="960">
      <c r="A960" s="32"/>
      <c r="B960" s="32"/>
      <c r="C960" s="32"/>
      <c r="D960" s="32"/>
      <c r="E960" s="32"/>
      <c r="F960" s="32"/>
      <c r="G960" s="32"/>
      <c r="H960" s="32"/>
      <c r="I960" s="32"/>
      <c r="J960" s="32" t="b">
        <f>IFERROR(__xludf.DUMMYFUNCTION("""COMPUTED_VALUE"""),FALSE)</f>
        <v>0</v>
      </c>
      <c r="K960" s="32"/>
      <c r="L960" s="32" t="b">
        <f>IFERROR(__xludf.DUMMYFUNCTION("""COMPUTED_VALUE"""),FALSE)</f>
        <v>0</v>
      </c>
      <c r="M960" s="32" t="b">
        <f>IFERROR(__xludf.DUMMYFUNCTION("""COMPUTED_VALUE"""),FALSE)</f>
        <v>0</v>
      </c>
      <c r="N960" s="32"/>
    </row>
    <row r="961">
      <c r="A961" s="32"/>
      <c r="B961" s="32"/>
      <c r="C961" s="32"/>
      <c r="D961" s="32"/>
      <c r="E961" s="32"/>
      <c r="F961" s="32"/>
      <c r="G961" s="32"/>
      <c r="H961" s="32"/>
      <c r="I961" s="32"/>
      <c r="J961" s="32" t="b">
        <f>IFERROR(__xludf.DUMMYFUNCTION("""COMPUTED_VALUE"""),FALSE)</f>
        <v>0</v>
      </c>
      <c r="K961" s="32"/>
      <c r="L961" s="32" t="b">
        <f>IFERROR(__xludf.DUMMYFUNCTION("""COMPUTED_VALUE"""),FALSE)</f>
        <v>0</v>
      </c>
      <c r="M961" s="32" t="b">
        <f>IFERROR(__xludf.DUMMYFUNCTION("""COMPUTED_VALUE"""),FALSE)</f>
        <v>0</v>
      </c>
      <c r="N961" s="32"/>
    </row>
    <row r="962">
      <c r="A962" s="32"/>
      <c r="B962" s="32"/>
      <c r="C962" s="32"/>
      <c r="D962" s="32"/>
      <c r="E962" s="32"/>
      <c r="F962" s="32"/>
      <c r="G962" s="32"/>
      <c r="H962" s="32"/>
      <c r="I962" s="32"/>
      <c r="J962" s="32" t="b">
        <f>IFERROR(__xludf.DUMMYFUNCTION("""COMPUTED_VALUE"""),FALSE)</f>
        <v>0</v>
      </c>
      <c r="K962" s="32"/>
      <c r="L962" s="32" t="b">
        <f>IFERROR(__xludf.DUMMYFUNCTION("""COMPUTED_VALUE"""),FALSE)</f>
        <v>0</v>
      </c>
      <c r="M962" s="32" t="b">
        <f>IFERROR(__xludf.DUMMYFUNCTION("""COMPUTED_VALUE"""),FALSE)</f>
        <v>0</v>
      </c>
      <c r="N962" s="32"/>
    </row>
    <row r="963">
      <c r="A963" s="32"/>
      <c r="B963" s="32"/>
      <c r="C963" s="32"/>
      <c r="D963" s="32"/>
      <c r="E963" s="32"/>
      <c r="F963" s="32"/>
      <c r="G963" s="32"/>
      <c r="H963" s="32"/>
      <c r="I963" s="32"/>
      <c r="J963" s="32" t="b">
        <f>IFERROR(__xludf.DUMMYFUNCTION("""COMPUTED_VALUE"""),FALSE)</f>
        <v>0</v>
      </c>
      <c r="K963" s="32"/>
      <c r="L963" s="32" t="b">
        <f>IFERROR(__xludf.DUMMYFUNCTION("""COMPUTED_VALUE"""),FALSE)</f>
        <v>0</v>
      </c>
      <c r="M963" s="32" t="b">
        <f>IFERROR(__xludf.DUMMYFUNCTION("""COMPUTED_VALUE"""),FALSE)</f>
        <v>0</v>
      </c>
      <c r="N963" s="32"/>
    </row>
    <row r="964">
      <c r="A964" s="32"/>
      <c r="B964" s="32"/>
      <c r="C964" s="32"/>
      <c r="D964" s="32"/>
      <c r="E964" s="32"/>
      <c r="F964" s="32"/>
      <c r="G964" s="32"/>
      <c r="H964" s="32"/>
      <c r="I964" s="32"/>
      <c r="J964" s="32" t="b">
        <f>IFERROR(__xludf.DUMMYFUNCTION("""COMPUTED_VALUE"""),FALSE)</f>
        <v>0</v>
      </c>
      <c r="K964" s="32"/>
      <c r="L964" s="32" t="b">
        <f>IFERROR(__xludf.DUMMYFUNCTION("""COMPUTED_VALUE"""),FALSE)</f>
        <v>0</v>
      </c>
      <c r="M964" s="32" t="b">
        <f>IFERROR(__xludf.DUMMYFUNCTION("""COMPUTED_VALUE"""),FALSE)</f>
        <v>0</v>
      </c>
      <c r="N964" s="32"/>
    </row>
    <row r="965">
      <c r="A965" s="32"/>
      <c r="B965" s="32"/>
      <c r="C965" s="32"/>
      <c r="D965" s="32"/>
      <c r="E965" s="32"/>
      <c r="F965" s="32"/>
      <c r="G965" s="32"/>
      <c r="H965" s="32"/>
      <c r="I965" s="32"/>
      <c r="J965" s="32" t="b">
        <f>IFERROR(__xludf.DUMMYFUNCTION("""COMPUTED_VALUE"""),FALSE)</f>
        <v>0</v>
      </c>
      <c r="K965" s="32"/>
      <c r="L965" s="32" t="b">
        <f>IFERROR(__xludf.DUMMYFUNCTION("""COMPUTED_VALUE"""),FALSE)</f>
        <v>0</v>
      </c>
      <c r="M965" s="32" t="b">
        <f>IFERROR(__xludf.DUMMYFUNCTION("""COMPUTED_VALUE"""),FALSE)</f>
        <v>0</v>
      </c>
      <c r="N965" s="32"/>
    </row>
    <row r="966">
      <c r="A966" s="32"/>
      <c r="B966" s="32"/>
      <c r="C966" s="32"/>
      <c r="D966" s="32"/>
      <c r="E966" s="32"/>
      <c r="F966" s="32"/>
      <c r="G966" s="32"/>
      <c r="H966" s="32"/>
      <c r="I966" s="32"/>
      <c r="J966" s="32" t="b">
        <f>IFERROR(__xludf.DUMMYFUNCTION("""COMPUTED_VALUE"""),FALSE)</f>
        <v>0</v>
      </c>
      <c r="K966" s="32"/>
      <c r="L966" s="32" t="b">
        <f>IFERROR(__xludf.DUMMYFUNCTION("""COMPUTED_VALUE"""),FALSE)</f>
        <v>0</v>
      </c>
      <c r="M966" s="32" t="b">
        <f>IFERROR(__xludf.DUMMYFUNCTION("""COMPUTED_VALUE"""),FALSE)</f>
        <v>0</v>
      </c>
      <c r="N966" s="32"/>
    </row>
    <row r="967">
      <c r="A967" s="32"/>
      <c r="B967" s="32"/>
      <c r="C967" s="32"/>
      <c r="D967" s="32"/>
      <c r="E967" s="32"/>
      <c r="F967" s="32"/>
      <c r="G967" s="32"/>
      <c r="H967" s="32"/>
      <c r="I967" s="32"/>
      <c r="J967" s="32" t="b">
        <f>IFERROR(__xludf.DUMMYFUNCTION("""COMPUTED_VALUE"""),FALSE)</f>
        <v>0</v>
      </c>
      <c r="K967" s="32"/>
      <c r="L967" s="32" t="b">
        <f>IFERROR(__xludf.DUMMYFUNCTION("""COMPUTED_VALUE"""),FALSE)</f>
        <v>0</v>
      </c>
      <c r="M967" s="32" t="b">
        <f>IFERROR(__xludf.DUMMYFUNCTION("""COMPUTED_VALUE"""),FALSE)</f>
        <v>0</v>
      </c>
      <c r="N967" s="32"/>
    </row>
    <row r="968">
      <c r="A968" s="32"/>
      <c r="B968" s="32"/>
      <c r="C968" s="32"/>
      <c r="D968" s="32"/>
      <c r="E968" s="32"/>
      <c r="F968" s="32"/>
      <c r="G968" s="32"/>
      <c r="H968" s="32"/>
      <c r="I968" s="32"/>
      <c r="J968" s="32" t="b">
        <f>IFERROR(__xludf.DUMMYFUNCTION("""COMPUTED_VALUE"""),FALSE)</f>
        <v>0</v>
      </c>
      <c r="K968" s="32"/>
      <c r="L968" s="32" t="b">
        <f>IFERROR(__xludf.DUMMYFUNCTION("""COMPUTED_VALUE"""),FALSE)</f>
        <v>0</v>
      </c>
      <c r="M968" s="32" t="b">
        <f>IFERROR(__xludf.DUMMYFUNCTION("""COMPUTED_VALUE"""),FALSE)</f>
        <v>0</v>
      </c>
      <c r="N968" s="32"/>
    </row>
    <row r="969">
      <c r="A969" s="32"/>
      <c r="B969" s="32"/>
      <c r="C969" s="32"/>
      <c r="D969" s="32"/>
      <c r="E969" s="32"/>
      <c r="F969" s="32"/>
      <c r="G969" s="32"/>
      <c r="H969" s="32"/>
      <c r="I969" s="32"/>
      <c r="J969" s="32" t="b">
        <f>IFERROR(__xludf.DUMMYFUNCTION("""COMPUTED_VALUE"""),FALSE)</f>
        <v>0</v>
      </c>
      <c r="K969" s="32"/>
      <c r="L969" s="32" t="b">
        <f>IFERROR(__xludf.DUMMYFUNCTION("""COMPUTED_VALUE"""),FALSE)</f>
        <v>0</v>
      </c>
      <c r="M969" s="32" t="b">
        <f>IFERROR(__xludf.DUMMYFUNCTION("""COMPUTED_VALUE"""),FALSE)</f>
        <v>0</v>
      </c>
      <c r="N969" s="32"/>
    </row>
    <row r="970">
      <c r="A970" s="32"/>
      <c r="B970" s="32"/>
      <c r="C970" s="32"/>
      <c r="D970" s="32"/>
      <c r="E970" s="32"/>
      <c r="F970" s="32"/>
      <c r="G970" s="32"/>
      <c r="H970" s="32"/>
      <c r="I970" s="32"/>
      <c r="J970" s="32" t="b">
        <f>IFERROR(__xludf.DUMMYFUNCTION("""COMPUTED_VALUE"""),FALSE)</f>
        <v>0</v>
      </c>
      <c r="K970" s="32"/>
      <c r="L970" s="32" t="b">
        <f>IFERROR(__xludf.DUMMYFUNCTION("""COMPUTED_VALUE"""),FALSE)</f>
        <v>0</v>
      </c>
      <c r="M970" s="32" t="b">
        <f>IFERROR(__xludf.DUMMYFUNCTION("""COMPUTED_VALUE"""),FALSE)</f>
        <v>0</v>
      </c>
      <c r="N970" s="32"/>
    </row>
    <row r="971">
      <c r="A971" s="32"/>
      <c r="B971" s="32"/>
      <c r="C971" s="32"/>
      <c r="D971" s="32"/>
      <c r="E971" s="32"/>
      <c r="F971" s="32"/>
      <c r="G971" s="32"/>
      <c r="H971" s="32"/>
      <c r="I971" s="32"/>
      <c r="J971" s="32" t="b">
        <f>IFERROR(__xludf.DUMMYFUNCTION("""COMPUTED_VALUE"""),FALSE)</f>
        <v>0</v>
      </c>
      <c r="K971" s="32"/>
      <c r="L971" s="32" t="b">
        <f>IFERROR(__xludf.DUMMYFUNCTION("""COMPUTED_VALUE"""),FALSE)</f>
        <v>0</v>
      </c>
      <c r="M971" s="32" t="b">
        <f>IFERROR(__xludf.DUMMYFUNCTION("""COMPUTED_VALUE"""),FALSE)</f>
        <v>0</v>
      </c>
      <c r="N971" s="32"/>
    </row>
    <row r="972">
      <c r="A972" s="32"/>
      <c r="B972" s="32"/>
      <c r="C972" s="32"/>
      <c r="D972" s="32"/>
      <c r="E972" s="32"/>
      <c r="F972" s="32"/>
      <c r="G972" s="32"/>
      <c r="H972" s="32"/>
      <c r="I972" s="32"/>
      <c r="J972" s="32" t="b">
        <f>IFERROR(__xludf.DUMMYFUNCTION("""COMPUTED_VALUE"""),FALSE)</f>
        <v>0</v>
      </c>
      <c r="K972" s="32"/>
      <c r="L972" s="32" t="b">
        <f>IFERROR(__xludf.DUMMYFUNCTION("""COMPUTED_VALUE"""),FALSE)</f>
        <v>0</v>
      </c>
      <c r="M972" s="32" t="b">
        <f>IFERROR(__xludf.DUMMYFUNCTION("""COMPUTED_VALUE"""),FALSE)</f>
        <v>0</v>
      </c>
      <c r="N972" s="32"/>
    </row>
    <row r="973">
      <c r="A973" s="32"/>
      <c r="B973" s="32"/>
      <c r="C973" s="32"/>
      <c r="D973" s="32"/>
      <c r="E973" s="32"/>
      <c r="F973" s="32"/>
      <c r="G973" s="32"/>
      <c r="H973" s="32"/>
      <c r="I973" s="32"/>
      <c r="J973" s="32" t="b">
        <f>IFERROR(__xludf.DUMMYFUNCTION("""COMPUTED_VALUE"""),FALSE)</f>
        <v>0</v>
      </c>
      <c r="K973" s="32"/>
      <c r="L973" s="32" t="b">
        <f>IFERROR(__xludf.DUMMYFUNCTION("""COMPUTED_VALUE"""),FALSE)</f>
        <v>0</v>
      </c>
      <c r="M973" s="32" t="b">
        <f>IFERROR(__xludf.DUMMYFUNCTION("""COMPUTED_VALUE"""),FALSE)</f>
        <v>0</v>
      </c>
      <c r="N973" s="32"/>
    </row>
    <row r="974">
      <c r="A974" s="32"/>
      <c r="B974" s="32"/>
      <c r="C974" s="32"/>
      <c r="D974" s="32"/>
      <c r="E974" s="32"/>
      <c r="F974" s="32"/>
      <c r="G974" s="32"/>
      <c r="H974" s="32"/>
      <c r="I974" s="32"/>
      <c r="J974" s="32" t="b">
        <f>IFERROR(__xludf.DUMMYFUNCTION("""COMPUTED_VALUE"""),FALSE)</f>
        <v>0</v>
      </c>
      <c r="K974" s="32"/>
      <c r="L974" s="32" t="b">
        <f>IFERROR(__xludf.DUMMYFUNCTION("""COMPUTED_VALUE"""),FALSE)</f>
        <v>0</v>
      </c>
      <c r="M974" s="32" t="b">
        <f>IFERROR(__xludf.DUMMYFUNCTION("""COMPUTED_VALUE"""),FALSE)</f>
        <v>0</v>
      </c>
      <c r="N974" s="32"/>
    </row>
    <row r="975">
      <c r="A975" s="32"/>
      <c r="B975" s="32"/>
      <c r="C975" s="32"/>
      <c r="D975" s="32"/>
      <c r="E975" s="32"/>
      <c r="F975" s="32"/>
      <c r="G975" s="32"/>
      <c r="H975" s="32"/>
      <c r="I975" s="32"/>
      <c r="J975" s="32" t="b">
        <f>IFERROR(__xludf.DUMMYFUNCTION("""COMPUTED_VALUE"""),FALSE)</f>
        <v>0</v>
      </c>
      <c r="K975" s="32"/>
      <c r="L975" s="32" t="b">
        <f>IFERROR(__xludf.DUMMYFUNCTION("""COMPUTED_VALUE"""),FALSE)</f>
        <v>0</v>
      </c>
      <c r="M975" s="32" t="b">
        <f>IFERROR(__xludf.DUMMYFUNCTION("""COMPUTED_VALUE"""),FALSE)</f>
        <v>0</v>
      </c>
      <c r="N975" s="32"/>
    </row>
    <row r="976">
      <c r="A976" s="32"/>
      <c r="B976" s="32"/>
      <c r="C976" s="32"/>
      <c r="D976" s="32"/>
      <c r="E976" s="32"/>
      <c r="F976" s="32"/>
      <c r="G976" s="32"/>
      <c r="H976" s="32"/>
      <c r="I976" s="32"/>
      <c r="J976" s="32" t="b">
        <f>IFERROR(__xludf.DUMMYFUNCTION("""COMPUTED_VALUE"""),FALSE)</f>
        <v>0</v>
      </c>
      <c r="K976" s="32"/>
      <c r="L976" s="32" t="b">
        <f>IFERROR(__xludf.DUMMYFUNCTION("""COMPUTED_VALUE"""),FALSE)</f>
        <v>0</v>
      </c>
      <c r="M976" s="32" t="b">
        <f>IFERROR(__xludf.DUMMYFUNCTION("""COMPUTED_VALUE"""),FALSE)</f>
        <v>0</v>
      </c>
      <c r="N976" s="32"/>
    </row>
    <row r="977">
      <c r="A977" s="32"/>
      <c r="B977" s="32"/>
      <c r="C977" s="32"/>
      <c r="D977" s="32"/>
      <c r="E977" s="32"/>
      <c r="F977" s="32"/>
      <c r="G977" s="32"/>
      <c r="H977" s="32"/>
      <c r="I977" s="32"/>
      <c r="J977" s="32" t="b">
        <f>IFERROR(__xludf.DUMMYFUNCTION("""COMPUTED_VALUE"""),FALSE)</f>
        <v>0</v>
      </c>
      <c r="K977" s="32"/>
      <c r="L977" s="32" t="b">
        <f>IFERROR(__xludf.DUMMYFUNCTION("""COMPUTED_VALUE"""),FALSE)</f>
        <v>0</v>
      </c>
      <c r="M977" s="32" t="b">
        <f>IFERROR(__xludf.DUMMYFUNCTION("""COMPUTED_VALUE"""),FALSE)</f>
        <v>0</v>
      </c>
      <c r="N977" s="32"/>
    </row>
    <row r="978">
      <c r="A978" s="32"/>
      <c r="B978" s="32"/>
      <c r="C978" s="32"/>
      <c r="D978" s="32"/>
      <c r="E978" s="32"/>
      <c r="F978" s="32"/>
      <c r="G978" s="32"/>
      <c r="H978" s="32"/>
      <c r="I978" s="32"/>
      <c r="J978" s="32" t="b">
        <f>IFERROR(__xludf.DUMMYFUNCTION("""COMPUTED_VALUE"""),FALSE)</f>
        <v>0</v>
      </c>
      <c r="K978" s="32"/>
      <c r="L978" s="32" t="b">
        <f>IFERROR(__xludf.DUMMYFUNCTION("""COMPUTED_VALUE"""),FALSE)</f>
        <v>0</v>
      </c>
      <c r="M978" s="32" t="b">
        <f>IFERROR(__xludf.DUMMYFUNCTION("""COMPUTED_VALUE"""),FALSE)</f>
        <v>0</v>
      </c>
      <c r="N978" s="32"/>
    </row>
    <row r="979">
      <c r="A979" s="32"/>
      <c r="B979" s="32"/>
      <c r="C979" s="32"/>
      <c r="D979" s="32"/>
      <c r="E979" s="32"/>
      <c r="F979" s="32"/>
      <c r="G979" s="32"/>
      <c r="H979" s="32"/>
      <c r="I979" s="32"/>
      <c r="J979" s="32" t="b">
        <f>IFERROR(__xludf.DUMMYFUNCTION("""COMPUTED_VALUE"""),FALSE)</f>
        <v>0</v>
      </c>
      <c r="K979" s="32"/>
      <c r="L979" s="32" t="b">
        <f>IFERROR(__xludf.DUMMYFUNCTION("""COMPUTED_VALUE"""),FALSE)</f>
        <v>0</v>
      </c>
      <c r="M979" s="32" t="b">
        <f>IFERROR(__xludf.DUMMYFUNCTION("""COMPUTED_VALUE"""),FALSE)</f>
        <v>0</v>
      </c>
      <c r="N979" s="32"/>
    </row>
    <row r="980">
      <c r="A980" s="32"/>
      <c r="B980" s="32"/>
      <c r="C980" s="32"/>
      <c r="D980" s="32"/>
      <c r="E980" s="32"/>
      <c r="F980" s="32"/>
      <c r="G980" s="32"/>
      <c r="H980" s="32"/>
      <c r="I980" s="32"/>
      <c r="J980" s="32" t="b">
        <f>IFERROR(__xludf.DUMMYFUNCTION("""COMPUTED_VALUE"""),FALSE)</f>
        <v>0</v>
      </c>
      <c r="K980" s="32"/>
      <c r="L980" s="32" t="b">
        <f>IFERROR(__xludf.DUMMYFUNCTION("""COMPUTED_VALUE"""),FALSE)</f>
        <v>0</v>
      </c>
      <c r="M980" s="32" t="b">
        <f>IFERROR(__xludf.DUMMYFUNCTION("""COMPUTED_VALUE"""),FALSE)</f>
        <v>0</v>
      </c>
      <c r="N980" s="32"/>
    </row>
    <row r="981">
      <c r="A981" s="32"/>
      <c r="B981" s="32"/>
      <c r="C981" s="32"/>
      <c r="D981" s="32"/>
      <c r="E981" s="32"/>
      <c r="F981" s="32"/>
      <c r="G981" s="32"/>
      <c r="H981" s="32"/>
      <c r="I981" s="32"/>
      <c r="J981" s="32" t="b">
        <f>IFERROR(__xludf.DUMMYFUNCTION("""COMPUTED_VALUE"""),FALSE)</f>
        <v>0</v>
      </c>
      <c r="K981" s="32"/>
      <c r="L981" s="32" t="b">
        <f>IFERROR(__xludf.DUMMYFUNCTION("""COMPUTED_VALUE"""),FALSE)</f>
        <v>0</v>
      </c>
      <c r="M981" s="32" t="b">
        <f>IFERROR(__xludf.DUMMYFUNCTION("""COMPUTED_VALUE"""),FALSE)</f>
        <v>0</v>
      </c>
      <c r="N981" s="32"/>
    </row>
    <row r="982">
      <c r="A982" s="32"/>
      <c r="B982" s="32"/>
      <c r="C982" s="32"/>
      <c r="D982" s="32"/>
      <c r="E982" s="32"/>
      <c r="F982" s="32"/>
      <c r="G982" s="32"/>
      <c r="H982" s="32"/>
      <c r="I982" s="32"/>
      <c r="J982" s="32" t="b">
        <f>IFERROR(__xludf.DUMMYFUNCTION("""COMPUTED_VALUE"""),FALSE)</f>
        <v>0</v>
      </c>
      <c r="K982" s="32"/>
      <c r="L982" s="32" t="b">
        <f>IFERROR(__xludf.DUMMYFUNCTION("""COMPUTED_VALUE"""),FALSE)</f>
        <v>0</v>
      </c>
      <c r="M982" s="32" t="b">
        <f>IFERROR(__xludf.DUMMYFUNCTION("""COMPUTED_VALUE"""),FALSE)</f>
        <v>0</v>
      </c>
      <c r="N982" s="32"/>
    </row>
    <row r="983">
      <c r="A983" s="32"/>
      <c r="B983" s="32"/>
      <c r="C983" s="32"/>
      <c r="D983" s="32"/>
      <c r="E983" s="32"/>
      <c r="F983" s="32"/>
      <c r="G983" s="32"/>
      <c r="H983" s="32"/>
      <c r="I983" s="32"/>
      <c r="J983" s="32" t="b">
        <f>IFERROR(__xludf.DUMMYFUNCTION("""COMPUTED_VALUE"""),FALSE)</f>
        <v>0</v>
      </c>
      <c r="K983" s="32"/>
      <c r="L983" s="32" t="b">
        <f>IFERROR(__xludf.DUMMYFUNCTION("""COMPUTED_VALUE"""),FALSE)</f>
        <v>0</v>
      </c>
      <c r="M983" s="32" t="b">
        <f>IFERROR(__xludf.DUMMYFUNCTION("""COMPUTED_VALUE"""),FALSE)</f>
        <v>0</v>
      </c>
      <c r="N983" s="32"/>
    </row>
    <row r="984">
      <c r="A984" s="32"/>
      <c r="B984" s="32"/>
      <c r="C984" s="32"/>
      <c r="D984" s="32"/>
      <c r="E984" s="32"/>
      <c r="F984" s="32"/>
      <c r="G984" s="32"/>
      <c r="H984" s="32"/>
      <c r="I984" s="32"/>
      <c r="J984" s="32" t="b">
        <f>IFERROR(__xludf.DUMMYFUNCTION("""COMPUTED_VALUE"""),FALSE)</f>
        <v>0</v>
      </c>
      <c r="K984" s="32"/>
      <c r="L984" s="32" t="b">
        <f>IFERROR(__xludf.DUMMYFUNCTION("""COMPUTED_VALUE"""),FALSE)</f>
        <v>0</v>
      </c>
      <c r="M984" s="32" t="b">
        <f>IFERROR(__xludf.DUMMYFUNCTION("""COMPUTED_VALUE"""),FALSE)</f>
        <v>0</v>
      </c>
      <c r="N984" s="32"/>
    </row>
    <row r="985">
      <c r="A985" s="32"/>
      <c r="B985" s="32"/>
      <c r="C985" s="32"/>
      <c r="D985" s="32"/>
      <c r="E985" s="32"/>
      <c r="F985" s="32"/>
      <c r="G985" s="32"/>
      <c r="H985" s="32"/>
      <c r="I985" s="32"/>
      <c r="J985" s="32" t="b">
        <f>IFERROR(__xludf.DUMMYFUNCTION("""COMPUTED_VALUE"""),FALSE)</f>
        <v>0</v>
      </c>
      <c r="K985" s="32"/>
      <c r="L985" s="32" t="b">
        <f>IFERROR(__xludf.DUMMYFUNCTION("""COMPUTED_VALUE"""),FALSE)</f>
        <v>0</v>
      </c>
      <c r="M985" s="32" t="b">
        <f>IFERROR(__xludf.DUMMYFUNCTION("""COMPUTED_VALUE"""),FALSE)</f>
        <v>0</v>
      </c>
      <c r="N985" s="32"/>
    </row>
    <row r="986">
      <c r="A986" s="32"/>
      <c r="B986" s="32"/>
      <c r="C986" s="32"/>
      <c r="D986" s="32"/>
      <c r="E986" s="32"/>
      <c r="F986" s="32"/>
      <c r="G986" s="32"/>
      <c r="H986" s="32"/>
      <c r="I986" s="32"/>
      <c r="J986" s="32" t="b">
        <f>IFERROR(__xludf.DUMMYFUNCTION("""COMPUTED_VALUE"""),FALSE)</f>
        <v>0</v>
      </c>
      <c r="K986" s="32"/>
      <c r="L986" s="32" t="b">
        <f>IFERROR(__xludf.DUMMYFUNCTION("""COMPUTED_VALUE"""),FALSE)</f>
        <v>0</v>
      </c>
      <c r="M986" s="32" t="b">
        <f>IFERROR(__xludf.DUMMYFUNCTION("""COMPUTED_VALUE"""),FALSE)</f>
        <v>0</v>
      </c>
      <c r="N986" s="32"/>
    </row>
    <row r="987">
      <c r="A987" s="32"/>
      <c r="B987" s="32"/>
      <c r="C987" s="32"/>
      <c r="D987" s="32"/>
      <c r="E987" s="32"/>
      <c r="F987" s="32"/>
      <c r="G987" s="32"/>
      <c r="H987" s="32"/>
      <c r="I987" s="32"/>
      <c r="J987" s="32" t="b">
        <f>IFERROR(__xludf.DUMMYFUNCTION("""COMPUTED_VALUE"""),FALSE)</f>
        <v>0</v>
      </c>
      <c r="K987" s="32"/>
      <c r="L987" s="32" t="b">
        <f>IFERROR(__xludf.DUMMYFUNCTION("""COMPUTED_VALUE"""),FALSE)</f>
        <v>0</v>
      </c>
      <c r="M987" s="32" t="b">
        <f>IFERROR(__xludf.DUMMYFUNCTION("""COMPUTED_VALUE"""),FALSE)</f>
        <v>0</v>
      </c>
      <c r="N987" s="32"/>
    </row>
    <row r="988">
      <c r="A988" s="32"/>
      <c r="B988" s="32"/>
      <c r="C988" s="32"/>
      <c r="D988" s="32"/>
      <c r="E988" s="32"/>
      <c r="F988" s="32"/>
      <c r="G988" s="32"/>
      <c r="H988" s="32"/>
      <c r="I988" s="32"/>
      <c r="J988" s="32" t="b">
        <f>IFERROR(__xludf.DUMMYFUNCTION("""COMPUTED_VALUE"""),FALSE)</f>
        <v>0</v>
      </c>
      <c r="K988" s="32"/>
      <c r="L988" s="32" t="b">
        <f>IFERROR(__xludf.DUMMYFUNCTION("""COMPUTED_VALUE"""),FALSE)</f>
        <v>0</v>
      </c>
      <c r="M988" s="32" t="b">
        <f>IFERROR(__xludf.DUMMYFUNCTION("""COMPUTED_VALUE"""),FALSE)</f>
        <v>0</v>
      </c>
      <c r="N988" s="32"/>
    </row>
    <row r="989">
      <c r="A989" s="32"/>
      <c r="B989" s="32"/>
      <c r="C989" s="32"/>
      <c r="D989" s="32"/>
      <c r="E989" s="32"/>
      <c r="F989" s="32"/>
      <c r="G989" s="32"/>
      <c r="H989" s="32"/>
      <c r="I989" s="32"/>
      <c r="J989" s="32" t="b">
        <f>IFERROR(__xludf.DUMMYFUNCTION("""COMPUTED_VALUE"""),FALSE)</f>
        <v>0</v>
      </c>
      <c r="K989" s="32"/>
      <c r="L989" s="32" t="b">
        <f>IFERROR(__xludf.DUMMYFUNCTION("""COMPUTED_VALUE"""),FALSE)</f>
        <v>0</v>
      </c>
      <c r="M989" s="32" t="b">
        <f>IFERROR(__xludf.DUMMYFUNCTION("""COMPUTED_VALUE"""),FALSE)</f>
        <v>0</v>
      </c>
      <c r="N989" s="32"/>
    </row>
    <row r="990">
      <c r="A990" s="32"/>
      <c r="B990" s="32"/>
      <c r="C990" s="32"/>
      <c r="D990" s="32"/>
      <c r="E990" s="32"/>
      <c r="F990" s="32"/>
      <c r="G990" s="32"/>
      <c r="H990" s="32"/>
      <c r="I990" s="32"/>
      <c r="J990" s="32" t="b">
        <f>IFERROR(__xludf.DUMMYFUNCTION("""COMPUTED_VALUE"""),FALSE)</f>
        <v>0</v>
      </c>
      <c r="K990" s="32"/>
      <c r="L990" s="32" t="b">
        <f>IFERROR(__xludf.DUMMYFUNCTION("""COMPUTED_VALUE"""),FALSE)</f>
        <v>0</v>
      </c>
      <c r="M990" s="32" t="b">
        <f>IFERROR(__xludf.DUMMYFUNCTION("""COMPUTED_VALUE"""),FALSE)</f>
        <v>0</v>
      </c>
      <c r="N990" s="32"/>
    </row>
    <row r="991">
      <c r="A991" s="32"/>
      <c r="B991" s="32"/>
      <c r="C991" s="32"/>
      <c r="D991" s="32"/>
      <c r="E991" s="32"/>
      <c r="F991" s="32"/>
      <c r="G991" s="32"/>
      <c r="H991" s="32"/>
      <c r="I991" s="32"/>
      <c r="J991" s="32" t="b">
        <f>IFERROR(__xludf.DUMMYFUNCTION("""COMPUTED_VALUE"""),FALSE)</f>
        <v>0</v>
      </c>
      <c r="K991" s="32"/>
      <c r="L991" s="32" t="b">
        <f>IFERROR(__xludf.DUMMYFUNCTION("""COMPUTED_VALUE"""),FALSE)</f>
        <v>0</v>
      </c>
      <c r="M991" s="32" t="b">
        <f>IFERROR(__xludf.DUMMYFUNCTION("""COMPUTED_VALUE"""),FALSE)</f>
        <v>0</v>
      </c>
      <c r="N991" s="32"/>
    </row>
    <row r="992">
      <c r="A992" s="32"/>
      <c r="B992" s="32"/>
      <c r="C992" s="32"/>
      <c r="D992" s="32"/>
      <c r="E992" s="32"/>
      <c r="F992" s="32"/>
      <c r="G992" s="32"/>
      <c r="H992" s="32"/>
      <c r="I992" s="32"/>
      <c r="J992" s="32" t="b">
        <f>IFERROR(__xludf.DUMMYFUNCTION("""COMPUTED_VALUE"""),FALSE)</f>
        <v>0</v>
      </c>
      <c r="K992" s="32"/>
      <c r="L992" s="32" t="b">
        <f>IFERROR(__xludf.DUMMYFUNCTION("""COMPUTED_VALUE"""),FALSE)</f>
        <v>0</v>
      </c>
      <c r="M992" s="32" t="b">
        <f>IFERROR(__xludf.DUMMYFUNCTION("""COMPUTED_VALUE"""),FALSE)</f>
        <v>0</v>
      </c>
      <c r="N992" s="32"/>
    </row>
    <row r="993">
      <c r="A993" s="32"/>
      <c r="B993" s="32"/>
      <c r="C993" s="32"/>
      <c r="D993" s="32"/>
      <c r="E993" s="32"/>
      <c r="F993" s="32"/>
      <c r="G993" s="32"/>
      <c r="H993" s="32"/>
      <c r="I993" s="32"/>
      <c r="J993" s="32" t="b">
        <f>IFERROR(__xludf.DUMMYFUNCTION("""COMPUTED_VALUE"""),FALSE)</f>
        <v>0</v>
      </c>
      <c r="K993" s="32"/>
      <c r="L993" s="32" t="b">
        <f>IFERROR(__xludf.DUMMYFUNCTION("""COMPUTED_VALUE"""),FALSE)</f>
        <v>0</v>
      </c>
      <c r="M993" s="32" t="b">
        <f>IFERROR(__xludf.DUMMYFUNCTION("""COMPUTED_VALUE"""),FALSE)</f>
        <v>0</v>
      </c>
      <c r="N993" s="32"/>
    </row>
    <row r="994">
      <c r="A994" s="32"/>
      <c r="B994" s="32"/>
      <c r="C994" s="32"/>
      <c r="D994" s="32"/>
      <c r="E994" s="32"/>
      <c r="F994" s="32"/>
      <c r="G994" s="32"/>
      <c r="H994" s="32"/>
      <c r="I994" s="32"/>
      <c r="J994" s="32" t="b">
        <f>IFERROR(__xludf.DUMMYFUNCTION("""COMPUTED_VALUE"""),FALSE)</f>
        <v>0</v>
      </c>
      <c r="K994" s="32"/>
      <c r="L994" s="32" t="b">
        <f>IFERROR(__xludf.DUMMYFUNCTION("""COMPUTED_VALUE"""),FALSE)</f>
        <v>0</v>
      </c>
      <c r="M994" s="32" t="b">
        <f>IFERROR(__xludf.DUMMYFUNCTION("""COMPUTED_VALUE"""),FALSE)</f>
        <v>0</v>
      </c>
      <c r="N994" s="32"/>
    </row>
    <row r="995">
      <c r="A995" s="32"/>
      <c r="B995" s="32"/>
      <c r="C995" s="32"/>
      <c r="D995" s="32"/>
      <c r="E995" s="32"/>
      <c r="F995" s="32"/>
      <c r="G995" s="32"/>
      <c r="H995" s="32"/>
      <c r="I995" s="32"/>
      <c r="J995" s="32" t="b">
        <f>IFERROR(__xludf.DUMMYFUNCTION("""COMPUTED_VALUE"""),FALSE)</f>
        <v>0</v>
      </c>
      <c r="K995" s="32"/>
      <c r="L995" s="32" t="b">
        <f>IFERROR(__xludf.DUMMYFUNCTION("""COMPUTED_VALUE"""),FALSE)</f>
        <v>0</v>
      </c>
      <c r="M995" s="32" t="b">
        <f>IFERROR(__xludf.DUMMYFUNCTION("""COMPUTED_VALUE"""),FALSE)</f>
        <v>0</v>
      </c>
      <c r="N995" s="32"/>
    </row>
    <row r="996">
      <c r="A996" s="32"/>
      <c r="B996" s="32"/>
      <c r="C996" s="32"/>
      <c r="D996" s="32"/>
      <c r="E996" s="32"/>
      <c r="F996" s="32"/>
      <c r="G996" s="32"/>
      <c r="H996" s="32"/>
      <c r="I996" s="32"/>
      <c r="J996" s="32" t="b">
        <f>IFERROR(__xludf.DUMMYFUNCTION("""COMPUTED_VALUE"""),FALSE)</f>
        <v>0</v>
      </c>
      <c r="K996" s="32"/>
      <c r="L996" s="32" t="b">
        <f>IFERROR(__xludf.DUMMYFUNCTION("""COMPUTED_VALUE"""),FALSE)</f>
        <v>0</v>
      </c>
      <c r="M996" s="32" t="b">
        <f>IFERROR(__xludf.DUMMYFUNCTION("""COMPUTED_VALUE"""),FALSE)</f>
        <v>0</v>
      </c>
      <c r="N996" s="32"/>
    </row>
    <row r="997">
      <c r="A997" s="32"/>
      <c r="B997" s="32"/>
      <c r="C997" s="32"/>
      <c r="D997" s="32"/>
      <c r="E997" s="32"/>
      <c r="F997" s="32"/>
      <c r="G997" s="32"/>
      <c r="H997" s="32"/>
      <c r="I997" s="32"/>
      <c r="J997" s="32" t="b">
        <f>IFERROR(__xludf.DUMMYFUNCTION("""COMPUTED_VALUE"""),FALSE)</f>
        <v>0</v>
      </c>
      <c r="K997" s="32"/>
      <c r="L997" s="32" t="b">
        <f>IFERROR(__xludf.DUMMYFUNCTION("""COMPUTED_VALUE"""),FALSE)</f>
        <v>0</v>
      </c>
      <c r="M997" s="32" t="b">
        <f>IFERROR(__xludf.DUMMYFUNCTION("""COMPUTED_VALUE"""),FALSE)</f>
        <v>0</v>
      </c>
      <c r="N997" s="32"/>
    </row>
    <row r="998">
      <c r="A998" s="32"/>
      <c r="B998" s="32"/>
      <c r="C998" s="32"/>
      <c r="D998" s="32"/>
      <c r="E998" s="32"/>
      <c r="F998" s="32"/>
      <c r="G998" s="32"/>
      <c r="H998" s="32"/>
      <c r="I998" s="32"/>
      <c r="J998" s="32" t="b">
        <f>IFERROR(__xludf.DUMMYFUNCTION("""COMPUTED_VALUE"""),FALSE)</f>
        <v>0</v>
      </c>
      <c r="K998" s="32"/>
      <c r="L998" s="32" t="b">
        <f>IFERROR(__xludf.DUMMYFUNCTION("""COMPUTED_VALUE"""),FALSE)</f>
        <v>0</v>
      </c>
      <c r="M998" s="32" t="b">
        <f>IFERROR(__xludf.DUMMYFUNCTION("""COMPUTED_VALUE"""),FALSE)</f>
        <v>0</v>
      </c>
      <c r="N998" s="32"/>
    </row>
    <row r="999">
      <c r="A999" s="32"/>
      <c r="B999" s="32"/>
      <c r="C999" s="32"/>
      <c r="D999" s="32"/>
      <c r="E999" s="32"/>
      <c r="F999" s="32"/>
      <c r="G999" s="32"/>
      <c r="H999" s="32"/>
      <c r="I999" s="32"/>
      <c r="J999" s="32" t="b">
        <f>IFERROR(__xludf.DUMMYFUNCTION("""COMPUTED_VALUE"""),FALSE)</f>
        <v>0</v>
      </c>
      <c r="K999" s="32"/>
      <c r="L999" s="32" t="b">
        <f>IFERROR(__xludf.DUMMYFUNCTION("""COMPUTED_VALUE"""),FALSE)</f>
        <v>0</v>
      </c>
      <c r="M999" s="32" t="b">
        <f>IFERROR(__xludf.DUMMYFUNCTION("""COMPUTED_VALUE"""),FALSE)</f>
        <v>0</v>
      </c>
      <c r="N999" s="32"/>
    </row>
    <row r="1000">
      <c r="A1000" s="32"/>
      <c r="B1000" s="32"/>
      <c r="C1000" s="32"/>
      <c r="D1000" s="32"/>
      <c r="E1000" s="32"/>
      <c r="F1000" s="32"/>
      <c r="G1000" s="32"/>
      <c r="H1000" s="32"/>
      <c r="I1000" s="32"/>
      <c r="J1000" s="32" t="b">
        <f>IFERROR(__xludf.DUMMYFUNCTION("""COMPUTED_VALUE"""),FALSE)</f>
        <v>0</v>
      </c>
      <c r="K1000" s="32"/>
      <c r="L1000" s="32" t="b">
        <f>IFERROR(__xludf.DUMMYFUNCTION("""COMPUTED_VALUE"""),FALSE)</f>
        <v>0</v>
      </c>
      <c r="M1000" s="32" t="b">
        <f>IFERROR(__xludf.DUMMYFUNCTION("""COMPUTED_VALUE"""),FALSE)</f>
        <v>0</v>
      </c>
      <c r="N1000" s="32"/>
    </row>
    <row r="1001">
      <c r="A1001" s="32"/>
      <c r="B1001" s="32"/>
      <c r="C1001" s="32"/>
      <c r="D1001" s="32"/>
      <c r="E1001" s="32"/>
      <c r="F1001" s="32"/>
      <c r="G1001" s="32"/>
      <c r="H1001" s="32"/>
      <c r="I1001" s="32"/>
      <c r="J1001" s="32" t="b">
        <f>IFERROR(__xludf.DUMMYFUNCTION("""COMPUTED_VALUE"""),FALSE)</f>
        <v>0</v>
      </c>
      <c r="K1001" s="32"/>
      <c r="L1001" s="32" t="b">
        <f>IFERROR(__xludf.DUMMYFUNCTION("""COMPUTED_VALUE"""),FALSE)</f>
        <v>0</v>
      </c>
      <c r="M1001" s="32" t="b">
        <f>IFERROR(__xludf.DUMMYFUNCTION("""COMPUTED_VALUE"""),FALSE)</f>
        <v>0</v>
      </c>
      <c r="N1001" s="32"/>
    </row>
    <row r="1002">
      <c r="A1002" s="32"/>
      <c r="B1002" s="32"/>
      <c r="C1002" s="32"/>
      <c r="D1002" s="32"/>
      <c r="E1002" s="32"/>
      <c r="F1002" s="32"/>
      <c r="G1002" s="32"/>
      <c r="H1002" s="32"/>
      <c r="I1002" s="32"/>
      <c r="J1002" s="32" t="b">
        <f>IFERROR(__xludf.DUMMYFUNCTION("""COMPUTED_VALUE"""),FALSE)</f>
        <v>0</v>
      </c>
      <c r="K1002" s="32"/>
      <c r="L1002" s="32" t="b">
        <f>IFERROR(__xludf.DUMMYFUNCTION("""COMPUTED_VALUE"""),FALSE)</f>
        <v>0</v>
      </c>
      <c r="M1002" s="32" t="b">
        <f>IFERROR(__xludf.DUMMYFUNCTION("""COMPUTED_VALUE"""),FALSE)</f>
        <v>0</v>
      </c>
      <c r="N1002" s="32"/>
    </row>
    <row r="1003">
      <c r="A1003" s="32"/>
      <c r="B1003" s="32"/>
      <c r="C1003" s="32"/>
      <c r="D1003" s="32"/>
      <c r="E1003" s="32"/>
      <c r="F1003" s="32"/>
      <c r="G1003" s="32"/>
      <c r="H1003" s="32"/>
      <c r="I1003" s="32"/>
      <c r="J1003" s="32" t="b">
        <f>IFERROR(__xludf.DUMMYFUNCTION("""COMPUTED_VALUE"""),FALSE)</f>
        <v>0</v>
      </c>
      <c r="K1003" s="32"/>
      <c r="L1003" s="32" t="b">
        <f>IFERROR(__xludf.DUMMYFUNCTION("""COMPUTED_VALUE"""),FALSE)</f>
        <v>0</v>
      </c>
      <c r="M1003" s="32" t="b">
        <f>IFERROR(__xludf.DUMMYFUNCTION("""COMPUTED_VALUE"""),FALSE)</f>
        <v>0</v>
      </c>
      <c r="N1003" s="32"/>
    </row>
    <row r="1004">
      <c r="A1004" s="32"/>
      <c r="B1004" s="32"/>
      <c r="C1004" s="32"/>
      <c r="D1004" s="32"/>
      <c r="E1004" s="32"/>
      <c r="F1004" s="32"/>
      <c r="G1004" s="32"/>
      <c r="H1004" s="32"/>
      <c r="I1004" s="32"/>
      <c r="J1004" s="32" t="b">
        <f>IFERROR(__xludf.DUMMYFUNCTION("""COMPUTED_VALUE"""),FALSE)</f>
        <v>0</v>
      </c>
      <c r="K1004" s="32"/>
      <c r="L1004" s="32" t="b">
        <f>IFERROR(__xludf.DUMMYFUNCTION("""COMPUTED_VALUE"""),FALSE)</f>
        <v>0</v>
      </c>
      <c r="M1004" s="32" t="b">
        <f>IFERROR(__xludf.DUMMYFUNCTION("""COMPUTED_VALUE"""),FALSE)</f>
        <v>0</v>
      </c>
      <c r="N1004" s="32"/>
    </row>
    <row r="1005">
      <c r="A1005" s="32"/>
      <c r="B1005" s="32"/>
      <c r="C1005" s="32"/>
      <c r="D1005" s="32"/>
      <c r="E1005" s="32"/>
      <c r="F1005" s="32"/>
      <c r="G1005" s="32"/>
      <c r="H1005" s="32"/>
      <c r="I1005" s="32"/>
      <c r="J1005" s="32" t="b">
        <f>IFERROR(__xludf.DUMMYFUNCTION("""COMPUTED_VALUE"""),FALSE)</f>
        <v>0</v>
      </c>
      <c r="K1005" s="32"/>
      <c r="L1005" s="32" t="b">
        <f>IFERROR(__xludf.DUMMYFUNCTION("""COMPUTED_VALUE"""),FALSE)</f>
        <v>0</v>
      </c>
      <c r="M1005" s="32" t="b">
        <f>IFERROR(__xludf.DUMMYFUNCTION("""COMPUTED_VALUE"""),FALSE)</f>
        <v>0</v>
      </c>
      <c r="N1005" s="32"/>
    </row>
    <row r="1006">
      <c r="A1006" s="32"/>
      <c r="B1006" s="32"/>
      <c r="C1006" s="32"/>
      <c r="D1006" s="32"/>
      <c r="E1006" s="32"/>
      <c r="F1006" s="32"/>
      <c r="G1006" s="32"/>
      <c r="H1006" s="32"/>
      <c r="I1006" s="32"/>
      <c r="J1006" s="32" t="b">
        <f>IFERROR(__xludf.DUMMYFUNCTION("""COMPUTED_VALUE"""),FALSE)</f>
        <v>0</v>
      </c>
      <c r="K1006" s="32"/>
      <c r="L1006" s="32" t="b">
        <f>IFERROR(__xludf.DUMMYFUNCTION("""COMPUTED_VALUE"""),FALSE)</f>
        <v>0</v>
      </c>
      <c r="M1006" s="32" t="b">
        <f>IFERROR(__xludf.DUMMYFUNCTION("""COMPUTED_VALUE"""),FALSE)</f>
        <v>0</v>
      </c>
      <c r="N1006" s="32"/>
    </row>
    <row r="1007">
      <c r="A1007" s="32"/>
      <c r="B1007" s="32"/>
      <c r="C1007" s="32"/>
      <c r="D1007" s="32"/>
      <c r="E1007" s="32"/>
      <c r="F1007" s="32"/>
      <c r="G1007" s="32"/>
      <c r="H1007" s="32"/>
      <c r="I1007" s="32"/>
      <c r="J1007" s="32" t="b">
        <f>IFERROR(__xludf.DUMMYFUNCTION("""COMPUTED_VALUE"""),FALSE)</f>
        <v>0</v>
      </c>
      <c r="K1007" s="32"/>
      <c r="L1007" s="32" t="b">
        <f>IFERROR(__xludf.DUMMYFUNCTION("""COMPUTED_VALUE"""),FALSE)</f>
        <v>0</v>
      </c>
      <c r="M1007" s="32" t="b">
        <f>IFERROR(__xludf.DUMMYFUNCTION("""COMPUTED_VALUE"""),FALSE)</f>
        <v>0</v>
      </c>
      <c r="N1007" s="32"/>
    </row>
    <row r="1008">
      <c r="A1008" s="32"/>
      <c r="B1008" s="32"/>
      <c r="C1008" s="32"/>
      <c r="D1008" s="32"/>
      <c r="E1008" s="32"/>
      <c r="F1008" s="32"/>
      <c r="G1008" s="32"/>
      <c r="H1008" s="32"/>
      <c r="I1008" s="32"/>
      <c r="J1008" s="32" t="b">
        <f>IFERROR(__xludf.DUMMYFUNCTION("""COMPUTED_VALUE"""),FALSE)</f>
        <v>0</v>
      </c>
      <c r="K1008" s="32"/>
      <c r="L1008" s="32" t="b">
        <f>IFERROR(__xludf.DUMMYFUNCTION("""COMPUTED_VALUE"""),FALSE)</f>
        <v>0</v>
      </c>
      <c r="M1008" s="32" t="b">
        <f>IFERROR(__xludf.DUMMYFUNCTION("""COMPUTED_VALUE"""),FALSE)</f>
        <v>0</v>
      </c>
      <c r="N1008" s="32"/>
    </row>
    <row r="1009">
      <c r="A1009" s="32"/>
      <c r="B1009" s="32"/>
      <c r="C1009" s="32"/>
      <c r="D1009" s="32"/>
      <c r="E1009" s="32"/>
      <c r="F1009" s="32"/>
      <c r="G1009" s="32"/>
      <c r="H1009" s="32"/>
      <c r="I1009" s="32"/>
      <c r="J1009" s="32" t="b">
        <f>IFERROR(__xludf.DUMMYFUNCTION("""COMPUTED_VALUE"""),FALSE)</f>
        <v>0</v>
      </c>
      <c r="K1009" s="32"/>
      <c r="L1009" s="32" t="b">
        <f>IFERROR(__xludf.DUMMYFUNCTION("""COMPUTED_VALUE"""),FALSE)</f>
        <v>0</v>
      </c>
      <c r="M1009" s="32" t="b">
        <f>IFERROR(__xludf.DUMMYFUNCTION("""COMPUTED_VALUE"""),FALSE)</f>
        <v>0</v>
      </c>
      <c r="N1009" s="32"/>
    </row>
    <row r="1010">
      <c r="A1010" s="32"/>
      <c r="B1010" s="32"/>
      <c r="C1010" s="32"/>
      <c r="D1010" s="32"/>
      <c r="E1010" s="32"/>
      <c r="F1010" s="32"/>
      <c r="G1010" s="32"/>
      <c r="H1010" s="32"/>
      <c r="I1010" s="32"/>
      <c r="J1010" s="32" t="b">
        <f>IFERROR(__xludf.DUMMYFUNCTION("""COMPUTED_VALUE"""),FALSE)</f>
        <v>0</v>
      </c>
      <c r="K1010" s="32"/>
      <c r="L1010" s="32" t="b">
        <f>IFERROR(__xludf.DUMMYFUNCTION("""COMPUTED_VALUE"""),FALSE)</f>
        <v>0</v>
      </c>
      <c r="M1010" s="32" t="b">
        <f>IFERROR(__xludf.DUMMYFUNCTION("""COMPUTED_VALUE"""),FALSE)</f>
        <v>0</v>
      </c>
      <c r="N1010" s="32"/>
    </row>
    <row r="1011">
      <c r="A1011" s="32"/>
      <c r="B1011" s="32"/>
      <c r="C1011" s="32"/>
      <c r="D1011" s="32"/>
      <c r="E1011" s="32"/>
      <c r="F1011" s="32"/>
      <c r="G1011" s="32"/>
      <c r="H1011" s="32"/>
      <c r="I1011" s="32"/>
      <c r="J1011" s="32" t="b">
        <f>IFERROR(__xludf.DUMMYFUNCTION("""COMPUTED_VALUE"""),FALSE)</f>
        <v>0</v>
      </c>
      <c r="K1011" s="32"/>
      <c r="L1011" s="32" t="b">
        <f>IFERROR(__xludf.DUMMYFUNCTION("""COMPUTED_VALUE"""),FALSE)</f>
        <v>0</v>
      </c>
      <c r="M1011" s="32" t="b">
        <f>IFERROR(__xludf.DUMMYFUNCTION("""COMPUTED_VALUE"""),FALSE)</f>
        <v>0</v>
      </c>
      <c r="N1011" s="32"/>
    </row>
    <row r="1012">
      <c r="A1012" s="32"/>
      <c r="B1012" s="32"/>
      <c r="C1012" s="32"/>
      <c r="D1012" s="32"/>
      <c r="E1012" s="32"/>
      <c r="F1012" s="32"/>
      <c r="G1012" s="32"/>
      <c r="H1012" s="32"/>
      <c r="I1012" s="32"/>
      <c r="J1012" s="32" t="b">
        <f>IFERROR(__xludf.DUMMYFUNCTION("""COMPUTED_VALUE"""),FALSE)</f>
        <v>0</v>
      </c>
      <c r="K1012" s="32"/>
      <c r="L1012" s="32" t="b">
        <f>IFERROR(__xludf.DUMMYFUNCTION("""COMPUTED_VALUE"""),FALSE)</f>
        <v>0</v>
      </c>
      <c r="M1012" s="32" t="b">
        <f>IFERROR(__xludf.DUMMYFUNCTION("""COMPUTED_VALUE"""),FALSE)</f>
        <v>0</v>
      </c>
      <c r="N1012" s="32"/>
    </row>
    <row r="1013">
      <c r="A1013" s="32"/>
      <c r="B1013" s="32"/>
      <c r="C1013" s="32"/>
      <c r="D1013" s="32"/>
      <c r="E1013" s="32"/>
      <c r="F1013" s="32"/>
      <c r="G1013" s="32"/>
      <c r="H1013" s="32"/>
      <c r="I1013" s="32"/>
      <c r="J1013" s="32" t="b">
        <f>IFERROR(__xludf.DUMMYFUNCTION("""COMPUTED_VALUE"""),FALSE)</f>
        <v>0</v>
      </c>
      <c r="K1013" s="32"/>
      <c r="L1013" s="32" t="b">
        <f>IFERROR(__xludf.DUMMYFUNCTION("""COMPUTED_VALUE"""),FALSE)</f>
        <v>0</v>
      </c>
      <c r="M1013" s="32" t="b">
        <f>IFERROR(__xludf.DUMMYFUNCTION("""COMPUTED_VALUE"""),FALSE)</f>
        <v>0</v>
      </c>
      <c r="N1013" s="32"/>
    </row>
    <row r="1014">
      <c r="A1014" s="32"/>
      <c r="B1014" s="32"/>
      <c r="C1014" s="32"/>
      <c r="D1014" s="32"/>
      <c r="E1014" s="32"/>
      <c r="F1014" s="32"/>
      <c r="G1014" s="32"/>
      <c r="H1014" s="32"/>
      <c r="I1014" s="32"/>
      <c r="J1014" s="32" t="b">
        <f>IFERROR(__xludf.DUMMYFUNCTION("""COMPUTED_VALUE"""),FALSE)</f>
        <v>0</v>
      </c>
      <c r="K1014" s="32"/>
      <c r="L1014" s="32" t="b">
        <f>IFERROR(__xludf.DUMMYFUNCTION("""COMPUTED_VALUE"""),FALSE)</f>
        <v>0</v>
      </c>
      <c r="M1014" s="32" t="b">
        <f>IFERROR(__xludf.DUMMYFUNCTION("""COMPUTED_VALUE"""),FALSE)</f>
        <v>0</v>
      </c>
      <c r="N1014" s="32"/>
    </row>
    <row r="1015">
      <c r="A1015" s="32"/>
      <c r="B1015" s="32"/>
      <c r="C1015" s="32"/>
      <c r="D1015" s="32"/>
      <c r="E1015" s="32"/>
      <c r="F1015" s="32"/>
      <c r="G1015" s="32"/>
      <c r="H1015" s="32"/>
      <c r="I1015" s="32"/>
      <c r="J1015" s="32" t="b">
        <f>IFERROR(__xludf.DUMMYFUNCTION("""COMPUTED_VALUE"""),FALSE)</f>
        <v>0</v>
      </c>
      <c r="K1015" s="32"/>
      <c r="L1015" s="32" t="b">
        <f>IFERROR(__xludf.DUMMYFUNCTION("""COMPUTED_VALUE"""),FALSE)</f>
        <v>0</v>
      </c>
      <c r="M1015" s="32" t="b">
        <f>IFERROR(__xludf.DUMMYFUNCTION("""COMPUTED_VALUE"""),FALSE)</f>
        <v>0</v>
      </c>
      <c r="N1015" s="32"/>
    </row>
    <row r="1016">
      <c r="A1016" s="32"/>
      <c r="B1016" s="32"/>
      <c r="C1016" s="32"/>
      <c r="D1016" s="32"/>
      <c r="E1016" s="32"/>
      <c r="F1016" s="32"/>
      <c r="G1016" s="32"/>
      <c r="H1016" s="32"/>
      <c r="I1016" s="32"/>
      <c r="J1016" s="32" t="b">
        <f>IFERROR(__xludf.DUMMYFUNCTION("""COMPUTED_VALUE"""),FALSE)</f>
        <v>0</v>
      </c>
      <c r="K1016" s="32"/>
      <c r="L1016" s="32" t="b">
        <f>IFERROR(__xludf.DUMMYFUNCTION("""COMPUTED_VALUE"""),FALSE)</f>
        <v>0</v>
      </c>
      <c r="M1016" s="32" t="b">
        <f>IFERROR(__xludf.DUMMYFUNCTION("""COMPUTED_VALUE"""),FALSE)</f>
        <v>0</v>
      </c>
      <c r="N1016" s="32"/>
    </row>
    <row r="1017">
      <c r="A1017" s="32"/>
      <c r="B1017" s="32"/>
      <c r="C1017" s="32"/>
      <c r="D1017" s="32"/>
      <c r="E1017" s="32"/>
      <c r="F1017" s="32"/>
      <c r="G1017" s="32"/>
      <c r="H1017" s="32"/>
      <c r="I1017" s="32"/>
      <c r="J1017" s="32" t="b">
        <f>IFERROR(__xludf.DUMMYFUNCTION("""COMPUTED_VALUE"""),FALSE)</f>
        <v>0</v>
      </c>
      <c r="K1017" s="32"/>
      <c r="L1017" s="32" t="b">
        <f>IFERROR(__xludf.DUMMYFUNCTION("""COMPUTED_VALUE"""),FALSE)</f>
        <v>0</v>
      </c>
      <c r="M1017" s="32" t="b">
        <f>IFERROR(__xludf.DUMMYFUNCTION("""COMPUTED_VALUE"""),FALSE)</f>
        <v>0</v>
      </c>
      <c r="N1017" s="32"/>
    </row>
    <row r="1018">
      <c r="A1018" s="32"/>
      <c r="B1018" s="32"/>
      <c r="C1018" s="32"/>
      <c r="D1018" s="32"/>
      <c r="E1018" s="32"/>
      <c r="F1018" s="32"/>
      <c r="G1018" s="32"/>
      <c r="H1018" s="32"/>
      <c r="I1018" s="32"/>
      <c r="J1018" s="32" t="b">
        <f>IFERROR(__xludf.DUMMYFUNCTION("""COMPUTED_VALUE"""),FALSE)</f>
        <v>0</v>
      </c>
      <c r="K1018" s="32"/>
      <c r="L1018" s="32" t="b">
        <f>IFERROR(__xludf.DUMMYFUNCTION("""COMPUTED_VALUE"""),FALSE)</f>
        <v>0</v>
      </c>
      <c r="M1018" s="32" t="b">
        <f>IFERROR(__xludf.DUMMYFUNCTION("""COMPUTED_VALUE"""),FALSE)</f>
        <v>0</v>
      </c>
      <c r="N1018" s="32"/>
    </row>
    <row r="1019">
      <c r="A1019" s="32"/>
      <c r="B1019" s="32"/>
      <c r="C1019" s="32"/>
      <c r="D1019" s="32"/>
      <c r="E1019" s="32"/>
      <c r="F1019" s="32"/>
      <c r="G1019" s="32"/>
      <c r="H1019" s="32"/>
      <c r="I1019" s="32"/>
      <c r="J1019" s="32" t="b">
        <f>IFERROR(__xludf.DUMMYFUNCTION("""COMPUTED_VALUE"""),FALSE)</f>
        <v>0</v>
      </c>
      <c r="K1019" s="32"/>
      <c r="L1019" s="32" t="b">
        <f>IFERROR(__xludf.DUMMYFUNCTION("""COMPUTED_VALUE"""),FALSE)</f>
        <v>0</v>
      </c>
      <c r="M1019" s="32" t="b">
        <f>IFERROR(__xludf.DUMMYFUNCTION("""COMPUTED_VALUE"""),FALSE)</f>
        <v>0</v>
      </c>
      <c r="N1019" s="32"/>
    </row>
    <row r="1020">
      <c r="A1020" s="32"/>
      <c r="B1020" s="32"/>
      <c r="C1020" s="32"/>
      <c r="D1020" s="32"/>
      <c r="E1020" s="32"/>
      <c r="F1020" s="32"/>
      <c r="G1020" s="32"/>
      <c r="H1020" s="32"/>
      <c r="I1020" s="32"/>
      <c r="J1020" s="32" t="b">
        <f>IFERROR(__xludf.DUMMYFUNCTION("""COMPUTED_VALUE"""),FALSE)</f>
        <v>0</v>
      </c>
      <c r="K1020" s="32"/>
      <c r="L1020" s="32" t="b">
        <f>IFERROR(__xludf.DUMMYFUNCTION("""COMPUTED_VALUE"""),FALSE)</f>
        <v>0</v>
      </c>
      <c r="M1020" s="32" t="b">
        <f>IFERROR(__xludf.DUMMYFUNCTION("""COMPUTED_VALUE"""),FALSE)</f>
        <v>0</v>
      </c>
      <c r="N1020" s="32"/>
    </row>
    <row r="1021">
      <c r="A1021" s="32"/>
      <c r="B1021" s="32"/>
      <c r="C1021" s="32"/>
      <c r="D1021" s="32"/>
      <c r="E1021" s="32"/>
      <c r="F1021" s="32"/>
      <c r="G1021" s="32"/>
      <c r="H1021" s="32"/>
      <c r="I1021" s="32"/>
      <c r="J1021" s="32" t="b">
        <f>IFERROR(__xludf.DUMMYFUNCTION("""COMPUTED_VALUE"""),FALSE)</f>
        <v>0</v>
      </c>
      <c r="K1021" s="32"/>
      <c r="L1021" s="32" t="b">
        <f>IFERROR(__xludf.DUMMYFUNCTION("""COMPUTED_VALUE"""),FALSE)</f>
        <v>0</v>
      </c>
      <c r="M1021" s="32" t="b">
        <f>IFERROR(__xludf.DUMMYFUNCTION("""COMPUTED_VALUE"""),FALSE)</f>
        <v>0</v>
      </c>
      <c r="N1021" s="32"/>
    </row>
    <row r="1022">
      <c r="A1022" s="32"/>
      <c r="B1022" s="32"/>
      <c r="C1022" s="32"/>
      <c r="D1022" s="32"/>
      <c r="E1022" s="32"/>
      <c r="F1022" s="32"/>
      <c r="G1022" s="32"/>
      <c r="H1022" s="32"/>
      <c r="I1022" s="32"/>
      <c r="J1022" s="32" t="b">
        <f>IFERROR(__xludf.DUMMYFUNCTION("""COMPUTED_VALUE"""),FALSE)</f>
        <v>0</v>
      </c>
      <c r="K1022" s="32"/>
      <c r="L1022" s="32" t="b">
        <f>IFERROR(__xludf.DUMMYFUNCTION("""COMPUTED_VALUE"""),FALSE)</f>
        <v>0</v>
      </c>
      <c r="M1022" s="32" t="b">
        <f>IFERROR(__xludf.DUMMYFUNCTION("""COMPUTED_VALUE"""),FALSE)</f>
        <v>0</v>
      </c>
      <c r="N1022" s="32"/>
    </row>
    <row r="1023">
      <c r="A1023" s="32"/>
      <c r="B1023" s="32"/>
      <c r="C1023" s="32"/>
      <c r="D1023" s="32"/>
      <c r="E1023" s="32"/>
      <c r="F1023" s="32"/>
      <c r="G1023" s="32"/>
      <c r="H1023" s="32"/>
      <c r="I1023" s="32"/>
      <c r="J1023" s="32" t="b">
        <f>IFERROR(__xludf.DUMMYFUNCTION("""COMPUTED_VALUE"""),FALSE)</f>
        <v>0</v>
      </c>
      <c r="K1023" s="32"/>
      <c r="L1023" s="32" t="b">
        <f>IFERROR(__xludf.DUMMYFUNCTION("""COMPUTED_VALUE"""),FALSE)</f>
        <v>0</v>
      </c>
      <c r="M1023" s="32" t="b">
        <f>IFERROR(__xludf.DUMMYFUNCTION("""COMPUTED_VALUE"""),FALSE)</f>
        <v>0</v>
      </c>
      <c r="N1023" s="32"/>
    </row>
    <row r="1024">
      <c r="A1024" s="32"/>
      <c r="B1024" s="32"/>
      <c r="C1024" s="32"/>
      <c r="D1024" s="32"/>
      <c r="E1024" s="32"/>
      <c r="F1024" s="32"/>
      <c r="G1024" s="32"/>
      <c r="H1024" s="32"/>
      <c r="I1024" s="32"/>
      <c r="J1024" s="32" t="b">
        <f>IFERROR(__xludf.DUMMYFUNCTION("""COMPUTED_VALUE"""),FALSE)</f>
        <v>0</v>
      </c>
      <c r="K1024" s="32"/>
      <c r="L1024" s="32" t="b">
        <f>IFERROR(__xludf.DUMMYFUNCTION("""COMPUTED_VALUE"""),FALSE)</f>
        <v>0</v>
      </c>
      <c r="M1024" s="32" t="b">
        <f>IFERROR(__xludf.DUMMYFUNCTION("""COMPUTED_VALUE"""),FALSE)</f>
        <v>0</v>
      </c>
      <c r="N1024" s="32"/>
    </row>
    <row r="1025">
      <c r="A1025" s="32"/>
      <c r="B1025" s="32"/>
      <c r="C1025" s="32"/>
      <c r="D1025" s="32"/>
      <c r="E1025" s="32"/>
      <c r="F1025" s="32"/>
      <c r="G1025" s="32"/>
      <c r="H1025" s="32"/>
      <c r="I1025" s="32"/>
      <c r="J1025" s="32" t="b">
        <f>IFERROR(__xludf.DUMMYFUNCTION("""COMPUTED_VALUE"""),FALSE)</f>
        <v>0</v>
      </c>
      <c r="K1025" s="32"/>
      <c r="L1025" s="32" t="b">
        <f>IFERROR(__xludf.DUMMYFUNCTION("""COMPUTED_VALUE"""),FALSE)</f>
        <v>0</v>
      </c>
      <c r="M1025" s="32" t="b">
        <f>IFERROR(__xludf.DUMMYFUNCTION("""COMPUTED_VALUE"""),FALSE)</f>
        <v>0</v>
      </c>
      <c r="N1025" s="32"/>
    </row>
    <row r="1026">
      <c r="A1026" s="32"/>
      <c r="B1026" s="32"/>
      <c r="C1026" s="32"/>
      <c r="D1026" s="32"/>
      <c r="E1026" s="32"/>
      <c r="F1026" s="32"/>
      <c r="G1026" s="32"/>
      <c r="H1026" s="32"/>
      <c r="I1026" s="32"/>
      <c r="J1026" s="32" t="b">
        <f>IFERROR(__xludf.DUMMYFUNCTION("""COMPUTED_VALUE"""),FALSE)</f>
        <v>0</v>
      </c>
      <c r="K1026" s="32"/>
      <c r="L1026" s="32" t="b">
        <f>IFERROR(__xludf.DUMMYFUNCTION("""COMPUTED_VALUE"""),FALSE)</f>
        <v>0</v>
      </c>
      <c r="M1026" s="32" t="b">
        <f>IFERROR(__xludf.DUMMYFUNCTION("""COMPUTED_VALUE"""),FALSE)</f>
        <v>0</v>
      </c>
      <c r="N1026" s="32"/>
    </row>
    <row r="1027">
      <c r="A1027" s="32"/>
      <c r="B1027" s="32"/>
      <c r="C1027" s="32"/>
      <c r="D1027" s="32"/>
      <c r="E1027" s="32"/>
      <c r="F1027" s="32"/>
      <c r="G1027" s="32"/>
      <c r="H1027" s="32"/>
      <c r="I1027" s="32"/>
      <c r="J1027" s="32" t="b">
        <f>IFERROR(__xludf.DUMMYFUNCTION("""COMPUTED_VALUE"""),FALSE)</f>
        <v>0</v>
      </c>
      <c r="K1027" s="32"/>
      <c r="L1027" s="32" t="b">
        <f>IFERROR(__xludf.DUMMYFUNCTION("""COMPUTED_VALUE"""),FALSE)</f>
        <v>0</v>
      </c>
      <c r="M1027" s="32" t="b">
        <f>IFERROR(__xludf.DUMMYFUNCTION("""COMPUTED_VALUE"""),FALSE)</f>
        <v>0</v>
      </c>
      <c r="N1027" s="32"/>
    </row>
    <row r="1028">
      <c r="A1028" s="32"/>
      <c r="B1028" s="32"/>
      <c r="C1028" s="32"/>
      <c r="D1028" s="32"/>
      <c r="E1028" s="32"/>
      <c r="F1028" s="32"/>
      <c r="G1028" s="32"/>
      <c r="H1028" s="32"/>
      <c r="I1028" s="32"/>
      <c r="J1028" s="32" t="b">
        <f>IFERROR(__xludf.DUMMYFUNCTION("""COMPUTED_VALUE"""),FALSE)</f>
        <v>0</v>
      </c>
      <c r="K1028" s="32"/>
      <c r="L1028" s="32" t="b">
        <f>IFERROR(__xludf.DUMMYFUNCTION("""COMPUTED_VALUE"""),FALSE)</f>
        <v>0</v>
      </c>
      <c r="M1028" s="32" t="b">
        <f>IFERROR(__xludf.DUMMYFUNCTION("""COMPUTED_VALUE"""),FALSE)</f>
        <v>0</v>
      </c>
      <c r="N1028" s="32"/>
    </row>
    <row r="1029">
      <c r="A1029" s="32"/>
      <c r="B1029" s="32"/>
      <c r="C1029" s="32"/>
      <c r="D1029" s="32"/>
      <c r="E1029" s="32"/>
      <c r="F1029" s="32"/>
      <c r="G1029" s="32"/>
      <c r="H1029" s="32"/>
      <c r="I1029" s="32"/>
      <c r="J1029" s="32" t="b">
        <f>IFERROR(__xludf.DUMMYFUNCTION("""COMPUTED_VALUE"""),FALSE)</f>
        <v>0</v>
      </c>
      <c r="K1029" s="32"/>
      <c r="L1029" s="32" t="b">
        <f>IFERROR(__xludf.DUMMYFUNCTION("""COMPUTED_VALUE"""),FALSE)</f>
        <v>0</v>
      </c>
      <c r="M1029" s="32" t="b">
        <f>IFERROR(__xludf.DUMMYFUNCTION("""COMPUTED_VALUE"""),FALSE)</f>
        <v>0</v>
      </c>
      <c r="N1029" s="32"/>
    </row>
    <row r="1030">
      <c r="A1030" s="32"/>
      <c r="B1030" s="32"/>
      <c r="C1030" s="32"/>
      <c r="D1030" s="32"/>
      <c r="E1030" s="32"/>
      <c r="F1030" s="32"/>
      <c r="G1030" s="32"/>
      <c r="H1030" s="32"/>
      <c r="I1030" s="32"/>
      <c r="J1030" s="32" t="b">
        <f>IFERROR(__xludf.DUMMYFUNCTION("""COMPUTED_VALUE"""),FALSE)</f>
        <v>0</v>
      </c>
      <c r="K1030" s="32"/>
      <c r="L1030" s="32" t="b">
        <f>IFERROR(__xludf.DUMMYFUNCTION("""COMPUTED_VALUE"""),FALSE)</f>
        <v>0</v>
      </c>
      <c r="M1030" s="32" t="b">
        <f>IFERROR(__xludf.DUMMYFUNCTION("""COMPUTED_VALUE"""),FALSE)</f>
        <v>0</v>
      </c>
      <c r="N1030" s="32"/>
    </row>
    <row r="1031">
      <c r="A1031" s="32"/>
      <c r="B1031" s="32"/>
      <c r="C1031" s="32"/>
      <c r="D1031" s="32"/>
      <c r="E1031" s="32"/>
      <c r="F1031" s="32"/>
      <c r="G1031" s="32"/>
      <c r="H1031" s="32"/>
      <c r="I1031" s="32"/>
      <c r="J1031" s="32" t="b">
        <f>IFERROR(__xludf.DUMMYFUNCTION("""COMPUTED_VALUE"""),FALSE)</f>
        <v>0</v>
      </c>
      <c r="K1031" s="32"/>
      <c r="L1031" s="32" t="b">
        <f>IFERROR(__xludf.DUMMYFUNCTION("""COMPUTED_VALUE"""),FALSE)</f>
        <v>0</v>
      </c>
      <c r="M1031" s="32" t="b">
        <f>IFERROR(__xludf.DUMMYFUNCTION("""COMPUTED_VALUE"""),FALSE)</f>
        <v>0</v>
      </c>
      <c r="N1031" s="32"/>
    </row>
    <row r="1032">
      <c r="A1032" s="32"/>
      <c r="B1032" s="32"/>
      <c r="C1032" s="32"/>
      <c r="D1032" s="32"/>
      <c r="E1032" s="32"/>
      <c r="F1032" s="32"/>
      <c r="G1032" s="32"/>
      <c r="H1032" s="32"/>
      <c r="I1032" s="32"/>
      <c r="J1032" s="32" t="b">
        <f>IFERROR(__xludf.DUMMYFUNCTION("""COMPUTED_VALUE"""),FALSE)</f>
        <v>0</v>
      </c>
      <c r="K1032" s="32"/>
      <c r="L1032" s="32" t="b">
        <f>IFERROR(__xludf.DUMMYFUNCTION("""COMPUTED_VALUE"""),FALSE)</f>
        <v>0</v>
      </c>
      <c r="M1032" s="32" t="b">
        <f>IFERROR(__xludf.DUMMYFUNCTION("""COMPUTED_VALUE"""),FALSE)</f>
        <v>0</v>
      </c>
      <c r="N1032" s="32"/>
    </row>
    <row r="1033">
      <c r="A1033" s="32"/>
      <c r="B1033" s="32"/>
      <c r="C1033" s="32"/>
      <c r="D1033" s="32"/>
      <c r="E1033" s="32"/>
      <c r="F1033" s="32"/>
      <c r="G1033" s="32"/>
      <c r="H1033" s="32"/>
      <c r="I1033" s="32"/>
      <c r="J1033" s="32" t="b">
        <f>IFERROR(__xludf.DUMMYFUNCTION("""COMPUTED_VALUE"""),FALSE)</f>
        <v>0</v>
      </c>
      <c r="K1033" s="32"/>
      <c r="L1033" s="32" t="b">
        <f>IFERROR(__xludf.DUMMYFUNCTION("""COMPUTED_VALUE"""),FALSE)</f>
        <v>0</v>
      </c>
      <c r="M1033" s="32" t="b">
        <f>IFERROR(__xludf.DUMMYFUNCTION("""COMPUTED_VALUE"""),FALSE)</f>
        <v>0</v>
      </c>
      <c r="N1033" s="32"/>
    </row>
    <row r="1034">
      <c r="A1034" s="32"/>
      <c r="B1034" s="32"/>
      <c r="C1034" s="32"/>
      <c r="D1034" s="32"/>
      <c r="E1034" s="32"/>
      <c r="F1034" s="32"/>
      <c r="G1034" s="32"/>
      <c r="H1034" s="32"/>
      <c r="I1034" s="32"/>
      <c r="J1034" s="32" t="b">
        <f>IFERROR(__xludf.DUMMYFUNCTION("""COMPUTED_VALUE"""),FALSE)</f>
        <v>0</v>
      </c>
      <c r="K1034" s="32"/>
      <c r="L1034" s="32" t="b">
        <f>IFERROR(__xludf.DUMMYFUNCTION("""COMPUTED_VALUE"""),FALSE)</f>
        <v>0</v>
      </c>
      <c r="M1034" s="32" t="b">
        <f>IFERROR(__xludf.DUMMYFUNCTION("""COMPUTED_VALUE"""),FALSE)</f>
        <v>0</v>
      </c>
      <c r="N1034" s="32"/>
    </row>
    <row r="1035">
      <c r="A1035" s="32"/>
      <c r="B1035" s="32"/>
      <c r="C1035" s="32"/>
      <c r="D1035" s="32"/>
      <c r="E1035" s="32"/>
      <c r="F1035" s="32"/>
      <c r="G1035" s="32"/>
      <c r="H1035" s="32"/>
      <c r="I1035" s="32"/>
      <c r="J1035" s="32" t="b">
        <f>IFERROR(__xludf.DUMMYFUNCTION("""COMPUTED_VALUE"""),FALSE)</f>
        <v>0</v>
      </c>
      <c r="K1035" s="32"/>
      <c r="L1035" s="32" t="b">
        <f>IFERROR(__xludf.DUMMYFUNCTION("""COMPUTED_VALUE"""),FALSE)</f>
        <v>0</v>
      </c>
      <c r="M1035" s="32" t="b">
        <f>IFERROR(__xludf.DUMMYFUNCTION("""COMPUTED_VALUE"""),FALSE)</f>
        <v>0</v>
      </c>
      <c r="N1035" s="32"/>
    </row>
    <row r="1036">
      <c r="A1036" s="32"/>
      <c r="B1036" s="32"/>
      <c r="C1036" s="32"/>
      <c r="D1036" s="32"/>
      <c r="E1036" s="32"/>
      <c r="F1036" s="32"/>
      <c r="G1036" s="32"/>
      <c r="H1036" s="32"/>
      <c r="I1036" s="32"/>
      <c r="J1036" s="32" t="b">
        <f>IFERROR(__xludf.DUMMYFUNCTION("""COMPUTED_VALUE"""),FALSE)</f>
        <v>0</v>
      </c>
      <c r="K1036" s="32"/>
      <c r="L1036" s="32" t="b">
        <f>IFERROR(__xludf.DUMMYFUNCTION("""COMPUTED_VALUE"""),FALSE)</f>
        <v>0</v>
      </c>
      <c r="M1036" s="32" t="b">
        <f>IFERROR(__xludf.DUMMYFUNCTION("""COMPUTED_VALUE"""),FALSE)</f>
        <v>0</v>
      </c>
      <c r="N1036" s="32"/>
    </row>
    <row r="1037">
      <c r="A1037" s="32"/>
      <c r="B1037" s="32"/>
      <c r="C1037" s="32"/>
      <c r="D1037" s="32"/>
      <c r="E1037" s="32"/>
      <c r="F1037" s="32"/>
      <c r="G1037" s="32"/>
      <c r="H1037" s="32"/>
      <c r="I1037" s="32"/>
      <c r="J1037" s="32" t="b">
        <f>IFERROR(__xludf.DUMMYFUNCTION("""COMPUTED_VALUE"""),FALSE)</f>
        <v>0</v>
      </c>
      <c r="K1037" s="32"/>
      <c r="L1037" s="32" t="b">
        <f>IFERROR(__xludf.DUMMYFUNCTION("""COMPUTED_VALUE"""),FALSE)</f>
        <v>0</v>
      </c>
      <c r="M1037" s="32" t="b">
        <f>IFERROR(__xludf.DUMMYFUNCTION("""COMPUTED_VALUE"""),FALSE)</f>
        <v>0</v>
      </c>
      <c r="N1037" s="32"/>
    </row>
    <row r="1038">
      <c r="A1038" s="32"/>
      <c r="B1038" s="32"/>
      <c r="C1038" s="32"/>
      <c r="D1038" s="32"/>
      <c r="E1038" s="32"/>
      <c r="F1038" s="32"/>
      <c r="G1038" s="32"/>
      <c r="H1038" s="32"/>
      <c r="I1038" s="32"/>
      <c r="J1038" s="32" t="b">
        <f>IFERROR(__xludf.DUMMYFUNCTION("""COMPUTED_VALUE"""),FALSE)</f>
        <v>0</v>
      </c>
      <c r="K1038" s="32"/>
      <c r="L1038" s="32" t="b">
        <f>IFERROR(__xludf.DUMMYFUNCTION("""COMPUTED_VALUE"""),FALSE)</f>
        <v>0</v>
      </c>
      <c r="M1038" s="32" t="b">
        <f>IFERROR(__xludf.DUMMYFUNCTION("""COMPUTED_VALUE"""),FALSE)</f>
        <v>0</v>
      </c>
      <c r="N1038" s="32"/>
    </row>
    <row r="1039">
      <c r="A1039" s="32"/>
      <c r="B1039" s="32"/>
      <c r="C1039" s="32"/>
      <c r="D1039" s="32"/>
      <c r="E1039" s="32"/>
      <c r="F1039" s="32"/>
      <c r="G1039" s="32"/>
      <c r="H1039" s="32"/>
      <c r="I1039" s="32"/>
      <c r="J1039" s="32" t="b">
        <f>IFERROR(__xludf.DUMMYFUNCTION("""COMPUTED_VALUE"""),FALSE)</f>
        <v>0</v>
      </c>
      <c r="K1039" s="32"/>
      <c r="L1039" s="32" t="b">
        <f>IFERROR(__xludf.DUMMYFUNCTION("""COMPUTED_VALUE"""),FALSE)</f>
        <v>0</v>
      </c>
      <c r="M1039" s="32" t="b">
        <f>IFERROR(__xludf.DUMMYFUNCTION("""COMPUTED_VALUE"""),FALSE)</f>
        <v>0</v>
      </c>
      <c r="N1039" s="32"/>
    </row>
    <row r="1040">
      <c r="A1040" s="32"/>
      <c r="B1040" s="32"/>
      <c r="C1040" s="32"/>
      <c r="D1040" s="32"/>
      <c r="E1040" s="32"/>
      <c r="F1040" s="32"/>
      <c r="G1040" s="32"/>
      <c r="H1040" s="32"/>
      <c r="I1040" s="32"/>
      <c r="J1040" s="32" t="b">
        <f>IFERROR(__xludf.DUMMYFUNCTION("""COMPUTED_VALUE"""),FALSE)</f>
        <v>0</v>
      </c>
      <c r="K1040" s="32"/>
      <c r="L1040" s="32" t="b">
        <f>IFERROR(__xludf.DUMMYFUNCTION("""COMPUTED_VALUE"""),FALSE)</f>
        <v>0</v>
      </c>
      <c r="M1040" s="32" t="b">
        <f>IFERROR(__xludf.DUMMYFUNCTION("""COMPUTED_VALUE"""),FALSE)</f>
        <v>0</v>
      </c>
      <c r="N1040" s="32"/>
    </row>
    <row r="1041">
      <c r="A1041" s="32"/>
      <c r="B1041" s="32"/>
      <c r="C1041" s="32"/>
      <c r="D1041" s="32"/>
      <c r="E1041" s="32"/>
      <c r="F1041" s="32"/>
      <c r="G1041" s="32"/>
      <c r="H1041" s="32"/>
      <c r="I1041" s="32"/>
      <c r="J1041" s="32" t="b">
        <f>IFERROR(__xludf.DUMMYFUNCTION("""COMPUTED_VALUE"""),FALSE)</f>
        <v>0</v>
      </c>
      <c r="K1041" s="32"/>
      <c r="L1041" s="32" t="b">
        <f>IFERROR(__xludf.DUMMYFUNCTION("""COMPUTED_VALUE"""),FALSE)</f>
        <v>0</v>
      </c>
      <c r="M1041" s="32" t="b">
        <f>IFERROR(__xludf.DUMMYFUNCTION("""COMPUTED_VALUE"""),FALSE)</f>
        <v>0</v>
      </c>
      <c r="N1041" s="32"/>
    </row>
    <row r="1042">
      <c r="A1042" s="32"/>
      <c r="B1042" s="32"/>
      <c r="C1042" s="32"/>
      <c r="D1042" s="32"/>
      <c r="E1042" s="32"/>
      <c r="F1042" s="32"/>
      <c r="G1042" s="32"/>
      <c r="H1042" s="32"/>
      <c r="I1042" s="32"/>
      <c r="J1042" s="32" t="b">
        <f>IFERROR(__xludf.DUMMYFUNCTION("""COMPUTED_VALUE"""),FALSE)</f>
        <v>0</v>
      </c>
      <c r="K1042" s="32"/>
      <c r="L1042" s="32" t="b">
        <f>IFERROR(__xludf.DUMMYFUNCTION("""COMPUTED_VALUE"""),FALSE)</f>
        <v>0</v>
      </c>
      <c r="M1042" s="32" t="b">
        <f>IFERROR(__xludf.DUMMYFUNCTION("""COMPUTED_VALUE"""),FALSE)</f>
        <v>0</v>
      </c>
      <c r="N1042" s="32"/>
    </row>
    <row r="1043">
      <c r="A1043" s="32"/>
      <c r="B1043" s="32"/>
      <c r="C1043" s="32"/>
      <c r="D1043" s="32"/>
      <c r="E1043" s="32"/>
      <c r="F1043" s="32"/>
      <c r="G1043" s="32"/>
      <c r="H1043" s="32"/>
      <c r="I1043" s="32"/>
      <c r="J1043" s="32" t="b">
        <f>IFERROR(__xludf.DUMMYFUNCTION("""COMPUTED_VALUE"""),FALSE)</f>
        <v>0</v>
      </c>
      <c r="K1043" s="32"/>
      <c r="L1043" s="32" t="b">
        <f>IFERROR(__xludf.DUMMYFUNCTION("""COMPUTED_VALUE"""),FALSE)</f>
        <v>0</v>
      </c>
      <c r="M1043" s="32" t="b">
        <f>IFERROR(__xludf.DUMMYFUNCTION("""COMPUTED_VALUE"""),FALSE)</f>
        <v>0</v>
      </c>
      <c r="N1043" s="32"/>
    </row>
    <row r="1044">
      <c r="A1044" s="32"/>
      <c r="B1044" s="32"/>
      <c r="C1044" s="32"/>
      <c r="D1044" s="32"/>
      <c r="E1044" s="32"/>
      <c r="F1044" s="32"/>
      <c r="G1044" s="32"/>
      <c r="H1044" s="32"/>
      <c r="I1044" s="32"/>
      <c r="J1044" s="32" t="b">
        <f>IFERROR(__xludf.DUMMYFUNCTION("""COMPUTED_VALUE"""),FALSE)</f>
        <v>0</v>
      </c>
      <c r="K1044" s="32"/>
      <c r="L1044" s="32" t="b">
        <f>IFERROR(__xludf.DUMMYFUNCTION("""COMPUTED_VALUE"""),FALSE)</f>
        <v>0</v>
      </c>
      <c r="M1044" s="32" t="b">
        <f>IFERROR(__xludf.DUMMYFUNCTION("""COMPUTED_VALUE"""),FALSE)</f>
        <v>0</v>
      </c>
      <c r="N1044" s="32"/>
    </row>
    <row r="1045">
      <c r="A1045" s="32"/>
      <c r="B1045" s="32"/>
      <c r="C1045" s="32"/>
      <c r="D1045" s="32"/>
      <c r="E1045" s="32"/>
      <c r="F1045" s="32"/>
      <c r="G1045" s="32"/>
      <c r="H1045" s="32"/>
      <c r="I1045" s="32"/>
      <c r="J1045" s="32" t="b">
        <f>IFERROR(__xludf.DUMMYFUNCTION("""COMPUTED_VALUE"""),FALSE)</f>
        <v>0</v>
      </c>
      <c r="K1045" s="32"/>
      <c r="L1045" s="32" t="b">
        <f>IFERROR(__xludf.DUMMYFUNCTION("""COMPUTED_VALUE"""),FALSE)</f>
        <v>0</v>
      </c>
      <c r="M1045" s="32" t="b">
        <f>IFERROR(__xludf.DUMMYFUNCTION("""COMPUTED_VALUE"""),FALSE)</f>
        <v>0</v>
      </c>
      <c r="N1045" s="32"/>
    </row>
    <row r="1046">
      <c r="A1046" s="32"/>
      <c r="B1046" s="32"/>
      <c r="C1046" s="32"/>
      <c r="D1046" s="32"/>
      <c r="E1046" s="32"/>
      <c r="F1046" s="32"/>
      <c r="G1046" s="32"/>
      <c r="H1046" s="32"/>
      <c r="I1046" s="32"/>
      <c r="J1046" s="32" t="b">
        <f>IFERROR(__xludf.DUMMYFUNCTION("""COMPUTED_VALUE"""),FALSE)</f>
        <v>0</v>
      </c>
      <c r="K1046" s="32"/>
      <c r="L1046" s="32" t="b">
        <f>IFERROR(__xludf.DUMMYFUNCTION("""COMPUTED_VALUE"""),FALSE)</f>
        <v>0</v>
      </c>
      <c r="M1046" s="32" t="b">
        <f>IFERROR(__xludf.DUMMYFUNCTION("""COMPUTED_VALUE"""),FALSE)</f>
        <v>0</v>
      </c>
      <c r="N1046" s="32"/>
    </row>
    <row r="1047">
      <c r="A1047" s="32"/>
      <c r="B1047" s="32"/>
      <c r="C1047" s="32"/>
      <c r="D1047" s="32"/>
      <c r="E1047" s="32"/>
      <c r="F1047" s="32"/>
      <c r="G1047" s="32"/>
      <c r="H1047" s="32"/>
      <c r="I1047" s="32"/>
      <c r="J1047" s="32" t="b">
        <f>IFERROR(__xludf.DUMMYFUNCTION("""COMPUTED_VALUE"""),FALSE)</f>
        <v>0</v>
      </c>
      <c r="K1047" s="32"/>
      <c r="L1047" s="32" t="b">
        <f>IFERROR(__xludf.DUMMYFUNCTION("""COMPUTED_VALUE"""),FALSE)</f>
        <v>0</v>
      </c>
      <c r="M1047" s="32" t="b">
        <f>IFERROR(__xludf.DUMMYFUNCTION("""COMPUTED_VALUE"""),FALSE)</f>
        <v>0</v>
      </c>
      <c r="N1047" s="32"/>
    </row>
    <row r="1048">
      <c r="A1048" s="32"/>
      <c r="B1048" s="32"/>
      <c r="C1048" s="32"/>
      <c r="D1048" s="32"/>
      <c r="E1048" s="32"/>
      <c r="F1048" s="32"/>
      <c r="G1048" s="32"/>
      <c r="H1048" s="32"/>
      <c r="I1048" s="32"/>
      <c r="J1048" s="32" t="b">
        <f>IFERROR(__xludf.DUMMYFUNCTION("""COMPUTED_VALUE"""),FALSE)</f>
        <v>0</v>
      </c>
      <c r="K1048" s="32"/>
      <c r="L1048" s="32" t="b">
        <f>IFERROR(__xludf.DUMMYFUNCTION("""COMPUTED_VALUE"""),FALSE)</f>
        <v>0</v>
      </c>
      <c r="M1048" s="32" t="b">
        <f>IFERROR(__xludf.DUMMYFUNCTION("""COMPUTED_VALUE"""),FALSE)</f>
        <v>0</v>
      </c>
      <c r="N1048" s="32"/>
    </row>
    <row r="1049">
      <c r="A1049" s="32"/>
      <c r="B1049" s="32"/>
      <c r="C1049" s="32"/>
      <c r="D1049" s="32"/>
      <c r="E1049" s="32"/>
      <c r="F1049" s="32"/>
      <c r="G1049" s="32"/>
      <c r="H1049" s="32"/>
      <c r="I1049" s="32"/>
      <c r="J1049" s="32" t="b">
        <f>IFERROR(__xludf.DUMMYFUNCTION("""COMPUTED_VALUE"""),FALSE)</f>
        <v>0</v>
      </c>
      <c r="K1049" s="32"/>
      <c r="L1049" s="32" t="b">
        <f>IFERROR(__xludf.DUMMYFUNCTION("""COMPUTED_VALUE"""),FALSE)</f>
        <v>0</v>
      </c>
      <c r="M1049" s="32" t="b">
        <f>IFERROR(__xludf.DUMMYFUNCTION("""COMPUTED_VALUE"""),FALSE)</f>
        <v>0</v>
      </c>
      <c r="N1049" s="32"/>
    </row>
    <row r="1050">
      <c r="A1050" s="32"/>
      <c r="B1050" s="32"/>
      <c r="C1050" s="32"/>
      <c r="D1050" s="32"/>
      <c r="E1050" s="32"/>
      <c r="F1050" s="32"/>
      <c r="G1050" s="32"/>
      <c r="H1050" s="32"/>
      <c r="I1050" s="32"/>
      <c r="J1050" s="32" t="b">
        <f>IFERROR(__xludf.DUMMYFUNCTION("""COMPUTED_VALUE"""),FALSE)</f>
        <v>0</v>
      </c>
      <c r="K1050" s="32"/>
      <c r="L1050" s="32" t="b">
        <f>IFERROR(__xludf.DUMMYFUNCTION("""COMPUTED_VALUE"""),FALSE)</f>
        <v>0</v>
      </c>
      <c r="M1050" s="32" t="b">
        <f>IFERROR(__xludf.DUMMYFUNCTION("""COMPUTED_VALUE"""),FALSE)</f>
        <v>0</v>
      </c>
      <c r="N1050" s="32"/>
    </row>
    <row r="1051">
      <c r="A1051" s="32"/>
      <c r="B1051" s="32"/>
      <c r="C1051" s="32"/>
      <c r="D1051" s="32"/>
      <c r="E1051" s="32"/>
      <c r="F1051" s="32"/>
      <c r="G1051" s="32"/>
      <c r="H1051" s="32"/>
      <c r="I1051" s="32"/>
      <c r="J1051" s="32" t="b">
        <f>IFERROR(__xludf.DUMMYFUNCTION("""COMPUTED_VALUE"""),FALSE)</f>
        <v>0</v>
      </c>
      <c r="K1051" s="32"/>
      <c r="L1051" s="32" t="b">
        <f>IFERROR(__xludf.DUMMYFUNCTION("""COMPUTED_VALUE"""),FALSE)</f>
        <v>0</v>
      </c>
      <c r="M1051" s="32" t="b">
        <f>IFERROR(__xludf.DUMMYFUNCTION("""COMPUTED_VALUE"""),FALSE)</f>
        <v>0</v>
      </c>
      <c r="N1051" s="32"/>
    </row>
    <row r="1052">
      <c r="A1052" s="32"/>
      <c r="B1052" s="32"/>
      <c r="C1052" s="32"/>
      <c r="D1052" s="32"/>
      <c r="E1052" s="32"/>
      <c r="F1052" s="32"/>
      <c r="G1052" s="32"/>
      <c r="H1052" s="32"/>
      <c r="I1052" s="32"/>
      <c r="J1052" s="32" t="b">
        <f>IFERROR(__xludf.DUMMYFUNCTION("""COMPUTED_VALUE"""),FALSE)</f>
        <v>0</v>
      </c>
      <c r="K1052" s="32"/>
      <c r="L1052" s="32" t="b">
        <f>IFERROR(__xludf.DUMMYFUNCTION("""COMPUTED_VALUE"""),FALSE)</f>
        <v>0</v>
      </c>
      <c r="M1052" s="32" t="b">
        <f>IFERROR(__xludf.DUMMYFUNCTION("""COMPUTED_VALUE"""),FALSE)</f>
        <v>0</v>
      </c>
      <c r="N1052" s="32"/>
    </row>
    <row r="1053">
      <c r="A1053" s="32"/>
      <c r="B1053" s="32"/>
      <c r="C1053" s="32"/>
      <c r="D1053" s="32"/>
      <c r="E1053" s="32"/>
      <c r="F1053" s="32"/>
      <c r="G1053" s="32"/>
      <c r="H1053" s="32"/>
      <c r="I1053" s="32"/>
      <c r="J1053" s="32" t="b">
        <f>IFERROR(__xludf.DUMMYFUNCTION("""COMPUTED_VALUE"""),FALSE)</f>
        <v>0</v>
      </c>
      <c r="K1053" s="32"/>
      <c r="L1053" s="32" t="b">
        <f>IFERROR(__xludf.DUMMYFUNCTION("""COMPUTED_VALUE"""),FALSE)</f>
        <v>0</v>
      </c>
      <c r="M1053" s="32" t="b">
        <f>IFERROR(__xludf.DUMMYFUNCTION("""COMPUTED_VALUE"""),FALSE)</f>
        <v>0</v>
      </c>
      <c r="N1053" s="32"/>
    </row>
    <row r="1054">
      <c r="A1054" s="32"/>
      <c r="B1054" s="32"/>
      <c r="C1054" s="32"/>
      <c r="D1054" s="32"/>
      <c r="E1054" s="32"/>
      <c r="F1054" s="32"/>
      <c r="G1054" s="32"/>
      <c r="H1054" s="32"/>
      <c r="I1054" s="32"/>
      <c r="J1054" s="32" t="b">
        <f>IFERROR(__xludf.DUMMYFUNCTION("""COMPUTED_VALUE"""),FALSE)</f>
        <v>0</v>
      </c>
      <c r="K1054" s="32"/>
      <c r="L1054" s="32" t="b">
        <f>IFERROR(__xludf.DUMMYFUNCTION("""COMPUTED_VALUE"""),FALSE)</f>
        <v>0</v>
      </c>
      <c r="M1054" s="32" t="b">
        <f>IFERROR(__xludf.DUMMYFUNCTION("""COMPUTED_VALUE"""),FALSE)</f>
        <v>0</v>
      </c>
      <c r="N1054" s="32"/>
    </row>
    <row r="1055">
      <c r="A1055" s="32"/>
      <c r="B1055" s="32"/>
      <c r="C1055" s="32"/>
      <c r="D1055" s="32"/>
      <c r="E1055" s="32"/>
      <c r="F1055" s="32"/>
      <c r="G1055" s="32"/>
      <c r="H1055" s="32"/>
      <c r="I1055" s="32"/>
      <c r="J1055" s="32" t="b">
        <f>IFERROR(__xludf.DUMMYFUNCTION("""COMPUTED_VALUE"""),FALSE)</f>
        <v>0</v>
      </c>
      <c r="K1055" s="32"/>
      <c r="L1055" s="32" t="b">
        <f>IFERROR(__xludf.DUMMYFUNCTION("""COMPUTED_VALUE"""),FALSE)</f>
        <v>0</v>
      </c>
      <c r="M1055" s="32" t="b">
        <f>IFERROR(__xludf.DUMMYFUNCTION("""COMPUTED_VALUE"""),FALSE)</f>
        <v>0</v>
      </c>
      <c r="N1055" s="32"/>
    </row>
    <row r="1056">
      <c r="A1056" s="32"/>
      <c r="B1056" s="32"/>
      <c r="C1056" s="32"/>
      <c r="D1056" s="32"/>
      <c r="E1056" s="32"/>
      <c r="F1056" s="32"/>
      <c r="G1056" s="32"/>
      <c r="H1056" s="32"/>
      <c r="I1056" s="32"/>
      <c r="J1056" s="32" t="b">
        <f>IFERROR(__xludf.DUMMYFUNCTION("""COMPUTED_VALUE"""),FALSE)</f>
        <v>0</v>
      </c>
      <c r="K1056" s="32"/>
      <c r="L1056" s="32" t="b">
        <f>IFERROR(__xludf.DUMMYFUNCTION("""COMPUTED_VALUE"""),FALSE)</f>
        <v>0</v>
      </c>
      <c r="M1056" s="32" t="b">
        <f>IFERROR(__xludf.DUMMYFUNCTION("""COMPUTED_VALUE"""),FALSE)</f>
        <v>0</v>
      </c>
      <c r="N1056" s="32"/>
    </row>
    <row r="1057">
      <c r="A1057" s="32"/>
      <c r="B1057" s="32"/>
      <c r="C1057" s="32"/>
      <c r="D1057" s="32"/>
      <c r="E1057" s="32"/>
      <c r="F1057" s="32"/>
      <c r="G1057" s="32"/>
      <c r="H1057" s="32"/>
      <c r="I1057" s="32"/>
      <c r="J1057" s="32" t="b">
        <f>IFERROR(__xludf.DUMMYFUNCTION("""COMPUTED_VALUE"""),FALSE)</f>
        <v>0</v>
      </c>
      <c r="K1057" s="32"/>
      <c r="L1057" s="32" t="b">
        <f>IFERROR(__xludf.DUMMYFUNCTION("""COMPUTED_VALUE"""),FALSE)</f>
        <v>0</v>
      </c>
      <c r="M1057" s="32" t="b">
        <f>IFERROR(__xludf.DUMMYFUNCTION("""COMPUTED_VALUE"""),FALSE)</f>
        <v>0</v>
      </c>
      <c r="N1057" s="32"/>
    </row>
    <row r="1058">
      <c r="A1058" s="32"/>
      <c r="B1058" s="32"/>
      <c r="C1058" s="32"/>
      <c r="D1058" s="32"/>
      <c r="E1058" s="32"/>
      <c r="F1058" s="32"/>
      <c r="G1058" s="32"/>
      <c r="H1058" s="32"/>
      <c r="I1058" s="32"/>
      <c r="J1058" s="32" t="b">
        <f>IFERROR(__xludf.DUMMYFUNCTION("""COMPUTED_VALUE"""),FALSE)</f>
        <v>0</v>
      </c>
      <c r="K1058" s="32"/>
      <c r="L1058" s="32" t="b">
        <f>IFERROR(__xludf.DUMMYFUNCTION("""COMPUTED_VALUE"""),FALSE)</f>
        <v>0</v>
      </c>
      <c r="M1058" s="32" t="b">
        <f>IFERROR(__xludf.DUMMYFUNCTION("""COMPUTED_VALUE"""),FALSE)</f>
        <v>0</v>
      </c>
      <c r="N1058" s="32"/>
    </row>
    <row r="1059">
      <c r="A1059" s="32"/>
      <c r="B1059" s="32"/>
      <c r="C1059" s="32"/>
      <c r="D1059" s="32"/>
      <c r="E1059" s="32"/>
      <c r="F1059" s="32"/>
      <c r="G1059" s="32"/>
      <c r="H1059" s="32"/>
      <c r="I1059" s="32"/>
      <c r="J1059" s="32" t="b">
        <f>IFERROR(__xludf.DUMMYFUNCTION("""COMPUTED_VALUE"""),FALSE)</f>
        <v>0</v>
      </c>
      <c r="K1059" s="32"/>
      <c r="L1059" s="32" t="b">
        <f>IFERROR(__xludf.DUMMYFUNCTION("""COMPUTED_VALUE"""),FALSE)</f>
        <v>0</v>
      </c>
      <c r="M1059" s="32" t="b">
        <f>IFERROR(__xludf.DUMMYFUNCTION("""COMPUTED_VALUE"""),FALSE)</f>
        <v>0</v>
      </c>
      <c r="N1059" s="32"/>
    </row>
    <row r="1060">
      <c r="A1060" s="32"/>
      <c r="B1060" s="32"/>
      <c r="C1060" s="32"/>
      <c r="D1060" s="32"/>
      <c r="E1060" s="32"/>
      <c r="F1060" s="32"/>
      <c r="G1060" s="32"/>
      <c r="H1060" s="32"/>
      <c r="I1060" s="32"/>
      <c r="J1060" s="32" t="b">
        <f>IFERROR(__xludf.DUMMYFUNCTION("""COMPUTED_VALUE"""),FALSE)</f>
        <v>0</v>
      </c>
      <c r="K1060" s="32"/>
      <c r="L1060" s="32" t="b">
        <f>IFERROR(__xludf.DUMMYFUNCTION("""COMPUTED_VALUE"""),FALSE)</f>
        <v>0</v>
      </c>
      <c r="M1060" s="32" t="b">
        <f>IFERROR(__xludf.DUMMYFUNCTION("""COMPUTED_VALUE"""),FALSE)</f>
        <v>0</v>
      </c>
      <c r="N1060" s="32"/>
    </row>
    <row r="1061">
      <c r="A1061" s="32"/>
      <c r="B1061" s="32"/>
      <c r="C1061" s="32"/>
      <c r="D1061" s="32"/>
      <c r="E1061" s="32"/>
      <c r="F1061" s="32"/>
      <c r="G1061" s="32"/>
      <c r="H1061" s="32"/>
      <c r="I1061" s="32"/>
      <c r="J1061" s="32" t="b">
        <f>IFERROR(__xludf.DUMMYFUNCTION("""COMPUTED_VALUE"""),FALSE)</f>
        <v>0</v>
      </c>
      <c r="K1061" s="32"/>
      <c r="L1061" s="32" t="b">
        <f>IFERROR(__xludf.DUMMYFUNCTION("""COMPUTED_VALUE"""),FALSE)</f>
        <v>0</v>
      </c>
      <c r="M1061" s="32" t="b">
        <f>IFERROR(__xludf.DUMMYFUNCTION("""COMPUTED_VALUE"""),FALSE)</f>
        <v>0</v>
      </c>
      <c r="N1061" s="32"/>
    </row>
    <row r="1062">
      <c r="A1062" s="32"/>
      <c r="B1062" s="32"/>
      <c r="C1062" s="32"/>
      <c r="D1062" s="32"/>
      <c r="E1062" s="32"/>
      <c r="F1062" s="32"/>
      <c r="G1062" s="32"/>
      <c r="H1062" s="32"/>
      <c r="I1062" s="32"/>
      <c r="J1062" s="32" t="b">
        <f>IFERROR(__xludf.DUMMYFUNCTION("""COMPUTED_VALUE"""),FALSE)</f>
        <v>0</v>
      </c>
      <c r="K1062" s="32"/>
      <c r="L1062" s="32" t="b">
        <f>IFERROR(__xludf.DUMMYFUNCTION("""COMPUTED_VALUE"""),FALSE)</f>
        <v>0</v>
      </c>
      <c r="M1062" s="32" t="b">
        <f>IFERROR(__xludf.DUMMYFUNCTION("""COMPUTED_VALUE"""),FALSE)</f>
        <v>0</v>
      </c>
      <c r="N1062" s="32"/>
    </row>
    <row r="1063">
      <c r="A1063" s="32"/>
      <c r="B1063" s="32"/>
      <c r="C1063" s="32"/>
      <c r="D1063" s="32"/>
      <c r="E1063" s="32"/>
      <c r="F1063" s="32"/>
      <c r="G1063" s="32"/>
      <c r="H1063" s="32"/>
      <c r="I1063" s="32"/>
      <c r="J1063" s="32" t="b">
        <f>IFERROR(__xludf.DUMMYFUNCTION("""COMPUTED_VALUE"""),FALSE)</f>
        <v>0</v>
      </c>
      <c r="K1063" s="32"/>
      <c r="L1063" s="32" t="b">
        <f>IFERROR(__xludf.DUMMYFUNCTION("""COMPUTED_VALUE"""),FALSE)</f>
        <v>0</v>
      </c>
      <c r="M1063" s="32" t="b">
        <f>IFERROR(__xludf.DUMMYFUNCTION("""COMPUTED_VALUE"""),FALSE)</f>
        <v>0</v>
      </c>
      <c r="N1063" s="32"/>
    </row>
    <row r="1064">
      <c r="A1064" s="32"/>
      <c r="B1064" s="32"/>
      <c r="C1064" s="32"/>
      <c r="D1064" s="32"/>
      <c r="E1064" s="32"/>
      <c r="F1064" s="32"/>
      <c r="G1064" s="32"/>
      <c r="H1064" s="32"/>
      <c r="I1064" s="32"/>
      <c r="J1064" s="32" t="b">
        <f>IFERROR(__xludf.DUMMYFUNCTION("""COMPUTED_VALUE"""),FALSE)</f>
        <v>0</v>
      </c>
      <c r="K1064" s="32"/>
      <c r="L1064" s="32" t="b">
        <f>IFERROR(__xludf.DUMMYFUNCTION("""COMPUTED_VALUE"""),FALSE)</f>
        <v>0</v>
      </c>
      <c r="M1064" s="32" t="b">
        <f>IFERROR(__xludf.DUMMYFUNCTION("""COMPUTED_VALUE"""),FALSE)</f>
        <v>0</v>
      </c>
      <c r="N1064" s="32"/>
    </row>
    <row r="1065">
      <c r="A1065" s="32"/>
      <c r="B1065" s="32"/>
      <c r="C1065" s="32"/>
      <c r="D1065" s="32"/>
      <c r="E1065" s="32"/>
      <c r="F1065" s="32"/>
      <c r="G1065" s="32"/>
      <c r="H1065" s="32"/>
      <c r="I1065" s="32"/>
      <c r="J1065" s="32" t="b">
        <f>IFERROR(__xludf.DUMMYFUNCTION("""COMPUTED_VALUE"""),FALSE)</f>
        <v>0</v>
      </c>
      <c r="K1065" s="32"/>
      <c r="L1065" s="32" t="b">
        <f>IFERROR(__xludf.DUMMYFUNCTION("""COMPUTED_VALUE"""),FALSE)</f>
        <v>0</v>
      </c>
      <c r="M1065" s="32" t="b">
        <f>IFERROR(__xludf.DUMMYFUNCTION("""COMPUTED_VALUE"""),FALSE)</f>
        <v>0</v>
      </c>
      <c r="N1065" s="32"/>
    </row>
    <row r="1066">
      <c r="A1066" s="32"/>
      <c r="B1066" s="32"/>
      <c r="C1066" s="32"/>
      <c r="D1066" s="32"/>
      <c r="E1066" s="32"/>
      <c r="F1066" s="32"/>
      <c r="G1066" s="32"/>
      <c r="H1066" s="32"/>
      <c r="I1066" s="32"/>
      <c r="J1066" s="32" t="b">
        <f>IFERROR(__xludf.DUMMYFUNCTION("""COMPUTED_VALUE"""),FALSE)</f>
        <v>0</v>
      </c>
      <c r="K1066" s="32"/>
      <c r="L1066" s="32" t="b">
        <f>IFERROR(__xludf.DUMMYFUNCTION("""COMPUTED_VALUE"""),FALSE)</f>
        <v>0</v>
      </c>
      <c r="M1066" s="32" t="b">
        <f>IFERROR(__xludf.DUMMYFUNCTION("""COMPUTED_VALUE"""),FALSE)</f>
        <v>0</v>
      </c>
      <c r="N1066" s="32"/>
    </row>
    <row r="1067">
      <c r="A1067" s="32"/>
      <c r="B1067" s="32"/>
      <c r="C1067" s="32"/>
      <c r="D1067" s="32"/>
      <c r="E1067" s="32"/>
      <c r="F1067" s="32"/>
      <c r="G1067" s="32"/>
      <c r="H1067" s="32"/>
      <c r="I1067" s="32"/>
      <c r="J1067" s="32" t="b">
        <f>IFERROR(__xludf.DUMMYFUNCTION("""COMPUTED_VALUE"""),FALSE)</f>
        <v>0</v>
      </c>
      <c r="K1067" s="32"/>
      <c r="L1067" s="32" t="b">
        <f>IFERROR(__xludf.DUMMYFUNCTION("""COMPUTED_VALUE"""),FALSE)</f>
        <v>0</v>
      </c>
      <c r="M1067" s="32" t="b">
        <f>IFERROR(__xludf.DUMMYFUNCTION("""COMPUTED_VALUE"""),FALSE)</f>
        <v>0</v>
      </c>
      <c r="N1067" s="32"/>
    </row>
    <row r="1068">
      <c r="A1068" s="32"/>
      <c r="B1068" s="32"/>
      <c r="C1068" s="32"/>
      <c r="D1068" s="32"/>
      <c r="E1068" s="32"/>
      <c r="F1068" s="32"/>
      <c r="G1068" s="32"/>
      <c r="H1068" s="32"/>
      <c r="I1068" s="32"/>
      <c r="J1068" s="32" t="b">
        <f>IFERROR(__xludf.DUMMYFUNCTION("""COMPUTED_VALUE"""),FALSE)</f>
        <v>0</v>
      </c>
      <c r="K1068" s="32"/>
      <c r="L1068" s="32" t="b">
        <f>IFERROR(__xludf.DUMMYFUNCTION("""COMPUTED_VALUE"""),FALSE)</f>
        <v>0</v>
      </c>
      <c r="M1068" s="32" t="b">
        <f>IFERROR(__xludf.DUMMYFUNCTION("""COMPUTED_VALUE"""),FALSE)</f>
        <v>0</v>
      </c>
      <c r="N1068" s="32"/>
    </row>
    <row r="1069">
      <c r="A1069" s="32"/>
      <c r="B1069" s="32"/>
      <c r="C1069" s="32"/>
      <c r="D1069" s="32"/>
      <c r="E1069" s="32"/>
      <c r="F1069" s="32"/>
      <c r="G1069" s="32"/>
      <c r="H1069" s="32"/>
      <c r="I1069" s="32"/>
      <c r="J1069" s="32" t="b">
        <f>IFERROR(__xludf.DUMMYFUNCTION("""COMPUTED_VALUE"""),FALSE)</f>
        <v>0</v>
      </c>
      <c r="K1069" s="32"/>
      <c r="L1069" s="32" t="b">
        <f>IFERROR(__xludf.DUMMYFUNCTION("""COMPUTED_VALUE"""),FALSE)</f>
        <v>0</v>
      </c>
      <c r="M1069" s="32" t="b">
        <f>IFERROR(__xludf.DUMMYFUNCTION("""COMPUTED_VALUE"""),FALSE)</f>
        <v>0</v>
      </c>
      <c r="N1069" s="32"/>
    </row>
    <row r="1070">
      <c r="A1070" s="32"/>
      <c r="B1070" s="32"/>
      <c r="C1070" s="32"/>
      <c r="D1070" s="32"/>
      <c r="E1070" s="32"/>
      <c r="F1070" s="32"/>
      <c r="G1070" s="32"/>
      <c r="H1070" s="32"/>
      <c r="I1070" s="32"/>
      <c r="J1070" s="32" t="b">
        <f>IFERROR(__xludf.DUMMYFUNCTION("""COMPUTED_VALUE"""),FALSE)</f>
        <v>0</v>
      </c>
      <c r="K1070" s="32"/>
      <c r="L1070" s="32" t="b">
        <f>IFERROR(__xludf.DUMMYFUNCTION("""COMPUTED_VALUE"""),FALSE)</f>
        <v>0</v>
      </c>
      <c r="M1070" s="32" t="b">
        <f>IFERROR(__xludf.DUMMYFUNCTION("""COMPUTED_VALUE"""),FALSE)</f>
        <v>0</v>
      </c>
      <c r="N1070" s="32"/>
    </row>
    <row r="1071">
      <c r="A1071" s="32"/>
      <c r="B1071" s="32"/>
      <c r="C1071" s="32"/>
      <c r="D1071" s="32"/>
      <c r="E1071" s="32"/>
      <c r="F1071" s="32"/>
      <c r="G1071" s="32"/>
      <c r="H1071" s="32"/>
      <c r="I1071" s="32"/>
      <c r="J1071" s="32" t="b">
        <f>IFERROR(__xludf.DUMMYFUNCTION("""COMPUTED_VALUE"""),FALSE)</f>
        <v>0</v>
      </c>
      <c r="K1071" s="32"/>
      <c r="L1071" s="32" t="b">
        <f>IFERROR(__xludf.DUMMYFUNCTION("""COMPUTED_VALUE"""),FALSE)</f>
        <v>0</v>
      </c>
      <c r="M1071" s="32" t="b">
        <f>IFERROR(__xludf.DUMMYFUNCTION("""COMPUTED_VALUE"""),FALSE)</f>
        <v>0</v>
      </c>
      <c r="N1071" s="32"/>
    </row>
    <row r="1072">
      <c r="A1072" s="32"/>
      <c r="B1072" s="32"/>
      <c r="C1072" s="32"/>
      <c r="D1072" s="32"/>
      <c r="E1072" s="32"/>
      <c r="F1072" s="32"/>
      <c r="G1072" s="32"/>
      <c r="H1072" s="32"/>
      <c r="I1072" s="32"/>
      <c r="J1072" s="32" t="b">
        <f>IFERROR(__xludf.DUMMYFUNCTION("""COMPUTED_VALUE"""),FALSE)</f>
        <v>0</v>
      </c>
      <c r="K1072" s="32"/>
      <c r="L1072" s="32" t="b">
        <f>IFERROR(__xludf.DUMMYFUNCTION("""COMPUTED_VALUE"""),FALSE)</f>
        <v>0</v>
      </c>
      <c r="M1072" s="32" t="b">
        <f>IFERROR(__xludf.DUMMYFUNCTION("""COMPUTED_VALUE"""),FALSE)</f>
        <v>0</v>
      </c>
      <c r="N1072" s="32"/>
    </row>
    <row r="1073">
      <c r="A1073" s="32"/>
      <c r="B1073" s="32"/>
      <c r="C1073" s="32"/>
      <c r="D1073" s="32"/>
      <c r="E1073" s="32"/>
      <c r="F1073" s="32"/>
      <c r="G1073" s="32"/>
      <c r="H1073" s="32"/>
      <c r="I1073" s="32"/>
      <c r="J1073" s="32" t="b">
        <f>IFERROR(__xludf.DUMMYFUNCTION("""COMPUTED_VALUE"""),FALSE)</f>
        <v>0</v>
      </c>
      <c r="K1073" s="32"/>
      <c r="L1073" s="32" t="b">
        <f>IFERROR(__xludf.DUMMYFUNCTION("""COMPUTED_VALUE"""),FALSE)</f>
        <v>0</v>
      </c>
      <c r="M1073" s="32" t="b">
        <f>IFERROR(__xludf.DUMMYFUNCTION("""COMPUTED_VALUE"""),FALSE)</f>
        <v>0</v>
      </c>
      <c r="N1073" s="32"/>
    </row>
    <row r="1074">
      <c r="A1074" s="32"/>
      <c r="B1074" s="32"/>
      <c r="C1074" s="32"/>
      <c r="D1074" s="32"/>
      <c r="E1074" s="32"/>
      <c r="F1074" s="32"/>
      <c r="G1074" s="32"/>
      <c r="H1074" s="32"/>
      <c r="I1074" s="32"/>
      <c r="J1074" s="32" t="b">
        <f>IFERROR(__xludf.DUMMYFUNCTION("""COMPUTED_VALUE"""),FALSE)</f>
        <v>0</v>
      </c>
      <c r="K1074" s="32"/>
      <c r="L1074" s="32" t="b">
        <f>IFERROR(__xludf.DUMMYFUNCTION("""COMPUTED_VALUE"""),FALSE)</f>
        <v>0</v>
      </c>
      <c r="M1074" s="32" t="b">
        <f>IFERROR(__xludf.DUMMYFUNCTION("""COMPUTED_VALUE"""),FALSE)</f>
        <v>0</v>
      </c>
      <c r="N1074" s="32"/>
    </row>
    <row r="1075">
      <c r="A1075" s="32"/>
      <c r="B1075" s="32"/>
      <c r="C1075" s="32"/>
      <c r="D1075" s="32"/>
      <c r="E1075" s="32"/>
      <c r="F1075" s="32"/>
      <c r="G1075" s="32"/>
      <c r="H1075" s="32"/>
      <c r="I1075" s="32"/>
      <c r="J1075" s="32" t="b">
        <f>IFERROR(__xludf.DUMMYFUNCTION("""COMPUTED_VALUE"""),FALSE)</f>
        <v>0</v>
      </c>
      <c r="K1075" s="32"/>
      <c r="L1075" s="32" t="b">
        <f>IFERROR(__xludf.DUMMYFUNCTION("""COMPUTED_VALUE"""),FALSE)</f>
        <v>0</v>
      </c>
      <c r="M1075" s="32" t="b">
        <f>IFERROR(__xludf.DUMMYFUNCTION("""COMPUTED_VALUE"""),FALSE)</f>
        <v>0</v>
      </c>
      <c r="N1075" s="32"/>
    </row>
    <row r="1076">
      <c r="A1076" s="32"/>
      <c r="B1076" s="32"/>
      <c r="C1076" s="32"/>
      <c r="D1076" s="32"/>
      <c r="E1076" s="32"/>
      <c r="F1076" s="32"/>
      <c r="G1076" s="32"/>
      <c r="H1076" s="32"/>
      <c r="I1076" s="32"/>
      <c r="J1076" s="32" t="b">
        <f>IFERROR(__xludf.DUMMYFUNCTION("""COMPUTED_VALUE"""),FALSE)</f>
        <v>0</v>
      </c>
      <c r="K1076" s="32"/>
      <c r="L1076" s="32" t="b">
        <f>IFERROR(__xludf.DUMMYFUNCTION("""COMPUTED_VALUE"""),FALSE)</f>
        <v>0</v>
      </c>
      <c r="M1076" s="32" t="b">
        <f>IFERROR(__xludf.DUMMYFUNCTION("""COMPUTED_VALUE"""),FALSE)</f>
        <v>0</v>
      </c>
      <c r="N1076" s="32"/>
    </row>
    <row r="1077">
      <c r="A1077" s="32"/>
      <c r="B1077" s="32"/>
      <c r="C1077" s="32"/>
      <c r="D1077" s="32"/>
      <c r="E1077" s="32"/>
      <c r="F1077" s="32"/>
      <c r="G1077" s="32"/>
      <c r="H1077" s="32"/>
      <c r="I1077" s="32"/>
      <c r="J1077" s="32" t="b">
        <f>IFERROR(__xludf.DUMMYFUNCTION("""COMPUTED_VALUE"""),FALSE)</f>
        <v>0</v>
      </c>
      <c r="K1077" s="32"/>
      <c r="L1077" s="32" t="b">
        <f>IFERROR(__xludf.DUMMYFUNCTION("""COMPUTED_VALUE"""),FALSE)</f>
        <v>0</v>
      </c>
      <c r="M1077" s="32" t="b">
        <f>IFERROR(__xludf.DUMMYFUNCTION("""COMPUTED_VALUE"""),FALSE)</f>
        <v>0</v>
      </c>
      <c r="N1077" s="32"/>
    </row>
    <row r="1078">
      <c r="A1078" s="32"/>
      <c r="B1078" s="32"/>
      <c r="C1078" s="32"/>
      <c r="D1078" s="32"/>
      <c r="E1078" s="32"/>
      <c r="F1078" s="32"/>
      <c r="G1078" s="32"/>
      <c r="H1078" s="32"/>
      <c r="I1078" s="32"/>
      <c r="J1078" s="32" t="b">
        <f>IFERROR(__xludf.DUMMYFUNCTION("""COMPUTED_VALUE"""),FALSE)</f>
        <v>0</v>
      </c>
      <c r="K1078" s="32"/>
      <c r="L1078" s="32" t="b">
        <f>IFERROR(__xludf.DUMMYFUNCTION("""COMPUTED_VALUE"""),FALSE)</f>
        <v>0</v>
      </c>
      <c r="M1078" s="32" t="b">
        <f>IFERROR(__xludf.DUMMYFUNCTION("""COMPUTED_VALUE"""),FALSE)</f>
        <v>0</v>
      </c>
      <c r="N1078" s="32"/>
    </row>
    <row r="1079">
      <c r="A1079" s="32"/>
      <c r="B1079" s="32"/>
      <c r="C1079" s="32"/>
      <c r="D1079" s="32"/>
      <c r="E1079" s="32"/>
      <c r="F1079" s="32"/>
      <c r="G1079" s="32"/>
      <c r="H1079" s="32"/>
      <c r="I1079" s="32"/>
      <c r="J1079" s="32" t="b">
        <f>IFERROR(__xludf.DUMMYFUNCTION("""COMPUTED_VALUE"""),FALSE)</f>
        <v>0</v>
      </c>
      <c r="K1079" s="32"/>
      <c r="L1079" s="32" t="b">
        <f>IFERROR(__xludf.DUMMYFUNCTION("""COMPUTED_VALUE"""),FALSE)</f>
        <v>0</v>
      </c>
      <c r="M1079" s="32" t="b">
        <f>IFERROR(__xludf.DUMMYFUNCTION("""COMPUTED_VALUE"""),FALSE)</f>
        <v>0</v>
      </c>
      <c r="N1079" s="32"/>
    </row>
    <row r="1080">
      <c r="A1080" s="32"/>
      <c r="B1080" s="32"/>
      <c r="C1080" s="32"/>
      <c r="D1080" s="32"/>
      <c r="E1080" s="32"/>
      <c r="F1080" s="32"/>
      <c r="G1080" s="32"/>
      <c r="H1080" s="32"/>
      <c r="I1080" s="32"/>
      <c r="J1080" s="32" t="b">
        <f>IFERROR(__xludf.DUMMYFUNCTION("""COMPUTED_VALUE"""),FALSE)</f>
        <v>0</v>
      </c>
      <c r="K1080" s="32"/>
      <c r="L1080" s="32" t="b">
        <f>IFERROR(__xludf.DUMMYFUNCTION("""COMPUTED_VALUE"""),FALSE)</f>
        <v>0</v>
      </c>
      <c r="M1080" s="32" t="b">
        <f>IFERROR(__xludf.DUMMYFUNCTION("""COMPUTED_VALUE"""),FALSE)</f>
        <v>0</v>
      </c>
      <c r="N1080" s="32"/>
    </row>
    <row r="1081">
      <c r="A1081" s="32"/>
      <c r="B1081" s="32"/>
      <c r="C1081" s="32"/>
      <c r="D1081" s="32"/>
      <c r="E1081" s="32"/>
      <c r="F1081" s="32"/>
      <c r="G1081" s="32"/>
      <c r="H1081" s="32"/>
      <c r="I1081" s="32"/>
      <c r="J1081" s="32" t="b">
        <f>IFERROR(__xludf.DUMMYFUNCTION("""COMPUTED_VALUE"""),FALSE)</f>
        <v>0</v>
      </c>
      <c r="K1081" s="32"/>
      <c r="L1081" s="32" t="b">
        <f>IFERROR(__xludf.DUMMYFUNCTION("""COMPUTED_VALUE"""),FALSE)</f>
        <v>0</v>
      </c>
      <c r="M1081" s="32" t="b">
        <f>IFERROR(__xludf.DUMMYFUNCTION("""COMPUTED_VALUE"""),FALSE)</f>
        <v>0</v>
      </c>
      <c r="N1081" s="32"/>
    </row>
    <row r="1082">
      <c r="A1082" s="32"/>
      <c r="B1082" s="32"/>
      <c r="C1082" s="32"/>
      <c r="D1082" s="32"/>
      <c r="E1082" s="32"/>
      <c r="F1082" s="32"/>
      <c r="G1082" s="32"/>
      <c r="H1082" s="32"/>
      <c r="I1082" s="32"/>
      <c r="J1082" s="32" t="b">
        <f>IFERROR(__xludf.DUMMYFUNCTION("""COMPUTED_VALUE"""),FALSE)</f>
        <v>0</v>
      </c>
      <c r="K1082" s="32"/>
      <c r="L1082" s="32" t="b">
        <f>IFERROR(__xludf.DUMMYFUNCTION("""COMPUTED_VALUE"""),FALSE)</f>
        <v>0</v>
      </c>
      <c r="M1082" s="32" t="b">
        <f>IFERROR(__xludf.DUMMYFUNCTION("""COMPUTED_VALUE"""),FALSE)</f>
        <v>0</v>
      </c>
      <c r="N1082" s="32"/>
    </row>
    <row r="1083">
      <c r="A1083" s="32"/>
      <c r="B1083" s="32"/>
      <c r="C1083" s="32"/>
      <c r="D1083" s="32"/>
      <c r="E1083" s="32"/>
      <c r="F1083" s="32"/>
      <c r="G1083" s="32"/>
      <c r="H1083" s="32"/>
      <c r="I1083" s="32"/>
      <c r="J1083" s="32" t="b">
        <f>IFERROR(__xludf.DUMMYFUNCTION("""COMPUTED_VALUE"""),FALSE)</f>
        <v>0</v>
      </c>
      <c r="K1083" s="32"/>
      <c r="L1083" s="32" t="b">
        <f>IFERROR(__xludf.DUMMYFUNCTION("""COMPUTED_VALUE"""),FALSE)</f>
        <v>0</v>
      </c>
      <c r="M1083" s="32" t="b">
        <f>IFERROR(__xludf.DUMMYFUNCTION("""COMPUTED_VALUE"""),FALSE)</f>
        <v>0</v>
      </c>
      <c r="N1083" s="32"/>
    </row>
    <row r="1084">
      <c r="A1084" s="32"/>
      <c r="B1084" s="32"/>
      <c r="C1084" s="32"/>
      <c r="D1084" s="32"/>
      <c r="E1084" s="32"/>
      <c r="F1084" s="32"/>
      <c r="G1084" s="32"/>
      <c r="H1084" s="32"/>
      <c r="I1084" s="32"/>
      <c r="J1084" s="32" t="b">
        <f>IFERROR(__xludf.DUMMYFUNCTION("""COMPUTED_VALUE"""),FALSE)</f>
        <v>0</v>
      </c>
      <c r="K1084" s="32"/>
      <c r="L1084" s="32" t="b">
        <f>IFERROR(__xludf.DUMMYFUNCTION("""COMPUTED_VALUE"""),FALSE)</f>
        <v>0</v>
      </c>
      <c r="M1084" s="32" t="b">
        <f>IFERROR(__xludf.DUMMYFUNCTION("""COMPUTED_VALUE"""),FALSE)</f>
        <v>0</v>
      </c>
      <c r="N1084" s="32"/>
    </row>
    <row r="1085">
      <c r="A1085" s="32"/>
      <c r="B1085" s="32"/>
      <c r="C1085" s="32"/>
      <c r="D1085" s="32"/>
      <c r="E1085" s="32"/>
      <c r="F1085" s="32"/>
      <c r="G1085" s="32"/>
      <c r="H1085" s="32"/>
      <c r="I1085" s="32"/>
      <c r="J1085" s="32" t="b">
        <f>IFERROR(__xludf.DUMMYFUNCTION("""COMPUTED_VALUE"""),FALSE)</f>
        <v>0</v>
      </c>
      <c r="K1085" s="32"/>
      <c r="L1085" s="32" t="b">
        <f>IFERROR(__xludf.DUMMYFUNCTION("""COMPUTED_VALUE"""),FALSE)</f>
        <v>0</v>
      </c>
      <c r="M1085" s="32" t="b">
        <f>IFERROR(__xludf.DUMMYFUNCTION("""COMPUTED_VALUE"""),FALSE)</f>
        <v>0</v>
      </c>
      <c r="N1085" s="32"/>
    </row>
    <row r="1086">
      <c r="A1086" s="32"/>
      <c r="B1086" s="32"/>
      <c r="C1086" s="32"/>
      <c r="D1086" s="32"/>
      <c r="E1086" s="32"/>
      <c r="F1086" s="32"/>
      <c r="G1086" s="32"/>
      <c r="H1086" s="32"/>
      <c r="I1086" s="32"/>
      <c r="J1086" s="32" t="b">
        <f>IFERROR(__xludf.DUMMYFUNCTION("""COMPUTED_VALUE"""),FALSE)</f>
        <v>0</v>
      </c>
      <c r="K1086" s="32"/>
      <c r="L1086" s="32" t="b">
        <f>IFERROR(__xludf.DUMMYFUNCTION("""COMPUTED_VALUE"""),FALSE)</f>
        <v>0</v>
      </c>
      <c r="M1086" s="32" t="b">
        <f>IFERROR(__xludf.DUMMYFUNCTION("""COMPUTED_VALUE"""),FALSE)</f>
        <v>0</v>
      </c>
      <c r="N1086" s="32"/>
    </row>
    <row r="1087">
      <c r="A1087" s="32"/>
      <c r="B1087" s="32"/>
      <c r="C1087" s="32"/>
      <c r="D1087" s="32"/>
      <c r="E1087" s="32"/>
      <c r="F1087" s="32"/>
      <c r="G1087" s="32"/>
      <c r="H1087" s="32"/>
      <c r="I1087" s="32"/>
      <c r="J1087" s="32" t="b">
        <f>IFERROR(__xludf.DUMMYFUNCTION("""COMPUTED_VALUE"""),FALSE)</f>
        <v>0</v>
      </c>
      <c r="K1087" s="32"/>
      <c r="L1087" s="32" t="b">
        <f>IFERROR(__xludf.DUMMYFUNCTION("""COMPUTED_VALUE"""),FALSE)</f>
        <v>0</v>
      </c>
      <c r="M1087" s="32" t="b">
        <f>IFERROR(__xludf.DUMMYFUNCTION("""COMPUTED_VALUE"""),FALSE)</f>
        <v>0</v>
      </c>
      <c r="N1087" s="32"/>
    </row>
    <row r="1088">
      <c r="A1088" s="32"/>
      <c r="B1088" s="32"/>
      <c r="C1088" s="32"/>
      <c r="D1088" s="32"/>
      <c r="E1088" s="32"/>
      <c r="F1088" s="32"/>
      <c r="G1088" s="32"/>
      <c r="H1088" s="32"/>
      <c r="I1088" s="32"/>
      <c r="J1088" s="32" t="b">
        <f>IFERROR(__xludf.DUMMYFUNCTION("""COMPUTED_VALUE"""),FALSE)</f>
        <v>0</v>
      </c>
      <c r="K1088" s="32"/>
      <c r="L1088" s="32" t="b">
        <f>IFERROR(__xludf.DUMMYFUNCTION("""COMPUTED_VALUE"""),FALSE)</f>
        <v>0</v>
      </c>
      <c r="M1088" s="32" t="b">
        <f>IFERROR(__xludf.DUMMYFUNCTION("""COMPUTED_VALUE"""),FALSE)</f>
        <v>0</v>
      </c>
      <c r="N1088" s="32"/>
    </row>
    <row r="1089">
      <c r="A1089" s="32"/>
      <c r="B1089" s="32"/>
      <c r="C1089" s="32"/>
      <c r="D1089" s="32"/>
      <c r="E1089" s="32"/>
      <c r="F1089" s="32"/>
      <c r="G1089" s="32"/>
      <c r="H1089" s="32"/>
      <c r="I1089" s="32"/>
      <c r="J1089" s="32" t="b">
        <f>IFERROR(__xludf.DUMMYFUNCTION("""COMPUTED_VALUE"""),FALSE)</f>
        <v>0</v>
      </c>
      <c r="K1089" s="32"/>
      <c r="L1089" s="32" t="b">
        <f>IFERROR(__xludf.DUMMYFUNCTION("""COMPUTED_VALUE"""),FALSE)</f>
        <v>0</v>
      </c>
      <c r="M1089" s="32" t="b">
        <f>IFERROR(__xludf.DUMMYFUNCTION("""COMPUTED_VALUE"""),FALSE)</f>
        <v>0</v>
      </c>
      <c r="N1089" s="32"/>
    </row>
    <row r="1090">
      <c r="A1090" s="32"/>
      <c r="B1090" s="32"/>
      <c r="C1090" s="32"/>
      <c r="D1090" s="32"/>
      <c r="E1090" s="32"/>
      <c r="F1090" s="32"/>
      <c r="G1090" s="32"/>
      <c r="H1090" s="32"/>
      <c r="I1090" s="32"/>
      <c r="J1090" s="32" t="b">
        <f>IFERROR(__xludf.DUMMYFUNCTION("""COMPUTED_VALUE"""),FALSE)</f>
        <v>0</v>
      </c>
      <c r="K1090" s="32"/>
      <c r="L1090" s="32" t="b">
        <f>IFERROR(__xludf.DUMMYFUNCTION("""COMPUTED_VALUE"""),FALSE)</f>
        <v>0</v>
      </c>
      <c r="M1090" s="32" t="b">
        <f>IFERROR(__xludf.DUMMYFUNCTION("""COMPUTED_VALUE"""),FALSE)</f>
        <v>0</v>
      </c>
      <c r="N1090" s="32"/>
    </row>
    <row r="1091">
      <c r="A1091" s="32"/>
      <c r="B1091" s="32"/>
      <c r="C1091" s="32"/>
      <c r="D1091" s="32"/>
      <c r="E1091" s="32"/>
      <c r="F1091" s="32"/>
      <c r="G1091" s="32"/>
      <c r="H1091" s="32"/>
      <c r="I1091" s="32"/>
      <c r="J1091" s="32" t="b">
        <f>IFERROR(__xludf.DUMMYFUNCTION("""COMPUTED_VALUE"""),FALSE)</f>
        <v>0</v>
      </c>
      <c r="K1091" s="32"/>
      <c r="L1091" s="32" t="b">
        <f>IFERROR(__xludf.DUMMYFUNCTION("""COMPUTED_VALUE"""),FALSE)</f>
        <v>0</v>
      </c>
      <c r="M1091" s="32" t="b">
        <f>IFERROR(__xludf.DUMMYFUNCTION("""COMPUTED_VALUE"""),FALSE)</f>
        <v>0</v>
      </c>
      <c r="N1091" s="32"/>
    </row>
    <row r="1092">
      <c r="A1092" s="32"/>
      <c r="B1092" s="32"/>
      <c r="C1092" s="32"/>
      <c r="D1092" s="32"/>
      <c r="E1092" s="32"/>
      <c r="F1092" s="32"/>
      <c r="G1092" s="32"/>
      <c r="H1092" s="32"/>
      <c r="I1092" s="32"/>
      <c r="J1092" s="32" t="b">
        <f>IFERROR(__xludf.DUMMYFUNCTION("""COMPUTED_VALUE"""),FALSE)</f>
        <v>0</v>
      </c>
      <c r="K1092" s="32"/>
      <c r="L1092" s="32" t="b">
        <f>IFERROR(__xludf.DUMMYFUNCTION("""COMPUTED_VALUE"""),FALSE)</f>
        <v>0</v>
      </c>
      <c r="M1092" s="32" t="b">
        <f>IFERROR(__xludf.DUMMYFUNCTION("""COMPUTED_VALUE"""),FALSE)</f>
        <v>0</v>
      </c>
      <c r="N1092" s="32"/>
    </row>
    <row r="1093">
      <c r="A1093" s="32"/>
      <c r="B1093" s="32"/>
      <c r="C1093" s="32"/>
      <c r="D1093" s="32"/>
      <c r="E1093" s="32"/>
      <c r="F1093" s="32"/>
      <c r="G1093" s="32"/>
      <c r="H1093" s="32"/>
      <c r="I1093" s="32"/>
      <c r="J1093" s="32" t="b">
        <f>IFERROR(__xludf.DUMMYFUNCTION("""COMPUTED_VALUE"""),FALSE)</f>
        <v>0</v>
      </c>
      <c r="K1093" s="32"/>
      <c r="L1093" s="32" t="b">
        <f>IFERROR(__xludf.DUMMYFUNCTION("""COMPUTED_VALUE"""),FALSE)</f>
        <v>0</v>
      </c>
      <c r="M1093" s="32" t="b">
        <f>IFERROR(__xludf.DUMMYFUNCTION("""COMPUTED_VALUE"""),FALSE)</f>
        <v>0</v>
      </c>
      <c r="N1093" s="32"/>
    </row>
    <row r="1094">
      <c r="A1094" s="32"/>
      <c r="B1094" s="32"/>
      <c r="C1094" s="32"/>
      <c r="D1094" s="32"/>
      <c r="E1094" s="32"/>
      <c r="F1094" s="32"/>
      <c r="G1094" s="32"/>
      <c r="H1094" s="32"/>
      <c r="I1094" s="32"/>
      <c r="J1094" s="32" t="b">
        <f>IFERROR(__xludf.DUMMYFUNCTION("""COMPUTED_VALUE"""),FALSE)</f>
        <v>0</v>
      </c>
      <c r="K1094" s="32"/>
      <c r="L1094" s="32" t="b">
        <f>IFERROR(__xludf.DUMMYFUNCTION("""COMPUTED_VALUE"""),FALSE)</f>
        <v>0</v>
      </c>
      <c r="M1094" s="32" t="b">
        <f>IFERROR(__xludf.DUMMYFUNCTION("""COMPUTED_VALUE"""),FALSE)</f>
        <v>0</v>
      </c>
      <c r="N1094" s="32"/>
    </row>
    <row r="1095">
      <c r="A1095" s="32"/>
      <c r="B1095" s="32"/>
      <c r="C1095" s="32"/>
      <c r="D1095" s="32"/>
      <c r="E1095" s="32"/>
      <c r="F1095" s="32"/>
      <c r="G1095" s="32"/>
      <c r="H1095" s="32"/>
      <c r="I1095" s="32"/>
      <c r="J1095" s="32" t="b">
        <f>IFERROR(__xludf.DUMMYFUNCTION("""COMPUTED_VALUE"""),FALSE)</f>
        <v>0</v>
      </c>
      <c r="K1095" s="32"/>
      <c r="L1095" s="32" t="b">
        <f>IFERROR(__xludf.DUMMYFUNCTION("""COMPUTED_VALUE"""),FALSE)</f>
        <v>0</v>
      </c>
      <c r="M1095" s="32" t="b">
        <f>IFERROR(__xludf.DUMMYFUNCTION("""COMPUTED_VALUE"""),FALSE)</f>
        <v>0</v>
      </c>
      <c r="N1095" s="32"/>
    </row>
    <row r="1096">
      <c r="A1096" s="32"/>
      <c r="B1096" s="32"/>
      <c r="C1096" s="32"/>
      <c r="D1096" s="32"/>
      <c r="E1096" s="32"/>
      <c r="F1096" s="32"/>
      <c r="G1096" s="32"/>
      <c r="H1096" s="32"/>
      <c r="I1096" s="32"/>
      <c r="J1096" s="32" t="b">
        <f>IFERROR(__xludf.DUMMYFUNCTION("""COMPUTED_VALUE"""),FALSE)</f>
        <v>0</v>
      </c>
      <c r="K1096" s="32"/>
      <c r="L1096" s="32" t="b">
        <f>IFERROR(__xludf.DUMMYFUNCTION("""COMPUTED_VALUE"""),FALSE)</f>
        <v>0</v>
      </c>
      <c r="M1096" s="32" t="b">
        <f>IFERROR(__xludf.DUMMYFUNCTION("""COMPUTED_VALUE"""),FALSE)</f>
        <v>0</v>
      </c>
      <c r="N1096" s="32"/>
    </row>
    <row r="1097">
      <c r="A1097" s="32"/>
      <c r="B1097" s="32"/>
      <c r="C1097" s="32"/>
      <c r="D1097" s="32"/>
      <c r="E1097" s="32"/>
      <c r="F1097" s="32"/>
      <c r="G1097" s="32"/>
      <c r="H1097" s="32"/>
      <c r="I1097" s="32"/>
      <c r="J1097" s="32" t="b">
        <f>IFERROR(__xludf.DUMMYFUNCTION("""COMPUTED_VALUE"""),FALSE)</f>
        <v>0</v>
      </c>
      <c r="K1097" s="32"/>
      <c r="L1097" s="32" t="b">
        <f>IFERROR(__xludf.DUMMYFUNCTION("""COMPUTED_VALUE"""),FALSE)</f>
        <v>0</v>
      </c>
      <c r="M1097" s="32" t="b">
        <f>IFERROR(__xludf.DUMMYFUNCTION("""COMPUTED_VALUE"""),FALSE)</f>
        <v>0</v>
      </c>
      <c r="N1097" s="32"/>
    </row>
    <row r="1098">
      <c r="A1098" s="32"/>
      <c r="B1098" s="32"/>
      <c r="C1098" s="32"/>
      <c r="D1098" s="32"/>
      <c r="E1098" s="32"/>
      <c r="F1098" s="32"/>
      <c r="G1098" s="32"/>
      <c r="H1098" s="32"/>
      <c r="I1098" s="32"/>
      <c r="J1098" s="32" t="b">
        <f>IFERROR(__xludf.DUMMYFUNCTION("""COMPUTED_VALUE"""),FALSE)</f>
        <v>0</v>
      </c>
      <c r="K1098" s="32"/>
      <c r="L1098" s="32" t="b">
        <f>IFERROR(__xludf.DUMMYFUNCTION("""COMPUTED_VALUE"""),FALSE)</f>
        <v>0</v>
      </c>
      <c r="M1098" s="32" t="b">
        <f>IFERROR(__xludf.DUMMYFUNCTION("""COMPUTED_VALUE"""),FALSE)</f>
        <v>0</v>
      </c>
      <c r="N1098" s="32"/>
    </row>
    <row r="1099">
      <c r="A1099" s="32"/>
      <c r="B1099" s="32"/>
      <c r="C1099" s="32"/>
      <c r="D1099" s="32"/>
      <c r="E1099" s="32"/>
      <c r="F1099" s="32"/>
      <c r="G1099" s="32"/>
      <c r="H1099" s="32"/>
      <c r="I1099" s="32"/>
      <c r="J1099" s="32" t="b">
        <f>IFERROR(__xludf.DUMMYFUNCTION("""COMPUTED_VALUE"""),FALSE)</f>
        <v>0</v>
      </c>
      <c r="K1099" s="32"/>
      <c r="L1099" s="32" t="b">
        <f>IFERROR(__xludf.DUMMYFUNCTION("""COMPUTED_VALUE"""),FALSE)</f>
        <v>0</v>
      </c>
      <c r="M1099" s="32" t="b">
        <f>IFERROR(__xludf.DUMMYFUNCTION("""COMPUTED_VALUE"""),FALSE)</f>
        <v>0</v>
      </c>
      <c r="N1099" s="32"/>
    </row>
    <row r="1100">
      <c r="A1100" s="32"/>
      <c r="B1100" s="32"/>
      <c r="C1100" s="32"/>
      <c r="D1100" s="32"/>
      <c r="E1100" s="32"/>
      <c r="F1100" s="32"/>
      <c r="G1100" s="32"/>
      <c r="H1100" s="32"/>
      <c r="I1100" s="32"/>
      <c r="J1100" s="32" t="b">
        <f>IFERROR(__xludf.DUMMYFUNCTION("""COMPUTED_VALUE"""),FALSE)</f>
        <v>0</v>
      </c>
      <c r="K1100" s="32"/>
      <c r="L1100" s="32" t="b">
        <f>IFERROR(__xludf.DUMMYFUNCTION("""COMPUTED_VALUE"""),FALSE)</f>
        <v>0</v>
      </c>
      <c r="M1100" s="32" t="b">
        <f>IFERROR(__xludf.DUMMYFUNCTION("""COMPUTED_VALUE"""),FALSE)</f>
        <v>0</v>
      </c>
      <c r="N1100" s="32"/>
    </row>
    <row r="1101">
      <c r="A1101" s="32"/>
      <c r="B1101" s="32"/>
      <c r="C1101" s="32"/>
      <c r="D1101" s="32"/>
      <c r="E1101" s="32"/>
      <c r="F1101" s="32"/>
      <c r="G1101" s="32"/>
      <c r="H1101" s="32"/>
      <c r="I1101" s="32"/>
      <c r="J1101" s="32" t="b">
        <f>IFERROR(__xludf.DUMMYFUNCTION("""COMPUTED_VALUE"""),FALSE)</f>
        <v>0</v>
      </c>
      <c r="K1101" s="32"/>
      <c r="L1101" s="32" t="b">
        <f>IFERROR(__xludf.DUMMYFUNCTION("""COMPUTED_VALUE"""),FALSE)</f>
        <v>0</v>
      </c>
      <c r="M1101" s="32" t="b">
        <f>IFERROR(__xludf.DUMMYFUNCTION("""COMPUTED_VALUE"""),FALSE)</f>
        <v>0</v>
      </c>
      <c r="N1101" s="32"/>
    </row>
    <row r="1102">
      <c r="A1102" s="32"/>
      <c r="B1102" s="32"/>
      <c r="C1102" s="32"/>
      <c r="D1102" s="32"/>
      <c r="E1102" s="32"/>
      <c r="F1102" s="32"/>
      <c r="G1102" s="32"/>
      <c r="H1102" s="32"/>
      <c r="I1102" s="32"/>
      <c r="J1102" s="32" t="b">
        <f>IFERROR(__xludf.DUMMYFUNCTION("""COMPUTED_VALUE"""),FALSE)</f>
        <v>0</v>
      </c>
      <c r="K1102" s="32"/>
      <c r="L1102" s="32" t="b">
        <f>IFERROR(__xludf.DUMMYFUNCTION("""COMPUTED_VALUE"""),FALSE)</f>
        <v>0</v>
      </c>
      <c r="M1102" s="32" t="b">
        <f>IFERROR(__xludf.DUMMYFUNCTION("""COMPUTED_VALUE"""),FALSE)</f>
        <v>0</v>
      </c>
      <c r="N1102" s="32"/>
    </row>
    <row r="1103">
      <c r="A1103" s="32"/>
      <c r="B1103" s="32"/>
      <c r="C1103" s="32"/>
      <c r="D1103" s="32"/>
      <c r="E1103" s="32"/>
      <c r="F1103" s="32"/>
      <c r="G1103" s="32"/>
      <c r="H1103" s="32"/>
      <c r="I1103" s="32"/>
      <c r="J1103" s="32" t="b">
        <f>IFERROR(__xludf.DUMMYFUNCTION("""COMPUTED_VALUE"""),FALSE)</f>
        <v>0</v>
      </c>
      <c r="K1103" s="32"/>
      <c r="L1103" s="32" t="b">
        <f>IFERROR(__xludf.DUMMYFUNCTION("""COMPUTED_VALUE"""),FALSE)</f>
        <v>0</v>
      </c>
      <c r="M1103" s="32" t="b">
        <f>IFERROR(__xludf.DUMMYFUNCTION("""COMPUTED_VALUE"""),FALSE)</f>
        <v>0</v>
      </c>
      <c r="N1103" s="32"/>
    </row>
    <row r="1104">
      <c r="A1104" s="32"/>
      <c r="B1104" s="32"/>
      <c r="C1104" s="32"/>
      <c r="D1104" s="32"/>
      <c r="E1104" s="32"/>
      <c r="F1104" s="32"/>
      <c r="G1104" s="32"/>
      <c r="H1104" s="32"/>
      <c r="I1104" s="32"/>
      <c r="J1104" s="32" t="b">
        <f>IFERROR(__xludf.DUMMYFUNCTION("""COMPUTED_VALUE"""),FALSE)</f>
        <v>0</v>
      </c>
      <c r="K1104" s="32"/>
      <c r="L1104" s="32" t="b">
        <f>IFERROR(__xludf.DUMMYFUNCTION("""COMPUTED_VALUE"""),FALSE)</f>
        <v>0</v>
      </c>
      <c r="M1104" s="32" t="b">
        <f>IFERROR(__xludf.DUMMYFUNCTION("""COMPUTED_VALUE"""),FALSE)</f>
        <v>0</v>
      </c>
      <c r="N1104" s="32"/>
    </row>
    <row r="1105">
      <c r="A1105" s="32"/>
      <c r="B1105" s="32"/>
      <c r="C1105" s="32"/>
      <c r="D1105" s="32"/>
      <c r="E1105" s="32"/>
      <c r="F1105" s="32"/>
      <c r="G1105" s="32"/>
      <c r="H1105" s="32"/>
      <c r="I1105" s="32"/>
      <c r="J1105" s="32" t="b">
        <f>IFERROR(__xludf.DUMMYFUNCTION("""COMPUTED_VALUE"""),FALSE)</f>
        <v>0</v>
      </c>
      <c r="K1105" s="32"/>
      <c r="L1105" s="32" t="b">
        <f>IFERROR(__xludf.DUMMYFUNCTION("""COMPUTED_VALUE"""),FALSE)</f>
        <v>0</v>
      </c>
      <c r="M1105" s="32" t="b">
        <f>IFERROR(__xludf.DUMMYFUNCTION("""COMPUTED_VALUE"""),FALSE)</f>
        <v>0</v>
      </c>
      <c r="N1105" s="32"/>
    </row>
    <row r="1106">
      <c r="A1106" s="32"/>
      <c r="B1106" s="32"/>
      <c r="C1106" s="32"/>
      <c r="D1106" s="32"/>
      <c r="E1106" s="32"/>
      <c r="F1106" s="32"/>
      <c r="G1106" s="32"/>
      <c r="H1106" s="32"/>
      <c r="I1106" s="32"/>
      <c r="J1106" s="32" t="b">
        <f>IFERROR(__xludf.DUMMYFUNCTION("""COMPUTED_VALUE"""),FALSE)</f>
        <v>0</v>
      </c>
      <c r="K1106" s="32"/>
      <c r="L1106" s="32" t="b">
        <f>IFERROR(__xludf.DUMMYFUNCTION("""COMPUTED_VALUE"""),FALSE)</f>
        <v>0</v>
      </c>
      <c r="M1106" s="32" t="b">
        <f>IFERROR(__xludf.DUMMYFUNCTION("""COMPUTED_VALUE"""),FALSE)</f>
        <v>0</v>
      </c>
      <c r="N1106" s="32"/>
    </row>
    <row r="1107">
      <c r="A1107" s="32"/>
      <c r="B1107" s="32"/>
      <c r="C1107" s="32"/>
      <c r="D1107" s="32"/>
      <c r="E1107" s="32"/>
      <c r="F1107" s="32"/>
      <c r="G1107" s="32"/>
      <c r="H1107" s="32"/>
      <c r="I1107" s="32"/>
      <c r="J1107" s="32" t="b">
        <f>IFERROR(__xludf.DUMMYFUNCTION("""COMPUTED_VALUE"""),FALSE)</f>
        <v>0</v>
      </c>
      <c r="K1107" s="32"/>
      <c r="L1107" s="32" t="b">
        <f>IFERROR(__xludf.DUMMYFUNCTION("""COMPUTED_VALUE"""),FALSE)</f>
        <v>0</v>
      </c>
      <c r="M1107" s="32" t="b">
        <f>IFERROR(__xludf.DUMMYFUNCTION("""COMPUTED_VALUE"""),FALSE)</f>
        <v>0</v>
      </c>
      <c r="N1107" s="32"/>
    </row>
    <row r="1108">
      <c r="A1108" s="32"/>
      <c r="B1108" s="32"/>
      <c r="C1108" s="32"/>
      <c r="D1108" s="32"/>
      <c r="E1108" s="32"/>
      <c r="F1108" s="32"/>
      <c r="G1108" s="32"/>
      <c r="H1108" s="32"/>
      <c r="I1108" s="32"/>
      <c r="J1108" s="32" t="b">
        <f>IFERROR(__xludf.DUMMYFUNCTION("""COMPUTED_VALUE"""),FALSE)</f>
        <v>0</v>
      </c>
      <c r="K1108" s="32"/>
      <c r="L1108" s="32" t="b">
        <f>IFERROR(__xludf.DUMMYFUNCTION("""COMPUTED_VALUE"""),FALSE)</f>
        <v>0</v>
      </c>
      <c r="M1108" s="32" t="b">
        <f>IFERROR(__xludf.DUMMYFUNCTION("""COMPUTED_VALUE"""),FALSE)</f>
        <v>0</v>
      </c>
      <c r="N1108" s="32"/>
    </row>
    <row r="1109">
      <c r="A1109" s="32"/>
      <c r="B1109" s="32"/>
      <c r="C1109" s="32"/>
      <c r="D1109" s="32"/>
      <c r="E1109" s="32"/>
      <c r="F1109" s="32"/>
      <c r="G1109" s="32"/>
      <c r="H1109" s="32"/>
      <c r="I1109" s="32"/>
      <c r="J1109" s="32" t="b">
        <f>IFERROR(__xludf.DUMMYFUNCTION("""COMPUTED_VALUE"""),FALSE)</f>
        <v>0</v>
      </c>
      <c r="K1109" s="32"/>
      <c r="L1109" s="32" t="b">
        <f>IFERROR(__xludf.DUMMYFUNCTION("""COMPUTED_VALUE"""),FALSE)</f>
        <v>0</v>
      </c>
      <c r="M1109" s="32" t="b">
        <f>IFERROR(__xludf.DUMMYFUNCTION("""COMPUTED_VALUE"""),FALSE)</f>
        <v>0</v>
      </c>
      <c r="N1109" s="32"/>
    </row>
    <row r="1110">
      <c r="A1110" s="32"/>
      <c r="B1110" s="32"/>
      <c r="C1110" s="32"/>
      <c r="D1110" s="32"/>
      <c r="E1110" s="32"/>
      <c r="F1110" s="32"/>
      <c r="G1110" s="32"/>
      <c r="H1110" s="32"/>
      <c r="I1110" s="32"/>
      <c r="J1110" s="32" t="b">
        <f>IFERROR(__xludf.DUMMYFUNCTION("""COMPUTED_VALUE"""),FALSE)</f>
        <v>0</v>
      </c>
      <c r="K1110" s="32"/>
      <c r="L1110" s="32" t="b">
        <f>IFERROR(__xludf.DUMMYFUNCTION("""COMPUTED_VALUE"""),FALSE)</f>
        <v>0</v>
      </c>
      <c r="M1110" s="32" t="b">
        <f>IFERROR(__xludf.DUMMYFUNCTION("""COMPUTED_VALUE"""),FALSE)</f>
        <v>0</v>
      </c>
      <c r="N1110" s="32"/>
    </row>
    <row r="1111">
      <c r="A1111" s="32"/>
      <c r="B1111" s="32"/>
      <c r="C1111" s="32"/>
      <c r="D1111" s="32"/>
      <c r="E1111" s="32"/>
      <c r="F1111" s="32"/>
      <c r="G1111" s="32"/>
      <c r="H1111" s="32"/>
      <c r="I1111" s="32"/>
      <c r="J1111" s="32" t="b">
        <f>IFERROR(__xludf.DUMMYFUNCTION("""COMPUTED_VALUE"""),FALSE)</f>
        <v>0</v>
      </c>
      <c r="K1111" s="32"/>
      <c r="L1111" s="32" t="b">
        <f>IFERROR(__xludf.DUMMYFUNCTION("""COMPUTED_VALUE"""),FALSE)</f>
        <v>0</v>
      </c>
      <c r="M1111" s="32" t="b">
        <f>IFERROR(__xludf.DUMMYFUNCTION("""COMPUTED_VALUE"""),FALSE)</f>
        <v>0</v>
      </c>
      <c r="N1111" s="32"/>
    </row>
    <row r="1112">
      <c r="A1112" s="32"/>
      <c r="B1112" s="32"/>
      <c r="C1112" s="32"/>
      <c r="D1112" s="32"/>
      <c r="E1112" s="32"/>
      <c r="F1112" s="32"/>
      <c r="G1112" s="32"/>
      <c r="H1112" s="32"/>
      <c r="I1112" s="32"/>
      <c r="J1112" s="32" t="b">
        <f>IFERROR(__xludf.DUMMYFUNCTION("""COMPUTED_VALUE"""),FALSE)</f>
        <v>0</v>
      </c>
      <c r="K1112" s="32"/>
      <c r="L1112" s="32" t="b">
        <f>IFERROR(__xludf.DUMMYFUNCTION("""COMPUTED_VALUE"""),FALSE)</f>
        <v>0</v>
      </c>
      <c r="M1112" s="32" t="b">
        <f>IFERROR(__xludf.DUMMYFUNCTION("""COMPUTED_VALUE"""),FALSE)</f>
        <v>0</v>
      </c>
      <c r="N1112" s="32"/>
    </row>
    <row r="1113">
      <c r="A1113" s="32"/>
      <c r="B1113" s="32"/>
      <c r="C1113" s="32"/>
      <c r="D1113" s="32"/>
      <c r="E1113" s="32"/>
      <c r="F1113" s="32"/>
      <c r="G1113" s="32"/>
      <c r="H1113" s="32"/>
      <c r="I1113" s="32"/>
      <c r="J1113" s="32" t="b">
        <f>IFERROR(__xludf.DUMMYFUNCTION("""COMPUTED_VALUE"""),FALSE)</f>
        <v>0</v>
      </c>
      <c r="K1113" s="32"/>
      <c r="L1113" s="32" t="b">
        <f>IFERROR(__xludf.DUMMYFUNCTION("""COMPUTED_VALUE"""),FALSE)</f>
        <v>0</v>
      </c>
      <c r="M1113" s="32" t="b">
        <f>IFERROR(__xludf.DUMMYFUNCTION("""COMPUTED_VALUE"""),FALSE)</f>
        <v>0</v>
      </c>
      <c r="N1113" s="32"/>
    </row>
    <row r="1114">
      <c r="A1114" s="32"/>
      <c r="B1114" s="32"/>
      <c r="C1114" s="32"/>
      <c r="D1114" s="32"/>
      <c r="E1114" s="32"/>
      <c r="F1114" s="32"/>
      <c r="G1114" s="32"/>
      <c r="H1114" s="32"/>
      <c r="I1114" s="32"/>
      <c r="J1114" s="32" t="b">
        <f>IFERROR(__xludf.DUMMYFUNCTION("""COMPUTED_VALUE"""),FALSE)</f>
        <v>0</v>
      </c>
      <c r="K1114" s="32"/>
      <c r="L1114" s="32" t="b">
        <f>IFERROR(__xludf.DUMMYFUNCTION("""COMPUTED_VALUE"""),FALSE)</f>
        <v>0</v>
      </c>
      <c r="M1114" s="32" t="b">
        <f>IFERROR(__xludf.DUMMYFUNCTION("""COMPUTED_VALUE"""),FALSE)</f>
        <v>0</v>
      </c>
      <c r="N1114" s="32"/>
    </row>
    <row r="1115">
      <c r="A1115" s="32"/>
      <c r="B1115" s="32"/>
      <c r="C1115" s="32"/>
      <c r="D1115" s="32"/>
      <c r="E1115" s="32"/>
      <c r="F1115" s="32"/>
      <c r="G1115" s="32"/>
      <c r="H1115" s="32"/>
      <c r="I1115" s="32"/>
      <c r="J1115" s="32" t="b">
        <f>IFERROR(__xludf.DUMMYFUNCTION("""COMPUTED_VALUE"""),FALSE)</f>
        <v>0</v>
      </c>
      <c r="K1115" s="32"/>
      <c r="L1115" s="32" t="b">
        <f>IFERROR(__xludf.DUMMYFUNCTION("""COMPUTED_VALUE"""),FALSE)</f>
        <v>0</v>
      </c>
      <c r="M1115" s="32" t="b">
        <f>IFERROR(__xludf.DUMMYFUNCTION("""COMPUTED_VALUE"""),FALSE)</f>
        <v>0</v>
      </c>
      <c r="N1115" s="32"/>
    </row>
    <row r="1116">
      <c r="A1116" s="32"/>
      <c r="B1116" s="32"/>
      <c r="C1116" s="32"/>
      <c r="D1116" s="32"/>
      <c r="E1116" s="32"/>
      <c r="F1116" s="32"/>
      <c r="G1116" s="32"/>
      <c r="H1116" s="32"/>
      <c r="I1116" s="32"/>
      <c r="J1116" s="32" t="b">
        <f>IFERROR(__xludf.DUMMYFUNCTION("""COMPUTED_VALUE"""),FALSE)</f>
        <v>0</v>
      </c>
      <c r="K1116" s="32"/>
      <c r="L1116" s="32" t="b">
        <f>IFERROR(__xludf.DUMMYFUNCTION("""COMPUTED_VALUE"""),FALSE)</f>
        <v>0</v>
      </c>
      <c r="M1116" s="32" t="b">
        <f>IFERROR(__xludf.DUMMYFUNCTION("""COMPUTED_VALUE"""),FALSE)</f>
        <v>0</v>
      </c>
      <c r="N1116" s="32"/>
    </row>
    <row r="1117">
      <c r="A1117" s="32"/>
      <c r="B1117" s="32"/>
      <c r="C1117" s="32"/>
      <c r="D1117" s="32"/>
      <c r="E1117" s="32"/>
      <c r="F1117" s="32"/>
      <c r="G1117" s="32"/>
      <c r="H1117" s="32"/>
      <c r="I1117" s="32"/>
      <c r="J1117" s="32" t="b">
        <f>IFERROR(__xludf.DUMMYFUNCTION("""COMPUTED_VALUE"""),FALSE)</f>
        <v>0</v>
      </c>
      <c r="K1117" s="32"/>
      <c r="L1117" s="32" t="b">
        <f>IFERROR(__xludf.DUMMYFUNCTION("""COMPUTED_VALUE"""),FALSE)</f>
        <v>0</v>
      </c>
      <c r="M1117" s="32" t="b">
        <f>IFERROR(__xludf.DUMMYFUNCTION("""COMPUTED_VALUE"""),FALSE)</f>
        <v>0</v>
      </c>
      <c r="N1117" s="32"/>
    </row>
    <row r="1118">
      <c r="A1118" s="32"/>
      <c r="B1118" s="32"/>
      <c r="C1118" s="32"/>
      <c r="D1118" s="32"/>
      <c r="E1118" s="32"/>
      <c r="F1118" s="32"/>
      <c r="G1118" s="32"/>
      <c r="H1118" s="32"/>
      <c r="I1118" s="32"/>
      <c r="J1118" s="32" t="b">
        <f>IFERROR(__xludf.DUMMYFUNCTION("""COMPUTED_VALUE"""),FALSE)</f>
        <v>0</v>
      </c>
      <c r="K1118" s="32"/>
      <c r="L1118" s="32" t="b">
        <f>IFERROR(__xludf.DUMMYFUNCTION("""COMPUTED_VALUE"""),FALSE)</f>
        <v>0</v>
      </c>
      <c r="M1118" s="32" t="b">
        <f>IFERROR(__xludf.DUMMYFUNCTION("""COMPUTED_VALUE"""),FALSE)</f>
        <v>0</v>
      </c>
      <c r="N1118" s="32"/>
    </row>
    <row r="1119">
      <c r="A1119" s="32"/>
      <c r="B1119" s="32"/>
      <c r="C1119" s="32"/>
      <c r="D1119" s="32"/>
      <c r="E1119" s="32"/>
      <c r="F1119" s="32"/>
      <c r="G1119" s="32"/>
      <c r="H1119" s="32"/>
      <c r="I1119" s="32"/>
      <c r="J1119" s="32" t="b">
        <f>IFERROR(__xludf.DUMMYFUNCTION("""COMPUTED_VALUE"""),FALSE)</f>
        <v>0</v>
      </c>
      <c r="K1119" s="32"/>
      <c r="L1119" s="32" t="b">
        <f>IFERROR(__xludf.DUMMYFUNCTION("""COMPUTED_VALUE"""),FALSE)</f>
        <v>0</v>
      </c>
      <c r="M1119" s="32" t="b">
        <f>IFERROR(__xludf.DUMMYFUNCTION("""COMPUTED_VALUE"""),FALSE)</f>
        <v>0</v>
      </c>
      <c r="N1119" s="32"/>
    </row>
    <row r="1120">
      <c r="A1120" s="32"/>
      <c r="B1120" s="32"/>
      <c r="C1120" s="32"/>
      <c r="D1120" s="32"/>
      <c r="E1120" s="32"/>
      <c r="F1120" s="32"/>
      <c r="G1120" s="32"/>
      <c r="H1120" s="32"/>
      <c r="I1120" s="32"/>
      <c r="J1120" s="32" t="b">
        <f>IFERROR(__xludf.DUMMYFUNCTION("""COMPUTED_VALUE"""),FALSE)</f>
        <v>0</v>
      </c>
      <c r="K1120" s="32"/>
      <c r="L1120" s="32" t="b">
        <f>IFERROR(__xludf.DUMMYFUNCTION("""COMPUTED_VALUE"""),FALSE)</f>
        <v>0</v>
      </c>
      <c r="M1120" s="32" t="b">
        <f>IFERROR(__xludf.DUMMYFUNCTION("""COMPUTED_VALUE"""),FALSE)</f>
        <v>0</v>
      </c>
      <c r="N1120" s="32"/>
    </row>
    <row r="1121">
      <c r="A1121" s="32"/>
      <c r="B1121" s="32"/>
      <c r="C1121" s="32"/>
      <c r="D1121" s="32"/>
      <c r="E1121" s="32"/>
      <c r="F1121" s="32"/>
      <c r="G1121" s="32"/>
      <c r="H1121" s="32"/>
      <c r="I1121" s="32"/>
      <c r="J1121" s="32" t="b">
        <f>IFERROR(__xludf.DUMMYFUNCTION("""COMPUTED_VALUE"""),FALSE)</f>
        <v>0</v>
      </c>
      <c r="K1121" s="32"/>
      <c r="L1121" s="32" t="b">
        <f>IFERROR(__xludf.DUMMYFUNCTION("""COMPUTED_VALUE"""),FALSE)</f>
        <v>0</v>
      </c>
      <c r="M1121" s="32" t="b">
        <f>IFERROR(__xludf.DUMMYFUNCTION("""COMPUTED_VALUE"""),FALSE)</f>
        <v>0</v>
      </c>
      <c r="N1121" s="32"/>
    </row>
    <row r="1122">
      <c r="A1122" s="32"/>
      <c r="B1122" s="32"/>
      <c r="C1122" s="32"/>
      <c r="D1122" s="32"/>
      <c r="E1122" s="32"/>
      <c r="F1122" s="32"/>
      <c r="G1122" s="32"/>
      <c r="H1122" s="32"/>
      <c r="I1122" s="32"/>
      <c r="J1122" s="32" t="b">
        <f>IFERROR(__xludf.DUMMYFUNCTION("""COMPUTED_VALUE"""),FALSE)</f>
        <v>0</v>
      </c>
      <c r="K1122" s="32"/>
      <c r="L1122" s="32" t="b">
        <f>IFERROR(__xludf.DUMMYFUNCTION("""COMPUTED_VALUE"""),FALSE)</f>
        <v>0</v>
      </c>
      <c r="M1122" s="32" t="b">
        <f>IFERROR(__xludf.DUMMYFUNCTION("""COMPUTED_VALUE"""),FALSE)</f>
        <v>0</v>
      </c>
      <c r="N1122" s="32"/>
    </row>
    <row r="1123">
      <c r="A1123" s="32"/>
      <c r="B1123" s="32"/>
      <c r="C1123" s="32"/>
      <c r="D1123" s="32"/>
      <c r="E1123" s="32"/>
      <c r="F1123" s="32"/>
      <c r="G1123" s="32"/>
      <c r="H1123" s="32"/>
      <c r="I1123" s="32"/>
      <c r="J1123" s="32" t="b">
        <f>IFERROR(__xludf.DUMMYFUNCTION("""COMPUTED_VALUE"""),FALSE)</f>
        <v>0</v>
      </c>
      <c r="K1123" s="32"/>
      <c r="L1123" s="32" t="b">
        <f>IFERROR(__xludf.DUMMYFUNCTION("""COMPUTED_VALUE"""),FALSE)</f>
        <v>0</v>
      </c>
      <c r="M1123" s="32" t="b">
        <f>IFERROR(__xludf.DUMMYFUNCTION("""COMPUTED_VALUE"""),FALSE)</f>
        <v>0</v>
      </c>
      <c r="N1123" s="32"/>
    </row>
    <row r="1124">
      <c r="A1124" s="32"/>
      <c r="B1124" s="32"/>
      <c r="C1124" s="32"/>
      <c r="D1124" s="32"/>
      <c r="E1124" s="32"/>
      <c r="F1124" s="32"/>
      <c r="G1124" s="32"/>
      <c r="H1124" s="32"/>
      <c r="I1124" s="32"/>
      <c r="J1124" s="32" t="b">
        <f>IFERROR(__xludf.DUMMYFUNCTION("""COMPUTED_VALUE"""),FALSE)</f>
        <v>0</v>
      </c>
      <c r="K1124" s="32"/>
      <c r="L1124" s="32" t="b">
        <f>IFERROR(__xludf.DUMMYFUNCTION("""COMPUTED_VALUE"""),FALSE)</f>
        <v>0</v>
      </c>
      <c r="M1124" s="32" t="b">
        <f>IFERROR(__xludf.DUMMYFUNCTION("""COMPUTED_VALUE"""),FALSE)</f>
        <v>0</v>
      </c>
      <c r="N1124" s="32"/>
    </row>
    <row r="1125">
      <c r="A1125" s="32"/>
      <c r="B1125" s="32"/>
      <c r="C1125" s="32"/>
      <c r="D1125" s="32"/>
      <c r="E1125" s="32"/>
      <c r="F1125" s="32"/>
      <c r="G1125" s="32"/>
      <c r="H1125" s="32"/>
      <c r="I1125" s="32"/>
      <c r="J1125" s="32" t="b">
        <f>IFERROR(__xludf.DUMMYFUNCTION("""COMPUTED_VALUE"""),FALSE)</f>
        <v>0</v>
      </c>
      <c r="K1125" s="32"/>
      <c r="L1125" s="32" t="b">
        <f>IFERROR(__xludf.DUMMYFUNCTION("""COMPUTED_VALUE"""),FALSE)</f>
        <v>0</v>
      </c>
      <c r="M1125" s="32" t="b">
        <f>IFERROR(__xludf.DUMMYFUNCTION("""COMPUTED_VALUE"""),FALSE)</f>
        <v>0</v>
      </c>
      <c r="N1125" s="32"/>
    </row>
    <row r="1126">
      <c r="A1126" s="32"/>
      <c r="B1126" s="32"/>
      <c r="C1126" s="32"/>
      <c r="D1126" s="32"/>
      <c r="E1126" s="32"/>
      <c r="F1126" s="32"/>
      <c r="G1126" s="32"/>
      <c r="H1126" s="32"/>
      <c r="I1126" s="32"/>
      <c r="J1126" s="32" t="b">
        <f>IFERROR(__xludf.DUMMYFUNCTION("""COMPUTED_VALUE"""),FALSE)</f>
        <v>0</v>
      </c>
      <c r="K1126" s="32"/>
      <c r="L1126" s="32" t="b">
        <f>IFERROR(__xludf.DUMMYFUNCTION("""COMPUTED_VALUE"""),FALSE)</f>
        <v>0</v>
      </c>
      <c r="M1126" s="32" t="b">
        <f>IFERROR(__xludf.DUMMYFUNCTION("""COMPUTED_VALUE"""),FALSE)</f>
        <v>0</v>
      </c>
      <c r="N1126" s="32"/>
    </row>
    <row r="1127">
      <c r="A1127" s="32"/>
      <c r="B1127" s="32"/>
      <c r="C1127" s="32"/>
      <c r="D1127" s="32"/>
      <c r="E1127" s="32"/>
      <c r="F1127" s="32"/>
      <c r="G1127" s="32"/>
      <c r="H1127" s="32"/>
      <c r="I1127" s="32"/>
      <c r="J1127" s="32" t="b">
        <f>IFERROR(__xludf.DUMMYFUNCTION("""COMPUTED_VALUE"""),FALSE)</f>
        <v>0</v>
      </c>
      <c r="K1127" s="32"/>
      <c r="L1127" s="32" t="b">
        <f>IFERROR(__xludf.DUMMYFUNCTION("""COMPUTED_VALUE"""),FALSE)</f>
        <v>0</v>
      </c>
      <c r="M1127" s="32" t="b">
        <f>IFERROR(__xludf.DUMMYFUNCTION("""COMPUTED_VALUE"""),FALSE)</f>
        <v>0</v>
      </c>
      <c r="N1127" s="32"/>
    </row>
    <row r="1128">
      <c r="A1128" s="32"/>
      <c r="B1128" s="32"/>
      <c r="C1128" s="32"/>
      <c r="D1128" s="32"/>
      <c r="E1128" s="32"/>
      <c r="F1128" s="32"/>
      <c r="G1128" s="32"/>
      <c r="H1128" s="32"/>
      <c r="I1128" s="32"/>
      <c r="J1128" s="32" t="b">
        <f>IFERROR(__xludf.DUMMYFUNCTION("""COMPUTED_VALUE"""),FALSE)</f>
        <v>0</v>
      </c>
      <c r="K1128" s="32"/>
      <c r="L1128" s="32" t="b">
        <f>IFERROR(__xludf.DUMMYFUNCTION("""COMPUTED_VALUE"""),FALSE)</f>
        <v>0</v>
      </c>
      <c r="M1128" s="32" t="b">
        <f>IFERROR(__xludf.DUMMYFUNCTION("""COMPUTED_VALUE"""),FALSE)</f>
        <v>0</v>
      </c>
      <c r="N1128" s="32"/>
    </row>
    <row r="1129">
      <c r="A1129" s="32"/>
      <c r="B1129" s="32"/>
      <c r="C1129" s="32"/>
      <c r="D1129" s="32"/>
      <c r="E1129" s="32"/>
      <c r="F1129" s="32"/>
      <c r="G1129" s="32"/>
      <c r="H1129" s="32"/>
      <c r="I1129" s="32"/>
      <c r="J1129" s="32" t="b">
        <f>IFERROR(__xludf.DUMMYFUNCTION("""COMPUTED_VALUE"""),FALSE)</f>
        <v>0</v>
      </c>
      <c r="K1129" s="32"/>
      <c r="L1129" s="32" t="b">
        <f>IFERROR(__xludf.DUMMYFUNCTION("""COMPUTED_VALUE"""),FALSE)</f>
        <v>0</v>
      </c>
      <c r="M1129" s="32" t="b">
        <f>IFERROR(__xludf.DUMMYFUNCTION("""COMPUTED_VALUE"""),FALSE)</f>
        <v>0</v>
      </c>
      <c r="N1129" s="32"/>
    </row>
    <row r="1130">
      <c r="A1130" s="32"/>
      <c r="B1130" s="32"/>
      <c r="C1130" s="32"/>
      <c r="D1130" s="32"/>
      <c r="E1130" s="32"/>
      <c r="F1130" s="32"/>
      <c r="G1130" s="32"/>
      <c r="H1130" s="32"/>
      <c r="I1130" s="32"/>
      <c r="J1130" s="32" t="b">
        <f>IFERROR(__xludf.DUMMYFUNCTION("""COMPUTED_VALUE"""),FALSE)</f>
        <v>0</v>
      </c>
      <c r="K1130" s="32"/>
      <c r="L1130" s="32" t="b">
        <f>IFERROR(__xludf.DUMMYFUNCTION("""COMPUTED_VALUE"""),FALSE)</f>
        <v>0</v>
      </c>
      <c r="M1130" s="32" t="b">
        <f>IFERROR(__xludf.DUMMYFUNCTION("""COMPUTED_VALUE"""),FALSE)</f>
        <v>0</v>
      </c>
      <c r="N1130" s="32"/>
    </row>
    <row r="1131">
      <c r="A1131" s="32"/>
      <c r="B1131" s="32"/>
      <c r="C1131" s="32"/>
      <c r="D1131" s="32"/>
      <c r="E1131" s="32"/>
      <c r="F1131" s="32"/>
      <c r="G1131" s="32"/>
      <c r="H1131" s="32"/>
      <c r="I1131" s="32"/>
      <c r="J1131" s="32" t="b">
        <f>IFERROR(__xludf.DUMMYFUNCTION("""COMPUTED_VALUE"""),FALSE)</f>
        <v>0</v>
      </c>
      <c r="K1131" s="32"/>
      <c r="L1131" s="32" t="b">
        <f>IFERROR(__xludf.DUMMYFUNCTION("""COMPUTED_VALUE"""),FALSE)</f>
        <v>0</v>
      </c>
      <c r="M1131" s="32" t="b">
        <f>IFERROR(__xludf.DUMMYFUNCTION("""COMPUTED_VALUE"""),FALSE)</f>
        <v>0</v>
      </c>
      <c r="N1131" s="32"/>
    </row>
    <row r="1132">
      <c r="A1132" s="32"/>
      <c r="B1132" s="32"/>
      <c r="C1132" s="32"/>
      <c r="D1132" s="32"/>
      <c r="E1132" s="32"/>
      <c r="F1132" s="32"/>
      <c r="G1132" s="32"/>
      <c r="H1132" s="32"/>
      <c r="I1132" s="32"/>
      <c r="J1132" s="32" t="b">
        <f>IFERROR(__xludf.DUMMYFUNCTION("""COMPUTED_VALUE"""),FALSE)</f>
        <v>0</v>
      </c>
      <c r="K1132" s="32"/>
      <c r="L1132" s="32" t="b">
        <f>IFERROR(__xludf.DUMMYFUNCTION("""COMPUTED_VALUE"""),FALSE)</f>
        <v>0</v>
      </c>
      <c r="M1132" s="32" t="b">
        <f>IFERROR(__xludf.DUMMYFUNCTION("""COMPUTED_VALUE"""),FALSE)</f>
        <v>0</v>
      </c>
      <c r="N1132" s="32"/>
    </row>
    <row r="1133">
      <c r="A1133" s="32"/>
      <c r="B1133" s="32"/>
      <c r="C1133" s="32"/>
      <c r="D1133" s="32"/>
      <c r="E1133" s="32"/>
      <c r="F1133" s="32"/>
      <c r="G1133" s="32"/>
      <c r="H1133" s="32"/>
      <c r="I1133" s="32"/>
      <c r="J1133" s="32" t="b">
        <f>IFERROR(__xludf.DUMMYFUNCTION("""COMPUTED_VALUE"""),FALSE)</f>
        <v>0</v>
      </c>
      <c r="K1133" s="32"/>
      <c r="L1133" s="32" t="b">
        <f>IFERROR(__xludf.DUMMYFUNCTION("""COMPUTED_VALUE"""),FALSE)</f>
        <v>0</v>
      </c>
      <c r="M1133" s="32" t="b">
        <f>IFERROR(__xludf.DUMMYFUNCTION("""COMPUTED_VALUE"""),FALSE)</f>
        <v>0</v>
      </c>
      <c r="N1133" s="32"/>
    </row>
    <row r="1134">
      <c r="A1134" s="32"/>
      <c r="B1134" s="32"/>
      <c r="C1134" s="32"/>
      <c r="D1134" s="32"/>
      <c r="E1134" s="32"/>
      <c r="F1134" s="32"/>
      <c r="G1134" s="32"/>
      <c r="H1134" s="32"/>
      <c r="I1134" s="32"/>
      <c r="J1134" s="32" t="b">
        <f>IFERROR(__xludf.DUMMYFUNCTION("""COMPUTED_VALUE"""),FALSE)</f>
        <v>0</v>
      </c>
      <c r="K1134" s="32"/>
      <c r="L1134" s="32" t="b">
        <f>IFERROR(__xludf.DUMMYFUNCTION("""COMPUTED_VALUE"""),FALSE)</f>
        <v>0</v>
      </c>
      <c r="M1134" s="32" t="b">
        <f>IFERROR(__xludf.DUMMYFUNCTION("""COMPUTED_VALUE"""),FALSE)</f>
        <v>0</v>
      </c>
      <c r="N1134" s="32"/>
    </row>
    <row r="1135">
      <c r="A1135" s="32"/>
      <c r="B1135" s="32"/>
      <c r="C1135" s="32"/>
      <c r="D1135" s="32"/>
      <c r="E1135" s="32"/>
      <c r="F1135" s="32"/>
      <c r="G1135" s="32"/>
      <c r="H1135" s="32"/>
      <c r="I1135" s="32"/>
      <c r="J1135" s="32" t="b">
        <f>IFERROR(__xludf.DUMMYFUNCTION("""COMPUTED_VALUE"""),FALSE)</f>
        <v>0</v>
      </c>
      <c r="K1135" s="32"/>
      <c r="L1135" s="32" t="b">
        <f>IFERROR(__xludf.DUMMYFUNCTION("""COMPUTED_VALUE"""),FALSE)</f>
        <v>0</v>
      </c>
      <c r="M1135" s="32" t="b">
        <f>IFERROR(__xludf.DUMMYFUNCTION("""COMPUTED_VALUE"""),FALSE)</f>
        <v>0</v>
      </c>
      <c r="N1135" s="32"/>
    </row>
    <row r="1136">
      <c r="A1136" s="32"/>
      <c r="B1136" s="32"/>
      <c r="C1136" s="32"/>
      <c r="D1136" s="32"/>
      <c r="E1136" s="32"/>
      <c r="F1136" s="32"/>
      <c r="G1136" s="32"/>
      <c r="H1136" s="32"/>
      <c r="I1136" s="32"/>
      <c r="J1136" s="32" t="b">
        <f>IFERROR(__xludf.DUMMYFUNCTION("""COMPUTED_VALUE"""),FALSE)</f>
        <v>0</v>
      </c>
      <c r="K1136" s="32"/>
      <c r="L1136" s="32" t="b">
        <f>IFERROR(__xludf.DUMMYFUNCTION("""COMPUTED_VALUE"""),FALSE)</f>
        <v>0</v>
      </c>
      <c r="M1136" s="32" t="b">
        <f>IFERROR(__xludf.DUMMYFUNCTION("""COMPUTED_VALUE"""),FALSE)</f>
        <v>0</v>
      </c>
      <c r="N1136" s="32"/>
    </row>
    <row r="1137">
      <c r="A1137" s="32"/>
      <c r="B1137" s="32"/>
      <c r="C1137" s="32"/>
      <c r="D1137" s="32"/>
      <c r="E1137" s="32"/>
      <c r="F1137" s="32"/>
      <c r="G1137" s="32"/>
      <c r="H1137" s="32"/>
      <c r="I1137" s="32"/>
      <c r="J1137" s="32" t="b">
        <f>IFERROR(__xludf.DUMMYFUNCTION("""COMPUTED_VALUE"""),FALSE)</f>
        <v>0</v>
      </c>
      <c r="K1137" s="32"/>
      <c r="L1137" s="32" t="b">
        <f>IFERROR(__xludf.DUMMYFUNCTION("""COMPUTED_VALUE"""),FALSE)</f>
        <v>0</v>
      </c>
      <c r="M1137" s="32" t="b">
        <f>IFERROR(__xludf.DUMMYFUNCTION("""COMPUTED_VALUE"""),FALSE)</f>
        <v>0</v>
      </c>
      <c r="N1137"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tr">
        <f>IFERROR(__xludf.DUMMYFUNCTION("IMPORTRANGE(""https://docs.google.com/spreadsheets/d/1HXoAI5UG3zq1UHqU5n7fPdbQk93qOha2VQb1r7iRi1o"",""Resistances!A:AX"")"),"Mob")</f>
        <v>Mob</v>
      </c>
      <c r="B1" s="32" t="str">
        <f>IFERROR(__xludf.DUMMYFUNCTION("""COMPUTED_VALUE"""),"Fire")</f>
        <v>Fire</v>
      </c>
      <c r="C1" s="32" t="str">
        <f>IFERROR(__xludf.DUMMYFUNCTION("""COMPUTED_VALUE"""),"Water")</f>
        <v>Water</v>
      </c>
      <c r="D1" s="32" t="str">
        <f>IFERROR(__xludf.DUMMYFUNCTION("""COMPUTED_VALUE"""),"Storm")</f>
        <v>Storm</v>
      </c>
      <c r="E1" s="32" t="str">
        <f>IFERROR(__xludf.DUMMYFUNCTION("""COMPUTED_VALUE"""),"Earth")</f>
        <v>Earth</v>
      </c>
      <c r="F1" s="32" t="str">
        <f>IFERROR(__xludf.DUMMYFUNCTION("""COMPUTED_VALUE"""),"Light")</f>
        <v>Light</v>
      </c>
      <c r="G1" s="32" t="str">
        <f>IFERROR(__xludf.DUMMYFUNCTION("""COMPUTED_VALUE"""),"Dark")</f>
        <v>Dark</v>
      </c>
      <c r="H1" s="32" t="str">
        <f>IFERROR(__xludf.DUMMYFUNCTION("""COMPUTED_VALUE"""),"Spirit")</f>
        <v>Spirit</v>
      </c>
      <c r="I1" s="32" t="str">
        <f>IFERROR(__xludf.DUMMYFUNCTION("""COMPUTED_VALUE"""),"Order")</f>
        <v>Order</v>
      </c>
      <c r="J1" s="32" t="str">
        <f>IFERROR(__xludf.DUMMYFUNCTION("""COMPUTED_VALUE"""),"Chaos")</f>
        <v>Chaos</v>
      </c>
      <c r="K1" s="32" t="str">
        <f>IFERROR(__xludf.DUMMYFUNCTION("""COMPUTED_VALUE"""),"Nature")</f>
        <v>Nature</v>
      </c>
      <c r="L1" s="32" t="str">
        <f>IFERROR(__xludf.DUMMYFUNCTION("""COMPUTED_VALUE"""),"Physical")</f>
        <v>Physical</v>
      </c>
      <c r="M1" s="32" t="str">
        <f>IFERROR(__xludf.DUMMYFUNCTION("""COMPUTED_VALUE"""),"Melee")</f>
        <v>Melee</v>
      </c>
      <c r="N1" s="32" t="str">
        <f>IFERROR(__xludf.DUMMYFUNCTION("""COMPUTED_VALUE"""),"Ranged")</f>
        <v>Ranged</v>
      </c>
      <c r="O1" s="32" t="str">
        <f>IFERROR(__xludf.DUMMYFUNCTION("""COMPUTED_VALUE"""),"Stasis")</f>
        <v>Stasis</v>
      </c>
      <c r="P1" s="32" t="str">
        <f>IFERROR(__xludf.DUMMYFUNCTION("""COMPUTED_VALUE"""),"Twilight")</f>
        <v>Twilight</v>
      </c>
      <c r="Q1" s="32" t="str">
        <f>IFERROR(__xludf.DUMMYFUNCTION("""COMPUTED_VALUE"""),"Voodoo")</f>
        <v>Voodoo</v>
      </c>
      <c r="R1" s="32" t="str">
        <f>IFERROR(__xludf.DUMMYFUNCTION("""COMPUTED_VALUE"""),"Blood")</f>
        <v>Blood</v>
      </c>
      <c r="S1" s="32" t="str">
        <f>IFERROR(__xludf.DUMMYFUNCTION("""COMPUTED_VALUE"""),"Delta")</f>
        <v>Delta</v>
      </c>
      <c r="T1" s="32" t="str">
        <f>IFERROR(__xludf.DUMMYFUNCTION("""COMPUTED_VALUE"""),"Zen")</f>
        <v>Zen</v>
      </c>
      <c r="U1" s="32" t="str">
        <f>IFERROR(__xludf.DUMMYFUNCTION("""COMPUTED_VALUE"""),"Time")</f>
        <v>Time</v>
      </c>
      <c r="V1" s="32" t="str">
        <f>IFERROR(__xludf.DUMMYFUNCTION("""COMPUTED_VALUE"""),"Astral")</f>
        <v>Astral</v>
      </c>
      <c r="W1" s="32" t="str">
        <f>IFERROR(__xludf.DUMMYFUNCTION("""COMPUTED_VALUE"""),"Celestial")</f>
        <v>Celestial</v>
      </c>
      <c r="X1" s="32" t="str">
        <f>IFERROR(__xludf.DUMMYFUNCTION("""COMPUTED_VALUE"""),"Instant Death")</f>
        <v>Instant Death</v>
      </c>
      <c r="Y1" s="32" t="str">
        <f>IFERROR(__xludf.DUMMYFUNCTION("""COMPUTED_VALUE"""),"Banishment")</f>
        <v>Banishment</v>
      </c>
      <c r="Z1" s="32" t="str">
        <f>IFERROR(__xludf.DUMMYFUNCTION("""COMPUTED_VALUE"""),"Natural")</f>
        <v>Natural</v>
      </c>
      <c r="AA1" s="32" t="str">
        <f>IFERROR(__xludf.DUMMYFUNCTION("""COMPUTED_VALUE"""),"Possesion")</f>
        <v>Possesion</v>
      </c>
      <c r="AB1" s="32" t="str">
        <f>IFERROR(__xludf.DUMMYFUNCTION("""COMPUTED_VALUE"""),"All")</f>
        <v>All</v>
      </c>
      <c r="AC1" s="32" t="str">
        <f>IFERROR(__xludf.DUMMYFUNCTION("""COMPUTED_VALUE"""),"Acoustic")</f>
        <v>Acoustic</v>
      </c>
      <c r="AD1" s="32"/>
      <c r="AE1" s="32"/>
      <c r="AF1" s="32"/>
      <c r="AG1" s="32"/>
      <c r="AH1" s="32"/>
      <c r="AI1" s="32"/>
      <c r="AJ1" s="32"/>
      <c r="AK1" s="32"/>
    </row>
    <row r="2">
      <c r="A2" s="32" t="str">
        <f>IFERROR(__xludf.DUMMYFUNCTION("""COMPUTED_VALUE"""),"Ancient Colossal Frost Spider")</f>
        <v>Ancient Colossal Frost Spider</v>
      </c>
      <c r="B2" s="32"/>
      <c r="C2" s="32">
        <f>IFERROR(__xludf.DUMMYFUNCTION("""COMPUTED_VALUE"""),100.0)</f>
        <v>100</v>
      </c>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row>
    <row r="3">
      <c r="A3" s="32" t="str">
        <f>IFERROR(__xludf.DUMMYFUNCTION("""COMPUTED_VALUE"""),"Demon Snowman")</f>
        <v>Demon Snowman</v>
      </c>
      <c r="B3" s="32"/>
      <c r="C3" s="32">
        <f>IFERROR(__xludf.DUMMYFUNCTION("""COMPUTED_VALUE"""),100.0)</f>
        <v>100</v>
      </c>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row>
    <row r="4">
      <c r="A4" s="32" t="str">
        <f>IFERROR(__xludf.DUMMYFUNCTION("""COMPUTED_VALUE"""),"Ancient Desert Serpent")</f>
        <v>Ancient Desert Serpent</v>
      </c>
      <c r="B4" s="32" t="str">
        <f>IFERROR(__xludf.DUMMYFUNCTION("""COMPUTED_VALUE"""),"Immune")</f>
        <v>Immune</v>
      </c>
      <c r="C4" s="32" t="str">
        <f>IFERROR(__xludf.DUMMYFUNCTION("""COMPUTED_VALUE"""),"Immune")</f>
        <v>Immune</v>
      </c>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row>
    <row r="5">
      <c r="A5" s="32" t="str">
        <f>IFERROR(__xludf.DUMMYFUNCTION("""COMPUTED_VALUE"""),"Ancient Forest Colossus")</f>
        <v>Ancient Forest Colossus</v>
      </c>
      <c r="B5" s="32"/>
      <c r="C5" s="32">
        <f>IFERROR(__xludf.DUMMYFUNCTION("""COMPUTED_VALUE"""),100.0)</f>
        <v>100</v>
      </c>
      <c r="D5" s="32"/>
      <c r="E5" s="32"/>
      <c r="F5" s="32"/>
      <c r="G5" s="32"/>
      <c r="H5" s="32"/>
      <c r="I5" s="32"/>
      <c r="J5" s="32"/>
      <c r="K5" s="32" t="str">
        <f>IFERROR(__xludf.DUMMYFUNCTION("""COMPUTED_VALUE"""),"Immune")</f>
        <v>Immune</v>
      </c>
      <c r="L5" s="32"/>
      <c r="M5" s="32"/>
      <c r="N5" s="32"/>
      <c r="O5" s="32"/>
      <c r="P5" s="32"/>
      <c r="Q5" s="32"/>
      <c r="R5" s="32"/>
      <c r="S5" s="32"/>
      <c r="T5" s="32"/>
      <c r="U5" s="32"/>
      <c r="V5" s="32"/>
      <c r="W5" s="32"/>
      <c r="X5" s="32" t="str">
        <f>IFERROR(__xludf.DUMMYFUNCTION("""COMPUTED_VALUE"""),"Immune")</f>
        <v>Immune</v>
      </c>
      <c r="Y5" s="32"/>
      <c r="Z5" s="32"/>
      <c r="AA5" s="32"/>
      <c r="AB5" s="32"/>
      <c r="AC5" s="32"/>
      <c r="AD5" s="32"/>
      <c r="AE5" s="32"/>
      <c r="AF5" s="32"/>
      <c r="AG5" s="32"/>
      <c r="AH5" s="32"/>
      <c r="AI5" s="32"/>
      <c r="AJ5" s="32"/>
      <c r="AK5" s="32"/>
    </row>
    <row r="6">
      <c r="A6" s="32" t="str">
        <f>IFERROR(__xludf.DUMMYFUNCTION("""COMPUTED_VALUE"""),"Frost Colossus")</f>
        <v>Frost Colossus</v>
      </c>
      <c r="B6" s="32"/>
      <c r="C6" s="32" t="str">
        <f>IFERROR(__xludf.DUMMYFUNCTION("""COMPUTED_VALUE"""),"Immune")</f>
        <v>Immune</v>
      </c>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row>
    <row r="7">
      <c r="A7" s="32" t="str">
        <f>IFERROR(__xludf.DUMMYFUNCTION("""COMPUTED_VALUE"""),"Frost Cyclops")</f>
        <v>Frost Cyclops</v>
      </c>
      <c r="B7" s="32"/>
      <c r="C7" s="32" t="str">
        <f>IFERROR(__xludf.DUMMYFUNCTION("""COMPUTED_VALUE"""),"Immune")</f>
        <v>Immune</v>
      </c>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row>
    <row r="8">
      <c r="A8" s="32" t="str">
        <f>IFERROR(__xludf.DUMMYFUNCTION("""COMPUTED_VALUE"""),"Frost Grand Mage")</f>
        <v>Frost Grand Mage</v>
      </c>
      <c r="B8" s="32"/>
      <c r="C8" s="32" t="str">
        <f>IFERROR(__xludf.DUMMYFUNCTION("""COMPUTED_VALUE"""),"Immune")</f>
        <v>Immune</v>
      </c>
      <c r="D8" s="32">
        <f>IFERROR(__xludf.DUMMYFUNCTION("""COMPUTED_VALUE"""),100.0)</f>
        <v>100</v>
      </c>
      <c r="E8" s="32"/>
      <c r="F8" s="32"/>
      <c r="G8" s="32"/>
      <c r="H8" s="32"/>
      <c r="I8" s="32"/>
      <c r="J8" s="32"/>
      <c r="K8" s="32"/>
      <c r="L8" s="32"/>
      <c r="M8" s="32"/>
      <c r="N8" s="32"/>
      <c r="O8" s="32"/>
      <c r="P8" s="32"/>
      <c r="Q8" s="32"/>
      <c r="R8" s="32"/>
      <c r="S8" s="32"/>
      <c r="T8" s="32"/>
      <c r="U8" s="32"/>
      <c r="V8" s="32"/>
      <c r="W8" s="32"/>
      <c r="X8" s="32" t="str">
        <f>IFERROR(__xludf.DUMMYFUNCTION("""COMPUTED_VALUE"""),"Immune")</f>
        <v>Immune</v>
      </c>
      <c r="Y8" s="32"/>
      <c r="Z8" s="32"/>
      <c r="AA8" s="32"/>
      <c r="AB8" s="32"/>
      <c r="AC8" s="32"/>
      <c r="AD8" s="32"/>
      <c r="AE8" s="32"/>
      <c r="AF8" s="32"/>
      <c r="AG8" s="32"/>
      <c r="AH8" s="32"/>
      <c r="AI8" s="32"/>
      <c r="AJ8" s="32"/>
      <c r="AK8" s="32"/>
    </row>
    <row r="9">
      <c r="A9" s="32" t="str">
        <f>IFERROR(__xludf.DUMMYFUNCTION("""COMPUTED_VALUE"""),"Frost King")</f>
        <v>Frost King</v>
      </c>
      <c r="B9" s="32"/>
      <c r="C9" s="32" t="str">
        <f>IFERROR(__xludf.DUMMYFUNCTION("""COMPUTED_VALUE"""),"Immune")</f>
        <v>Immune</v>
      </c>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row>
    <row r="10">
      <c r="A10" s="32" t="str">
        <f>IFERROR(__xludf.DUMMYFUNCTION("""COMPUTED_VALUE"""),"Frost Queen")</f>
        <v>Frost Queen</v>
      </c>
      <c r="B10" s="32"/>
      <c r="C10" s="32" t="str">
        <f>IFERROR(__xludf.DUMMYFUNCTION("""COMPUTED_VALUE"""),"Immune")</f>
        <v>Immune</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row>
    <row r="11">
      <c r="A11" s="32" t="str">
        <f>IFERROR(__xludf.DUMMYFUNCTION("""COMPUTED_VALUE"""),"Bandit")</f>
        <v>Bandit</v>
      </c>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row>
    <row r="12">
      <c r="A12" s="32" t="str">
        <f>IFERROR(__xludf.DUMMYFUNCTION("""COMPUTED_VALUE"""),"Bees")</f>
        <v>Bees</v>
      </c>
      <c r="B12" s="32"/>
      <c r="C12" s="32"/>
      <c r="D12" s="32"/>
      <c r="E12" s="32"/>
      <c r="F12" s="32"/>
      <c r="G12" s="32"/>
      <c r="H12" s="32"/>
      <c r="I12" s="32"/>
      <c r="J12" s="32"/>
      <c r="K12" s="32">
        <f>IFERROR(__xludf.DUMMYFUNCTION("""COMPUTED_VALUE"""),100.0)</f>
        <v>100</v>
      </c>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row>
    <row r="13">
      <c r="A13" s="32" t="str">
        <f>IFERROR(__xludf.DUMMYFUNCTION("""COMPUTED_VALUE"""),"Big Frost Owl")</f>
        <v>Big Frost Owl</v>
      </c>
      <c r="B13" s="32"/>
      <c r="C13" s="32">
        <f>IFERROR(__xludf.DUMMYFUNCTION("""COMPUTED_VALUE"""),100.0)</f>
        <v>100</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row>
    <row r="14">
      <c r="A14" s="32" t="str">
        <f>IFERROR(__xludf.DUMMYFUNCTION("""COMPUTED_VALUE"""),"colossus suit of armor")</f>
        <v>colossus suit of armor</v>
      </c>
      <c r="B14" s="32"/>
      <c r="C14" s="32"/>
      <c r="D14" s="32"/>
      <c r="E14" s="32"/>
      <c r="F14" s="32"/>
      <c r="G14" s="32"/>
      <c r="H14" s="32"/>
      <c r="I14" s="32" t="str">
        <f>IFERROR(__xludf.DUMMYFUNCTION("""COMPUTED_VALUE"""),"Immune")</f>
        <v>Immune</v>
      </c>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row>
    <row r="15">
      <c r="A15" s="32" t="str">
        <f>IFERROR(__xludf.DUMMYFUNCTION("""COMPUTED_VALUE"""),"Corrupted Twilight Knight")</f>
        <v>Corrupted Twilight Knight</v>
      </c>
      <c r="B15" s="32"/>
      <c r="C15" s="32"/>
      <c r="D15" s="32"/>
      <c r="E15" s="32"/>
      <c r="F15" s="32"/>
      <c r="G15" s="32"/>
      <c r="H15" s="32"/>
      <c r="I15" s="32"/>
      <c r="J15" s="32"/>
      <c r="K15" s="32"/>
      <c r="L15" s="32"/>
      <c r="M15" s="32"/>
      <c r="N15" s="32"/>
      <c r="O15" s="32"/>
      <c r="P15" s="32">
        <f>IFERROR(__xludf.DUMMYFUNCTION("""COMPUTED_VALUE"""),100.0)</f>
        <v>100</v>
      </c>
      <c r="Q15" s="32"/>
      <c r="R15" s="32"/>
      <c r="S15" s="32"/>
      <c r="T15" s="32"/>
      <c r="U15" s="32"/>
      <c r="V15" s="32"/>
      <c r="W15" s="32"/>
      <c r="X15" s="32"/>
      <c r="Y15" s="32"/>
      <c r="Z15" s="32"/>
      <c r="AA15" s="32"/>
      <c r="AB15" s="32"/>
      <c r="AC15" s="32"/>
      <c r="AD15" s="32"/>
      <c r="AE15" s="32"/>
      <c r="AF15" s="32"/>
      <c r="AG15" s="32"/>
      <c r="AH15" s="32"/>
      <c r="AI15" s="32"/>
      <c r="AJ15" s="32"/>
      <c r="AK15" s="32"/>
    </row>
    <row r="16">
      <c r="A16" s="32" t="str">
        <f>IFERROR(__xludf.DUMMYFUNCTION("""COMPUTED_VALUE"""),"Corrupted Twilight Knight")</f>
        <v>Corrupted Twilight Knight</v>
      </c>
      <c r="B16" s="32"/>
      <c r="C16" s="32"/>
      <c r="D16" s="32"/>
      <c r="E16" s="32"/>
      <c r="F16" s="32"/>
      <c r="G16" s="32"/>
      <c r="H16" s="32"/>
      <c r="I16" s="32"/>
      <c r="J16" s="32"/>
      <c r="K16" s="32"/>
      <c r="L16" s="32"/>
      <c r="M16" s="32"/>
      <c r="N16" s="32"/>
      <c r="O16" s="32"/>
      <c r="P16" s="32">
        <f>IFERROR(__xludf.DUMMYFUNCTION("""COMPUTED_VALUE"""),100.0)</f>
        <v>100</v>
      </c>
      <c r="Q16" s="32"/>
      <c r="R16" s="32"/>
      <c r="S16" s="32"/>
      <c r="T16" s="32"/>
      <c r="U16" s="32"/>
      <c r="V16" s="32"/>
      <c r="W16" s="32"/>
      <c r="X16" s="32"/>
      <c r="Y16" s="32"/>
      <c r="Z16" s="32"/>
      <c r="AA16" s="32"/>
      <c r="AB16" s="32"/>
      <c r="AC16" s="32"/>
      <c r="AD16" s="32"/>
      <c r="AE16" s="32"/>
      <c r="AF16" s="32"/>
      <c r="AG16" s="32"/>
      <c r="AH16" s="32"/>
      <c r="AI16" s="32"/>
      <c r="AJ16" s="32"/>
      <c r="AK16" s="32"/>
    </row>
    <row r="17">
      <c r="A17" s="32" t="str">
        <f>IFERROR(__xludf.DUMMYFUNCTION("""COMPUTED_VALUE"""),"Cyclops")</f>
        <v>Cyclops</v>
      </c>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row>
    <row r="18">
      <c r="A18" s="32" t="str">
        <f>IFERROR(__xludf.DUMMYFUNCTION("""COMPUTED_VALUE"""),"Dark Wizard")</f>
        <v>Dark Wizard</v>
      </c>
      <c r="B18" s="32"/>
      <c r="C18" s="32"/>
      <c r="D18" s="32"/>
      <c r="E18" s="32"/>
      <c r="F18" s="32"/>
      <c r="G18" s="32">
        <f>IFERROR(__xludf.DUMMYFUNCTION("""COMPUTED_VALUE"""),100.0)</f>
        <v>100</v>
      </c>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row>
    <row r="19">
      <c r="A19" s="32" t="str">
        <f>IFERROR(__xludf.DUMMYFUNCTION("""COMPUTED_VALUE"""),"Death's Royal Guard")</f>
        <v>Death's Royal Guard</v>
      </c>
      <c r="B19" s="32"/>
      <c r="C19" s="32"/>
      <c r="D19" s="32"/>
      <c r="E19" s="32"/>
      <c r="F19" s="32"/>
      <c r="G19" s="32">
        <f>IFERROR(__xludf.DUMMYFUNCTION("""COMPUTED_VALUE"""),100.0)</f>
        <v>100</v>
      </c>
      <c r="H19" s="32"/>
      <c r="I19" s="32"/>
      <c r="J19" s="32">
        <f>IFERROR(__xludf.DUMMYFUNCTION("""COMPUTED_VALUE"""),100.0)</f>
        <v>100</v>
      </c>
      <c r="K19" s="32"/>
      <c r="L19" s="32"/>
      <c r="M19" s="32"/>
      <c r="N19" s="32"/>
      <c r="O19" s="32"/>
      <c r="P19" s="32"/>
      <c r="Q19" s="32"/>
      <c r="R19" s="32"/>
      <c r="S19" s="32"/>
      <c r="T19" s="32"/>
      <c r="U19" s="32"/>
      <c r="V19" s="32"/>
      <c r="W19" s="32"/>
      <c r="X19" s="32" t="str">
        <f>IFERROR(__xludf.DUMMYFUNCTION("""COMPUTED_VALUE"""),"Immune")</f>
        <v>Immune</v>
      </c>
      <c r="Y19" s="32"/>
      <c r="Z19" s="32"/>
      <c r="AA19" s="32"/>
      <c r="AB19" s="32"/>
      <c r="AC19" s="32"/>
      <c r="AD19" s="32"/>
      <c r="AE19" s="32"/>
      <c r="AF19" s="32"/>
      <c r="AG19" s="32"/>
      <c r="AH19" s="32"/>
      <c r="AI19" s="32"/>
      <c r="AJ19" s="32"/>
      <c r="AK19" s="32"/>
    </row>
    <row r="20">
      <c r="A20" s="32" t="str">
        <f>IFERROR(__xludf.DUMMYFUNCTION("""COMPUTED_VALUE"""),"Deathblade The Dragon Hunter")</f>
        <v>Deathblade The Dragon Hunter</v>
      </c>
      <c r="B20" s="32"/>
      <c r="C20" s="32"/>
      <c r="D20" s="32"/>
      <c r="E20" s="32"/>
      <c r="F20" s="32"/>
      <c r="G20" s="32" t="str">
        <f>IFERROR(__xludf.DUMMYFUNCTION("""COMPUTED_VALUE"""),"Immune")</f>
        <v>Immune</v>
      </c>
      <c r="H20" s="32"/>
      <c r="I20" s="32"/>
      <c r="J20" s="32" t="str">
        <f>IFERROR(__xludf.DUMMYFUNCTION("""COMPUTED_VALUE"""),"Immune")</f>
        <v>Immune</v>
      </c>
      <c r="K20" s="32"/>
      <c r="L20" s="32"/>
      <c r="M20" s="32"/>
      <c r="N20" s="32"/>
      <c r="O20" s="32"/>
      <c r="P20" s="32"/>
      <c r="Q20" s="32"/>
      <c r="R20" s="32"/>
      <c r="S20" s="32"/>
      <c r="T20" s="32"/>
      <c r="U20" s="32"/>
      <c r="V20" s="32"/>
      <c r="W20" s="32"/>
      <c r="X20" s="32" t="str">
        <f>IFERROR(__xludf.DUMMYFUNCTION("""COMPUTED_VALUE"""),"Immune")</f>
        <v>Immune</v>
      </c>
      <c r="Y20" s="32" t="str">
        <f>IFERROR(__xludf.DUMMYFUNCTION("""COMPUTED_VALUE"""),"Immune")</f>
        <v>Immune</v>
      </c>
      <c r="Z20" s="32"/>
      <c r="AA20" s="32"/>
      <c r="AB20" s="32"/>
      <c r="AC20" s="32"/>
      <c r="AD20" s="32"/>
      <c r="AE20" s="32"/>
      <c r="AF20" s="32"/>
      <c r="AG20" s="32"/>
      <c r="AH20" s="32"/>
      <c r="AI20" s="32"/>
      <c r="AJ20" s="32"/>
      <c r="AK20" s="32"/>
    </row>
    <row r="21">
      <c r="A21" s="32" t="str">
        <f>IFERROR(__xludf.DUMMYFUNCTION("""COMPUTED_VALUE"""),"Defensive Rock Giant")</f>
        <v>Defensive Rock Giant</v>
      </c>
      <c r="B21" s="32">
        <f>IFERROR(__xludf.DUMMYFUNCTION("""COMPUTED_VALUE"""),100.0)</f>
        <v>100</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row>
    <row r="22">
      <c r="A22" s="32" t="str">
        <f>IFERROR(__xludf.DUMMYFUNCTION("""COMPUTED_VALUE"""),"Dragon Summoner")</f>
        <v>Dragon Summoner</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row>
    <row r="23">
      <c r="A23" s="32" t="str">
        <f>IFERROR(__xludf.DUMMYFUNCTION("""COMPUTED_VALUE"""),"Eagle")</f>
        <v>Eagle</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row>
    <row r="24">
      <c r="A24" s="32" t="str">
        <f>IFERROR(__xludf.DUMMYFUNCTION("""COMPUTED_VALUE"""),"Evil Moth")</f>
        <v>Evil Moth</v>
      </c>
      <c r="B24" s="32"/>
      <c r="C24" s="32"/>
      <c r="D24" s="32"/>
      <c r="E24" s="32"/>
      <c r="F24" s="32"/>
      <c r="G24" s="32">
        <f>IFERROR(__xludf.DUMMYFUNCTION("""COMPUTED_VALUE"""),100.0)</f>
        <v>100</v>
      </c>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row>
    <row r="25">
      <c r="A25" s="32" t="str">
        <f>IFERROR(__xludf.DUMMYFUNCTION("""COMPUTED_VALUE"""),"flaming dragon Knight")</f>
        <v>flaming dragon Knight</v>
      </c>
      <c r="B25" s="32" t="str">
        <f>IFERROR(__xludf.DUMMYFUNCTION("""COMPUTED_VALUE"""),"Immune")</f>
        <v>Immune</v>
      </c>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row>
    <row r="26">
      <c r="A26" s="32" t="str">
        <f>IFERROR(__xludf.DUMMYFUNCTION("""COMPUTED_VALUE"""),"Floating Skull")</f>
        <v>Floating Skull</v>
      </c>
      <c r="B26" s="32"/>
      <c r="C26" s="32"/>
      <c r="D26" s="32"/>
      <c r="E26" s="32"/>
      <c r="F26" s="32"/>
      <c r="G26" s="32">
        <f>IFERROR(__xludf.DUMMYFUNCTION("""COMPUTED_VALUE"""),100.0)</f>
        <v>100</v>
      </c>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row>
    <row r="27">
      <c r="A27" s="32" t="str">
        <f>IFERROR(__xludf.DUMMYFUNCTION("""COMPUTED_VALUE"""),"Forest Elf")</f>
        <v>Forest Elf</v>
      </c>
      <c r="B27" s="32"/>
      <c r="C27" s="32">
        <f>IFERROR(__xludf.DUMMYFUNCTION("""COMPUTED_VALUE"""),100.0)</f>
        <v>100</v>
      </c>
      <c r="D27" s="32"/>
      <c r="E27" s="32"/>
      <c r="F27" s="32"/>
      <c r="G27" s="32"/>
      <c r="H27" s="32"/>
      <c r="I27" s="32"/>
      <c r="J27" s="32"/>
      <c r="K27" s="32">
        <f>IFERROR(__xludf.DUMMYFUNCTION("""COMPUTED_VALUE"""),100.0)</f>
        <v>100</v>
      </c>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row>
    <row r="28">
      <c r="A28" s="32" t="str">
        <f>IFERROR(__xludf.DUMMYFUNCTION("""COMPUTED_VALUE"""),"Frost Knight")</f>
        <v>Frost Knight</v>
      </c>
      <c r="B28" s="32"/>
      <c r="C28" s="32" t="str">
        <f>IFERROR(__xludf.DUMMYFUNCTION("""COMPUTED_VALUE"""),"Immune")</f>
        <v>Immune</v>
      </c>
      <c r="D28" s="32"/>
      <c r="E28" s="32"/>
      <c r="F28" s="32"/>
      <c r="G28" s="32"/>
      <c r="H28" s="32"/>
      <c r="I28" s="32"/>
      <c r="J28" s="32"/>
      <c r="K28" s="32"/>
      <c r="L28" s="32"/>
      <c r="M28" s="32"/>
      <c r="N28" s="32"/>
      <c r="O28" s="32"/>
      <c r="P28" s="32"/>
      <c r="Q28" s="32"/>
      <c r="R28" s="32"/>
      <c r="S28" s="32"/>
      <c r="T28" s="32"/>
      <c r="U28" s="32"/>
      <c r="V28" s="32"/>
      <c r="W28" s="32"/>
      <c r="X28" s="32" t="str">
        <f>IFERROR(__xludf.DUMMYFUNCTION("""COMPUTED_VALUE"""),"Immune")</f>
        <v>Immune</v>
      </c>
      <c r="Y28" s="32" t="str">
        <f>IFERROR(__xludf.DUMMYFUNCTION("""COMPUTED_VALUE"""),"Immune")</f>
        <v>Immune</v>
      </c>
      <c r="Z28" s="32"/>
      <c r="AA28" s="32" t="str">
        <f>IFERROR(__xludf.DUMMYFUNCTION("""COMPUTED_VALUE"""),"Immune")</f>
        <v>Immune</v>
      </c>
      <c r="AB28" s="32"/>
      <c r="AC28" s="32"/>
      <c r="AD28" s="32"/>
      <c r="AE28" s="32"/>
      <c r="AF28" s="32"/>
      <c r="AG28" s="32"/>
      <c r="AH28" s="32"/>
      <c r="AI28" s="32"/>
      <c r="AJ28" s="32"/>
      <c r="AK28" s="32"/>
    </row>
    <row r="29">
      <c r="A29" s="32" t="str">
        <f>IFERROR(__xludf.DUMMYFUNCTION("""COMPUTED_VALUE"""),"Giant")</f>
        <v>Giant</v>
      </c>
      <c r="B29" s="32"/>
      <c r="C29" s="32"/>
      <c r="D29" s="32"/>
      <c r="E29" s="32">
        <f>IFERROR(__xludf.DUMMYFUNCTION("""COMPUTED_VALUE"""),100.0)</f>
        <v>100</v>
      </c>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row>
    <row r="30">
      <c r="A30" s="32" t="str">
        <f>IFERROR(__xludf.DUMMYFUNCTION("""COMPUTED_VALUE"""),"Giant Ancient Frost Troll")</f>
        <v>Giant Ancient Frost Troll</v>
      </c>
      <c r="B30" s="32"/>
      <c r="C30" s="32" t="str">
        <f>IFERROR(__xludf.DUMMYFUNCTION("""COMPUTED_VALUE"""),"Immune")</f>
        <v>Immune</v>
      </c>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row>
    <row r="31">
      <c r="A31" s="32" t="str">
        <f>IFERROR(__xludf.DUMMYFUNCTION("""COMPUTED_VALUE"""),"Giant Mutated Eel Shark")</f>
        <v>Giant Mutated Eel Shark</v>
      </c>
      <c r="B31" s="32" t="str">
        <f>IFERROR(__xludf.DUMMYFUNCTION("""COMPUTED_VALUE"""),"Immune")</f>
        <v>Immune</v>
      </c>
      <c r="C31" s="32">
        <f>IFERROR(__xludf.DUMMYFUNCTION("""COMPUTED_VALUE"""),100.0)</f>
        <v>100</v>
      </c>
      <c r="D31" s="32"/>
      <c r="E31" s="32"/>
      <c r="F31" s="32"/>
      <c r="G31" s="32"/>
      <c r="H31" s="32"/>
      <c r="I31" s="32"/>
      <c r="J31" s="32"/>
      <c r="K31" s="32" t="str">
        <f>IFERROR(__xludf.DUMMYFUNCTION("""COMPUTED_VALUE"""),"Immune")</f>
        <v>Immune</v>
      </c>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row>
    <row r="32">
      <c r="A32" s="32" t="str">
        <f>IFERROR(__xludf.DUMMYFUNCTION("""COMPUTED_VALUE"""),"Giant Scorpion")</f>
        <v>Giant Scorpion</v>
      </c>
      <c r="B32" s="32"/>
      <c r="C32" s="32">
        <f>IFERROR(__xludf.DUMMYFUNCTION("""COMPUTED_VALUE"""),100.0)</f>
        <v>100</v>
      </c>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row>
    <row r="33">
      <c r="A33" s="32" t="str">
        <f>IFERROR(__xludf.DUMMYFUNCTION("""COMPUTED_VALUE"""),"Giant Spider")</f>
        <v>Giant Spider</v>
      </c>
      <c r="B33" s="32"/>
      <c r="C33" s="32">
        <f>IFERROR(__xludf.DUMMYFUNCTION("""COMPUTED_VALUE"""),100.0)</f>
        <v>100</v>
      </c>
      <c r="D33" s="32"/>
      <c r="E33" s="32"/>
      <c r="F33" s="32"/>
      <c r="G33" s="32"/>
      <c r="H33" s="32"/>
      <c r="I33" s="32"/>
      <c r="J33" s="32"/>
      <c r="K33" s="32">
        <f>IFERROR(__xludf.DUMMYFUNCTION("""COMPUTED_VALUE"""),100.0)</f>
        <v>100</v>
      </c>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row>
    <row r="34">
      <c r="A34" s="32" t="str">
        <f>IFERROR(__xludf.DUMMYFUNCTION("""COMPUTED_VALUE"""),"Goblin")</f>
        <v>Goblin</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row>
    <row r="35">
      <c r="A35" s="32" t="str">
        <f>IFERROR(__xludf.DUMMYFUNCTION("""COMPUTED_VALUE"""),"Griffin")</f>
        <v>Griffin</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row>
    <row r="36">
      <c r="A36" s="32" t="str">
        <f>IFERROR(__xludf.DUMMYFUNCTION("""COMPUTED_VALUE"""),"Ground Tiger")</f>
        <v>Ground Tiger</v>
      </c>
      <c r="B36" s="32">
        <f>IFERROR(__xludf.DUMMYFUNCTION("""COMPUTED_VALUE"""),100.0)</f>
        <v>100</v>
      </c>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row>
    <row r="37">
      <c r="A37" s="32" t="str">
        <f>IFERROR(__xludf.DUMMYFUNCTION("""COMPUTED_VALUE"""),"Gytras: The Lord Of Jellyfish")</f>
        <v>Gytras: The Lord Of Jellyfish</v>
      </c>
      <c r="B37" s="32" t="str">
        <f>IFERROR(__xludf.DUMMYFUNCTION("""COMPUTED_VALUE"""),"Immune")</f>
        <v>Immune</v>
      </c>
      <c r="C37" s="32">
        <f>IFERROR(__xludf.DUMMYFUNCTION("""COMPUTED_VALUE"""),100.0)</f>
        <v>100</v>
      </c>
      <c r="D37" s="32">
        <f>IFERROR(__xludf.DUMMYFUNCTION("""COMPUTED_VALUE"""),100.0)</f>
        <v>100</v>
      </c>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row>
    <row r="38">
      <c r="A38" s="32" t="str">
        <f>IFERROR(__xludf.DUMMYFUNCTION("""COMPUTED_VALUE"""),"Haunted Scarecrow")</f>
        <v>Haunted Scarecrow</v>
      </c>
      <c r="B38" s="32"/>
      <c r="C38" s="32"/>
      <c r="D38" s="32"/>
      <c r="E38" s="32"/>
      <c r="F38" s="32"/>
      <c r="G38" s="32" t="str">
        <f>IFERROR(__xludf.DUMMYFUNCTION("""COMPUTED_VALUE"""),"Immune")</f>
        <v>Immune</v>
      </c>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row>
    <row r="39">
      <c r="A39" s="32" t="str">
        <f>IFERROR(__xludf.DUMMYFUNCTION("""COMPUTED_VALUE"""),"King Goose")</f>
        <v>King Goose</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row>
    <row r="40">
      <c r="A40" s="32" t="str">
        <f>IFERROR(__xludf.DUMMYFUNCTION("""COMPUTED_VALUE"""),"Legendary Treant")</f>
        <v>Legendary Treant</v>
      </c>
      <c r="B40" s="32"/>
      <c r="C40" s="32" t="str">
        <f>IFERROR(__xludf.DUMMYFUNCTION("""COMPUTED_VALUE"""),"Immune")</f>
        <v>Immune</v>
      </c>
      <c r="D40" s="32"/>
      <c r="E40" s="32"/>
      <c r="F40" s="32"/>
      <c r="G40" s="32"/>
      <c r="H40" s="32"/>
      <c r="I40" s="32"/>
      <c r="J40" s="32"/>
      <c r="K40" s="32" t="str">
        <f>IFERROR(__xludf.DUMMYFUNCTION("""COMPUTED_VALUE"""),"Immune")</f>
        <v>Immune</v>
      </c>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row>
    <row r="41">
      <c r="A41" s="32" t="str">
        <f>IFERROR(__xludf.DUMMYFUNCTION("""COMPUTED_VALUE"""),"Locust Swarm")</f>
        <v>Locust Swarm</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row>
    <row r="42">
      <c r="A42" s="32" t="str">
        <f>IFERROR(__xludf.DUMMYFUNCTION("""COMPUTED_VALUE"""),"Lord Goose")</f>
        <v>Lord Goose</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row>
    <row r="43">
      <c r="A43" s="32" t="str">
        <f>IFERROR(__xludf.DUMMYFUNCTION("""COMPUTED_VALUE"""),"Manticore")</f>
        <v>Manticore</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row>
    <row r="44">
      <c r="A44" s="32" t="str">
        <f>IFERROR(__xludf.DUMMYFUNCTION("""COMPUTED_VALUE"""),"Merk the undying sand Goblin")</f>
        <v>Merk the undying sand Goblin</v>
      </c>
      <c r="B44" s="32">
        <f>IFERROR(__xludf.DUMMYFUNCTION("""COMPUTED_VALUE"""),100.0)</f>
        <v>100</v>
      </c>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row>
    <row r="45">
      <c r="A45" s="32" t="str">
        <f>IFERROR(__xludf.DUMMYFUNCTION("""COMPUTED_VALUE"""),"Phantom")</f>
        <v>Phantom</v>
      </c>
      <c r="B45" s="32"/>
      <c r="C45" s="32"/>
      <c r="D45" s="32"/>
      <c r="E45" s="32"/>
      <c r="F45" s="32"/>
      <c r="G45" s="32" t="str">
        <f>IFERROR(__xludf.DUMMYFUNCTION("""COMPUTED_VALUE"""),"Immune")</f>
        <v>Immune</v>
      </c>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row>
    <row r="46">
      <c r="A46" s="32" t="str">
        <f>IFERROR(__xludf.DUMMYFUNCTION("""COMPUTED_VALUE"""),"Poison Warrior")</f>
        <v>Poison Warrior</v>
      </c>
      <c r="B46" s="32"/>
      <c r="C46" s="32"/>
      <c r="D46" s="32"/>
      <c r="E46" s="32"/>
      <c r="F46" s="32"/>
      <c r="G46" s="32"/>
      <c r="H46" s="32"/>
      <c r="I46" s="32"/>
      <c r="J46" s="32"/>
      <c r="K46" s="32">
        <f>IFERROR(__xludf.DUMMYFUNCTION("""COMPUTED_VALUE"""),100.0)</f>
        <v>100</v>
      </c>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row>
    <row r="47">
      <c r="A47" s="32" t="str">
        <f>IFERROR(__xludf.DUMMYFUNCTION("""COMPUTED_VALUE"""),"Rock Snake")</f>
        <v>Rock Snake</v>
      </c>
      <c r="B47" s="32">
        <f>IFERROR(__xludf.DUMMYFUNCTION("""COMPUTED_VALUE"""),100.0)</f>
        <v>100</v>
      </c>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row>
    <row r="48">
      <c r="A48" s="32" t="str">
        <f>IFERROR(__xludf.DUMMYFUNCTION("""COMPUTED_VALUE"""),"Sandmite")</f>
        <v>Sandmite</v>
      </c>
      <c r="B48" s="32">
        <f>IFERROR(__xludf.DUMMYFUNCTION("""COMPUTED_VALUE"""),100.0)</f>
        <v>100</v>
      </c>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row>
    <row r="49">
      <c r="A49" s="32" t="str">
        <f>IFERROR(__xludf.DUMMYFUNCTION("""COMPUTED_VALUE"""),"Shadow King")</f>
        <v>Shadow King</v>
      </c>
      <c r="B49" s="32"/>
      <c r="C49" s="32"/>
      <c r="D49" s="32"/>
      <c r="E49" s="32"/>
      <c r="F49" s="32"/>
      <c r="G49" s="32" t="str">
        <f>IFERROR(__xludf.DUMMYFUNCTION("""COMPUTED_VALUE"""),"Immune")</f>
        <v>Immune</v>
      </c>
      <c r="H49" s="32"/>
      <c r="I49" s="32"/>
      <c r="J49" s="32"/>
      <c r="K49" s="32"/>
      <c r="L49" s="32" t="str">
        <f>IFERROR(__xludf.DUMMYFUNCTION("""COMPUTED_VALUE"""),"Immune")</f>
        <v>Immune</v>
      </c>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row>
    <row r="50">
      <c r="A50" s="32" t="str">
        <f>IFERROR(__xludf.DUMMYFUNCTION("""COMPUTED_VALUE"""),"Shadow Suit of armor")</f>
        <v>Shadow Suit of armor</v>
      </c>
      <c r="B50" s="32"/>
      <c r="C50" s="32"/>
      <c r="D50" s="32"/>
      <c r="E50" s="32"/>
      <c r="F50" s="32"/>
      <c r="G50" s="32">
        <f>IFERROR(__xludf.DUMMYFUNCTION("""COMPUTED_VALUE"""),100.0)</f>
        <v>100</v>
      </c>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row>
    <row r="51">
      <c r="A51" s="32" t="str">
        <f>IFERROR(__xludf.DUMMYFUNCTION("""COMPUTED_VALUE"""),"Shadow Suit of armor")</f>
        <v>Shadow Suit of armor</v>
      </c>
      <c r="B51" s="32"/>
      <c r="C51" s="32"/>
      <c r="D51" s="32"/>
      <c r="E51" s="32"/>
      <c r="F51" s="32"/>
      <c r="G51" s="32" t="str">
        <f>IFERROR(__xludf.DUMMYFUNCTION("""COMPUTED_VALUE"""),"Immune")</f>
        <v>Immune</v>
      </c>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row>
    <row r="52">
      <c r="A52" s="32" t="str">
        <f>IFERROR(__xludf.DUMMYFUNCTION("""COMPUTED_VALUE"""),"Skeletal Warrior")</f>
        <v>Skeletal Warrior</v>
      </c>
      <c r="B52" s="32"/>
      <c r="C52" s="32"/>
      <c r="D52" s="32"/>
      <c r="E52" s="32"/>
      <c r="F52" s="32"/>
      <c r="G52" s="32">
        <f>IFERROR(__xludf.DUMMYFUNCTION("""COMPUTED_VALUE"""),100.0)</f>
        <v>100</v>
      </c>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row>
    <row r="53">
      <c r="A53" s="32" t="str">
        <f>IFERROR(__xludf.DUMMYFUNCTION("""COMPUTED_VALUE"""),"Skeleton Lord")</f>
        <v>Skeleton Lord</v>
      </c>
      <c r="B53" s="32"/>
      <c r="C53" s="32"/>
      <c r="D53" s="32"/>
      <c r="E53" s="32"/>
      <c r="F53" s="32"/>
      <c r="G53" s="32" t="str">
        <f>IFERROR(__xludf.DUMMYFUNCTION("""COMPUTED_VALUE"""),"Immune")</f>
        <v>Immune</v>
      </c>
      <c r="H53" s="32"/>
      <c r="I53" s="32"/>
      <c r="J53" s="32">
        <f>IFERROR(__xludf.DUMMYFUNCTION("""COMPUTED_VALUE"""),100.0)</f>
        <v>100</v>
      </c>
      <c r="K53" s="32"/>
      <c r="L53" s="32"/>
      <c r="M53" s="32"/>
      <c r="N53" s="32"/>
      <c r="O53" s="32"/>
      <c r="P53" s="32"/>
      <c r="Q53" s="32"/>
      <c r="R53" s="32"/>
      <c r="S53" s="32"/>
      <c r="T53" s="32"/>
      <c r="U53" s="32"/>
      <c r="V53" s="32"/>
      <c r="W53" s="32"/>
      <c r="X53" s="32" t="str">
        <f>IFERROR(__xludf.DUMMYFUNCTION("""COMPUTED_VALUE"""),"Immune")</f>
        <v>Immune</v>
      </c>
      <c r="Y53" s="32"/>
      <c r="Z53" s="32"/>
      <c r="AA53" s="32"/>
      <c r="AB53" s="32"/>
      <c r="AC53" s="32"/>
      <c r="AD53" s="32"/>
      <c r="AE53" s="32"/>
      <c r="AF53" s="32"/>
      <c r="AG53" s="32"/>
      <c r="AH53" s="32"/>
      <c r="AI53" s="32"/>
      <c r="AJ53" s="32"/>
      <c r="AK53" s="32"/>
    </row>
    <row r="54">
      <c r="A54" s="32" t="str">
        <f>IFERROR(__xludf.DUMMYFUNCTION("""COMPUTED_VALUE"""),"Slime")</f>
        <v>Slime</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row>
    <row r="55">
      <c r="A55" s="32" t="str">
        <f>IFERROR(__xludf.DUMMYFUNCTION("""COMPUTED_VALUE"""),"Swamp Portal Guard")</f>
        <v>Swamp Portal Guard</v>
      </c>
      <c r="B55" s="32"/>
      <c r="C55" s="32">
        <f>IFERROR(__xludf.DUMMYFUNCTION("""COMPUTED_VALUE"""),100.0)</f>
        <v>100</v>
      </c>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row>
    <row r="56">
      <c r="A56" s="32" t="str">
        <f>IFERROR(__xludf.DUMMYFUNCTION("""COMPUTED_VALUE"""),"The God Of Birch")</f>
        <v>The God Of Birch</v>
      </c>
      <c r="B56" s="32"/>
      <c r="C56" s="32"/>
      <c r="D56" s="32"/>
      <c r="E56" s="32"/>
      <c r="F56" s="32"/>
      <c r="G56" s="32"/>
      <c r="H56" s="32"/>
      <c r="I56" s="32"/>
      <c r="J56" s="32"/>
      <c r="K56" s="32"/>
      <c r="L56" s="32"/>
      <c r="M56" s="32"/>
      <c r="N56" s="32"/>
      <c r="O56" s="32"/>
      <c r="P56" s="32"/>
      <c r="Q56" s="32"/>
      <c r="R56" s="32"/>
      <c r="S56" s="32"/>
      <c r="T56" s="32"/>
      <c r="U56" s="32"/>
      <c r="V56" s="32"/>
      <c r="W56" s="32"/>
      <c r="X56" s="32" t="str">
        <f>IFERROR(__xludf.DUMMYFUNCTION("""COMPUTED_VALUE"""),"Immune")</f>
        <v>Immune</v>
      </c>
      <c r="Y56" s="32"/>
      <c r="Z56" s="32"/>
      <c r="AA56" s="32"/>
      <c r="AB56" s="32"/>
      <c r="AC56" s="32"/>
      <c r="AD56" s="32"/>
      <c r="AE56" s="32"/>
      <c r="AF56" s="32"/>
      <c r="AG56" s="32"/>
      <c r="AH56" s="32"/>
      <c r="AI56" s="32"/>
      <c r="AJ56" s="32"/>
      <c r="AK56" s="32"/>
    </row>
    <row r="57">
      <c r="A57" s="32" t="str">
        <f>IFERROR(__xludf.DUMMYFUNCTION("""COMPUTED_VALUE"""),"The Guardian Of Death")</f>
        <v>The Guardian Of Death</v>
      </c>
      <c r="B57" s="32"/>
      <c r="C57" s="32"/>
      <c r="D57" s="32"/>
      <c r="E57" s="32"/>
      <c r="F57" s="32"/>
      <c r="G57" s="32" t="str">
        <f>IFERROR(__xludf.DUMMYFUNCTION("""COMPUTED_VALUE"""),"Immune")</f>
        <v>Immune</v>
      </c>
      <c r="H57" s="32"/>
      <c r="I57" s="32"/>
      <c r="J57" s="32" t="str">
        <f>IFERROR(__xludf.DUMMYFUNCTION("""COMPUTED_VALUE"""),"Immune")</f>
        <v>Immune</v>
      </c>
      <c r="K57" s="32"/>
      <c r="L57" s="32"/>
      <c r="M57" s="32"/>
      <c r="N57" s="32"/>
      <c r="O57" s="32"/>
      <c r="P57" s="32"/>
      <c r="Q57" s="32"/>
      <c r="R57" s="32"/>
      <c r="S57" s="32"/>
      <c r="T57" s="32"/>
      <c r="U57" s="32"/>
      <c r="V57" s="32"/>
      <c r="W57" s="32"/>
      <c r="X57" s="32" t="str">
        <f>IFERROR(__xludf.DUMMYFUNCTION("""COMPUTED_VALUE"""),"Immune")</f>
        <v>Immune</v>
      </c>
      <c r="Y57" s="32" t="str">
        <f>IFERROR(__xludf.DUMMYFUNCTION("""COMPUTED_VALUE"""),"Immune")</f>
        <v>Immune</v>
      </c>
      <c r="Z57" s="32"/>
      <c r="AA57" s="32" t="str">
        <f>IFERROR(__xludf.DUMMYFUNCTION("""COMPUTED_VALUE"""),"Immune")</f>
        <v>Immune</v>
      </c>
      <c r="AB57" s="32"/>
      <c r="AC57" s="32"/>
      <c r="AD57" s="32"/>
      <c r="AE57" s="32"/>
      <c r="AF57" s="32"/>
      <c r="AG57" s="32"/>
      <c r="AH57" s="32"/>
      <c r="AI57" s="32"/>
      <c r="AJ57" s="32"/>
      <c r="AK57" s="32"/>
    </row>
    <row r="58">
      <c r="A58" s="32" t="str">
        <f>IFERROR(__xludf.DUMMYFUNCTION("""COMPUTED_VALUE"""),"The Guardian Of The Mystic Well")</f>
        <v>The Guardian Of The Mystic Well</v>
      </c>
      <c r="B58" s="32" t="str">
        <f>IFERROR(__xludf.DUMMYFUNCTION("""COMPUTED_VALUE"""),"Immune")</f>
        <v>Immune</v>
      </c>
      <c r="C58" s="32" t="str">
        <f>IFERROR(__xludf.DUMMYFUNCTION("""COMPUTED_VALUE"""),"Immune")</f>
        <v>Immune</v>
      </c>
      <c r="D58" s="32">
        <f>IFERROR(__xludf.DUMMYFUNCTION("""COMPUTED_VALUE"""),100.0)</f>
        <v>100</v>
      </c>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row>
    <row r="59">
      <c r="A59" s="32" t="str">
        <f>IFERROR(__xludf.DUMMYFUNCTION("""COMPUTED_VALUE"""),"The Kraken")</f>
        <v>The Kraken</v>
      </c>
      <c r="B59" s="32" t="str">
        <f>IFERROR(__xludf.DUMMYFUNCTION("""COMPUTED_VALUE"""),"Immune")</f>
        <v>Immune</v>
      </c>
      <c r="C59" s="32" t="str">
        <f>IFERROR(__xludf.DUMMYFUNCTION("""COMPUTED_VALUE"""),"Immune")</f>
        <v>Immune</v>
      </c>
      <c r="D59" s="32"/>
      <c r="E59" s="32"/>
      <c r="F59" s="32"/>
      <c r="G59" s="32"/>
      <c r="H59" s="32"/>
      <c r="I59" s="32"/>
      <c r="J59" s="32"/>
      <c r="K59" s="32"/>
      <c r="L59" s="32"/>
      <c r="M59" s="32"/>
      <c r="N59" s="32"/>
      <c r="O59" s="32"/>
      <c r="P59" s="32"/>
      <c r="Q59" s="32"/>
      <c r="R59" s="32"/>
      <c r="S59" s="32"/>
      <c r="T59" s="32"/>
      <c r="U59" s="32"/>
      <c r="V59" s="32"/>
      <c r="W59" s="32"/>
      <c r="X59" s="32" t="str">
        <f>IFERROR(__xludf.DUMMYFUNCTION("""COMPUTED_VALUE"""),"Immune")</f>
        <v>Immune</v>
      </c>
      <c r="Y59" s="32" t="str">
        <f>IFERROR(__xludf.DUMMYFUNCTION("""COMPUTED_VALUE"""),"Immune")</f>
        <v>Immune</v>
      </c>
      <c r="Z59" s="32"/>
      <c r="AA59" s="32" t="str">
        <f>IFERROR(__xludf.DUMMYFUNCTION("""COMPUTED_VALUE"""),"Immune")</f>
        <v>Immune</v>
      </c>
      <c r="AB59" s="32"/>
      <c r="AC59" s="32"/>
      <c r="AD59" s="32"/>
      <c r="AE59" s="32"/>
      <c r="AF59" s="32"/>
      <c r="AG59" s="32"/>
      <c r="AH59" s="32"/>
      <c r="AI59" s="32"/>
      <c r="AJ59" s="32"/>
      <c r="AK59" s="32"/>
    </row>
    <row r="60">
      <c r="A60" s="32" t="str">
        <f>IFERROR(__xludf.DUMMYFUNCTION("""COMPUTED_VALUE"""),"The Undead King")</f>
        <v>The Undead King</v>
      </c>
      <c r="B60" s="32"/>
      <c r="C60" s="32"/>
      <c r="D60" s="32"/>
      <c r="E60" s="32"/>
      <c r="F60" s="32"/>
      <c r="G60" s="32" t="str">
        <f>IFERROR(__xludf.DUMMYFUNCTION("""COMPUTED_VALUE"""),"Immune")</f>
        <v>Immune</v>
      </c>
      <c r="H60" s="32"/>
      <c r="I60" s="32"/>
      <c r="J60" s="32"/>
      <c r="K60" s="32"/>
      <c r="L60" s="32"/>
      <c r="M60" s="32"/>
      <c r="N60" s="32"/>
      <c r="O60" s="32"/>
      <c r="P60" s="32"/>
      <c r="Q60" s="32"/>
      <c r="R60" s="32"/>
      <c r="S60" s="32"/>
      <c r="T60" s="32"/>
      <c r="U60" s="32"/>
      <c r="V60" s="32"/>
      <c r="W60" s="32"/>
      <c r="X60" s="32" t="str">
        <f>IFERROR(__xludf.DUMMYFUNCTION("""COMPUTED_VALUE"""),"Immune")</f>
        <v>Immune</v>
      </c>
      <c r="Y60" s="32" t="str">
        <f>IFERROR(__xludf.DUMMYFUNCTION("""COMPUTED_VALUE"""),"Immune")</f>
        <v>Immune</v>
      </c>
      <c r="Z60" s="32"/>
      <c r="AA60" s="32" t="str">
        <f>IFERROR(__xludf.DUMMYFUNCTION("""COMPUTED_VALUE"""),"Immune")</f>
        <v>Immune</v>
      </c>
      <c r="AB60" s="32"/>
      <c r="AC60" s="32"/>
      <c r="AD60" s="32"/>
      <c r="AE60" s="32"/>
      <c r="AF60" s="32"/>
      <c r="AG60" s="32"/>
      <c r="AH60" s="32"/>
      <c r="AI60" s="32"/>
      <c r="AJ60" s="32"/>
      <c r="AK60" s="32"/>
    </row>
    <row r="61">
      <c r="A61" s="32" t="str">
        <f>IFERROR(__xludf.DUMMYFUNCTION("""COMPUTED_VALUE"""),"Twilight Cultist")</f>
        <v>Twilight Cultist</v>
      </c>
      <c r="B61" s="32"/>
      <c r="C61" s="32"/>
      <c r="D61" s="32"/>
      <c r="E61" s="32"/>
      <c r="F61" s="32"/>
      <c r="G61" s="32"/>
      <c r="H61" s="32"/>
      <c r="I61" s="32"/>
      <c r="J61" s="32"/>
      <c r="K61" s="32"/>
      <c r="L61" s="32"/>
      <c r="M61" s="32"/>
      <c r="N61" s="32"/>
      <c r="O61" s="32"/>
      <c r="P61" s="32">
        <f>IFERROR(__xludf.DUMMYFUNCTION("""COMPUTED_VALUE"""),100.0)</f>
        <v>100</v>
      </c>
      <c r="Q61" s="32"/>
      <c r="R61" s="32"/>
      <c r="S61" s="32"/>
      <c r="T61" s="32"/>
      <c r="U61" s="32"/>
      <c r="V61" s="32"/>
      <c r="W61" s="32"/>
      <c r="X61" s="32"/>
      <c r="Y61" s="32"/>
      <c r="Z61" s="32"/>
      <c r="AA61" s="32"/>
      <c r="AB61" s="32"/>
      <c r="AC61" s="32"/>
      <c r="AD61" s="32"/>
      <c r="AE61" s="32"/>
      <c r="AF61" s="32"/>
      <c r="AG61" s="32"/>
      <c r="AH61" s="32"/>
      <c r="AI61" s="32"/>
      <c r="AJ61" s="32"/>
      <c r="AK61" s="32"/>
    </row>
    <row r="62">
      <c r="A62" s="32" t="str">
        <f>IFERROR(__xludf.DUMMYFUNCTION("""COMPUTED_VALUE"""),"Voodoo Shameness")</f>
        <v>Voodoo Shameness</v>
      </c>
      <c r="B62" s="32"/>
      <c r="C62" s="32"/>
      <c r="D62" s="32"/>
      <c r="E62" s="32"/>
      <c r="F62" s="32">
        <f>IFERROR(__xludf.DUMMYFUNCTION("""COMPUTED_VALUE"""),100.0)</f>
        <v>100</v>
      </c>
      <c r="G62" s="32"/>
      <c r="H62" s="32"/>
      <c r="I62" s="32">
        <f>IFERROR(__xludf.DUMMYFUNCTION("""COMPUTED_VALUE"""),100.0)</f>
        <v>100</v>
      </c>
      <c r="J62" s="32"/>
      <c r="K62" s="32"/>
      <c r="L62" s="32"/>
      <c r="M62" s="32"/>
      <c r="N62" s="32"/>
      <c r="O62" s="32"/>
      <c r="P62" s="32"/>
      <c r="Q62" s="32"/>
      <c r="R62" s="32"/>
      <c r="S62" s="32"/>
      <c r="T62" s="32">
        <f>IFERROR(__xludf.DUMMYFUNCTION("""COMPUTED_VALUE"""),100.0)</f>
        <v>100</v>
      </c>
      <c r="U62" s="32"/>
      <c r="V62" s="32"/>
      <c r="W62" s="32"/>
      <c r="X62" s="32"/>
      <c r="Y62" s="32"/>
      <c r="Z62" s="32"/>
      <c r="AA62" s="32"/>
      <c r="AB62" s="32"/>
      <c r="AC62" s="32"/>
      <c r="AD62" s="32"/>
      <c r="AE62" s="32"/>
      <c r="AF62" s="32"/>
      <c r="AG62" s="32"/>
      <c r="AH62" s="32"/>
      <c r="AI62" s="32"/>
      <c r="AJ62" s="32"/>
      <c r="AK62" s="32"/>
    </row>
    <row r="63">
      <c r="A63" s="32" t="str">
        <f>IFERROR(__xludf.DUMMYFUNCTION("""COMPUTED_VALUE"""),"Witch")</f>
        <v>Witch</v>
      </c>
      <c r="B63" s="32"/>
      <c r="C63" s="32"/>
      <c r="D63" s="32"/>
      <c r="E63" s="32"/>
      <c r="F63" s="32"/>
      <c r="G63" s="32">
        <f>IFERROR(__xludf.DUMMYFUNCTION("""COMPUTED_VALUE"""),100.0)</f>
        <v>100</v>
      </c>
      <c r="H63" s="32"/>
      <c r="I63" s="32"/>
      <c r="J63" s="32">
        <f>IFERROR(__xludf.DUMMYFUNCTION("""COMPUTED_VALUE"""),100.0)</f>
        <v>100</v>
      </c>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row>
    <row r="64">
      <c r="A64" s="32" t="str">
        <f>IFERROR(__xludf.DUMMYFUNCTION("""COMPUTED_VALUE"""),"Zombie")</f>
        <v>Zombie</v>
      </c>
      <c r="B64" s="32"/>
      <c r="C64" s="32"/>
      <c r="D64" s="32"/>
      <c r="E64" s="32"/>
      <c r="F64" s="32"/>
      <c r="G64" s="32">
        <f>IFERROR(__xludf.DUMMYFUNCTION("""COMPUTED_VALUE"""),100.0)</f>
        <v>100</v>
      </c>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row>
    <row r="65">
      <c r="A65" s="32" t="str">
        <f>IFERROR(__xludf.DUMMYFUNCTION("""COMPUTED_VALUE"""),"Zombie Whale Shark")</f>
        <v>Zombie Whale Shark</v>
      </c>
      <c r="B65" s="32" t="str">
        <f>IFERROR(__xludf.DUMMYFUNCTION("""COMPUTED_VALUE"""),"Immune")</f>
        <v>Immune</v>
      </c>
      <c r="C65" s="32" t="str">
        <f>IFERROR(__xludf.DUMMYFUNCTION("""COMPUTED_VALUE"""),"Immune")</f>
        <v>Immune</v>
      </c>
      <c r="D65" s="32"/>
      <c r="E65" s="32"/>
      <c r="F65" s="32"/>
      <c r="G65" s="32" t="str">
        <f>IFERROR(__xludf.DUMMYFUNCTION("""COMPUTED_VALUE"""),"Immune")</f>
        <v>Immune</v>
      </c>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row>
    <row r="66">
      <c r="A66" s="32" t="str">
        <f>IFERROR(__xludf.DUMMYFUNCTION("""COMPUTED_VALUE"""),"Zombie")</f>
        <v>Zombie</v>
      </c>
      <c r="B66" s="32"/>
      <c r="C66" s="32"/>
      <c r="D66" s="32"/>
      <c r="E66" s="32"/>
      <c r="F66" s="32"/>
      <c r="G66" s="32" t="str">
        <f>IFERROR(__xludf.DUMMYFUNCTION("""COMPUTED_VALUE"""),"Immune")</f>
        <v>Immune</v>
      </c>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row>
    <row r="67">
      <c r="A67" s="32" t="str">
        <f>IFERROR(__xludf.DUMMYFUNCTION("""COMPUTED_VALUE"""),"Headless Horseman ")</f>
        <v>Headless Horseman </v>
      </c>
      <c r="B67" s="32"/>
      <c r="C67" s="32"/>
      <c r="D67" s="32"/>
      <c r="E67" s="32"/>
      <c r="F67" s="32"/>
      <c r="G67" s="32" t="str">
        <f>IFERROR(__xludf.DUMMYFUNCTION("""COMPUTED_VALUE"""),"Immune")</f>
        <v>Immune</v>
      </c>
      <c r="H67" s="32"/>
      <c r="I67" s="32"/>
      <c r="J67" s="32" t="str">
        <f>IFERROR(__xludf.DUMMYFUNCTION("""COMPUTED_VALUE"""),"Immune")</f>
        <v>Immune</v>
      </c>
      <c r="K67" s="32"/>
      <c r="L67" s="32"/>
      <c r="M67" s="32"/>
      <c r="N67" s="32"/>
      <c r="O67" s="32"/>
      <c r="P67" s="32"/>
      <c r="Q67" s="32" t="str">
        <f>IFERROR(__xludf.DUMMYFUNCTION("""COMPUTED_VALUE"""),"Immune")</f>
        <v>Immune</v>
      </c>
      <c r="R67" s="32"/>
      <c r="S67" s="32"/>
      <c r="T67" s="32"/>
      <c r="U67" s="32"/>
      <c r="V67" s="32"/>
      <c r="W67" s="32"/>
      <c r="X67" s="32" t="str">
        <f>IFERROR(__xludf.DUMMYFUNCTION("""COMPUTED_VALUE"""),"Immune")</f>
        <v>Immune</v>
      </c>
      <c r="Y67" s="32" t="str">
        <f>IFERROR(__xludf.DUMMYFUNCTION("""COMPUTED_VALUE"""),"Immune")</f>
        <v>Immune</v>
      </c>
      <c r="Z67" s="32"/>
      <c r="AA67" s="32" t="str">
        <f>IFERROR(__xludf.DUMMYFUNCTION("""COMPUTED_VALUE"""),"Immune")</f>
        <v>Immune</v>
      </c>
      <c r="AB67" s="32"/>
      <c r="AC67" s="32"/>
      <c r="AD67" s="32"/>
      <c r="AE67" s="32"/>
      <c r="AF67" s="32"/>
      <c r="AG67" s="32"/>
      <c r="AH67" s="32"/>
      <c r="AI67" s="32"/>
      <c r="AJ67" s="32"/>
      <c r="AK67" s="32"/>
    </row>
    <row r="68">
      <c r="A68" s="32" t="str">
        <f>IFERROR(__xludf.DUMMYFUNCTION("""COMPUTED_VALUE"""),"Vampire")</f>
        <v>Vampire</v>
      </c>
      <c r="B68" s="32"/>
      <c r="C68" s="32"/>
      <c r="D68" s="32"/>
      <c r="E68" s="32"/>
      <c r="F68" s="32"/>
      <c r="G68" s="32" t="str">
        <f>IFERROR(__xludf.DUMMYFUNCTION("""COMPUTED_VALUE"""),"Immune")</f>
        <v>Immune</v>
      </c>
      <c r="H68" s="32"/>
      <c r="I68" s="32"/>
      <c r="J68" s="32"/>
      <c r="K68" s="32"/>
      <c r="L68" s="32"/>
      <c r="M68" s="32"/>
      <c r="N68" s="32"/>
      <c r="O68" s="32"/>
      <c r="P68" s="32"/>
      <c r="Q68" s="32"/>
      <c r="R68" s="32" t="str">
        <f>IFERROR(__xludf.DUMMYFUNCTION("""COMPUTED_VALUE"""),"Immune")</f>
        <v>Immune</v>
      </c>
      <c r="S68" s="32"/>
      <c r="T68" s="32"/>
      <c r="U68" s="32"/>
      <c r="V68" s="32"/>
      <c r="W68" s="32"/>
      <c r="X68" s="32"/>
      <c r="Y68" s="32"/>
      <c r="Z68" s="32"/>
      <c r="AA68" s="32"/>
      <c r="AB68" s="32"/>
      <c r="AC68" s="32"/>
      <c r="AD68" s="32"/>
      <c r="AE68" s="32"/>
      <c r="AF68" s="32"/>
      <c r="AG68" s="32"/>
      <c r="AH68" s="32"/>
      <c r="AI68" s="32"/>
      <c r="AJ68" s="32"/>
      <c r="AK68" s="32"/>
    </row>
    <row r="69">
      <c r="A69" s="32" t="str">
        <f>IFERROR(__xludf.DUMMYFUNCTION("""COMPUTED_VALUE"""),"Vampire King")</f>
        <v>Vampire King</v>
      </c>
      <c r="B69" s="32"/>
      <c r="C69" s="32"/>
      <c r="D69" s="32"/>
      <c r="E69" s="32"/>
      <c r="F69" s="32"/>
      <c r="G69" s="32" t="str">
        <f>IFERROR(__xludf.DUMMYFUNCTION("""COMPUTED_VALUE"""),"Immune")</f>
        <v>Immune</v>
      </c>
      <c r="H69" s="32"/>
      <c r="I69" s="32"/>
      <c r="J69" s="32"/>
      <c r="K69" s="32"/>
      <c r="L69" s="32"/>
      <c r="M69" s="32"/>
      <c r="N69" s="32"/>
      <c r="O69" s="32"/>
      <c r="P69" s="32"/>
      <c r="Q69" s="32"/>
      <c r="R69" s="32" t="str">
        <f>IFERROR(__xludf.DUMMYFUNCTION("""COMPUTED_VALUE"""),"Immune")</f>
        <v>Immune</v>
      </c>
      <c r="S69" s="32"/>
      <c r="T69" s="32"/>
      <c r="U69" s="32"/>
      <c r="V69" s="32"/>
      <c r="W69" s="32"/>
      <c r="X69" s="32" t="str">
        <f>IFERROR(__xludf.DUMMYFUNCTION("""COMPUTED_VALUE"""),"Immune")</f>
        <v>Immune</v>
      </c>
      <c r="Y69" s="32" t="str">
        <f>IFERROR(__xludf.DUMMYFUNCTION("""COMPUTED_VALUE"""),"Immune")</f>
        <v>Immune</v>
      </c>
      <c r="Z69" s="32"/>
      <c r="AA69" s="32" t="str">
        <f>IFERROR(__xludf.DUMMYFUNCTION("""COMPUTED_VALUE"""),"Immune")</f>
        <v>Immune</v>
      </c>
      <c r="AB69" s="32"/>
      <c r="AC69" s="32"/>
      <c r="AD69" s="32"/>
      <c r="AE69" s="32"/>
      <c r="AF69" s="32"/>
      <c r="AG69" s="32"/>
      <c r="AH69" s="32"/>
      <c r="AI69" s="32"/>
      <c r="AJ69" s="32"/>
      <c r="AK69" s="32"/>
    </row>
    <row r="70">
      <c r="A70" s="32" t="str">
        <f>IFERROR(__xludf.DUMMYFUNCTION("""COMPUTED_VALUE"""),"Werewolf")</f>
        <v>Werewolf</v>
      </c>
      <c r="B70" s="32"/>
      <c r="C70" s="32"/>
      <c r="D70" s="32"/>
      <c r="E70" s="32"/>
      <c r="F70" s="32"/>
      <c r="G70" s="32" t="str">
        <f>IFERROR(__xludf.DUMMYFUNCTION("""COMPUTED_VALUE"""),"Immune")</f>
        <v>Immune</v>
      </c>
      <c r="H70" s="32"/>
      <c r="I70" s="32"/>
      <c r="J70" s="32"/>
      <c r="K70" s="32"/>
      <c r="L70" s="32"/>
      <c r="M70" s="32"/>
      <c r="N70" s="32"/>
      <c r="O70" s="32"/>
      <c r="P70" s="32"/>
      <c r="Q70" s="32"/>
      <c r="R70" s="32" t="str">
        <f>IFERROR(__xludf.DUMMYFUNCTION("""COMPUTED_VALUE"""),"Immune")</f>
        <v>Immune</v>
      </c>
      <c r="S70" s="32"/>
      <c r="T70" s="32"/>
      <c r="U70" s="32"/>
      <c r="V70" s="32"/>
      <c r="W70" s="32"/>
      <c r="X70" s="32"/>
      <c r="Y70" s="32"/>
      <c r="Z70" s="32"/>
      <c r="AA70" s="32"/>
      <c r="AB70" s="32"/>
      <c r="AC70" s="32"/>
      <c r="AD70" s="32"/>
      <c r="AE70" s="32"/>
      <c r="AF70" s="32"/>
      <c r="AG70" s="32"/>
      <c r="AH70" s="32"/>
      <c r="AI70" s="32"/>
      <c r="AJ70" s="32"/>
      <c r="AK70" s="32"/>
    </row>
    <row r="71">
      <c r="A71" s="32" t="str">
        <f>IFERROR(__xludf.DUMMYFUNCTION("""COMPUTED_VALUE"""),"Phantom of lord dreadful")</f>
        <v>Phantom of lord dreadful</v>
      </c>
      <c r="B71" s="32"/>
      <c r="C71" s="32"/>
      <c r="D71" s="32"/>
      <c r="E71" s="32"/>
      <c r="F71" s="32"/>
      <c r="G71" s="32" t="str">
        <f>IFERROR(__xludf.DUMMYFUNCTION("""COMPUTED_VALUE"""),"Immune")</f>
        <v>Immune</v>
      </c>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row>
    <row r="72">
      <c r="A72" s="32" t="str">
        <f>IFERROR(__xludf.DUMMYFUNCTION("""COMPUTED_VALUE"""),"Reaper Of Spira (25% chance of this enemy appearing when you complain about being targeted)")</f>
        <v>Reaper Of Spira (25% chance of this enemy appearing when you complain about being targeted)</v>
      </c>
      <c r="B72" s="32"/>
      <c r="C72" s="32"/>
      <c r="D72" s="32"/>
      <c r="E72" s="32"/>
      <c r="F72" s="32"/>
      <c r="G72" s="32"/>
      <c r="H72" s="32"/>
      <c r="I72" s="32"/>
      <c r="J72" s="32"/>
      <c r="K72" s="32"/>
      <c r="L72" s="32"/>
      <c r="M72" s="32"/>
      <c r="N72" s="32"/>
      <c r="O72" s="32"/>
      <c r="P72" s="32"/>
      <c r="Q72" s="32"/>
      <c r="R72" s="32"/>
      <c r="S72" s="32"/>
      <c r="T72" s="32"/>
      <c r="U72" s="32"/>
      <c r="V72" s="32"/>
      <c r="W72" s="32"/>
      <c r="X72" s="32" t="str">
        <f>IFERROR(__xludf.DUMMYFUNCTION("""COMPUTED_VALUE"""),"Immune")</f>
        <v>Immune</v>
      </c>
      <c r="Y72" s="32" t="str">
        <f>IFERROR(__xludf.DUMMYFUNCTION("""COMPUTED_VALUE"""),"Immune")</f>
        <v>Immune</v>
      </c>
      <c r="Z72" s="32"/>
      <c r="AA72" s="32"/>
      <c r="AB72" s="32"/>
      <c r="AC72" s="32"/>
      <c r="AD72" s="32"/>
      <c r="AE72" s="32"/>
      <c r="AF72" s="32"/>
      <c r="AG72" s="32"/>
      <c r="AH72" s="32"/>
      <c r="AI72" s="32"/>
      <c r="AJ72" s="32"/>
      <c r="AK72" s="32"/>
    </row>
    <row r="73">
      <c r="A73" s="3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row>
    <row r="74">
      <c r="A74" s="32" t="str">
        <f>IFERROR(__xludf.DUMMYFUNCTION("""COMPUTED_VALUE"""),"The Horseman Of Lord Dreadful No. 2 This enemy will appear alongside The Horseman Of Lord Dreadful No. 1")</f>
        <v>The Horseman Of Lord Dreadful No. 2 This enemy will appear alongside The Horseman Of Lord Dreadful No. 1</v>
      </c>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row>
    <row r="75">
      <c r="A75" s="32" t="str">
        <f>IFERROR(__xludf.DUMMYFUNCTION("""COMPUTED_VALUE"""),"Sorana- Demon Of The Cycle")</f>
        <v>Sorana- Demon Of The Cycle</v>
      </c>
      <c r="B75" s="32"/>
      <c r="C75" s="32"/>
      <c r="D75" s="32"/>
      <c r="E75" s="32"/>
      <c r="F75" s="32"/>
      <c r="G75" s="32" t="str">
        <f>IFERROR(__xludf.DUMMYFUNCTION("""COMPUTED_VALUE"""),"Immune")</f>
        <v>Immune</v>
      </c>
      <c r="H75" s="32"/>
      <c r="I75" s="32"/>
      <c r="J75" s="32" t="str">
        <f>IFERROR(__xludf.DUMMYFUNCTION("""COMPUTED_VALUE"""),"Immune")</f>
        <v>Immune</v>
      </c>
      <c r="K75" s="32"/>
      <c r="L75" s="32"/>
      <c r="M75" s="32"/>
      <c r="N75" s="32"/>
      <c r="O75" s="32"/>
      <c r="P75" s="32"/>
      <c r="Q75" s="32" t="str">
        <f>IFERROR(__xludf.DUMMYFUNCTION("""COMPUTED_VALUE"""),"Immune")</f>
        <v>Immune</v>
      </c>
      <c r="R75" s="32"/>
      <c r="S75" s="32"/>
      <c r="T75" s="32"/>
      <c r="U75" s="32"/>
      <c r="V75" s="32"/>
      <c r="W75" s="32"/>
      <c r="X75" s="32" t="str">
        <f>IFERROR(__xludf.DUMMYFUNCTION("""COMPUTED_VALUE"""),"Immune")</f>
        <v>Immune</v>
      </c>
      <c r="Y75" s="32" t="str">
        <f>IFERROR(__xludf.DUMMYFUNCTION("""COMPUTED_VALUE"""),"Immune")</f>
        <v>Immune</v>
      </c>
      <c r="Z75" s="32"/>
      <c r="AA75" s="32" t="str">
        <f>IFERROR(__xludf.DUMMYFUNCTION("""COMPUTED_VALUE"""),"Immune")</f>
        <v>Immune</v>
      </c>
      <c r="AB75" s="32"/>
      <c r="AC75" s="32"/>
      <c r="AD75" s="32"/>
      <c r="AE75" s="32"/>
      <c r="AF75" s="32"/>
      <c r="AG75" s="32"/>
      <c r="AH75" s="32"/>
      <c r="AI75" s="32"/>
      <c r="AJ75" s="32"/>
      <c r="AK75" s="32"/>
    </row>
    <row r="76">
      <c r="A76" s="32" t="str">
        <f>IFERROR(__xludf.DUMMYFUNCTION("""COMPUTED_VALUE"""),"Swamp Dragon")</f>
        <v>Swamp Dragon</v>
      </c>
      <c r="B76" s="32"/>
      <c r="C76" s="32"/>
      <c r="D76" s="32"/>
      <c r="E76" s="32"/>
      <c r="F76" s="32"/>
      <c r="G76" s="32"/>
      <c r="H76" s="32"/>
      <c r="I76" s="32"/>
      <c r="J76" s="32"/>
      <c r="K76" s="32" t="str">
        <f>IFERROR(__xludf.DUMMYFUNCTION("""COMPUTED_VALUE"""),"Immune")</f>
        <v>Immune</v>
      </c>
      <c r="L76" s="32"/>
      <c r="M76" s="32"/>
      <c r="N76" s="32"/>
      <c r="O76" s="32"/>
      <c r="P76" s="32"/>
      <c r="Q76" s="32"/>
      <c r="R76" s="32"/>
      <c r="S76" s="32"/>
      <c r="T76" s="32"/>
      <c r="U76" s="32"/>
      <c r="V76" s="32"/>
      <c r="W76" s="32"/>
      <c r="X76" s="32" t="str">
        <f>IFERROR(__xludf.DUMMYFUNCTION("""COMPUTED_VALUE"""),"Immune")</f>
        <v>Immune</v>
      </c>
      <c r="Y76" s="32" t="str">
        <f>IFERROR(__xludf.DUMMYFUNCTION("""COMPUTED_VALUE"""),"Immune")</f>
        <v>Immune</v>
      </c>
      <c r="Z76" s="32"/>
      <c r="AA76" s="32" t="str">
        <f>IFERROR(__xludf.DUMMYFUNCTION("""COMPUTED_VALUE"""),"Immune")</f>
        <v>Immune</v>
      </c>
      <c r="AB76" s="32"/>
      <c r="AC76" s="32"/>
      <c r="AD76" s="32"/>
      <c r="AE76" s="32"/>
      <c r="AF76" s="32"/>
      <c r="AG76" s="32"/>
      <c r="AH76" s="32"/>
      <c r="AI76" s="32"/>
      <c r="AJ76" s="32"/>
      <c r="AK76" s="32"/>
    </row>
    <row r="77">
      <c r="A77" s="32" t="str">
        <f>IFERROR(__xludf.DUMMYFUNCTION("""COMPUTED_VALUE"""),"Stone Dragon")</f>
        <v>Stone Dragon</v>
      </c>
      <c r="B77" s="32"/>
      <c r="C77" s="32"/>
      <c r="D77" s="32"/>
      <c r="E77" s="32" t="str">
        <f>IFERROR(__xludf.DUMMYFUNCTION("""COMPUTED_VALUE"""),"Immune")</f>
        <v>Immune</v>
      </c>
      <c r="F77" s="32"/>
      <c r="G77" s="32"/>
      <c r="H77" s="32"/>
      <c r="I77" s="32"/>
      <c r="J77" s="32"/>
      <c r="K77" s="32"/>
      <c r="L77" s="32"/>
      <c r="M77" s="32"/>
      <c r="N77" s="32"/>
      <c r="O77" s="32"/>
      <c r="P77" s="32"/>
      <c r="Q77" s="32"/>
      <c r="R77" s="32"/>
      <c r="S77" s="32"/>
      <c r="T77" s="32"/>
      <c r="U77" s="32"/>
      <c r="V77" s="32"/>
      <c r="W77" s="32"/>
      <c r="X77" s="32" t="str">
        <f>IFERROR(__xludf.DUMMYFUNCTION("""COMPUTED_VALUE"""),"Immune")</f>
        <v>Immune</v>
      </c>
      <c r="Y77" s="32" t="str">
        <f>IFERROR(__xludf.DUMMYFUNCTION("""COMPUTED_VALUE"""),"Immune")</f>
        <v>Immune</v>
      </c>
      <c r="Z77" s="32"/>
      <c r="AA77" s="32" t="str">
        <f>IFERROR(__xludf.DUMMYFUNCTION("""COMPUTED_VALUE"""),"Immune")</f>
        <v>Immune</v>
      </c>
      <c r="AB77" s="32"/>
      <c r="AC77" s="32"/>
      <c r="AD77" s="32"/>
      <c r="AE77" s="32"/>
      <c r="AF77" s="32"/>
      <c r="AG77" s="32"/>
      <c r="AH77" s="32"/>
      <c r="AI77" s="32"/>
      <c r="AJ77" s="32"/>
      <c r="AK77" s="32"/>
    </row>
    <row r="78">
      <c r="A78" s="32" t="str">
        <f>IFERROR(__xludf.DUMMYFUNCTION("""COMPUTED_VALUE"""),"Forest Dragon")</f>
        <v>Forest Dragon</v>
      </c>
      <c r="B78" s="32"/>
      <c r="C78" s="32"/>
      <c r="D78" s="32"/>
      <c r="E78" s="32"/>
      <c r="F78" s="32"/>
      <c r="G78" s="32"/>
      <c r="H78" s="32"/>
      <c r="I78" s="32"/>
      <c r="J78" s="32"/>
      <c r="K78" s="32" t="str">
        <f>IFERROR(__xludf.DUMMYFUNCTION("""COMPUTED_VALUE"""),"Immune")</f>
        <v>Immune</v>
      </c>
      <c r="L78" s="32"/>
      <c r="M78" s="32"/>
      <c r="N78" s="32"/>
      <c r="O78" s="32"/>
      <c r="P78" s="32"/>
      <c r="Q78" s="32"/>
      <c r="R78" s="32"/>
      <c r="S78" s="32"/>
      <c r="T78" s="32"/>
      <c r="U78" s="32"/>
      <c r="V78" s="32"/>
      <c r="W78" s="32"/>
      <c r="X78" s="32" t="str">
        <f>IFERROR(__xludf.DUMMYFUNCTION("""COMPUTED_VALUE"""),"Immune")</f>
        <v>Immune</v>
      </c>
      <c r="Y78" s="32" t="str">
        <f>IFERROR(__xludf.DUMMYFUNCTION("""COMPUTED_VALUE"""),"Immune")</f>
        <v>Immune</v>
      </c>
      <c r="Z78" s="32"/>
      <c r="AA78" s="32" t="str">
        <f>IFERROR(__xludf.DUMMYFUNCTION("""COMPUTED_VALUE"""),"Immune")</f>
        <v>Immune</v>
      </c>
      <c r="AB78" s="32"/>
      <c r="AC78" s="32"/>
      <c r="AD78" s="32"/>
      <c r="AE78" s="32"/>
      <c r="AF78" s="32"/>
      <c r="AG78" s="32"/>
      <c r="AH78" s="32"/>
      <c r="AI78" s="32"/>
      <c r="AJ78" s="32"/>
      <c r="AK78" s="32"/>
    </row>
    <row r="79">
      <c r="A79" s="32" t="str">
        <f>IFERROR(__xludf.DUMMYFUNCTION("""COMPUTED_VALUE"""),"Crystal Dragon")</f>
        <v>Crystal Dragon</v>
      </c>
      <c r="B79" s="32"/>
      <c r="C79" s="32"/>
      <c r="D79" s="32"/>
      <c r="E79" s="32">
        <f>IFERROR(__xludf.DUMMYFUNCTION("""COMPUTED_VALUE"""),100.0)</f>
        <v>100</v>
      </c>
      <c r="F79" s="32"/>
      <c r="G79" s="32"/>
      <c r="H79" s="32"/>
      <c r="I79" s="32"/>
      <c r="J79" s="32"/>
      <c r="K79" s="32"/>
      <c r="L79" s="32"/>
      <c r="M79" s="32"/>
      <c r="N79" s="32"/>
      <c r="O79" s="32"/>
      <c r="P79" s="32"/>
      <c r="Q79" s="32"/>
      <c r="R79" s="32"/>
      <c r="S79" s="32"/>
      <c r="T79" s="32"/>
      <c r="U79" s="32"/>
      <c r="V79" s="32"/>
      <c r="W79" s="32"/>
      <c r="X79" s="32" t="str">
        <f>IFERROR(__xludf.DUMMYFUNCTION("""COMPUTED_VALUE"""),"Immune")</f>
        <v>Immune</v>
      </c>
      <c r="Y79" s="32" t="str">
        <f>IFERROR(__xludf.DUMMYFUNCTION("""COMPUTED_VALUE"""),"Immune")</f>
        <v>Immune</v>
      </c>
      <c r="Z79" s="32"/>
      <c r="AA79" s="32" t="str">
        <f>IFERROR(__xludf.DUMMYFUNCTION("""COMPUTED_VALUE"""),"Immune")</f>
        <v>Immune</v>
      </c>
      <c r="AB79" s="32"/>
      <c r="AC79" s="32"/>
      <c r="AD79" s="32"/>
      <c r="AE79" s="32"/>
      <c r="AF79" s="32"/>
      <c r="AG79" s="32"/>
      <c r="AH79" s="32"/>
      <c r="AI79" s="32"/>
      <c r="AJ79" s="32"/>
      <c r="AK79" s="32"/>
    </row>
    <row r="80">
      <c r="A80" s="32" t="str">
        <f>IFERROR(__xludf.DUMMYFUNCTION("""COMPUTED_VALUE"""),"Delta Dragon")</f>
        <v>Delta Dragon</v>
      </c>
      <c r="B80" s="32"/>
      <c r="C80" s="32"/>
      <c r="D80" s="32"/>
      <c r="E80" s="32"/>
      <c r="F80" s="32"/>
      <c r="G80" s="32"/>
      <c r="H80" s="32"/>
      <c r="I80" s="32"/>
      <c r="J80" s="32"/>
      <c r="K80" s="32"/>
      <c r="L80" s="32"/>
      <c r="M80" s="32"/>
      <c r="N80" s="32"/>
      <c r="O80" s="32"/>
      <c r="P80" s="32"/>
      <c r="Q80" s="32"/>
      <c r="R80" s="32"/>
      <c r="S80" s="32"/>
      <c r="T80" s="32"/>
      <c r="U80" s="32"/>
      <c r="V80" s="32"/>
      <c r="W80" s="32"/>
      <c r="X80" s="32" t="str">
        <f>IFERROR(__xludf.DUMMYFUNCTION("""COMPUTED_VALUE"""),"Immune")</f>
        <v>Immune</v>
      </c>
      <c r="Y80" s="32" t="str">
        <f>IFERROR(__xludf.DUMMYFUNCTION("""COMPUTED_VALUE"""),"Immune")</f>
        <v>Immune</v>
      </c>
      <c r="Z80" s="32"/>
      <c r="AA80" s="32" t="str">
        <f>IFERROR(__xludf.DUMMYFUNCTION("""COMPUTED_VALUE"""),"Immune")</f>
        <v>Immune</v>
      </c>
      <c r="AB80" s="32"/>
      <c r="AC80" s="32"/>
      <c r="AD80" s="32"/>
      <c r="AE80" s="32"/>
      <c r="AF80" s="32"/>
      <c r="AG80" s="32"/>
      <c r="AH80" s="32"/>
      <c r="AI80" s="32"/>
      <c r="AJ80" s="32"/>
      <c r="AK80" s="32"/>
    </row>
    <row r="81">
      <c r="A81" s="32" t="str">
        <f>IFERROR(__xludf.DUMMYFUNCTION("""COMPUTED_VALUE"""),"Chaos Dragon")</f>
        <v>Chaos Dragon</v>
      </c>
      <c r="B81" s="32"/>
      <c r="C81" s="32"/>
      <c r="D81" s="32"/>
      <c r="E81" s="32"/>
      <c r="F81" s="32"/>
      <c r="G81" s="32"/>
      <c r="H81" s="32"/>
      <c r="I81" s="32"/>
      <c r="J81" s="32" t="str">
        <f>IFERROR(__xludf.DUMMYFUNCTION("""COMPUTED_VALUE"""),"Immune")</f>
        <v>Immune</v>
      </c>
      <c r="K81" s="32"/>
      <c r="L81" s="32"/>
      <c r="M81" s="32"/>
      <c r="N81" s="32"/>
      <c r="O81" s="32"/>
      <c r="P81" s="32"/>
      <c r="Q81" s="32"/>
      <c r="R81" s="32"/>
      <c r="S81" s="32"/>
      <c r="T81" s="32"/>
      <c r="U81" s="32"/>
      <c r="V81" s="32"/>
      <c r="W81" s="32"/>
      <c r="X81" s="32" t="str">
        <f>IFERROR(__xludf.DUMMYFUNCTION("""COMPUTED_VALUE"""),"Immune")</f>
        <v>Immune</v>
      </c>
      <c r="Y81" s="32" t="str">
        <f>IFERROR(__xludf.DUMMYFUNCTION("""COMPUTED_VALUE"""),"Immune")</f>
        <v>Immune</v>
      </c>
      <c r="Z81" s="32"/>
      <c r="AA81" s="32" t="str">
        <f>IFERROR(__xludf.DUMMYFUNCTION("""COMPUTED_VALUE"""),"Immune")</f>
        <v>Immune</v>
      </c>
      <c r="AB81" s="32"/>
      <c r="AC81" s="32"/>
      <c r="AD81" s="32"/>
      <c r="AE81" s="32"/>
      <c r="AF81" s="32"/>
      <c r="AG81" s="32"/>
      <c r="AH81" s="32"/>
      <c r="AI81" s="32"/>
      <c r="AJ81" s="32"/>
      <c r="AK81" s="32"/>
    </row>
    <row r="82">
      <c r="A82" s="32" t="str">
        <f>IFERROR(__xludf.DUMMYFUNCTION("""COMPUTED_VALUE"""),"Acid Dragon")</f>
        <v>Acid Dragon</v>
      </c>
      <c r="B82" s="32"/>
      <c r="C82" s="32"/>
      <c r="D82" s="32"/>
      <c r="E82" s="32"/>
      <c r="F82" s="32"/>
      <c r="G82" s="32"/>
      <c r="H82" s="32"/>
      <c r="I82" s="32"/>
      <c r="J82" s="32"/>
      <c r="K82" s="32" t="str">
        <f>IFERROR(__xludf.DUMMYFUNCTION("""COMPUTED_VALUE"""),"Immune")</f>
        <v>Immune</v>
      </c>
      <c r="L82" s="32"/>
      <c r="M82" s="32"/>
      <c r="N82" s="32"/>
      <c r="O82" s="32"/>
      <c r="P82" s="32"/>
      <c r="Q82" s="32"/>
      <c r="R82" s="32"/>
      <c r="S82" s="32"/>
      <c r="T82" s="32"/>
      <c r="U82" s="32"/>
      <c r="V82" s="32"/>
      <c r="W82" s="32"/>
      <c r="X82" s="32" t="str">
        <f>IFERROR(__xludf.DUMMYFUNCTION("""COMPUTED_VALUE"""),"Immune")</f>
        <v>Immune</v>
      </c>
      <c r="Y82" s="32" t="str">
        <f>IFERROR(__xludf.DUMMYFUNCTION("""COMPUTED_VALUE"""),"Immune")</f>
        <v>Immune</v>
      </c>
      <c r="Z82" s="32"/>
      <c r="AA82" s="32" t="str">
        <f>IFERROR(__xludf.DUMMYFUNCTION("""COMPUTED_VALUE"""),"Immune")</f>
        <v>Immune</v>
      </c>
      <c r="AB82" s="32"/>
      <c r="AC82" s="32"/>
      <c r="AD82" s="32"/>
      <c r="AE82" s="32"/>
      <c r="AF82" s="32"/>
      <c r="AG82" s="32"/>
      <c r="AH82" s="32"/>
      <c r="AI82" s="32"/>
      <c r="AJ82" s="32"/>
      <c r="AK82" s="32"/>
    </row>
    <row r="83">
      <c r="A83" s="32"/>
      <c r="B83" s="32">
        <f>IFERROR(__xludf.DUMMYFUNCTION("""COMPUTED_VALUE"""),100.0)</f>
        <v>100</v>
      </c>
      <c r="C83" s="32"/>
      <c r="D83" s="32"/>
      <c r="E83" s="32"/>
      <c r="F83" s="32"/>
      <c r="G83" s="32"/>
      <c r="H83" s="32"/>
      <c r="I83" s="32"/>
      <c r="J83" s="32"/>
      <c r="K83" s="32" t="str">
        <f>IFERROR(__xludf.DUMMYFUNCTION("""COMPUTED_VALUE"""),"Immune")</f>
        <v>Immune</v>
      </c>
      <c r="L83" s="32"/>
      <c r="M83" s="32"/>
      <c r="N83" s="32"/>
      <c r="O83" s="32"/>
      <c r="P83" s="32"/>
      <c r="Q83" s="32"/>
      <c r="R83" s="32"/>
      <c r="S83" s="32"/>
      <c r="T83" s="32"/>
      <c r="U83" s="32"/>
      <c r="V83" s="32"/>
      <c r="W83" s="32"/>
      <c r="X83" s="32" t="str">
        <f>IFERROR(__xludf.DUMMYFUNCTION("""COMPUTED_VALUE"""),"Immune")</f>
        <v>Immune</v>
      </c>
      <c r="Y83" s="32" t="str">
        <f>IFERROR(__xludf.DUMMYFUNCTION("""COMPUTED_VALUE"""),"Immune")</f>
        <v>Immune</v>
      </c>
      <c r="Z83" s="32"/>
      <c r="AA83" s="32" t="str">
        <f>IFERROR(__xludf.DUMMYFUNCTION("""COMPUTED_VALUE"""),"Immune")</f>
        <v>Immune</v>
      </c>
      <c r="AB83" s="32"/>
      <c r="AC83" s="32"/>
      <c r="AD83" s="32"/>
      <c r="AE83" s="32"/>
      <c r="AF83" s="32"/>
      <c r="AG83" s="32"/>
      <c r="AH83" s="32"/>
      <c r="AI83" s="32"/>
      <c r="AJ83" s="32"/>
      <c r="AK83" s="32"/>
    </row>
    <row r="84">
      <c r="A84" s="32" t="str">
        <f>IFERROR(__xludf.DUMMYFUNCTION("""COMPUTED_VALUE"""),"Undead Dragon")</f>
        <v>Undead Dragon</v>
      </c>
      <c r="B84" s="32"/>
      <c r="C84" s="32"/>
      <c r="D84" s="32"/>
      <c r="E84" s="32"/>
      <c r="F84" s="32"/>
      <c r="G84" s="32" t="str">
        <f>IFERROR(__xludf.DUMMYFUNCTION("""COMPUTED_VALUE"""),"Immune")</f>
        <v>Immune</v>
      </c>
      <c r="H84" s="32"/>
      <c r="I84" s="32"/>
      <c r="J84" s="32"/>
      <c r="K84" s="32"/>
      <c r="L84" s="32"/>
      <c r="M84" s="32"/>
      <c r="N84" s="32"/>
      <c r="O84" s="32"/>
      <c r="P84" s="32"/>
      <c r="Q84" s="32"/>
      <c r="R84" s="32"/>
      <c r="S84" s="32"/>
      <c r="T84" s="32"/>
      <c r="U84" s="32"/>
      <c r="V84" s="32"/>
      <c r="W84" s="32"/>
      <c r="X84" s="32" t="str">
        <f>IFERROR(__xludf.DUMMYFUNCTION("""COMPUTED_VALUE"""),"Immune")</f>
        <v>Immune</v>
      </c>
      <c r="Y84" s="32" t="str">
        <f>IFERROR(__xludf.DUMMYFUNCTION("""COMPUTED_VALUE"""),"Immune")</f>
        <v>Immune</v>
      </c>
      <c r="Z84" s="32"/>
      <c r="AA84" s="32" t="str">
        <f>IFERROR(__xludf.DUMMYFUNCTION("""COMPUTED_VALUE"""),"Immune")</f>
        <v>Immune</v>
      </c>
      <c r="AB84" s="32"/>
      <c r="AC84" s="32"/>
      <c r="AD84" s="32"/>
      <c r="AE84" s="32"/>
      <c r="AF84" s="32"/>
      <c r="AG84" s="32"/>
      <c r="AH84" s="32"/>
      <c r="AI84" s="32"/>
      <c r="AJ84" s="32"/>
      <c r="AK84" s="32"/>
    </row>
    <row r="85">
      <c r="A85" s="32" t="str">
        <f>IFERROR(__xludf.DUMMYFUNCTION("""COMPUTED_VALUE"""),"The Ancient Colossal Dragon of Spira")</f>
        <v>The Ancient Colossal Dragon of Spira</v>
      </c>
      <c r="B85" s="32"/>
      <c r="C85" s="32"/>
      <c r="D85" s="32"/>
      <c r="E85" s="32"/>
      <c r="F85" s="32"/>
      <c r="G85" s="32"/>
      <c r="H85" s="32"/>
      <c r="I85" s="32"/>
      <c r="J85" s="32"/>
      <c r="K85" s="32"/>
      <c r="L85" s="32"/>
      <c r="M85" s="32"/>
      <c r="N85" s="32"/>
      <c r="O85" s="32"/>
      <c r="P85" s="32"/>
      <c r="Q85" s="32"/>
      <c r="R85" s="32"/>
      <c r="S85" s="32"/>
      <c r="T85" s="32"/>
      <c r="U85" s="32"/>
      <c r="V85" s="32"/>
      <c r="W85" s="32"/>
      <c r="X85" s="32" t="str">
        <f>IFERROR(__xludf.DUMMYFUNCTION("""COMPUTED_VALUE"""),"Immune")</f>
        <v>Immune</v>
      </c>
      <c r="Y85" s="32" t="str">
        <f>IFERROR(__xludf.DUMMYFUNCTION("""COMPUTED_VALUE"""),"Immune")</f>
        <v>Immune</v>
      </c>
      <c r="Z85" s="32"/>
      <c r="AA85" s="32" t="str">
        <f>IFERROR(__xludf.DUMMYFUNCTION("""COMPUTED_VALUE"""),"Immune")</f>
        <v>Immune</v>
      </c>
      <c r="AB85" s="32"/>
      <c r="AC85" s="32"/>
      <c r="AD85" s="32"/>
      <c r="AE85" s="32"/>
      <c r="AF85" s="32"/>
      <c r="AG85" s="32"/>
      <c r="AH85" s="32"/>
      <c r="AI85" s="32"/>
      <c r="AJ85" s="32"/>
      <c r="AK85" s="32"/>
    </row>
    <row r="86">
      <c r="A86" s="32" t="str">
        <f>IFERROR(__xludf.DUMMYFUNCTION("""COMPUTED_VALUE"""),"Shadow King")</f>
        <v>Shadow King</v>
      </c>
      <c r="B86" s="32"/>
      <c r="C86" s="32"/>
      <c r="D86" s="32"/>
      <c r="E86" s="32"/>
      <c r="F86" s="32"/>
      <c r="G86" s="32" t="str">
        <f>IFERROR(__xludf.DUMMYFUNCTION("""COMPUTED_VALUE"""),"Immune")</f>
        <v>Immune</v>
      </c>
      <c r="H86" s="32"/>
      <c r="I86" s="32"/>
      <c r="J86" s="32"/>
      <c r="K86" s="32"/>
      <c r="L86" s="32" t="str">
        <f>IFERROR(__xludf.DUMMYFUNCTION("""COMPUTED_VALUE"""),"Immune")</f>
        <v>Immune</v>
      </c>
      <c r="M86" s="32"/>
      <c r="N86" s="32"/>
      <c r="O86" s="32"/>
      <c r="P86" s="32"/>
      <c r="Q86" s="32"/>
      <c r="R86" s="32"/>
      <c r="S86" s="32"/>
      <c r="T86" s="32"/>
      <c r="U86" s="32"/>
      <c r="V86" s="32"/>
      <c r="W86" s="32"/>
      <c r="X86" s="32" t="str">
        <f>IFERROR(__xludf.DUMMYFUNCTION("""COMPUTED_VALUE"""),"Immune")</f>
        <v>Immune</v>
      </c>
      <c r="Y86" s="32" t="str">
        <f>IFERROR(__xludf.DUMMYFUNCTION("""COMPUTED_VALUE"""),"Immune")</f>
        <v>Immune</v>
      </c>
      <c r="Z86" s="32"/>
      <c r="AA86" s="32" t="str">
        <f>IFERROR(__xludf.DUMMYFUNCTION("""COMPUTED_VALUE"""),"Immune")</f>
        <v>Immune</v>
      </c>
      <c r="AB86" s="32"/>
      <c r="AC86" s="32"/>
      <c r="AD86" s="32"/>
      <c r="AE86" s="32"/>
      <c r="AF86" s="32"/>
      <c r="AG86" s="32"/>
      <c r="AH86" s="32"/>
      <c r="AI86" s="32"/>
      <c r="AJ86" s="32"/>
      <c r="AK86" s="32"/>
    </row>
    <row r="87">
      <c r="A87" s="32" t="str">
        <f>IFERROR(__xludf.DUMMYFUNCTION("""COMPUTED_VALUE"""),"Skeletal Warrior")</f>
        <v>Skeletal Warrior</v>
      </c>
      <c r="B87" s="32"/>
      <c r="C87" s="32"/>
      <c r="D87" s="32"/>
      <c r="E87" s="32"/>
      <c r="F87" s="32"/>
      <c r="G87" s="32" t="str">
        <f>IFERROR(__xludf.DUMMYFUNCTION("""COMPUTED_VALUE"""),"Immune")</f>
        <v>Immune</v>
      </c>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row>
    <row r="88">
      <c r="A88" s="32" t="str">
        <f>IFERROR(__xludf.DUMMYFUNCTION("""COMPUTED_VALUE"""),"Ancient Skeleton Colossus")</f>
        <v>Ancient Skeleton Colossus</v>
      </c>
      <c r="B88" s="32"/>
      <c r="C88" s="32"/>
      <c r="D88" s="32"/>
      <c r="E88" s="32"/>
      <c r="F88" s="32"/>
      <c r="G88" s="32" t="str">
        <f>IFERROR(__xludf.DUMMYFUNCTION("""COMPUTED_VALUE"""),"Immune")</f>
        <v>Immune</v>
      </c>
      <c r="H88" s="32"/>
      <c r="I88" s="32"/>
      <c r="J88" s="32"/>
      <c r="K88" s="32"/>
      <c r="L88" s="32"/>
      <c r="M88" s="32"/>
      <c r="N88" s="32"/>
      <c r="O88" s="32"/>
      <c r="P88" s="32"/>
      <c r="Q88" s="32"/>
      <c r="R88" s="32"/>
      <c r="S88" s="32"/>
      <c r="T88" s="32"/>
      <c r="U88" s="32"/>
      <c r="V88" s="32"/>
      <c r="W88" s="32"/>
      <c r="X88" s="32" t="str">
        <f>IFERROR(__xludf.DUMMYFUNCTION("""COMPUTED_VALUE"""),"Immune")</f>
        <v>Immune</v>
      </c>
      <c r="Y88" s="32" t="str">
        <f>IFERROR(__xludf.DUMMYFUNCTION("""COMPUTED_VALUE"""),"Immune")</f>
        <v>Immune</v>
      </c>
      <c r="Z88" s="32"/>
      <c r="AA88" s="32" t="str">
        <f>IFERROR(__xludf.DUMMYFUNCTION("""COMPUTED_VALUE"""),"Immune")</f>
        <v>Immune</v>
      </c>
      <c r="AB88" s="32"/>
      <c r="AC88" s="32"/>
      <c r="AD88" s="32"/>
      <c r="AE88" s="32"/>
      <c r="AF88" s="32"/>
      <c r="AG88" s="32"/>
      <c r="AH88" s="32"/>
      <c r="AI88" s="32"/>
      <c r="AJ88" s="32"/>
      <c r="AK88" s="32"/>
    </row>
    <row r="89">
      <c r="A89" s="32" t="str">
        <f>IFERROR(__xludf.DUMMYFUNCTION("""COMPUTED_VALUE"""),"DeathBlade The Dragon Hunter")</f>
        <v>DeathBlade The Dragon Hunter</v>
      </c>
      <c r="B89" s="32"/>
      <c r="C89" s="32"/>
      <c r="D89" s="32"/>
      <c r="E89" s="32"/>
      <c r="F89" s="32"/>
      <c r="G89" s="32" t="str">
        <f>IFERROR(__xludf.DUMMYFUNCTION("""COMPUTED_VALUE"""),"Immune")</f>
        <v>Immune</v>
      </c>
      <c r="H89" s="32"/>
      <c r="I89" s="32"/>
      <c r="J89" s="32" t="str">
        <f>IFERROR(__xludf.DUMMYFUNCTION("""COMPUTED_VALUE"""),"Immune")</f>
        <v>Immune</v>
      </c>
      <c r="K89" s="32"/>
      <c r="L89" s="32"/>
      <c r="M89" s="32"/>
      <c r="N89" s="32"/>
      <c r="O89" s="32"/>
      <c r="P89" s="32"/>
      <c r="Q89" s="32"/>
      <c r="R89" s="32"/>
      <c r="S89" s="32"/>
      <c r="T89" s="32"/>
      <c r="U89" s="32"/>
      <c r="V89" s="32"/>
      <c r="W89" s="32"/>
      <c r="X89" s="32" t="str">
        <f>IFERROR(__xludf.DUMMYFUNCTION("""COMPUTED_VALUE"""),"Immune")</f>
        <v>Immune</v>
      </c>
      <c r="Y89" s="32" t="str">
        <f>IFERROR(__xludf.DUMMYFUNCTION("""COMPUTED_VALUE"""),"Immune")</f>
        <v>Immune</v>
      </c>
      <c r="Z89" s="32"/>
      <c r="AA89" s="32" t="str">
        <f>IFERROR(__xludf.DUMMYFUNCTION("""COMPUTED_VALUE"""),"Immune")</f>
        <v>Immune</v>
      </c>
      <c r="AB89" s="32"/>
      <c r="AC89" s="32"/>
      <c r="AD89" s="32"/>
      <c r="AE89" s="32"/>
      <c r="AF89" s="32"/>
      <c r="AG89" s="32"/>
      <c r="AH89" s="32"/>
      <c r="AI89" s="32"/>
      <c r="AJ89" s="32"/>
      <c r="AK89" s="32"/>
    </row>
    <row r="90">
      <c r="A90" s="32" t="str">
        <f>IFERROR(__xludf.DUMMYFUNCTION("""COMPUTED_VALUE"""),"Lord Dreadful (Form 1)")</f>
        <v>Lord Dreadful (Form 1)</v>
      </c>
      <c r="B90" s="32"/>
      <c r="C90" s="32"/>
      <c r="D90" s="32"/>
      <c r="E90" s="32"/>
      <c r="F90" s="32"/>
      <c r="G90" s="32" t="str">
        <f>IFERROR(__xludf.DUMMYFUNCTION("""COMPUTED_VALUE"""),"Immune")</f>
        <v>Immune</v>
      </c>
      <c r="H90" s="32"/>
      <c r="I90" s="32"/>
      <c r="J90" s="32" t="str">
        <f>IFERROR(__xludf.DUMMYFUNCTION("""COMPUTED_VALUE"""),"Immune")</f>
        <v>Immune</v>
      </c>
      <c r="K90" s="32"/>
      <c r="L90" s="32"/>
      <c r="M90" s="32"/>
      <c r="N90" s="32"/>
      <c r="O90" s="32" t="str">
        <f>IFERROR(__xludf.DUMMYFUNCTION("""COMPUTED_VALUE"""),"Immune")</f>
        <v>Immune</v>
      </c>
      <c r="P90" s="32"/>
      <c r="Q90" s="32"/>
      <c r="R90" s="32"/>
      <c r="S90" s="32"/>
      <c r="T90" s="32"/>
      <c r="U90" s="32"/>
      <c r="V90" s="32"/>
      <c r="W90" s="32"/>
      <c r="X90" s="32" t="str">
        <f>IFERROR(__xludf.DUMMYFUNCTION("""COMPUTED_VALUE"""),"Immune")</f>
        <v>Immune</v>
      </c>
      <c r="Y90" s="32"/>
      <c r="Z90" s="32"/>
      <c r="AA90" s="32"/>
      <c r="AB90" s="32"/>
      <c r="AC90" s="32"/>
      <c r="AD90" s="32"/>
      <c r="AE90" s="32"/>
      <c r="AF90" s="32"/>
      <c r="AG90" s="32"/>
      <c r="AH90" s="32"/>
      <c r="AI90" s="32"/>
      <c r="AJ90" s="32"/>
      <c r="AK90" s="32"/>
    </row>
    <row r="91">
      <c r="A91" s="32" t="str">
        <f>IFERROR(__xludf.DUMMYFUNCTION("""COMPUTED_VALUE"""),"Lord Dreadful (Lord Zude) (Form 2)")</f>
        <v>Lord Dreadful (Lord Zude) (Form 2)</v>
      </c>
      <c r="B91" s="32"/>
      <c r="C91" s="32"/>
      <c r="D91" s="32"/>
      <c r="E91" s="32"/>
      <c r="F91" s="32"/>
      <c r="G91" s="32" t="str">
        <f>IFERROR(__xludf.DUMMYFUNCTION("""COMPUTED_VALUE"""),"Immune")</f>
        <v>Immune</v>
      </c>
      <c r="H91" s="32"/>
      <c r="I91" s="32"/>
      <c r="J91" s="32" t="str">
        <f>IFERROR(__xludf.DUMMYFUNCTION("""COMPUTED_VALUE"""),"Immune")</f>
        <v>Immune</v>
      </c>
      <c r="K91" s="32"/>
      <c r="L91" s="32"/>
      <c r="M91" s="32"/>
      <c r="N91" s="32"/>
      <c r="O91" s="32" t="str">
        <f>IFERROR(__xludf.DUMMYFUNCTION("""COMPUTED_VALUE"""),"Immune")</f>
        <v>Immune</v>
      </c>
      <c r="P91" s="32"/>
      <c r="Q91" s="32"/>
      <c r="R91" s="32"/>
      <c r="S91" s="32"/>
      <c r="T91" s="32"/>
      <c r="U91" s="32"/>
      <c r="V91" s="32"/>
      <c r="W91" s="32"/>
      <c r="X91" s="32" t="str">
        <f>IFERROR(__xludf.DUMMYFUNCTION("""COMPUTED_VALUE"""),"Immune")</f>
        <v>Immune</v>
      </c>
      <c r="Y91" s="32"/>
      <c r="Z91" s="32"/>
      <c r="AA91" s="32"/>
      <c r="AB91" s="32"/>
      <c r="AC91" s="32"/>
      <c r="AD91" s="32"/>
      <c r="AE91" s="32"/>
      <c r="AF91" s="32"/>
      <c r="AG91" s="32"/>
      <c r="AH91" s="32"/>
      <c r="AI91" s="32"/>
      <c r="AJ91" s="32"/>
      <c r="AK91" s="32"/>
    </row>
    <row r="92">
      <c r="A92" s="32" t="str">
        <f>IFERROR(__xludf.DUMMYFUNCTION("""COMPUTED_VALUE"""),"Turkey Hydra")</f>
        <v>Turkey Hydra</v>
      </c>
      <c r="B92" s="32"/>
      <c r="C92" s="32"/>
      <c r="D92" s="32"/>
      <c r="E92" s="32"/>
      <c r="F92" s="32"/>
      <c r="G92" s="32"/>
      <c r="H92" s="32"/>
      <c r="I92" s="32"/>
      <c r="J92" s="32"/>
      <c r="K92" s="32"/>
      <c r="L92" s="32"/>
      <c r="M92" s="32"/>
      <c r="N92" s="32"/>
      <c r="O92" s="32"/>
      <c r="P92" s="32"/>
      <c r="Q92" s="32"/>
      <c r="R92" s="32"/>
      <c r="S92" s="32"/>
      <c r="T92" s="32"/>
      <c r="U92" s="32"/>
      <c r="V92" s="32"/>
      <c r="W92" s="32"/>
      <c r="X92" s="32" t="str">
        <f>IFERROR(__xludf.DUMMYFUNCTION("""COMPUTED_VALUE"""),"Immune")</f>
        <v>Immune</v>
      </c>
      <c r="Y92" s="32" t="str">
        <f>IFERROR(__xludf.DUMMYFUNCTION("""COMPUTED_VALUE"""),"Immune")</f>
        <v>Immune</v>
      </c>
      <c r="Z92" s="32"/>
      <c r="AA92" s="32" t="str">
        <f>IFERROR(__xludf.DUMMYFUNCTION("""COMPUTED_VALUE"""),"Immune")</f>
        <v>Immune</v>
      </c>
      <c r="AB92" s="32">
        <f>IFERROR(__xludf.DUMMYFUNCTION("""COMPUTED_VALUE"""),100.0)</f>
        <v>100</v>
      </c>
      <c r="AC92" s="32"/>
      <c r="AD92" s="32"/>
      <c r="AE92" s="32"/>
      <c r="AF92" s="32"/>
      <c r="AG92" s="32"/>
      <c r="AH92" s="32"/>
      <c r="AI92" s="32"/>
      <c r="AJ92" s="32"/>
      <c r="AK92" s="32"/>
    </row>
    <row r="93">
      <c r="A93" s="32" t="str">
        <f>IFERROR(__xludf.DUMMYFUNCTION("""COMPUTED_VALUE"""),"Girl Of The Crow")</f>
        <v>Girl Of The Crow</v>
      </c>
      <c r="B93" s="32"/>
      <c r="C93" s="32"/>
      <c r="D93" s="32"/>
      <c r="E93" s="32"/>
      <c r="F93" s="32"/>
      <c r="G93" s="32" t="str">
        <f>IFERROR(__xludf.DUMMYFUNCTION("""COMPUTED_VALUE"""),"Immune")</f>
        <v>Immune</v>
      </c>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row>
    <row r="94">
      <c r="A94" s="32" t="str">
        <f>IFERROR(__xludf.DUMMYFUNCTION("""COMPUTED_VALUE"""),"Desert Titan")</f>
        <v>Desert Titan</v>
      </c>
      <c r="B94" s="32" t="str">
        <f>IFERROR(__xludf.DUMMYFUNCTION("""COMPUTED_VALUE"""),"Immune")</f>
        <v>Immune</v>
      </c>
      <c r="C94" s="32"/>
      <c r="D94" s="32"/>
      <c r="E94" s="32" t="str">
        <f>IFERROR(__xludf.DUMMYFUNCTION("""COMPUTED_VALUE"""),"Immune")</f>
        <v>Immune</v>
      </c>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row>
    <row r="95">
      <c r="A95" s="32" t="str">
        <f>IFERROR(__xludf.DUMMYFUNCTION("""COMPUTED_VALUE"""),"Hyena")</f>
        <v>Hyena</v>
      </c>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row>
    <row r="96">
      <c r="A96" s="32" t="str">
        <f>IFERROR(__xludf.DUMMYFUNCTION("""COMPUTED_VALUE"""),"Desert Hunter")</f>
        <v>Desert Hunter</v>
      </c>
      <c r="B96" s="32" t="str">
        <f>IFERROR(__xludf.DUMMYFUNCTION("""COMPUTED_VALUE"""),"Immune")</f>
        <v>Immune</v>
      </c>
      <c r="C96" s="32"/>
      <c r="D96" s="32"/>
      <c r="E96" s="32" t="str">
        <f>IFERROR(__xludf.DUMMYFUNCTION("""COMPUTED_VALUE"""),"Immune")</f>
        <v>Immune</v>
      </c>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row>
    <row r="97">
      <c r="A97" s="32" t="str">
        <f>IFERROR(__xludf.DUMMYFUNCTION("""COMPUTED_VALUE"""),"Desert Demon")</f>
        <v>Desert Demon</v>
      </c>
      <c r="B97" s="32" t="str">
        <f>IFERROR(__xludf.DUMMYFUNCTION("""COMPUTED_VALUE"""),"Immune")</f>
        <v>Immune</v>
      </c>
      <c r="C97" s="32"/>
      <c r="D97" s="32"/>
      <c r="E97" s="32"/>
      <c r="F97" s="32"/>
      <c r="G97" s="32" t="str">
        <f>IFERROR(__xludf.DUMMYFUNCTION("""COMPUTED_VALUE"""),"Immune")</f>
        <v>Immune</v>
      </c>
      <c r="H97" s="32"/>
      <c r="I97" s="32"/>
      <c r="J97" s="32"/>
      <c r="K97" s="32"/>
      <c r="L97" s="32"/>
      <c r="M97" s="32"/>
      <c r="N97" s="32"/>
      <c r="O97" s="32"/>
      <c r="P97" s="32"/>
      <c r="Q97" s="32">
        <f>IFERROR(__xludf.DUMMYFUNCTION("""COMPUTED_VALUE"""),100.0)</f>
        <v>100</v>
      </c>
      <c r="R97" s="32"/>
      <c r="S97" s="32"/>
      <c r="T97" s="32"/>
      <c r="U97" s="32"/>
      <c r="V97" s="32"/>
      <c r="W97" s="32"/>
      <c r="X97" s="32"/>
      <c r="Y97" s="32"/>
      <c r="Z97" s="32"/>
      <c r="AA97" s="32" t="str">
        <f>IFERROR(__xludf.DUMMYFUNCTION("""COMPUTED_VALUE"""),"Immune")</f>
        <v>Immune</v>
      </c>
      <c r="AB97" s="32"/>
      <c r="AC97" s="32"/>
      <c r="AD97" s="32"/>
      <c r="AE97" s="32"/>
      <c r="AF97" s="32"/>
      <c r="AG97" s="32"/>
      <c r="AH97" s="32"/>
      <c r="AI97" s="32"/>
      <c r="AJ97" s="32"/>
      <c r="AK97" s="32"/>
    </row>
    <row r="98">
      <c r="A98" s="32" t="str">
        <f>IFERROR(__xludf.DUMMYFUNCTION("""COMPUTED_VALUE"""),"Spirit Warrior")</f>
        <v>Spirit Warrior</v>
      </c>
      <c r="B98" s="32"/>
      <c r="C98" s="32"/>
      <c r="D98" s="32"/>
      <c r="E98" s="32"/>
      <c r="F98" s="32"/>
      <c r="G98" s="32" t="str">
        <f>IFERROR(__xludf.DUMMYFUNCTION("""COMPUTED_VALUE"""),"Immune")</f>
        <v>Immune</v>
      </c>
      <c r="H98" s="32" t="str">
        <f>IFERROR(__xludf.DUMMYFUNCTION("""COMPUTED_VALUE"""),"Immune")</f>
        <v>Immune</v>
      </c>
      <c r="I98" s="32"/>
      <c r="J98" s="32" t="str">
        <f>IFERROR(__xludf.DUMMYFUNCTION("""COMPUTED_VALUE"""),"Immune")</f>
        <v>Immune</v>
      </c>
      <c r="K98" s="32"/>
      <c r="L98" s="32"/>
      <c r="M98" s="32"/>
      <c r="N98" s="32"/>
      <c r="O98" s="32"/>
      <c r="P98" s="32"/>
      <c r="Q98" s="32"/>
      <c r="R98" s="32"/>
      <c r="S98" s="32"/>
      <c r="T98" s="32"/>
      <c r="U98" s="32"/>
      <c r="V98" s="32"/>
      <c r="W98" s="32"/>
      <c r="X98" s="32"/>
      <c r="Y98" s="32"/>
      <c r="Z98" s="32"/>
      <c r="AA98" s="32" t="str">
        <f>IFERROR(__xludf.DUMMYFUNCTION("""COMPUTED_VALUE"""),"Immune")</f>
        <v>Immune</v>
      </c>
      <c r="AB98" s="32"/>
      <c r="AC98" s="32"/>
      <c r="AD98" s="32"/>
      <c r="AE98" s="32"/>
      <c r="AF98" s="32"/>
      <c r="AG98" s="32"/>
      <c r="AH98" s="32"/>
      <c r="AI98" s="32"/>
      <c r="AJ98" s="32"/>
      <c r="AK98" s="32"/>
    </row>
    <row r="99">
      <c r="A99" s="32" t="str">
        <f>IFERROR(__xludf.DUMMYFUNCTION("""COMPUTED_VALUE"""),"The Black Demon")</f>
        <v>The Black Demon</v>
      </c>
      <c r="B99" s="32"/>
      <c r="C99" s="32"/>
      <c r="D99" s="32"/>
      <c r="E99" s="32"/>
      <c r="F99" s="32"/>
      <c r="G99" s="32" t="str">
        <f>IFERROR(__xludf.DUMMYFUNCTION("""COMPUTED_VALUE"""),"Immune")</f>
        <v>Immune</v>
      </c>
      <c r="H99" s="32" t="str">
        <f>IFERROR(__xludf.DUMMYFUNCTION("""COMPUTED_VALUE"""),"Immune")</f>
        <v>Immune</v>
      </c>
      <c r="I99" s="32"/>
      <c r="J99" s="32" t="str">
        <f>IFERROR(__xludf.DUMMYFUNCTION("""COMPUTED_VALUE"""),"Immune")</f>
        <v>Immune</v>
      </c>
      <c r="K99" s="32"/>
      <c r="L99" s="32"/>
      <c r="M99" s="32"/>
      <c r="N99" s="32"/>
      <c r="O99" s="32"/>
      <c r="P99" s="32"/>
      <c r="Q99" s="32"/>
      <c r="R99" s="32"/>
      <c r="S99" s="32"/>
      <c r="T99" s="32"/>
      <c r="U99" s="32"/>
      <c r="V99" s="32"/>
      <c r="W99" s="32"/>
      <c r="X99" s="32" t="str">
        <f>IFERROR(__xludf.DUMMYFUNCTION("""COMPUTED_VALUE"""),"Immune")</f>
        <v>Immune</v>
      </c>
      <c r="Y99" s="32"/>
      <c r="Z99" s="32"/>
      <c r="AA99" s="32"/>
      <c r="AB99" s="32"/>
      <c r="AC99" s="32"/>
      <c r="AD99" s="32"/>
      <c r="AE99" s="32"/>
      <c r="AF99" s="32"/>
      <c r="AG99" s="32"/>
      <c r="AH99" s="32"/>
      <c r="AI99" s="32"/>
      <c r="AJ99" s="32"/>
      <c r="AK99" s="32"/>
    </row>
    <row r="100">
      <c r="A100" s="32" t="str">
        <f>IFERROR(__xludf.DUMMYFUNCTION("""COMPUTED_VALUE"""),"Giant Snow Spider")</f>
        <v>Giant Snow Spider</v>
      </c>
      <c r="B100" s="32"/>
      <c r="C100" s="32" t="str">
        <f>IFERROR(__xludf.DUMMYFUNCTION("""COMPUTED_VALUE"""),"Immune")</f>
        <v>Immune</v>
      </c>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row>
    <row r="101">
      <c r="A101" s="32" t="str">
        <f>IFERROR(__xludf.DUMMYFUNCTION("""COMPUTED_VALUE"""),"Ice Golem")</f>
        <v>Ice Golem</v>
      </c>
      <c r="B101" s="32"/>
      <c r="C101" s="32" t="str">
        <f>IFERROR(__xludf.DUMMYFUNCTION("""COMPUTED_VALUE"""),"Immune")</f>
        <v>Immune</v>
      </c>
      <c r="D101" s="32"/>
      <c r="E101" s="32" t="str">
        <f>IFERROR(__xludf.DUMMYFUNCTION("""COMPUTED_VALUE"""),"Immune")</f>
        <v>Immune</v>
      </c>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row>
    <row r="102">
      <c r="A102" s="32" t="str">
        <f>IFERROR(__xludf.DUMMYFUNCTION("""COMPUTED_VALUE"""),"Dark Snow Warrior")</f>
        <v>Dark Snow Warrior</v>
      </c>
      <c r="B102" s="32"/>
      <c r="C102" s="32" t="str">
        <f>IFERROR(__xludf.DUMMYFUNCTION("""COMPUTED_VALUE"""),"Immune")</f>
        <v>Immune</v>
      </c>
      <c r="D102" s="32"/>
      <c r="E102" s="32"/>
      <c r="F102" s="32"/>
      <c r="G102" s="32" t="str">
        <f>IFERROR(__xludf.DUMMYFUNCTION("""COMPUTED_VALUE"""),"Immune")</f>
        <v>Immune</v>
      </c>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row>
    <row r="103">
      <c r="A103" s="32" t="str">
        <f>IFERROR(__xludf.DUMMYFUNCTION("""COMPUTED_VALUE"""),"Lord Of The Bandits")</f>
        <v>Lord Of The Bandits</v>
      </c>
      <c r="B103" s="32"/>
      <c r="C103" s="32"/>
      <c r="D103" s="32"/>
      <c r="E103" s="32"/>
      <c r="F103" s="32"/>
      <c r="G103" s="32" t="str">
        <f>IFERROR(__xludf.DUMMYFUNCTION("""COMPUTED_VALUE"""),"Immune")</f>
        <v>Immune</v>
      </c>
      <c r="H103" s="32" t="str">
        <f>IFERROR(__xludf.DUMMYFUNCTION("""COMPUTED_VALUE"""),"Immune")</f>
        <v>Immune</v>
      </c>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row>
    <row r="104">
      <c r="A104" s="32" t="str">
        <f>IFERROR(__xludf.DUMMYFUNCTION("""COMPUTED_VALUE"""),"Red Footed Beast")</f>
        <v>Red Footed Beast</v>
      </c>
      <c r="B104" s="32"/>
      <c r="C104" s="32"/>
      <c r="D104" s="32"/>
      <c r="E104" s="32" t="str">
        <f>IFERROR(__xludf.DUMMYFUNCTION("""COMPUTED_VALUE"""),"Immune")</f>
        <v>Immune</v>
      </c>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row>
    <row r="105">
      <c r="A105" s="32" t="str">
        <f>IFERROR(__xludf.DUMMYFUNCTION("""COMPUTED_VALUE"""),"Ice Yak")</f>
        <v>Ice Yak</v>
      </c>
      <c r="B105" s="32"/>
      <c r="C105" s="32"/>
      <c r="D105" s="32"/>
      <c r="E105" s="32" t="str">
        <f>IFERROR(__xludf.DUMMYFUNCTION("""COMPUTED_VALUE"""),"Immune")</f>
        <v>Immune</v>
      </c>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row>
    <row r="106">
      <c r="A106" s="32" t="str">
        <f>IFERROR(__xludf.DUMMYFUNCTION("""COMPUTED_VALUE"""),"Giant Eagle")</f>
        <v>Giant Eagle</v>
      </c>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row>
    <row r="107">
      <c r="A107" s="32" t="str">
        <f>IFERROR(__xludf.DUMMYFUNCTION("""COMPUTED_VALUE"""),"Eagle (Enhanced)")</f>
        <v>Eagle (Enhanced)</v>
      </c>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row>
    <row r="108">
      <c r="A108" s="32" t="str">
        <f>IFERROR(__xludf.DUMMYFUNCTION("""COMPUTED_VALUE"""),"Moonlight Unicorn")</f>
        <v>Moonlight Unicorn</v>
      </c>
      <c r="B108" s="32"/>
      <c r="C108" s="32"/>
      <c r="D108" s="32"/>
      <c r="E108" s="32"/>
      <c r="F108" s="32"/>
      <c r="G108" s="32" t="str">
        <f>IFERROR(__xludf.DUMMYFUNCTION("""COMPUTED_VALUE"""),"Immune")</f>
        <v>Immune</v>
      </c>
      <c r="H108" s="32"/>
      <c r="I108" s="32"/>
      <c r="J108" s="32" t="str">
        <f>IFERROR(__xludf.DUMMYFUNCTION("""COMPUTED_VALUE"""),"Immune")</f>
        <v>Immune</v>
      </c>
      <c r="K108" s="32"/>
      <c r="L108" s="32"/>
      <c r="M108" s="32"/>
      <c r="N108" s="32"/>
      <c r="O108" s="32"/>
      <c r="P108" s="32"/>
      <c r="Q108" s="32"/>
      <c r="R108" s="32"/>
      <c r="S108" s="32"/>
      <c r="T108" s="32"/>
      <c r="U108" s="32"/>
      <c r="V108" s="32" t="str">
        <f>IFERROR(__xludf.DUMMYFUNCTION("""COMPUTED_VALUE"""),"Immune")</f>
        <v>Immune</v>
      </c>
      <c r="W108" s="32"/>
      <c r="X108" s="32"/>
      <c r="Y108" s="32"/>
      <c r="Z108" s="32"/>
      <c r="AA108" s="32"/>
      <c r="AB108" s="32"/>
      <c r="AC108" s="32"/>
      <c r="AD108" s="32"/>
      <c r="AE108" s="32"/>
      <c r="AF108" s="32"/>
      <c r="AG108" s="32"/>
      <c r="AH108" s="32"/>
      <c r="AI108" s="32"/>
      <c r="AJ108" s="32"/>
      <c r="AK108" s="32"/>
    </row>
    <row r="109">
      <c r="A109" s="32" t="str">
        <f>IFERROR(__xludf.DUMMYFUNCTION("""COMPUTED_VALUE"""),"Forest Guardian")</f>
        <v>Forest Guardian</v>
      </c>
      <c r="B109" s="32"/>
      <c r="C109" s="32"/>
      <c r="D109" s="32"/>
      <c r="E109" s="32"/>
      <c r="F109" s="32"/>
      <c r="G109" s="32"/>
      <c r="H109" s="32"/>
      <c r="I109" s="32"/>
      <c r="J109" s="32"/>
      <c r="K109" s="32" t="str">
        <f>IFERROR(__xludf.DUMMYFUNCTION("""COMPUTED_VALUE"""),"Immune")</f>
        <v>Immune</v>
      </c>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row>
    <row r="110">
      <c r="A110" s="32" t="str">
        <f>IFERROR(__xludf.DUMMYFUNCTION("""COMPUTED_VALUE"""),"Guardian Of Nature")</f>
        <v>Guardian Of Nature</v>
      </c>
      <c r="B110" s="32"/>
      <c r="C110" s="32"/>
      <c r="D110" s="32"/>
      <c r="E110" s="32"/>
      <c r="F110" s="32"/>
      <c r="G110" s="32"/>
      <c r="H110" s="32"/>
      <c r="I110" s="32"/>
      <c r="J110" s="32"/>
      <c r="K110" s="32" t="str">
        <f>IFERROR(__xludf.DUMMYFUNCTION("""COMPUTED_VALUE"""),"Immune")</f>
        <v>Immune</v>
      </c>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row>
    <row r="111">
      <c r="A111" s="32" t="str">
        <f>IFERROR(__xludf.DUMMYFUNCTION("""COMPUTED_VALUE"""),"Fire Warrior")</f>
        <v>Fire Warrior</v>
      </c>
      <c r="B111" s="32" t="str">
        <f>IFERROR(__xludf.DUMMYFUNCTION("""COMPUTED_VALUE"""),"Immune")</f>
        <v>Immune</v>
      </c>
      <c r="C111" s="32"/>
      <c r="D111" s="32"/>
      <c r="E111" s="32"/>
      <c r="F111" s="32"/>
      <c r="G111" s="32"/>
      <c r="H111" s="32"/>
      <c r="I111" s="32"/>
      <c r="J111" s="32"/>
      <c r="K111" s="32" t="str">
        <f>IFERROR(__xludf.DUMMYFUNCTION("""COMPUTED_VALUE"""),"Immune")</f>
        <v>Immune</v>
      </c>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row>
    <row r="112">
      <c r="A112" s="32" t="str">
        <f>IFERROR(__xludf.DUMMYFUNCTION("""COMPUTED_VALUE"""),"Fire Soldier")</f>
        <v>Fire Soldier</v>
      </c>
      <c r="B112" s="32" t="str">
        <f>IFERROR(__xludf.DUMMYFUNCTION("""COMPUTED_VALUE"""),"Immune")</f>
        <v>Immune</v>
      </c>
      <c r="C112" s="32"/>
      <c r="D112" s="32"/>
      <c r="E112" s="32"/>
      <c r="F112" s="32"/>
      <c r="G112" s="32"/>
      <c r="H112" s="32"/>
      <c r="I112" s="32"/>
      <c r="J112" s="32"/>
      <c r="K112" s="32" t="str">
        <f>IFERROR(__xludf.DUMMYFUNCTION("""COMPUTED_VALUE"""),"Immune")</f>
        <v>Immune</v>
      </c>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row>
    <row r="113">
      <c r="A113" s="32" t="str">
        <f>IFERROR(__xludf.DUMMYFUNCTION("""COMPUTED_VALUE"""),"Twilight Soldier")</f>
        <v>Twilight Soldier</v>
      </c>
      <c r="B113" s="32"/>
      <c r="C113" s="32"/>
      <c r="D113" s="32"/>
      <c r="E113" s="32"/>
      <c r="F113" s="32"/>
      <c r="G113" s="32"/>
      <c r="H113" s="32"/>
      <c r="I113" s="32"/>
      <c r="J113" s="32"/>
      <c r="K113" s="32"/>
      <c r="L113" s="32"/>
      <c r="M113" s="32"/>
      <c r="N113" s="32"/>
      <c r="O113" s="32"/>
      <c r="P113" s="32" t="str">
        <f>IFERROR(__xludf.DUMMYFUNCTION("""COMPUTED_VALUE"""),"Immune")</f>
        <v>Immune</v>
      </c>
      <c r="Q113" s="32"/>
      <c r="R113" s="32"/>
      <c r="S113" s="32"/>
      <c r="T113" s="32"/>
      <c r="U113" s="32"/>
      <c r="V113" s="32"/>
      <c r="W113" s="32"/>
      <c r="X113" s="32"/>
      <c r="Y113" s="32"/>
      <c r="Z113" s="32"/>
      <c r="AA113" s="32"/>
      <c r="AB113" s="32"/>
      <c r="AC113" s="32"/>
      <c r="AD113" s="32"/>
      <c r="AE113" s="32"/>
      <c r="AF113" s="32"/>
      <c r="AG113" s="32"/>
      <c r="AH113" s="32"/>
      <c r="AI113" s="32"/>
      <c r="AJ113" s="32"/>
      <c r="AK113" s="32"/>
    </row>
    <row r="114">
      <c r="A114" s="32" t="str">
        <f>IFERROR(__xludf.DUMMYFUNCTION("""COMPUTED_VALUE"""),"Twilight Shadow")</f>
        <v>Twilight Shadow</v>
      </c>
      <c r="B114" s="32"/>
      <c r="C114" s="32"/>
      <c r="D114" s="32"/>
      <c r="E114" s="32"/>
      <c r="F114" s="32"/>
      <c r="G114" s="32" t="str">
        <f>IFERROR(__xludf.DUMMYFUNCTION("""COMPUTED_VALUE"""),"Immune")</f>
        <v>Immune</v>
      </c>
      <c r="H114" s="32"/>
      <c r="I114" s="32"/>
      <c r="J114" s="32"/>
      <c r="K114" s="32"/>
      <c r="L114" s="32"/>
      <c r="M114" s="32"/>
      <c r="N114" s="32"/>
      <c r="O114" s="32"/>
      <c r="P114" s="32" t="str">
        <f>IFERROR(__xludf.DUMMYFUNCTION("""COMPUTED_VALUE"""),"Immune")</f>
        <v>Immune</v>
      </c>
      <c r="Q114" s="32"/>
      <c r="R114" s="32"/>
      <c r="S114" s="32"/>
      <c r="T114" s="32"/>
      <c r="U114" s="32"/>
      <c r="V114" s="32"/>
      <c r="W114" s="32"/>
      <c r="X114" s="32"/>
      <c r="Y114" s="32"/>
      <c r="Z114" s="32"/>
      <c r="AA114" s="32"/>
      <c r="AB114" s="32"/>
      <c r="AC114" s="32"/>
      <c r="AD114" s="32"/>
      <c r="AE114" s="32"/>
      <c r="AF114" s="32"/>
      <c r="AG114" s="32"/>
      <c r="AH114" s="32"/>
      <c r="AI114" s="32"/>
      <c r="AJ114" s="32"/>
      <c r="AK114" s="32"/>
    </row>
    <row r="115">
      <c r="A115" s="32" t="str">
        <f>IFERROR(__xludf.DUMMYFUNCTION("""COMPUTED_VALUE"""),"Imperial Judge")</f>
        <v>Imperial Judge</v>
      </c>
      <c r="B115" s="32"/>
      <c r="C115" s="32"/>
      <c r="D115" s="32"/>
      <c r="E115" s="32"/>
      <c r="F115" s="32" t="str">
        <f>IFERROR(__xludf.DUMMYFUNCTION("""COMPUTED_VALUE"""),"Immune")</f>
        <v>Immune</v>
      </c>
      <c r="G115" s="32"/>
      <c r="H115" s="32"/>
      <c r="I115" s="32" t="str">
        <f>IFERROR(__xludf.DUMMYFUNCTION("""COMPUTED_VALUE"""),"Immune")</f>
        <v>Immune</v>
      </c>
      <c r="J115" s="32"/>
      <c r="K115" s="32"/>
      <c r="L115" s="32"/>
      <c r="M115" s="32"/>
      <c r="N115" s="32"/>
      <c r="O115" s="32"/>
      <c r="P115" s="32"/>
      <c r="Q115" s="32"/>
      <c r="R115" s="32"/>
      <c r="S115" s="32"/>
      <c r="T115" s="32"/>
      <c r="U115" s="32"/>
      <c r="V115" s="32"/>
      <c r="W115" s="32"/>
      <c r="X115" s="32" t="str">
        <f>IFERROR(__xludf.DUMMYFUNCTION("""COMPUTED_VALUE"""),"Immune")</f>
        <v>Immune</v>
      </c>
      <c r="Y115" s="32" t="str">
        <f>IFERROR(__xludf.DUMMYFUNCTION("""COMPUTED_VALUE"""),"Immune")</f>
        <v>Immune</v>
      </c>
      <c r="Z115" s="32"/>
      <c r="AA115" s="32" t="str">
        <f>IFERROR(__xludf.DUMMYFUNCTION("""COMPUTED_VALUE"""),"Immune")</f>
        <v>Immune</v>
      </c>
      <c r="AB115" s="32"/>
      <c r="AC115" s="32"/>
      <c r="AD115" s="32"/>
      <c r="AE115" s="32"/>
      <c r="AF115" s="32"/>
      <c r="AG115" s="32"/>
      <c r="AH115" s="32"/>
      <c r="AI115" s="32"/>
      <c r="AJ115" s="32"/>
      <c r="AK115" s="32"/>
    </row>
    <row r="116">
      <c r="A116" s="32" t="str">
        <f>IFERROR(__xludf.DUMMYFUNCTION("""COMPUTED_VALUE"""),"Baboon")</f>
        <v>Baboon</v>
      </c>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row>
    <row r="117">
      <c r="A117" s="32" t="str">
        <f>IFERROR(__xludf.DUMMYFUNCTION("""COMPUTED_VALUE"""),"Bull")</f>
        <v>Bull</v>
      </c>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row>
    <row r="118">
      <c r="A118" s="32" t="str">
        <f>IFERROR(__xludf.DUMMYFUNCTION("""COMPUTED_VALUE"""),"Rhino")</f>
        <v>Rhino</v>
      </c>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row>
    <row r="119">
      <c r="A119" s="32" t="str">
        <f>IFERROR(__xludf.DUMMYFUNCTION("""COMPUTED_VALUE"""),"Mummy Warrior")</f>
        <v>Mummy Warrior</v>
      </c>
      <c r="B119" s="32"/>
      <c r="C119" s="32"/>
      <c r="D119" s="32"/>
      <c r="E119" s="32"/>
      <c r="F119" s="32"/>
      <c r="G119" s="32" t="str">
        <f>IFERROR(__xludf.DUMMYFUNCTION("""COMPUTED_VALUE"""),"Immune")</f>
        <v>Immune</v>
      </c>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row>
    <row r="120">
      <c r="A120" s="32" t="str">
        <f>IFERROR(__xludf.DUMMYFUNCTION("""COMPUTED_VALUE"""),"Mummy Soldier")</f>
        <v>Mummy Soldier</v>
      </c>
      <c r="B120" s="32"/>
      <c r="C120" s="32"/>
      <c r="D120" s="32"/>
      <c r="E120" s="32"/>
      <c r="F120" s="32"/>
      <c r="G120" s="32" t="str">
        <f>IFERROR(__xludf.DUMMYFUNCTION("""COMPUTED_VALUE"""),"Immune")</f>
        <v>Immune</v>
      </c>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row>
    <row r="121">
      <c r="A121" s="32" t="str">
        <f>IFERROR(__xludf.DUMMYFUNCTION("""COMPUTED_VALUE"""),"Mummy Guardian")</f>
        <v>Mummy Guardian</v>
      </c>
      <c r="B121" s="32"/>
      <c r="C121" s="32"/>
      <c r="D121" s="32"/>
      <c r="E121" s="32"/>
      <c r="F121" s="32"/>
      <c r="G121" s="32" t="str">
        <f>IFERROR(__xludf.DUMMYFUNCTION("""COMPUTED_VALUE"""),"Immune")</f>
        <v>Immune</v>
      </c>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row>
    <row r="122">
      <c r="A122" s="32" t="str">
        <f>IFERROR(__xludf.DUMMYFUNCTION("""COMPUTED_VALUE"""),"Mummy King")</f>
        <v>Mummy King</v>
      </c>
      <c r="B122" s="32"/>
      <c r="C122" s="32"/>
      <c r="D122" s="32"/>
      <c r="E122" s="32"/>
      <c r="F122" s="32"/>
      <c r="G122" s="32" t="str">
        <f>IFERROR(__xludf.DUMMYFUNCTION("""COMPUTED_VALUE"""),"Immune")</f>
        <v>Immune</v>
      </c>
      <c r="H122" s="32"/>
      <c r="I122" s="32"/>
      <c r="J122" s="32"/>
      <c r="K122" s="32"/>
      <c r="L122" s="32"/>
      <c r="M122" s="32"/>
      <c r="N122" s="32"/>
      <c r="O122" s="32"/>
      <c r="P122" s="32"/>
      <c r="Q122" s="32"/>
      <c r="R122" s="32"/>
      <c r="S122" s="32"/>
      <c r="T122" s="32"/>
      <c r="U122" s="32"/>
      <c r="V122" s="32"/>
      <c r="W122" s="32"/>
      <c r="X122" s="32" t="str">
        <f>IFERROR(__xludf.DUMMYFUNCTION("""COMPUTED_VALUE"""),"Immune")</f>
        <v>Immune</v>
      </c>
      <c r="Y122" s="32" t="str">
        <f>IFERROR(__xludf.DUMMYFUNCTION("""COMPUTED_VALUE"""),"Immune")</f>
        <v>Immune</v>
      </c>
      <c r="Z122" s="32"/>
      <c r="AA122" s="32" t="str">
        <f>IFERROR(__xludf.DUMMYFUNCTION("""COMPUTED_VALUE"""),"Immune")</f>
        <v>Immune</v>
      </c>
      <c r="AB122" s="32"/>
      <c r="AC122" s="32"/>
      <c r="AD122" s="32"/>
      <c r="AE122" s="32"/>
      <c r="AF122" s="32"/>
      <c r="AG122" s="32"/>
      <c r="AH122" s="32"/>
      <c r="AI122" s="32"/>
      <c r="AJ122" s="32"/>
      <c r="AK122" s="32"/>
    </row>
    <row r="123">
      <c r="A123" s="32" t="str">
        <f>IFERROR(__xludf.DUMMYFUNCTION("""COMPUTED_VALUE"""),"Mummy Queen")</f>
        <v>Mummy Queen</v>
      </c>
      <c r="B123" s="32"/>
      <c r="C123" s="32"/>
      <c r="D123" s="32"/>
      <c r="E123" s="32"/>
      <c r="F123" s="32"/>
      <c r="G123" s="32" t="str">
        <f>IFERROR(__xludf.DUMMYFUNCTION("""COMPUTED_VALUE"""),"Immune")</f>
        <v>Immune</v>
      </c>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row>
    <row r="124">
      <c r="A124" s="32" t="str">
        <f>IFERROR(__xludf.DUMMYFUNCTION("""COMPUTED_VALUE"""),"Chaotic Shadow Gnome")</f>
        <v>Chaotic Shadow Gnome</v>
      </c>
      <c r="B124" s="32"/>
      <c r="C124" s="32"/>
      <c r="D124" s="32"/>
      <c r="E124" s="32"/>
      <c r="F124" s="32"/>
      <c r="G124" s="32">
        <f>IFERROR(__xludf.DUMMYFUNCTION("""COMPUTED_VALUE"""),100.0)</f>
        <v>100</v>
      </c>
      <c r="H124" s="32"/>
      <c r="I124" s="32"/>
      <c r="J124" s="32">
        <f>IFERROR(__xludf.DUMMYFUNCTION("""COMPUTED_VALUE"""),100.0)</f>
        <v>100</v>
      </c>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row>
    <row r="125">
      <c r="A125" s="32" t="str">
        <f>IFERROR(__xludf.DUMMYFUNCTION("""COMPUTED_VALUE"""),"Chaotic Shadow Golem")</f>
        <v>Chaotic Shadow Golem</v>
      </c>
      <c r="B125" s="32"/>
      <c r="C125" s="32"/>
      <c r="D125" s="32"/>
      <c r="E125" s="32"/>
      <c r="F125" s="32"/>
      <c r="G125" s="32">
        <f>IFERROR(__xludf.DUMMYFUNCTION("""COMPUTED_VALUE"""),100.0)</f>
        <v>100</v>
      </c>
      <c r="H125" s="32"/>
      <c r="I125" s="32"/>
      <c r="J125" s="32">
        <f>IFERROR(__xludf.DUMMYFUNCTION("""COMPUTED_VALUE"""),100.0)</f>
        <v>100</v>
      </c>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row>
    <row r="126">
      <c r="A126" s="32" t="str">
        <f>IFERROR(__xludf.DUMMYFUNCTION("""COMPUTED_VALUE"""),"Giant Chaotic Shadow Spider")</f>
        <v>Giant Chaotic Shadow Spider</v>
      </c>
      <c r="B126" s="32"/>
      <c r="C126" s="32"/>
      <c r="D126" s="32"/>
      <c r="E126" s="32"/>
      <c r="F126" s="32"/>
      <c r="G126" s="32">
        <f>IFERROR(__xludf.DUMMYFUNCTION("""COMPUTED_VALUE"""),100.0)</f>
        <v>100</v>
      </c>
      <c r="H126" s="32"/>
      <c r="I126" s="32"/>
      <c r="J126" s="32">
        <f>IFERROR(__xludf.DUMMYFUNCTION("""COMPUTED_VALUE"""),100.0)</f>
        <v>100</v>
      </c>
      <c r="K126" s="32"/>
      <c r="L126" s="32"/>
      <c r="M126" s="32"/>
      <c r="N126" s="32"/>
      <c r="O126" s="32"/>
      <c r="P126" s="32"/>
      <c r="Q126" s="32"/>
      <c r="R126" s="32"/>
      <c r="S126" s="32"/>
      <c r="T126" s="32"/>
      <c r="U126" s="32"/>
      <c r="V126" s="32"/>
      <c r="W126" s="32"/>
      <c r="X126" s="32" t="str">
        <f>IFERROR(__xludf.DUMMYFUNCTION("""COMPUTED_VALUE"""),"Immune")</f>
        <v>Immune</v>
      </c>
      <c r="Y126" s="32" t="str">
        <f>IFERROR(__xludf.DUMMYFUNCTION("""COMPUTED_VALUE"""),"Immune")</f>
        <v>Immune</v>
      </c>
      <c r="Z126" s="32"/>
      <c r="AA126" s="32" t="str">
        <f>IFERROR(__xludf.DUMMYFUNCTION("""COMPUTED_VALUE"""),"Immune")</f>
        <v>Immune</v>
      </c>
      <c r="AB126" s="32"/>
      <c r="AC126" s="32"/>
      <c r="AD126" s="32"/>
      <c r="AE126" s="32"/>
      <c r="AF126" s="32"/>
      <c r="AG126" s="32"/>
      <c r="AH126" s="32"/>
      <c r="AI126" s="32"/>
      <c r="AJ126" s="32"/>
      <c r="AK126" s="32"/>
    </row>
    <row r="127">
      <c r="A127" s="32" t="str">
        <f>IFERROR(__xludf.DUMMYFUNCTION("""COMPUTED_VALUE"""),"Chaotic Shadow Phantom")</f>
        <v>Chaotic Shadow Phantom</v>
      </c>
      <c r="B127" s="32"/>
      <c r="C127" s="32"/>
      <c r="D127" s="32"/>
      <c r="E127" s="32"/>
      <c r="F127" s="32"/>
      <c r="G127" s="32">
        <f>IFERROR(__xludf.DUMMYFUNCTION("""COMPUTED_VALUE"""),100.0)</f>
        <v>100</v>
      </c>
      <c r="H127" s="32"/>
      <c r="I127" s="32"/>
      <c r="J127" s="32">
        <f>IFERROR(__xludf.DUMMYFUNCTION("""COMPUTED_VALUE"""),100.0)</f>
        <v>100</v>
      </c>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row>
    <row r="128">
      <c r="A128" s="32" t="str">
        <f>IFERROR(__xludf.DUMMYFUNCTION("""COMPUTED_VALUE"""),"Knight Of Chaotic Shadows")</f>
        <v>Knight Of Chaotic Shadows</v>
      </c>
      <c r="B128" s="32"/>
      <c r="C128" s="32"/>
      <c r="D128" s="32"/>
      <c r="E128" s="32"/>
      <c r="F128" s="32"/>
      <c r="G128" s="32">
        <f>IFERROR(__xludf.DUMMYFUNCTION("""COMPUTED_VALUE"""),100.0)</f>
        <v>100</v>
      </c>
      <c r="H128" s="32"/>
      <c r="I128" s="32"/>
      <c r="J128" s="32">
        <f>IFERROR(__xludf.DUMMYFUNCTION("""COMPUTED_VALUE"""),100.0)</f>
        <v>100</v>
      </c>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row>
    <row r="129">
      <c r="A129" s="32" t="str">
        <f>IFERROR(__xludf.DUMMYFUNCTION("""COMPUTED_VALUE"""),"Multi Headed Chaotic Shadow Dragon")</f>
        <v>Multi Headed Chaotic Shadow Dragon</v>
      </c>
      <c r="B129" s="32"/>
      <c r="C129" s="32"/>
      <c r="D129" s="32"/>
      <c r="E129" s="32"/>
      <c r="F129" s="32"/>
      <c r="G129" s="32">
        <f>IFERROR(__xludf.DUMMYFUNCTION("""COMPUTED_VALUE"""),100.0)</f>
        <v>100</v>
      </c>
      <c r="H129" s="32"/>
      <c r="I129" s="32"/>
      <c r="J129" s="32">
        <f>IFERROR(__xludf.DUMMYFUNCTION("""COMPUTED_VALUE"""),100.0)</f>
        <v>100</v>
      </c>
      <c r="K129" s="32"/>
      <c r="L129" s="32"/>
      <c r="M129" s="32"/>
      <c r="N129" s="32"/>
      <c r="O129" s="32"/>
      <c r="P129" s="32"/>
      <c r="Q129" s="32"/>
      <c r="R129" s="32"/>
      <c r="S129" s="32"/>
      <c r="T129" s="32"/>
      <c r="U129" s="32"/>
      <c r="V129" s="32"/>
      <c r="W129" s="32"/>
      <c r="X129" s="32" t="str">
        <f>IFERROR(__xludf.DUMMYFUNCTION("""COMPUTED_VALUE"""),"Immune")</f>
        <v>Immune</v>
      </c>
      <c r="Y129" s="32" t="str">
        <f>IFERROR(__xludf.DUMMYFUNCTION("""COMPUTED_VALUE"""),"Immune")</f>
        <v>Immune</v>
      </c>
      <c r="Z129" s="32"/>
      <c r="AA129" s="32" t="str">
        <f>IFERROR(__xludf.DUMMYFUNCTION("""COMPUTED_VALUE"""),"Immune")</f>
        <v>Immune</v>
      </c>
      <c r="AB129" s="32"/>
      <c r="AC129" s="32"/>
      <c r="AD129" s="32"/>
      <c r="AE129" s="32"/>
      <c r="AF129" s="32"/>
      <c r="AG129" s="32"/>
      <c r="AH129" s="32"/>
      <c r="AI129" s="32"/>
      <c r="AJ129" s="32"/>
      <c r="AK129" s="32"/>
    </row>
    <row r="130">
      <c r="A130" s="32" t="str">
        <f>IFERROR(__xludf.DUMMYFUNCTION("""COMPUTED_VALUE"""),"Chaotic Shadow Royal Knight")</f>
        <v>Chaotic Shadow Royal Knight</v>
      </c>
      <c r="B130" s="32"/>
      <c r="C130" s="32"/>
      <c r="D130" s="32"/>
      <c r="E130" s="32"/>
      <c r="F130" s="32"/>
      <c r="G130" s="32">
        <f>IFERROR(__xludf.DUMMYFUNCTION("""COMPUTED_VALUE"""),100.0)</f>
        <v>100</v>
      </c>
      <c r="H130" s="32"/>
      <c r="I130" s="32"/>
      <c r="J130" s="32">
        <f>IFERROR(__xludf.DUMMYFUNCTION("""COMPUTED_VALUE"""),100.0)</f>
        <v>100</v>
      </c>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row>
    <row r="131">
      <c r="A131" s="32" t="str">
        <f>IFERROR(__xludf.DUMMYFUNCTION("""COMPUTED_VALUE"""),"The Ring King")</f>
        <v>The Ring King</v>
      </c>
      <c r="B131" s="32"/>
      <c r="C131" s="32"/>
      <c r="D131" s="32"/>
      <c r="E131" s="32"/>
      <c r="F131" s="32"/>
      <c r="G131" s="32">
        <f>IFERROR(__xludf.DUMMYFUNCTION("""COMPUTED_VALUE"""),100.0)</f>
        <v>100</v>
      </c>
      <c r="H131" s="32"/>
      <c r="I131" s="32"/>
      <c r="J131" s="32">
        <f>IFERROR(__xludf.DUMMYFUNCTION("""COMPUTED_VALUE"""),100.0)</f>
        <v>100</v>
      </c>
      <c r="K131" s="32"/>
      <c r="L131" s="32"/>
      <c r="M131" s="32"/>
      <c r="N131" s="32"/>
      <c r="O131" s="32"/>
      <c r="P131" s="32"/>
      <c r="Q131" s="32"/>
      <c r="R131" s="32"/>
      <c r="S131" s="32"/>
      <c r="T131" s="32"/>
      <c r="U131" s="32"/>
      <c r="V131" s="32"/>
      <c r="W131" s="32"/>
      <c r="X131" s="32" t="str">
        <f>IFERROR(__xludf.DUMMYFUNCTION("""COMPUTED_VALUE"""),"Immune")</f>
        <v>Immune</v>
      </c>
      <c r="Y131" s="32" t="str">
        <f>IFERROR(__xludf.DUMMYFUNCTION("""COMPUTED_VALUE"""),"Immune")</f>
        <v>Immune</v>
      </c>
      <c r="Z131" s="32"/>
      <c r="AA131" s="32" t="str">
        <f>IFERROR(__xludf.DUMMYFUNCTION("""COMPUTED_VALUE"""),"Immune")</f>
        <v>Immune</v>
      </c>
      <c r="AB131" s="32"/>
      <c r="AC131" s="32"/>
      <c r="AD131" s="32"/>
      <c r="AE131" s="32"/>
      <c r="AF131" s="32"/>
      <c r="AG131" s="32"/>
      <c r="AH131" s="32"/>
      <c r="AI131" s="32"/>
      <c r="AJ131" s="32"/>
      <c r="AK131" s="32"/>
    </row>
    <row r="132">
      <c r="A132" s="32" t="str">
        <f>IFERROR(__xludf.DUMMYFUNCTION("""COMPUTED_VALUE"""),"Chaotic Shadow Servant")</f>
        <v>Chaotic Shadow Servant</v>
      </c>
      <c r="B132" s="32"/>
      <c r="C132" s="32"/>
      <c r="D132" s="32"/>
      <c r="E132" s="32"/>
      <c r="F132" s="32"/>
      <c r="G132" s="32">
        <f>IFERROR(__xludf.DUMMYFUNCTION("""COMPUTED_VALUE"""),100.0)</f>
        <v>100</v>
      </c>
      <c r="H132" s="32"/>
      <c r="I132" s="32"/>
      <c r="J132" s="32">
        <f>IFERROR(__xludf.DUMMYFUNCTION("""COMPUTED_VALUE"""),100.0)</f>
        <v>100</v>
      </c>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row>
    <row r="133">
      <c r="A133" s="32" t="str">
        <f>IFERROR(__xludf.DUMMYFUNCTION("""COMPUTED_VALUE"""),"Hydra Cobra")</f>
        <v>Hydra Cobra</v>
      </c>
      <c r="B133" s="32"/>
      <c r="C133" s="32"/>
      <c r="D133" s="32"/>
      <c r="E133" s="32"/>
      <c r="F133" s="32"/>
      <c r="G133" s="32">
        <f>IFERROR(__xludf.DUMMYFUNCTION("""COMPUTED_VALUE"""),100.0)</f>
        <v>100</v>
      </c>
      <c r="H133" s="32"/>
      <c r="I133" s="32"/>
      <c r="J133" s="32">
        <f>IFERROR(__xludf.DUMMYFUNCTION("""COMPUTED_VALUE"""),100.0)</f>
        <v>100</v>
      </c>
      <c r="K133" s="32"/>
      <c r="L133" s="32"/>
      <c r="M133" s="32"/>
      <c r="N133" s="32"/>
      <c r="O133" s="32"/>
      <c r="P133" s="32"/>
      <c r="Q133" s="32" t="str">
        <f>IFERROR(__xludf.DUMMYFUNCTION("""COMPUTED_VALUE"""),"Immune")</f>
        <v>Immune</v>
      </c>
      <c r="R133" s="32"/>
      <c r="S133" s="32"/>
      <c r="T133" s="32"/>
      <c r="U133" s="32"/>
      <c r="V133" s="32"/>
      <c r="W133" s="32"/>
      <c r="X133" s="32" t="str">
        <f>IFERROR(__xludf.DUMMYFUNCTION("""COMPUTED_VALUE"""),"Immune")</f>
        <v>Immune</v>
      </c>
      <c r="Y133" s="32" t="str">
        <f>IFERROR(__xludf.DUMMYFUNCTION("""COMPUTED_VALUE"""),"Immune")</f>
        <v>Immune</v>
      </c>
      <c r="Z133" s="32"/>
      <c r="AA133" s="32" t="str">
        <f>IFERROR(__xludf.DUMMYFUNCTION("""COMPUTED_VALUE"""),"Immune")</f>
        <v>Immune</v>
      </c>
      <c r="AB133" s="32"/>
      <c r="AC133" s="32"/>
      <c r="AD133" s="32"/>
      <c r="AE133" s="32"/>
      <c r="AF133" s="32"/>
      <c r="AG133" s="32"/>
      <c r="AH133" s="32"/>
      <c r="AI133" s="32"/>
      <c r="AJ133" s="32"/>
      <c r="AK133" s="32"/>
    </row>
    <row r="134">
      <c r="A134" s="32" t="str">
        <f>IFERROR(__xludf.DUMMYFUNCTION("""COMPUTED_VALUE"""),"Jelly Fish (WD)")</f>
        <v>Jelly Fish (WD)</v>
      </c>
      <c r="B134" s="32" t="str">
        <f>IFERROR(__xludf.DUMMYFUNCTION("""COMPUTED_VALUE"""),"Immune")</f>
        <v>Immune</v>
      </c>
      <c r="C134" s="32" t="str">
        <f>IFERROR(__xludf.DUMMYFUNCTION("""COMPUTED_VALUE"""),"Immune")</f>
        <v>Immune</v>
      </c>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row>
    <row r="135">
      <c r="A135" s="32" t="str">
        <f>IFERROR(__xludf.DUMMYFUNCTION("""COMPUTED_VALUE"""),"Squid (WD)")</f>
        <v>Squid (WD)</v>
      </c>
      <c r="B135" s="32" t="str">
        <f>IFERROR(__xludf.DUMMYFUNCTION("""COMPUTED_VALUE"""),"Immune")</f>
        <v>Immune</v>
      </c>
      <c r="C135" s="32" t="str">
        <f>IFERROR(__xludf.DUMMYFUNCTION("""COMPUTED_VALUE"""),"Immune")</f>
        <v>Immune</v>
      </c>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row>
    <row r="136">
      <c r="A136" s="32" t="str">
        <f>IFERROR(__xludf.DUMMYFUNCTION("""COMPUTED_VALUE"""),"Octopi (WD)")</f>
        <v>Octopi (WD)</v>
      </c>
      <c r="B136" s="32" t="str">
        <f>IFERROR(__xludf.DUMMYFUNCTION("""COMPUTED_VALUE"""),"Immune")</f>
        <v>Immune</v>
      </c>
      <c r="C136" s="32" t="str">
        <f>IFERROR(__xludf.DUMMYFUNCTION("""COMPUTED_VALUE"""),"Immune")</f>
        <v>Immune</v>
      </c>
      <c r="D136" s="32"/>
      <c r="E136" s="32"/>
      <c r="F136" s="32"/>
      <c r="G136" s="32"/>
      <c r="H136" s="32"/>
      <c r="I136" s="32"/>
      <c r="J136" s="32"/>
      <c r="K136" s="32"/>
      <c r="L136" s="32"/>
      <c r="M136" s="32"/>
      <c r="N136" s="32"/>
      <c r="O136" s="32"/>
      <c r="P136" s="32"/>
      <c r="Q136" s="32"/>
      <c r="R136" s="32"/>
      <c r="S136" s="32"/>
      <c r="T136" s="32"/>
      <c r="U136" s="32"/>
      <c r="V136" s="32"/>
      <c r="W136" s="32"/>
      <c r="X136" s="32" t="str">
        <f>IFERROR(__xludf.DUMMYFUNCTION("""COMPUTED_VALUE"""),"Immune")</f>
        <v>Immune</v>
      </c>
      <c r="Y136" s="32"/>
      <c r="Z136" s="32"/>
      <c r="AA136" s="32"/>
      <c r="AB136" s="32"/>
      <c r="AC136" s="32"/>
      <c r="AD136" s="32"/>
      <c r="AE136" s="32"/>
      <c r="AF136" s="32"/>
      <c r="AG136" s="32"/>
      <c r="AH136" s="32"/>
      <c r="AI136" s="32"/>
      <c r="AJ136" s="32"/>
      <c r="AK136" s="32"/>
    </row>
    <row r="137">
      <c r="A137" s="32" t="str">
        <f>IFERROR(__xludf.DUMMYFUNCTION("""COMPUTED_VALUE"""),"Shark (WD)")</f>
        <v>Shark (WD)</v>
      </c>
      <c r="B137" s="32" t="str">
        <f>IFERROR(__xludf.DUMMYFUNCTION("""COMPUTED_VALUE"""),"Immune")</f>
        <v>Immune</v>
      </c>
      <c r="C137" s="32" t="str">
        <f>IFERROR(__xludf.DUMMYFUNCTION("""COMPUTED_VALUE"""),"Immune")</f>
        <v>Immune</v>
      </c>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row>
    <row r="138">
      <c r="A138" s="32" t="str">
        <f>IFERROR(__xludf.DUMMYFUNCTION("""COMPUTED_VALUE"""),"Piranhas (WD)")</f>
        <v>Piranhas (WD)</v>
      </c>
      <c r="B138" s="32" t="str">
        <f>IFERROR(__xludf.DUMMYFUNCTION("""COMPUTED_VALUE"""),"Immune")</f>
        <v>Immune</v>
      </c>
      <c r="C138" s="32" t="str">
        <f>IFERROR(__xludf.DUMMYFUNCTION("""COMPUTED_VALUE"""),"Immune")</f>
        <v>Immune</v>
      </c>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row>
    <row r="139">
      <c r="A139" s="32" t="str">
        <f>IFERROR(__xludf.DUMMYFUNCTION("""COMPUTED_VALUE"""),"Megalodon (WD)")</f>
        <v>Megalodon (WD)</v>
      </c>
      <c r="B139" s="32" t="str">
        <f>IFERROR(__xludf.DUMMYFUNCTION("""COMPUTED_VALUE"""),"Immune")</f>
        <v>Immune</v>
      </c>
      <c r="C139" s="32" t="str">
        <f>IFERROR(__xludf.DUMMYFUNCTION("""COMPUTED_VALUE"""),"Immune")</f>
        <v>Immune</v>
      </c>
      <c r="D139" s="32"/>
      <c r="E139" s="32"/>
      <c r="F139" s="32"/>
      <c r="G139" s="32"/>
      <c r="H139" s="32"/>
      <c r="I139" s="32"/>
      <c r="J139" s="32"/>
      <c r="K139" s="32"/>
      <c r="L139" s="32"/>
      <c r="M139" s="32"/>
      <c r="N139" s="32"/>
      <c r="O139" s="32"/>
      <c r="P139" s="32"/>
      <c r="Q139" s="32"/>
      <c r="R139" s="32"/>
      <c r="S139" s="32"/>
      <c r="T139" s="32"/>
      <c r="U139" s="32"/>
      <c r="V139" s="32"/>
      <c r="W139" s="32"/>
      <c r="X139" s="32" t="str">
        <f>IFERROR(__xludf.DUMMYFUNCTION("""COMPUTED_VALUE"""),"Immune")</f>
        <v>Immune</v>
      </c>
      <c r="Y139" s="32"/>
      <c r="Z139" s="32"/>
      <c r="AA139" s="32"/>
      <c r="AB139" s="32"/>
      <c r="AC139" s="32"/>
      <c r="AD139" s="32"/>
      <c r="AE139" s="32"/>
      <c r="AF139" s="32"/>
      <c r="AG139" s="32"/>
      <c r="AH139" s="32"/>
      <c r="AI139" s="32"/>
      <c r="AJ139" s="32"/>
      <c r="AK139" s="32"/>
    </row>
    <row r="140">
      <c r="A140" s="32" t="str">
        <f>IFERROR(__xludf.DUMMYFUNCTION("""COMPUTED_VALUE"""),"Giant Alligator (WD)")</f>
        <v>Giant Alligator (WD)</v>
      </c>
      <c r="B140" s="32" t="str">
        <f>IFERROR(__xludf.DUMMYFUNCTION("""COMPUTED_VALUE"""),"Immune")</f>
        <v>Immune</v>
      </c>
      <c r="C140" s="32" t="str">
        <f>IFERROR(__xludf.DUMMYFUNCTION("""COMPUTED_VALUE"""),"Immune")</f>
        <v>Immune</v>
      </c>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row>
    <row r="141">
      <c r="A141" s="32" t="str">
        <f>IFERROR(__xludf.DUMMYFUNCTION("""COMPUTED_VALUE"""),"Sea Worm (WD)")</f>
        <v>Sea Worm (WD)</v>
      </c>
      <c r="B141" s="32" t="str">
        <f>IFERROR(__xludf.DUMMYFUNCTION("""COMPUTED_VALUE"""),"Immune")</f>
        <v>Immune</v>
      </c>
      <c r="C141" s="32" t="str">
        <f>IFERROR(__xludf.DUMMYFUNCTION("""COMPUTED_VALUE"""),"Immune")</f>
        <v>Immune</v>
      </c>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row>
    <row r="142">
      <c r="A142" s="32" t="str">
        <f>IFERROR(__xludf.DUMMYFUNCTION("""COMPUTED_VALUE"""),"Sea Serpent (WD)")</f>
        <v>Sea Serpent (WD)</v>
      </c>
      <c r="B142" s="32" t="str">
        <f>IFERROR(__xludf.DUMMYFUNCTION("""COMPUTED_VALUE"""),"Immune")</f>
        <v>Immune</v>
      </c>
      <c r="C142" s="32" t="str">
        <f>IFERROR(__xludf.DUMMYFUNCTION("""COMPUTED_VALUE"""),"Immune")</f>
        <v>Immune</v>
      </c>
      <c r="D142" s="32"/>
      <c r="E142" s="32"/>
      <c r="F142" s="32"/>
      <c r="G142" s="32"/>
      <c r="H142" s="32"/>
      <c r="I142" s="32"/>
      <c r="J142" s="32"/>
      <c r="K142" s="32"/>
      <c r="L142" s="32"/>
      <c r="M142" s="32"/>
      <c r="N142" s="32"/>
      <c r="O142" s="32"/>
      <c r="P142" s="32"/>
      <c r="Q142" s="32"/>
      <c r="R142" s="32"/>
      <c r="S142" s="32"/>
      <c r="T142" s="32"/>
      <c r="U142" s="32"/>
      <c r="V142" s="32"/>
      <c r="W142" s="32"/>
      <c r="X142" s="32" t="str">
        <f>IFERROR(__xludf.DUMMYFUNCTION("""COMPUTED_VALUE"""),"Immune")</f>
        <v>Immune</v>
      </c>
      <c r="Y142" s="32"/>
      <c r="Z142" s="32"/>
      <c r="AA142" s="32"/>
      <c r="AB142" s="32"/>
      <c r="AC142" s="32"/>
      <c r="AD142" s="32"/>
      <c r="AE142" s="32"/>
      <c r="AF142" s="32"/>
      <c r="AG142" s="32"/>
      <c r="AH142" s="32"/>
      <c r="AI142" s="32"/>
      <c r="AJ142" s="32"/>
      <c r="AK142" s="32"/>
    </row>
    <row r="143">
      <c r="A143" s="32" t="str">
        <f>IFERROR(__xludf.DUMMYFUNCTION("""COMPUTED_VALUE"""),"Water Dragon (WD)")</f>
        <v>Water Dragon (WD)</v>
      </c>
      <c r="B143" s="32" t="str">
        <f>IFERROR(__xludf.DUMMYFUNCTION("""COMPUTED_VALUE"""),"Immune")</f>
        <v>Immune</v>
      </c>
      <c r="C143" s="32" t="str">
        <f>IFERROR(__xludf.DUMMYFUNCTION("""COMPUTED_VALUE"""),"Immune")</f>
        <v>Immune</v>
      </c>
      <c r="D143" s="32"/>
      <c r="E143" s="32"/>
      <c r="F143" s="32"/>
      <c r="G143" s="32"/>
      <c r="H143" s="32"/>
      <c r="I143" s="32"/>
      <c r="J143" s="32"/>
      <c r="K143" s="32"/>
      <c r="L143" s="32"/>
      <c r="M143" s="32"/>
      <c r="N143" s="32"/>
      <c r="O143" s="32"/>
      <c r="P143" s="32"/>
      <c r="Q143" s="32"/>
      <c r="R143" s="32"/>
      <c r="S143" s="32"/>
      <c r="T143" s="32"/>
      <c r="U143" s="32"/>
      <c r="V143" s="32"/>
      <c r="W143" s="32"/>
      <c r="X143" s="32" t="str">
        <f>IFERROR(__xludf.DUMMYFUNCTION("""COMPUTED_VALUE"""),"Immune")</f>
        <v>Immune</v>
      </c>
      <c r="Y143" s="32" t="str">
        <f>IFERROR(__xludf.DUMMYFUNCTION("""COMPUTED_VALUE"""),"Immune")</f>
        <v>Immune</v>
      </c>
      <c r="Z143" s="32"/>
      <c r="AA143" s="32" t="str">
        <f>IFERROR(__xludf.DUMMYFUNCTION("""COMPUTED_VALUE"""),"Immune")</f>
        <v>Immune</v>
      </c>
      <c r="AB143" s="32"/>
      <c r="AC143" s="32"/>
      <c r="AD143" s="32"/>
      <c r="AE143" s="32"/>
      <c r="AF143" s="32"/>
      <c r="AG143" s="32"/>
      <c r="AH143" s="32"/>
      <c r="AI143" s="32"/>
      <c r="AJ143" s="32"/>
      <c r="AK143" s="32"/>
    </row>
    <row r="144">
      <c r="A144" s="32" t="str">
        <f>IFERROR(__xludf.DUMMYFUNCTION("""COMPUTED_VALUE"""),"Sea Dinosaur (WD)")</f>
        <v>Sea Dinosaur (WD)</v>
      </c>
      <c r="B144" s="32" t="str">
        <f>IFERROR(__xludf.DUMMYFUNCTION("""COMPUTED_VALUE"""),"Immune")</f>
        <v>Immune</v>
      </c>
      <c r="C144" s="32" t="str">
        <f>IFERROR(__xludf.DUMMYFUNCTION("""COMPUTED_VALUE"""),"Immune")</f>
        <v>Immune</v>
      </c>
      <c r="D144" s="32"/>
      <c r="E144" s="32"/>
      <c r="F144" s="32"/>
      <c r="G144" s="32"/>
      <c r="H144" s="32"/>
      <c r="I144" s="32"/>
      <c r="J144" s="32"/>
      <c r="K144" s="32"/>
      <c r="L144" s="32"/>
      <c r="M144" s="32"/>
      <c r="N144" s="32"/>
      <c r="O144" s="32"/>
      <c r="P144" s="32"/>
      <c r="Q144" s="32"/>
      <c r="R144" s="32"/>
      <c r="S144" s="32"/>
      <c r="T144" s="32"/>
      <c r="U144" s="32"/>
      <c r="V144" s="32"/>
      <c r="W144" s="32"/>
      <c r="X144" s="32" t="str">
        <f>IFERROR(__xludf.DUMMYFUNCTION("""COMPUTED_VALUE"""),"Immune")</f>
        <v>Immune</v>
      </c>
      <c r="Y144" s="32"/>
      <c r="Z144" s="32"/>
      <c r="AA144" s="32"/>
      <c r="AB144" s="32"/>
      <c r="AC144" s="32"/>
      <c r="AD144" s="32"/>
      <c r="AE144" s="32"/>
      <c r="AF144" s="32"/>
      <c r="AG144" s="32"/>
      <c r="AH144" s="32"/>
      <c r="AI144" s="32"/>
      <c r="AJ144" s="32"/>
      <c r="AK144" s="32"/>
    </row>
    <row r="145">
      <c r="A145" s="32" t="str">
        <f>IFERROR(__xludf.DUMMYFUNCTION("""COMPUTED_VALUE"""),"Jelly Fish (WD) (Enhanced)")</f>
        <v>Jelly Fish (WD) (Enhanced)</v>
      </c>
      <c r="B145" s="32" t="str">
        <f>IFERROR(__xludf.DUMMYFUNCTION("""COMPUTED_VALUE"""),"Immune")</f>
        <v>Immune</v>
      </c>
      <c r="C145" s="32" t="str">
        <f>IFERROR(__xludf.DUMMYFUNCTION("""COMPUTED_VALUE"""),"Immune")</f>
        <v>Immune</v>
      </c>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row>
    <row r="146">
      <c r="A146" s="32" t="str">
        <f>IFERROR(__xludf.DUMMYFUNCTION("""COMPUTED_VALUE"""),"Squid (WD) (Enhanced)")</f>
        <v>Squid (WD) (Enhanced)</v>
      </c>
      <c r="B146" s="32" t="str">
        <f>IFERROR(__xludf.DUMMYFUNCTION("""COMPUTED_VALUE"""),"Immune")</f>
        <v>Immune</v>
      </c>
      <c r="C146" s="32" t="str">
        <f>IFERROR(__xludf.DUMMYFUNCTION("""COMPUTED_VALUE"""),"Immune")</f>
        <v>Immune</v>
      </c>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row>
    <row r="147">
      <c r="A147" s="32" t="str">
        <f>IFERROR(__xludf.DUMMYFUNCTION("""COMPUTED_VALUE"""),"Octopi (WD) (Enhanced)")</f>
        <v>Octopi (WD) (Enhanced)</v>
      </c>
      <c r="B147" s="32" t="str">
        <f>IFERROR(__xludf.DUMMYFUNCTION("""COMPUTED_VALUE"""),"Immune")</f>
        <v>Immune</v>
      </c>
      <c r="C147" s="32" t="str">
        <f>IFERROR(__xludf.DUMMYFUNCTION("""COMPUTED_VALUE"""),"Immune")</f>
        <v>Immune</v>
      </c>
      <c r="D147" s="32"/>
      <c r="E147" s="32"/>
      <c r="F147" s="32"/>
      <c r="G147" s="32"/>
      <c r="H147" s="32"/>
      <c r="I147" s="32"/>
      <c r="J147" s="32"/>
      <c r="K147" s="32"/>
      <c r="L147" s="32"/>
      <c r="M147" s="32"/>
      <c r="N147" s="32"/>
      <c r="O147" s="32"/>
      <c r="P147" s="32"/>
      <c r="Q147" s="32"/>
      <c r="R147" s="32"/>
      <c r="S147" s="32"/>
      <c r="T147" s="32"/>
      <c r="U147" s="32"/>
      <c r="V147" s="32"/>
      <c r="W147" s="32"/>
      <c r="X147" s="32" t="str">
        <f>IFERROR(__xludf.DUMMYFUNCTION("""COMPUTED_VALUE"""),"Immune")</f>
        <v>Immune</v>
      </c>
      <c r="Y147" s="32"/>
      <c r="Z147" s="32"/>
      <c r="AA147" s="32"/>
      <c r="AB147" s="32"/>
      <c r="AC147" s="32"/>
      <c r="AD147" s="32"/>
      <c r="AE147" s="32"/>
      <c r="AF147" s="32"/>
      <c r="AG147" s="32"/>
      <c r="AH147" s="32"/>
      <c r="AI147" s="32"/>
      <c r="AJ147" s="32"/>
      <c r="AK147" s="32"/>
    </row>
    <row r="148">
      <c r="A148" s="32" t="str">
        <f>IFERROR(__xludf.DUMMYFUNCTION("""COMPUTED_VALUE"""),"Shark (WD) (Enhanced0")</f>
        <v>Shark (WD) (Enhanced0</v>
      </c>
      <c r="B148" s="32" t="str">
        <f>IFERROR(__xludf.DUMMYFUNCTION("""COMPUTED_VALUE"""),"Immune")</f>
        <v>Immune</v>
      </c>
      <c r="C148" s="32" t="str">
        <f>IFERROR(__xludf.DUMMYFUNCTION("""COMPUTED_VALUE"""),"Immune")</f>
        <v>Immune</v>
      </c>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row>
    <row r="149">
      <c r="A149" s="32" t="str">
        <f>IFERROR(__xludf.DUMMYFUNCTION("""COMPUTED_VALUE"""),"Piranhas (WD) (Enhanced)")</f>
        <v>Piranhas (WD) (Enhanced)</v>
      </c>
      <c r="B149" s="32" t="str">
        <f>IFERROR(__xludf.DUMMYFUNCTION("""COMPUTED_VALUE"""),"Immune")</f>
        <v>Immune</v>
      </c>
      <c r="C149" s="32" t="str">
        <f>IFERROR(__xludf.DUMMYFUNCTION("""COMPUTED_VALUE"""),"Immune")</f>
        <v>Immune</v>
      </c>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row>
    <row r="150">
      <c r="A150" s="32" t="str">
        <f>IFERROR(__xludf.DUMMYFUNCTION("""COMPUTED_VALUE"""),"Megalodon (WD) (Enhanced)")</f>
        <v>Megalodon (WD) (Enhanced)</v>
      </c>
      <c r="B150" s="32" t="str">
        <f>IFERROR(__xludf.DUMMYFUNCTION("""COMPUTED_VALUE"""),"Immune")</f>
        <v>Immune</v>
      </c>
      <c r="C150" s="32" t="str">
        <f>IFERROR(__xludf.DUMMYFUNCTION("""COMPUTED_VALUE"""),"Immune")</f>
        <v>Immune</v>
      </c>
      <c r="D150" s="32"/>
      <c r="E150" s="32"/>
      <c r="F150" s="32"/>
      <c r="G150" s="32"/>
      <c r="H150" s="32"/>
      <c r="I150" s="32"/>
      <c r="J150" s="32"/>
      <c r="K150" s="32"/>
      <c r="L150" s="32"/>
      <c r="M150" s="32"/>
      <c r="N150" s="32"/>
      <c r="O150" s="32"/>
      <c r="P150" s="32"/>
      <c r="Q150" s="32"/>
      <c r="R150" s="32"/>
      <c r="S150" s="32"/>
      <c r="T150" s="32"/>
      <c r="U150" s="32"/>
      <c r="V150" s="32"/>
      <c r="W150" s="32"/>
      <c r="X150" s="32" t="str">
        <f>IFERROR(__xludf.DUMMYFUNCTION("""COMPUTED_VALUE"""),"Immune")</f>
        <v>Immune</v>
      </c>
      <c r="Y150" s="32"/>
      <c r="Z150" s="32"/>
      <c r="AA150" s="32"/>
      <c r="AB150" s="32"/>
      <c r="AC150" s="32"/>
      <c r="AD150" s="32"/>
      <c r="AE150" s="32"/>
      <c r="AF150" s="32"/>
      <c r="AG150" s="32"/>
      <c r="AH150" s="32"/>
      <c r="AI150" s="32"/>
      <c r="AJ150" s="32"/>
      <c r="AK150" s="32"/>
    </row>
    <row r="151">
      <c r="A151" s="32" t="str">
        <f>IFERROR(__xludf.DUMMYFUNCTION("""COMPUTED_VALUE"""),"Giant Alligator (WD) (Enhanced)")</f>
        <v>Giant Alligator (WD) (Enhanced)</v>
      </c>
      <c r="B151" s="32" t="str">
        <f>IFERROR(__xludf.DUMMYFUNCTION("""COMPUTED_VALUE"""),"Immune")</f>
        <v>Immune</v>
      </c>
      <c r="C151" s="32" t="str">
        <f>IFERROR(__xludf.DUMMYFUNCTION("""COMPUTED_VALUE"""),"Immune")</f>
        <v>Immune</v>
      </c>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row>
    <row r="152">
      <c r="A152" s="32" t="str">
        <f>IFERROR(__xludf.DUMMYFUNCTION("""COMPUTED_VALUE"""),"Sea Worm (WD) (Enhanced)")</f>
        <v>Sea Worm (WD) (Enhanced)</v>
      </c>
      <c r="B152" s="32" t="str">
        <f>IFERROR(__xludf.DUMMYFUNCTION("""COMPUTED_VALUE"""),"Immune")</f>
        <v>Immune</v>
      </c>
      <c r="C152" s="32" t="str">
        <f>IFERROR(__xludf.DUMMYFUNCTION("""COMPUTED_VALUE"""),"Immune")</f>
        <v>Immune</v>
      </c>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row>
    <row r="153">
      <c r="A153" s="32" t="str">
        <f>IFERROR(__xludf.DUMMYFUNCTION("""COMPUTED_VALUE"""),"Sea Serpent (WD) (Enhanced)")</f>
        <v>Sea Serpent (WD) (Enhanced)</v>
      </c>
      <c r="B153" s="32" t="str">
        <f>IFERROR(__xludf.DUMMYFUNCTION("""COMPUTED_VALUE"""),"Immune")</f>
        <v>Immune</v>
      </c>
      <c r="C153" s="32" t="str">
        <f>IFERROR(__xludf.DUMMYFUNCTION("""COMPUTED_VALUE"""),"Immune")</f>
        <v>Immune</v>
      </c>
      <c r="D153" s="32"/>
      <c r="E153" s="32"/>
      <c r="F153" s="32"/>
      <c r="G153" s="32"/>
      <c r="H153" s="32"/>
      <c r="I153" s="32"/>
      <c r="J153" s="32"/>
      <c r="K153" s="32"/>
      <c r="L153" s="32"/>
      <c r="M153" s="32"/>
      <c r="N153" s="32"/>
      <c r="O153" s="32"/>
      <c r="P153" s="32"/>
      <c r="Q153" s="32"/>
      <c r="R153" s="32"/>
      <c r="S153" s="32"/>
      <c r="T153" s="32"/>
      <c r="U153" s="32"/>
      <c r="V153" s="32"/>
      <c r="W153" s="32"/>
      <c r="X153" s="32" t="str">
        <f>IFERROR(__xludf.DUMMYFUNCTION("""COMPUTED_VALUE"""),"Immune")</f>
        <v>Immune</v>
      </c>
      <c r="Y153" s="32"/>
      <c r="Z153" s="32"/>
      <c r="AA153" s="32"/>
      <c r="AB153" s="32"/>
      <c r="AC153" s="32"/>
      <c r="AD153" s="32"/>
      <c r="AE153" s="32"/>
      <c r="AF153" s="32"/>
      <c r="AG153" s="32"/>
      <c r="AH153" s="32"/>
      <c r="AI153" s="32"/>
      <c r="AJ153" s="32"/>
      <c r="AK153" s="32"/>
    </row>
    <row r="154">
      <c r="A154" s="32" t="str">
        <f>IFERROR(__xludf.DUMMYFUNCTION("""COMPUTED_VALUE"""),"Ancient Water Dragon (WD) (Enhanced)")</f>
        <v>Ancient Water Dragon (WD) (Enhanced)</v>
      </c>
      <c r="B154" s="32" t="str">
        <f>IFERROR(__xludf.DUMMYFUNCTION("""COMPUTED_VALUE"""),"Immune")</f>
        <v>Immune</v>
      </c>
      <c r="C154" s="32" t="str">
        <f>IFERROR(__xludf.DUMMYFUNCTION("""COMPUTED_VALUE"""),"Immune")</f>
        <v>Immune</v>
      </c>
      <c r="D154" s="32"/>
      <c r="E154" s="32"/>
      <c r="F154" s="32"/>
      <c r="G154" s="32"/>
      <c r="H154" s="32"/>
      <c r="I154" s="32"/>
      <c r="J154" s="32"/>
      <c r="K154" s="32"/>
      <c r="L154" s="32"/>
      <c r="M154" s="32"/>
      <c r="N154" s="32"/>
      <c r="O154" s="32"/>
      <c r="P154" s="32"/>
      <c r="Q154" s="32"/>
      <c r="R154" s="32"/>
      <c r="S154" s="32"/>
      <c r="T154" s="32"/>
      <c r="U154" s="32"/>
      <c r="V154" s="32"/>
      <c r="W154" s="32"/>
      <c r="X154" s="32" t="str">
        <f>IFERROR(__xludf.DUMMYFUNCTION("""COMPUTED_VALUE"""),"Immune")</f>
        <v>Immune</v>
      </c>
      <c r="Y154" s="32" t="str">
        <f>IFERROR(__xludf.DUMMYFUNCTION("""COMPUTED_VALUE"""),"Immune")</f>
        <v>Immune</v>
      </c>
      <c r="Z154" s="32"/>
      <c r="AA154" s="32" t="str">
        <f>IFERROR(__xludf.DUMMYFUNCTION("""COMPUTED_VALUE"""),"Immune")</f>
        <v>Immune</v>
      </c>
      <c r="AB154" s="32"/>
      <c r="AC154" s="32"/>
      <c r="AD154" s="32"/>
      <c r="AE154" s="32"/>
      <c r="AF154" s="32"/>
      <c r="AG154" s="32"/>
      <c r="AH154" s="32"/>
      <c r="AI154" s="32"/>
      <c r="AJ154" s="32"/>
      <c r="AK154" s="32"/>
    </row>
    <row r="155">
      <c r="A155" s="32" t="str">
        <f>IFERROR(__xludf.DUMMYFUNCTION("""COMPUTED_VALUE"""),"Sea Dinosaur (WD) (Enhanced)")</f>
        <v>Sea Dinosaur (WD) (Enhanced)</v>
      </c>
      <c r="B155" s="32" t="str">
        <f>IFERROR(__xludf.DUMMYFUNCTION("""COMPUTED_VALUE"""),"Immune")</f>
        <v>Immune</v>
      </c>
      <c r="C155" s="32" t="str">
        <f>IFERROR(__xludf.DUMMYFUNCTION("""COMPUTED_VALUE"""),"Immune")</f>
        <v>Immune</v>
      </c>
      <c r="D155" s="32"/>
      <c r="E155" s="32"/>
      <c r="F155" s="32"/>
      <c r="G155" s="32"/>
      <c r="H155" s="32"/>
      <c r="I155" s="32"/>
      <c r="J155" s="32"/>
      <c r="K155" s="32"/>
      <c r="L155" s="32"/>
      <c r="M155" s="32"/>
      <c r="N155" s="32"/>
      <c r="O155" s="32"/>
      <c r="P155" s="32"/>
      <c r="Q155" s="32"/>
      <c r="R155" s="32"/>
      <c r="S155" s="32"/>
      <c r="T155" s="32"/>
      <c r="U155" s="32"/>
      <c r="V155" s="32"/>
      <c r="W155" s="32"/>
      <c r="X155" s="32" t="str">
        <f>IFERROR(__xludf.DUMMYFUNCTION("""COMPUTED_VALUE"""),"Immune")</f>
        <v>Immune</v>
      </c>
      <c r="Y155" s="32"/>
      <c r="Z155" s="32"/>
      <c r="AA155" s="32"/>
      <c r="AB155" s="32"/>
      <c r="AC155" s="32"/>
      <c r="AD155" s="32"/>
      <c r="AE155" s="32"/>
      <c r="AF155" s="32"/>
      <c r="AG155" s="32"/>
      <c r="AH155" s="32"/>
      <c r="AI155" s="32"/>
      <c r="AJ155" s="32"/>
      <c r="AK155" s="32"/>
    </row>
    <row r="156">
      <c r="A156" s="32" t="str">
        <f>IFERROR(__xludf.DUMMYFUNCTION("""COMPUTED_VALUE"""),"Dweller Of The Abyss ")</f>
        <v>Dweller Of The Abyss </v>
      </c>
      <c r="B156" s="32" t="str">
        <f>IFERROR(__xludf.DUMMYFUNCTION("""COMPUTED_VALUE"""),"Immune")</f>
        <v>Immune</v>
      </c>
      <c r="C156" s="32" t="str">
        <f>IFERROR(__xludf.DUMMYFUNCTION("""COMPUTED_VALUE"""),"Immune")</f>
        <v>Immune</v>
      </c>
      <c r="D156" s="32"/>
      <c r="E156" s="32"/>
      <c r="F156" s="32"/>
      <c r="G156" s="32" t="str">
        <f>IFERROR(__xludf.DUMMYFUNCTION("""COMPUTED_VALUE"""),"Immune")</f>
        <v>Immune</v>
      </c>
      <c r="H156" s="32"/>
      <c r="I156" s="32"/>
      <c r="J156" s="32" t="str">
        <f>IFERROR(__xludf.DUMMYFUNCTION("""COMPUTED_VALUE"""),"Immune")</f>
        <v>Immune</v>
      </c>
      <c r="K156" s="32"/>
      <c r="L156" s="32"/>
      <c r="M156" s="32"/>
      <c r="N156" s="32"/>
      <c r="O156" s="32"/>
      <c r="P156" s="32"/>
      <c r="Q156" s="32" t="str">
        <f>IFERROR(__xludf.DUMMYFUNCTION("""COMPUTED_VALUE"""),"Immune")</f>
        <v>Immune</v>
      </c>
      <c r="R156" s="32"/>
      <c r="S156" s="32"/>
      <c r="T156" s="32"/>
      <c r="U156" s="32"/>
      <c r="V156" s="32"/>
      <c r="W156" s="32"/>
      <c r="X156" s="32" t="str">
        <f>IFERROR(__xludf.DUMMYFUNCTION("""COMPUTED_VALUE"""),"Immune")</f>
        <v>Immune</v>
      </c>
      <c r="Y156" s="32" t="str">
        <f>IFERROR(__xludf.DUMMYFUNCTION("""COMPUTED_VALUE"""),"Immune")</f>
        <v>Immune</v>
      </c>
      <c r="Z156" s="32"/>
      <c r="AA156" s="32"/>
      <c r="AB156" s="32"/>
      <c r="AC156" s="32"/>
      <c r="AD156" s="32"/>
      <c r="AE156" s="32"/>
      <c r="AF156" s="32"/>
      <c r="AG156" s="32"/>
      <c r="AH156" s="32"/>
      <c r="AI156" s="32"/>
      <c r="AJ156" s="32"/>
      <c r="AK156" s="32"/>
    </row>
    <row r="157">
      <c r="A157" s="32" t="str">
        <f>IFERROR(__xludf.DUMMYFUNCTION("""COMPUTED_VALUE"""),"The Cursed Kraken")</f>
        <v>The Cursed Kraken</v>
      </c>
      <c r="B157" s="32" t="str">
        <f>IFERROR(__xludf.DUMMYFUNCTION("""COMPUTED_VALUE"""),"Immune")</f>
        <v>Immune</v>
      </c>
      <c r="C157" s="32" t="str">
        <f>IFERROR(__xludf.DUMMYFUNCTION("""COMPUTED_VALUE"""),"Immune")</f>
        <v>Immune</v>
      </c>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row>
    <row r="158">
      <c r="A158" s="32" t="str">
        <f>IFERROR(__xludf.DUMMYFUNCTION("""COMPUTED_VALUE"""),"Cthulhu")</f>
        <v>Cthulhu</v>
      </c>
      <c r="B158" s="32" t="str">
        <f>IFERROR(__xludf.DUMMYFUNCTION("""COMPUTED_VALUE"""),"Immune")</f>
        <v>Immune</v>
      </c>
      <c r="C158" s="32" t="str">
        <f>IFERROR(__xludf.DUMMYFUNCTION("""COMPUTED_VALUE"""),"Immune")</f>
        <v>Immune</v>
      </c>
      <c r="D158" s="32"/>
      <c r="E158" s="32"/>
      <c r="F158" s="32"/>
      <c r="G158" s="32" t="str">
        <f>IFERROR(__xludf.DUMMYFUNCTION("""COMPUTED_VALUE"""),"Immune")</f>
        <v>Immune</v>
      </c>
      <c r="H158" s="32"/>
      <c r="I158" s="32"/>
      <c r="J158" s="32" t="str">
        <f>IFERROR(__xludf.DUMMYFUNCTION("""COMPUTED_VALUE"""),"Immune")</f>
        <v>Immune</v>
      </c>
      <c r="K158" s="32"/>
      <c r="L158" s="32"/>
      <c r="M158" s="32"/>
      <c r="N158" s="32"/>
      <c r="O158" s="32"/>
      <c r="P158" s="32"/>
      <c r="Q158" s="32" t="str">
        <f>IFERROR(__xludf.DUMMYFUNCTION("""COMPUTED_VALUE"""),"Immune")</f>
        <v>Immune</v>
      </c>
      <c r="R158" s="32"/>
      <c r="S158" s="32"/>
      <c r="T158" s="32"/>
      <c r="U158" s="32"/>
      <c r="V158" s="32"/>
      <c r="W158" s="32"/>
      <c r="X158" s="32" t="str">
        <f>IFERROR(__xludf.DUMMYFUNCTION("""COMPUTED_VALUE"""),"Immune")</f>
        <v>Immune</v>
      </c>
      <c r="Y158" s="32" t="str">
        <f>IFERROR(__xludf.DUMMYFUNCTION("""COMPUTED_VALUE"""),"Immune")</f>
        <v>Immune</v>
      </c>
      <c r="Z158" s="32"/>
      <c r="AA158" s="32"/>
      <c r="AB158" s="32"/>
      <c r="AC158" s="32"/>
      <c r="AD158" s="32"/>
      <c r="AE158" s="32"/>
      <c r="AF158" s="32"/>
      <c r="AG158" s="32"/>
      <c r="AH158" s="32"/>
      <c r="AI158" s="32"/>
      <c r="AJ158" s="32"/>
      <c r="AK158" s="32"/>
    </row>
    <row r="159">
      <c r="A159" s="32" t="str">
        <f>IFERROR(__xludf.DUMMYFUNCTION("""COMPUTED_VALUE"""),"Heatmore Underling")</f>
        <v>Heatmore Underling</v>
      </c>
      <c r="B159" s="32">
        <f>IFERROR(__xludf.DUMMYFUNCTION("""COMPUTED_VALUE"""),100.0)</f>
        <v>100</v>
      </c>
      <c r="C159" s="32"/>
      <c r="D159" s="32"/>
      <c r="E159" s="32"/>
      <c r="F159" s="32"/>
      <c r="G159" s="32"/>
      <c r="H159" s="32"/>
      <c r="I159" s="32"/>
      <c r="J159" s="32"/>
      <c r="K159" s="32" t="str">
        <f>IFERROR(__xludf.DUMMYFUNCTION("""COMPUTED_VALUE"""),"Immune")</f>
        <v>Immune</v>
      </c>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row>
    <row r="160">
      <c r="A160" s="32" t="str">
        <f>IFERROR(__xludf.DUMMYFUNCTION("""COMPUTED_VALUE"""),"Heatmore Royal Keeper")</f>
        <v>Heatmore Royal Keeper</v>
      </c>
      <c r="B160" s="32">
        <f>IFERROR(__xludf.DUMMYFUNCTION("""COMPUTED_VALUE"""),100.0)</f>
        <v>100</v>
      </c>
      <c r="C160" s="32"/>
      <c r="D160" s="32"/>
      <c r="E160" s="32"/>
      <c r="F160" s="32"/>
      <c r="G160" s="32"/>
      <c r="H160" s="32"/>
      <c r="I160" s="32"/>
      <c r="J160" s="32"/>
      <c r="K160" s="32" t="str">
        <f>IFERROR(__xludf.DUMMYFUNCTION("""COMPUTED_VALUE"""),"Immune")</f>
        <v>Immune</v>
      </c>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row>
    <row r="161">
      <c r="A161" s="32" t="str">
        <f>IFERROR(__xludf.DUMMYFUNCTION("""COMPUTED_VALUE"""),"Heatmore Flame Golem")</f>
        <v>Heatmore Flame Golem</v>
      </c>
      <c r="B161" s="32">
        <f>IFERROR(__xludf.DUMMYFUNCTION("""COMPUTED_VALUE"""),100.0)</f>
        <v>100</v>
      </c>
      <c r="C161" s="32"/>
      <c r="D161" s="32"/>
      <c r="E161" s="32"/>
      <c r="F161" s="32"/>
      <c r="G161" s="32"/>
      <c r="H161" s="32"/>
      <c r="I161" s="32"/>
      <c r="J161" s="32"/>
      <c r="K161" s="32" t="str">
        <f>IFERROR(__xludf.DUMMYFUNCTION("""COMPUTED_VALUE"""),"Immune")</f>
        <v>Immune</v>
      </c>
      <c r="L161" s="32"/>
      <c r="M161" s="32"/>
      <c r="N161" s="32"/>
      <c r="O161" s="32"/>
      <c r="P161" s="32"/>
      <c r="Q161" s="32"/>
      <c r="R161" s="32"/>
      <c r="S161" s="32"/>
      <c r="T161" s="32"/>
      <c r="U161" s="32"/>
      <c r="V161" s="32"/>
      <c r="W161" s="32"/>
      <c r="X161" s="32" t="str">
        <f>IFERROR(__xludf.DUMMYFUNCTION("""COMPUTED_VALUE"""),"Immune")</f>
        <v>Immune</v>
      </c>
      <c r="Y161" s="32"/>
      <c r="Z161" s="32"/>
      <c r="AA161" s="32"/>
      <c r="AB161" s="32"/>
      <c r="AC161" s="32"/>
      <c r="AD161" s="32"/>
      <c r="AE161" s="32"/>
      <c r="AF161" s="32"/>
      <c r="AG161" s="32"/>
      <c r="AH161" s="32"/>
      <c r="AI161" s="32"/>
      <c r="AJ161" s="32"/>
      <c r="AK161" s="32"/>
    </row>
    <row r="162">
      <c r="A162" s="32" t="str">
        <f>IFERROR(__xludf.DUMMYFUNCTION("""COMPUTED_VALUE"""),"Giant Volcanic Spider")</f>
        <v>Giant Volcanic Spider</v>
      </c>
      <c r="B162" s="32">
        <f>IFERROR(__xludf.DUMMYFUNCTION("""COMPUTED_VALUE"""),100.0)</f>
        <v>100</v>
      </c>
      <c r="C162" s="32"/>
      <c r="D162" s="32"/>
      <c r="E162" s="32"/>
      <c r="F162" s="32"/>
      <c r="G162" s="32"/>
      <c r="H162" s="32"/>
      <c r="I162" s="32"/>
      <c r="J162" s="32"/>
      <c r="K162" s="32" t="str">
        <f>IFERROR(__xludf.DUMMYFUNCTION("""COMPUTED_VALUE"""),"Immune")</f>
        <v>Immune</v>
      </c>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row>
    <row r="163">
      <c r="A163" s="32" t="str">
        <f>IFERROR(__xludf.DUMMYFUNCTION("""COMPUTED_VALUE"""),"Flame Ostrich")</f>
        <v>Flame Ostrich</v>
      </c>
      <c r="B163" s="32">
        <f>IFERROR(__xludf.DUMMYFUNCTION("""COMPUTED_VALUE"""),100.0)</f>
        <v>100</v>
      </c>
      <c r="C163" s="32"/>
      <c r="D163" s="32"/>
      <c r="E163" s="32"/>
      <c r="F163" s="32"/>
      <c r="G163" s="32"/>
      <c r="H163" s="32"/>
      <c r="I163" s="32"/>
      <c r="J163" s="32"/>
      <c r="K163" s="32" t="str">
        <f>IFERROR(__xludf.DUMMYFUNCTION("""COMPUTED_VALUE"""),"Immune")</f>
        <v>Immune</v>
      </c>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row>
    <row r="164">
      <c r="A164" s="32" t="str">
        <f>IFERROR(__xludf.DUMMYFUNCTION("""COMPUTED_VALUE"""),"Divine Dragon Of The Flames")</f>
        <v>Divine Dragon Of The Flames</v>
      </c>
      <c r="B164" s="32">
        <f>IFERROR(__xludf.DUMMYFUNCTION("""COMPUTED_VALUE"""),100.0)</f>
        <v>100</v>
      </c>
      <c r="C164" s="32"/>
      <c r="D164" s="32"/>
      <c r="E164" s="32"/>
      <c r="F164" s="32"/>
      <c r="G164" s="32"/>
      <c r="H164" s="32"/>
      <c r="I164" s="32"/>
      <c r="J164" s="32"/>
      <c r="K164" s="32" t="str">
        <f>IFERROR(__xludf.DUMMYFUNCTION("""COMPUTED_VALUE"""),"Immune")</f>
        <v>Immune</v>
      </c>
      <c r="L164" s="32"/>
      <c r="M164" s="32"/>
      <c r="N164" s="32"/>
      <c r="O164" s="32"/>
      <c r="P164" s="32"/>
      <c r="Q164" s="32"/>
      <c r="R164" s="32"/>
      <c r="S164" s="32"/>
      <c r="T164" s="32"/>
      <c r="U164" s="32"/>
      <c r="V164" s="32"/>
      <c r="W164" s="32"/>
      <c r="X164" s="32" t="str">
        <f>IFERROR(__xludf.DUMMYFUNCTION("""COMPUTED_VALUE"""),"Immune")</f>
        <v>Immune</v>
      </c>
      <c r="Y164" s="32" t="str">
        <f>IFERROR(__xludf.DUMMYFUNCTION("""COMPUTED_VALUE"""),"Immune")</f>
        <v>Immune</v>
      </c>
      <c r="Z164" s="32"/>
      <c r="AA164" s="32" t="str">
        <f>IFERROR(__xludf.DUMMYFUNCTION("""COMPUTED_VALUE"""),"Immune")</f>
        <v>Immune</v>
      </c>
      <c r="AB164" s="32"/>
      <c r="AC164" s="32"/>
      <c r="AD164" s="32"/>
      <c r="AE164" s="32"/>
      <c r="AF164" s="32"/>
      <c r="AG164" s="32"/>
      <c r="AH164" s="32"/>
      <c r="AI164" s="32"/>
      <c r="AJ164" s="32"/>
      <c r="AK164" s="32"/>
    </row>
    <row r="165">
      <c r="A165" s="32" t="str">
        <f>IFERROR(__xludf.DUMMYFUNCTION("""COMPUTED_VALUE"""),"Flaming Yak")</f>
        <v>Flaming Yak</v>
      </c>
      <c r="B165" s="32">
        <f>IFERROR(__xludf.DUMMYFUNCTION("""COMPUTED_VALUE"""),100.0)</f>
        <v>100</v>
      </c>
      <c r="C165" s="32"/>
      <c r="D165" s="32"/>
      <c r="E165" s="32"/>
      <c r="F165" s="32"/>
      <c r="G165" s="32"/>
      <c r="H165" s="32"/>
      <c r="I165" s="32"/>
      <c r="J165" s="32"/>
      <c r="K165" s="32" t="str">
        <f>IFERROR(__xludf.DUMMYFUNCTION("""COMPUTED_VALUE"""),"Immune")</f>
        <v>Immune</v>
      </c>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row>
    <row r="166">
      <c r="A166" s="32" t="str">
        <f>IFERROR(__xludf.DUMMYFUNCTION("""COMPUTED_VALUE"""),"Ancient Tree Of Flames")</f>
        <v>Ancient Tree Of Flames</v>
      </c>
      <c r="B166" s="32"/>
      <c r="C166" s="32"/>
      <c r="D166" s="32"/>
      <c r="E166" s="32"/>
      <c r="F166" s="32"/>
      <c r="G166" s="32"/>
      <c r="H166" s="32"/>
      <c r="I166" s="32"/>
      <c r="J166" s="32"/>
      <c r="K166" s="32" t="str">
        <f>IFERROR(__xludf.DUMMYFUNCTION("""COMPUTED_VALUE"""),"Immune")</f>
        <v>Immune</v>
      </c>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row>
    <row r="167">
      <c r="A167" s="32" t="str">
        <f>IFERROR(__xludf.DUMMYFUNCTION("""COMPUTED_VALUE"""),"Volcanic Worm")</f>
        <v>Volcanic Worm</v>
      </c>
      <c r="B167" s="32">
        <f>IFERROR(__xludf.DUMMYFUNCTION("""COMPUTED_VALUE"""),100.0)</f>
        <v>100</v>
      </c>
      <c r="C167" s="32"/>
      <c r="D167" s="32"/>
      <c r="E167" s="32"/>
      <c r="F167" s="32"/>
      <c r="G167" s="32"/>
      <c r="H167" s="32"/>
      <c r="I167" s="32"/>
      <c r="J167" s="32"/>
      <c r="K167" s="32" t="str">
        <f>IFERROR(__xludf.DUMMYFUNCTION("""COMPUTED_VALUE"""),"Immune")</f>
        <v>Immune</v>
      </c>
      <c r="L167" s="32"/>
      <c r="M167" s="32"/>
      <c r="N167" s="32"/>
      <c r="O167" s="32"/>
      <c r="P167" s="32"/>
      <c r="Q167" s="32"/>
      <c r="R167" s="32"/>
      <c r="S167" s="32"/>
      <c r="T167" s="32"/>
      <c r="U167" s="32"/>
      <c r="V167" s="32"/>
      <c r="W167" s="32"/>
      <c r="X167" s="32" t="str">
        <f>IFERROR(__xludf.DUMMYFUNCTION("""COMPUTED_VALUE"""),"Immune")</f>
        <v>Immune</v>
      </c>
      <c r="Y167" s="32"/>
      <c r="Z167" s="32"/>
      <c r="AA167" s="32"/>
      <c r="AB167" s="32"/>
      <c r="AC167" s="32"/>
      <c r="AD167" s="32"/>
      <c r="AE167" s="32"/>
      <c r="AF167" s="32"/>
      <c r="AG167" s="32"/>
      <c r="AH167" s="32"/>
      <c r="AI167" s="32"/>
      <c r="AJ167" s="32"/>
      <c r="AK167" s="32"/>
    </row>
    <row r="168">
      <c r="A168" s="32" t="str">
        <f>IFERROR(__xludf.DUMMYFUNCTION("""COMPUTED_VALUE"""),"Lava Tiger")</f>
        <v>Lava Tiger</v>
      </c>
      <c r="B168" s="32">
        <f>IFERROR(__xludf.DUMMYFUNCTION("""COMPUTED_VALUE"""),100.0)</f>
        <v>100</v>
      </c>
      <c r="C168" s="32"/>
      <c r="D168" s="32"/>
      <c r="E168" s="32"/>
      <c r="F168" s="32"/>
      <c r="G168" s="32"/>
      <c r="H168" s="32"/>
      <c r="I168" s="32"/>
      <c r="J168" s="32"/>
      <c r="K168" s="32" t="str">
        <f>IFERROR(__xludf.DUMMYFUNCTION("""COMPUTED_VALUE"""),"Immune")</f>
        <v>Immune</v>
      </c>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row>
    <row r="169">
      <c r="A169" s="32" t="str">
        <f>IFERROR(__xludf.DUMMYFUNCTION("""COMPUTED_VALUE"""),"Dreading Fire Lich")</f>
        <v>Dreading Fire Lich</v>
      </c>
      <c r="B169" s="32">
        <f>IFERROR(__xludf.DUMMYFUNCTION("""COMPUTED_VALUE"""),100.0)</f>
        <v>100</v>
      </c>
      <c r="C169" s="32"/>
      <c r="D169" s="32"/>
      <c r="E169" s="32"/>
      <c r="F169" s="32"/>
      <c r="G169" s="32" t="str">
        <f>IFERROR(__xludf.DUMMYFUNCTION("""COMPUTED_VALUE"""),"Immune")</f>
        <v>Immune</v>
      </c>
      <c r="H169" s="32"/>
      <c r="I169" s="32"/>
      <c r="J169" s="32" t="str">
        <f>IFERROR(__xludf.DUMMYFUNCTION("""COMPUTED_VALUE"""),"Immune")</f>
        <v>Immune</v>
      </c>
      <c r="K169" s="32" t="str">
        <f>IFERROR(__xludf.DUMMYFUNCTION("""COMPUTED_VALUE"""),"Immune")</f>
        <v>Immune</v>
      </c>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row>
    <row r="170">
      <c r="A170" s="32" t="str">
        <f>IFERROR(__xludf.DUMMYFUNCTION("""COMPUTED_VALUE"""),"Ancient Fire Serpent")</f>
        <v>Ancient Fire Serpent</v>
      </c>
      <c r="B170" s="32">
        <f>IFERROR(__xludf.DUMMYFUNCTION("""COMPUTED_VALUE"""),100.0)</f>
        <v>100</v>
      </c>
      <c r="C170" s="32"/>
      <c r="D170" s="32"/>
      <c r="E170" s="32"/>
      <c r="F170" s="32"/>
      <c r="G170" s="32"/>
      <c r="H170" s="32"/>
      <c r="I170" s="32"/>
      <c r="J170" s="32"/>
      <c r="K170" s="32" t="str">
        <f>IFERROR(__xludf.DUMMYFUNCTION("""COMPUTED_VALUE"""),"Immune")</f>
        <v>Immune</v>
      </c>
      <c r="L170" s="32"/>
      <c r="M170" s="32"/>
      <c r="N170" s="32"/>
      <c r="O170" s="32"/>
      <c r="P170" s="32"/>
      <c r="Q170" s="32"/>
      <c r="R170" s="32"/>
      <c r="S170" s="32"/>
      <c r="T170" s="32"/>
      <c r="U170" s="32"/>
      <c r="V170" s="32"/>
      <c r="W170" s="32"/>
      <c r="X170" s="32" t="str">
        <f>IFERROR(__xludf.DUMMYFUNCTION("""COMPUTED_VALUE"""),"Immune")</f>
        <v>Immune</v>
      </c>
      <c r="Y170" s="32"/>
      <c r="Z170" s="32"/>
      <c r="AA170" s="32"/>
      <c r="AB170" s="32"/>
      <c r="AC170" s="32"/>
      <c r="AD170" s="32"/>
      <c r="AE170" s="32"/>
      <c r="AF170" s="32"/>
      <c r="AG170" s="32"/>
      <c r="AH170" s="32"/>
      <c r="AI170" s="32"/>
      <c r="AJ170" s="32"/>
      <c r="AK170" s="32"/>
    </row>
    <row r="171">
      <c r="A171" s="32" t="str">
        <f>IFERROR(__xludf.DUMMYFUNCTION("""COMPUTED_VALUE"""),"Demon Of Heatmore")</f>
        <v>Demon Of Heatmore</v>
      </c>
      <c r="B171" s="32">
        <f>IFERROR(__xludf.DUMMYFUNCTION("""COMPUTED_VALUE"""),100.0)</f>
        <v>100</v>
      </c>
      <c r="C171" s="32"/>
      <c r="D171" s="32"/>
      <c r="E171" s="32"/>
      <c r="F171" s="32"/>
      <c r="G171" s="32" t="str">
        <f>IFERROR(__xludf.DUMMYFUNCTION("""COMPUTED_VALUE"""),"Immune")</f>
        <v>Immune</v>
      </c>
      <c r="H171" s="32" t="str">
        <f>IFERROR(__xludf.DUMMYFUNCTION("""COMPUTED_VALUE"""),"Immune")</f>
        <v>Immune</v>
      </c>
      <c r="I171" s="32"/>
      <c r="J171" s="32"/>
      <c r="K171" s="32" t="str">
        <f>IFERROR(__xludf.DUMMYFUNCTION("""COMPUTED_VALUE"""),"Immune")</f>
        <v>Immune</v>
      </c>
      <c r="L171" s="32"/>
      <c r="M171" s="32"/>
      <c r="N171" s="32"/>
      <c r="O171" s="32"/>
      <c r="P171" s="32"/>
      <c r="Q171" s="32" t="str">
        <f>IFERROR(__xludf.DUMMYFUNCTION("""COMPUTED_VALUE"""),"Immune")</f>
        <v>Immune</v>
      </c>
      <c r="R171" s="32"/>
      <c r="S171" s="32"/>
      <c r="T171" s="32"/>
      <c r="U171" s="32"/>
      <c r="V171" s="32"/>
      <c r="W171" s="32"/>
      <c r="X171" s="32"/>
      <c r="Y171" s="32"/>
      <c r="Z171" s="32"/>
      <c r="AA171" s="32"/>
      <c r="AB171" s="32"/>
      <c r="AC171" s="32"/>
      <c r="AD171" s="32"/>
      <c r="AE171" s="32"/>
      <c r="AF171" s="32"/>
      <c r="AG171" s="32"/>
      <c r="AH171" s="32"/>
      <c r="AI171" s="32"/>
      <c r="AJ171" s="32"/>
      <c r="AK171" s="32"/>
    </row>
    <row r="172">
      <c r="A172" s="32" t="str">
        <f>IFERROR(__xludf.DUMMYFUNCTION("""COMPUTED_VALUE"""),"Ancient Fire Sentinel")</f>
        <v>Ancient Fire Sentinel</v>
      </c>
      <c r="B172" s="32">
        <f>IFERROR(__xludf.DUMMYFUNCTION("""COMPUTED_VALUE"""),100.0)</f>
        <v>100</v>
      </c>
      <c r="C172" s="32"/>
      <c r="D172" s="32"/>
      <c r="E172" s="32"/>
      <c r="F172" s="32"/>
      <c r="G172" s="32"/>
      <c r="H172" s="32"/>
      <c r="I172" s="32"/>
      <c r="J172" s="32"/>
      <c r="K172" s="32" t="str">
        <f>IFERROR(__xludf.DUMMYFUNCTION("""COMPUTED_VALUE"""),"Immune")</f>
        <v>Immune</v>
      </c>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row>
    <row r="173">
      <c r="A173" s="32" t="str">
        <f>IFERROR(__xludf.DUMMYFUNCTION("""COMPUTED_VALUE"""),"Master Sawoogo")</f>
        <v>Master Sawoogo</v>
      </c>
      <c r="B173" s="32" t="str">
        <f>IFERROR(__xludf.DUMMYFUNCTION("""COMPUTED_VALUE"""),"Immune")</f>
        <v>Immune</v>
      </c>
      <c r="C173" s="32" t="str">
        <f>IFERROR(__xludf.DUMMYFUNCTION("""COMPUTED_VALUE"""),"Immune")</f>
        <v>Immune</v>
      </c>
      <c r="D173" s="32"/>
      <c r="E173" s="32"/>
      <c r="F173" s="32"/>
      <c r="G173" s="32"/>
      <c r="H173" s="32"/>
      <c r="I173" s="32"/>
      <c r="J173" s="32"/>
      <c r="K173" s="32" t="str">
        <f>IFERROR(__xludf.DUMMYFUNCTION("""COMPUTED_VALUE"""),"Immune")</f>
        <v>Immune</v>
      </c>
      <c r="L173" s="32"/>
      <c r="M173" s="32"/>
      <c r="N173" s="32"/>
      <c r="O173" s="32"/>
      <c r="P173" s="32"/>
      <c r="Q173" s="32"/>
      <c r="R173" s="32"/>
      <c r="S173" s="32"/>
      <c r="T173" s="32"/>
      <c r="U173" s="32"/>
      <c r="V173" s="32"/>
      <c r="W173" s="32" t="str">
        <f>IFERROR(__xludf.DUMMYFUNCTION("""COMPUTED_VALUE"""),"Immune")</f>
        <v>Immune</v>
      </c>
      <c r="X173" s="32" t="str">
        <f>IFERROR(__xludf.DUMMYFUNCTION("""COMPUTED_VALUE"""),"Immune")</f>
        <v>Immune</v>
      </c>
      <c r="Y173" s="32" t="str">
        <f>IFERROR(__xludf.DUMMYFUNCTION("""COMPUTED_VALUE"""),"Immune")</f>
        <v>Immune</v>
      </c>
      <c r="Z173" s="32"/>
      <c r="AA173" s="32"/>
      <c r="AB173" s="32"/>
      <c r="AC173" s="32"/>
      <c r="AD173" s="32"/>
      <c r="AE173" s="32"/>
      <c r="AF173" s="32"/>
      <c r="AG173" s="32"/>
      <c r="AH173" s="32"/>
      <c r="AI173" s="32"/>
      <c r="AJ173" s="32"/>
      <c r="AK173" s="32"/>
    </row>
    <row r="174">
      <c r="A174" s="32" t="str">
        <f>IFERROR(__xludf.DUMMYFUNCTION("""COMPUTED_VALUE"""),"Ancient Stone Guard")</f>
        <v>Ancient Stone Guard</v>
      </c>
      <c r="B174" s="32"/>
      <c r="C174" s="32"/>
      <c r="D174" s="32"/>
      <c r="E174" s="32" t="str">
        <f>IFERROR(__xludf.DUMMYFUNCTION("""COMPUTED_VALUE"""),"Immune")</f>
        <v>Immune</v>
      </c>
      <c r="F174" s="32">
        <f>IFERROR(__xludf.DUMMYFUNCTION("""COMPUTED_VALUE"""),100.0)</f>
        <v>100</v>
      </c>
      <c r="G174" s="32"/>
      <c r="H174" s="32"/>
      <c r="I174" s="32" t="str">
        <f>IFERROR(__xludf.DUMMYFUNCTION("""COMPUTED_VALUE"""),"Immune")</f>
        <v>Immune</v>
      </c>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row>
    <row r="175">
      <c r="A175" s="32" t="str">
        <f>IFERROR(__xludf.DUMMYFUNCTION("""COMPUTED_VALUE"""),"Cursed Samurai")</f>
        <v>Cursed Samurai</v>
      </c>
      <c r="B175" s="32"/>
      <c r="C175" s="32"/>
      <c r="D175" s="32"/>
      <c r="E175" s="32"/>
      <c r="F175" s="32"/>
      <c r="G175" s="32" t="str">
        <f>IFERROR(__xludf.DUMMYFUNCTION("""COMPUTED_VALUE"""),"Immune")</f>
        <v>Immune</v>
      </c>
      <c r="H175" s="32"/>
      <c r="I175" s="32"/>
      <c r="J175" s="32"/>
      <c r="K175" s="32"/>
      <c r="L175" s="32"/>
      <c r="M175" s="32"/>
      <c r="N175" s="32"/>
      <c r="O175" s="32"/>
      <c r="P175" s="32"/>
      <c r="Q175" s="32" t="str">
        <f>IFERROR(__xludf.DUMMYFUNCTION("""COMPUTED_VALUE"""),"Immune")</f>
        <v>Immune</v>
      </c>
      <c r="R175" s="32"/>
      <c r="S175" s="32"/>
      <c r="T175" s="32" t="str">
        <f>IFERROR(__xludf.DUMMYFUNCTION("""COMPUTED_VALUE"""),"Immune")</f>
        <v>Immune</v>
      </c>
      <c r="U175" s="32"/>
      <c r="V175" s="32"/>
      <c r="W175" s="32"/>
      <c r="X175" s="32"/>
      <c r="Y175" s="32"/>
      <c r="Z175" s="32"/>
      <c r="AA175" s="32"/>
      <c r="AB175" s="32"/>
      <c r="AC175" s="32"/>
      <c r="AD175" s="32"/>
      <c r="AE175" s="32"/>
      <c r="AF175" s="32"/>
      <c r="AG175" s="32"/>
      <c r="AH175" s="32"/>
      <c r="AI175" s="32"/>
      <c r="AJ175" s="32"/>
      <c r="AK175" s="32"/>
    </row>
    <row r="176">
      <c r="A176" s="32" t="str">
        <f>IFERROR(__xludf.DUMMYFUNCTION("""COMPUTED_VALUE"""),"Cursed Ronin")</f>
        <v>Cursed Ronin</v>
      </c>
      <c r="B176" s="32"/>
      <c r="C176" s="32"/>
      <c r="D176" s="32"/>
      <c r="E176" s="32"/>
      <c r="F176" s="32"/>
      <c r="G176" s="32" t="str">
        <f>IFERROR(__xludf.DUMMYFUNCTION("""COMPUTED_VALUE"""),"Immune")</f>
        <v>Immune</v>
      </c>
      <c r="H176" s="32"/>
      <c r="I176" s="32"/>
      <c r="J176" s="32"/>
      <c r="K176" s="32"/>
      <c r="L176" s="32"/>
      <c r="M176" s="32"/>
      <c r="N176" s="32"/>
      <c r="O176" s="32"/>
      <c r="P176" s="32"/>
      <c r="Q176" s="32" t="str">
        <f>IFERROR(__xludf.DUMMYFUNCTION("""COMPUTED_VALUE"""),"Immune")</f>
        <v>Immune</v>
      </c>
      <c r="R176" s="32"/>
      <c r="S176" s="32"/>
      <c r="T176" s="32" t="str">
        <f>IFERROR(__xludf.DUMMYFUNCTION("""COMPUTED_VALUE"""),"Immune")</f>
        <v>Immune</v>
      </c>
      <c r="U176" s="32"/>
      <c r="V176" s="32"/>
      <c r="W176" s="32"/>
      <c r="X176" s="32" t="str">
        <f>IFERROR(__xludf.DUMMYFUNCTION("""COMPUTED_VALUE"""),"Immune")</f>
        <v>Immune</v>
      </c>
      <c r="Y176" s="32" t="str">
        <f>IFERROR(__xludf.DUMMYFUNCTION("""COMPUTED_VALUE"""),"Immune")</f>
        <v>Immune</v>
      </c>
      <c r="Z176" s="32"/>
      <c r="AA176" s="32" t="str">
        <f>IFERROR(__xludf.DUMMYFUNCTION("""COMPUTED_VALUE"""),"Immune")</f>
        <v>Immune</v>
      </c>
      <c r="AB176" s="32"/>
      <c r="AC176" s="32"/>
      <c r="AD176" s="32"/>
      <c r="AE176" s="32"/>
      <c r="AF176" s="32"/>
      <c r="AG176" s="32"/>
      <c r="AH176" s="32"/>
      <c r="AI176" s="32"/>
      <c r="AJ176" s="32"/>
      <c r="AK176" s="32"/>
    </row>
    <row r="177">
      <c r="A177" s="32" t="str">
        <f>IFERROR(__xludf.DUMMYFUNCTION("""COMPUTED_VALUE"""),"Blood Monk")</f>
        <v>Blood Monk</v>
      </c>
      <c r="B177" s="32"/>
      <c r="C177" s="32"/>
      <c r="D177" s="32"/>
      <c r="E177" s="32"/>
      <c r="F177" s="32"/>
      <c r="G177" s="32" t="str">
        <f>IFERROR(__xludf.DUMMYFUNCTION("""COMPUTED_VALUE"""),"Immune")</f>
        <v>Immune</v>
      </c>
      <c r="H177" s="32"/>
      <c r="I177" s="32"/>
      <c r="J177" s="32"/>
      <c r="K177" s="32"/>
      <c r="L177" s="32"/>
      <c r="M177" s="32"/>
      <c r="N177" s="32"/>
      <c r="O177" s="32"/>
      <c r="P177" s="32"/>
      <c r="Q177" s="32"/>
      <c r="R177" s="32"/>
      <c r="S177" s="32"/>
      <c r="T177" s="32" t="str">
        <f>IFERROR(__xludf.DUMMYFUNCTION("""COMPUTED_VALUE"""),"Immune")</f>
        <v>Immune</v>
      </c>
      <c r="U177" s="32"/>
      <c r="V177" s="32"/>
      <c r="W177" s="32"/>
      <c r="X177" s="32"/>
      <c r="Y177" s="32"/>
      <c r="Z177" s="32"/>
      <c r="AA177" s="32"/>
      <c r="AB177" s="32"/>
      <c r="AC177" s="32"/>
      <c r="AD177" s="32"/>
      <c r="AE177" s="32"/>
      <c r="AF177" s="32"/>
      <c r="AG177" s="32"/>
      <c r="AH177" s="32"/>
      <c r="AI177" s="32"/>
      <c r="AJ177" s="32"/>
      <c r="AK177" s="32"/>
    </row>
    <row r="178">
      <c r="A178" s="32" t="str">
        <f>IFERROR(__xludf.DUMMYFUNCTION("""COMPUTED_VALUE"""),"Master Monk Warrior")</f>
        <v>Master Monk Warrior</v>
      </c>
      <c r="B178" s="32"/>
      <c r="C178" s="32"/>
      <c r="D178" s="32"/>
      <c r="E178" s="32"/>
      <c r="F178" s="32">
        <f>IFERROR(__xludf.DUMMYFUNCTION("""COMPUTED_VALUE"""),100.0)</f>
        <v>100</v>
      </c>
      <c r="G178" s="32"/>
      <c r="H178" s="32"/>
      <c r="I178" s="32">
        <f>IFERROR(__xludf.DUMMYFUNCTION("""COMPUTED_VALUE"""),100.0)</f>
        <v>100</v>
      </c>
      <c r="J178" s="32"/>
      <c r="K178" s="32"/>
      <c r="L178" s="32"/>
      <c r="M178" s="32"/>
      <c r="N178" s="32"/>
      <c r="O178" s="32"/>
      <c r="P178" s="32"/>
      <c r="Q178" s="32"/>
      <c r="R178" s="32"/>
      <c r="S178" s="32"/>
      <c r="T178" s="32" t="str">
        <f>IFERROR(__xludf.DUMMYFUNCTION("""COMPUTED_VALUE"""),"Immune")</f>
        <v>Immune</v>
      </c>
      <c r="U178" s="32"/>
      <c r="V178" s="32"/>
      <c r="W178" s="32"/>
      <c r="X178" s="32"/>
      <c r="Y178" s="32"/>
      <c r="Z178" s="32"/>
      <c r="AA178" s="32"/>
      <c r="AB178" s="32"/>
      <c r="AC178" s="32"/>
      <c r="AD178" s="32"/>
      <c r="AE178" s="32"/>
      <c r="AF178" s="32"/>
      <c r="AG178" s="32"/>
      <c r="AH178" s="32"/>
      <c r="AI178" s="32"/>
      <c r="AJ178" s="32"/>
      <c r="AK178" s="32"/>
    </row>
    <row r="179">
      <c r="A179" s="32" t="str">
        <f>IFERROR(__xludf.DUMMYFUNCTION("""COMPUTED_VALUE"""),"Elder Monk Kenyu")</f>
        <v>Elder Monk Kenyu</v>
      </c>
      <c r="B179" s="32"/>
      <c r="C179" s="32"/>
      <c r="D179" s="32"/>
      <c r="E179" s="32"/>
      <c r="F179" s="32" t="str">
        <f>IFERROR(__xludf.DUMMYFUNCTION("""COMPUTED_VALUE"""),"Immune")</f>
        <v>Immune</v>
      </c>
      <c r="G179" s="32"/>
      <c r="H179" s="32"/>
      <c r="I179" s="32" t="str">
        <f>IFERROR(__xludf.DUMMYFUNCTION("""COMPUTED_VALUE"""),"Immune")</f>
        <v>Immune</v>
      </c>
      <c r="J179" s="32"/>
      <c r="K179" s="32"/>
      <c r="L179" s="32"/>
      <c r="M179" s="32"/>
      <c r="N179" s="32"/>
      <c r="O179" s="32"/>
      <c r="P179" s="32"/>
      <c r="Q179" s="32"/>
      <c r="R179" s="32"/>
      <c r="S179" s="32"/>
      <c r="T179" s="32" t="str">
        <f>IFERROR(__xludf.DUMMYFUNCTION("""COMPUTED_VALUE"""),"Immune")</f>
        <v>Immune</v>
      </c>
      <c r="U179" s="32"/>
      <c r="V179" s="32"/>
      <c r="W179" s="32" t="str">
        <f>IFERROR(__xludf.DUMMYFUNCTION("""COMPUTED_VALUE"""),"Immune")</f>
        <v>Immune</v>
      </c>
      <c r="X179" s="32" t="str">
        <f>IFERROR(__xludf.DUMMYFUNCTION("""COMPUTED_VALUE"""),"Immune")</f>
        <v>Immune</v>
      </c>
      <c r="Y179" s="32" t="str">
        <f>IFERROR(__xludf.DUMMYFUNCTION("""COMPUTED_VALUE"""),"Immune")</f>
        <v>Immune</v>
      </c>
      <c r="Z179" s="32"/>
      <c r="AA179" s="32"/>
      <c r="AB179" s="32"/>
      <c r="AC179" s="32"/>
      <c r="AD179" s="32"/>
      <c r="AE179" s="32"/>
      <c r="AF179" s="32"/>
      <c r="AG179" s="32"/>
      <c r="AH179" s="32"/>
      <c r="AI179" s="32"/>
      <c r="AJ179" s="32"/>
      <c r="AK179" s="32"/>
    </row>
    <row r="180">
      <c r="A180" s="32" t="str">
        <f>IFERROR(__xludf.DUMMYFUNCTION("""COMPUTED_VALUE"""),"Robotic Guardian of the 5th, No. 1")</f>
        <v>Robotic Guardian of the 5th, No. 1</v>
      </c>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t="str">
        <f>IFERROR(__xludf.DUMMYFUNCTION("""COMPUTED_VALUE"""),"Immune")</f>
        <v>Immune</v>
      </c>
      <c r="AA180" s="32"/>
      <c r="AB180" s="32"/>
      <c r="AC180" s="32"/>
      <c r="AD180" s="32"/>
      <c r="AE180" s="32"/>
      <c r="AF180" s="32"/>
      <c r="AG180" s="32"/>
      <c r="AH180" s="32"/>
      <c r="AI180" s="32"/>
      <c r="AJ180" s="32"/>
      <c r="AK180" s="32"/>
    </row>
    <row r="181">
      <c r="A181" s="32" t="str">
        <f>IFERROR(__xludf.DUMMYFUNCTION("""COMPUTED_VALUE"""),"Robotic Guardian of the 5th, No. 2")</f>
        <v>Robotic Guardian of the 5th, No. 2</v>
      </c>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t="str">
        <f>IFERROR(__xludf.DUMMYFUNCTION("""COMPUTED_VALUE"""),"Immune")</f>
        <v>Immune</v>
      </c>
      <c r="AA181" s="32"/>
      <c r="AB181" s="32"/>
      <c r="AC181" s="32"/>
      <c r="AD181" s="32"/>
      <c r="AE181" s="32"/>
      <c r="AF181" s="32"/>
      <c r="AG181" s="32"/>
      <c r="AH181" s="32"/>
      <c r="AI181" s="32"/>
      <c r="AJ181" s="32"/>
      <c r="AK181" s="32"/>
    </row>
    <row r="182">
      <c r="A182" s="32" t="str">
        <f>IFERROR(__xludf.DUMMYFUNCTION("""COMPUTED_VALUE"""),"Robotic Guardian of the 5th, No. 3")</f>
        <v>Robotic Guardian of the 5th, No. 3</v>
      </c>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t="str">
        <f>IFERROR(__xludf.DUMMYFUNCTION("""COMPUTED_VALUE"""),"Immune")</f>
        <v>Immune</v>
      </c>
      <c r="AA182" s="32"/>
      <c r="AB182" s="32"/>
      <c r="AC182" s="32"/>
      <c r="AD182" s="32"/>
      <c r="AE182" s="32"/>
      <c r="AF182" s="32"/>
      <c r="AG182" s="32"/>
      <c r="AH182" s="32"/>
      <c r="AI182" s="32"/>
      <c r="AJ182" s="32"/>
      <c r="AK182" s="32"/>
    </row>
    <row r="183">
      <c r="A183" s="32" t="str">
        <f>IFERROR(__xludf.DUMMYFUNCTION("""COMPUTED_VALUE"""),"Robotic Guardian of the 5th, No. 4")</f>
        <v>Robotic Guardian of the 5th, No. 4</v>
      </c>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t="str">
        <f>IFERROR(__xludf.DUMMYFUNCTION("""COMPUTED_VALUE"""),"Immune")</f>
        <v>Immune</v>
      </c>
      <c r="AA183" s="32"/>
      <c r="AB183" s="32"/>
      <c r="AC183" s="32"/>
      <c r="AD183" s="32"/>
      <c r="AE183" s="32"/>
      <c r="AF183" s="32"/>
      <c r="AG183" s="32"/>
      <c r="AH183" s="32"/>
      <c r="AI183" s="32"/>
      <c r="AJ183" s="32"/>
      <c r="AK183" s="32"/>
    </row>
    <row r="184">
      <c r="A184" s="32" t="str">
        <f>IFERROR(__xludf.DUMMYFUNCTION("""COMPUTED_VALUE"""),"Skilled Robot Soldier (King Of Mekanas Companion)")</f>
        <v>Skilled Robot Soldier (King Of Mekanas Companion)</v>
      </c>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t="str">
        <f>IFERROR(__xludf.DUMMYFUNCTION("""COMPUTED_VALUE"""),"Immune")</f>
        <v>Immune</v>
      </c>
      <c r="AA184" s="32"/>
      <c r="AB184" s="32"/>
      <c r="AC184" s="32"/>
      <c r="AD184" s="32"/>
      <c r="AE184" s="32"/>
      <c r="AF184" s="32"/>
      <c r="AG184" s="32"/>
      <c r="AH184" s="32"/>
      <c r="AI184" s="32"/>
      <c r="AJ184" s="32"/>
      <c r="AK184" s="32"/>
    </row>
    <row r="185">
      <c r="A185" s="32" t="str">
        <f>IFERROR(__xludf.DUMMYFUNCTION("""COMPUTED_VALUE"""),"King Of Mekana (Robotic Guardian of the 5th, No. 5)")</f>
        <v>King Of Mekana (Robotic Guardian of the 5th, No. 5)</v>
      </c>
      <c r="B185" s="32"/>
      <c r="C185" s="32"/>
      <c r="D185" s="32"/>
      <c r="E185" s="32"/>
      <c r="F185" s="32"/>
      <c r="G185" s="32"/>
      <c r="H185" s="32"/>
      <c r="I185" s="32"/>
      <c r="J185" s="32"/>
      <c r="K185" s="32"/>
      <c r="L185" s="32"/>
      <c r="M185" s="32"/>
      <c r="N185" s="32"/>
      <c r="O185" s="32"/>
      <c r="P185" s="32"/>
      <c r="Q185" s="32"/>
      <c r="R185" s="32"/>
      <c r="S185" s="32"/>
      <c r="T185" s="32"/>
      <c r="U185" s="32"/>
      <c r="V185" s="32"/>
      <c r="W185" s="32" t="str">
        <f>IFERROR(__xludf.DUMMYFUNCTION("""COMPUTED_VALUE"""),"Immune")</f>
        <v>Immune</v>
      </c>
      <c r="X185" s="32" t="str">
        <f>IFERROR(__xludf.DUMMYFUNCTION("""COMPUTED_VALUE"""),"Immune")</f>
        <v>Immune</v>
      </c>
      <c r="Y185" s="32"/>
      <c r="Z185" s="32" t="str">
        <f>IFERROR(__xludf.DUMMYFUNCTION("""COMPUTED_VALUE"""),"Immune")</f>
        <v>Immune</v>
      </c>
      <c r="AA185" s="32"/>
      <c r="AB185" s="32"/>
      <c r="AC185" s="32"/>
      <c r="AD185" s="32"/>
      <c r="AE185" s="32"/>
      <c r="AF185" s="32"/>
      <c r="AG185" s="32"/>
      <c r="AH185" s="32"/>
      <c r="AI185" s="32"/>
      <c r="AJ185" s="32"/>
      <c r="AK185" s="32"/>
    </row>
    <row r="186">
      <c r="A186" s="32" t="str">
        <f>IFERROR(__xludf.DUMMYFUNCTION("""COMPUTED_VALUE"""),"Vampire Soldier")</f>
        <v>Vampire Soldier</v>
      </c>
      <c r="B186" s="32"/>
      <c r="C186" s="32"/>
      <c r="D186" s="32"/>
      <c r="E186" s="32"/>
      <c r="F186" s="32"/>
      <c r="G186" s="32" t="str">
        <f>IFERROR(__xludf.DUMMYFUNCTION("""COMPUTED_VALUE"""),"Immune")</f>
        <v>Immune</v>
      </c>
      <c r="H186" s="32"/>
      <c r="I186" s="32"/>
      <c r="J186" s="32" t="str">
        <f>IFERROR(__xludf.DUMMYFUNCTION("""COMPUTED_VALUE"""),"Immune")</f>
        <v>Immune</v>
      </c>
      <c r="K186" s="32"/>
      <c r="L186" s="32"/>
      <c r="M186" s="32"/>
      <c r="N186" s="32"/>
      <c r="O186" s="32"/>
      <c r="P186" s="32"/>
      <c r="Q186" s="32"/>
      <c r="R186" s="32" t="str">
        <f>IFERROR(__xludf.DUMMYFUNCTION("""COMPUTED_VALUE"""),"Immune")</f>
        <v>Immune</v>
      </c>
      <c r="S186" s="32"/>
      <c r="T186" s="32"/>
      <c r="U186" s="32"/>
      <c r="V186" s="32"/>
      <c r="W186" s="32"/>
      <c r="X186" s="32"/>
      <c r="Y186" s="32"/>
      <c r="Z186" s="32"/>
      <c r="AA186" s="32"/>
      <c r="AB186" s="32"/>
      <c r="AC186" s="32"/>
      <c r="AD186" s="32"/>
      <c r="AE186" s="32"/>
      <c r="AF186" s="32"/>
      <c r="AG186" s="32"/>
      <c r="AH186" s="32"/>
      <c r="AI186" s="32"/>
      <c r="AJ186" s="32"/>
      <c r="AK186" s="32"/>
    </row>
    <row r="187">
      <c r="A187" s="32" t="str">
        <f>IFERROR(__xludf.DUMMYFUNCTION("""COMPUTED_VALUE"""),"Demon ")</f>
        <v>Demon </v>
      </c>
      <c r="B187" s="32"/>
      <c r="C187" s="32"/>
      <c r="D187" s="32"/>
      <c r="E187" s="32"/>
      <c r="F187" s="32"/>
      <c r="G187" s="32" t="str">
        <f>IFERROR(__xludf.DUMMYFUNCTION("""COMPUTED_VALUE"""),"Immune")</f>
        <v>Immune</v>
      </c>
      <c r="H187" s="32" t="str">
        <f>IFERROR(__xludf.DUMMYFUNCTION("""COMPUTED_VALUE"""),"Immune")</f>
        <v>Immune</v>
      </c>
      <c r="I187" s="32"/>
      <c r="J187" s="32" t="str">
        <f>IFERROR(__xludf.DUMMYFUNCTION("""COMPUTED_VALUE"""),"Immune")</f>
        <v>Immune</v>
      </c>
      <c r="K187" s="32"/>
      <c r="L187" s="32"/>
      <c r="M187" s="32"/>
      <c r="N187" s="32"/>
      <c r="O187" s="32"/>
      <c r="P187" s="32"/>
      <c r="Q187" s="32"/>
      <c r="R187" s="32"/>
      <c r="S187" s="32"/>
      <c r="T187" s="32"/>
      <c r="U187" s="32"/>
      <c r="V187" s="32"/>
      <c r="W187" s="32"/>
      <c r="X187" s="32"/>
      <c r="Y187" s="32"/>
      <c r="Z187" s="32"/>
      <c r="AA187" s="32" t="str">
        <f>IFERROR(__xludf.DUMMYFUNCTION("""COMPUTED_VALUE"""),"Immune")</f>
        <v>Immune</v>
      </c>
      <c r="AB187" s="32"/>
      <c r="AC187" s="32"/>
      <c r="AD187" s="32"/>
      <c r="AE187" s="32"/>
      <c r="AF187" s="32"/>
      <c r="AG187" s="32"/>
      <c r="AH187" s="32"/>
      <c r="AI187" s="32"/>
      <c r="AJ187" s="32"/>
      <c r="AK187" s="32"/>
    </row>
    <row r="188">
      <c r="A188" s="32" t="str">
        <f>IFERROR(__xludf.DUMMYFUNCTION("""COMPUTED_VALUE"""),"Deimos")</f>
        <v>Deimos</v>
      </c>
      <c r="B188" s="32"/>
      <c r="C188" s="32"/>
      <c r="D188" s="32"/>
      <c r="E188" s="32"/>
      <c r="F188" s="32"/>
      <c r="G188" s="32" t="str">
        <f>IFERROR(__xludf.DUMMYFUNCTION("""COMPUTED_VALUE"""),"Immune")</f>
        <v>Immune</v>
      </c>
      <c r="H188" s="32" t="str">
        <f>IFERROR(__xludf.DUMMYFUNCTION("""COMPUTED_VALUE"""),"Immune")</f>
        <v>Immune</v>
      </c>
      <c r="I188" s="32"/>
      <c r="J188" s="32" t="str">
        <f>IFERROR(__xludf.DUMMYFUNCTION("""COMPUTED_VALUE"""),"Immune")</f>
        <v>Immune</v>
      </c>
      <c r="K188" s="32"/>
      <c r="L188" s="32"/>
      <c r="M188" s="32"/>
      <c r="N188" s="32"/>
      <c r="O188" s="32"/>
      <c r="P188" s="32"/>
      <c r="Q188" s="32" t="str">
        <f>IFERROR(__xludf.DUMMYFUNCTION("""COMPUTED_VALUE"""),"Immune")</f>
        <v>Immune</v>
      </c>
      <c r="R188" s="32" t="str">
        <f>IFERROR(__xludf.DUMMYFUNCTION("""COMPUTED_VALUE"""),"Immune")</f>
        <v>Immune</v>
      </c>
      <c r="S188" s="32"/>
      <c r="T188" s="32"/>
      <c r="U188" s="32"/>
      <c r="V188" s="32"/>
      <c r="W188" s="32"/>
      <c r="X188" s="32" t="str">
        <f>IFERROR(__xludf.DUMMYFUNCTION("""COMPUTED_VALUE"""),"Immune")</f>
        <v>Immune</v>
      </c>
      <c r="Y188" s="32" t="str">
        <f>IFERROR(__xludf.DUMMYFUNCTION("""COMPUTED_VALUE"""),"Immune")</f>
        <v>Immune</v>
      </c>
      <c r="Z188" s="32"/>
      <c r="AA188" s="32" t="str">
        <f>IFERROR(__xludf.DUMMYFUNCTION("""COMPUTED_VALUE"""),"Immune")</f>
        <v>Immune</v>
      </c>
      <c r="AB188" s="32"/>
      <c r="AC188" s="32"/>
      <c r="AD188" s="32"/>
      <c r="AE188" s="32"/>
      <c r="AF188" s="32"/>
      <c r="AG188" s="32"/>
      <c r="AH188" s="32"/>
      <c r="AI188" s="32"/>
      <c r="AJ188" s="32"/>
      <c r="AK188" s="32"/>
    </row>
    <row r="189">
      <c r="A189" s="32" t="str">
        <f>IFERROR(__xludf.DUMMYFUNCTION("""COMPUTED_VALUE"""),"Hellmore The Soul keeper")</f>
        <v>Hellmore The Soul keeper</v>
      </c>
      <c r="B189" s="32"/>
      <c r="C189" s="32"/>
      <c r="D189" s="32"/>
      <c r="E189" s="32"/>
      <c r="F189" s="32"/>
      <c r="G189" s="32" t="str">
        <f>IFERROR(__xludf.DUMMYFUNCTION("""COMPUTED_VALUE"""),"Immune")</f>
        <v>Immune</v>
      </c>
      <c r="H189" s="32" t="str">
        <f>IFERROR(__xludf.DUMMYFUNCTION("""COMPUTED_VALUE"""),"Immune")</f>
        <v>Immune</v>
      </c>
      <c r="I189" s="32"/>
      <c r="J189" s="32" t="str">
        <f>IFERROR(__xludf.DUMMYFUNCTION("""COMPUTED_VALUE"""),"Immune")</f>
        <v>Immune</v>
      </c>
      <c r="K189" s="32"/>
      <c r="L189" s="32"/>
      <c r="M189" s="32"/>
      <c r="N189" s="32"/>
      <c r="O189" s="32"/>
      <c r="P189" s="32"/>
      <c r="Q189" s="32" t="str">
        <f>IFERROR(__xludf.DUMMYFUNCTION("""COMPUTED_VALUE"""),"Immune")</f>
        <v>Immune</v>
      </c>
      <c r="R189" s="32" t="str">
        <f>IFERROR(__xludf.DUMMYFUNCTION("""COMPUTED_VALUE"""),"Immune")</f>
        <v>Immune</v>
      </c>
      <c r="S189" s="32"/>
      <c r="T189" s="32"/>
      <c r="U189" s="32"/>
      <c r="V189" s="32"/>
      <c r="W189" s="32"/>
      <c r="X189" s="32" t="str">
        <f>IFERROR(__xludf.DUMMYFUNCTION("""COMPUTED_VALUE"""),"Immune")</f>
        <v>Immune</v>
      </c>
      <c r="Y189" s="32" t="str">
        <f>IFERROR(__xludf.DUMMYFUNCTION("""COMPUTED_VALUE"""),"Immune")</f>
        <v>Immune</v>
      </c>
      <c r="Z189" s="32"/>
      <c r="AA189" s="32" t="str">
        <f>IFERROR(__xludf.DUMMYFUNCTION("""COMPUTED_VALUE"""),"Immune")</f>
        <v>Immune</v>
      </c>
      <c r="AB189" s="32"/>
      <c r="AC189" s="32"/>
      <c r="AD189" s="32"/>
      <c r="AE189" s="32"/>
      <c r="AF189" s="32"/>
      <c r="AG189" s="32"/>
      <c r="AH189" s="32"/>
      <c r="AI189" s="32"/>
      <c r="AJ189" s="32"/>
      <c r="AK189" s="32"/>
    </row>
    <row r="190">
      <c r="A190" s="32" t="str">
        <f>IFERROR(__xludf.DUMMYFUNCTION("""COMPUTED_VALUE"""),"Lava Lizard")</f>
        <v>Lava Lizard</v>
      </c>
      <c r="B190" s="32" t="str">
        <f>IFERROR(__xludf.DUMMYFUNCTION("""COMPUTED_VALUE"""),"Immune")</f>
        <v>Immune</v>
      </c>
      <c r="C190" s="32"/>
      <c r="D190" s="32"/>
      <c r="E190" s="32"/>
      <c r="F190" s="32"/>
      <c r="G190" s="32">
        <f>IFERROR(__xludf.DUMMYFUNCTION("""COMPUTED_VALUE"""),100.0)</f>
        <v>100</v>
      </c>
      <c r="H190" s="32"/>
      <c r="I190" s="32"/>
      <c r="J190" s="32"/>
      <c r="K190" s="32" t="str">
        <f>IFERROR(__xludf.DUMMYFUNCTION("""COMPUTED_VALUE"""),"Immune")</f>
        <v>Immune</v>
      </c>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row>
    <row r="191">
      <c r="A191" s="32" t="str">
        <f>IFERROR(__xludf.DUMMYFUNCTION("""COMPUTED_VALUE"""),"Volcanic Lava Dragon")</f>
        <v>Volcanic Lava Dragon</v>
      </c>
      <c r="B191" s="32" t="str">
        <f>IFERROR(__xludf.DUMMYFUNCTION("""COMPUTED_VALUE"""),"Immune")</f>
        <v>Immune</v>
      </c>
      <c r="C191" s="32"/>
      <c r="D191" s="32"/>
      <c r="E191" s="32"/>
      <c r="F191" s="32"/>
      <c r="G191" s="32"/>
      <c r="H191" s="32"/>
      <c r="I191" s="32"/>
      <c r="J191" s="32"/>
      <c r="K191" s="32"/>
      <c r="L191" s="32"/>
      <c r="M191" s="32"/>
      <c r="N191" s="32"/>
      <c r="O191" s="32"/>
      <c r="P191" s="32"/>
      <c r="Q191" s="32"/>
      <c r="R191" s="32"/>
      <c r="S191" s="32"/>
      <c r="T191" s="32"/>
      <c r="U191" s="32"/>
      <c r="V191" s="32"/>
      <c r="W191" s="32"/>
      <c r="X191" s="32" t="str">
        <f>IFERROR(__xludf.DUMMYFUNCTION("""COMPUTED_VALUE"""),"Immune")</f>
        <v>Immune</v>
      </c>
      <c r="Y191" s="32" t="str">
        <f>IFERROR(__xludf.DUMMYFUNCTION("""COMPUTED_VALUE"""),"Immune")</f>
        <v>Immune</v>
      </c>
      <c r="Z191" s="32"/>
      <c r="AA191" s="32" t="str">
        <f>IFERROR(__xludf.DUMMYFUNCTION("""COMPUTED_VALUE"""),"Immune")</f>
        <v>Immune</v>
      </c>
      <c r="AB191" s="32"/>
      <c r="AC191" s="32"/>
      <c r="AD191" s="32"/>
      <c r="AE191" s="32"/>
      <c r="AF191" s="32"/>
      <c r="AG191" s="32"/>
      <c r="AH191" s="32"/>
      <c r="AI191" s="32"/>
      <c r="AJ191" s="32"/>
      <c r="AK191" s="32"/>
    </row>
    <row r="192">
      <c r="A192" s="32" t="str">
        <f>IFERROR(__xludf.DUMMYFUNCTION("""COMPUTED_VALUE"""),"Volcanic Serpent")</f>
        <v>Volcanic Serpent</v>
      </c>
      <c r="B192" s="32" t="str">
        <f>IFERROR(__xludf.DUMMYFUNCTION("""COMPUTED_VALUE"""),"Immune")</f>
        <v>Immune</v>
      </c>
      <c r="C192" s="32"/>
      <c r="D192" s="32"/>
      <c r="E192" s="32"/>
      <c r="F192" s="32"/>
      <c r="G192" s="32"/>
      <c r="H192" s="32"/>
      <c r="I192" s="32"/>
      <c r="J192" s="32"/>
      <c r="K192" s="32"/>
      <c r="L192" s="32"/>
      <c r="M192" s="32"/>
      <c r="N192" s="32"/>
      <c r="O192" s="32"/>
      <c r="P192" s="32"/>
      <c r="Q192" s="32"/>
      <c r="R192" s="32"/>
      <c r="S192" s="32"/>
      <c r="T192" s="32"/>
      <c r="U192" s="32"/>
      <c r="V192" s="32"/>
      <c r="W192" s="32"/>
      <c r="X192" s="32" t="str">
        <f>IFERROR(__xludf.DUMMYFUNCTION("""COMPUTED_VALUE"""),"Immune")</f>
        <v>Immune</v>
      </c>
      <c r="Y192" s="32" t="str">
        <f>IFERROR(__xludf.DUMMYFUNCTION("""COMPUTED_VALUE"""),"Immune")</f>
        <v>Immune</v>
      </c>
      <c r="Z192" s="32"/>
      <c r="AA192" s="32" t="str">
        <f>IFERROR(__xludf.DUMMYFUNCTION("""COMPUTED_VALUE"""),"Immune")</f>
        <v>Immune</v>
      </c>
      <c r="AB192" s="32"/>
      <c r="AC192" s="32"/>
      <c r="AD192" s="32"/>
      <c r="AE192" s="32"/>
      <c r="AF192" s="32"/>
      <c r="AG192" s="32"/>
      <c r="AH192" s="32"/>
      <c r="AI192" s="32"/>
      <c r="AJ192" s="32"/>
      <c r="AK192" s="32"/>
    </row>
    <row r="193">
      <c r="A193" s="32" t="str">
        <f>IFERROR(__xludf.DUMMYFUNCTION("""COMPUTED_VALUE"""),"Lava Panther")</f>
        <v>Lava Panther</v>
      </c>
      <c r="B193" s="32" t="str">
        <f>IFERROR(__xludf.DUMMYFUNCTION("""COMPUTED_VALUE"""),"Immune")</f>
        <v>Immune</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row>
    <row r="194">
      <c r="A194" s="32" t="str">
        <f>IFERROR(__xludf.DUMMYFUNCTION("""COMPUTED_VALUE"""),"Grand Dark &amp; Fire Mage")</f>
        <v>Grand Dark &amp; Fire Mage</v>
      </c>
      <c r="B194" s="32"/>
      <c r="C194" s="32"/>
      <c r="D194" s="32"/>
      <c r="E194" s="32"/>
      <c r="F194" s="32"/>
      <c r="G194" s="32" t="str">
        <f>IFERROR(__xludf.DUMMYFUNCTION("""COMPUTED_VALUE"""),"Immune")</f>
        <v>Immune</v>
      </c>
      <c r="H194" s="32"/>
      <c r="I194" s="32"/>
      <c r="J194" s="32"/>
      <c r="K194" s="32"/>
      <c r="L194" s="32"/>
      <c r="M194" s="32"/>
      <c r="N194" s="32"/>
      <c r="O194" s="32"/>
      <c r="P194" s="32"/>
      <c r="Q194" s="32"/>
      <c r="R194" s="32"/>
      <c r="S194" s="32"/>
      <c r="T194" s="32"/>
      <c r="U194" s="32"/>
      <c r="V194" s="32"/>
      <c r="W194" s="32"/>
      <c r="X194" s="32" t="str">
        <f>IFERROR(__xludf.DUMMYFUNCTION("""COMPUTED_VALUE"""),"Immune")</f>
        <v>Immune</v>
      </c>
      <c r="Y194" s="32" t="str">
        <f>IFERROR(__xludf.DUMMYFUNCTION("""COMPUTED_VALUE"""),"Immune")</f>
        <v>Immune</v>
      </c>
      <c r="Z194" s="32"/>
      <c r="AA194" s="32" t="str">
        <f>IFERROR(__xludf.DUMMYFUNCTION("""COMPUTED_VALUE"""),"Immune")</f>
        <v>Immune</v>
      </c>
      <c r="AB194" s="32"/>
      <c r="AC194" s="32"/>
      <c r="AD194" s="32"/>
      <c r="AE194" s="32"/>
      <c r="AF194" s="32"/>
      <c r="AG194" s="32"/>
      <c r="AH194" s="32"/>
      <c r="AI194" s="32"/>
      <c r="AJ194" s="32"/>
      <c r="AK194" s="32"/>
    </row>
    <row r="195">
      <c r="A195" s="32" t="str">
        <f>IFERROR(__xludf.DUMMYFUNCTION("""COMPUTED_VALUE"""),"Grand Fire Elemental")</f>
        <v>Grand Fire Elemental</v>
      </c>
      <c r="B195" s="32" t="str">
        <f>IFERROR(__xludf.DUMMYFUNCTION("""COMPUTED_VALUE"""),"Immune")</f>
        <v>Immune</v>
      </c>
      <c r="C195" s="32"/>
      <c r="D195" s="32"/>
      <c r="E195" s="32"/>
      <c r="F195" s="32"/>
      <c r="G195" s="32"/>
      <c r="H195" s="32"/>
      <c r="I195" s="32"/>
      <c r="J195" s="32"/>
      <c r="K195" s="32"/>
      <c r="L195" s="32"/>
      <c r="M195" s="32"/>
      <c r="N195" s="32"/>
      <c r="O195" s="32"/>
      <c r="P195" s="32"/>
      <c r="Q195" s="32"/>
      <c r="R195" s="32" t="str">
        <f>IFERROR(__xludf.DUMMYFUNCTION("""COMPUTED_VALUE"""),"Immune")</f>
        <v>Immune</v>
      </c>
      <c r="S195" s="32"/>
      <c r="T195" s="32"/>
      <c r="U195" s="32"/>
      <c r="V195" s="32"/>
      <c r="W195" s="32"/>
      <c r="X195" s="32" t="str">
        <f>IFERROR(__xludf.DUMMYFUNCTION("""COMPUTED_VALUE"""),"Immune")</f>
        <v>Immune</v>
      </c>
      <c r="Y195" s="32" t="str">
        <f>IFERROR(__xludf.DUMMYFUNCTION("""COMPUTED_VALUE"""),"Immune")</f>
        <v>Immune</v>
      </c>
      <c r="Z195" s="32"/>
      <c r="AA195" s="32" t="str">
        <f>IFERROR(__xludf.DUMMYFUNCTION("""COMPUTED_VALUE"""),"Immune")</f>
        <v>Immune</v>
      </c>
      <c r="AB195" s="32"/>
      <c r="AC195" s="32"/>
      <c r="AD195" s="32"/>
      <c r="AE195" s="32"/>
      <c r="AF195" s="32"/>
      <c r="AG195" s="32"/>
      <c r="AH195" s="32"/>
      <c r="AI195" s="32"/>
      <c r="AJ195" s="32"/>
      <c r="AK195" s="32"/>
    </row>
    <row r="196">
      <c r="A196" s="32" t="str">
        <f>IFERROR(__xludf.DUMMYFUNCTION("""COMPUTED_VALUE"""),"Straitzo The Vampire Warrior")</f>
        <v>Straitzo The Vampire Warrior</v>
      </c>
      <c r="B196" s="32"/>
      <c r="C196" s="32"/>
      <c r="D196" s="32"/>
      <c r="E196" s="32"/>
      <c r="F196" s="32"/>
      <c r="G196" s="32" t="str">
        <f>IFERROR(__xludf.DUMMYFUNCTION("""COMPUTED_VALUE"""),"Immune")</f>
        <v>Immune</v>
      </c>
      <c r="H196" s="32"/>
      <c r="I196" s="32"/>
      <c r="J196" s="32"/>
      <c r="K196" s="32"/>
      <c r="L196" s="32"/>
      <c r="M196" s="32"/>
      <c r="N196" s="32"/>
      <c r="O196" s="32"/>
      <c r="P196" s="32"/>
      <c r="Q196" s="32"/>
      <c r="R196" s="32" t="str">
        <f>IFERROR(__xludf.DUMMYFUNCTION("""COMPUTED_VALUE"""),"Immune")</f>
        <v>Immune</v>
      </c>
      <c r="S196" s="32"/>
      <c r="T196" s="32"/>
      <c r="U196" s="32"/>
      <c r="V196" s="32"/>
      <c r="W196" s="32"/>
      <c r="X196" s="32"/>
      <c r="Y196" s="32"/>
      <c r="Z196" s="32"/>
      <c r="AA196" s="32"/>
      <c r="AB196" s="32"/>
      <c r="AC196" s="32"/>
      <c r="AD196" s="32"/>
      <c r="AE196" s="32"/>
      <c r="AF196" s="32"/>
      <c r="AG196" s="32"/>
      <c r="AH196" s="32"/>
      <c r="AI196" s="32"/>
      <c r="AJ196" s="32"/>
      <c r="AK196" s="32"/>
    </row>
    <row r="197">
      <c r="A197" s="32" t="str">
        <f>IFERROR(__xludf.DUMMYFUNCTION("""COMPUTED_VALUE"""),"Cerberus Gatekeeper of Souls")</f>
        <v>Cerberus Gatekeeper of Souls</v>
      </c>
      <c r="B197" s="32" t="str">
        <f>IFERROR(__xludf.DUMMYFUNCTION("""COMPUTED_VALUE"""),"Immune")</f>
        <v>Immune</v>
      </c>
      <c r="C197" s="32"/>
      <c r="D197" s="32"/>
      <c r="E197" s="32"/>
      <c r="F197" s="32"/>
      <c r="G197" s="32" t="str">
        <f>IFERROR(__xludf.DUMMYFUNCTION("""COMPUTED_VALUE"""),"Immune")</f>
        <v>Immune</v>
      </c>
      <c r="H197" s="32"/>
      <c r="I197" s="32"/>
      <c r="J197" s="32" t="str">
        <f>IFERROR(__xludf.DUMMYFUNCTION("""COMPUTED_VALUE"""),"Immune")</f>
        <v>Immune</v>
      </c>
      <c r="K197" s="32"/>
      <c r="L197" s="32"/>
      <c r="M197" s="32"/>
      <c r="N197" s="32"/>
      <c r="O197" s="32"/>
      <c r="P197" s="32"/>
      <c r="Q197" s="32" t="str">
        <f>IFERROR(__xludf.DUMMYFUNCTION("""COMPUTED_VALUE"""),"Immune")</f>
        <v>Immune</v>
      </c>
      <c r="R197" s="32"/>
      <c r="S197" s="32"/>
      <c r="T197" s="32"/>
      <c r="U197" s="32"/>
      <c r="V197" s="32"/>
      <c r="W197" s="32"/>
      <c r="X197" s="32" t="str">
        <f>IFERROR(__xludf.DUMMYFUNCTION("""COMPUTED_VALUE"""),"Immune")</f>
        <v>Immune</v>
      </c>
      <c r="Y197" s="32" t="str">
        <f>IFERROR(__xludf.DUMMYFUNCTION("""COMPUTED_VALUE"""),"Immune")</f>
        <v>Immune</v>
      </c>
      <c r="Z197" s="32"/>
      <c r="AA197" s="32" t="str">
        <f>IFERROR(__xludf.DUMMYFUNCTION("""COMPUTED_VALUE"""),"Immune")</f>
        <v>Immune</v>
      </c>
      <c r="AB197" s="32"/>
      <c r="AC197" s="32"/>
      <c r="AD197" s="32"/>
      <c r="AE197" s="32"/>
      <c r="AF197" s="32"/>
      <c r="AG197" s="32"/>
      <c r="AH197" s="32"/>
      <c r="AI197" s="32"/>
      <c r="AJ197" s="32"/>
      <c r="AK197" s="32"/>
    </row>
    <row r="198">
      <c r="A198" s="32" t="str">
        <f>IFERROR(__xludf.DUMMYFUNCTION("""COMPUTED_VALUE"""),"Endless Dark Dragon")</f>
        <v>Endless Dark Dragon</v>
      </c>
      <c r="B198" s="32"/>
      <c r="C198" s="32"/>
      <c r="D198" s="32"/>
      <c r="E198" s="32"/>
      <c r="F198" s="32"/>
      <c r="G198" s="32" t="str">
        <f>IFERROR(__xludf.DUMMYFUNCTION("""COMPUTED_VALUE"""),"Immune")</f>
        <v>Immune</v>
      </c>
      <c r="H198" s="32" t="str">
        <f>IFERROR(__xludf.DUMMYFUNCTION("""COMPUTED_VALUE"""),"Immune")</f>
        <v>Immune</v>
      </c>
      <c r="I198" s="32"/>
      <c r="J198" s="32" t="str">
        <f>IFERROR(__xludf.DUMMYFUNCTION("""COMPUTED_VALUE"""),"Immune")</f>
        <v>Immune</v>
      </c>
      <c r="K198" s="32"/>
      <c r="L198" s="32"/>
      <c r="M198" s="32"/>
      <c r="N198" s="32"/>
      <c r="O198" s="32"/>
      <c r="P198" s="32"/>
      <c r="Q198" s="32"/>
      <c r="R198" s="32"/>
      <c r="S198" s="32"/>
      <c r="T198" s="32"/>
      <c r="U198" s="32"/>
      <c r="V198" s="32"/>
      <c r="W198" s="32"/>
      <c r="X198" s="32" t="str">
        <f>IFERROR(__xludf.DUMMYFUNCTION("""COMPUTED_VALUE"""),"Immune")</f>
        <v>Immune</v>
      </c>
      <c r="Y198" s="32" t="str">
        <f>IFERROR(__xludf.DUMMYFUNCTION("""COMPUTED_VALUE"""),"Immune")</f>
        <v>Immune</v>
      </c>
      <c r="Z198" s="32"/>
      <c r="AA198" s="32" t="str">
        <f>IFERROR(__xludf.DUMMYFUNCTION("""COMPUTED_VALUE"""),"Immune")</f>
        <v>Immune</v>
      </c>
      <c r="AB198" s="32"/>
      <c r="AC198" s="32"/>
      <c r="AD198" s="32"/>
      <c r="AE198" s="32"/>
      <c r="AF198" s="32"/>
      <c r="AG198" s="32"/>
      <c r="AH198" s="32"/>
      <c r="AI198" s="32"/>
      <c r="AJ198" s="32"/>
      <c r="AK198" s="32"/>
    </row>
    <row r="199">
      <c r="A199" s="32" t="str">
        <f>IFERROR(__xludf.DUMMYFUNCTION("""COMPUTED_VALUE"""),"Giant Lava Frog ")</f>
        <v>Giant Lava Frog </v>
      </c>
      <c r="B199" s="32" t="str">
        <f>IFERROR(__xludf.DUMMYFUNCTION("""COMPUTED_VALUE"""),"Immune")</f>
        <v>Immune</v>
      </c>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row>
    <row r="200">
      <c r="A200" s="32" t="str">
        <f>IFERROR(__xludf.DUMMYFUNCTION("""COMPUTED_VALUE"""),"Lava Rat")</f>
        <v>Lava Rat</v>
      </c>
      <c r="B200" s="32" t="str">
        <f>IFERROR(__xludf.DUMMYFUNCTION("""COMPUTED_VALUE"""),"Immune")</f>
        <v>Immune</v>
      </c>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row>
    <row r="201">
      <c r="A201" s="32" t="str">
        <f>IFERROR(__xludf.DUMMYFUNCTION("""COMPUTED_VALUE"""),"Rat King")</f>
        <v>Rat King</v>
      </c>
      <c r="B201" s="32"/>
      <c r="C201" s="32"/>
      <c r="D201" s="32"/>
      <c r="E201" s="32"/>
      <c r="F201" s="32"/>
      <c r="G201" s="32" t="str">
        <f>IFERROR(__xludf.DUMMYFUNCTION("""COMPUTED_VALUE"""),"Immune")</f>
        <v>Immune</v>
      </c>
      <c r="H201" s="32"/>
      <c r="I201" s="32"/>
      <c r="J201" s="32" t="str">
        <f>IFERROR(__xludf.DUMMYFUNCTION("""COMPUTED_VALUE"""),"Immune")</f>
        <v>Immune</v>
      </c>
      <c r="K201" s="32"/>
      <c r="L201" s="32"/>
      <c r="M201" s="32"/>
      <c r="N201" s="32"/>
      <c r="O201" s="32"/>
      <c r="P201" s="32"/>
      <c r="Q201" s="32" t="str">
        <f>IFERROR(__xludf.DUMMYFUNCTION("""COMPUTED_VALUE"""),"Immune")</f>
        <v>Immune</v>
      </c>
      <c r="R201" s="32"/>
      <c r="S201" s="32"/>
      <c r="T201" s="32"/>
      <c r="U201" s="32"/>
      <c r="V201" s="32"/>
      <c r="W201" s="32"/>
      <c r="X201" s="32" t="str">
        <f>IFERROR(__xludf.DUMMYFUNCTION("""COMPUTED_VALUE"""),"Immune")</f>
        <v>Immune</v>
      </c>
      <c r="Y201" s="32" t="str">
        <f>IFERROR(__xludf.DUMMYFUNCTION("""COMPUTED_VALUE"""),"Immune")</f>
        <v>Immune</v>
      </c>
      <c r="Z201" s="32"/>
      <c r="AA201" s="32" t="str">
        <f>IFERROR(__xludf.DUMMYFUNCTION("""COMPUTED_VALUE"""),"Immune")</f>
        <v>Immune</v>
      </c>
      <c r="AB201" s="32"/>
      <c r="AC201" s="32"/>
      <c r="AD201" s="32"/>
      <c r="AE201" s="32"/>
      <c r="AF201" s="32"/>
      <c r="AG201" s="32"/>
      <c r="AH201" s="32"/>
      <c r="AI201" s="32"/>
      <c r="AJ201" s="32"/>
      <c r="AK201" s="32"/>
    </row>
    <row r="202">
      <c r="A202" s="32" t="str">
        <f>IFERROR(__xludf.DUMMYFUNCTION("""COMPUTED_VALUE"""),"Magma Bear")</f>
        <v>Magma Bear</v>
      </c>
      <c r="B202" s="32" t="str">
        <f>IFERROR(__xludf.DUMMYFUNCTION("""COMPUTED_VALUE"""),"Immune")</f>
        <v>Immune</v>
      </c>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row>
    <row r="203">
      <c r="A203" s="32" t="str">
        <f>IFERROR(__xludf.DUMMYFUNCTION("""COMPUTED_VALUE"""),"Inferno Vulture")</f>
        <v>Inferno Vulture</v>
      </c>
      <c r="B203" s="32" t="str">
        <f>IFERROR(__xludf.DUMMYFUNCTION("""COMPUTED_VALUE"""),"Immune")</f>
        <v>Immune</v>
      </c>
      <c r="C203" s="32"/>
      <c r="D203" s="32"/>
      <c r="E203" s="32"/>
      <c r="F203" s="32"/>
      <c r="G203" s="32"/>
      <c r="H203" s="32"/>
      <c r="I203" s="32"/>
      <c r="J203" s="32"/>
      <c r="K203" s="32" t="str">
        <f>IFERROR(__xludf.DUMMYFUNCTION("""COMPUTED_VALUE"""),"Immune")</f>
        <v>Immune</v>
      </c>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row>
    <row r="204">
      <c r="A204" s="32" t="str">
        <f>IFERROR(__xludf.DUMMYFUNCTION("""COMPUTED_VALUE"""),"Lava Kraken")</f>
        <v>Lava Kraken</v>
      </c>
      <c r="B204" s="32" t="str">
        <f>IFERROR(__xludf.DUMMYFUNCTION("""COMPUTED_VALUE"""),"Immune")</f>
        <v>Immune</v>
      </c>
      <c r="C204" s="32"/>
      <c r="D204" s="32"/>
      <c r="E204" s="32"/>
      <c r="F204" s="32"/>
      <c r="G204" s="32"/>
      <c r="H204" s="32"/>
      <c r="I204" s="32"/>
      <c r="J204" s="32"/>
      <c r="K204" s="32" t="str">
        <f>IFERROR(__xludf.DUMMYFUNCTION("""COMPUTED_VALUE"""),"Immune")</f>
        <v>Immune</v>
      </c>
      <c r="L204" s="32"/>
      <c r="M204" s="32"/>
      <c r="N204" s="32"/>
      <c r="O204" s="32"/>
      <c r="P204" s="32"/>
      <c r="Q204" s="32"/>
      <c r="R204" s="32"/>
      <c r="S204" s="32"/>
      <c r="T204" s="32"/>
      <c r="U204" s="32"/>
      <c r="V204" s="32"/>
      <c r="W204" s="32"/>
      <c r="X204" s="32" t="str">
        <f>IFERROR(__xludf.DUMMYFUNCTION("""COMPUTED_VALUE"""),"Immune")</f>
        <v>Immune</v>
      </c>
      <c r="Y204" s="32" t="str">
        <f>IFERROR(__xludf.DUMMYFUNCTION("""COMPUTED_VALUE"""),"Immune")</f>
        <v>Immune</v>
      </c>
      <c r="Z204" s="32"/>
      <c r="AA204" s="32" t="str">
        <f>IFERROR(__xludf.DUMMYFUNCTION("""COMPUTED_VALUE"""),"Immune")</f>
        <v>Immune</v>
      </c>
      <c r="AB204" s="32"/>
      <c r="AC204" s="32"/>
      <c r="AD204" s="32"/>
      <c r="AE204" s="32"/>
      <c r="AF204" s="32"/>
      <c r="AG204" s="32"/>
      <c r="AH204" s="32"/>
      <c r="AI204" s="32"/>
      <c r="AJ204" s="32"/>
      <c r="AK204" s="32"/>
    </row>
    <row r="205">
      <c r="A205" s="32" t="str">
        <f>IFERROR(__xludf.DUMMYFUNCTION("""COMPUTED_VALUE"""),"Flaming Cactus")</f>
        <v>Flaming Cactus</v>
      </c>
      <c r="B205" s="32" t="str">
        <f>IFERROR(__xludf.DUMMYFUNCTION("""COMPUTED_VALUE"""),"Immune")</f>
        <v>Immune</v>
      </c>
      <c r="C205" s="32"/>
      <c r="D205" s="32"/>
      <c r="E205" s="32"/>
      <c r="F205" s="32"/>
      <c r="G205" s="32"/>
      <c r="H205" s="32"/>
      <c r="I205" s="32"/>
      <c r="J205" s="32"/>
      <c r="K205" s="32" t="str">
        <f>IFERROR(__xludf.DUMMYFUNCTION("""COMPUTED_VALUE"""),"Immune")</f>
        <v>Immune</v>
      </c>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row>
    <row r="206">
      <c r="A206" s="32" t="str">
        <f>IFERROR(__xludf.DUMMYFUNCTION("""COMPUTED_VALUE"""),"Flaming Behemoth")</f>
        <v>Flaming Behemoth</v>
      </c>
      <c r="B206" s="32" t="str">
        <f>IFERROR(__xludf.DUMMYFUNCTION("""COMPUTED_VALUE"""),"Immune")</f>
        <v>Immune</v>
      </c>
      <c r="C206" s="32"/>
      <c r="D206" s="32"/>
      <c r="E206" s="32"/>
      <c r="F206" s="32"/>
      <c r="G206" s="32"/>
      <c r="H206" s="32"/>
      <c r="I206" s="32"/>
      <c r="J206" s="32"/>
      <c r="K206" s="32" t="str">
        <f>IFERROR(__xludf.DUMMYFUNCTION("""COMPUTED_VALUE"""),"Immune")</f>
        <v>Immune</v>
      </c>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row>
    <row r="207">
      <c r="A207" s="32" t="str">
        <f>IFERROR(__xludf.DUMMYFUNCTION("""COMPUTED_VALUE"""),"Red Soul")</f>
        <v>Red Soul</v>
      </c>
      <c r="B207" s="32">
        <f>IFERROR(__xludf.DUMMYFUNCTION("""COMPUTED_VALUE"""),100.0)</f>
        <v>100</v>
      </c>
      <c r="C207" s="32"/>
      <c r="D207" s="32"/>
      <c r="E207" s="32"/>
      <c r="F207" s="32"/>
      <c r="G207" s="32"/>
      <c r="H207" s="32" t="str">
        <f>IFERROR(__xludf.DUMMYFUNCTION("""COMPUTED_VALUE"""),"Immune")</f>
        <v>Immune</v>
      </c>
      <c r="I207" s="32"/>
      <c r="J207" s="32"/>
      <c r="K207" s="32" t="str">
        <f>IFERROR(__xludf.DUMMYFUNCTION("""COMPUTED_VALUE"""),"Immune")</f>
        <v>Immune</v>
      </c>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row>
    <row r="208">
      <c r="A208" s="32" t="str">
        <f>IFERROR(__xludf.DUMMYFUNCTION("""COMPUTED_VALUE"""),"Blue Soul")</f>
        <v>Blue Soul</v>
      </c>
      <c r="B208" s="32"/>
      <c r="C208" s="32" t="str">
        <f>IFERROR(__xludf.DUMMYFUNCTION("""COMPUTED_VALUE"""),"Immune")</f>
        <v>Immune</v>
      </c>
      <c r="D208" s="32"/>
      <c r="E208" s="32"/>
      <c r="F208" s="32"/>
      <c r="G208" s="32"/>
      <c r="H208" s="32" t="str">
        <f>IFERROR(__xludf.DUMMYFUNCTION("""COMPUTED_VALUE"""),"Immune")</f>
        <v>Immune</v>
      </c>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row>
    <row r="209">
      <c r="A209" s="32" t="str">
        <f>IFERROR(__xludf.DUMMYFUNCTION("""COMPUTED_VALUE"""),"Green Soul")</f>
        <v>Green Soul</v>
      </c>
      <c r="B209" s="32"/>
      <c r="C209" s="32"/>
      <c r="D209" s="32"/>
      <c r="E209" s="32"/>
      <c r="F209" s="32"/>
      <c r="G209" s="32"/>
      <c r="H209" s="32" t="str">
        <f>IFERROR(__xludf.DUMMYFUNCTION("""COMPUTED_VALUE"""),"Immune")</f>
        <v>Immune</v>
      </c>
      <c r="I209" s="32"/>
      <c r="J209" s="32"/>
      <c r="K209" s="32" t="str">
        <f>IFERROR(__xludf.DUMMYFUNCTION("""COMPUTED_VALUE"""),"Immune")</f>
        <v>Immune</v>
      </c>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row>
    <row r="210">
      <c r="A210" s="32" t="str">
        <f>IFERROR(__xludf.DUMMYFUNCTION("""COMPUTED_VALUE"""),"Yellow Soul")</f>
        <v>Yellow Soul</v>
      </c>
      <c r="B210" s="32"/>
      <c r="C210" s="32"/>
      <c r="D210" s="32"/>
      <c r="E210" s="32"/>
      <c r="F210" s="32" t="str">
        <f>IFERROR(__xludf.DUMMYFUNCTION("""COMPUTED_VALUE"""),"Immune")</f>
        <v>Immune</v>
      </c>
      <c r="G210" s="32"/>
      <c r="H210" s="32" t="str">
        <f>IFERROR(__xludf.DUMMYFUNCTION("""COMPUTED_VALUE"""),"Immune")</f>
        <v>Immune</v>
      </c>
      <c r="I210" s="32" t="str">
        <f>IFERROR(__xludf.DUMMYFUNCTION("""COMPUTED_VALUE"""),"Immune")</f>
        <v>Immune</v>
      </c>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row>
    <row r="211">
      <c r="A211" s="32" t="str">
        <f>IFERROR(__xludf.DUMMYFUNCTION("""COMPUTED_VALUE"""),"Black Soul")</f>
        <v>Black Soul</v>
      </c>
      <c r="B211" s="32"/>
      <c r="C211" s="32"/>
      <c r="D211" s="32"/>
      <c r="E211" s="32"/>
      <c r="F211" s="32"/>
      <c r="G211" s="32" t="str">
        <f>IFERROR(__xludf.DUMMYFUNCTION("""COMPUTED_VALUE"""),"Immune")</f>
        <v>Immune</v>
      </c>
      <c r="H211" s="32" t="str">
        <f>IFERROR(__xludf.DUMMYFUNCTION("""COMPUTED_VALUE"""),"Immune")</f>
        <v>Immune</v>
      </c>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row>
    <row r="212">
      <c r="A212" s="32" t="str">
        <f>IFERROR(__xludf.DUMMYFUNCTION("""COMPUTED_VALUE"""),"Brown Soul")</f>
        <v>Brown Soul</v>
      </c>
      <c r="B212" s="32"/>
      <c r="C212" s="32"/>
      <c r="D212" s="32"/>
      <c r="E212" s="32" t="str">
        <f>IFERROR(__xludf.DUMMYFUNCTION("""COMPUTED_VALUE"""),"Immune")</f>
        <v>Immune</v>
      </c>
      <c r="F212" s="32"/>
      <c r="G212" s="32"/>
      <c r="H212" s="32" t="str">
        <f>IFERROR(__xludf.DUMMYFUNCTION("""COMPUTED_VALUE"""),"Immune")</f>
        <v>Immune</v>
      </c>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row>
    <row r="213">
      <c r="A213" s="32" t="str">
        <f>IFERROR(__xludf.DUMMYFUNCTION("""COMPUTED_VALUE"""),"White Soul")</f>
        <v>White Soul</v>
      </c>
      <c r="B213" s="32"/>
      <c r="C213" s="32"/>
      <c r="D213" s="32"/>
      <c r="E213" s="32"/>
      <c r="F213" s="32">
        <f>IFERROR(__xludf.DUMMYFUNCTION("""COMPUTED_VALUE"""),100.0)</f>
        <v>100</v>
      </c>
      <c r="G213" s="32"/>
      <c r="H213" s="32" t="str">
        <f>IFERROR(__xludf.DUMMYFUNCTION("""COMPUTED_VALUE"""),"Immune")</f>
        <v>Immune</v>
      </c>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row>
    <row r="214">
      <c r="A214" s="32" t="str">
        <f>IFERROR(__xludf.DUMMYFUNCTION("""COMPUTED_VALUE"""),"Gray Soul")</f>
        <v>Gray Soul</v>
      </c>
      <c r="B214" s="32"/>
      <c r="C214" s="32"/>
      <c r="D214" s="32"/>
      <c r="E214" s="32"/>
      <c r="F214" s="32"/>
      <c r="G214" s="32"/>
      <c r="H214" s="32" t="str">
        <f>IFERROR(__xludf.DUMMYFUNCTION("""COMPUTED_VALUE"""),"Immune")</f>
        <v>Immune</v>
      </c>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row>
    <row r="215">
      <c r="A215" s="32" t="str">
        <f>IFERROR(__xludf.DUMMYFUNCTION("""COMPUTED_VALUE"""),"Lava Moth")</f>
        <v>Lava Moth</v>
      </c>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row>
    <row r="216">
      <c r="A216" s="32" t="str">
        <f>IFERROR(__xludf.DUMMYFUNCTION("""COMPUTED_VALUE"""),"Giant Magma Snail")</f>
        <v>Giant Magma Snail</v>
      </c>
      <c r="B216" s="32" t="str">
        <f>IFERROR(__xludf.DUMMYFUNCTION("""COMPUTED_VALUE"""),"Immune")</f>
        <v>Immune</v>
      </c>
      <c r="C216" s="32"/>
      <c r="D216" s="32"/>
      <c r="E216" s="32"/>
      <c r="F216" s="32"/>
      <c r="G216" s="32"/>
      <c r="H216" s="32"/>
      <c r="I216" s="32"/>
      <c r="J216" s="32"/>
      <c r="K216" s="32" t="str">
        <f>IFERROR(__xludf.DUMMYFUNCTION("""COMPUTED_VALUE"""),"Immune")</f>
        <v>Immune</v>
      </c>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row>
    <row r="217">
      <c r="A217" s="32" t="str">
        <f>IFERROR(__xludf.DUMMYFUNCTION("""COMPUTED_VALUE"""),"Mr. Skeleton")</f>
        <v>Mr. Skeleton</v>
      </c>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row>
    <row r="218">
      <c r="A218" s="32" t="str">
        <f>IFERROR(__xludf.DUMMYFUNCTION("""COMPUTED_VALUE"""),"Flaming King Duck")</f>
        <v>Flaming King Duck</v>
      </c>
      <c r="B218" s="32" t="str">
        <f>IFERROR(__xludf.DUMMYFUNCTION("""COMPUTED_VALUE"""),"Immune")</f>
        <v>Immune</v>
      </c>
      <c r="C218" s="32"/>
      <c r="D218" s="32"/>
      <c r="E218" s="32"/>
      <c r="F218" s="32"/>
      <c r="G218" s="32"/>
      <c r="H218" s="32"/>
      <c r="I218" s="32"/>
      <c r="J218" s="32"/>
      <c r="K218" s="32" t="str">
        <f>IFERROR(__xludf.DUMMYFUNCTION("""COMPUTED_VALUE"""),"Immune")</f>
        <v>Immune</v>
      </c>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row>
    <row r="219">
      <c r="A219" s="32" t="str">
        <f>IFERROR(__xludf.DUMMYFUNCTION("""COMPUTED_VALUE"""),"Flaming Duck")</f>
        <v>Flaming Duck</v>
      </c>
      <c r="B219" s="32" t="str">
        <f>IFERROR(__xludf.DUMMYFUNCTION("""COMPUTED_VALUE"""),"Immune")</f>
        <v>Immune</v>
      </c>
      <c r="C219" s="32"/>
      <c r="D219" s="32"/>
      <c r="E219" s="32"/>
      <c r="F219" s="32"/>
      <c r="G219" s="32"/>
      <c r="H219" s="32"/>
      <c r="I219" s="32"/>
      <c r="J219" s="32"/>
      <c r="K219" s="32" t="str">
        <f>IFERROR(__xludf.DUMMYFUNCTION("""COMPUTED_VALUE"""),"Immune")</f>
        <v>Immune</v>
      </c>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row>
    <row r="220">
      <c r="A220" s="32" t="str">
        <f>IFERROR(__xludf.DUMMYFUNCTION("""COMPUTED_VALUE"""),"Flaming Buffalo")</f>
        <v>Flaming Buffalo</v>
      </c>
      <c r="B220" s="32" t="str">
        <f>IFERROR(__xludf.DUMMYFUNCTION("""COMPUTED_VALUE"""),"Immune")</f>
        <v>Immune</v>
      </c>
      <c r="C220" s="32"/>
      <c r="D220" s="32"/>
      <c r="E220" s="32"/>
      <c r="F220" s="32"/>
      <c r="G220" s="32"/>
      <c r="H220" s="32"/>
      <c r="I220" s="32"/>
      <c r="J220" s="32"/>
      <c r="K220" s="32" t="str">
        <f>IFERROR(__xludf.DUMMYFUNCTION("""COMPUTED_VALUE"""),"Immune")</f>
        <v>Immune</v>
      </c>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row>
    <row r="221">
      <c r="A221" s="32" t="str">
        <f>IFERROR(__xludf.DUMMYFUNCTION("""COMPUTED_VALUE"""),"Inferno Tree Walker")</f>
        <v>Inferno Tree Walker</v>
      </c>
      <c r="B221" s="32" t="str">
        <f>IFERROR(__xludf.DUMMYFUNCTION("""COMPUTED_VALUE"""),"Immune")</f>
        <v>Immune</v>
      </c>
      <c r="C221" s="32"/>
      <c r="D221" s="32"/>
      <c r="E221" s="32"/>
      <c r="F221" s="32"/>
      <c r="G221" s="32"/>
      <c r="H221" s="32"/>
      <c r="I221" s="32"/>
      <c r="J221" s="32"/>
      <c r="K221" s="32" t="str">
        <f>IFERROR(__xludf.DUMMYFUNCTION("""COMPUTED_VALUE"""),"Immune")</f>
        <v>Immune</v>
      </c>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row>
    <row r="222">
      <c r="A222" s="32" t="str">
        <f>IFERROR(__xludf.DUMMYFUNCTION("""COMPUTED_VALUE"""),"The Purple Necromancer")</f>
        <v>The Purple Necromancer</v>
      </c>
      <c r="B222" s="32"/>
      <c r="C222" s="32"/>
      <c r="D222" s="32" t="str">
        <f>IFERROR(__xludf.DUMMYFUNCTION("""COMPUTED_VALUE"""),"Immune")</f>
        <v>Immune</v>
      </c>
      <c r="E222" s="32"/>
      <c r="F222" s="32"/>
      <c r="G222" s="32" t="str">
        <f>IFERROR(__xludf.DUMMYFUNCTION("""COMPUTED_VALUE"""),"Immune")</f>
        <v>Immune</v>
      </c>
      <c r="H222" s="32"/>
      <c r="I222" s="32"/>
      <c r="J222" s="32" t="str">
        <f>IFERROR(__xludf.DUMMYFUNCTION("""COMPUTED_VALUE"""),"Immune")</f>
        <v>Immune</v>
      </c>
      <c r="K222" s="32"/>
      <c r="L222" s="32"/>
      <c r="M222" s="32"/>
      <c r="N222" s="32"/>
      <c r="O222" s="32"/>
      <c r="P222" s="32"/>
      <c r="Q222" s="32"/>
      <c r="R222" s="32"/>
      <c r="S222" s="32"/>
      <c r="T222" s="32"/>
      <c r="U222" s="32"/>
      <c r="V222" s="32"/>
      <c r="W222" s="32"/>
      <c r="X222" s="32" t="str">
        <f>IFERROR(__xludf.DUMMYFUNCTION("""COMPUTED_VALUE"""),"Immune")</f>
        <v>Immune</v>
      </c>
      <c r="Y222" s="32"/>
      <c r="Z222" s="32"/>
      <c r="AA222" s="32"/>
      <c r="AB222" s="32"/>
      <c r="AC222" s="32"/>
      <c r="AD222" s="32"/>
      <c r="AE222" s="32"/>
      <c r="AF222" s="32"/>
      <c r="AG222" s="32"/>
      <c r="AH222" s="32"/>
      <c r="AI222" s="32"/>
      <c r="AJ222" s="32"/>
      <c r="AK222" s="32"/>
    </row>
    <row r="223">
      <c r="A223" s="32" t="str">
        <f>IFERROR(__xludf.DUMMYFUNCTION("""COMPUTED_VALUE"""),"Flaming Monkey")</f>
        <v>Flaming Monkey</v>
      </c>
      <c r="B223" s="32"/>
      <c r="C223" s="32"/>
      <c r="D223" s="32"/>
      <c r="E223" s="32"/>
      <c r="F223" s="32"/>
      <c r="G223" s="32"/>
      <c r="H223" s="32"/>
      <c r="I223" s="32"/>
      <c r="J223" s="32"/>
      <c r="K223" s="32" t="str">
        <f>IFERROR(__xludf.DUMMYFUNCTION("""COMPUTED_VALUE"""),"Immune")</f>
        <v>Immune</v>
      </c>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row>
    <row r="224">
      <c r="A224" s="32" t="str">
        <f>IFERROR(__xludf.DUMMYFUNCTION("""COMPUTED_VALUE"""),"Magma Slime")</f>
        <v>Magma Slime</v>
      </c>
      <c r="B224" s="32" t="str">
        <f>IFERROR(__xludf.DUMMYFUNCTION("""COMPUTED_VALUE"""),"Immune")</f>
        <v>Immune</v>
      </c>
      <c r="C224" s="32"/>
      <c r="D224" s="32"/>
      <c r="E224" s="32"/>
      <c r="F224" s="32"/>
      <c r="G224" s="32"/>
      <c r="H224" s="32"/>
      <c r="I224" s="32"/>
      <c r="J224" s="32"/>
      <c r="K224" s="32" t="str">
        <f>IFERROR(__xludf.DUMMYFUNCTION("""COMPUTED_VALUE"""),"Immune")</f>
        <v>Immune</v>
      </c>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row>
    <row r="225">
      <c r="A225" s="32" t="str">
        <f>IFERROR(__xludf.DUMMYFUNCTION("""COMPUTED_VALUE"""),"Acid Slime")</f>
        <v>Acid Slime</v>
      </c>
      <c r="B225" s="32"/>
      <c r="C225" s="32"/>
      <c r="D225" s="32"/>
      <c r="E225" s="32"/>
      <c r="F225" s="32"/>
      <c r="G225" s="32"/>
      <c r="H225" s="32"/>
      <c r="I225" s="32"/>
      <c r="J225" s="32"/>
      <c r="K225" s="32" t="str">
        <f>IFERROR(__xludf.DUMMYFUNCTION("""COMPUTED_VALUE"""),"Immune")</f>
        <v>Immune</v>
      </c>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row>
    <row r="226">
      <c r="A226" s="32" t="str">
        <f>IFERROR(__xludf.DUMMYFUNCTION("""COMPUTED_VALUE"""),"The Black And White Dragon")</f>
        <v>The Black And White Dragon</v>
      </c>
      <c r="B226" s="32"/>
      <c r="C226" s="32"/>
      <c r="D226" s="32"/>
      <c r="E226" s="32"/>
      <c r="F226" s="32"/>
      <c r="G226" s="32"/>
      <c r="H226" s="32"/>
      <c r="I226" s="32"/>
      <c r="J226" s="32"/>
      <c r="K226" s="32"/>
      <c r="L226" s="32"/>
      <c r="M226" s="32"/>
      <c r="N226" s="32"/>
      <c r="O226" s="32"/>
      <c r="P226" s="32"/>
      <c r="Q226" s="32"/>
      <c r="R226" s="32"/>
      <c r="S226" s="32"/>
      <c r="T226" s="32"/>
      <c r="U226" s="32"/>
      <c r="V226" s="32"/>
      <c r="W226" s="32"/>
      <c r="X226" s="32" t="str">
        <f>IFERROR(__xludf.DUMMYFUNCTION("""COMPUTED_VALUE"""),"Immune")</f>
        <v>Immune</v>
      </c>
      <c r="Y226" s="32" t="str">
        <f>IFERROR(__xludf.DUMMYFUNCTION("""COMPUTED_VALUE"""),"Immune")</f>
        <v>Immune</v>
      </c>
      <c r="Z226" s="32"/>
      <c r="AA226" s="32" t="str">
        <f>IFERROR(__xludf.DUMMYFUNCTION("""COMPUTED_VALUE"""),"Immune")</f>
        <v>Immune</v>
      </c>
      <c r="AB226" s="32"/>
      <c r="AC226" s="32"/>
      <c r="AD226" s="32"/>
      <c r="AE226" s="32"/>
      <c r="AF226" s="32"/>
      <c r="AG226" s="32"/>
      <c r="AH226" s="32"/>
      <c r="AI226" s="32"/>
      <c r="AJ226" s="32"/>
      <c r="AK226" s="32"/>
    </row>
    <row r="227">
      <c r="A227" s="32" t="str">
        <f>IFERROR(__xludf.DUMMYFUNCTION("""COMPUTED_VALUE"""),"Dio The Time Dragon")</f>
        <v>Dio The Time Dragon</v>
      </c>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row>
    <row r="228">
      <c r="A228" s="32" t="str">
        <f>IFERROR(__xludf.DUMMYFUNCTION("""COMPUTED_VALUE"""),"Seraph")</f>
        <v>Seraph</v>
      </c>
      <c r="B228" s="32"/>
      <c r="C228" s="32"/>
      <c r="D228" s="32"/>
      <c r="E228" s="32"/>
      <c r="F228" s="32" t="str">
        <f>IFERROR(__xludf.DUMMYFUNCTION("""COMPUTED_VALUE"""),"Immune")</f>
        <v>Immune</v>
      </c>
      <c r="G228" s="32"/>
      <c r="H228" s="32" t="str">
        <f>IFERROR(__xludf.DUMMYFUNCTION("""COMPUTED_VALUE"""),"Immune")</f>
        <v>Immune</v>
      </c>
      <c r="I228" s="32" t="str">
        <f>IFERROR(__xludf.DUMMYFUNCTION("""COMPUTED_VALUE"""),"Immune")</f>
        <v>Immune</v>
      </c>
      <c r="J228" s="32"/>
      <c r="K228" s="32"/>
      <c r="L228" s="32"/>
      <c r="M228" s="32"/>
      <c r="N228" s="32"/>
      <c r="O228" s="32"/>
      <c r="P228" s="32"/>
      <c r="Q228" s="32"/>
      <c r="R228" s="32"/>
      <c r="S228" s="32"/>
      <c r="T228" s="32"/>
      <c r="U228" s="32"/>
      <c r="V228" s="32" t="str">
        <f>IFERROR(__xludf.DUMMYFUNCTION("""COMPUTED_VALUE"""),"Immune")</f>
        <v>Immune</v>
      </c>
      <c r="W228" s="32" t="str">
        <f>IFERROR(__xludf.DUMMYFUNCTION("""COMPUTED_VALUE"""),"Immune")</f>
        <v>Immune</v>
      </c>
      <c r="X228" s="32" t="str">
        <f>IFERROR(__xludf.DUMMYFUNCTION("""COMPUTED_VALUE"""),"Immune")</f>
        <v>Immune</v>
      </c>
      <c r="Y228" s="32" t="str">
        <f>IFERROR(__xludf.DUMMYFUNCTION("""COMPUTED_VALUE"""),"Immune")</f>
        <v>Immune</v>
      </c>
      <c r="Z228" s="32"/>
      <c r="AA228" s="32" t="str">
        <f>IFERROR(__xludf.DUMMYFUNCTION("""COMPUTED_VALUE"""),"Immune")</f>
        <v>Immune</v>
      </c>
      <c r="AB228" s="32"/>
      <c r="AC228" s="32"/>
      <c r="AD228" s="32"/>
      <c r="AE228" s="32"/>
      <c r="AF228" s="32"/>
      <c r="AG228" s="32"/>
      <c r="AH228" s="32"/>
      <c r="AI228" s="32"/>
      <c r="AJ228" s="32"/>
      <c r="AK228" s="32"/>
    </row>
    <row r="229">
      <c r="A229" s="32" t="str">
        <f>IFERROR(__xludf.DUMMYFUNCTION("""COMPUTED_VALUE"""),"Rowboat")</f>
        <v>Rowboat</v>
      </c>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row>
    <row r="230">
      <c r="A230" s="32" t="str">
        <f>IFERROR(__xludf.DUMMYFUNCTION("""COMPUTED_VALUE"""),"Ice Slime")</f>
        <v>Ice Slime</v>
      </c>
      <c r="B230" s="32"/>
      <c r="C230" s="32">
        <f>IFERROR(__xludf.DUMMYFUNCTION("""COMPUTED_VALUE"""),100.0)</f>
        <v>100</v>
      </c>
      <c r="D230" s="32"/>
      <c r="E230" s="32"/>
      <c r="F230" s="32"/>
      <c r="G230" s="32"/>
      <c r="H230" s="32"/>
      <c r="I230" s="32"/>
      <c r="J230" s="32"/>
      <c r="K230" s="32">
        <f>IFERROR(__xludf.DUMMYFUNCTION("""COMPUTED_VALUE"""),100.0)</f>
        <v>100</v>
      </c>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row>
    <row r="231">
      <c r="A231" s="32" t="str">
        <f>IFERROR(__xludf.DUMMYFUNCTION("""COMPUTED_VALUE"""),"Crow")</f>
        <v>Crow</v>
      </c>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row>
    <row r="232">
      <c r="A232" s="32" t="str">
        <f>IFERROR(__xludf.DUMMYFUNCTION("""COMPUTED_VALUE"""),"Fireflies")</f>
        <v>Fireflies</v>
      </c>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row>
    <row r="233">
      <c r="A233" s="32" t="str">
        <f>IFERROR(__xludf.DUMMYFUNCTION("""COMPUTED_VALUE"""),"Lugh")</f>
        <v>Lugh</v>
      </c>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row>
    <row r="234">
      <c r="A234" s="32" t="str">
        <f>IFERROR(__xludf.DUMMYFUNCTION("""COMPUTED_VALUE"""),"Rooster")</f>
        <v>Rooster</v>
      </c>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row>
    <row r="235">
      <c r="A235" s="32" t="str">
        <f>IFERROR(__xludf.DUMMYFUNCTION("""COMPUTED_VALUE"""),"Stag")</f>
        <v>Stag</v>
      </c>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row>
    <row r="236">
      <c r="A236" s="32" t="str">
        <f>IFERROR(__xludf.DUMMYFUNCTION("""COMPUTED_VALUE"""),"Ox")</f>
        <v>Ox</v>
      </c>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row>
    <row r="237">
      <c r="A237" s="32" t="str">
        <f>IFERROR(__xludf.DUMMYFUNCTION("""COMPUTED_VALUE"""),"Boar")</f>
        <v>Boar</v>
      </c>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row>
    <row r="238">
      <c r="A238" s="32" t="str">
        <f>IFERROR(__xludf.DUMMYFUNCTION("""COMPUTED_VALUE"""),"Steed")</f>
        <v>Steed</v>
      </c>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row>
    <row r="239">
      <c r="A239" s="32" t="str">
        <f>IFERROR(__xludf.DUMMYFUNCTION("""COMPUTED_VALUE"""),"Donkey")</f>
        <v>Donkey</v>
      </c>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row>
    <row r="240">
      <c r="A240" s="32" t="str">
        <f>IFERROR(__xludf.DUMMYFUNCTION("""COMPUTED_VALUE"""),"Aonbharr of Manannán")</f>
        <v>Aonbharr of Manannán</v>
      </c>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row>
    <row r="241">
      <c r="A241" s="32" t="str">
        <f>IFERROR(__xludf.DUMMYFUNCTION("""COMPUTED_VALUE"""),"Failinis")</f>
        <v>Failinis</v>
      </c>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row>
    <row r="242">
      <c r="A242" s="32" t="str">
        <f>IFERROR(__xludf.DUMMYFUNCTION("""COMPUTED_VALUE"""),"The Puppet Master")</f>
        <v>The Puppet Master</v>
      </c>
      <c r="B242" s="32"/>
      <c r="C242" s="32"/>
      <c r="D242" s="32"/>
      <c r="E242" s="32"/>
      <c r="F242" s="32"/>
      <c r="G242" s="32" t="str">
        <f>IFERROR(__xludf.DUMMYFUNCTION("""COMPUTED_VALUE"""),"Immune")</f>
        <v>Immune</v>
      </c>
      <c r="H242" s="32" t="str">
        <f>IFERROR(__xludf.DUMMYFUNCTION("""COMPUTED_VALUE"""),"immune")</f>
        <v>immune</v>
      </c>
      <c r="I242" s="32"/>
      <c r="J242" s="32" t="str">
        <f>IFERROR(__xludf.DUMMYFUNCTION("""COMPUTED_VALUE"""),"immune")</f>
        <v>immune</v>
      </c>
      <c r="K242" s="32"/>
      <c r="L242" s="32"/>
      <c r="M242" s="32"/>
      <c r="N242" s="32"/>
      <c r="O242" s="32" t="str">
        <f>IFERROR(__xludf.DUMMYFUNCTION("""COMPUTED_VALUE"""),"Immune")</f>
        <v>Immune</v>
      </c>
      <c r="P242" s="32"/>
      <c r="Q242" s="32" t="str">
        <f>IFERROR(__xludf.DUMMYFUNCTION("""COMPUTED_VALUE"""),"immune")</f>
        <v>immune</v>
      </c>
      <c r="R242" s="32"/>
      <c r="S242" s="32"/>
      <c r="T242" s="32"/>
      <c r="U242" s="32"/>
      <c r="V242" s="32"/>
      <c r="W242" s="32"/>
      <c r="X242" s="32" t="str">
        <f>IFERROR(__xludf.DUMMYFUNCTION("""COMPUTED_VALUE"""),"Immune")</f>
        <v>Immune</v>
      </c>
      <c r="Y242" s="32" t="str">
        <f>IFERROR(__xludf.DUMMYFUNCTION("""COMPUTED_VALUE"""),"Immune")</f>
        <v>Immune</v>
      </c>
      <c r="Z242" s="32"/>
      <c r="AA242" s="32"/>
      <c r="AB242" s="32"/>
      <c r="AC242" s="32"/>
      <c r="AD242" s="32"/>
      <c r="AE242" s="32"/>
      <c r="AF242" s="32"/>
      <c r="AG242" s="32"/>
      <c r="AH242" s="32"/>
      <c r="AI242" s="32"/>
      <c r="AJ242" s="32"/>
      <c r="AK242" s="32"/>
    </row>
    <row r="243">
      <c r="A243" s="32" t="str">
        <f>IFERROR(__xludf.DUMMYFUNCTION("""COMPUTED_VALUE"""),"Puppet")</f>
        <v>Puppet</v>
      </c>
      <c r="B243" s="32"/>
      <c r="C243" s="32"/>
      <c r="D243" s="32"/>
      <c r="E243" s="32"/>
      <c r="F243" s="32"/>
      <c r="G243" s="32" t="str">
        <f>IFERROR(__xludf.DUMMYFUNCTION("""COMPUTED_VALUE"""),"Immune")</f>
        <v>Immune</v>
      </c>
      <c r="H243" s="32" t="str">
        <f>IFERROR(__xludf.DUMMYFUNCTION("""COMPUTED_VALUE"""),"immune")</f>
        <v>immune</v>
      </c>
      <c r="I243" s="32"/>
      <c r="J243" s="32" t="str">
        <f>IFERROR(__xludf.DUMMYFUNCTION("""COMPUTED_VALUE"""),"immune")</f>
        <v>immune</v>
      </c>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row>
    <row r="244">
      <c r="A244" s="32" t="str">
        <f>IFERROR(__xludf.DUMMYFUNCTION("""COMPUTED_VALUE"""),"Ancient Deer Of The Forest")</f>
        <v>Ancient Deer Of The Forest</v>
      </c>
      <c r="B244" s="32"/>
      <c r="C244" s="32"/>
      <c r="D244" s="32"/>
      <c r="E244" s="32"/>
      <c r="F244" s="32"/>
      <c r="G244" s="32"/>
      <c r="H244" s="32"/>
      <c r="I244" s="32"/>
      <c r="J244" s="32"/>
      <c r="K244" s="32" t="str">
        <f>IFERROR(__xludf.DUMMYFUNCTION("""COMPUTED_VALUE"""),"Immune")</f>
        <v>Immune</v>
      </c>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row>
    <row r="245">
      <c r="A245" s="32" t="str">
        <f>IFERROR(__xludf.DUMMYFUNCTION("""COMPUTED_VALUE"""),"Madem Hagbottom")</f>
        <v>Madem Hagbottom</v>
      </c>
      <c r="B245" s="32"/>
      <c r="C245" s="32"/>
      <c r="D245" s="32"/>
      <c r="E245" s="32"/>
      <c r="F245" s="32"/>
      <c r="G245" s="32" t="str">
        <f>IFERROR(__xludf.DUMMYFUNCTION("""COMPUTED_VALUE"""),"Immune")</f>
        <v>Immune</v>
      </c>
      <c r="H245" s="32"/>
      <c r="I245" s="32"/>
      <c r="J245" s="32" t="str">
        <f>IFERROR(__xludf.DUMMYFUNCTION("""COMPUTED_VALUE"""),"Immune")</f>
        <v>Immune</v>
      </c>
      <c r="K245" s="32"/>
      <c r="L245" s="32"/>
      <c r="M245" s="32"/>
      <c r="N245" s="32"/>
      <c r="O245" s="32" t="str">
        <f>IFERROR(__xludf.DUMMYFUNCTION("""COMPUTED_VALUE"""),"Immune")</f>
        <v>Immune</v>
      </c>
      <c r="P245" s="32" t="str">
        <f>IFERROR(__xludf.DUMMYFUNCTION("""COMPUTED_VALUE"""),"Immune")</f>
        <v>Immune</v>
      </c>
      <c r="Q245" s="32" t="str">
        <f>IFERROR(__xludf.DUMMYFUNCTION("""COMPUTED_VALUE"""),"Immune")</f>
        <v>Immune</v>
      </c>
      <c r="R245" s="32" t="str">
        <f>IFERROR(__xludf.DUMMYFUNCTION("""COMPUTED_VALUE"""),"Immune")</f>
        <v>Immune</v>
      </c>
      <c r="S245" s="32"/>
      <c r="T245" s="32"/>
      <c r="U245" s="32"/>
      <c r="V245" s="32"/>
      <c r="W245" s="32"/>
      <c r="X245" s="32" t="str">
        <f>IFERROR(__xludf.DUMMYFUNCTION("""COMPUTED_VALUE"""),"Immune")</f>
        <v>Immune</v>
      </c>
      <c r="Y245" s="32" t="str">
        <f>IFERROR(__xludf.DUMMYFUNCTION("""COMPUTED_VALUE"""),"Immune")</f>
        <v>Immune</v>
      </c>
      <c r="Z245" s="32"/>
      <c r="AA245" s="32" t="str">
        <f>IFERROR(__xludf.DUMMYFUNCTION("""COMPUTED_VALUE"""),"Immune")</f>
        <v>Immune</v>
      </c>
      <c r="AB245" s="32"/>
      <c r="AC245" s="32"/>
      <c r="AD245" s="32"/>
      <c r="AE245" s="32"/>
      <c r="AF245" s="32"/>
      <c r="AG245" s="32"/>
      <c r="AH245" s="32"/>
      <c r="AI245" s="32"/>
      <c r="AJ245" s="32"/>
      <c r="AK245" s="32"/>
    </row>
    <row r="246">
      <c r="A246" s="32" t="str">
        <f>IFERROR(__xludf.DUMMYFUNCTION("""COMPUTED_VALUE"""),"Jack Haggerson")</f>
        <v>Jack Haggerson</v>
      </c>
      <c r="B246" s="32"/>
      <c r="C246" s="32"/>
      <c r="D246" s="32"/>
      <c r="E246" s="32"/>
      <c r="F246" s="32"/>
      <c r="G246" s="32" t="str">
        <f>IFERROR(__xludf.DUMMYFUNCTION("""COMPUTED_VALUE"""),"Immune")</f>
        <v>Immune</v>
      </c>
      <c r="H246" s="32"/>
      <c r="I246" s="32"/>
      <c r="J246" s="32" t="str">
        <f>IFERROR(__xludf.DUMMYFUNCTION("""COMPUTED_VALUE"""),"Immune")</f>
        <v>Immune</v>
      </c>
      <c r="K246" s="32"/>
      <c r="L246" s="32"/>
      <c r="M246" s="32"/>
      <c r="N246" s="32"/>
      <c r="O246" s="32" t="str">
        <f>IFERROR(__xludf.DUMMYFUNCTION("""COMPUTED_VALUE"""),"Immune")</f>
        <v>Immune</v>
      </c>
      <c r="P246" s="32" t="str">
        <f>IFERROR(__xludf.DUMMYFUNCTION("""COMPUTED_VALUE"""),"Immune")</f>
        <v>Immune</v>
      </c>
      <c r="Q246" s="32" t="str">
        <f>IFERROR(__xludf.DUMMYFUNCTION("""COMPUTED_VALUE"""),"Immune")</f>
        <v>Immune</v>
      </c>
      <c r="R246" s="32" t="str">
        <f>IFERROR(__xludf.DUMMYFUNCTION("""COMPUTED_VALUE"""),"Immune")</f>
        <v>Immune</v>
      </c>
      <c r="S246" s="32"/>
      <c r="T246" s="32"/>
      <c r="U246" s="32"/>
      <c r="V246" s="32"/>
      <c r="W246" s="32"/>
      <c r="X246" s="32" t="str">
        <f>IFERROR(__xludf.DUMMYFUNCTION("""COMPUTED_VALUE"""),"Immune")</f>
        <v>Immune</v>
      </c>
      <c r="Y246" s="32" t="str">
        <f>IFERROR(__xludf.DUMMYFUNCTION("""COMPUTED_VALUE"""),"Immune")</f>
        <v>Immune</v>
      </c>
      <c r="Z246" s="32"/>
      <c r="AA246" s="32" t="str">
        <f>IFERROR(__xludf.DUMMYFUNCTION("""COMPUTED_VALUE"""),"Immune")</f>
        <v>Immune</v>
      </c>
      <c r="AB246" s="32"/>
      <c r="AC246" s="32"/>
      <c r="AD246" s="32"/>
      <c r="AE246" s="32"/>
      <c r="AF246" s="32"/>
      <c r="AG246" s="32"/>
      <c r="AH246" s="32"/>
      <c r="AI246" s="32"/>
      <c r="AJ246" s="32"/>
      <c r="AK246" s="32"/>
    </row>
    <row r="247">
      <c r="A247" s="32" t="str">
        <f>IFERROR(__xludf.DUMMYFUNCTION("""COMPUTED_VALUE"""),"Mod ""The Evil Seahag From Hagstown""")</f>
        <v>Mod "The Evil Seahag From Hagstown"</v>
      </c>
      <c r="B247" s="32"/>
      <c r="C247" s="32"/>
      <c r="D247" s="32"/>
      <c r="E247" s="32"/>
      <c r="F247" s="32"/>
      <c r="G247" s="32" t="str">
        <f>IFERROR(__xludf.DUMMYFUNCTION("""COMPUTED_VALUE"""),"Immune")</f>
        <v>Immune</v>
      </c>
      <c r="H247" s="32"/>
      <c r="I247" s="32"/>
      <c r="J247" s="32" t="str">
        <f>IFERROR(__xludf.DUMMYFUNCTION("""COMPUTED_VALUE"""),"Immune")</f>
        <v>Immune</v>
      </c>
      <c r="K247" s="32"/>
      <c r="L247" s="32"/>
      <c r="M247" s="32"/>
      <c r="N247" s="32"/>
      <c r="O247" s="32" t="str">
        <f>IFERROR(__xludf.DUMMYFUNCTION("""COMPUTED_VALUE"""),"Immune")</f>
        <v>Immune</v>
      </c>
      <c r="P247" s="32" t="str">
        <f>IFERROR(__xludf.DUMMYFUNCTION("""COMPUTED_VALUE"""),"Immune")</f>
        <v>Immune</v>
      </c>
      <c r="Q247" s="32" t="str">
        <f>IFERROR(__xludf.DUMMYFUNCTION("""COMPUTED_VALUE"""),"Immune")</f>
        <v>Immune</v>
      </c>
      <c r="R247" s="32" t="str">
        <f>IFERROR(__xludf.DUMMYFUNCTION("""COMPUTED_VALUE"""),"Immune")</f>
        <v>Immune</v>
      </c>
      <c r="S247" s="32"/>
      <c r="T247" s="32"/>
      <c r="U247" s="32"/>
      <c r="V247" s="32"/>
      <c r="W247" s="32"/>
      <c r="X247" s="32" t="str">
        <f>IFERROR(__xludf.DUMMYFUNCTION("""COMPUTED_VALUE"""),"Immune")</f>
        <v>Immune</v>
      </c>
      <c r="Y247" s="32" t="str">
        <f>IFERROR(__xludf.DUMMYFUNCTION("""COMPUTED_VALUE"""),"Immune")</f>
        <v>Immune</v>
      </c>
      <c r="Z247" s="32"/>
      <c r="AA247" s="32" t="str">
        <f>IFERROR(__xludf.DUMMYFUNCTION("""COMPUTED_VALUE"""),"Immune")</f>
        <v>Immune</v>
      </c>
      <c r="AB247" s="32"/>
      <c r="AC247" s="32"/>
      <c r="AD247" s="32"/>
      <c r="AE247" s="32"/>
      <c r="AF247" s="32"/>
      <c r="AG247" s="32"/>
      <c r="AH247" s="32"/>
      <c r="AI247" s="32"/>
      <c r="AJ247" s="32"/>
      <c r="AK247" s="32"/>
    </row>
    <row r="248">
      <c r="A248" s="32" t="str">
        <f>IFERROR(__xludf.DUMMYFUNCTION("""COMPUTED_VALUE"""),"The Grim Reaper")</f>
        <v>The Grim Reaper</v>
      </c>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f>IFERROR(__xludf.DUMMYFUNCTION("""COMPUTED_VALUE"""),100.0)</f>
        <v>100</v>
      </c>
      <c r="AC248" s="32"/>
      <c r="AD248" s="32"/>
      <c r="AE248" s="32"/>
      <c r="AF248" s="32"/>
      <c r="AG248" s="32"/>
      <c r="AH248" s="32"/>
      <c r="AI248" s="32"/>
      <c r="AJ248" s="32"/>
      <c r="AK248" s="32"/>
    </row>
    <row r="249">
      <c r="A249" s="32" t="str">
        <f>IFERROR(__xludf.DUMMYFUNCTION("""COMPUTED_VALUE"""),"Vampire Lord")</f>
        <v>Vampire Lord</v>
      </c>
      <c r="B249" s="32"/>
      <c r="C249" s="32"/>
      <c r="D249" s="32"/>
      <c r="E249" s="32"/>
      <c r="F249" s="32"/>
      <c r="G249" s="32" t="str">
        <f>IFERROR(__xludf.DUMMYFUNCTION("""COMPUTED_VALUE"""),"Immune")</f>
        <v>Immune</v>
      </c>
      <c r="H249" s="32"/>
      <c r="I249" s="32"/>
      <c r="J249" s="32"/>
      <c r="K249" s="32"/>
      <c r="L249" s="32"/>
      <c r="M249" s="32"/>
      <c r="N249" s="32"/>
      <c r="O249" s="32"/>
      <c r="P249" s="32"/>
      <c r="Q249" s="32"/>
      <c r="R249" s="32"/>
      <c r="S249" s="32"/>
      <c r="T249" s="32"/>
      <c r="U249" s="32"/>
      <c r="V249" s="32"/>
      <c r="W249" s="32"/>
      <c r="X249" s="32" t="str">
        <f>IFERROR(__xludf.DUMMYFUNCTION("""COMPUTED_VALUE"""),"Immune")</f>
        <v>Immune</v>
      </c>
      <c r="Y249" s="32"/>
      <c r="Z249" s="32"/>
      <c r="AA249" s="32"/>
      <c r="AB249" s="32"/>
      <c r="AC249" s="32"/>
      <c r="AD249" s="32"/>
      <c r="AE249" s="32"/>
      <c r="AF249" s="32"/>
      <c r="AG249" s="32"/>
      <c r="AH249" s="32"/>
      <c r="AI249" s="32"/>
      <c r="AJ249" s="32"/>
      <c r="AK249" s="32"/>
    </row>
    <row r="250">
      <c r="A250" s="32" t="str">
        <f>IFERROR(__xludf.DUMMYFUNCTION("""COMPUTED_VALUE"""),"Titonium The Destroyer")</f>
        <v>Titonium The Destroyer</v>
      </c>
      <c r="B250" s="32"/>
      <c r="C250" s="32"/>
      <c r="D250" s="32"/>
      <c r="E250" s="32"/>
      <c r="F250" s="32"/>
      <c r="G250" s="32"/>
      <c r="H250" s="32"/>
      <c r="I250" s="32"/>
      <c r="J250" s="32"/>
      <c r="K250" s="32"/>
      <c r="L250" s="32"/>
      <c r="M250" s="32"/>
      <c r="N250" s="32"/>
      <c r="O250" s="32"/>
      <c r="P250" s="32"/>
      <c r="Q250" s="32"/>
      <c r="R250" s="32"/>
      <c r="S250" s="32"/>
      <c r="T250" s="32"/>
      <c r="U250" s="32"/>
      <c r="V250" s="32"/>
      <c r="W250" s="32"/>
      <c r="X250" s="32" t="str">
        <f>IFERROR(__xludf.DUMMYFUNCTION("""COMPUTED_VALUE"""),"Immune")</f>
        <v>Immune</v>
      </c>
      <c r="Y250" s="32"/>
      <c r="Z250" s="32"/>
      <c r="AA250" s="32"/>
      <c r="AB250" s="32"/>
      <c r="AC250" s="32"/>
      <c r="AD250" s="32"/>
      <c r="AE250" s="32"/>
      <c r="AF250" s="32"/>
      <c r="AG250" s="32"/>
      <c r="AH250" s="32"/>
      <c r="AI250" s="32"/>
      <c r="AJ250" s="32"/>
      <c r="AK250" s="32"/>
    </row>
    <row r="251">
      <c r="A251" s="32" t="str">
        <f>IFERROR(__xludf.DUMMYFUNCTION("""COMPUTED_VALUE"""),"Frost Dragon")</f>
        <v>Frost Dragon</v>
      </c>
      <c r="B251" s="32"/>
      <c r="C251" s="32" t="str">
        <f>IFERROR(__xludf.DUMMYFUNCTION("""COMPUTED_VALUE"""),"Immune")</f>
        <v>Immune</v>
      </c>
      <c r="D251" s="32"/>
      <c r="E251" s="32"/>
      <c r="F251" s="32"/>
      <c r="G251" s="32"/>
      <c r="H251" s="32"/>
      <c r="I251" s="32"/>
      <c r="J251" s="32"/>
      <c r="K251" s="32"/>
      <c r="L251" s="32"/>
      <c r="M251" s="32"/>
      <c r="N251" s="32"/>
      <c r="O251" s="32"/>
      <c r="P251" s="32"/>
      <c r="Q251" s="32"/>
      <c r="R251" s="32"/>
      <c r="S251" s="32"/>
      <c r="T251" s="32"/>
      <c r="U251" s="32"/>
      <c r="V251" s="32"/>
      <c r="W251" s="32"/>
      <c r="X251" s="32" t="str">
        <f>IFERROR(__xludf.DUMMYFUNCTION("""COMPUTED_VALUE"""),"Immune")</f>
        <v>Immune</v>
      </c>
      <c r="Y251" s="32" t="str">
        <f>IFERROR(__xludf.DUMMYFUNCTION("""COMPUTED_VALUE"""),"Immune")</f>
        <v>Immune</v>
      </c>
      <c r="Z251" s="32"/>
      <c r="AA251" s="32" t="str">
        <f>IFERROR(__xludf.DUMMYFUNCTION("""COMPUTED_VALUE"""),"Immune")</f>
        <v>Immune</v>
      </c>
      <c r="AB251" s="32"/>
      <c r="AC251" s="32"/>
      <c r="AD251" s="32"/>
      <c r="AE251" s="32"/>
      <c r="AF251" s="32"/>
      <c r="AG251" s="32"/>
      <c r="AH251" s="32"/>
      <c r="AI251" s="32"/>
      <c r="AJ251" s="32"/>
      <c r="AK251" s="32"/>
    </row>
    <row r="252">
      <c r="A252" s="32" t="str">
        <f>IFERROR(__xludf.DUMMYFUNCTION("""COMPUTED_VALUE"""),"Fire Dragon")</f>
        <v>Fire Dragon</v>
      </c>
      <c r="B252" s="32" t="str">
        <f>IFERROR(__xludf.DUMMYFUNCTION("""COMPUTED_VALUE"""),"Immune")</f>
        <v>Immune</v>
      </c>
      <c r="C252" s="32"/>
      <c r="D252" s="32"/>
      <c r="E252" s="32"/>
      <c r="F252" s="32"/>
      <c r="G252" s="32"/>
      <c r="H252" s="32"/>
      <c r="I252" s="32"/>
      <c r="J252" s="32"/>
      <c r="K252" s="32" t="str">
        <f>IFERROR(__xludf.DUMMYFUNCTION("""COMPUTED_VALUE"""),"Immune")</f>
        <v>Immune</v>
      </c>
      <c r="L252" s="32"/>
      <c r="M252" s="32"/>
      <c r="N252" s="32"/>
      <c r="O252" s="32"/>
      <c r="P252" s="32"/>
      <c r="Q252" s="32"/>
      <c r="R252" s="32"/>
      <c r="S252" s="32"/>
      <c r="T252" s="32"/>
      <c r="U252" s="32"/>
      <c r="V252" s="32"/>
      <c r="W252" s="32"/>
      <c r="X252" s="32" t="str">
        <f>IFERROR(__xludf.DUMMYFUNCTION("""COMPUTED_VALUE"""),"Immune")</f>
        <v>Immune</v>
      </c>
      <c r="Y252" s="32" t="str">
        <f>IFERROR(__xludf.DUMMYFUNCTION("""COMPUTED_VALUE"""),"Immune")</f>
        <v>Immune</v>
      </c>
      <c r="Z252" s="32"/>
      <c r="AA252" s="32" t="str">
        <f>IFERROR(__xludf.DUMMYFUNCTION("""COMPUTED_VALUE"""),"Immune")</f>
        <v>Immune</v>
      </c>
      <c r="AB252" s="32"/>
      <c r="AC252" s="32"/>
      <c r="AD252" s="32"/>
      <c r="AE252" s="32"/>
      <c r="AF252" s="32"/>
      <c r="AG252" s="32"/>
      <c r="AH252" s="32"/>
      <c r="AI252" s="32"/>
      <c r="AJ252" s="32"/>
      <c r="AK252" s="32"/>
    </row>
    <row r="253">
      <c r="A253" s="32" t="str">
        <f>IFERROR(__xludf.DUMMYFUNCTION("""COMPUTED_VALUE"""),"Astral Dragon")</f>
        <v>Astral Dragon</v>
      </c>
      <c r="B253" s="32"/>
      <c r="C253" s="32"/>
      <c r="D253" s="32"/>
      <c r="E253" s="32"/>
      <c r="F253" s="32"/>
      <c r="G253" s="32"/>
      <c r="H253" s="32"/>
      <c r="I253" s="32"/>
      <c r="J253" s="32"/>
      <c r="K253" s="32"/>
      <c r="L253" s="32"/>
      <c r="M253" s="32"/>
      <c r="N253" s="32"/>
      <c r="O253" s="32"/>
      <c r="P253" s="32"/>
      <c r="Q253" s="32"/>
      <c r="R253" s="32"/>
      <c r="S253" s="32"/>
      <c r="T253" s="32"/>
      <c r="U253" s="32"/>
      <c r="V253" s="32" t="str">
        <f>IFERROR(__xludf.DUMMYFUNCTION("""COMPUTED_VALUE"""),"Immune")</f>
        <v>Immune</v>
      </c>
      <c r="W253" s="32"/>
      <c r="X253" s="32" t="str">
        <f>IFERROR(__xludf.DUMMYFUNCTION("""COMPUTED_VALUE"""),"Immune")</f>
        <v>Immune</v>
      </c>
      <c r="Y253" s="32" t="str">
        <f>IFERROR(__xludf.DUMMYFUNCTION("""COMPUTED_VALUE"""),"Immune")</f>
        <v>Immune</v>
      </c>
      <c r="Z253" s="32"/>
      <c r="AA253" s="32" t="str">
        <f>IFERROR(__xludf.DUMMYFUNCTION("""COMPUTED_VALUE"""),"Immune")</f>
        <v>Immune</v>
      </c>
      <c r="AB253" s="32"/>
      <c r="AC253" s="32"/>
      <c r="AD253" s="32"/>
      <c r="AE253" s="32"/>
      <c r="AF253" s="32"/>
      <c r="AG253" s="32"/>
      <c r="AH253" s="32"/>
      <c r="AI253" s="32"/>
      <c r="AJ253" s="32"/>
      <c r="AK253" s="32"/>
    </row>
    <row r="254">
      <c r="A254" s="32" t="str">
        <f>IFERROR(__xludf.DUMMYFUNCTION("""COMPUTED_VALUE"""),"Celestial Dragon")</f>
        <v>Celestial Dragon</v>
      </c>
      <c r="B254" s="32"/>
      <c r="C254" s="32"/>
      <c r="D254" s="32"/>
      <c r="E254" s="32"/>
      <c r="F254" s="32"/>
      <c r="G254" s="32"/>
      <c r="H254" s="32"/>
      <c r="I254" s="32"/>
      <c r="J254" s="32"/>
      <c r="K254" s="32"/>
      <c r="L254" s="32"/>
      <c r="M254" s="32"/>
      <c r="N254" s="32"/>
      <c r="O254" s="32"/>
      <c r="P254" s="32"/>
      <c r="Q254" s="32"/>
      <c r="R254" s="32"/>
      <c r="S254" s="32"/>
      <c r="T254" s="32"/>
      <c r="U254" s="32"/>
      <c r="V254" s="32"/>
      <c r="W254" s="32" t="str">
        <f>IFERROR(__xludf.DUMMYFUNCTION("""COMPUTED_VALUE"""),"Immune")</f>
        <v>Immune</v>
      </c>
      <c r="X254" s="32" t="str">
        <f>IFERROR(__xludf.DUMMYFUNCTION("""COMPUTED_VALUE"""),"Immune")</f>
        <v>Immune</v>
      </c>
      <c r="Y254" s="32" t="str">
        <f>IFERROR(__xludf.DUMMYFUNCTION("""COMPUTED_VALUE"""),"Immune")</f>
        <v>Immune</v>
      </c>
      <c r="Z254" s="32"/>
      <c r="AA254" s="32" t="str">
        <f>IFERROR(__xludf.DUMMYFUNCTION("""COMPUTED_VALUE"""),"Immune")</f>
        <v>Immune</v>
      </c>
      <c r="AB254" s="32"/>
      <c r="AC254" s="32"/>
      <c r="AD254" s="32"/>
      <c r="AE254" s="32"/>
      <c r="AF254" s="32"/>
      <c r="AG254" s="32"/>
      <c r="AH254" s="32"/>
      <c r="AI254" s="32"/>
      <c r="AJ254" s="32"/>
      <c r="AK254" s="32"/>
    </row>
    <row r="255">
      <c r="A255" s="32" t="str">
        <f>IFERROR(__xludf.DUMMYFUNCTION("""COMPUTED_VALUE"""),"Spirit Dragon")</f>
        <v>Spirit Dragon</v>
      </c>
      <c r="B255" s="32"/>
      <c r="C255" s="32"/>
      <c r="D255" s="32"/>
      <c r="E255" s="32"/>
      <c r="F255" s="32"/>
      <c r="G255" s="32" t="str">
        <f>IFERROR(__xludf.DUMMYFUNCTION("""COMPUTED_VALUE"""),"Immune")</f>
        <v>Immune</v>
      </c>
      <c r="H255" s="32"/>
      <c r="I255" s="32"/>
      <c r="J255" s="32"/>
      <c r="K255" s="32"/>
      <c r="L255" s="32"/>
      <c r="M255" s="32"/>
      <c r="N255" s="32"/>
      <c r="O255" s="32"/>
      <c r="P255" s="32"/>
      <c r="Q255" s="32"/>
      <c r="R255" s="32"/>
      <c r="S255" s="32"/>
      <c r="T255" s="32"/>
      <c r="U255" s="32"/>
      <c r="V255" s="32"/>
      <c r="W255" s="32"/>
      <c r="X255" s="32" t="str">
        <f>IFERROR(__xludf.DUMMYFUNCTION("""COMPUTED_VALUE"""),"Immune")</f>
        <v>Immune</v>
      </c>
      <c r="Y255" s="32" t="str">
        <f>IFERROR(__xludf.DUMMYFUNCTION("""COMPUTED_VALUE"""),"Immune")</f>
        <v>Immune</v>
      </c>
      <c r="Z255" s="32"/>
      <c r="AA255" s="32" t="str">
        <f>IFERROR(__xludf.DUMMYFUNCTION("""COMPUTED_VALUE"""),"Immune")</f>
        <v>Immune</v>
      </c>
      <c r="AB255" s="32"/>
      <c r="AC255" s="32"/>
      <c r="AD255" s="32"/>
      <c r="AE255" s="32"/>
      <c r="AF255" s="32"/>
      <c r="AG255" s="32"/>
      <c r="AH255" s="32"/>
      <c r="AI255" s="32"/>
      <c r="AJ255" s="32"/>
      <c r="AK255" s="32"/>
    </row>
    <row r="256">
      <c r="A256" s="32" t="str">
        <f>IFERROR(__xludf.DUMMYFUNCTION("""COMPUTED_VALUE"""),"Soul Dragon")</f>
        <v>Soul Dragon</v>
      </c>
      <c r="B256" s="32"/>
      <c r="C256" s="32"/>
      <c r="D256" s="32"/>
      <c r="E256" s="32"/>
      <c r="F256" s="32"/>
      <c r="G256" s="32" t="str">
        <f>IFERROR(__xludf.DUMMYFUNCTION("""COMPUTED_VALUE"""),"Immune")</f>
        <v>Immune</v>
      </c>
      <c r="H256" s="32"/>
      <c r="I256" s="32"/>
      <c r="J256" s="32"/>
      <c r="K256" s="32"/>
      <c r="L256" s="32"/>
      <c r="M256" s="32"/>
      <c r="N256" s="32"/>
      <c r="O256" s="32"/>
      <c r="P256" s="32"/>
      <c r="Q256" s="32"/>
      <c r="R256" s="32"/>
      <c r="S256" s="32"/>
      <c r="T256" s="32"/>
      <c r="U256" s="32"/>
      <c r="V256" s="32"/>
      <c r="W256" s="32"/>
      <c r="X256" s="32" t="str">
        <f>IFERROR(__xludf.DUMMYFUNCTION("""COMPUTED_VALUE"""),"Immune")</f>
        <v>Immune</v>
      </c>
      <c r="Y256" s="32" t="str">
        <f>IFERROR(__xludf.DUMMYFUNCTION("""COMPUTED_VALUE"""),"Immune")</f>
        <v>Immune</v>
      </c>
      <c r="Z256" s="32"/>
      <c r="AA256" s="32" t="str">
        <f>IFERROR(__xludf.DUMMYFUNCTION("""COMPUTED_VALUE"""),"Immune")</f>
        <v>Immune</v>
      </c>
      <c r="AB256" s="32"/>
      <c r="AC256" s="32"/>
      <c r="AD256" s="32"/>
      <c r="AE256" s="32"/>
      <c r="AF256" s="32"/>
      <c r="AG256" s="32"/>
      <c r="AH256" s="32"/>
      <c r="AI256" s="32"/>
      <c r="AJ256" s="32"/>
      <c r="AK256" s="32"/>
    </row>
    <row r="257">
      <c r="A257" s="32" t="str">
        <f>IFERROR(__xludf.DUMMYFUNCTION("""COMPUTED_VALUE"""),"Aquatic Serpent")</f>
        <v>Aquatic Serpent</v>
      </c>
      <c r="B257" s="32" t="str">
        <f>IFERROR(__xludf.DUMMYFUNCTION("""COMPUTED_VALUE"""),"Immune")</f>
        <v>Immune</v>
      </c>
      <c r="C257" s="32" t="str">
        <f>IFERROR(__xludf.DUMMYFUNCTION("""COMPUTED_VALUE"""),"Immune")</f>
        <v>Immune</v>
      </c>
      <c r="D257" s="32"/>
      <c r="E257" s="32"/>
      <c r="F257" s="32"/>
      <c r="G257" s="32"/>
      <c r="H257" s="32"/>
      <c r="I257" s="32"/>
      <c r="J257" s="32"/>
      <c r="K257" s="32"/>
      <c r="L257" s="32"/>
      <c r="M257" s="32"/>
      <c r="N257" s="32"/>
      <c r="O257" s="32"/>
      <c r="P257" s="32"/>
      <c r="Q257" s="32"/>
      <c r="R257" s="32"/>
      <c r="S257" s="32"/>
      <c r="T257" s="32"/>
      <c r="U257" s="32"/>
      <c r="V257" s="32"/>
      <c r="W257" s="32"/>
      <c r="X257" s="32" t="str">
        <f>IFERROR(__xludf.DUMMYFUNCTION("""COMPUTED_VALUE"""),"Immune")</f>
        <v>Immune</v>
      </c>
      <c r="Y257" s="32" t="str">
        <f>IFERROR(__xludf.DUMMYFUNCTION("""COMPUTED_VALUE"""),"Immune")</f>
        <v>Immune</v>
      </c>
      <c r="Z257" s="32"/>
      <c r="AA257" s="32" t="str">
        <f>IFERROR(__xludf.DUMMYFUNCTION("""COMPUTED_VALUE"""),"Immune")</f>
        <v>Immune</v>
      </c>
      <c r="AB257" s="32"/>
      <c r="AC257" s="32"/>
      <c r="AD257" s="32"/>
      <c r="AE257" s="32"/>
      <c r="AF257" s="32"/>
      <c r="AG257" s="32"/>
      <c r="AH257" s="32"/>
      <c r="AI257" s="32"/>
      <c r="AJ257" s="32"/>
      <c r="AK257" s="32"/>
    </row>
    <row r="258">
      <c r="A258" s="32" t="str">
        <f>IFERROR(__xludf.DUMMYFUNCTION("""COMPUTED_VALUE"""),"Dark Dragon")</f>
        <v>Dark Dragon</v>
      </c>
      <c r="B258" s="32"/>
      <c r="C258" s="32"/>
      <c r="D258" s="32"/>
      <c r="E258" s="32"/>
      <c r="F258" s="32"/>
      <c r="G258" s="32" t="str">
        <f>IFERROR(__xludf.DUMMYFUNCTION("""COMPUTED_VALUE"""),"Immune")</f>
        <v>Immune</v>
      </c>
      <c r="H258" s="32"/>
      <c r="I258" s="32"/>
      <c r="J258" s="32"/>
      <c r="K258" s="32"/>
      <c r="L258" s="32"/>
      <c r="M258" s="32"/>
      <c r="N258" s="32"/>
      <c r="O258" s="32"/>
      <c r="P258" s="32"/>
      <c r="Q258" s="32"/>
      <c r="R258" s="32"/>
      <c r="S258" s="32"/>
      <c r="T258" s="32"/>
      <c r="U258" s="32"/>
      <c r="V258" s="32"/>
      <c r="W258" s="32"/>
      <c r="X258" s="32" t="str">
        <f>IFERROR(__xludf.DUMMYFUNCTION("""COMPUTED_VALUE"""),"Immune")</f>
        <v>Immune</v>
      </c>
      <c r="Y258" s="32" t="str">
        <f>IFERROR(__xludf.DUMMYFUNCTION("""COMPUTED_VALUE"""),"Immune")</f>
        <v>Immune</v>
      </c>
      <c r="Z258" s="32"/>
      <c r="AA258" s="32" t="str">
        <f>IFERROR(__xludf.DUMMYFUNCTION("""COMPUTED_VALUE"""),"Immune")</f>
        <v>Immune</v>
      </c>
      <c r="AB258" s="32"/>
      <c r="AC258" s="32"/>
      <c r="AD258" s="32"/>
      <c r="AE258" s="32"/>
      <c r="AF258" s="32"/>
      <c r="AG258" s="32"/>
      <c r="AH258" s="32"/>
      <c r="AI258" s="32"/>
      <c r="AJ258" s="32"/>
      <c r="AK258" s="32"/>
    </row>
    <row r="259">
      <c r="A259" s="32"/>
      <c r="B259" s="32"/>
      <c r="C259" s="32"/>
      <c r="D259" s="32"/>
      <c r="E259" s="32"/>
      <c r="F259" s="32"/>
      <c r="G259" s="32"/>
      <c r="H259" s="32"/>
      <c r="I259" s="32"/>
      <c r="J259" s="32"/>
      <c r="K259" s="32" t="str">
        <f>IFERROR(__xludf.DUMMYFUNCTION("""COMPUTED_VALUE"""),"Immune")</f>
        <v>Immune</v>
      </c>
      <c r="L259" s="32"/>
      <c r="M259" s="32"/>
      <c r="N259" s="32"/>
      <c r="O259" s="32"/>
      <c r="P259" s="32"/>
      <c r="Q259" s="32"/>
      <c r="R259" s="32"/>
      <c r="S259" s="32"/>
      <c r="T259" s="32"/>
      <c r="U259" s="32"/>
      <c r="V259" s="32"/>
      <c r="W259" s="32"/>
      <c r="X259" s="32" t="str">
        <f>IFERROR(__xludf.DUMMYFUNCTION("""COMPUTED_VALUE"""),"Immune")</f>
        <v>Immune</v>
      </c>
      <c r="Y259" s="32" t="str">
        <f>IFERROR(__xludf.DUMMYFUNCTION("""COMPUTED_VALUE"""),"Immune")</f>
        <v>Immune</v>
      </c>
      <c r="Z259" s="32"/>
      <c r="AA259" s="32" t="str">
        <f>IFERROR(__xludf.DUMMYFUNCTION("""COMPUTED_VALUE"""),"Immune")</f>
        <v>Immune</v>
      </c>
      <c r="AB259" s="32"/>
      <c r="AC259" s="32"/>
      <c r="AD259" s="32"/>
      <c r="AE259" s="32"/>
      <c r="AF259" s="32"/>
      <c r="AG259" s="32"/>
      <c r="AH259" s="32"/>
      <c r="AI259" s="32"/>
      <c r="AJ259" s="32"/>
      <c r="AK259" s="32"/>
    </row>
    <row r="260">
      <c r="A260" s="32"/>
      <c r="B260" s="32" t="str">
        <f>IFERROR(__xludf.DUMMYFUNCTION("""COMPUTED_VALUE"""),"Immune")</f>
        <v>Immune</v>
      </c>
      <c r="C260" s="32"/>
      <c r="D260" s="32"/>
      <c r="E260" s="32"/>
      <c r="F260" s="32"/>
      <c r="G260" s="32"/>
      <c r="H260" s="32"/>
      <c r="I260" s="32"/>
      <c r="J260" s="32"/>
      <c r="K260" s="32"/>
      <c r="L260" s="32"/>
      <c r="M260" s="32"/>
      <c r="N260" s="32"/>
      <c r="O260" s="32"/>
      <c r="P260" s="32"/>
      <c r="Q260" s="32"/>
      <c r="R260" s="32"/>
      <c r="S260" s="32"/>
      <c r="T260" s="32"/>
      <c r="U260" s="32"/>
      <c r="V260" s="32"/>
      <c r="W260" s="32"/>
      <c r="X260" s="32" t="str">
        <f>IFERROR(__xludf.DUMMYFUNCTION("""COMPUTED_VALUE"""),"Immune")</f>
        <v>Immune</v>
      </c>
      <c r="Y260" s="32" t="str">
        <f>IFERROR(__xludf.DUMMYFUNCTION("""COMPUTED_VALUE"""),"Immune")</f>
        <v>Immune</v>
      </c>
      <c r="Z260" s="32"/>
      <c r="AA260" s="32" t="str">
        <f>IFERROR(__xludf.DUMMYFUNCTION("""COMPUTED_VALUE"""),"Immune")</f>
        <v>Immune</v>
      </c>
      <c r="AB260" s="32"/>
      <c r="AC260" s="32"/>
      <c r="AD260" s="32"/>
      <c r="AE260" s="32"/>
      <c r="AF260" s="32"/>
      <c r="AG260" s="32"/>
      <c r="AH260" s="32"/>
      <c r="AI260" s="32"/>
      <c r="AJ260" s="32"/>
      <c r="AK260" s="32"/>
    </row>
    <row r="261">
      <c r="A261" s="32" t="str">
        <f>IFERROR(__xludf.DUMMYFUNCTION("""COMPUTED_VALUE"""),"Volcanic Void Dragon")</f>
        <v>Volcanic Void Dragon</v>
      </c>
      <c r="B261" s="32"/>
      <c r="C261" s="32"/>
      <c r="D261" s="32"/>
      <c r="E261" s="32"/>
      <c r="F261" s="32"/>
      <c r="G261" s="32"/>
      <c r="H261" s="32"/>
      <c r="I261" s="32"/>
      <c r="J261" s="32"/>
      <c r="K261" s="32" t="str">
        <f>IFERROR(__xludf.DUMMYFUNCTION("""COMPUTED_VALUE"""),"Immune")</f>
        <v>Immune</v>
      </c>
      <c r="L261" s="32"/>
      <c r="M261" s="32"/>
      <c r="N261" s="32"/>
      <c r="O261" s="32"/>
      <c r="P261" s="32"/>
      <c r="Q261" s="32"/>
      <c r="R261" s="32"/>
      <c r="S261" s="32"/>
      <c r="T261" s="32"/>
      <c r="U261" s="32"/>
      <c r="V261" s="32"/>
      <c r="W261" s="32"/>
      <c r="X261" s="32" t="str">
        <f>IFERROR(__xludf.DUMMYFUNCTION("""COMPUTED_VALUE"""),"Immune")</f>
        <v>Immune</v>
      </c>
      <c r="Y261" s="32" t="str">
        <f>IFERROR(__xludf.DUMMYFUNCTION("""COMPUTED_VALUE"""),"Immune")</f>
        <v>Immune</v>
      </c>
      <c r="Z261" s="32"/>
      <c r="AA261" s="32" t="str">
        <f>IFERROR(__xludf.DUMMYFUNCTION("""COMPUTED_VALUE"""),"Immune")</f>
        <v>Immune</v>
      </c>
      <c r="AB261" s="32"/>
      <c r="AC261" s="32"/>
      <c r="AD261" s="32"/>
      <c r="AE261" s="32"/>
      <c r="AF261" s="32"/>
      <c r="AG261" s="32"/>
      <c r="AH261" s="32"/>
      <c r="AI261" s="32"/>
      <c r="AJ261" s="32"/>
      <c r="AK261" s="32"/>
    </row>
    <row r="262">
      <c r="A262" s="32" t="str">
        <f>IFERROR(__xludf.DUMMYFUNCTION("""COMPUTED_VALUE"""),"Swamp Dragon")</f>
        <v>Swamp Dragon</v>
      </c>
      <c r="B262" s="32"/>
      <c r="C262" s="32"/>
      <c r="D262" s="32"/>
      <c r="E262" s="32"/>
      <c r="F262" s="32"/>
      <c r="G262" s="32"/>
      <c r="H262" s="32"/>
      <c r="I262" s="32"/>
      <c r="J262" s="32"/>
      <c r="K262" s="32" t="str">
        <f>IFERROR(__xludf.DUMMYFUNCTION("""COMPUTED_VALUE"""),"Immune")</f>
        <v>Immune</v>
      </c>
      <c r="L262" s="32"/>
      <c r="M262" s="32"/>
      <c r="N262" s="32"/>
      <c r="O262" s="32"/>
      <c r="P262" s="32"/>
      <c r="Q262" s="32"/>
      <c r="R262" s="32"/>
      <c r="S262" s="32"/>
      <c r="T262" s="32"/>
      <c r="U262" s="32"/>
      <c r="V262" s="32"/>
      <c r="W262" s="32"/>
      <c r="X262" s="32" t="str">
        <f>IFERROR(__xludf.DUMMYFUNCTION("""COMPUTED_VALUE"""),"Immune")</f>
        <v>Immune</v>
      </c>
      <c r="Y262" s="32" t="str">
        <f>IFERROR(__xludf.DUMMYFUNCTION("""COMPUTED_VALUE"""),"Immune")</f>
        <v>Immune</v>
      </c>
      <c r="Z262" s="32"/>
      <c r="AA262" s="32" t="str">
        <f>IFERROR(__xludf.DUMMYFUNCTION("""COMPUTED_VALUE"""),"Immune")</f>
        <v>Immune</v>
      </c>
      <c r="AB262" s="32"/>
      <c r="AC262" s="32"/>
      <c r="AD262" s="32"/>
      <c r="AE262" s="32"/>
      <c r="AF262" s="32"/>
      <c r="AG262" s="32"/>
      <c r="AH262" s="32"/>
      <c r="AI262" s="32"/>
      <c r="AJ262" s="32"/>
      <c r="AK262" s="32"/>
    </row>
    <row r="263">
      <c r="A263" s="32"/>
      <c r="B263" s="32" t="str">
        <f>IFERROR(__xludf.DUMMYFUNCTION("""COMPUTED_VALUE"""),"Immune")</f>
        <v>Immune</v>
      </c>
      <c r="C263" s="32"/>
      <c r="D263" s="32"/>
      <c r="E263" s="32"/>
      <c r="F263" s="32"/>
      <c r="G263" s="32"/>
      <c r="H263" s="32"/>
      <c r="I263" s="32"/>
      <c r="J263" s="32"/>
      <c r="K263" s="32"/>
      <c r="L263" s="32"/>
      <c r="M263" s="32"/>
      <c r="N263" s="32"/>
      <c r="O263" s="32"/>
      <c r="P263" s="32"/>
      <c r="Q263" s="32"/>
      <c r="R263" s="32"/>
      <c r="S263" s="32"/>
      <c r="T263" s="32"/>
      <c r="U263" s="32"/>
      <c r="V263" s="32"/>
      <c r="W263" s="32"/>
      <c r="X263" s="32" t="str">
        <f>IFERROR(__xludf.DUMMYFUNCTION("""COMPUTED_VALUE"""),"Immune")</f>
        <v>Immune</v>
      </c>
      <c r="Y263" s="32" t="str">
        <f>IFERROR(__xludf.DUMMYFUNCTION("""COMPUTED_VALUE"""),"Immune")</f>
        <v>Immune</v>
      </c>
      <c r="Z263" s="32"/>
      <c r="AA263" s="32" t="str">
        <f>IFERROR(__xludf.DUMMYFUNCTION("""COMPUTED_VALUE"""),"Immune")</f>
        <v>Immune</v>
      </c>
      <c r="AB263" s="32"/>
      <c r="AC263" s="32"/>
      <c r="AD263" s="32"/>
      <c r="AE263" s="32"/>
      <c r="AF263" s="32"/>
      <c r="AG263" s="32"/>
      <c r="AH263" s="32"/>
      <c r="AI263" s="32"/>
      <c r="AJ263" s="32"/>
      <c r="AK263" s="32"/>
    </row>
    <row r="264">
      <c r="A264" s="32" t="str">
        <f>IFERROR(__xludf.DUMMYFUNCTION("""COMPUTED_VALUE"""),"Storm Dragon")</f>
        <v>Storm Dragon</v>
      </c>
      <c r="B264" s="32"/>
      <c r="C264" s="32"/>
      <c r="D264" s="32"/>
      <c r="E264" s="32"/>
      <c r="F264" s="32"/>
      <c r="G264" s="32"/>
      <c r="H264" s="32"/>
      <c r="I264" s="32"/>
      <c r="J264" s="32"/>
      <c r="K264" s="32"/>
      <c r="L264" s="32"/>
      <c r="M264" s="32"/>
      <c r="N264" s="32"/>
      <c r="O264" s="32"/>
      <c r="P264" s="32"/>
      <c r="Q264" s="32"/>
      <c r="R264" s="32"/>
      <c r="S264" s="32"/>
      <c r="T264" s="32"/>
      <c r="U264" s="32"/>
      <c r="V264" s="32"/>
      <c r="W264" s="32"/>
      <c r="X264" s="32" t="str">
        <f>IFERROR(__xludf.DUMMYFUNCTION("""COMPUTED_VALUE"""),"Immune")</f>
        <v>Immune</v>
      </c>
      <c r="Y264" s="32" t="str">
        <f>IFERROR(__xludf.DUMMYFUNCTION("""COMPUTED_VALUE"""),"Immune")</f>
        <v>Immune</v>
      </c>
      <c r="Z264" s="32"/>
      <c r="AA264" s="32" t="str">
        <f>IFERROR(__xludf.DUMMYFUNCTION("""COMPUTED_VALUE"""),"Immune")</f>
        <v>Immune</v>
      </c>
      <c r="AB264" s="32"/>
      <c r="AC264" s="32"/>
      <c r="AD264" s="32"/>
      <c r="AE264" s="32"/>
      <c r="AF264" s="32"/>
      <c r="AG264" s="32"/>
      <c r="AH264" s="32"/>
      <c r="AI264" s="32"/>
      <c r="AJ264" s="32"/>
      <c r="AK264" s="32"/>
    </row>
    <row r="265">
      <c r="A265" s="32" t="str">
        <f>IFERROR(__xludf.DUMMYFUNCTION("""COMPUTED_VALUE"""),"Wandering Pumpkin")</f>
        <v>Wandering Pumpkin</v>
      </c>
      <c r="B265" s="32"/>
      <c r="C265" s="32"/>
      <c r="D265" s="32"/>
      <c r="E265" s="32"/>
      <c r="F265" s="32"/>
      <c r="G265" s="32" t="str">
        <f>IFERROR(__xludf.DUMMYFUNCTION("""COMPUTED_VALUE"""),"Immune")</f>
        <v>Immune</v>
      </c>
      <c r="H265" s="32" t="str">
        <f>IFERROR(__xludf.DUMMYFUNCTION("""COMPUTED_VALUE"""),"Immune")</f>
        <v>Immune</v>
      </c>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row>
    <row r="266">
      <c r="A266" s="32" t="str">
        <f>IFERROR(__xludf.DUMMYFUNCTION("""COMPUTED_VALUE"""),"Possessed Pumpkin")</f>
        <v>Possessed Pumpkin</v>
      </c>
      <c r="B266" s="32"/>
      <c r="C266" s="32"/>
      <c r="D266" s="32"/>
      <c r="E266" s="32"/>
      <c r="F266" s="32"/>
      <c r="G266" s="32" t="str">
        <f>IFERROR(__xludf.DUMMYFUNCTION("""COMPUTED_VALUE"""),"Immune")</f>
        <v>Immune</v>
      </c>
      <c r="H266" s="32" t="str">
        <f>IFERROR(__xludf.DUMMYFUNCTION("""COMPUTED_VALUE"""),"Immune")</f>
        <v>Immune</v>
      </c>
      <c r="I266" s="32"/>
      <c r="J266" s="32"/>
      <c r="K266" s="32"/>
      <c r="L266" s="32"/>
      <c r="M266" s="32"/>
      <c r="N266" s="32"/>
      <c r="O266" s="32"/>
      <c r="P266" s="32"/>
      <c r="Q266" s="32"/>
      <c r="R266" s="32"/>
      <c r="S266" s="32"/>
      <c r="T266" s="32"/>
      <c r="U266" s="32"/>
      <c r="V266" s="32"/>
      <c r="W266" s="32"/>
      <c r="X266" s="32"/>
      <c r="Y266" s="32"/>
      <c r="Z266" s="32"/>
      <c r="AA266" s="32" t="str">
        <f>IFERROR(__xludf.DUMMYFUNCTION("""COMPUTED_VALUE"""),"Immune")</f>
        <v>Immune</v>
      </c>
      <c r="AB266" s="32"/>
      <c r="AC266" s="32"/>
      <c r="AD266" s="32"/>
      <c r="AE266" s="32"/>
      <c r="AF266" s="32"/>
      <c r="AG266" s="32"/>
      <c r="AH266" s="32"/>
      <c r="AI266" s="32"/>
      <c r="AJ266" s="32"/>
      <c r="AK266" s="32"/>
    </row>
    <row r="267">
      <c r="A267" s="32" t="str">
        <f>IFERROR(__xludf.DUMMYFUNCTION("""COMPUTED_VALUE"""),"Pumpkin Lord")</f>
        <v>Pumpkin Lord</v>
      </c>
      <c r="B267" s="32"/>
      <c r="C267" s="32"/>
      <c r="D267" s="32"/>
      <c r="E267" s="32"/>
      <c r="F267" s="32"/>
      <c r="G267" s="32" t="str">
        <f>IFERROR(__xludf.DUMMYFUNCTION("""COMPUTED_VALUE"""),"Immune")</f>
        <v>Immune</v>
      </c>
      <c r="H267" s="32" t="str">
        <f>IFERROR(__xludf.DUMMYFUNCTION("""COMPUTED_VALUE"""),"Immune")</f>
        <v>Immune</v>
      </c>
      <c r="I267" s="32"/>
      <c r="J267" s="32"/>
      <c r="K267" s="32"/>
      <c r="L267" s="32"/>
      <c r="M267" s="32"/>
      <c r="N267" s="32"/>
      <c r="O267" s="32"/>
      <c r="P267" s="32"/>
      <c r="Q267" s="32"/>
      <c r="R267" s="32"/>
      <c r="S267" s="32"/>
      <c r="T267" s="32"/>
      <c r="U267" s="32"/>
      <c r="V267" s="32"/>
      <c r="W267" s="32"/>
      <c r="X267" s="32" t="str">
        <f>IFERROR(__xludf.DUMMYFUNCTION("""COMPUTED_VALUE"""),"Immune")</f>
        <v>Immune</v>
      </c>
      <c r="Y267" s="32"/>
      <c r="Z267" s="32"/>
      <c r="AA267" s="32"/>
      <c r="AB267" s="32"/>
      <c r="AC267" s="32"/>
      <c r="AD267" s="32"/>
      <c r="AE267" s="32"/>
      <c r="AF267" s="32"/>
      <c r="AG267" s="32"/>
      <c r="AH267" s="32"/>
      <c r="AI267" s="32"/>
      <c r="AJ267" s="32"/>
      <c r="AK267" s="32"/>
    </row>
    <row r="268">
      <c r="A268" s="32" t="str">
        <f>IFERROR(__xludf.DUMMYFUNCTION("""COMPUTED_VALUE"""),"Pumpkin King")</f>
        <v>Pumpkin King</v>
      </c>
      <c r="B268" s="32"/>
      <c r="C268" s="32"/>
      <c r="D268" s="32"/>
      <c r="E268" s="32"/>
      <c r="F268" s="32"/>
      <c r="G268" s="32" t="str">
        <f>IFERROR(__xludf.DUMMYFUNCTION("""COMPUTED_VALUE"""),"Immune")</f>
        <v>Immune</v>
      </c>
      <c r="H268" s="32" t="str">
        <f>IFERROR(__xludf.DUMMYFUNCTION("""COMPUTED_VALUE"""),"Immune")</f>
        <v>Immune</v>
      </c>
      <c r="I268" s="32"/>
      <c r="J268" s="32"/>
      <c r="K268" s="32"/>
      <c r="L268" s="32"/>
      <c r="M268" s="32"/>
      <c r="N268" s="32"/>
      <c r="O268" s="32"/>
      <c r="P268" s="32"/>
      <c r="Q268" s="32"/>
      <c r="R268" s="32"/>
      <c r="S268" s="32"/>
      <c r="T268" s="32"/>
      <c r="U268" s="32"/>
      <c r="V268" s="32"/>
      <c r="W268" s="32"/>
      <c r="X268" s="32" t="str">
        <f>IFERROR(__xludf.DUMMYFUNCTION("""COMPUTED_VALUE"""),"Immune")</f>
        <v>Immune</v>
      </c>
      <c r="Y268" s="32" t="str">
        <f>IFERROR(__xludf.DUMMYFUNCTION("""COMPUTED_VALUE"""),"Immune")</f>
        <v>Immune</v>
      </c>
      <c r="Z268" s="32"/>
      <c r="AA268" s="32"/>
      <c r="AB268" s="32"/>
      <c r="AC268" s="32"/>
      <c r="AD268" s="32"/>
      <c r="AE268" s="32"/>
      <c r="AF268" s="32"/>
      <c r="AG268" s="32"/>
      <c r="AH268" s="32"/>
      <c r="AI268" s="32"/>
      <c r="AJ268" s="32"/>
      <c r="AK268" s="32"/>
    </row>
    <row r="269">
      <c r="A269" s="32" t="str">
        <f>IFERROR(__xludf.DUMMYFUNCTION("""COMPUTED_VALUE"""),"Evil Clown")</f>
        <v>Evil Clown</v>
      </c>
      <c r="B269" s="32"/>
      <c r="C269" s="32"/>
      <c r="D269" s="32"/>
      <c r="E269" s="32"/>
      <c r="F269" s="32"/>
      <c r="G269" s="32" t="str">
        <f>IFERROR(__xludf.DUMMYFUNCTION("""COMPUTED_VALUE"""),"Immune")</f>
        <v>Immune</v>
      </c>
      <c r="H269" s="32" t="str">
        <f>IFERROR(__xludf.DUMMYFUNCTION("""COMPUTED_VALUE"""),"Immune")</f>
        <v>Immune</v>
      </c>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row>
    <row r="270">
      <c r="A270" s="32" t="str">
        <f>IFERROR(__xludf.DUMMYFUNCTION("""COMPUTED_VALUE"""),"Possesed Clown")</f>
        <v>Possesed Clown</v>
      </c>
      <c r="B270" s="32"/>
      <c r="C270" s="32"/>
      <c r="D270" s="32"/>
      <c r="E270" s="32"/>
      <c r="F270" s="32"/>
      <c r="G270" s="32" t="str">
        <f>IFERROR(__xludf.DUMMYFUNCTION("""COMPUTED_VALUE"""),"Immune")</f>
        <v>Immune</v>
      </c>
      <c r="H270" s="32" t="str">
        <f>IFERROR(__xludf.DUMMYFUNCTION("""COMPUTED_VALUE"""),"Immune")</f>
        <v>Immune</v>
      </c>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row>
    <row r="271">
      <c r="A271" s="32" t="str">
        <f>IFERROR(__xludf.DUMMYFUNCTION("""COMPUTED_VALUE"""),"The Clown King")</f>
        <v>The Clown King</v>
      </c>
      <c r="B271" s="32"/>
      <c r="C271" s="32"/>
      <c r="D271" s="32"/>
      <c r="E271" s="32"/>
      <c r="F271" s="32"/>
      <c r="G271" s="32" t="str">
        <f>IFERROR(__xludf.DUMMYFUNCTION("""COMPUTED_VALUE"""),"Immune")</f>
        <v>Immune</v>
      </c>
      <c r="H271" s="32" t="str">
        <f>IFERROR(__xludf.DUMMYFUNCTION("""COMPUTED_VALUE"""),"Immune")</f>
        <v>Immune</v>
      </c>
      <c r="I271" s="32"/>
      <c r="J271" s="32"/>
      <c r="K271" s="32"/>
      <c r="L271" s="32"/>
      <c r="M271" s="32"/>
      <c r="N271" s="32"/>
      <c r="O271" s="32"/>
      <c r="P271" s="32"/>
      <c r="Q271" s="32"/>
      <c r="R271" s="32"/>
      <c r="S271" s="32"/>
      <c r="T271" s="32"/>
      <c r="U271" s="32"/>
      <c r="V271" s="32"/>
      <c r="W271" s="32"/>
      <c r="X271" s="32" t="str">
        <f>IFERROR(__xludf.DUMMYFUNCTION("""COMPUTED_VALUE"""),"Immune")</f>
        <v>Immune</v>
      </c>
      <c r="Y271" s="32" t="str">
        <f>IFERROR(__xludf.DUMMYFUNCTION("""COMPUTED_VALUE"""),"immune")</f>
        <v>immune</v>
      </c>
      <c r="Z271" s="32"/>
      <c r="AA271" s="32"/>
      <c r="AB271" s="32"/>
      <c r="AC271" s="32"/>
      <c r="AD271" s="32"/>
      <c r="AE271" s="32"/>
      <c r="AF271" s="32"/>
      <c r="AG271" s="32"/>
      <c r="AH271" s="32"/>
      <c r="AI271" s="32"/>
      <c r="AJ271" s="32"/>
      <c r="AK271" s="32"/>
    </row>
    <row r="272">
      <c r="A272" s="32" t="str">
        <f>IFERROR(__xludf.DUMMYFUNCTION("""COMPUTED_VALUE"""),"Bounty Hunter")</f>
        <v>Bounty Hunter</v>
      </c>
      <c r="B272" s="32"/>
      <c r="C272" s="32"/>
      <c r="D272" s="32"/>
      <c r="E272" s="32"/>
      <c r="F272" s="32"/>
      <c r="G272" s="32" t="str">
        <f>IFERROR(__xludf.DUMMYFUNCTION("""COMPUTED_VALUE"""),"Immune")</f>
        <v>Immune</v>
      </c>
      <c r="H272" s="32"/>
      <c r="I272" s="32"/>
      <c r="J272" s="32"/>
      <c r="K272" s="32"/>
      <c r="L272" s="32"/>
      <c r="M272" s="32"/>
      <c r="N272" s="32"/>
      <c r="O272" s="32"/>
      <c r="P272" s="32"/>
      <c r="Q272" s="32"/>
      <c r="R272" s="32"/>
      <c r="S272" s="32"/>
      <c r="T272" s="32"/>
      <c r="U272" s="32"/>
      <c r="V272" s="32"/>
      <c r="W272" s="32"/>
      <c r="X272" s="32" t="str">
        <f>IFERROR(__xludf.DUMMYFUNCTION("""COMPUTED_VALUE"""),"immune")</f>
        <v>immune</v>
      </c>
      <c r="Y272" s="32" t="str">
        <f>IFERROR(__xludf.DUMMYFUNCTION("""COMPUTED_VALUE"""),"Immune")</f>
        <v>Immune</v>
      </c>
      <c r="Z272" s="32">
        <f>IFERROR(__xludf.DUMMYFUNCTION("""COMPUTED_VALUE"""),100.0)</f>
        <v>100</v>
      </c>
      <c r="AA272" s="32" t="str">
        <f>IFERROR(__xludf.DUMMYFUNCTION("""COMPUTED_VALUE"""),"Immune")</f>
        <v>Immune</v>
      </c>
      <c r="AB272" s="32"/>
      <c r="AC272" s="32"/>
      <c r="AD272" s="32"/>
      <c r="AE272" s="32"/>
      <c r="AF272" s="32"/>
      <c r="AG272" s="32"/>
      <c r="AH272" s="32"/>
      <c r="AI272" s="32"/>
      <c r="AJ272" s="32"/>
      <c r="AK272" s="32"/>
    </row>
    <row r="273">
      <c r="A273" s="32" t="str">
        <f>IFERROR(__xludf.DUMMYFUNCTION("""COMPUTED_VALUE"""),"Lamia ")</f>
        <v>Lamia </v>
      </c>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row>
    <row r="274">
      <c r="A274" s="32" t="str">
        <f>IFERROR(__xludf.DUMMYFUNCTION("""COMPUTED_VALUE"""),"Cremagetion")</f>
        <v>Cremagetion</v>
      </c>
      <c r="B274" s="32" t="str">
        <f>IFERROR(__xludf.DUMMYFUNCTION("""COMPUTED_VALUE"""),"Immune")</f>
        <v>Immune</v>
      </c>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row>
    <row r="275">
      <c r="A275" s="32" t="str">
        <f>IFERROR(__xludf.DUMMYFUNCTION("""COMPUTED_VALUE"""),"Saber Toothed Cat")</f>
        <v>Saber Toothed Cat</v>
      </c>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row>
    <row r="276">
      <c r="A276" s="32" t="str">
        <f>IFERROR(__xludf.DUMMYFUNCTION("""COMPUTED_VALUE"""),"Cultist of Dreadful")</f>
        <v>Cultist of Dreadful</v>
      </c>
      <c r="B276" s="32"/>
      <c r="C276" s="32"/>
      <c r="D276" s="32"/>
      <c r="E276" s="32"/>
      <c r="F276" s="32"/>
      <c r="G276" s="32" t="str">
        <f>IFERROR(__xludf.DUMMYFUNCTION("""COMPUTED_VALUE"""),"Immune")</f>
        <v>Immune</v>
      </c>
      <c r="H276" s="32"/>
      <c r="I276" s="32"/>
      <c r="J276" s="32" t="str">
        <f>IFERROR(__xludf.DUMMYFUNCTION("""COMPUTED_VALUE"""),"Immune")</f>
        <v>Immune</v>
      </c>
      <c r="K276" s="32"/>
      <c r="L276" s="32"/>
      <c r="M276" s="32"/>
      <c r="N276" s="32"/>
      <c r="O276" s="32"/>
      <c r="P276" s="32"/>
      <c r="Q276" s="32" t="str">
        <f>IFERROR(__xludf.DUMMYFUNCTION("""COMPUTED_VALUE"""),"Immune")</f>
        <v>Immune</v>
      </c>
      <c r="R276" s="32"/>
      <c r="S276" s="32"/>
      <c r="T276" s="32"/>
      <c r="U276" s="32"/>
      <c r="V276" s="32"/>
      <c r="W276" s="32"/>
      <c r="X276" s="32" t="str">
        <f>IFERROR(__xludf.DUMMYFUNCTION("""COMPUTED_VALUE"""),"Immune")</f>
        <v>Immune</v>
      </c>
      <c r="Y276" s="32"/>
      <c r="Z276" s="32"/>
      <c r="AA276" s="32"/>
      <c r="AB276" s="32"/>
      <c r="AC276" s="32"/>
      <c r="AD276" s="32"/>
      <c r="AE276" s="32"/>
      <c r="AF276" s="32"/>
      <c r="AG276" s="32"/>
      <c r="AH276" s="32"/>
      <c r="AI276" s="32"/>
      <c r="AJ276" s="32"/>
      <c r="AK276" s="32"/>
    </row>
    <row r="277">
      <c r="A277" s="32" t="str">
        <f>IFERROR(__xludf.DUMMYFUNCTION("""COMPUTED_VALUE"""),"Cultist Leader")</f>
        <v>Cultist Leader</v>
      </c>
      <c r="B277" s="32"/>
      <c r="C277" s="32"/>
      <c r="D277" s="32"/>
      <c r="E277" s="32"/>
      <c r="F277" s="32"/>
      <c r="G277" s="32" t="str">
        <f>IFERROR(__xludf.DUMMYFUNCTION("""COMPUTED_VALUE"""),"Immune")</f>
        <v>Immune</v>
      </c>
      <c r="H277" s="32"/>
      <c r="I277" s="32"/>
      <c r="J277" s="32" t="str">
        <f>IFERROR(__xludf.DUMMYFUNCTION("""COMPUTED_VALUE"""),"Immune")</f>
        <v>Immune</v>
      </c>
      <c r="K277" s="32"/>
      <c r="L277" s="32"/>
      <c r="M277" s="32"/>
      <c r="N277" s="32"/>
      <c r="O277" s="32"/>
      <c r="P277" s="32"/>
      <c r="Q277" s="32" t="str">
        <f>IFERROR(__xludf.DUMMYFUNCTION("""COMPUTED_VALUE"""),"Immune")</f>
        <v>Immune</v>
      </c>
      <c r="R277" s="32"/>
      <c r="S277" s="32"/>
      <c r="T277" s="32"/>
      <c r="U277" s="32"/>
      <c r="V277" s="32"/>
      <c r="W277" s="32"/>
      <c r="X277" s="32" t="str">
        <f>IFERROR(__xludf.DUMMYFUNCTION("""COMPUTED_VALUE"""),"Immune")</f>
        <v>Immune</v>
      </c>
      <c r="Y277" s="32" t="str">
        <f>IFERROR(__xludf.DUMMYFUNCTION("""COMPUTED_VALUE"""),"Immune")</f>
        <v>Immune</v>
      </c>
      <c r="Z277" s="32"/>
      <c r="AA277" s="32" t="str">
        <f>IFERROR(__xludf.DUMMYFUNCTION("""COMPUTED_VALUE"""),"Immune")</f>
        <v>Immune</v>
      </c>
      <c r="AB277" s="32"/>
      <c r="AC277" s="32"/>
      <c r="AD277" s="32"/>
      <c r="AE277" s="32"/>
      <c r="AF277" s="32"/>
      <c r="AG277" s="32"/>
      <c r="AH277" s="32"/>
      <c r="AI277" s="32"/>
      <c r="AJ277" s="32"/>
      <c r="AK277" s="32"/>
    </row>
    <row r="278">
      <c r="A278" s="32" t="str">
        <f>IFERROR(__xludf.DUMMYFUNCTION("""COMPUTED_VALUE"""),"Fire Mage")</f>
        <v>Fire Mage</v>
      </c>
      <c r="B278" s="32" t="str">
        <f>IFERROR(__xludf.DUMMYFUNCTION("""COMPUTED_VALUE"""),"Immune")</f>
        <v>Immune</v>
      </c>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row>
    <row r="279">
      <c r="A279" s="32" t="str">
        <f>IFERROR(__xludf.DUMMYFUNCTION("""COMPUTED_VALUE"""),"Guard Tier III")</f>
        <v>Guard Tier III</v>
      </c>
      <c r="B279" s="32"/>
      <c r="C279" s="32"/>
      <c r="D279" s="32"/>
      <c r="E279" s="32"/>
      <c r="F279" s="32" t="str">
        <f>IFERROR(__xludf.DUMMYFUNCTION("""COMPUTED_VALUE"""),"Immune")</f>
        <v>Immune</v>
      </c>
      <c r="G279" s="32">
        <f>IFERROR(__xludf.DUMMYFUNCTION("""COMPUTED_VALUE"""),100.0)</f>
        <v>100</v>
      </c>
      <c r="H279" s="32"/>
      <c r="I279" s="32" t="str">
        <f>IFERROR(__xludf.DUMMYFUNCTION("""COMPUTED_VALUE"""),"Immune")</f>
        <v>Immune</v>
      </c>
      <c r="J279" s="32"/>
      <c r="K279" s="32"/>
      <c r="L279" s="32"/>
      <c r="M279" s="32"/>
      <c r="N279" s="32"/>
      <c r="O279" s="32"/>
      <c r="P279" s="32"/>
      <c r="Q279" s="32"/>
      <c r="R279" s="32"/>
      <c r="S279" s="32"/>
      <c r="T279" s="32"/>
      <c r="U279" s="32"/>
      <c r="V279" s="32"/>
      <c r="W279" s="32" t="str">
        <f>IFERROR(__xludf.DUMMYFUNCTION("""COMPUTED_VALUE"""),"Immune")</f>
        <v>Immune</v>
      </c>
      <c r="X279" s="32" t="str">
        <f>IFERROR(__xludf.DUMMYFUNCTION("""COMPUTED_VALUE"""),"Immune")</f>
        <v>Immune</v>
      </c>
      <c r="Y279" s="32" t="str">
        <f>IFERROR(__xludf.DUMMYFUNCTION("""COMPUTED_VALUE"""),"Immune")</f>
        <v>Immune</v>
      </c>
      <c r="Z279" s="32"/>
      <c r="AA279" s="32" t="str">
        <f>IFERROR(__xludf.DUMMYFUNCTION("""COMPUTED_VALUE"""),"Immune")</f>
        <v>Immune</v>
      </c>
      <c r="AB279" s="32"/>
      <c r="AC279" s="32"/>
      <c r="AD279" s="32"/>
      <c r="AE279" s="32"/>
      <c r="AF279" s="32"/>
      <c r="AG279" s="32"/>
      <c r="AH279" s="32"/>
      <c r="AI279" s="32"/>
      <c r="AJ279" s="32"/>
      <c r="AK279" s="32"/>
    </row>
    <row r="280">
      <c r="A280" s="32" t="str">
        <f>IFERROR(__xludf.DUMMYFUNCTION("""COMPUTED_VALUE"""),"Guard Tier II")</f>
        <v>Guard Tier II</v>
      </c>
      <c r="B280" s="32"/>
      <c r="C280" s="32"/>
      <c r="D280" s="32"/>
      <c r="E280" s="32"/>
      <c r="F280" s="32" t="str">
        <f>IFERROR(__xludf.DUMMYFUNCTION("""COMPUTED_VALUE"""),"Immune")</f>
        <v>Immune</v>
      </c>
      <c r="G280" s="32">
        <f>IFERROR(__xludf.DUMMYFUNCTION("""COMPUTED_VALUE"""),100.0)</f>
        <v>100</v>
      </c>
      <c r="H280" s="32"/>
      <c r="I280" s="32" t="str">
        <f>IFERROR(__xludf.DUMMYFUNCTION("""COMPUTED_VALUE"""),"Immune")</f>
        <v>Immune</v>
      </c>
      <c r="J280" s="32"/>
      <c r="K280" s="32"/>
      <c r="L280" s="32"/>
      <c r="M280" s="32"/>
      <c r="N280" s="32"/>
      <c r="O280" s="32"/>
      <c r="P280" s="32"/>
      <c r="Q280" s="32"/>
      <c r="R280" s="32"/>
      <c r="S280" s="32"/>
      <c r="T280" s="32"/>
      <c r="U280" s="32"/>
      <c r="V280" s="32"/>
      <c r="W280" s="32"/>
      <c r="X280" s="32" t="str">
        <f>IFERROR(__xludf.DUMMYFUNCTION("""COMPUTED_VALUE"""),"Immune")</f>
        <v>Immune</v>
      </c>
      <c r="Y280" s="32" t="str">
        <f>IFERROR(__xludf.DUMMYFUNCTION("""COMPUTED_VALUE"""),"Immune")</f>
        <v>Immune</v>
      </c>
      <c r="Z280" s="32"/>
      <c r="AA280" s="32" t="str">
        <f>IFERROR(__xludf.DUMMYFUNCTION("""COMPUTED_VALUE"""),"Immune")</f>
        <v>Immune</v>
      </c>
      <c r="AB280" s="32"/>
      <c r="AC280" s="32"/>
      <c r="AD280" s="32"/>
      <c r="AE280" s="32"/>
      <c r="AF280" s="32"/>
      <c r="AG280" s="32"/>
      <c r="AH280" s="32"/>
      <c r="AI280" s="32"/>
      <c r="AJ280" s="32"/>
      <c r="AK280" s="32"/>
    </row>
    <row r="281">
      <c r="A281" s="32" t="str">
        <f>IFERROR(__xludf.DUMMYFUNCTION("""COMPUTED_VALUE"""),"Guard Tier I")</f>
        <v>Guard Tier I</v>
      </c>
      <c r="B281" s="32"/>
      <c r="C281" s="32"/>
      <c r="D281" s="32"/>
      <c r="E281" s="32"/>
      <c r="F281" s="32"/>
      <c r="G281" s="32"/>
      <c r="H281" s="32"/>
      <c r="I281" s="32"/>
      <c r="J281" s="32"/>
      <c r="K281" s="32"/>
      <c r="L281" s="32"/>
      <c r="M281" s="32"/>
      <c r="N281" s="32"/>
      <c r="O281" s="32"/>
      <c r="P281" s="32"/>
      <c r="Q281" s="32"/>
      <c r="R281" s="32"/>
      <c r="S281" s="32"/>
      <c r="T281" s="32"/>
      <c r="U281" s="32"/>
      <c r="V281" s="32"/>
      <c r="W281" s="32"/>
      <c r="X281" s="32" t="str">
        <f>IFERROR(__xludf.DUMMYFUNCTION("""COMPUTED_VALUE"""),"Immune")</f>
        <v>Immune</v>
      </c>
      <c r="Y281" s="32" t="str">
        <f>IFERROR(__xludf.DUMMYFUNCTION("""COMPUTED_VALUE"""),"Immune")</f>
        <v>Immune</v>
      </c>
      <c r="Z281" s="32"/>
      <c r="AA281" s="32" t="str">
        <f>IFERROR(__xludf.DUMMYFUNCTION("""COMPUTED_VALUE"""),"Immune")</f>
        <v>Immune</v>
      </c>
      <c r="AB281" s="32"/>
      <c r="AC281" s="32"/>
      <c r="AD281" s="32"/>
      <c r="AE281" s="32"/>
      <c r="AF281" s="32"/>
      <c r="AG281" s="32"/>
      <c r="AH281" s="32"/>
      <c r="AI281" s="32"/>
      <c r="AJ281" s="32"/>
      <c r="AK281" s="32"/>
    </row>
    <row r="282">
      <c r="A282" s="32" t="str">
        <f>IFERROR(__xludf.DUMMYFUNCTION("""COMPUTED_VALUE"""),"Wave Rider Paladins")</f>
        <v>Wave Rider Paladins</v>
      </c>
      <c r="B282" s="32"/>
      <c r="C282" s="32" t="str">
        <f>IFERROR(__xludf.DUMMYFUNCTION("""COMPUTED_VALUE"""),"Immune")</f>
        <v>Immune</v>
      </c>
      <c r="D282" s="32" t="str">
        <f>IFERROR(__xludf.DUMMYFUNCTION("""COMPUTED_VALUE"""),"Immune")</f>
        <v>Immune</v>
      </c>
      <c r="E282" s="32"/>
      <c r="F282" s="32"/>
      <c r="G282" s="32"/>
      <c r="H282" s="32"/>
      <c r="I282" s="32"/>
      <c r="J282" s="32"/>
      <c r="K282" s="32"/>
      <c r="L282" s="32"/>
      <c r="M282" s="32"/>
      <c r="N282" s="32"/>
      <c r="O282" s="32"/>
      <c r="P282" s="32"/>
      <c r="Q282" s="32"/>
      <c r="R282" s="32"/>
      <c r="S282" s="32"/>
      <c r="T282" s="32"/>
      <c r="U282" s="32"/>
      <c r="V282" s="32"/>
      <c r="W282" s="32"/>
      <c r="X282" s="32" t="str">
        <f>IFERROR(__xludf.DUMMYFUNCTION("""COMPUTED_VALUE"""),"Immune")</f>
        <v>Immune</v>
      </c>
      <c r="Y282" s="32" t="str">
        <f>IFERROR(__xludf.DUMMYFUNCTION("""COMPUTED_VALUE"""),"Immune")</f>
        <v>Immune</v>
      </c>
      <c r="Z282" s="32"/>
      <c r="AA282" s="32" t="str">
        <f>IFERROR(__xludf.DUMMYFUNCTION("""COMPUTED_VALUE"""),"Immune")</f>
        <v>Immune</v>
      </c>
      <c r="AB282" s="32"/>
      <c r="AC282" s="32"/>
      <c r="AD282" s="32"/>
      <c r="AE282" s="32"/>
      <c r="AF282" s="32"/>
      <c r="AG282" s="32"/>
      <c r="AH282" s="32"/>
      <c r="AI282" s="32"/>
      <c r="AJ282" s="32"/>
      <c r="AK282" s="32"/>
    </row>
    <row r="283">
      <c r="A283" s="32" t="str">
        <f>IFERROR(__xludf.DUMMYFUNCTION("""COMPUTED_VALUE"""),"Urchin Swiffer Paladins")</f>
        <v>Urchin Swiffer Paladins</v>
      </c>
      <c r="B283" s="32"/>
      <c r="C283" s="32" t="str">
        <f>IFERROR(__xludf.DUMMYFUNCTION("""COMPUTED_VALUE"""),"Immune")</f>
        <v>Immune</v>
      </c>
      <c r="D283" s="32" t="str">
        <f>IFERROR(__xludf.DUMMYFUNCTION("""COMPUTED_VALUE"""),"Immune")</f>
        <v>Immune</v>
      </c>
      <c r="E283" s="32"/>
      <c r="F283" s="32"/>
      <c r="G283" s="32"/>
      <c r="H283" s="32"/>
      <c r="I283" s="32"/>
      <c r="J283" s="32"/>
      <c r="K283" s="32"/>
      <c r="L283" s="32"/>
      <c r="M283" s="32"/>
      <c r="N283" s="32"/>
      <c r="O283" s="32"/>
      <c r="P283" s="32"/>
      <c r="Q283" s="32"/>
      <c r="R283" s="32"/>
      <c r="S283" s="32"/>
      <c r="T283" s="32"/>
      <c r="U283" s="32"/>
      <c r="V283" s="32"/>
      <c r="W283" s="32"/>
      <c r="X283" s="32" t="str">
        <f>IFERROR(__xludf.DUMMYFUNCTION("""COMPUTED_VALUE"""),"Immune")</f>
        <v>Immune</v>
      </c>
      <c r="Y283" s="32" t="str">
        <f>IFERROR(__xludf.DUMMYFUNCTION("""COMPUTED_VALUE"""),"Immune")</f>
        <v>Immune</v>
      </c>
      <c r="Z283" s="32"/>
      <c r="AA283" s="32" t="str">
        <f>IFERROR(__xludf.DUMMYFUNCTION("""COMPUTED_VALUE"""),"Immune")</f>
        <v>Immune</v>
      </c>
      <c r="AB283" s="32"/>
      <c r="AC283" s="32"/>
      <c r="AD283" s="32"/>
      <c r="AE283" s="32"/>
      <c r="AF283" s="32"/>
      <c r="AG283" s="32"/>
      <c r="AH283" s="32"/>
      <c r="AI283" s="32"/>
      <c r="AJ283" s="32"/>
      <c r="AK283" s="32"/>
    </row>
    <row r="284">
      <c r="A284" s="32" t="str">
        <f>IFERROR(__xludf.DUMMYFUNCTION("""COMPUTED_VALUE"""),"The Bloodletters")</f>
        <v>The Bloodletters</v>
      </c>
      <c r="B284" s="32" t="str">
        <f>IFERROR(__xludf.DUMMYFUNCTION("""COMPUTED_VALUE"""),"Immune")</f>
        <v>Immune</v>
      </c>
      <c r="C284" s="32"/>
      <c r="D284" s="32"/>
      <c r="E284" s="32"/>
      <c r="F284" s="32"/>
      <c r="G284" s="32" t="str">
        <f>IFERROR(__xludf.DUMMYFUNCTION("""COMPUTED_VALUE"""),"Immune")</f>
        <v>Immune</v>
      </c>
      <c r="H284" s="32" t="str">
        <f>IFERROR(__xludf.DUMMYFUNCTION("""COMPUTED_VALUE"""),"Immune")</f>
        <v>Immune</v>
      </c>
      <c r="I284" s="32"/>
      <c r="J284" s="32" t="str">
        <f>IFERROR(__xludf.DUMMYFUNCTION("""COMPUTED_VALUE"""),"Immune")</f>
        <v>Immune</v>
      </c>
      <c r="K284" s="32"/>
      <c r="L284" s="32"/>
      <c r="M284" s="32"/>
      <c r="N284" s="32"/>
      <c r="O284" s="32"/>
      <c r="P284" s="32"/>
      <c r="Q284" s="32"/>
      <c r="R284" s="32"/>
      <c r="S284" s="32"/>
      <c r="T284" s="32"/>
      <c r="U284" s="32"/>
      <c r="V284" s="32"/>
      <c r="W284" s="32"/>
      <c r="X284" s="32" t="str">
        <f>IFERROR(__xludf.DUMMYFUNCTION("""COMPUTED_VALUE"""),"Immune")</f>
        <v>Immune</v>
      </c>
      <c r="Y284" s="32" t="str">
        <f>IFERROR(__xludf.DUMMYFUNCTION("""COMPUTED_VALUE"""),"Immune")</f>
        <v>Immune</v>
      </c>
      <c r="Z284" s="32"/>
      <c r="AA284" s="32" t="str">
        <f>IFERROR(__xludf.DUMMYFUNCTION("""COMPUTED_VALUE"""),"Immune")</f>
        <v>Immune</v>
      </c>
      <c r="AB284" s="32"/>
      <c r="AC284" s="32"/>
      <c r="AD284" s="32"/>
      <c r="AE284" s="32"/>
      <c r="AF284" s="32"/>
      <c r="AG284" s="32"/>
      <c r="AH284" s="32"/>
      <c r="AI284" s="32"/>
      <c r="AJ284" s="32"/>
      <c r="AK284" s="32"/>
    </row>
    <row r="285">
      <c r="A285" s="32" t="str">
        <f>IFERROR(__xludf.DUMMYFUNCTION("""COMPUTED_VALUE"""),"The Soulbound Royals")</f>
        <v>The Soulbound Royals</v>
      </c>
      <c r="B285" s="32" t="str">
        <f>IFERROR(__xludf.DUMMYFUNCTION("""COMPUTED_VALUE"""),"Immune")</f>
        <v>Immune</v>
      </c>
      <c r="C285" s="32"/>
      <c r="D285" s="32"/>
      <c r="E285" s="32"/>
      <c r="F285" s="32"/>
      <c r="G285" s="32" t="str">
        <f>IFERROR(__xludf.DUMMYFUNCTION("""COMPUTED_VALUE"""),"Immune")</f>
        <v>Immune</v>
      </c>
      <c r="H285" s="32" t="str">
        <f>IFERROR(__xludf.DUMMYFUNCTION("""COMPUTED_VALUE"""),"Immune")</f>
        <v>Immune</v>
      </c>
      <c r="I285" s="32"/>
      <c r="J285" s="32" t="str">
        <f>IFERROR(__xludf.DUMMYFUNCTION("""COMPUTED_VALUE"""),"Immune")</f>
        <v>Immune</v>
      </c>
      <c r="K285" s="32"/>
      <c r="L285" s="32"/>
      <c r="M285" s="32"/>
      <c r="N285" s="32"/>
      <c r="O285" s="32"/>
      <c r="P285" s="32"/>
      <c r="Q285" s="32"/>
      <c r="R285" s="32"/>
      <c r="S285" s="32"/>
      <c r="T285" s="32"/>
      <c r="U285" s="32"/>
      <c r="V285" s="32"/>
      <c r="W285" s="32"/>
      <c r="X285" s="32" t="str">
        <f>IFERROR(__xludf.DUMMYFUNCTION("""COMPUTED_VALUE"""),"Immune")</f>
        <v>Immune</v>
      </c>
      <c r="Y285" s="32" t="str">
        <f>IFERROR(__xludf.DUMMYFUNCTION("""COMPUTED_VALUE"""),"Immune")</f>
        <v>Immune</v>
      </c>
      <c r="Z285" s="32"/>
      <c r="AA285" s="32" t="str">
        <f>IFERROR(__xludf.DUMMYFUNCTION("""COMPUTED_VALUE"""),"Immune")</f>
        <v>Immune</v>
      </c>
      <c r="AB285" s="32"/>
      <c r="AC285" s="32"/>
      <c r="AD285" s="32"/>
      <c r="AE285" s="32"/>
      <c r="AF285" s="32"/>
      <c r="AG285" s="32"/>
      <c r="AH285" s="32"/>
      <c r="AI285" s="32"/>
      <c r="AJ285" s="32"/>
      <c r="AK285" s="32"/>
    </row>
    <row r="286">
      <c r="A286" s="32" t="str">
        <f>IFERROR(__xludf.DUMMYFUNCTION("""COMPUTED_VALUE"""),"The Exiled One")</f>
        <v>The Exiled One</v>
      </c>
      <c r="B286" s="32"/>
      <c r="C286" s="32"/>
      <c r="D286" s="32"/>
      <c r="E286" s="32"/>
      <c r="F286" s="32"/>
      <c r="G286" s="32"/>
      <c r="H286" s="32"/>
      <c r="I286" s="32"/>
      <c r="J286" s="32"/>
      <c r="K286" s="32"/>
      <c r="L286" s="32"/>
      <c r="M286" s="32"/>
      <c r="N286" s="32"/>
      <c r="O286" s="32"/>
      <c r="P286" s="32"/>
      <c r="Q286" s="32"/>
      <c r="R286" s="32"/>
      <c r="S286" s="32"/>
      <c r="T286" s="32"/>
      <c r="U286" s="32"/>
      <c r="V286" s="32"/>
      <c r="W286" s="32"/>
      <c r="X286" s="32" t="str">
        <f>IFERROR(__xludf.DUMMYFUNCTION("""COMPUTED_VALUE"""),"Immune")</f>
        <v>Immune</v>
      </c>
      <c r="Y286" s="32" t="str">
        <f>IFERROR(__xludf.DUMMYFUNCTION("""COMPUTED_VALUE"""),"Immune")</f>
        <v>Immune</v>
      </c>
      <c r="Z286" s="32"/>
      <c r="AA286" s="32" t="str">
        <f>IFERROR(__xludf.DUMMYFUNCTION("""COMPUTED_VALUE"""),"Immune")</f>
        <v>Immune</v>
      </c>
      <c r="AB286" s="32"/>
      <c r="AC286" s="32"/>
      <c r="AD286" s="32"/>
      <c r="AE286" s="32"/>
      <c r="AF286" s="32"/>
      <c r="AG286" s="32"/>
      <c r="AH286" s="32"/>
      <c r="AI286" s="32"/>
      <c r="AJ286" s="32"/>
      <c r="AK286" s="32"/>
    </row>
    <row r="287">
      <c r="A287" s="32" t="str">
        <f>IFERROR(__xludf.DUMMYFUNCTION("""COMPUTED_VALUE"""),"Monk (Abbot)")</f>
        <v>Monk (Abbot)</v>
      </c>
      <c r="B287" s="32">
        <f>IFERROR(__xludf.DUMMYFUNCTION("""COMPUTED_VALUE"""),100.0)</f>
        <v>100</v>
      </c>
      <c r="C287" s="32">
        <f>IFERROR(__xludf.DUMMYFUNCTION("""COMPUTED_VALUE"""),100.0)</f>
        <v>100</v>
      </c>
      <c r="D287" s="32">
        <f>IFERROR(__xludf.DUMMYFUNCTION("""COMPUTED_VALUE"""),100.0)</f>
        <v>100</v>
      </c>
      <c r="E287" s="32">
        <f>IFERROR(__xludf.DUMMYFUNCTION("""COMPUTED_VALUE"""),100.0)</f>
        <v>100</v>
      </c>
      <c r="F287" s="32">
        <f>IFERROR(__xludf.DUMMYFUNCTION("""COMPUTED_VALUE"""),100.0)</f>
        <v>100</v>
      </c>
      <c r="G287" s="32">
        <f>IFERROR(__xludf.DUMMYFUNCTION("""COMPUTED_VALUE"""),100.0)</f>
        <v>100</v>
      </c>
      <c r="H287" s="32">
        <f>IFERROR(__xludf.DUMMYFUNCTION("""COMPUTED_VALUE"""),100.0)</f>
        <v>100</v>
      </c>
      <c r="I287" s="32">
        <f>IFERROR(__xludf.DUMMYFUNCTION("""COMPUTED_VALUE"""),100.0)</f>
        <v>100</v>
      </c>
      <c r="J287" s="32">
        <f>IFERROR(__xludf.DUMMYFUNCTION("""COMPUTED_VALUE"""),100.0)</f>
        <v>100</v>
      </c>
      <c r="K287" s="32">
        <f>IFERROR(__xludf.DUMMYFUNCTION("""COMPUTED_VALUE"""),100.0)</f>
        <v>100</v>
      </c>
      <c r="L287" s="32"/>
      <c r="M287" s="32"/>
      <c r="N287" s="32"/>
      <c r="O287" s="32">
        <f>IFERROR(__xludf.DUMMYFUNCTION("""COMPUTED_VALUE"""),100.0)</f>
        <v>100</v>
      </c>
      <c r="P287" s="32">
        <f>IFERROR(__xludf.DUMMYFUNCTION("""COMPUTED_VALUE"""),100.0)</f>
        <v>100</v>
      </c>
      <c r="Q287" s="32">
        <f>IFERROR(__xludf.DUMMYFUNCTION("""COMPUTED_VALUE"""),100.0)</f>
        <v>100</v>
      </c>
      <c r="R287" s="32">
        <f>IFERROR(__xludf.DUMMYFUNCTION("""COMPUTED_VALUE"""),100.0)</f>
        <v>100</v>
      </c>
      <c r="S287" s="32"/>
      <c r="T287" s="32" t="str">
        <f>IFERROR(__xludf.DUMMYFUNCTION("""COMPUTED_VALUE"""),"Immune")</f>
        <v>Immune</v>
      </c>
      <c r="U287" s="32"/>
      <c r="V287" s="32"/>
      <c r="W287" s="32"/>
      <c r="X287" s="32" t="str">
        <f>IFERROR(__xludf.DUMMYFUNCTION("""COMPUTED_VALUE"""),"Immune")</f>
        <v>Immune</v>
      </c>
      <c r="Y287" s="32" t="str">
        <f>IFERROR(__xludf.DUMMYFUNCTION("""COMPUTED_VALUE"""),"Immune")</f>
        <v>Immune</v>
      </c>
      <c r="Z287" s="32"/>
      <c r="AA287" s="32" t="str">
        <f>IFERROR(__xludf.DUMMYFUNCTION("""COMPUTED_VALUE"""),"Immune")</f>
        <v>Immune</v>
      </c>
      <c r="AB287" s="32"/>
      <c r="AC287" s="32"/>
      <c r="AD287" s="32"/>
      <c r="AE287" s="32"/>
      <c r="AF287" s="32"/>
      <c r="AG287" s="32"/>
      <c r="AH287" s="32"/>
      <c r="AI287" s="32"/>
      <c r="AJ287" s="32"/>
      <c r="AK287" s="32"/>
    </row>
    <row r="288">
      <c r="A288" s="32" t="str">
        <f>IFERROR(__xludf.DUMMYFUNCTION("""COMPUTED_VALUE"""),"Ninja Trainee (Dragonscale)")</f>
        <v>Ninja Trainee (Dragonscale)</v>
      </c>
      <c r="B288" s="32"/>
      <c r="C288" s="32"/>
      <c r="D288" s="32"/>
      <c r="E288" s="32"/>
      <c r="F288" s="32"/>
      <c r="G288" s="32">
        <f>IFERROR(__xludf.DUMMYFUNCTION("""COMPUTED_VALUE"""),250.0)</f>
        <v>250</v>
      </c>
      <c r="H288" s="32"/>
      <c r="I288" s="32"/>
      <c r="J288" s="32"/>
      <c r="K288" s="32"/>
      <c r="L288" s="32"/>
      <c r="M288" s="32"/>
      <c r="N288" s="32"/>
      <c r="O288" s="32"/>
      <c r="P288" s="32"/>
      <c r="Q288" s="32">
        <f>IFERROR(__xludf.DUMMYFUNCTION("""COMPUTED_VALUE"""),250.0)</f>
        <v>250</v>
      </c>
      <c r="R288" s="32">
        <f>IFERROR(__xludf.DUMMYFUNCTION("""COMPUTED_VALUE"""),250.0)</f>
        <v>250</v>
      </c>
      <c r="S288" s="32"/>
      <c r="T288" s="32"/>
      <c r="U288" s="32"/>
      <c r="V288" s="32"/>
      <c r="W288" s="32"/>
      <c r="X288" s="32" t="str">
        <f>IFERROR(__xludf.DUMMYFUNCTION("""COMPUTED_VALUE"""),"Immune")</f>
        <v>Immune</v>
      </c>
      <c r="Y288" s="32"/>
      <c r="Z288" s="32"/>
      <c r="AA288" s="32"/>
      <c r="AB288" s="32"/>
      <c r="AC288" s="32"/>
      <c r="AD288" s="32"/>
      <c r="AE288" s="32"/>
      <c r="AF288" s="32"/>
      <c r="AG288" s="32"/>
      <c r="AH288" s="32"/>
      <c r="AI288" s="32"/>
      <c r="AJ288" s="32"/>
      <c r="AK288" s="32"/>
    </row>
    <row r="289">
      <c r="A289" s="32" t="str">
        <f>IFERROR(__xludf.DUMMYFUNCTION("""COMPUTED_VALUE"""),"Ninja Ambusher (Dragonscale)")</f>
        <v>Ninja Ambusher (Dragonscale)</v>
      </c>
      <c r="B289" s="32"/>
      <c r="C289" s="32"/>
      <c r="D289" s="32"/>
      <c r="E289" s="32"/>
      <c r="F289" s="32"/>
      <c r="G289" s="32">
        <f>IFERROR(__xludf.DUMMYFUNCTION("""COMPUTED_VALUE"""),250.0)</f>
        <v>250</v>
      </c>
      <c r="H289" s="32"/>
      <c r="I289" s="32"/>
      <c r="J289" s="32"/>
      <c r="K289" s="32"/>
      <c r="L289" s="32"/>
      <c r="M289" s="32"/>
      <c r="N289" s="32"/>
      <c r="O289" s="32"/>
      <c r="P289" s="32"/>
      <c r="Q289" s="32">
        <f>IFERROR(__xludf.DUMMYFUNCTION("""COMPUTED_VALUE"""),250.0)</f>
        <v>250</v>
      </c>
      <c r="R289" s="32">
        <f>IFERROR(__xludf.DUMMYFUNCTION("""COMPUTED_VALUE"""),250.0)</f>
        <v>250</v>
      </c>
      <c r="S289" s="32"/>
      <c r="T289" s="32"/>
      <c r="U289" s="32"/>
      <c r="V289" s="32"/>
      <c r="W289" s="32"/>
      <c r="X289" s="32" t="str">
        <f>IFERROR(__xludf.DUMMYFUNCTION("""COMPUTED_VALUE"""),"Immune")</f>
        <v>Immune</v>
      </c>
      <c r="Y289" s="32"/>
      <c r="Z289" s="32"/>
      <c r="AA289" s="32"/>
      <c r="AB289" s="32"/>
      <c r="AC289" s="32"/>
      <c r="AD289" s="32"/>
      <c r="AE289" s="32"/>
      <c r="AF289" s="32"/>
      <c r="AG289" s="32"/>
      <c r="AH289" s="32"/>
      <c r="AI289" s="32"/>
      <c r="AJ289" s="32"/>
      <c r="AK289" s="32"/>
    </row>
    <row r="290">
      <c r="A290" s="32" t="str">
        <f>IFERROR(__xludf.DUMMYFUNCTION("""COMPUTED_VALUE"""),"Ninja Poison Master (Dragonscale)")</f>
        <v>Ninja Poison Master (Dragonscale)</v>
      </c>
      <c r="B290" s="32"/>
      <c r="C290" s="32"/>
      <c r="D290" s="32"/>
      <c r="E290" s="32"/>
      <c r="F290" s="32"/>
      <c r="G290" s="32">
        <f>IFERROR(__xludf.DUMMYFUNCTION("""COMPUTED_VALUE"""),250.0)</f>
        <v>250</v>
      </c>
      <c r="H290" s="32"/>
      <c r="I290" s="32"/>
      <c r="J290" s="32"/>
      <c r="K290" s="32"/>
      <c r="L290" s="32"/>
      <c r="M290" s="32"/>
      <c r="N290" s="32"/>
      <c r="O290" s="32"/>
      <c r="P290" s="32"/>
      <c r="Q290" s="32">
        <f>IFERROR(__xludf.DUMMYFUNCTION("""COMPUTED_VALUE"""),250.0)</f>
        <v>250</v>
      </c>
      <c r="R290" s="32">
        <f>IFERROR(__xludf.DUMMYFUNCTION("""COMPUTED_VALUE"""),250.0)</f>
        <v>250</v>
      </c>
      <c r="S290" s="32"/>
      <c r="T290" s="32" t="str">
        <f>IFERROR(__xludf.DUMMYFUNCTION("""COMPUTED_VALUE"""),"Immune")</f>
        <v>Immune</v>
      </c>
      <c r="U290" s="32"/>
      <c r="V290" s="32"/>
      <c r="W290" s="32"/>
      <c r="X290" s="32" t="str">
        <f>IFERROR(__xludf.DUMMYFUNCTION("""COMPUTED_VALUE"""),"Immune")</f>
        <v>Immune</v>
      </c>
      <c r="Y290" s="32"/>
      <c r="Z290" s="32"/>
      <c r="AA290" s="32"/>
      <c r="AB290" s="32"/>
      <c r="AC290" s="32"/>
      <c r="AD290" s="32"/>
      <c r="AE290" s="32"/>
      <c r="AF290" s="32"/>
      <c r="AG290" s="32"/>
      <c r="AH290" s="32"/>
      <c r="AI290" s="32"/>
      <c r="AJ290" s="32"/>
      <c r="AK290" s="32"/>
    </row>
    <row r="291">
      <c r="A291" s="32" t="str">
        <f>IFERROR(__xludf.DUMMYFUNCTION("""COMPUTED_VALUE"""),"Ninja Master (Dragonscale)")</f>
        <v>Ninja Master (Dragonscale)</v>
      </c>
      <c r="B291" s="32"/>
      <c r="C291" s="32"/>
      <c r="D291" s="32"/>
      <c r="E291" s="32"/>
      <c r="F291" s="32"/>
      <c r="G291" s="32">
        <f>IFERROR(__xludf.DUMMYFUNCTION("""COMPUTED_VALUE"""),500.0)</f>
        <v>500</v>
      </c>
      <c r="H291" s="32"/>
      <c r="I291" s="32"/>
      <c r="J291" s="32"/>
      <c r="K291" s="32"/>
      <c r="L291" s="32"/>
      <c r="M291" s="32"/>
      <c r="N291" s="32"/>
      <c r="O291" s="32"/>
      <c r="P291" s="32"/>
      <c r="Q291" s="32" t="str">
        <f>IFERROR(__xludf.DUMMYFUNCTION("""COMPUTED_VALUE"""),"Immune")</f>
        <v>Immune</v>
      </c>
      <c r="R291" s="32" t="str">
        <f>IFERROR(__xludf.DUMMYFUNCTION("""COMPUTED_VALUE"""),"Immune")</f>
        <v>Immune</v>
      </c>
      <c r="S291" s="32"/>
      <c r="T291" s="32" t="str">
        <f>IFERROR(__xludf.DUMMYFUNCTION("""COMPUTED_VALUE"""),"Immune")</f>
        <v>Immune</v>
      </c>
      <c r="U291" s="32"/>
      <c r="V291" s="32"/>
      <c r="W291" s="32"/>
      <c r="X291" s="32" t="str">
        <f>IFERROR(__xludf.DUMMYFUNCTION("""COMPUTED_VALUE"""),"Immune")</f>
        <v>Immune</v>
      </c>
      <c r="Y291" s="32" t="str">
        <f>IFERROR(__xludf.DUMMYFUNCTION("""COMPUTED_VALUE"""),"Immune")</f>
        <v>Immune</v>
      </c>
      <c r="Z291" s="32"/>
      <c r="AA291" s="32" t="str">
        <f>IFERROR(__xludf.DUMMYFUNCTION("""COMPUTED_VALUE"""),"Immune")</f>
        <v>Immune</v>
      </c>
      <c r="AB291" s="32"/>
      <c r="AC291" s="32"/>
      <c r="AD291" s="32"/>
      <c r="AE291" s="32"/>
      <c r="AF291" s="32"/>
      <c r="AG291" s="32"/>
      <c r="AH291" s="32"/>
      <c r="AI291" s="32"/>
      <c r="AJ291" s="32"/>
      <c r="AK291" s="32"/>
    </row>
    <row r="292">
      <c r="A292" s="32" t="str">
        <f>IFERROR(__xludf.DUMMYFUNCTION("""COMPUTED_VALUE"""),"Wolf")</f>
        <v>Wolf</v>
      </c>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row>
    <row r="293">
      <c r="A293" s="32" t="str">
        <f>IFERROR(__xludf.DUMMYFUNCTION("""COMPUTED_VALUE"""),"Fire Wyrm")</f>
        <v>Fire Wyrm</v>
      </c>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row>
    <row r="294">
      <c r="A294" s="32" t="str">
        <f>IFERROR(__xludf.DUMMYFUNCTION("""COMPUTED_VALUE"""),"Storm Wyrm")</f>
        <v>Storm Wyrm</v>
      </c>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row>
    <row r="295">
      <c r="A295" s="32" t="str">
        <f>IFERROR(__xludf.DUMMYFUNCTION("""COMPUTED_VALUE"""),"Earth Wyrm")</f>
        <v>Earth Wyrm</v>
      </c>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row>
    <row r="296">
      <c r="A296" s="32" t="str">
        <f>IFERROR(__xludf.DUMMYFUNCTION("""COMPUTED_VALUE"""),"Water Wyrm")</f>
        <v>Water Wyrm</v>
      </c>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row>
    <row r="297">
      <c r="A297" s="32" t="str">
        <f>IFERROR(__xludf.DUMMYFUNCTION("""COMPUTED_VALUE"""),"Nature Wyrm")</f>
        <v>Nature Wyrm</v>
      </c>
      <c r="B297" s="32"/>
      <c r="C297" s="32"/>
      <c r="D297" s="32"/>
      <c r="E297" s="32"/>
      <c r="F297" s="32"/>
      <c r="G297" s="32"/>
      <c r="H297" s="32"/>
      <c r="I297" s="32"/>
      <c r="J297" s="32"/>
      <c r="K297" s="32">
        <f>IFERROR(__xludf.DUMMYFUNCTION("""COMPUTED_VALUE"""),50.0)</f>
        <v>50</v>
      </c>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row>
    <row r="298">
      <c r="A298" s="32" t="str">
        <f>IFERROR(__xludf.DUMMYFUNCTION("""COMPUTED_VALUE"""),"Imp")</f>
        <v>Imp</v>
      </c>
      <c r="B298" s="32"/>
      <c r="C298" s="32"/>
      <c r="D298" s="32"/>
      <c r="E298" s="32"/>
      <c r="F298" s="32"/>
      <c r="G298" s="32">
        <f>IFERROR(__xludf.DUMMYFUNCTION("""COMPUTED_VALUE"""),50.0)</f>
        <v>50</v>
      </c>
      <c r="H298" s="32"/>
      <c r="I298" s="32"/>
      <c r="J298" s="32">
        <f>IFERROR(__xludf.DUMMYFUNCTION("""COMPUTED_VALUE"""),50.0)</f>
        <v>50</v>
      </c>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row>
    <row r="299">
      <c r="A299" s="32" t="str">
        <f>IFERROR(__xludf.DUMMYFUNCTION("""COMPUTED_VALUE"""),"Lesser tengu")</f>
        <v>Lesser tengu</v>
      </c>
      <c r="B299" s="32"/>
      <c r="C299" s="32"/>
      <c r="D299" s="32"/>
      <c r="E299" s="32"/>
      <c r="F299" s="32">
        <f>IFERROR(__xludf.DUMMYFUNCTION("""COMPUTED_VALUE"""),50.0)</f>
        <v>50</v>
      </c>
      <c r="G299" s="32"/>
      <c r="H299" s="32"/>
      <c r="I299" s="32">
        <f>IFERROR(__xludf.DUMMYFUNCTION("""COMPUTED_VALUE"""),50.0)</f>
        <v>50</v>
      </c>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row>
    <row r="300">
      <c r="A300" s="32" t="str">
        <f>IFERROR(__xludf.DUMMYFUNCTION("""COMPUTED_VALUE"""),"Master Inugima of the Amphibuki")</f>
        <v>Master Inugima of the Amphibuki</v>
      </c>
      <c r="B300" s="32"/>
      <c r="C300" s="32"/>
      <c r="D300" s="32"/>
      <c r="E300" s="32"/>
      <c r="F300" s="32"/>
      <c r="G300" s="32"/>
      <c r="H300" s="32"/>
      <c r="I300" s="32"/>
      <c r="J300" s="32"/>
      <c r="K300" s="32"/>
      <c r="L300" s="32"/>
      <c r="M300" s="32"/>
      <c r="N300" s="32"/>
      <c r="O300" s="32"/>
      <c r="P300" s="32"/>
      <c r="Q300" s="32" t="str">
        <f>IFERROR(__xludf.DUMMYFUNCTION("""COMPUTED_VALUE"""),"Immune")</f>
        <v>Immune</v>
      </c>
      <c r="R300" s="32" t="str">
        <f>IFERROR(__xludf.DUMMYFUNCTION("""COMPUTED_VALUE"""),"Immune")</f>
        <v>Immune</v>
      </c>
      <c r="S300" s="32"/>
      <c r="T300" s="32" t="str">
        <f>IFERROR(__xludf.DUMMYFUNCTION("""COMPUTED_VALUE"""),"Immune")</f>
        <v>Immune</v>
      </c>
      <c r="U300" s="32"/>
      <c r="V300" s="32"/>
      <c r="W300" s="32"/>
      <c r="X300" s="32" t="str">
        <f>IFERROR(__xludf.DUMMYFUNCTION("""COMPUTED_VALUE"""),"Immune")</f>
        <v>Immune</v>
      </c>
      <c r="Y300" s="32" t="str">
        <f>IFERROR(__xludf.DUMMYFUNCTION("""COMPUTED_VALUE"""),"Immune")</f>
        <v>Immune</v>
      </c>
      <c r="Z300" s="32"/>
      <c r="AA300" s="32" t="str">
        <f>IFERROR(__xludf.DUMMYFUNCTION("""COMPUTED_VALUE"""),"Immune")</f>
        <v>Immune</v>
      </c>
      <c r="AB300" s="32"/>
      <c r="AC300" s="32"/>
      <c r="AD300" s="32"/>
      <c r="AE300" s="32"/>
      <c r="AF300" s="32"/>
      <c r="AG300" s="32"/>
      <c r="AH300" s="32"/>
      <c r="AI300" s="32"/>
      <c r="AJ300" s="32"/>
      <c r="AK300" s="32"/>
    </row>
    <row r="301">
      <c r="A301" s="32" t="str">
        <f>IFERROR(__xludf.DUMMYFUNCTION("""COMPUTED_VALUE"""),"Master Inugima Clone")</f>
        <v>Master Inugima Clone</v>
      </c>
      <c r="B301" s="32"/>
      <c r="C301" s="32"/>
      <c r="D301" s="32"/>
      <c r="E301" s="32"/>
      <c r="F301" s="32"/>
      <c r="G301" s="32"/>
      <c r="H301" s="32"/>
      <c r="I301" s="32"/>
      <c r="J301" s="32"/>
      <c r="K301" s="32"/>
      <c r="L301" s="32"/>
      <c r="M301" s="32"/>
      <c r="N301" s="32"/>
      <c r="O301" s="32"/>
      <c r="P301" s="32"/>
      <c r="Q301" s="32" t="str">
        <f>IFERROR(__xludf.DUMMYFUNCTION("""COMPUTED_VALUE"""),"Immune")</f>
        <v>Immune</v>
      </c>
      <c r="R301" s="32" t="str">
        <f>IFERROR(__xludf.DUMMYFUNCTION("""COMPUTED_VALUE"""),"Immune")</f>
        <v>Immune</v>
      </c>
      <c r="S301" s="32"/>
      <c r="T301" s="32" t="str">
        <f>IFERROR(__xludf.DUMMYFUNCTION("""COMPUTED_VALUE"""),"Immune")</f>
        <v>Immune</v>
      </c>
      <c r="U301" s="32"/>
      <c r="V301" s="32"/>
      <c r="W301" s="32"/>
      <c r="X301" s="32" t="str">
        <f>IFERROR(__xludf.DUMMYFUNCTION("""COMPUTED_VALUE"""),"Immune")</f>
        <v>Immune</v>
      </c>
      <c r="Y301" s="32" t="str">
        <f>IFERROR(__xludf.DUMMYFUNCTION("""COMPUTED_VALUE"""),"Immune")</f>
        <v>Immune</v>
      </c>
      <c r="Z301" s="32"/>
      <c r="AA301" s="32" t="str">
        <f>IFERROR(__xludf.DUMMYFUNCTION("""COMPUTED_VALUE"""),"Immune")</f>
        <v>Immune</v>
      </c>
      <c r="AB301" s="32"/>
      <c r="AC301" s="32"/>
      <c r="AD301" s="32"/>
      <c r="AE301" s="32"/>
      <c r="AF301" s="32"/>
      <c r="AG301" s="32"/>
      <c r="AH301" s="32"/>
      <c r="AI301" s="32"/>
      <c r="AJ301" s="32"/>
      <c r="AK301" s="32"/>
    </row>
    <row r="302">
      <c r="A302" s="32" t="str">
        <f>IFERROR(__xludf.DUMMYFUNCTION("""COMPUTED_VALUE"""),"Emerald Dragon")</f>
        <v>Emerald Dragon</v>
      </c>
      <c r="B302" s="32"/>
      <c r="C302" s="32"/>
      <c r="D302" s="32"/>
      <c r="E302" s="32">
        <f>IFERROR(__xludf.DUMMYFUNCTION("""COMPUTED_VALUE"""),100.0)</f>
        <v>100</v>
      </c>
      <c r="F302" s="32"/>
      <c r="G302" s="32"/>
      <c r="H302" s="32"/>
      <c r="I302" s="32"/>
      <c r="J302" s="32"/>
      <c r="K302" s="32">
        <f>IFERROR(__xludf.DUMMYFUNCTION("""COMPUTED_VALUE"""),100.0)</f>
        <v>100</v>
      </c>
      <c r="L302" s="32"/>
      <c r="M302" s="32"/>
      <c r="N302" s="32"/>
      <c r="O302" s="32"/>
      <c r="P302" s="32"/>
      <c r="Q302" s="32"/>
      <c r="R302" s="32"/>
      <c r="S302" s="32"/>
      <c r="T302" s="32"/>
      <c r="U302" s="32"/>
      <c r="V302" s="32"/>
      <c r="W302" s="32"/>
      <c r="X302" s="32" t="str">
        <f>IFERROR(__xludf.DUMMYFUNCTION("""COMPUTED_VALUE"""),"Immune")</f>
        <v>Immune</v>
      </c>
      <c r="Y302" s="32" t="str">
        <f>IFERROR(__xludf.DUMMYFUNCTION("""COMPUTED_VALUE"""),"Immune")</f>
        <v>Immune</v>
      </c>
      <c r="Z302" s="32"/>
      <c r="AA302" s="32" t="str">
        <f>IFERROR(__xludf.DUMMYFUNCTION("""COMPUTED_VALUE"""),"Immune")</f>
        <v>Immune</v>
      </c>
      <c r="AB302" s="32"/>
      <c r="AC302" s="32"/>
      <c r="AD302" s="32"/>
      <c r="AE302" s="32"/>
      <c r="AF302" s="32"/>
      <c r="AG302" s="32"/>
      <c r="AH302" s="32"/>
      <c r="AI302" s="32"/>
      <c r="AJ302" s="32"/>
      <c r="AK302" s="32"/>
    </row>
    <row r="303">
      <c r="A303" s="32" t="str">
        <f>IFERROR(__xludf.DUMMYFUNCTION("""COMPUTED_VALUE"""),"Ruby Dragon")</f>
        <v>Ruby Dragon</v>
      </c>
      <c r="B303" s="32">
        <f>IFERROR(__xludf.DUMMYFUNCTION("""COMPUTED_VALUE"""),100.0)</f>
        <v>100</v>
      </c>
      <c r="C303" s="32"/>
      <c r="D303" s="32"/>
      <c r="E303" s="32">
        <f>IFERROR(__xludf.DUMMYFUNCTION("""COMPUTED_VALUE"""),100.0)</f>
        <v>100</v>
      </c>
      <c r="F303" s="32"/>
      <c r="G303" s="32"/>
      <c r="H303" s="32"/>
      <c r="I303" s="32"/>
      <c r="J303" s="32"/>
      <c r="K303" s="32"/>
      <c r="L303" s="32"/>
      <c r="M303" s="32"/>
      <c r="N303" s="32"/>
      <c r="O303" s="32"/>
      <c r="P303" s="32"/>
      <c r="Q303" s="32"/>
      <c r="R303" s="32"/>
      <c r="S303" s="32"/>
      <c r="T303" s="32"/>
      <c r="U303" s="32"/>
      <c r="V303" s="32"/>
      <c r="W303" s="32"/>
      <c r="X303" s="32" t="str">
        <f>IFERROR(__xludf.DUMMYFUNCTION("""COMPUTED_VALUE"""),"Immune")</f>
        <v>Immune</v>
      </c>
      <c r="Y303" s="32" t="str">
        <f>IFERROR(__xludf.DUMMYFUNCTION("""COMPUTED_VALUE"""),"Immune")</f>
        <v>Immune</v>
      </c>
      <c r="Z303" s="32"/>
      <c r="AA303" s="32" t="str">
        <f>IFERROR(__xludf.DUMMYFUNCTION("""COMPUTED_VALUE"""),"Immune")</f>
        <v>Immune</v>
      </c>
      <c r="AB303" s="32"/>
      <c r="AC303" s="32"/>
      <c r="AD303" s="32"/>
      <c r="AE303" s="32"/>
      <c r="AF303" s="32"/>
      <c r="AG303" s="32"/>
      <c r="AH303" s="32"/>
      <c r="AI303" s="32"/>
      <c r="AJ303" s="32"/>
      <c r="AK303" s="32"/>
    </row>
    <row r="304">
      <c r="A304" s="32" t="str">
        <f>IFERROR(__xludf.DUMMYFUNCTION("""COMPUTED_VALUE"""),"Sapphire Dragon")</f>
        <v>Sapphire Dragon</v>
      </c>
      <c r="B304" s="32" t="str">
        <f>IFERROR(__xludf.DUMMYFUNCTION("""COMPUTED_VALUE"""),"Immune")</f>
        <v>Immune</v>
      </c>
      <c r="C304" s="32">
        <f>IFERROR(__xludf.DUMMYFUNCTION("""COMPUTED_VALUE"""),100.0)</f>
        <v>100</v>
      </c>
      <c r="D304" s="32"/>
      <c r="E304" s="32">
        <f>IFERROR(__xludf.DUMMYFUNCTION("""COMPUTED_VALUE"""),100.0)</f>
        <v>100</v>
      </c>
      <c r="F304" s="32"/>
      <c r="G304" s="32"/>
      <c r="H304" s="32"/>
      <c r="I304" s="32"/>
      <c r="J304" s="32"/>
      <c r="K304" s="32"/>
      <c r="L304" s="32"/>
      <c r="M304" s="32"/>
      <c r="N304" s="32"/>
      <c r="O304" s="32"/>
      <c r="P304" s="32"/>
      <c r="Q304" s="32"/>
      <c r="R304" s="32"/>
      <c r="S304" s="32"/>
      <c r="T304" s="32"/>
      <c r="U304" s="32"/>
      <c r="V304" s="32"/>
      <c r="W304" s="32"/>
      <c r="X304" s="32" t="str">
        <f>IFERROR(__xludf.DUMMYFUNCTION("""COMPUTED_VALUE"""),"Immune")</f>
        <v>Immune</v>
      </c>
      <c r="Y304" s="32" t="str">
        <f>IFERROR(__xludf.DUMMYFUNCTION("""COMPUTED_VALUE"""),"Immune")</f>
        <v>Immune</v>
      </c>
      <c r="Z304" s="32"/>
      <c r="AA304" s="32" t="str">
        <f>IFERROR(__xludf.DUMMYFUNCTION("""COMPUTED_VALUE"""),"Immune")</f>
        <v>Immune</v>
      </c>
      <c r="AB304" s="32"/>
      <c r="AC304" s="32"/>
      <c r="AD304" s="32"/>
      <c r="AE304" s="32"/>
      <c r="AF304" s="32"/>
      <c r="AG304" s="32"/>
      <c r="AH304" s="32"/>
      <c r="AI304" s="32"/>
      <c r="AJ304" s="32"/>
      <c r="AK304" s="32"/>
    </row>
    <row r="305">
      <c r="A305" s="32" t="str">
        <f>IFERROR(__xludf.DUMMYFUNCTION("""COMPUTED_VALUE"""),"Diamond Dragon")</f>
        <v>Diamond Dragon</v>
      </c>
      <c r="B305" s="32">
        <f>IFERROR(__xludf.DUMMYFUNCTION("""COMPUTED_VALUE"""),100.0)</f>
        <v>100</v>
      </c>
      <c r="C305" s="32"/>
      <c r="D305" s="32"/>
      <c r="E305" s="32">
        <f>IFERROR(__xludf.DUMMYFUNCTION("""COMPUTED_VALUE"""),100.0)</f>
        <v>100</v>
      </c>
      <c r="F305" s="32"/>
      <c r="G305" s="32"/>
      <c r="H305" s="32"/>
      <c r="I305" s="32"/>
      <c r="J305" s="32"/>
      <c r="K305" s="32"/>
      <c r="L305" s="32"/>
      <c r="M305" s="32"/>
      <c r="N305" s="32"/>
      <c r="O305" s="32"/>
      <c r="P305" s="32">
        <f>IFERROR(__xludf.DUMMYFUNCTION("""COMPUTED_VALUE"""),100.0)</f>
        <v>100</v>
      </c>
      <c r="Q305" s="32"/>
      <c r="R305" s="32"/>
      <c r="S305" s="32"/>
      <c r="T305" s="32"/>
      <c r="U305" s="32"/>
      <c r="V305" s="32"/>
      <c r="W305" s="32"/>
      <c r="X305" s="32" t="str">
        <f>IFERROR(__xludf.DUMMYFUNCTION("""COMPUTED_VALUE"""),"Immune")</f>
        <v>Immune</v>
      </c>
      <c r="Y305" s="32" t="str">
        <f>IFERROR(__xludf.DUMMYFUNCTION("""COMPUTED_VALUE"""),"Immune")</f>
        <v>Immune</v>
      </c>
      <c r="Z305" s="32"/>
      <c r="AA305" s="32" t="str">
        <f>IFERROR(__xludf.DUMMYFUNCTION("""COMPUTED_VALUE"""),"Immune")</f>
        <v>Immune</v>
      </c>
      <c r="AB305" s="32"/>
      <c r="AC305" s="32"/>
      <c r="AD305" s="32"/>
      <c r="AE305" s="32"/>
      <c r="AF305" s="32"/>
      <c r="AG305" s="32"/>
      <c r="AH305" s="32"/>
      <c r="AI305" s="32"/>
      <c r="AJ305" s="32"/>
      <c r="AK305" s="32"/>
    </row>
    <row r="306">
      <c r="A306" s="32" t="str">
        <f>IFERROR(__xludf.DUMMYFUNCTION("""COMPUTED_VALUE"""),"Moonstone Dragon")</f>
        <v>Moonstone Dragon</v>
      </c>
      <c r="B306" s="32"/>
      <c r="C306" s="32"/>
      <c r="D306" s="32"/>
      <c r="E306" s="32">
        <f>IFERROR(__xludf.DUMMYFUNCTION("""COMPUTED_VALUE"""),100.0)</f>
        <v>100</v>
      </c>
      <c r="F306" s="32"/>
      <c r="G306" s="32"/>
      <c r="H306" s="32"/>
      <c r="I306" s="32"/>
      <c r="J306" s="32"/>
      <c r="K306" s="32"/>
      <c r="L306" s="32"/>
      <c r="M306" s="32"/>
      <c r="N306" s="32"/>
      <c r="O306" s="32"/>
      <c r="P306" s="32"/>
      <c r="Q306" s="32"/>
      <c r="R306" s="32"/>
      <c r="S306" s="32"/>
      <c r="T306" s="32"/>
      <c r="U306" s="32"/>
      <c r="V306" s="32" t="str">
        <f>IFERROR(__xludf.DUMMYFUNCTION("""COMPUTED_VALUE"""),"Immune")</f>
        <v>Immune</v>
      </c>
      <c r="W306" s="32"/>
      <c r="X306" s="32" t="str">
        <f>IFERROR(__xludf.DUMMYFUNCTION("""COMPUTED_VALUE"""),"Immune")</f>
        <v>Immune</v>
      </c>
      <c r="Y306" s="32" t="str">
        <f>IFERROR(__xludf.DUMMYFUNCTION("""COMPUTED_VALUE"""),"Immune")</f>
        <v>Immune</v>
      </c>
      <c r="Z306" s="32"/>
      <c r="AA306" s="32" t="str">
        <f>IFERROR(__xludf.DUMMYFUNCTION("""COMPUTED_VALUE"""),"Immune")</f>
        <v>Immune</v>
      </c>
      <c r="AB306" s="32"/>
      <c r="AC306" s="32"/>
      <c r="AD306" s="32"/>
      <c r="AE306" s="32"/>
      <c r="AF306" s="32"/>
      <c r="AG306" s="32"/>
      <c r="AH306" s="32"/>
      <c r="AI306" s="32"/>
      <c r="AJ306" s="32"/>
      <c r="AK306" s="32"/>
    </row>
    <row r="307">
      <c r="A307" s="32" t="str">
        <f>IFERROR(__xludf.DUMMYFUNCTION("""COMPUTED_VALUE"""),"Sunstone Dragon")</f>
        <v>Sunstone Dragon</v>
      </c>
      <c r="B307" s="32"/>
      <c r="C307" s="32"/>
      <c r="D307" s="32"/>
      <c r="E307" s="32">
        <f>IFERROR(__xludf.DUMMYFUNCTION("""COMPUTED_VALUE"""),100.0)</f>
        <v>100</v>
      </c>
      <c r="F307" s="32"/>
      <c r="G307" s="32"/>
      <c r="H307" s="32"/>
      <c r="I307" s="32"/>
      <c r="J307" s="32"/>
      <c r="K307" s="32"/>
      <c r="L307" s="32"/>
      <c r="M307" s="32"/>
      <c r="N307" s="32"/>
      <c r="O307" s="32"/>
      <c r="P307" s="32"/>
      <c r="Q307" s="32"/>
      <c r="R307" s="32"/>
      <c r="S307" s="32"/>
      <c r="T307" s="32"/>
      <c r="U307" s="32"/>
      <c r="V307" s="32"/>
      <c r="W307" s="32" t="str">
        <f>IFERROR(__xludf.DUMMYFUNCTION("""COMPUTED_VALUE"""),"Immune")</f>
        <v>Immune</v>
      </c>
      <c r="X307" s="32" t="str">
        <f>IFERROR(__xludf.DUMMYFUNCTION("""COMPUTED_VALUE"""),"Immune")</f>
        <v>Immune</v>
      </c>
      <c r="Y307" s="32" t="str">
        <f>IFERROR(__xludf.DUMMYFUNCTION("""COMPUTED_VALUE"""),"Immune")</f>
        <v>Immune</v>
      </c>
      <c r="Z307" s="32"/>
      <c r="AA307" s="32" t="str">
        <f>IFERROR(__xludf.DUMMYFUNCTION("""COMPUTED_VALUE"""),"Immune")</f>
        <v>Immune</v>
      </c>
      <c r="AB307" s="32"/>
      <c r="AC307" s="32"/>
      <c r="AD307" s="32"/>
      <c r="AE307" s="32"/>
      <c r="AF307" s="32"/>
      <c r="AG307" s="32"/>
      <c r="AH307" s="32"/>
      <c r="AI307" s="32"/>
      <c r="AJ307" s="32"/>
      <c r="AK307" s="32"/>
    </row>
    <row r="308">
      <c r="A308" s="32" t="str">
        <f>IFERROR(__xludf.DUMMYFUNCTION("""COMPUTED_VALUE"""),"Pirate")</f>
        <v>Pirate</v>
      </c>
      <c r="B308" s="32"/>
      <c r="C308" s="32"/>
      <c r="D308" s="32"/>
      <c r="E308" s="32"/>
      <c r="F308" s="32"/>
      <c r="G308" s="32"/>
      <c r="H308" s="32"/>
      <c r="I308" s="32"/>
      <c r="J308" s="32"/>
      <c r="K308" s="32"/>
      <c r="L308" s="32" t="str">
        <f>IFERROR(__xludf.DUMMYFUNCTION("""COMPUTED_VALUE"""),"Immune")</f>
        <v>Immune</v>
      </c>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row>
    <row r="309">
      <c r="A309" s="32" t="str">
        <f>IFERROR(__xludf.DUMMYFUNCTION("""COMPUTED_VALUE"""),"Pirate Captain")</f>
        <v>Pirate Captain</v>
      </c>
      <c r="B309" s="32"/>
      <c r="C309" s="32" t="str">
        <f>IFERROR(__xludf.DUMMYFUNCTION("""COMPUTED_VALUE"""),"Immune")</f>
        <v>Immune</v>
      </c>
      <c r="D309" s="32" t="str">
        <f>IFERROR(__xludf.DUMMYFUNCTION("""COMPUTED_VALUE"""),"Immune")</f>
        <v>Immune</v>
      </c>
      <c r="E309" s="32"/>
      <c r="F309" s="32"/>
      <c r="G309" s="32"/>
      <c r="H309" s="32"/>
      <c r="I309" s="32"/>
      <c r="J309" s="32"/>
      <c r="K309" s="32"/>
      <c r="L309" s="32" t="str">
        <f>IFERROR(__xludf.DUMMYFUNCTION("""COMPUTED_VALUE"""),"Immune")</f>
        <v>Immune</v>
      </c>
      <c r="M309" s="32"/>
      <c r="N309" s="32"/>
      <c r="O309" s="32"/>
      <c r="P309" s="32"/>
      <c r="Q309" s="32"/>
      <c r="R309" s="32"/>
      <c r="S309" s="32"/>
      <c r="T309" s="32"/>
      <c r="U309" s="32"/>
      <c r="V309" s="32"/>
      <c r="W309" s="32"/>
      <c r="X309" s="32" t="str">
        <f>IFERROR(__xludf.DUMMYFUNCTION("""COMPUTED_VALUE"""),"Immune")</f>
        <v>Immune</v>
      </c>
      <c r="Y309" s="32" t="str">
        <f>IFERROR(__xludf.DUMMYFUNCTION("""COMPUTED_VALUE"""),"Immune")</f>
        <v>Immune</v>
      </c>
      <c r="Z309" s="32"/>
      <c r="AA309" s="32" t="str">
        <f>IFERROR(__xludf.DUMMYFUNCTION("""COMPUTED_VALUE"""),"Immune")</f>
        <v>Immune</v>
      </c>
      <c r="AB309" s="32"/>
      <c r="AC309" s="32"/>
      <c r="AD309" s="32"/>
      <c r="AE309" s="32"/>
      <c r="AF309" s="32"/>
      <c r="AG309" s="32"/>
      <c r="AH309" s="32"/>
      <c r="AI309" s="32"/>
      <c r="AJ309" s="32"/>
      <c r="AK309" s="32"/>
    </row>
    <row r="310">
      <c r="A310" s="32" t="str">
        <f>IFERROR(__xludf.DUMMYFUNCTION("""COMPUTED_VALUE"""),"The Crystal King")</f>
        <v>The Crystal King</v>
      </c>
      <c r="B310" s="32">
        <f>IFERROR(__xludf.DUMMYFUNCTION("""COMPUTED_VALUE"""),100.0)</f>
        <v>100</v>
      </c>
      <c r="C310" s="32"/>
      <c r="D310" s="32"/>
      <c r="E310" s="32" t="str">
        <f>IFERROR(__xludf.DUMMYFUNCTION("""COMPUTED_VALUE"""),"Immune")</f>
        <v>Immune</v>
      </c>
      <c r="F310" s="32"/>
      <c r="G310" s="32"/>
      <c r="H310" s="32"/>
      <c r="I310" s="32"/>
      <c r="J310" s="32"/>
      <c r="K310" s="32"/>
      <c r="L310" s="32"/>
      <c r="M310" s="32"/>
      <c r="N310" s="32"/>
      <c r="O310" s="32"/>
      <c r="P310" s="32"/>
      <c r="Q310" s="32"/>
      <c r="R310" s="32"/>
      <c r="S310" s="32"/>
      <c r="T310" s="32"/>
      <c r="U310" s="32"/>
      <c r="V310" s="32"/>
      <c r="W310" s="32"/>
      <c r="X310" s="32" t="str">
        <f>IFERROR(__xludf.DUMMYFUNCTION("""COMPUTED_VALUE"""),"Immune")</f>
        <v>Immune</v>
      </c>
      <c r="Y310" s="32" t="str">
        <f>IFERROR(__xludf.DUMMYFUNCTION("""COMPUTED_VALUE"""),"Immune")</f>
        <v>Immune</v>
      </c>
      <c r="Z310" s="32">
        <f>IFERROR(__xludf.DUMMYFUNCTION("""COMPUTED_VALUE"""),100.0)</f>
        <v>100</v>
      </c>
      <c r="AA310" s="32" t="str">
        <f>IFERROR(__xludf.DUMMYFUNCTION("""COMPUTED_VALUE"""),"Immune")</f>
        <v>Immune</v>
      </c>
      <c r="AB310" s="32"/>
      <c r="AC310" s="32"/>
      <c r="AD310" s="32"/>
      <c r="AE310" s="32"/>
      <c r="AF310" s="32"/>
      <c r="AG310" s="32"/>
      <c r="AH310" s="32"/>
      <c r="AI310" s="32"/>
      <c r="AJ310" s="32"/>
      <c r="AK310" s="32"/>
    </row>
    <row r="311">
      <c r="A311" s="32" t="str">
        <f>IFERROR(__xludf.DUMMYFUNCTION("""COMPUTED_VALUE"""),"Sand Worm")</f>
        <v>Sand Worm</v>
      </c>
      <c r="B311" s="32" t="str">
        <f>IFERROR(__xludf.DUMMYFUNCTION("""COMPUTED_VALUE"""),"Immune")</f>
        <v>Immune</v>
      </c>
      <c r="C311" s="32" t="str">
        <f>IFERROR(__xludf.DUMMYFUNCTION("""COMPUTED_VALUE"""),"Immune")</f>
        <v>Immune</v>
      </c>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row>
    <row r="312">
      <c r="A312" s="32" t="str">
        <f>IFERROR(__xludf.DUMMYFUNCTION("""COMPUTED_VALUE"""),"Water Elemental")</f>
        <v>Water Elemental</v>
      </c>
      <c r="B312" s="32">
        <f>IFERROR(__xludf.DUMMYFUNCTION("""COMPUTED_VALUE"""),100.0)</f>
        <v>100</v>
      </c>
      <c r="C312" s="32" t="str">
        <f>IFERROR(__xludf.DUMMYFUNCTION("""COMPUTED_VALUE"""),"Immune")</f>
        <v>Immune</v>
      </c>
      <c r="D312" s="32"/>
      <c r="E312" s="32"/>
      <c r="F312" s="32"/>
      <c r="G312" s="32"/>
      <c r="H312" s="32"/>
      <c r="I312" s="32"/>
      <c r="J312" s="32"/>
      <c r="K312" s="32"/>
      <c r="L312" s="32"/>
      <c r="M312" s="32"/>
      <c r="N312" s="32"/>
      <c r="O312" s="32"/>
      <c r="P312" s="32"/>
      <c r="Q312" s="32"/>
      <c r="R312" s="32" t="str">
        <f>IFERROR(__xludf.DUMMYFUNCTION("""COMPUTED_VALUE"""),"Immune")</f>
        <v>Immune</v>
      </c>
      <c r="S312" s="32"/>
      <c r="T312" s="32"/>
      <c r="U312" s="32"/>
      <c r="V312" s="32"/>
      <c r="W312" s="32"/>
      <c r="X312" s="32" t="str">
        <f>IFERROR(__xludf.DUMMYFUNCTION("""COMPUTED_VALUE"""),"Immune")</f>
        <v>Immune</v>
      </c>
      <c r="Y312" s="32"/>
      <c r="Z312" s="32"/>
      <c r="AA312" s="32" t="str">
        <f>IFERROR(__xludf.DUMMYFUNCTION("""COMPUTED_VALUE"""),"Immune")</f>
        <v>Immune</v>
      </c>
      <c r="AB312" s="32"/>
      <c r="AC312" s="32"/>
      <c r="AD312" s="32"/>
      <c r="AE312" s="32"/>
      <c r="AF312" s="32"/>
      <c r="AG312" s="32"/>
      <c r="AH312" s="32"/>
      <c r="AI312" s="32"/>
      <c r="AJ312" s="32"/>
      <c r="AK312" s="32"/>
    </row>
    <row r="313">
      <c r="A313" s="32" t="str">
        <f>IFERROR(__xludf.DUMMYFUNCTION("""COMPUTED_VALUE"""),"Mekanian Knight")</f>
        <v>Mekanian Knight</v>
      </c>
      <c r="B313" s="32"/>
      <c r="C313" s="32"/>
      <c r="D313" s="32" t="str">
        <f>IFERROR(__xludf.DUMMYFUNCTION("""COMPUTED_VALUE"""),"Immune")</f>
        <v>Immune</v>
      </c>
      <c r="E313" s="32"/>
      <c r="F313" s="32"/>
      <c r="G313" s="32"/>
      <c r="H313" s="32" t="str">
        <f>IFERROR(__xludf.DUMMYFUNCTION("""COMPUTED_VALUE"""),"Immune")</f>
        <v>Immune</v>
      </c>
      <c r="I313" s="32"/>
      <c r="J313" s="32"/>
      <c r="K313" s="32"/>
      <c r="L313" s="32"/>
      <c r="M313" s="32"/>
      <c r="N313" s="32"/>
      <c r="O313" s="32"/>
      <c r="P313" s="32"/>
      <c r="Q313" s="32"/>
      <c r="R313" s="32" t="str">
        <f>IFERROR(__xludf.DUMMYFUNCTION("""COMPUTED_VALUE"""),"Immune")</f>
        <v>Immune</v>
      </c>
      <c r="S313" s="32"/>
      <c r="T313" s="32"/>
      <c r="U313" s="32"/>
      <c r="V313" s="32"/>
      <c r="W313" s="32"/>
      <c r="X313" s="32" t="str">
        <f>IFERROR(__xludf.DUMMYFUNCTION("""COMPUTED_VALUE"""),"Immune")</f>
        <v>Immune</v>
      </c>
      <c r="Y313" s="32"/>
      <c r="Z313" s="32"/>
      <c r="AA313" s="32" t="str">
        <f>IFERROR(__xludf.DUMMYFUNCTION("""COMPUTED_VALUE"""),"Immune")</f>
        <v>Immune</v>
      </c>
      <c r="AB313" s="32"/>
      <c r="AC313" s="32"/>
      <c r="AD313" s="32"/>
      <c r="AE313" s="32"/>
      <c r="AF313" s="32"/>
      <c r="AG313" s="32"/>
      <c r="AH313" s="32"/>
      <c r="AI313" s="32"/>
      <c r="AJ313" s="32"/>
      <c r="AK313" s="32"/>
    </row>
    <row r="314">
      <c r="A314" s="32" t="str">
        <f>IFERROR(__xludf.DUMMYFUNCTION("""COMPUTED_VALUE"""),"Armored Car")</f>
        <v>Armored Car</v>
      </c>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t="str">
        <f>IFERROR(__xludf.DUMMYFUNCTION("""COMPUTED_VALUE"""),"Immune")</f>
        <v>Immune</v>
      </c>
      <c r="AA314" s="32"/>
      <c r="AB314" s="32"/>
      <c r="AC314" s="32"/>
      <c r="AD314" s="32"/>
      <c r="AE314" s="32"/>
      <c r="AF314" s="32"/>
      <c r="AG314" s="32"/>
      <c r="AH314" s="32"/>
      <c r="AI314" s="32"/>
      <c r="AJ314" s="32"/>
      <c r="AK314" s="32"/>
    </row>
    <row r="315">
      <c r="A315" s="32" t="str">
        <f>IFERROR(__xludf.DUMMYFUNCTION("""COMPUTED_VALUE"""),"Tank")</f>
        <v>Tank</v>
      </c>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t="str">
        <f>IFERROR(__xludf.DUMMYFUNCTION("""COMPUTED_VALUE"""),"Immune")</f>
        <v>Immune</v>
      </c>
      <c r="AA315" s="32"/>
      <c r="AB315" s="32"/>
      <c r="AC315" s="32"/>
      <c r="AD315" s="32"/>
      <c r="AE315" s="32"/>
      <c r="AF315" s="32"/>
      <c r="AG315" s="32"/>
      <c r="AH315" s="32"/>
      <c r="AI315" s="32"/>
      <c r="AJ315" s="32"/>
      <c r="AK315" s="32"/>
    </row>
    <row r="316">
      <c r="A316" s="32" t="str">
        <f>IFERROR(__xludf.DUMMYFUNCTION("""COMPUTED_VALUE"""),"ATV")</f>
        <v>ATV</v>
      </c>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t="str">
        <f>IFERROR(__xludf.DUMMYFUNCTION("""COMPUTED_VALUE"""),"Immune")</f>
        <v>Immune</v>
      </c>
      <c r="AA316" s="32"/>
      <c r="AB316" s="32"/>
      <c r="AC316" s="32"/>
      <c r="AD316" s="32"/>
      <c r="AE316" s="32"/>
      <c r="AF316" s="32"/>
      <c r="AG316" s="32"/>
      <c r="AH316" s="32"/>
      <c r="AI316" s="32"/>
      <c r="AJ316" s="32"/>
      <c r="AK316" s="32"/>
    </row>
    <row r="317">
      <c r="A317" s="32" t="str">
        <f>IFERROR(__xludf.DUMMYFUNCTION("""COMPUTED_VALUE"""),"Battleship")</f>
        <v>Battleship</v>
      </c>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t="str">
        <f>IFERROR(__xludf.DUMMYFUNCTION("""COMPUTED_VALUE"""),"Immune")</f>
        <v>Immune</v>
      </c>
      <c r="AA317" s="32"/>
      <c r="AB317" s="32"/>
      <c r="AC317" s="32"/>
      <c r="AD317" s="32"/>
      <c r="AE317" s="32"/>
      <c r="AF317" s="32"/>
      <c r="AG317" s="32"/>
      <c r="AH317" s="32"/>
      <c r="AI317" s="32"/>
      <c r="AJ317" s="32"/>
      <c r="AK317" s="32"/>
    </row>
    <row r="318">
      <c r="A318" s="32" t="str">
        <f>IFERROR(__xludf.DUMMYFUNCTION("""COMPUTED_VALUE"""),"Galleon")</f>
        <v>Galleon</v>
      </c>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t="str">
        <f>IFERROR(__xludf.DUMMYFUNCTION("""COMPUTED_VALUE"""),"Immune")</f>
        <v>Immune</v>
      </c>
      <c r="AA318" s="32"/>
      <c r="AB318" s="32"/>
      <c r="AC318" s="32"/>
      <c r="AD318" s="32"/>
      <c r="AE318" s="32"/>
      <c r="AF318" s="32"/>
      <c r="AG318" s="32"/>
      <c r="AH318" s="32"/>
      <c r="AI318" s="32"/>
      <c r="AJ318" s="32"/>
      <c r="AK318" s="32"/>
    </row>
    <row r="319">
      <c r="A319" s="32" t="str">
        <f>IFERROR(__xludf.DUMMYFUNCTION("""COMPUTED_VALUE"""),"Submarine")</f>
        <v>Submarine</v>
      </c>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t="str">
        <f>IFERROR(__xludf.DUMMYFUNCTION("""COMPUTED_VALUE"""),"Immune")</f>
        <v>Immune</v>
      </c>
      <c r="AA319" s="32"/>
      <c r="AB319" s="32"/>
      <c r="AC319" s="32"/>
      <c r="AD319" s="32"/>
      <c r="AE319" s="32"/>
      <c r="AF319" s="32"/>
      <c r="AG319" s="32"/>
      <c r="AH319" s="32"/>
      <c r="AI319" s="32"/>
      <c r="AJ319" s="32"/>
      <c r="AK319" s="32"/>
    </row>
    <row r="320">
      <c r="A320" s="32" t="str">
        <f>IFERROR(__xludf.DUMMYFUNCTION("""COMPUTED_VALUE"""),"Scarecrow Lord")</f>
        <v>Scarecrow Lord</v>
      </c>
      <c r="B320" s="32"/>
      <c r="C320" s="32"/>
      <c r="D320" s="32"/>
      <c r="E320" s="32"/>
      <c r="F320" s="32"/>
      <c r="G320" s="32" t="str">
        <f>IFERROR(__xludf.DUMMYFUNCTION("""COMPUTED_VALUE"""),"Immune")</f>
        <v>Immune</v>
      </c>
      <c r="H320" s="32" t="str">
        <f>IFERROR(__xludf.DUMMYFUNCTION("""COMPUTED_VALUE"""),"Immune")</f>
        <v>Immune</v>
      </c>
      <c r="I320" s="32"/>
      <c r="J320" s="32"/>
      <c r="K320" s="32"/>
      <c r="L320" s="32"/>
      <c r="M320" s="32"/>
      <c r="N320" s="32"/>
      <c r="O320" s="32"/>
      <c r="P320" s="32"/>
      <c r="Q320" s="32"/>
      <c r="R320" s="32"/>
      <c r="S320" s="32"/>
      <c r="T320" s="32"/>
      <c r="U320" s="32"/>
      <c r="V320" s="32"/>
      <c r="W320" s="32"/>
      <c r="X320" s="32" t="str">
        <f>IFERROR(__xludf.DUMMYFUNCTION("""COMPUTED_VALUE"""),"Immune")</f>
        <v>Immune</v>
      </c>
      <c r="Y320" s="32"/>
      <c r="Z320" s="32"/>
      <c r="AA320" s="32" t="str">
        <f>IFERROR(__xludf.DUMMYFUNCTION("""COMPUTED_VALUE"""),"Immune")</f>
        <v>Immune</v>
      </c>
      <c r="AB320" s="32"/>
      <c r="AC320" s="32"/>
      <c r="AD320" s="32"/>
      <c r="AE320" s="32"/>
      <c r="AF320" s="32"/>
      <c r="AG320" s="32"/>
      <c r="AH320" s="32"/>
      <c r="AI320" s="32"/>
      <c r="AJ320" s="32"/>
      <c r="AK320" s="32"/>
    </row>
    <row r="321">
      <c r="A321" s="32" t="str">
        <f>IFERROR(__xludf.DUMMYFUNCTION("""COMPUTED_VALUE"""),"Corrupted King Zorgod")</f>
        <v>Corrupted King Zorgod</v>
      </c>
      <c r="B321" s="32"/>
      <c r="C321" s="32"/>
      <c r="D321" s="32"/>
      <c r="E321" s="32"/>
      <c r="F321" s="32"/>
      <c r="G321" s="32" t="str">
        <f>IFERROR(__xludf.DUMMYFUNCTION("""COMPUTED_VALUE"""),"Immune")</f>
        <v>Immune</v>
      </c>
      <c r="H321" s="32"/>
      <c r="I321" s="32"/>
      <c r="J321" s="32"/>
      <c r="K321" s="32"/>
      <c r="L321" s="32"/>
      <c r="M321" s="32"/>
      <c r="N321" s="32"/>
      <c r="O321" s="32"/>
      <c r="P321" s="32"/>
      <c r="Q321" s="32"/>
      <c r="R321" s="32"/>
      <c r="S321" s="32"/>
      <c r="T321" s="32"/>
      <c r="U321" s="32"/>
      <c r="V321" s="32"/>
      <c r="W321" s="32"/>
      <c r="X321" s="32" t="str">
        <f>IFERROR(__xludf.DUMMYFUNCTION("""COMPUTED_VALUE"""),"Immune")</f>
        <v>Immune</v>
      </c>
      <c r="Y321" s="32"/>
      <c r="Z321" s="32"/>
      <c r="AA321" s="32" t="str">
        <f>IFERROR(__xludf.DUMMYFUNCTION("""COMPUTED_VALUE"""),"Immune")</f>
        <v>Immune</v>
      </c>
      <c r="AB321" s="32"/>
      <c r="AC321" s="32"/>
      <c r="AD321" s="32"/>
      <c r="AE321" s="32"/>
      <c r="AF321" s="32"/>
      <c r="AG321" s="32"/>
      <c r="AH321" s="32"/>
      <c r="AI321" s="32"/>
      <c r="AJ321" s="32"/>
      <c r="AK321" s="32"/>
    </row>
    <row r="322">
      <c r="A322" s="32" t="str">
        <f>IFERROR(__xludf.DUMMYFUNCTION("""COMPUTED_VALUE"""),"Vermouth The Sea Monkey King")</f>
        <v>Vermouth The Sea Monkey King</v>
      </c>
      <c r="B322" s="32" t="str">
        <f>IFERROR(__xludf.DUMMYFUNCTION("""COMPUTED_VALUE"""),"Immune")</f>
        <v>Immune</v>
      </c>
      <c r="C322" s="32" t="str">
        <f>IFERROR(__xludf.DUMMYFUNCTION("""COMPUTED_VALUE"""),"Immune")</f>
        <v>Immune</v>
      </c>
      <c r="D322" s="32"/>
      <c r="E322" s="32"/>
      <c r="F322" s="32"/>
      <c r="G322" s="32"/>
      <c r="H322" s="32"/>
      <c r="I322" s="32"/>
      <c r="J322" s="32"/>
      <c r="K322" s="32"/>
      <c r="L322" s="32"/>
      <c r="M322" s="32"/>
      <c r="N322" s="32"/>
      <c r="O322" s="32"/>
      <c r="P322" s="32"/>
      <c r="Q322" s="32"/>
      <c r="R322" s="32"/>
      <c r="S322" s="32"/>
      <c r="T322" s="32"/>
      <c r="U322" s="32"/>
      <c r="V322" s="32"/>
      <c r="W322" s="32"/>
      <c r="X322" s="32" t="str">
        <f>IFERROR(__xludf.DUMMYFUNCTION("""COMPUTED_VALUE"""),"Immune")</f>
        <v>Immune</v>
      </c>
      <c r="Y322" s="32" t="str">
        <f>IFERROR(__xludf.DUMMYFUNCTION("""COMPUTED_VALUE"""),"Immune")</f>
        <v>Immune</v>
      </c>
      <c r="Z322" s="32"/>
      <c r="AA322" s="32" t="str">
        <f>IFERROR(__xludf.DUMMYFUNCTION("""COMPUTED_VALUE"""),"Immune")</f>
        <v>Immune</v>
      </c>
      <c r="AB322" s="32"/>
      <c r="AC322" s="32"/>
      <c r="AD322" s="32"/>
      <c r="AE322" s="32"/>
      <c r="AF322" s="32"/>
      <c r="AG322" s="32"/>
      <c r="AH322" s="32"/>
      <c r="AI322" s="32"/>
      <c r="AJ322" s="32"/>
      <c r="AK322" s="32"/>
    </row>
    <row r="323">
      <c r="A323" s="32" t="str">
        <f>IFERROR(__xludf.DUMMYFUNCTION("""COMPUTED_VALUE"""),"Assassin Doll")</f>
        <v>Assassin Doll</v>
      </c>
      <c r="B323" s="32"/>
      <c r="C323" s="32"/>
      <c r="D323" s="32"/>
      <c r="E323" s="32"/>
      <c r="F323" s="32"/>
      <c r="G323" s="32" t="str">
        <f>IFERROR(__xludf.DUMMYFUNCTION("""COMPUTED_VALUE"""),"Immune")</f>
        <v>Immune</v>
      </c>
      <c r="H323" s="32" t="str">
        <f>IFERROR(__xludf.DUMMYFUNCTION("""COMPUTED_VALUE"""),"Immune")</f>
        <v>Immune</v>
      </c>
      <c r="I323" s="32"/>
      <c r="J323" s="32"/>
      <c r="K323" s="32"/>
      <c r="L323" s="32"/>
      <c r="M323" s="32"/>
      <c r="N323" s="32"/>
      <c r="O323" s="32"/>
      <c r="P323" s="32"/>
      <c r="Q323" s="32" t="str">
        <f>IFERROR(__xludf.DUMMYFUNCTION("""COMPUTED_VALUE"""),"Immune")</f>
        <v>Immune</v>
      </c>
      <c r="R323" s="32"/>
      <c r="S323" s="32"/>
      <c r="T323" s="32"/>
      <c r="U323" s="32"/>
      <c r="V323" s="32"/>
      <c r="W323" s="32"/>
      <c r="X323" s="32" t="str">
        <f>IFERROR(__xludf.DUMMYFUNCTION("""COMPUTED_VALUE"""),"Immune")</f>
        <v>Immune</v>
      </c>
      <c r="Y323" s="32"/>
      <c r="Z323" s="32"/>
      <c r="AA323" s="32"/>
      <c r="AB323" s="32"/>
      <c r="AC323" s="32"/>
      <c r="AD323" s="32"/>
      <c r="AE323" s="32"/>
      <c r="AF323" s="32"/>
      <c r="AG323" s="32"/>
      <c r="AH323" s="32"/>
      <c r="AI323" s="32"/>
      <c r="AJ323" s="32"/>
      <c r="AK323" s="32"/>
    </row>
    <row r="324">
      <c r="A324" s="32" t="str">
        <f>IFERROR(__xludf.DUMMYFUNCTION("""COMPUTED_VALUE"""),"Black Serpent Dragon")</f>
        <v>Black Serpent Dragon</v>
      </c>
      <c r="B324" s="32"/>
      <c r="C324" s="32"/>
      <c r="D324" s="32"/>
      <c r="E324" s="32"/>
      <c r="F324" s="32"/>
      <c r="G324" s="32" t="str">
        <f>IFERROR(__xludf.DUMMYFUNCTION("""COMPUTED_VALUE"""),"Immune")</f>
        <v>Immune</v>
      </c>
      <c r="H324" s="32"/>
      <c r="I324" s="32"/>
      <c r="J324" s="32"/>
      <c r="K324" s="32"/>
      <c r="L324" s="32"/>
      <c r="M324" s="32"/>
      <c r="N324" s="32"/>
      <c r="O324" s="32"/>
      <c r="P324" s="32"/>
      <c r="Q324" s="32"/>
      <c r="R324" s="32"/>
      <c r="S324" s="32"/>
      <c r="T324" s="32"/>
      <c r="U324" s="32"/>
      <c r="V324" s="32"/>
      <c r="W324" s="32"/>
      <c r="X324" s="32" t="str">
        <f>IFERROR(__xludf.DUMMYFUNCTION("""COMPUTED_VALUE"""),"Immune")</f>
        <v>Immune</v>
      </c>
      <c r="Y324" s="32" t="str">
        <f>IFERROR(__xludf.DUMMYFUNCTION("""COMPUTED_VALUE"""),"Immune")</f>
        <v>Immune</v>
      </c>
      <c r="Z324" s="32"/>
      <c r="AA324" s="32" t="str">
        <f>IFERROR(__xludf.DUMMYFUNCTION("""COMPUTED_VALUE"""),"Immune")</f>
        <v>Immune</v>
      </c>
      <c r="AB324" s="32"/>
      <c r="AC324" s="32"/>
      <c r="AD324" s="32"/>
      <c r="AE324" s="32"/>
      <c r="AF324" s="32"/>
      <c r="AG324" s="32"/>
      <c r="AH324" s="32"/>
      <c r="AI324" s="32"/>
      <c r="AJ324" s="32"/>
      <c r="AK324" s="32"/>
    </row>
    <row r="325">
      <c r="A325" s="32" t="str">
        <f>IFERROR(__xludf.DUMMYFUNCTION("""COMPUTED_VALUE"""),"Vermouth's Guard")</f>
        <v>Vermouth's Guard</v>
      </c>
      <c r="B325" s="32" t="str">
        <f>IFERROR(__xludf.DUMMYFUNCTION("""COMPUTED_VALUE"""),"Immune")</f>
        <v>Immune</v>
      </c>
      <c r="C325" s="32" t="str">
        <f>IFERROR(__xludf.DUMMYFUNCTION("""COMPUTED_VALUE"""),"Immune")</f>
        <v>Immune</v>
      </c>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row>
    <row r="326">
      <c r="A326" s="32" t="str">
        <f>IFERROR(__xludf.DUMMYFUNCTION("""COMPUTED_VALUE"""),"Crystal Guardian")</f>
        <v>Crystal Guardian</v>
      </c>
      <c r="B326" s="32" t="str">
        <f>IFERROR(__xludf.DUMMYFUNCTION("""COMPUTED_VALUE"""),"Immune")</f>
        <v>Immune</v>
      </c>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row>
    <row r="327">
      <c r="A327" s="32" t="str">
        <f>IFERROR(__xludf.DUMMYFUNCTION("""COMPUTED_VALUE"""),"Flamethrower Corpse")</f>
        <v>Flamethrower Corpse</v>
      </c>
      <c r="B327" s="32"/>
      <c r="C327" s="32"/>
      <c r="D327" s="32"/>
      <c r="E327" s="32"/>
      <c r="F327" s="32"/>
      <c r="G327" s="32"/>
      <c r="H327" s="32"/>
      <c r="I327" s="32"/>
      <c r="J327" s="32"/>
      <c r="K327" s="32" t="str">
        <f>IFERROR(__xludf.DUMMYFUNCTION("""COMPUTED_VALUE"""),"Immune")</f>
        <v>Immune</v>
      </c>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row>
    <row r="328">
      <c r="A328" s="32" t="str">
        <f>IFERROR(__xludf.DUMMYFUNCTION("""COMPUTED_VALUE"""),"Mournful Mother")</f>
        <v>Mournful Mother</v>
      </c>
      <c r="B328" s="32"/>
      <c r="C328" s="32"/>
      <c r="D328" s="32"/>
      <c r="E328" s="32"/>
      <c r="F328" s="32"/>
      <c r="G328" s="32" t="str">
        <f>IFERROR(__xludf.DUMMYFUNCTION("""COMPUTED_VALUE"""),"Immune")</f>
        <v>Immune</v>
      </c>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row>
    <row r="329">
      <c r="A329" s="32" t="str">
        <f>IFERROR(__xludf.DUMMYFUNCTION("""COMPUTED_VALUE"""),"Twilight Lord")</f>
        <v>Twilight Lord</v>
      </c>
      <c r="B329" s="32"/>
      <c r="C329" s="32"/>
      <c r="D329" s="32"/>
      <c r="E329" s="32"/>
      <c r="F329" s="32"/>
      <c r="G329" s="32"/>
      <c r="H329" s="32"/>
      <c r="I329" s="32"/>
      <c r="J329" s="32"/>
      <c r="K329" s="32"/>
      <c r="L329" s="32"/>
      <c r="M329" s="32"/>
      <c r="N329" s="32"/>
      <c r="O329" s="32"/>
      <c r="P329" s="32"/>
      <c r="Q329" s="32"/>
      <c r="R329" s="32"/>
      <c r="S329" s="32"/>
      <c r="T329" s="32"/>
      <c r="U329" s="32"/>
      <c r="V329" s="32"/>
      <c r="W329" s="32"/>
      <c r="X329" s="32" t="str">
        <f>IFERROR(__xludf.DUMMYFUNCTION("""COMPUTED_VALUE"""),"Immune")</f>
        <v>Immune</v>
      </c>
      <c r="Y329" s="32" t="str">
        <f>IFERROR(__xludf.DUMMYFUNCTION("""COMPUTED_VALUE"""),"Immune")</f>
        <v>Immune</v>
      </c>
      <c r="Z329" s="32"/>
      <c r="AA329" s="32" t="str">
        <f>IFERROR(__xludf.DUMMYFUNCTION("""COMPUTED_VALUE"""),"Immune")</f>
        <v>Immune</v>
      </c>
      <c r="AB329" s="32"/>
      <c r="AC329" s="32"/>
      <c r="AD329" s="32"/>
      <c r="AE329" s="32"/>
      <c r="AF329" s="32"/>
      <c r="AG329" s="32"/>
      <c r="AH329" s="32"/>
      <c r="AI329" s="32"/>
      <c r="AJ329" s="32"/>
      <c r="AK329" s="32"/>
    </row>
    <row r="330">
      <c r="A330" s="32" t="str">
        <f>IFERROR(__xludf.DUMMYFUNCTION("""COMPUTED_VALUE"""),"Twilight Priest")</f>
        <v>Twilight Priest</v>
      </c>
      <c r="B330" s="32"/>
      <c r="C330" s="32"/>
      <c r="D330" s="32"/>
      <c r="E330" s="32"/>
      <c r="F330" s="32" t="str">
        <f>IFERROR(__xludf.DUMMYFUNCTION("""COMPUTED_VALUE"""),"Immune")</f>
        <v>Immune</v>
      </c>
      <c r="G330" s="32" t="str">
        <f>IFERROR(__xludf.DUMMYFUNCTION("""COMPUTED_VALUE"""),"Immune")</f>
        <v>Immune</v>
      </c>
      <c r="H330" s="32"/>
      <c r="I330" s="32"/>
      <c r="J330" s="32"/>
      <c r="K330" s="32"/>
      <c r="L330" s="32"/>
      <c r="M330" s="32"/>
      <c r="N330" s="32"/>
      <c r="O330" s="32"/>
      <c r="P330" s="32"/>
      <c r="Q330" s="32"/>
      <c r="R330" s="32"/>
      <c r="S330" s="32"/>
      <c r="T330" s="32"/>
      <c r="U330" s="32"/>
      <c r="V330" s="32"/>
      <c r="W330" s="32"/>
      <c r="X330" s="32" t="str">
        <f>IFERROR(__xludf.DUMMYFUNCTION("""COMPUTED_VALUE"""),"Immune")</f>
        <v>Immune</v>
      </c>
      <c r="Y330" s="32" t="str">
        <f>IFERROR(__xludf.DUMMYFUNCTION("""COMPUTED_VALUE"""),"Immune")</f>
        <v>Immune</v>
      </c>
      <c r="Z330" s="32"/>
      <c r="AA330" s="32" t="str">
        <f>IFERROR(__xludf.DUMMYFUNCTION("""COMPUTED_VALUE"""),"Immune")</f>
        <v>Immune</v>
      </c>
      <c r="AB330" s="32"/>
      <c r="AC330" s="32"/>
      <c r="AD330" s="32"/>
      <c r="AE330" s="32"/>
      <c r="AF330" s="32"/>
      <c r="AG330" s="32"/>
      <c r="AH330" s="32"/>
      <c r="AI330" s="32"/>
      <c r="AJ330" s="32"/>
      <c r="AK330" s="32"/>
    </row>
    <row r="331">
      <c r="A331" s="32" t="str">
        <f>IFERROR(__xludf.DUMMYFUNCTION("""COMPUTED_VALUE"""),"Werewolf King")</f>
        <v>Werewolf King</v>
      </c>
      <c r="B331" s="32"/>
      <c r="C331" s="32"/>
      <c r="D331" s="32"/>
      <c r="E331" s="32"/>
      <c r="F331" s="32"/>
      <c r="G331" s="32" t="str">
        <f>IFERROR(__xludf.DUMMYFUNCTION("""COMPUTED_VALUE"""),"Immune")</f>
        <v>Immune</v>
      </c>
      <c r="H331" s="32"/>
      <c r="I331" s="32"/>
      <c r="J331" s="32"/>
      <c r="K331" s="32"/>
      <c r="L331" s="32"/>
      <c r="M331" s="32"/>
      <c r="N331" s="32"/>
      <c r="O331" s="32"/>
      <c r="P331" s="32" t="str">
        <f>IFERROR(__xludf.DUMMYFUNCTION("""COMPUTED_VALUE"""),"Immune")</f>
        <v>Immune</v>
      </c>
      <c r="Q331" s="32"/>
      <c r="R331" s="32" t="str">
        <f>IFERROR(__xludf.DUMMYFUNCTION("""COMPUTED_VALUE"""),"Immune")</f>
        <v>Immune</v>
      </c>
      <c r="S331" s="32"/>
      <c r="T331" s="32"/>
      <c r="U331" s="32"/>
      <c r="V331" s="32"/>
      <c r="W331" s="32"/>
      <c r="X331" s="32" t="str">
        <f>IFERROR(__xludf.DUMMYFUNCTION("""COMPUTED_VALUE"""),"Immune")</f>
        <v>Immune</v>
      </c>
      <c r="Y331" s="32" t="str">
        <f>IFERROR(__xludf.DUMMYFUNCTION("""COMPUTED_VALUE"""),"Immune")</f>
        <v>Immune</v>
      </c>
      <c r="Z331" s="32"/>
      <c r="AA331" s="32" t="str">
        <f>IFERROR(__xludf.DUMMYFUNCTION("""COMPUTED_VALUE"""),"Immune")</f>
        <v>Immune</v>
      </c>
      <c r="AB331" s="32"/>
      <c r="AC331" s="32"/>
      <c r="AD331" s="32"/>
      <c r="AE331" s="32"/>
      <c r="AF331" s="32"/>
      <c r="AG331" s="32"/>
      <c r="AH331" s="32"/>
      <c r="AI331" s="32"/>
      <c r="AJ331" s="32"/>
      <c r="AK331" s="32"/>
    </row>
    <row r="332">
      <c r="A332" s="32" t="str">
        <f>IFERROR(__xludf.DUMMYFUNCTION("""COMPUTED_VALUE"""),"Mekanian Soldier")</f>
        <v>Mekanian Soldier</v>
      </c>
      <c r="B332" s="32" t="str">
        <f>IFERROR(__xludf.DUMMYFUNCTION("""COMPUTED_VALUE"""),"Immune")</f>
        <v>Immune</v>
      </c>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row>
    <row r="333">
      <c r="A333" s="32" t="str">
        <f>IFERROR(__xludf.DUMMYFUNCTION("""COMPUTED_VALUE"""),"Mekanian ")</f>
        <v>Mekanian </v>
      </c>
      <c r="B333" s="32" t="str">
        <f>IFERROR(__xludf.DUMMYFUNCTION("""COMPUTED_VALUE"""),"Immune")</f>
        <v>Immune</v>
      </c>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row>
    <row r="334">
      <c r="A334" s="32" t="str">
        <f>IFERROR(__xludf.DUMMYFUNCTION("""COMPUTED_VALUE"""),"Bashe The Cursed Sepent")</f>
        <v>Bashe The Cursed Sepent</v>
      </c>
      <c r="B334" s="32"/>
      <c r="C334" s="32" t="str">
        <f>IFERROR(__xludf.DUMMYFUNCTION("""COMPUTED_VALUE"""),"Immune")</f>
        <v>Immune</v>
      </c>
      <c r="D334" s="32"/>
      <c r="E334" s="32"/>
      <c r="F334" s="32"/>
      <c r="G334" s="32" t="str">
        <f>IFERROR(__xludf.DUMMYFUNCTION("""COMPUTED_VALUE"""),"immune")</f>
        <v>immune</v>
      </c>
      <c r="H334" s="32"/>
      <c r="I334" s="32"/>
      <c r="J334" s="32"/>
      <c r="K334" s="32" t="str">
        <f>IFERROR(__xludf.DUMMYFUNCTION("""COMPUTED_VALUE"""),"Immune")</f>
        <v>Immune</v>
      </c>
      <c r="L334" s="32"/>
      <c r="M334" s="32"/>
      <c r="N334" s="32"/>
      <c r="O334" s="32"/>
      <c r="P334" s="32"/>
      <c r="Q334" s="32"/>
      <c r="R334" s="32"/>
      <c r="S334" s="32"/>
      <c r="T334" s="32"/>
      <c r="U334" s="32"/>
      <c r="V334" s="32"/>
      <c r="W334" s="32"/>
      <c r="X334" s="32" t="str">
        <f>IFERROR(__xludf.DUMMYFUNCTION("""COMPUTED_VALUE"""),"Immune")</f>
        <v>Immune</v>
      </c>
      <c r="Y334" s="32" t="str">
        <f>IFERROR(__xludf.DUMMYFUNCTION("""COMPUTED_VALUE"""),"Immune")</f>
        <v>Immune</v>
      </c>
      <c r="Z334" s="32"/>
      <c r="AA334" s="32" t="str">
        <f>IFERROR(__xludf.DUMMYFUNCTION("""COMPUTED_VALUE"""),"Immune")</f>
        <v>Immune</v>
      </c>
      <c r="AB334" s="32"/>
      <c r="AC334" s="32"/>
      <c r="AD334" s="32"/>
      <c r="AE334" s="32"/>
      <c r="AF334" s="32"/>
      <c r="AG334" s="32"/>
      <c r="AH334" s="32"/>
      <c r="AI334" s="32"/>
      <c r="AJ334" s="32"/>
      <c r="AK334" s="32"/>
    </row>
    <row r="335">
      <c r="A335" s="32" t="str">
        <f>IFERROR(__xludf.DUMMYFUNCTION("""COMPUTED_VALUE"""),"Grash, The Oni of Fiji")</f>
        <v>Grash, The Oni of Fiji</v>
      </c>
      <c r="B335" s="32" t="str">
        <f>IFERROR(__xludf.DUMMYFUNCTION("""COMPUTED_VALUE"""),"Immune")</f>
        <v>Immune</v>
      </c>
      <c r="C335" s="32"/>
      <c r="D335" s="32"/>
      <c r="E335" s="32"/>
      <c r="F335" s="32"/>
      <c r="G335" s="32">
        <f>IFERROR(__xludf.DUMMYFUNCTION("""COMPUTED_VALUE"""),100.0)</f>
        <v>100</v>
      </c>
      <c r="H335" s="32"/>
      <c r="I335" s="32"/>
      <c r="J335" s="32"/>
      <c r="K335" s="32"/>
      <c r="L335" s="32"/>
      <c r="M335" s="32"/>
      <c r="N335" s="32" t="str">
        <f>IFERROR(__xludf.DUMMYFUNCTION("""COMPUTED_VALUE"""),"Immune")</f>
        <v>Immune</v>
      </c>
      <c r="O335" s="32"/>
      <c r="P335" s="32"/>
      <c r="Q335" s="32" t="str">
        <f>IFERROR(__xludf.DUMMYFUNCTION("""COMPUTED_VALUE"""),"Immune")</f>
        <v>Immune</v>
      </c>
      <c r="R335" s="32"/>
      <c r="S335" s="32"/>
      <c r="T335" s="32" t="str">
        <f>IFERROR(__xludf.DUMMYFUNCTION("""COMPUTED_VALUE"""),"Immune")</f>
        <v>Immune</v>
      </c>
      <c r="U335" s="32"/>
      <c r="V335" s="32"/>
      <c r="W335" s="32"/>
      <c r="X335" s="32" t="str">
        <f>IFERROR(__xludf.DUMMYFUNCTION("""COMPUTED_VALUE"""),"Immune")</f>
        <v>Immune</v>
      </c>
      <c r="Y335" s="32" t="str">
        <f>IFERROR(__xludf.DUMMYFUNCTION("""COMPUTED_VALUE"""),"Immune")</f>
        <v>Immune</v>
      </c>
      <c r="Z335" s="32"/>
      <c r="AA335" s="32" t="str">
        <f>IFERROR(__xludf.DUMMYFUNCTION("""COMPUTED_VALUE"""),"Immune")</f>
        <v>Immune</v>
      </c>
      <c r="AB335" s="32"/>
      <c r="AC335" s="32"/>
      <c r="AD335" s="32"/>
      <c r="AE335" s="32"/>
      <c r="AF335" s="32"/>
      <c r="AG335" s="32"/>
      <c r="AH335" s="32"/>
      <c r="AI335" s="32"/>
      <c r="AJ335" s="32"/>
      <c r="AK335" s="32"/>
    </row>
    <row r="336">
      <c r="A336" s="32" t="str">
        <f>IFERROR(__xludf.DUMMYFUNCTION("""COMPUTED_VALUE"""),"The Black Tortoise ")</f>
        <v>The Black Tortoise </v>
      </c>
      <c r="B336" s="32"/>
      <c r="C336" s="32"/>
      <c r="D336" s="32"/>
      <c r="E336" s="32"/>
      <c r="F336" s="32"/>
      <c r="G336" s="32" t="str">
        <f>IFERROR(__xludf.DUMMYFUNCTION("""COMPUTED_VALUE"""),"Immune")</f>
        <v>Immune</v>
      </c>
      <c r="H336" s="32"/>
      <c r="I336" s="32"/>
      <c r="J336" s="32"/>
      <c r="K336" s="32"/>
      <c r="L336" s="32"/>
      <c r="M336" s="32"/>
      <c r="N336" s="32"/>
      <c r="O336" s="32"/>
      <c r="P336" s="32"/>
      <c r="Q336" s="32" t="str">
        <f>IFERROR(__xludf.DUMMYFUNCTION("""COMPUTED_VALUE"""),"Immune")</f>
        <v>Immune</v>
      </c>
      <c r="R336" s="32"/>
      <c r="S336" s="32"/>
      <c r="T336" s="32"/>
      <c r="U336" s="32"/>
      <c r="V336" s="32"/>
      <c r="W336" s="32"/>
      <c r="X336" s="32" t="str">
        <f>IFERROR(__xludf.DUMMYFUNCTION("""COMPUTED_VALUE"""),"Immune")</f>
        <v>Immune</v>
      </c>
      <c r="Y336" s="32" t="str">
        <f>IFERROR(__xludf.DUMMYFUNCTION("""COMPUTED_VALUE"""),"Immune")</f>
        <v>Immune</v>
      </c>
      <c r="Z336" s="32"/>
      <c r="AA336" s="32" t="str">
        <f>IFERROR(__xludf.DUMMYFUNCTION("""COMPUTED_VALUE"""),"Immune")</f>
        <v>Immune</v>
      </c>
      <c r="AB336" s="32"/>
      <c r="AC336" s="32"/>
      <c r="AD336" s="32"/>
      <c r="AE336" s="32"/>
      <c r="AF336" s="32"/>
      <c r="AG336" s="32"/>
      <c r="AH336" s="32"/>
      <c r="AI336" s="32"/>
      <c r="AJ336" s="32"/>
      <c r="AK336" s="32"/>
    </row>
    <row r="337">
      <c r="A337" s="32" t="str">
        <f>IFERROR(__xludf.DUMMYFUNCTION("""COMPUTED_VALUE"""),"PyroShell")</f>
        <v>PyroShell</v>
      </c>
      <c r="B337" s="32" t="str">
        <f>IFERROR(__xludf.DUMMYFUNCTION("""COMPUTED_VALUE"""),"Immune")</f>
        <v>Immune</v>
      </c>
      <c r="C337" s="32"/>
      <c r="D337" s="32"/>
      <c r="E337" s="32"/>
      <c r="F337" s="32"/>
      <c r="G337" s="32"/>
      <c r="H337" s="32"/>
      <c r="I337" s="32"/>
      <c r="J337" s="32"/>
      <c r="K337" s="32"/>
      <c r="L337" s="32"/>
      <c r="M337" s="32"/>
      <c r="N337" s="32"/>
      <c r="O337" s="32"/>
      <c r="P337" s="32"/>
      <c r="Q337" s="32"/>
      <c r="R337" s="32"/>
      <c r="S337" s="32"/>
      <c r="T337" s="32"/>
      <c r="U337" s="32"/>
      <c r="V337" s="32"/>
      <c r="W337" s="32"/>
      <c r="X337" s="32" t="str">
        <f>IFERROR(__xludf.DUMMYFUNCTION("""COMPUTED_VALUE"""),"Immune")</f>
        <v>Immune</v>
      </c>
      <c r="Y337" s="32" t="str">
        <f>IFERROR(__xludf.DUMMYFUNCTION("""COMPUTED_VALUE"""),"Immune")</f>
        <v>Immune</v>
      </c>
      <c r="Z337" s="32"/>
      <c r="AA337" s="32" t="str">
        <f>IFERROR(__xludf.DUMMYFUNCTION("""COMPUTED_VALUE"""),"Immune")</f>
        <v>Immune</v>
      </c>
      <c r="AB337" s="32"/>
      <c r="AC337" s="32"/>
      <c r="AD337" s="32"/>
      <c r="AE337" s="32"/>
      <c r="AF337" s="32"/>
      <c r="AG337" s="32"/>
      <c r="AH337" s="32"/>
      <c r="AI337" s="32"/>
      <c r="AJ337" s="32"/>
      <c r="AK337" s="32"/>
    </row>
    <row r="338">
      <c r="A338" s="32" t="str">
        <f>IFERROR(__xludf.DUMMYFUNCTION("""COMPUTED_VALUE"""),"Dragonscale Guard (Tier III)")</f>
        <v>Dragonscale Guard (Tier III)</v>
      </c>
      <c r="B338" s="32"/>
      <c r="C338" s="32"/>
      <c r="D338" s="32"/>
      <c r="E338" s="32"/>
      <c r="F338" s="32" t="str">
        <f>IFERROR(__xludf.DUMMYFUNCTION("""COMPUTED_VALUE"""),"Immune")</f>
        <v>Immune</v>
      </c>
      <c r="G338" s="32">
        <f>IFERROR(__xludf.DUMMYFUNCTION("""COMPUTED_VALUE"""),100.0)</f>
        <v>100</v>
      </c>
      <c r="H338" s="32"/>
      <c r="I338" s="32" t="str">
        <f>IFERROR(__xludf.DUMMYFUNCTION("""COMPUTED_VALUE"""),"Immune")</f>
        <v>Immune</v>
      </c>
      <c r="J338" s="32"/>
      <c r="K338" s="32"/>
      <c r="L338" s="32"/>
      <c r="M338" s="32"/>
      <c r="N338" s="32"/>
      <c r="O338" s="32"/>
      <c r="P338" s="32"/>
      <c r="Q338" s="32"/>
      <c r="R338" s="32"/>
      <c r="S338" s="32"/>
      <c r="T338" s="32"/>
      <c r="U338" s="32"/>
      <c r="V338" s="32"/>
      <c r="W338" s="32" t="str">
        <f>IFERROR(__xludf.DUMMYFUNCTION("""COMPUTED_VALUE"""),"Immune")</f>
        <v>Immune</v>
      </c>
      <c r="X338" s="32" t="str">
        <f>IFERROR(__xludf.DUMMYFUNCTION("""COMPUTED_VALUE"""),"Immune")</f>
        <v>Immune</v>
      </c>
      <c r="Y338" s="32" t="str">
        <f>IFERROR(__xludf.DUMMYFUNCTION("""COMPUTED_VALUE"""),"Immune")</f>
        <v>Immune</v>
      </c>
      <c r="Z338" s="32" t="str">
        <f>IFERROR(__xludf.DUMMYFUNCTION("""COMPUTED_VALUE"""),"Immune")</f>
        <v>Immune</v>
      </c>
      <c r="AA338" s="32" t="str">
        <f>IFERROR(__xludf.DUMMYFUNCTION("""COMPUTED_VALUE"""),"Immune")</f>
        <v>Immune</v>
      </c>
      <c r="AB338" s="32"/>
      <c r="AC338" s="32"/>
      <c r="AD338" s="32"/>
      <c r="AE338" s="32"/>
      <c r="AF338" s="32"/>
      <c r="AG338" s="32"/>
      <c r="AH338" s="32"/>
      <c r="AI338" s="32"/>
      <c r="AJ338" s="32"/>
      <c r="AK338" s="32"/>
    </row>
    <row r="339">
      <c r="A339" s="32" t="str">
        <f>IFERROR(__xludf.DUMMYFUNCTION("""COMPUTED_VALUE"""),"Dragonscale Guard (Tier II)")</f>
        <v>Dragonscale Guard (Tier II)</v>
      </c>
      <c r="B339" s="32"/>
      <c r="C339" s="32"/>
      <c r="D339" s="32"/>
      <c r="E339" s="32"/>
      <c r="F339" s="32" t="str">
        <f>IFERROR(__xludf.DUMMYFUNCTION("""COMPUTED_VALUE"""),"Immune")</f>
        <v>Immune</v>
      </c>
      <c r="G339" s="32">
        <f>IFERROR(__xludf.DUMMYFUNCTION("""COMPUTED_VALUE"""),100.0)</f>
        <v>100</v>
      </c>
      <c r="H339" s="32"/>
      <c r="I339" s="32" t="str">
        <f>IFERROR(__xludf.DUMMYFUNCTION("""COMPUTED_VALUE"""),"Immune")</f>
        <v>Immune</v>
      </c>
      <c r="J339" s="32"/>
      <c r="K339" s="32"/>
      <c r="L339" s="32"/>
      <c r="M339" s="32"/>
      <c r="N339" s="32"/>
      <c r="O339" s="32"/>
      <c r="P339" s="32"/>
      <c r="Q339" s="32"/>
      <c r="R339" s="32"/>
      <c r="S339" s="32"/>
      <c r="T339" s="32"/>
      <c r="U339" s="32"/>
      <c r="V339" s="32"/>
      <c r="W339" s="32" t="str">
        <f>IFERROR(__xludf.DUMMYFUNCTION("""COMPUTED_VALUE"""),"Immune")</f>
        <v>Immune</v>
      </c>
      <c r="X339" s="32" t="str">
        <f>IFERROR(__xludf.DUMMYFUNCTION("""COMPUTED_VALUE"""),"Immune")</f>
        <v>Immune</v>
      </c>
      <c r="Y339" s="32" t="str">
        <f>IFERROR(__xludf.DUMMYFUNCTION("""COMPUTED_VALUE"""),"Immune")</f>
        <v>Immune</v>
      </c>
      <c r="Z339" s="32" t="str">
        <f>IFERROR(__xludf.DUMMYFUNCTION("""COMPUTED_VALUE"""),"Immune")</f>
        <v>Immune</v>
      </c>
      <c r="AA339" s="32" t="str">
        <f>IFERROR(__xludf.DUMMYFUNCTION("""COMPUTED_VALUE"""),"Immune")</f>
        <v>Immune</v>
      </c>
      <c r="AB339" s="32"/>
      <c r="AC339" s="32"/>
      <c r="AD339" s="32"/>
      <c r="AE339" s="32"/>
      <c r="AF339" s="32"/>
      <c r="AG339" s="32"/>
      <c r="AH339" s="32"/>
      <c r="AI339" s="32"/>
      <c r="AJ339" s="32"/>
      <c r="AK339" s="32"/>
    </row>
    <row r="340">
      <c r="A340" s="32" t="str">
        <f>IFERROR(__xludf.DUMMYFUNCTION("""COMPUTED_VALUE"""),"Dragonscale Guard (Tier I)")</f>
        <v>Dragonscale Guard (Tier I)</v>
      </c>
      <c r="B340" s="32"/>
      <c r="C340" s="32"/>
      <c r="D340" s="32"/>
      <c r="E340" s="32"/>
      <c r="F340" s="32" t="str">
        <f>IFERROR(__xludf.DUMMYFUNCTION("""COMPUTED_VALUE"""),"Immune")</f>
        <v>Immune</v>
      </c>
      <c r="G340" s="32">
        <f>IFERROR(__xludf.DUMMYFUNCTION("""COMPUTED_VALUE"""),100.0)</f>
        <v>100</v>
      </c>
      <c r="H340" s="32"/>
      <c r="I340" s="32" t="str">
        <f>IFERROR(__xludf.DUMMYFUNCTION("""COMPUTED_VALUE"""),"Immune")</f>
        <v>Immune</v>
      </c>
      <c r="J340" s="32"/>
      <c r="K340" s="32"/>
      <c r="L340" s="32"/>
      <c r="M340" s="32"/>
      <c r="N340" s="32"/>
      <c r="O340" s="32"/>
      <c r="P340" s="32"/>
      <c r="Q340" s="32"/>
      <c r="R340" s="32"/>
      <c r="S340" s="32"/>
      <c r="T340" s="32"/>
      <c r="U340" s="32"/>
      <c r="V340" s="32"/>
      <c r="W340" s="32" t="str">
        <f>IFERROR(__xludf.DUMMYFUNCTION("""COMPUTED_VALUE"""),"Immune")</f>
        <v>Immune</v>
      </c>
      <c r="X340" s="32" t="str">
        <f>IFERROR(__xludf.DUMMYFUNCTION("""COMPUTED_VALUE"""),"Immune")</f>
        <v>Immune</v>
      </c>
      <c r="Y340" s="32" t="str">
        <f>IFERROR(__xludf.DUMMYFUNCTION("""COMPUTED_VALUE"""),"Immune")</f>
        <v>Immune</v>
      </c>
      <c r="Z340" s="32" t="str">
        <f>IFERROR(__xludf.DUMMYFUNCTION("""COMPUTED_VALUE"""),"Immune")</f>
        <v>Immune</v>
      </c>
      <c r="AA340" s="32" t="str">
        <f>IFERROR(__xludf.DUMMYFUNCTION("""COMPUTED_VALUE"""),"Immune")</f>
        <v>Immune</v>
      </c>
      <c r="AB340" s="32"/>
      <c r="AC340" s="32"/>
      <c r="AD340" s="32"/>
      <c r="AE340" s="32"/>
      <c r="AF340" s="32"/>
      <c r="AG340" s="32"/>
      <c r="AH340" s="32"/>
      <c r="AI340" s="32"/>
      <c r="AJ340" s="32"/>
      <c r="AK340" s="32"/>
    </row>
    <row r="341">
      <c r="A341" s="32" t="str">
        <f>IFERROR(__xludf.DUMMYFUNCTION("""COMPUTED_VALUE"""),"Abstara Guard (Tier IIl)")</f>
        <v>Abstara Guard (Tier IIl)</v>
      </c>
      <c r="B341" s="32">
        <f>IFERROR(__xludf.DUMMYFUNCTION("""COMPUTED_VALUE"""),100.0)</f>
        <v>100</v>
      </c>
      <c r="C341" s="32"/>
      <c r="D341" s="32"/>
      <c r="E341" s="32"/>
      <c r="F341" s="32"/>
      <c r="G341" s="32" t="str">
        <f>IFERROR(__xludf.DUMMYFUNCTION("""COMPUTED_VALUE"""),"Immune")</f>
        <v>Immune</v>
      </c>
      <c r="H341" s="32"/>
      <c r="I341" s="32"/>
      <c r="J341" s="32" t="str">
        <f>IFERROR(__xludf.DUMMYFUNCTION("""COMPUTED_VALUE"""),"Immune")</f>
        <v>Immune</v>
      </c>
      <c r="K341" s="32"/>
      <c r="L341" s="32"/>
      <c r="M341" s="32"/>
      <c r="N341" s="32"/>
      <c r="O341" s="32"/>
      <c r="P341" s="32"/>
      <c r="Q341" s="32" t="str">
        <f>IFERROR(__xludf.DUMMYFUNCTION("""COMPUTED_VALUE"""),"Immune")</f>
        <v>Immune</v>
      </c>
      <c r="R341" s="32" t="str">
        <f>IFERROR(__xludf.DUMMYFUNCTION("""COMPUTED_VALUE"""),"Immune")</f>
        <v>Immune</v>
      </c>
      <c r="S341" s="32"/>
      <c r="T341" s="32"/>
      <c r="U341" s="32"/>
      <c r="V341" s="32"/>
      <c r="W341" s="32"/>
      <c r="X341" s="32" t="str">
        <f>IFERROR(__xludf.DUMMYFUNCTION("""COMPUTED_VALUE"""),"Immune")</f>
        <v>Immune</v>
      </c>
      <c r="Y341" s="32" t="str">
        <f>IFERROR(__xludf.DUMMYFUNCTION("""COMPUTED_VALUE"""),"Immune")</f>
        <v>Immune</v>
      </c>
      <c r="Z341" s="32"/>
      <c r="AA341" s="32" t="str">
        <f>IFERROR(__xludf.DUMMYFUNCTION("""COMPUTED_VALUE"""),"Immune")</f>
        <v>Immune</v>
      </c>
      <c r="AB341" s="32"/>
      <c r="AC341" s="32"/>
      <c r="AD341" s="32"/>
      <c r="AE341" s="32"/>
      <c r="AF341" s="32"/>
      <c r="AG341" s="32"/>
      <c r="AH341" s="32"/>
      <c r="AI341" s="32"/>
      <c r="AJ341" s="32"/>
      <c r="AK341" s="32"/>
    </row>
    <row r="342">
      <c r="A342" s="32" t="str">
        <f>IFERROR(__xludf.DUMMYFUNCTION("""COMPUTED_VALUE"""),"Abstara Guard (Tier II)")</f>
        <v>Abstara Guard (Tier II)</v>
      </c>
      <c r="B342" s="32">
        <f>IFERROR(__xludf.DUMMYFUNCTION("""COMPUTED_VALUE"""),100.0)</f>
        <v>100</v>
      </c>
      <c r="C342" s="32"/>
      <c r="D342" s="32"/>
      <c r="E342" s="32"/>
      <c r="F342" s="32"/>
      <c r="G342" s="32" t="str">
        <f>IFERROR(__xludf.DUMMYFUNCTION("""COMPUTED_VALUE"""),"Immune")</f>
        <v>Immune</v>
      </c>
      <c r="H342" s="32"/>
      <c r="I342" s="32"/>
      <c r="J342" s="32" t="str">
        <f>IFERROR(__xludf.DUMMYFUNCTION("""COMPUTED_VALUE"""),"Immune")</f>
        <v>Immune</v>
      </c>
      <c r="K342" s="32"/>
      <c r="L342" s="32"/>
      <c r="M342" s="32"/>
      <c r="N342" s="32"/>
      <c r="O342" s="32"/>
      <c r="P342" s="32"/>
      <c r="Q342" s="32" t="str">
        <f>IFERROR(__xludf.DUMMYFUNCTION("""COMPUTED_VALUE"""),"Immune")</f>
        <v>Immune</v>
      </c>
      <c r="R342" s="32" t="str">
        <f>IFERROR(__xludf.DUMMYFUNCTION("""COMPUTED_VALUE"""),"Immune")</f>
        <v>Immune</v>
      </c>
      <c r="S342" s="32"/>
      <c r="T342" s="32"/>
      <c r="U342" s="32"/>
      <c r="V342" s="32"/>
      <c r="W342" s="32"/>
      <c r="X342" s="32" t="str">
        <f>IFERROR(__xludf.DUMMYFUNCTION("""COMPUTED_VALUE"""),"Immune")</f>
        <v>Immune</v>
      </c>
      <c r="Y342" s="32" t="str">
        <f>IFERROR(__xludf.DUMMYFUNCTION("""COMPUTED_VALUE"""),"Immune")</f>
        <v>Immune</v>
      </c>
      <c r="Z342" s="32"/>
      <c r="AA342" s="32" t="str">
        <f>IFERROR(__xludf.DUMMYFUNCTION("""COMPUTED_VALUE"""),"Immune")</f>
        <v>Immune</v>
      </c>
      <c r="AB342" s="32"/>
      <c r="AC342" s="32"/>
      <c r="AD342" s="32"/>
      <c r="AE342" s="32"/>
      <c r="AF342" s="32"/>
      <c r="AG342" s="32"/>
      <c r="AH342" s="32"/>
      <c r="AI342" s="32"/>
      <c r="AJ342" s="32"/>
      <c r="AK342" s="32"/>
    </row>
    <row r="343">
      <c r="A343" s="32" t="str">
        <f>IFERROR(__xludf.DUMMYFUNCTION("""COMPUTED_VALUE"""),"Abstara  Guard (Tier l)")</f>
        <v>Abstara  Guard (Tier l)</v>
      </c>
      <c r="B343" s="32">
        <f>IFERROR(__xludf.DUMMYFUNCTION("""COMPUTED_VALUE"""),100.0)</f>
        <v>100</v>
      </c>
      <c r="C343" s="32"/>
      <c r="D343" s="32"/>
      <c r="E343" s="32"/>
      <c r="F343" s="32"/>
      <c r="G343" s="32" t="str">
        <f>IFERROR(__xludf.DUMMYFUNCTION("""COMPUTED_VALUE"""),"Immune")</f>
        <v>Immune</v>
      </c>
      <c r="H343" s="32"/>
      <c r="I343" s="32"/>
      <c r="J343" s="32" t="str">
        <f>IFERROR(__xludf.DUMMYFUNCTION("""COMPUTED_VALUE"""),"Immune")</f>
        <v>Immune</v>
      </c>
      <c r="K343" s="32"/>
      <c r="L343" s="32"/>
      <c r="M343" s="32"/>
      <c r="N343" s="32"/>
      <c r="O343" s="32"/>
      <c r="P343" s="32"/>
      <c r="Q343" s="32" t="str">
        <f>IFERROR(__xludf.DUMMYFUNCTION("""COMPUTED_VALUE"""),"Immune")</f>
        <v>Immune</v>
      </c>
      <c r="R343" s="32" t="str">
        <f>IFERROR(__xludf.DUMMYFUNCTION("""COMPUTED_VALUE"""),"Immune")</f>
        <v>Immune</v>
      </c>
      <c r="S343" s="32"/>
      <c r="T343" s="32"/>
      <c r="U343" s="32"/>
      <c r="V343" s="32"/>
      <c r="W343" s="32"/>
      <c r="X343" s="32" t="str">
        <f>IFERROR(__xludf.DUMMYFUNCTION("""COMPUTED_VALUE"""),"Immune")</f>
        <v>Immune</v>
      </c>
      <c r="Y343" s="32" t="str">
        <f>IFERROR(__xludf.DUMMYFUNCTION("""COMPUTED_VALUE"""),"Immune")</f>
        <v>Immune</v>
      </c>
      <c r="Z343" s="32"/>
      <c r="AA343" s="32" t="str">
        <f>IFERROR(__xludf.DUMMYFUNCTION("""COMPUTED_VALUE"""),"Immune")</f>
        <v>Immune</v>
      </c>
      <c r="AB343" s="32"/>
      <c r="AC343" s="32"/>
      <c r="AD343" s="32"/>
      <c r="AE343" s="32"/>
      <c r="AF343" s="32"/>
      <c r="AG343" s="32"/>
      <c r="AH343" s="32"/>
      <c r="AI343" s="32"/>
      <c r="AJ343" s="32"/>
      <c r="AK343" s="32"/>
    </row>
    <row r="344">
      <c r="A344" s="32" t="str">
        <f>IFERROR(__xludf.DUMMYFUNCTION("""COMPUTED_VALUE"""),"The Ambrosian Paladins")</f>
        <v>The Ambrosian Paladins</v>
      </c>
      <c r="B344" s="32"/>
      <c r="C344" s="32"/>
      <c r="D344" s="32"/>
      <c r="E344" s="32"/>
      <c r="F344" s="32"/>
      <c r="G344" s="32"/>
      <c r="H344" s="32"/>
      <c r="I344" s="32">
        <f>IFERROR(__xludf.DUMMYFUNCTION("""COMPUTED_VALUE"""),100.0)</f>
        <v>100</v>
      </c>
      <c r="J344" s="32">
        <f>IFERROR(__xludf.DUMMYFUNCTION("""COMPUTED_VALUE"""),100.0)</f>
        <v>100</v>
      </c>
      <c r="K344" s="32"/>
      <c r="L344" s="32"/>
      <c r="M344" s="32"/>
      <c r="N344" s="32"/>
      <c r="O344" s="32"/>
      <c r="P344" s="32"/>
      <c r="Q344" s="32"/>
      <c r="R344" s="32"/>
      <c r="S344" s="32"/>
      <c r="T344" s="32"/>
      <c r="U344" s="32"/>
      <c r="V344" s="32"/>
      <c r="W344" s="32"/>
      <c r="X344" s="32"/>
      <c r="Y344" s="32"/>
      <c r="Z344" s="32"/>
      <c r="AA344" s="32"/>
      <c r="AB344" s="32"/>
      <c r="AC344" s="32" t="str">
        <f>IFERROR(__xludf.DUMMYFUNCTION("""COMPUTED_VALUE"""),"Immune")</f>
        <v>Immune</v>
      </c>
      <c r="AD344" s="32"/>
      <c r="AE344" s="32"/>
      <c r="AF344" s="32"/>
      <c r="AG344" s="32"/>
      <c r="AH344" s="32"/>
      <c r="AI344" s="32"/>
      <c r="AJ344" s="32"/>
      <c r="AK344" s="32"/>
    </row>
    <row r="345">
      <c r="A345" s="32" t="str">
        <f>IFERROR(__xludf.DUMMYFUNCTION("""COMPUTED_VALUE"""),"Hades The god of the Underworld")</f>
        <v>Hades The god of the Underworld</v>
      </c>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row>
    <row r="346">
      <c r="A346" s="32" t="str">
        <f>IFERROR(__xludf.DUMMYFUNCTION("""COMPUTED_VALUE"""),"Sataniel - Keeper of The Banished")</f>
        <v>Sataniel - Keeper of The Banished</v>
      </c>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row>
    <row r="347">
      <c r="A347" s="32" t="str">
        <f>IFERROR(__xludf.DUMMYFUNCTION("""COMPUTED_VALUE"""),"Trap: Pendulum")</f>
        <v>Trap: Pendulum</v>
      </c>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row>
    <row r="348">
      <c r="A348" s="32" t="str">
        <f>IFERROR(__xludf.DUMMYFUNCTION("""COMPUTED_VALUE"""),"Trap: Moving Saw Blade")</f>
        <v>Trap: Moving Saw Blade</v>
      </c>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row>
    <row r="349">
      <c r="A349" s="32" t="str">
        <f>IFERROR(__xludf.DUMMYFUNCTION("""COMPUTED_VALUE"""),"Trap: Bear Trap")</f>
        <v>Trap: Bear Trap</v>
      </c>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row>
    <row r="350">
      <c r="A350" s="32" t="str">
        <f>IFERROR(__xludf.DUMMYFUNCTION("""COMPUTED_VALUE"""),"Trap: Pitfall")</f>
        <v>Trap: Pitfall</v>
      </c>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row>
    <row r="351">
      <c r="A351" s="32" t="str">
        <f>IFERROR(__xludf.DUMMYFUNCTION("""COMPUTED_VALUE"""),"Trap: Flaming Arrows")</f>
        <v>Trap: Flaming Arrows</v>
      </c>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row>
    <row r="352">
      <c r="A352" s="32" t="str">
        <f>IFERROR(__xludf.DUMMYFUNCTION("""COMPUTED_VALUE"""),"Trap: Bolder")</f>
        <v>Trap: Bolder</v>
      </c>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row>
    <row r="353">
      <c r="A353" s="32" t="str">
        <f>IFERROR(__xludf.DUMMYFUNCTION("""COMPUTED_VALUE"""),"Trap: Mimic")</f>
        <v>Trap: Mimic</v>
      </c>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row>
    <row r="354">
      <c r="A354" s="32" t="str">
        <f>IFERROR(__xludf.DUMMYFUNCTION("""COMPUTED_VALUE"""),"Mimic (Mob)")</f>
        <v>Mimic (Mob)</v>
      </c>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row>
    <row r="355">
      <c r="A355" s="32" t="str">
        <f>IFERROR(__xludf.DUMMYFUNCTION("""COMPUTED_VALUE"""),"Puzzle: Floating Underground Sphere")</f>
        <v>Puzzle: Floating Underground Sphere</v>
      </c>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row>
    <row r="356">
      <c r="A356" s="32" t="str">
        <f>IFERROR(__xludf.DUMMYFUNCTION("""COMPUTED_VALUE"""),"Puzzle: Locked Stone Platform Entrance")</f>
        <v>Puzzle: Locked Stone Platform Entrance</v>
      </c>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row>
    <row r="357">
      <c r="A357" s="32" t="str">
        <f>IFERROR(__xludf.DUMMYFUNCTION("""COMPUTED_VALUE"""),"Puzzle: Mysterious Symbol")</f>
        <v>Puzzle: Mysterious Symbol</v>
      </c>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row>
    <row r="358">
      <c r="A358" s="32" t="str">
        <f>IFERROR(__xludf.DUMMYFUNCTION("""COMPUTED_VALUE"""),"Puzzle: Ancient Stone Statue")</f>
        <v>Puzzle: Ancient Stone Statue</v>
      </c>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row>
    <row r="359">
      <c r="A359" s="32" t="str">
        <f>IFERROR(__xludf.DUMMYFUNCTION("""COMPUTED_VALUE"""),"Puzzle: The Chosen One")</f>
        <v>Puzzle: The Chosen One</v>
      </c>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row>
    <row r="360">
      <c r="A360" s="32" t="str">
        <f>IFERROR(__xludf.DUMMYFUNCTION("""COMPUTED_VALUE"""),"Poseidon, God of Tritonoch")</f>
        <v>Poseidon, God of Tritonoch</v>
      </c>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row>
    <row r="361">
      <c r="A361" s="32" t="str">
        <f>IFERROR(__xludf.DUMMYFUNCTION("""COMPUTED_VALUE"""),"Neptune, God of Atlotopia")</f>
        <v>Neptune, God of Atlotopia</v>
      </c>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row>
    <row r="362">
      <c r="A362" s="32" t="str">
        <f>IFERROR(__xludf.DUMMYFUNCTION("""COMPUTED_VALUE"""),"Dionysus, The Eternal Party")</f>
        <v>Dionysus, The Eternal Party</v>
      </c>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row>
    <row r="363">
      <c r="A363" s="32" t="str">
        <f>IFERROR(__xludf.DUMMYFUNCTION("""COMPUTED_VALUE"""),"The Storm Bloods")</f>
        <v>The Storm Bloods</v>
      </c>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row>
    <row r="364">
      <c r="A364" s="32" t="str">
        <f>IFERROR(__xludf.DUMMYFUNCTION("""COMPUTED_VALUE"""),"The Astrologians")</f>
        <v>The Astrologians</v>
      </c>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row>
    <row r="365">
      <c r="A365" s="32" t="str">
        <f>IFERROR(__xludf.DUMMYFUNCTION("""COMPUTED_VALUE"""),"The Harbingers of The Voidwoken (Spira)")</f>
        <v>The Harbingers of The Voidwoken (Spira)</v>
      </c>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row>
    <row r="366">
      <c r="A366" s="32" t="str">
        <f>IFERROR(__xludf.DUMMYFUNCTION("""COMPUTED_VALUE"""),"Imphigenia, Betrayed Goddess Of The Moon")</f>
        <v>Imphigenia, Betrayed Goddess Of The Moon</v>
      </c>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row>
    <row r="367">
      <c r="A367" s="32" t="str">
        <f>IFERROR(__xludf.DUMMYFUNCTION("""COMPUTED_VALUE"""),"Imphigenia, Harbinger of Revenge")</f>
        <v>Imphigenia, Harbinger of Revenge</v>
      </c>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row>
    <row r="368">
      <c r="A368" s="32" t="str">
        <f>IFERROR(__xludf.DUMMYFUNCTION("""COMPUTED_VALUE"""),"Lunarion, Faithful Hound of Imphigenia")</f>
        <v>Lunarion, Faithful Hound of Imphigenia</v>
      </c>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row>
    <row r="369">
      <c r="A369" s="32" t="str">
        <f>IFERROR(__xludf.DUMMYFUNCTION("""COMPUTED_VALUE"""),"The Harbingers of The Voidwoken (DragonScale)")</f>
        <v>The Harbingers of The Voidwoken (DragonScale)</v>
      </c>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row>
    <row r="370">
      <c r="A370" s="32" t="str">
        <f>IFERROR(__xludf.DUMMYFUNCTION("""COMPUTED_VALUE"""),"The Harbingers of The Voidwoken (Abstara)")</f>
        <v>The Harbingers of The Voidwoken (Abstara)</v>
      </c>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row>
    <row r="371">
      <c r="A371" s="32" t="str">
        <f>IFERROR(__xludf.DUMMYFUNCTION("""COMPUTED_VALUE"""),"The Harbingers of The Voidwoken (Solreach)")</f>
        <v>The Harbingers of The Voidwoken (Solreach)</v>
      </c>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row>
    <row r="372">
      <c r="A372" s="32" t="str">
        <f>IFERROR(__xludf.DUMMYFUNCTION("""COMPUTED_VALUE"""),"Salamander, King Of The Fire Elementals")</f>
        <v>Salamander, King Of The Fire Elementals</v>
      </c>
      <c r="B372" s="32" t="str">
        <f>IFERROR(__xludf.DUMMYFUNCTION("""COMPUTED_VALUE"""),"Immune")</f>
        <v>Immune</v>
      </c>
      <c r="C372" s="32"/>
      <c r="D372" s="32"/>
      <c r="E372" s="32"/>
      <c r="F372" s="32"/>
      <c r="G372" s="32"/>
      <c r="H372" s="32"/>
      <c r="I372" s="32"/>
      <c r="J372" s="32"/>
      <c r="K372" s="32">
        <f>IFERROR(__xludf.DUMMYFUNCTION("""COMPUTED_VALUE"""),500.0)</f>
        <v>500</v>
      </c>
      <c r="L372" s="32"/>
      <c r="M372" s="32"/>
      <c r="N372" s="32"/>
      <c r="O372" s="32"/>
      <c r="P372" s="32"/>
      <c r="Q372" s="32"/>
      <c r="R372" s="32" t="str">
        <f>IFERROR(__xludf.DUMMYFUNCTION("""COMPUTED_VALUE"""),"Immune")</f>
        <v>Immune</v>
      </c>
      <c r="S372" s="32"/>
      <c r="T372" s="32"/>
      <c r="U372" s="32"/>
      <c r="V372" s="32"/>
      <c r="W372" s="32"/>
      <c r="X372" s="32" t="str">
        <f>IFERROR(__xludf.DUMMYFUNCTION("""COMPUTED_VALUE"""),"Immune")</f>
        <v>Immune</v>
      </c>
      <c r="Y372" s="32" t="str">
        <f>IFERROR(__xludf.DUMMYFUNCTION("""COMPUTED_VALUE"""),"Immune")</f>
        <v>Immune</v>
      </c>
      <c r="Z372" s="32"/>
      <c r="AA372" s="32" t="str">
        <f>IFERROR(__xludf.DUMMYFUNCTION("""COMPUTED_VALUE"""),"Immune")</f>
        <v>Immune</v>
      </c>
      <c r="AB372" s="32"/>
      <c r="AC372" s="32"/>
      <c r="AD372" s="32"/>
      <c r="AE372" s="32"/>
      <c r="AF372" s="32"/>
      <c r="AG372" s="32"/>
      <c r="AH372" s="32"/>
      <c r="AI372" s="32"/>
      <c r="AJ372" s="32"/>
      <c r="AK372" s="32"/>
    </row>
    <row r="373">
      <c r="A373" s="32" t="str">
        <f>IFERROR(__xludf.DUMMYFUNCTION("""COMPUTED_VALUE"""),"Beast of Gévaudan")</f>
        <v>Beast of Gévaudan</v>
      </c>
      <c r="B373" s="32" t="str">
        <f>IFERROR(__xludf.DUMMYFUNCTION("""COMPUTED_VALUE"""),"Immune")</f>
        <v>Immune</v>
      </c>
      <c r="C373" s="32"/>
      <c r="D373" s="32"/>
      <c r="E373" s="32"/>
      <c r="F373" s="32"/>
      <c r="G373" s="32" t="str">
        <f>IFERROR(__xludf.DUMMYFUNCTION("""COMPUTED_VALUE"""),"Immune")</f>
        <v>Immune</v>
      </c>
      <c r="H373" s="32"/>
      <c r="I373" s="32"/>
      <c r="J373" s="32"/>
      <c r="K373" s="32"/>
      <c r="L373" s="32"/>
      <c r="M373" s="32"/>
      <c r="N373" s="32"/>
      <c r="O373" s="32"/>
      <c r="P373" s="32"/>
      <c r="Q373" s="32"/>
      <c r="R373" s="32" t="str">
        <f>IFERROR(__xludf.DUMMYFUNCTION("""COMPUTED_VALUE"""),"Immune")</f>
        <v>Immune</v>
      </c>
      <c r="S373" s="32"/>
      <c r="T373" s="32"/>
      <c r="U373" s="32"/>
      <c r="V373" s="32"/>
      <c r="W373" s="32"/>
      <c r="X373" s="32" t="str">
        <f>IFERROR(__xludf.DUMMYFUNCTION("""COMPUTED_VALUE"""),"Immune")</f>
        <v>Immune</v>
      </c>
      <c r="Y373" s="32" t="str">
        <f>IFERROR(__xludf.DUMMYFUNCTION("""COMPUTED_VALUE"""),"Immune")</f>
        <v>Immune</v>
      </c>
      <c r="Z373" s="32"/>
      <c r="AA373" s="32" t="str">
        <f>IFERROR(__xludf.DUMMYFUNCTION("""COMPUTED_VALUE"""),"Immune")</f>
        <v>Immune</v>
      </c>
      <c r="AB373" s="32"/>
      <c r="AC373" s="32"/>
      <c r="AD373" s="32"/>
      <c r="AE373" s="32"/>
      <c r="AF373" s="32"/>
      <c r="AG373" s="32"/>
      <c r="AH373" s="32"/>
      <c r="AI373" s="32"/>
      <c r="AJ373" s="32"/>
      <c r="AK373" s="32"/>
    </row>
    <row r="374">
      <c r="A374" s="32" t="str">
        <f>IFERROR(__xludf.DUMMYFUNCTION("""COMPUTED_VALUE"""),"Merchant")</f>
        <v>Merchant</v>
      </c>
      <c r="B374" s="32" t="str">
        <f>IFERROR(__xludf.DUMMYFUNCTION("""COMPUTED_VALUE"""),"Immune")</f>
        <v>Immune</v>
      </c>
      <c r="C374" s="32" t="str">
        <f>IFERROR(__xludf.DUMMYFUNCTION("""COMPUTED_VALUE"""),"Immune")</f>
        <v>Immune</v>
      </c>
      <c r="D374" s="32" t="str">
        <f>IFERROR(__xludf.DUMMYFUNCTION("""COMPUTED_VALUE"""),"Immune")</f>
        <v>Immune</v>
      </c>
      <c r="E374" s="32" t="str">
        <f>IFERROR(__xludf.DUMMYFUNCTION("""COMPUTED_VALUE"""),"Immune")</f>
        <v>Immune</v>
      </c>
      <c r="F374" s="32" t="str">
        <f>IFERROR(__xludf.DUMMYFUNCTION("""COMPUTED_VALUE"""),"Immune")</f>
        <v>Immune</v>
      </c>
      <c r="G374" s="32" t="str">
        <f>IFERROR(__xludf.DUMMYFUNCTION("""COMPUTED_VALUE"""),"Immune")</f>
        <v>Immune</v>
      </c>
      <c r="H374" s="32" t="str">
        <f>IFERROR(__xludf.DUMMYFUNCTION("""COMPUTED_VALUE"""),"Immune")</f>
        <v>Immune</v>
      </c>
      <c r="I374" s="32" t="str">
        <f>IFERROR(__xludf.DUMMYFUNCTION("""COMPUTED_VALUE"""),"Immune")</f>
        <v>Immune</v>
      </c>
      <c r="J374" s="32" t="str">
        <f>IFERROR(__xludf.DUMMYFUNCTION("""COMPUTED_VALUE"""),"Immune")</f>
        <v>Immune</v>
      </c>
      <c r="K374" s="32" t="str">
        <f>IFERROR(__xludf.DUMMYFUNCTION("""COMPUTED_VALUE"""),"Immune")</f>
        <v>Immune</v>
      </c>
      <c r="L374" s="32" t="str">
        <f>IFERROR(__xludf.DUMMYFUNCTION("""COMPUTED_VALUE"""),"Immune")</f>
        <v>Immune</v>
      </c>
      <c r="M374" s="32" t="str">
        <f>IFERROR(__xludf.DUMMYFUNCTION("""COMPUTED_VALUE"""),"Immune")</f>
        <v>Immune</v>
      </c>
      <c r="N374" s="32" t="str">
        <f>IFERROR(__xludf.DUMMYFUNCTION("""COMPUTED_VALUE"""),"Immune")</f>
        <v>Immune</v>
      </c>
      <c r="O374" s="32" t="str">
        <f>IFERROR(__xludf.DUMMYFUNCTION("""COMPUTED_VALUE"""),"Immune")</f>
        <v>Immune</v>
      </c>
      <c r="P374" s="32" t="str">
        <f>IFERROR(__xludf.DUMMYFUNCTION("""COMPUTED_VALUE"""),"Immune")</f>
        <v>Immune</v>
      </c>
      <c r="Q374" s="32" t="str">
        <f>IFERROR(__xludf.DUMMYFUNCTION("""COMPUTED_VALUE"""),"Immune")</f>
        <v>Immune</v>
      </c>
      <c r="R374" s="32" t="str">
        <f>IFERROR(__xludf.DUMMYFUNCTION("""COMPUTED_VALUE"""),"Immune")</f>
        <v>Immune</v>
      </c>
      <c r="S374" s="32" t="str">
        <f>IFERROR(__xludf.DUMMYFUNCTION("""COMPUTED_VALUE"""),"Immune")</f>
        <v>Immune</v>
      </c>
      <c r="T374" s="32" t="str">
        <f>IFERROR(__xludf.DUMMYFUNCTION("""COMPUTED_VALUE"""),"Immune")</f>
        <v>Immune</v>
      </c>
      <c r="U374" s="32" t="str">
        <f>IFERROR(__xludf.DUMMYFUNCTION("""COMPUTED_VALUE"""),"Immune")</f>
        <v>Immune</v>
      </c>
      <c r="V374" s="32" t="str">
        <f>IFERROR(__xludf.DUMMYFUNCTION("""COMPUTED_VALUE"""),"Immune")</f>
        <v>Immune</v>
      </c>
      <c r="W374" s="32" t="str">
        <f>IFERROR(__xludf.DUMMYFUNCTION("""COMPUTED_VALUE"""),"Immune")</f>
        <v>Immune</v>
      </c>
      <c r="X374" s="32" t="str">
        <f>IFERROR(__xludf.DUMMYFUNCTION("""COMPUTED_VALUE"""),"Immune")</f>
        <v>Immune</v>
      </c>
      <c r="Y374" s="32" t="str">
        <f>IFERROR(__xludf.DUMMYFUNCTION("""COMPUTED_VALUE"""),"Immune")</f>
        <v>Immune</v>
      </c>
      <c r="Z374" s="32" t="str">
        <f>IFERROR(__xludf.DUMMYFUNCTION("""COMPUTED_VALUE"""),"Immune")</f>
        <v>Immune</v>
      </c>
      <c r="AA374" s="32" t="str">
        <f>IFERROR(__xludf.DUMMYFUNCTION("""COMPUTED_VALUE"""),"Immune")</f>
        <v>Immune</v>
      </c>
      <c r="AB374" s="32" t="str">
        <f>IFERROR(__xludf.DUMMYFUNCTION("""COMPUTED_VALUE"""),"Immune")</f>
        <v>Immune</v>
      </c>
      <c r="AC374" s="32" t="str">
        <f>IFERROR(__xludf.DUMMYFUNCTION("""COMPUTED_VALUE"""),"Immune")</f>
        <v>Immune</v>
      </c>
      <c r="AD374" s="32"/>
      <c r="AE374" s="32"/>
      <c r="AF374" s="32"/>
      <c r="AG374" s="32"/>
      <c r="AH374" s="32"/>
      <c r="AI374" s="32"/>
      <c r="AJ374" s="32"/>
      <c r="AK374" s="32"/>
    </row>
    <row r="375">
      <c r="A375" s="32" t="str">
        <f>IFERROR(__xludf.DUMMYFUNCTION("""COMPUTED_VALUE"""),"Karduk, King of the Earth Elementals")</f>
        <v>Karduk, King of the Earth Elementals</v>
      </c>
      <c r="B375" s="32"/>
      <c r="C375" s="32"/>
      <c r="D375" s="32"/>
      <c r="E375" s="32"/>
      <c r="F375" s="32"/>
      <c r="G375" s="32"/>
      <c r="H375" s="32"/>
      <c r="I375" s="32"/>
      <c r="J375" s="32"/>
      <c r="K375" s="32"/>
      <c r="L375" s="32"/>
      <c r="M375" s="32"/>
      <c r="N375" s="32"/>
      <c r="O375" s="32"/>
      <c r="P375" s="32"/>
      <c r="Q375" s="32"/>
      <c r="R375" s="32" t="str">
        <f>IFERROR(__xludf.DUMMYFUNCTION("""COMPUTED_VALUE"""),"Immune")</f>
        <v>Immune</v>
      </c>
      <c r="S375" s="32"/>
      <c r="T375" s="32"/>
      <c r="U375" s="32"/>
      <c r="V375" s="32"/>
      <c r="W375" s="32"/>
      <c r="X375" s="32" t="str">
        <f>IFERROR(__xludf.DUMMYFUNCTION("""COMPUTED_VALUE"""),"Immune")</f>
        <v>Immune</v>
      </c>
      <c r="Y375" s="32" t="str">
        <f>IFERROR(__xludf.DUMMYFUNCTION("""COMPUTED_VALUE"""),"Immune")</f>
        <v>Immune</v>
      </c>
      <c r="Z375" s="32"/>
      <c r="AA375" s="32" t="str">
        <f>IFERROR(__xludf.DUMMYFUNCTION("""COMPUTED_VALUE"""),"Immune")</f>
        <v>Immune</v>
      </c>
      <c r="AB375" s="32"/>
      <c r="AC375" s="32"/>
      <c r="AD375" s="32"/>
      <c r="AE375" s="32"/>
      <c r="AF375" s="32"/>
      <c r="AG375" s="32"/>
      <c r="AH375" s="32"/>
      <c r="AI375" s="32"/>
      <c r="AJ375" s="32"/>
      <c r="AK375" s="32"/>
    </row>
    <row r="376">
      <c r="A376" s="32" t="str">
        <f>IFERROR(__xludf.DUMMYFUNCTION("""COMPUTED_VALUE"""),"Undyne, Queen of the Water Elementals")</f>
        <v>Undyne, Queen of the Water Elementals</v>
      </c>
      <c r="B376" s="32">
        <f>IFERROR(__xludf.DUMMYFUNCTION("""COMPUTED_VALUE"""),500.0)</f>
        <v>500</v>
      </c>
      <c r="C376" s="32" t="str">
        <f>IFERROR(__xludf.DUMMYFUNCTION("""COMPUTED_VALUE"""),"Immune")</f>
        <v>Immune</v>
      </c>
      <c r="D376" s="32"/>
      <c r="E376" s="32"/>
      <c r="F376" s="32"/>
      <c r="G376" s="32"/>
      <c r="H376" s="32"/>
      <c r="I376" s="32"/>
      <c r="J376" s="32"/>
      <c r="K376" s="32"/>
      <c r="L376" s="32"/>
      <c r="M376" s="32"/>
      <c r="N376" s="32"/>
      <c r="O376" s="32"/>
      <c r="P376" s="32"/>
      <c r="Q376" s="32"/>
      <c r="R376" s="32" t="str">
        <f>IFERROR(__xludf.DUMMYFUNCTION("""COMPUTED_VALUE"""),"Immune")</f>
        <v>Immune</v>
      </c>
      <c r="S376" s="32"/>
      <c r="T376" s="32"/>
      <c r="U376" s="32"/>
      <c r="V376" s="32"/>
      <c r="W376" s="32"/>
      <c r="X376" s="32" t="str">
        <f>IFERROR(__xludf.DUMMYFUNCTION("""COMPUTED_VALUE"""),"Immune")</f>
        <v>Immune</v>
      </c>
      <c r="Y376" s="32" t="str">
        <f>IFERROR(__xludf.DUMMYFUNCTION("""COMPUTED_VALUE"""),"Immune")</f>
        <v>Immune</v>
      </c>
      <c r="Z376" s="32"/>
      <c r="AA376" s="32" t="str">
        <f>IFERROR(__xludf.DUMMYFUNCTION("""COMPUTED_VALUE"""),"Immune")</f>
        <v>Immune</v>
      </c>
      <c r="AB376" s="32"/>
      <c r="AC376" s="32"/>
      <c r="AD376" s="32"/>
      <c r="AE376" s="32"/>
      <c r="AF376" s="32"/>
      <c r="AG376" s="32"/>
      <c r="AH376" s="32"/>
      <c r="AI376" s="32"/>
      <c r="AJ376" s="32"/>
      <c r="AK376" s="32"/>
    </row>
    <row r="377">
      <c r="A377" s="32" t="str">
        <f>IFERROR(__xludf.DUMMYFUNCTION("""COMPUTED_VALUE"""),"Sylph, Queen of the Nature Elementals")</f>
        <v>Sylph, Queen of the Nature Elementals</v>
      </c>
      <c r="B377" s="32"/>
      <c r="C377" s="32">
        <f>IFERROR(__xludf.DUMMYFUNCTION("""COMPUTED_VALUE"""),500.0)</f>
        <v>500</v>
      </c>
      <c r="D377" s="32"/>
      <c r="E377" s="32"/>
      <c r="F377" s="32"/>
      <c r="G377" s="32"/>
      <c r="H377" s="32"/>
      <c r="I377" s="32"/>
      <c r="J377" s="32"/>
      <c r="K377" s="32" t="str">
        <f>IFERROR(__xludf.DUMMYFUNCTION("""COMPUTED_VALUE"""),"Immune")</f>
        <v>Immune</v>
      </c>
      <c r="L377" s="32"/>
      <c r="M377" s="32"/>
      <c r="N377" s="32"/>
      <c r="O377" s="32"/>
      <c r="P377" s="32"/>
      <c r="Q377" s="32"/>
      <c r="R377" s="32" t="str">
        <f>IFERROR(__xludf.DUMMYFUNCTION("""COMPUTED_VALUE"""),"Immune")</f>
        <v>Immune</v>
      </c>
      <c r="S377" s="32"/>
      <c r="T377" s="32"/>
      <c r="U377" s="32"/>
      <c r="V377" s="32"/>
      <c r="W377" s="32"/>
      <c r="X377" s="32" t="str">
        <f>IFERROR(__xludf.DUMMYFUNCTION("""COMPUTED_VALUE"""),"Immune")</f>
        <v>Immune</v>
      </c>
      <c r="Y377" s="32" t="str">
        <f>IFERROR(__xludf.DUMMYFUNCTION("""COMPUTED_VALUE"""),"Immune")</f>
        <v>Immune</v>
      </c>
      <c r="Z377" s="32"/>
      <c r="AA377" s="32" t="str">
        <f>IFERROR(__xludf.DUMMYFUNCTION("""COMPUTED_VALUE"""),"Immune")</f>
        <v>Immune</v>
      </c>
      <c r="AB377" s="32"/>
      <c r="AC377" s="32"/>
      <c r="AD377" s="32"/>
      <c r="AE377" s="32"/>
      <c r="AF377" s="32"/>
      <c r="AG377" s="32"/>
      <c r="AH377" s="32"/>
      <c r="AI377" s="32"/>
      <c r="AJ377" s="32"/>
      <c r="AK377" s="32"/>
    </row>
    <row r="378">
      <c r="A378" s="32" t="str">
        <f>IFERROR(__xludf.DUMMYFUNCTION("""COMPUTED_VALUE"""),"Raijin, King of the Storm Elementals")</f>
        <v>Raijin, King of the Storm Elementals</v>
      </c>
      <c r="B378" s="32"/>
      <c r="C378" s="32"/>
      <c r="D378" s="32" t="str">
        <f>IFERROR(__xludf.DUMMYFUNCTION("""COMPUTED_VALUE"""),"Immune")</f>
        <v>Immune</v>
      </c>
      <c r="E378" s="32">
        <f>IFERROR(__xludf.DUMMYFUNCTION("""COMPUTED_VALUE"""),500.0)</f>
        <v>500</v>
      </c>
      <c r="F378" s="32"/>
      <c r="G378" s="32"/>
      <c r="H378" s="32"/>
      <c r="I378" s="32"/>
      <c r="J378" s="32"/>
      <c r="K378" s="32">
        <f>IFERROR(__xludf.DUMMYFUNCTION("""COMPUTED_VALUE"""),500.0)</f>
        <v>500</v>
      </c>
      <c r="L378" s="32"/>
      <c r="M378" s="32"/>
      <c r="N378" s="32"/>
      <c r="O378" s="32"/>
      <c r="P378" s="32"/>
      <c r="Q378" s="32"/>
      <c r="R378" s="32" t="str">
        <f>IFERROR(__xludf.DUMMYFUNCTION("""COMPUTED_VALUE"""),"Immune")</f>
        <v>Immune</v>
      </c>
      <c r="S378" s="32"/>
      <c r="T378" s="32"/>
      <c r="U378" s="32"/>
      <c r="V378" s="32"/>
      <c r="W378" s="32"/>
      <c r="X378" s="32" t="str">
        <f>IFERROR(__xludf.DUMMYFUNCTION("""COMPUTED_VALUE"""),"Immune")</f>
        <v>Immune</v>
      </c>
      <c r="Y378" s="32" t="str">
        <f>IFERROR(__xludf.DUMMYFUNCTION("""COMPUTED_VALUE"""),"Immune")</f>
        <v>Immune</v>
      </c>
      <c r="Z378" s="32"/>
      <c r="AA378" s="32" t="str">
        <f>IFERROR(__xludf.DUMMYFUNCTION("""COMPUTED_VALUE"""),"Immune")</f>
        <v>Immune</v>
      </c>
      <c r="AB378" s="32"/>
      <c r="AC378" s="32"/>
      <c r="AD378" s="32"/>
      <c r="AE378" s="32"/>
      <c r="AF378" s="32"/>
      <c r="AG378" s="32"/>
      <c r="AH378" s="32"/>
      <c r="AI378" s="32"/>
      <c r="AJ378" s="32"/>
      <c r="AK378" s="32"/>
    </row>
    <row r="379">
      <c r="A379" s="32" t="str">
        <f>IFERROR(__xludf.DUMMYFUNCTION("""COMPUTED_VALUE"""),"Plague Doctor, Kaillon")</f>
        <v>Plague Doctor, Kaillon</v>
      </c>
      <c r="B379" s="32"/>
      <c r="C379" s="32"/>
      <c r="D379" s="32"/>
      <c r="E379" s="32"/>
      <c r="F379" s="32"/>
      <c r="G379" s="32">
        <f>IFERROR(__xludf.DUMMYFUNCTION("""COMPUTED_VALUE"""),100.0)</f>
        <v>100</v>
      </c>
      <c r="H379" s="32">
        <f>IFERROR(__xludf.DUMMYFUNCTION("""COMPUTED_VALUE"""),100.0)</f>
        <v>100</v>
      </c>
      <c r="I379" s="32"/>
      <c r="J379" s="32"/>
      <c r="K379" s="32">
        <f>IFERROR(__xludf.DUMMYFUNCTION("""COMPUTED_VALUE"""),100.0)</f>
        <v>100</v>
      </c>
      <c r="L379" s="32"/>
      <c r="M379" s="32"/>
      <c r="N379" s="32"/>
      <c r="O379" s="32"/>
      <c r="P379" s="32"/>
      <c r="Q379" s="32">
        <f>IFERROR(__xludf.DUMMYFUNCTION("""COMPUTED_VALUE"""),100.0)</f>
        <v>100</v>
      </c>
      <c r="R379" s="32">
        <f>IFERROR(__xludf.DUMMYFUNCTION("""COMPUTED_VALUE"""),100.0)</f>
        <v>100</v>
      </c>
      <c r="S379" s="32"/>
      <c r="T379" s="32"/>
      <c r="U379" s="32"/>
      <c r="V379" s="32"/>
      <c r="W379" s="32"/>
      <c r="X379" s="32" t="str">
        <f>IFERROR(__xludf.DUMMYFUNCTION("""COMPUTED_VALUE"""),"Immune")</f>
        <v>Immune</v>
      </c>
      <c r="Y379" s="32" t="str">
        <f>IFERROR(__xludf.DUMMYFUNCTION("""COMPUTED_VALUE"""),"Immune")</f>
        <v>Immune</v>
      </c>
      <c r="Z379" s="32"/>
      <c r="AA379" s="32" t="str">
        <f>IFERROR(__xludf.DUMMYFUNCTION("""COMPUTED_VALUE"""),"Immune")</f>
        <v>Immune</v>
      </c>
      <c r="AB379" s="32"/>
      <c r="AC379" s="32"/>
      <c r="AD379" s="32"/>
      <c r="AE379" s="32"/>
      <c r="AF379" s="32"/>
      <c r="AG379" s="32"/>
      <c r="AH379" s="32"/>
      <c r="AI379" s="32"/>
      <c r="AJ379" s="32"/>
      <c r="AK379" s="32"/>
    </row>
    <row r="380">
      <c r="A380" s="32" t="str">
        <f>IFERROR(__xludf.DUMMYFUNCTION("""COMPUTED_VALUE"""),"Nereid")</f>
        <v>Nereid</v>
      </c>
      <c r="B380" s="32" t="str">
        <f>IFERROR(__xludf.DUMMYFUNCTION("""COMPUTED_VALUE"""),"Immune")</f>
        <v>Immune</v>
      </c>
      <c r="C380" s="32" t="str">
        <f>IFERROR(__xludf.DUMMYFUNCTION("""COMPUTED_VALUE"""),"Immune")</f>
        <v>Immune</v>
      </c>
      <c r="D380" s="32"/>
      <c r="E380" s="32"/>
      <c r="F380" s="32"/>
      <c r="G380" s="32"/>
      <c r="H380" s="32"/>
      <c r="I380" s="32"/>
      <c r="J380" s="32"/>
      <c r="K380" s="32"/>
      <c r="L380" s="32"/>
      <c r="M380" s="32"/>
      <c r="N380" s="32"/>
      <c r="O380" s="32"/>
      <c r="P380" s="32"/>
      <c r="Q380" s="32"/>
      <c r="R380" s="32" t="str">
        <f>IFERROR(__xludf.DUMMYFUNCTION("""COMPUTED_VALUE"""),"Immune")</f>
        <v>Immune</v>
      </c>
      <c r="S380" s="32"/>
      <c r="T380" s="32"/>
      <c r="U380" s="32"/>
      <c r="V380" s="32"/>
      <c r="W380" s="32"/>
      <c r="X380" s="32" t="str">
        <f>IFERROR(__xludf.DUMMYFUNCTION("""COMPUTED_VALUE"""),"Immune")</f>
        <v>Immune</v>
      </c>
      <c r="Y380" s="32"/>
      <c r="Z380" s="32"/>
      <c r="AA380" s="32" t="str">
        <f>IFERROR(__xludf.DUMMYFUNCTION("""COMPUTED_VALUE"""),"Immune")</f>
        <v>Immune</v>
      </c>
      <c r="AB380" s="32"/>
      <c r="AC380" s="32"/>
      <c r="AD380" s="32"/>
      <c r="AE380" s="32"/>
      <c r="AF380" s="32"/>
      <c r="AG380" s="32"/>
      <c r="AH380" s="32"/>
      <c r="AI380" s="32"/>
      <c r="AJ380" s="32"/>
      <c r="AK380" s="32"/>
    </row>
    <row r="381">
      <c r="A381" s="32" t="str">
        <f>IFERROR(__xludf.DUMMYFUNCTION("""COMPUTED_VALUE"""),"Ancient Water Elemental")</f>
        <v>Ancient Water Elemental</v>
      </c>
      <c r="B381" s="32" t="str">
        <f>IFERROR(__xludf.DUMMYFUNCTION("""COMPUTED_VALUE"""),"Immune")</f>
        <v>Immune</v>
      </c>
      <c r="C381" s="32" t="str">
        <f>IFERROR(__xludf.DUMMYFUNCTION("""COMPUTED_VALUE"""),"Immune")</f>
        <v>Immune</v>
      </c>
      <c r="D381" s="32"/>
      <c r="E381" s="32"/>
      <c r="F381" s="32"/>
      <c r="G381" s="32"/>
      <c r="H381" s="32"/>
      <c r="I381" s="32"/>
      <c r="J381" s="32"/>
      <c r="K381" s="32"/>
      <c r="L381" s="32"/>
      <c r="M381" s="32"/>
      <c r="N381" s="32"/>
      <c r="O381" s="32"/>
      <c r="P381" s="32"/>
      <c r="Q381" s="32"/>
      <c r="R381" s="32" t="str">
        <f>IFERROR(__xludf.DUMMYFUNCTION("""COMPUTED_VALUE"""),"Immune")</f>
        <v>Immune</v>
      </c>
      <c r="S381" s="32"/>
      <c r="T381" s="32"/>
      <c r="U381" s="32"/>
      <c r="V381" s="32"/>
      <c r="W381" s="32"/>
      <c r="X381" s="32" t="str">
        <f>IFERROR(__xludf.DUMMYFUNCTION("""COMPUTED_VALUE"""),"Immune")</f>
        <v>Immune</v>
      </c>
      <c r="Y381" s="32" t="str">
        <f>IFERROR(__xludf.DUMMYFUNCTION("""COMPUTED_VALUE"""),"Immune")</f>
        <v>Immune</v>
      </c>
      <c r="Z381" s="32"/>
      <c r="AA381" s="32" t="str">
        <f>IFERROR(__xludf.DUMMYFUNCTION("""COMPUTED_VALUE"""),"Immune")</f>
        <v>Immune</v>
      </c>
      <c r="AB381" s="32"/>
      <c r="AC381" s="32"/>
      <c r="AD381" s="32"/>
      <c r="AE381" s="32"/>
      <c r="AF381" s="32"/>
      <c r="AG381" s="32"/>
      <c r="AH381" s="32"/>
      <c r="AI381" s="32"/>
      <c r="AJ381" s="32"/>
      <c r="AK381" s="32"/>
    </row>
    <row r="382">
      <c r="A382" s="32" t="str">
        <f>IFERROR(__xludf.DUMMYFUNCTION("""COMPUTED_VALUE"""),"Fire Elemental")</f>
        <v>Fire Elemental</v>
      </c>
      <c r="B382" s="32" t="str">
        <f>IFERROR(__xludf.DUMMYFUNCTION("""COMPUTED_VALUE"""),"Immune")</f>
        <v>Immune</v>
      </c>
      <c r="C382" s="32"/>
      <c r="D382" s="32"/>
      <c r="E382" s="32"/>
      <c r="F382" s="32"/>
      <c r="G382" s="32"/>
      <c r="H382" s="32"/>
      <c r="I382" s="32"/>
      <c r="J382" s="32"/>
      <c r="K382" s="32">
        <f>IFERROR(__xludf.DUMMYFUNCTION("""COMPUTED_VALUE"""),100.0)</f>
        <v>100</v>
      </c>
      <c r="L382" s="32"/>
      <c r="M382" s="32"/>
      <c r="N382" s="32"/>
      <c r="O382" s="32"/>
      <c r="P382" s="32"/>
      <c r="Q382" s="32"/>
      <c r="R382" s="32" t="str">
        <f>IFERROR(__xludf.DUMMYFUNCTION("""COMPUTED_VALUE"""),"Immune")</f>
        <v>Immune</v>
      </c>
      <c r="S382" s="32"/>
      <c r="T382" s="32"/>
      <c r="U382" s="32"/>
      <c r="V382" s="32"/>
      <c r="W382" s="32"/>
      <c r="X382" s="32" t="str">
        <f>IFERROR(__xludf.DUMMYFUNCTION("""COMPUTED_VALUE"""),"Immune")</f>
        <v>Immune</v>
      </c>
      <c r="Y382" s="32" t="str">
        <f>IFERROR(__xludf.DUMMYFUNCTION("""COMPUTED_VALUE"""),"Immune")</f>
        <v>Immune</v>
      </c>
      <c r="Z382" s="32"/>
      <c r="AA382" s="32" t="str">
        <f>IFERROR(__xludf.DUMMYFUNCTION("""COMPUTED_VALUE"""),"Immune")</f>
        <v>Immune</v>
      </c>
      <c r="AB382" s="32"/>
      <c r="AC382" s="32"/>
      <c r="AD382" s="32"/>
      <c r="AE382" s="32"/>
      <c r="AF382" s="32"/>
      <c r="AG382" s="32"/>
      <c r="AH382" s="32"/>
      <c r="AI382" s="32"/>
      <c r="AJ382" s="32"/>
      <c r="AK382" s="32"/>
    </row>
    <row r="383">
      <c r="A383" s="32" t="str">
        <f>IFERROR(__xludf.DUMMYFUNCTION("""COMPUTED_VALUE"""),"Volcanic Elemental")</f>
        <v>Volcanic Elemental</v>
      </c>
      <c r="B383" s="32" t="str">
        <f>IFERROR(__xludf.DUMMYFUNCTION("""COMPUTED_VALUE"""),"Immune")</f>
        <v>Immune</v>
      </c>
      <c r="C383" s="32"/>
      <c r="D383" s="32"/>
      <c r="E383" s="32"/>
      <c r="F383" s="32"/>
      <c r="G383" s="32"/>
      <c r="H383" s="32"/>
      <c r="I383" s="32"/>
      <c r="J383" s="32"/>
      <c r="K383" s="32">
        <f>IFERROR(__xludf.DUMMYFUNCTION("""COMPUTED_VALUE"""),500.0)</f>
        <v>500</v>
      </c>
      <c r="L383" s="32"/>
      <c r="M383" s="32"/>
      <c r="N383" s="32"/>
      <c r="O383" s="32"/>
      <c r="P383" s="32"/>
      <c r="Q383" s="32"/>
      <c r="R383" s="32" t="str">
        <f>IFERROR(__xludf.DUMMYFUNCTION("""COMPUTED_VALUE"""),"Immune")</f>
        <v>Immune</v>
      </c>
      <c r="S383" s="32"/>
      <c r="T383" s="32"/>
      <c r="U383" s="32"/>
      <c r="V383" s="32"/>
      <c r="W383" s="32"/>
      <c r="X383" s="32" t="str">
        <f>IFERROR(__xludf.DUMMYFUNCTION("""COMPUTED_VALUE"""),"Immune")</f>
        <v>Immune</v>
      </c>
      <c r="Y383" s="32"/>
      <c r="Z383" s="32"/>
      <c r="AA383" s="32" t="str">
        <f>IFERROR(__xludf.DUMMYFUNCTION("""COMPUTED_VALUE"""),"Immune")</f>
        <v>Immune</v>
      </c>
      <c r="AB383" s="32"/>
      <c r="AC383" s="32"/>
      <c r="AD383" s="32"/>
      <c r="AE383" s="32"/>
      <c r="AF383" s="32"/>
      <c r="AG383" s="32"/>
      <c r="AH383" s="32"/>
      <c r="AI383" s="32"/>
      <c r="AJ383" s="32"/>
      <c r="AK383" s="32"/>
    </row>
    <row r="384">
      <c r="A384" s="32" t="str">
        <f>IFERROR(__xludf.DUMMYFUNCTION("""COMPUTED_VALUE"""),"Crystal Colossus")</f>
        <v>Crystal Colossus</v>
      </c>
      <c r="B384" s="32"/>
      <c r="C384" s="32"/>
      <c r="D384" s="32"/>
      <c r="E384" s="32"/>
      <c r="F384" s="32"/>
      <c r="G384" s="32"/>
      <c r="H384" s="32"/>
      <c r="I384" s="32"/>
      <c r="J384" s="32"/>
      <c r="K384" s="32"/>
      <c r="L384" s="32"/>
      <c r="M384" s="32"/>
      <c r="N384" s="32"/>
      <c r="O384" s="32"/>
      <c r="P384" s="32"/>
      <c r="Q384" s="32"/>
      <c r="R384" s="32"/>
      <c r="S384" s="32"/>
      <c r="T384" s="32"/>
      <c r="U384" s="32"/>
      <c r="V384" s="32"/>
      <c r="W384" s="32"/>
      <c r="X384" s="32" t="str">
        <f>IFERROR(__xludf.DUMMYFUNCTION("""COMPUTED_VALUE"""),"Immune")</f>
        <v>Immune</v>
      </c>
      <c r="Y384" s="32" t="str">
        <f>IFERROR(__xludf.DUMMYFUNCTION("""COMPUTED_VALUE"""),"Immune")</f>
        <v>Immune</v>
      </c>
      <c r="Z384" s="32"/>
      <c r="AA384" s="32" t="str">
        <f>IFERROR(__xludf.DUMMYFUNCTION("""COMPUTED_VALUE"""),"Immune")</f>
        <v>Immune</v>
      </c>
      <c r="AB384" s="32"/>
      <c r="AC384" s="32"/>
      <c r="AD384" s="32"/>
      <c r="AE384" s="32"/>
      <c r="AF384" s="32"/>
      <c r="AG384" s="32"/>
      <c r="AH384" s="32"/>
      <c r="AI384" s="32"/>
      <c r="AJ384" s="32"/>
      <c r="AK384" s="32"/>
    </row>
    <row r="385">
      <c r="A385" s="32" t="str">
        <f>IFERROR(__xludf.DUMMYFUNCTION("""COMPUTED_VALUE"""),"The Great Storm Kaiju")</f>
        <v>The Great Storm Kaiju</v>
      </c>
      <c r="B385" s="32" t="str">
        <f>IFERROR(__xludf.DUMMYFUNCTION("""COMPUTED_VALUE"""),"Immune")</f>
        <v>Immune</v>
      </c>
      <c r="C385" s="32" t="str">
        <f>IFERROR(__xludf.DUMMYFUNCTION("""COMPUTED_VALUE"""),"Immune")</f>
        <v>Immune</v>
      </c>
      <c r="D385" s="32" t="str">
        <f>IFERROR(__xludf.DUMMYFUNCTION("""COMPUTED_VALUE"""),"Immune")</f>
        <v>Immune</v>
      </c>
      <c r="E385" s="32" t="str">
        <f>IFERROR(__xludf.DUMMYFUNCTION("""COMPUTED_VALUE"""),"Immune")</f>
        <v>Immune</v>
      </c>
      <c r="F385" s="32"/>
      <c r="G385" s="32"/>
      <c r="H385" s="32"/>
      <c r="I385" s="32"/>
      <c r="J385" s="32"/>
      <c r="K385" s="32" t="str">
        <f>IFERROR(__xludf.DUMMYFUNCTION("""COMPUTED_VALUE"""),"Immune")</f>
        <v>Immune</v>
      </c>
      <c r="L385" s="32"/>
      <c r="M385" s="32"/>
      <c r="N385" s="32"/>
      <c r="O385" s="32"/>
      <c r="P385" s="32"/>
      <c r="Q385" s="32"/>
      <c r="R385" s="32"/>
      <c r="S385" s="32"/>
      <c r="T385" s="32"/>
      <c r="U385" s="32"/>
      <c r="V385" s="32"/>
      <c r="W385" s="32"/>
      <c r="X385" s="32" t="str">
        <f>IFERROR(__xludf.DUMMYFUNCTION("""COMPUTED_VALUE"""),"Immune")</f>
        <v>Immune</v>
      </c>
      <c r="Y385" s="32" t="str">
        <f>IFERROR(__xludf.DUMMYFUNCTION("""COMPUTED_VALUE"""),"Immune")</f>
        <v>Immune</v>
      </c>
      <c r="Z385" s="32"/>
      <c r="AA385" s="32" t="str">
        <f>IFERROR(__xludf.DUMMYFUNCTION("""COMPUTED_VALUE"""),"Immune")</f>
        <v>Immune</v>
      </c>
      <c r="AB385" s="32"/>
      <c r="AC385" s="32"/>
      <c r="AD385" s="32"/>
      <c r="AE385" s="32"/>
      <c r="AF385" s="32"/>
      <c r="AG385" s="32"/>
      <c r="AH385" s="32"/>
      <c r="AI385" s="32"/>
      <c r="AJ385" s="32"/>
      <c r="AK385" s="32"/>
    </row>
    <row r="386">
      <c r="A386" s="32" t="str">
        <f>IFERROR(__xludf.DUMMYFUNCTION("""COMPUTED_VALUE"""),"Gaia, Goddess of Earth")</f>
        <v>Gaia, Goddess of Earth</v>
      </c>
      <c r="B386" s="32" t="str">
        <f>IFERROR(__xludf.DUMMYFUNCTION("""COMPUTED_VALUE"""),"Immune")</f>
        <v>Immune</v>
      </c>
      <c r="C386" s="32"/>
      <c r="D386" s="32"/>
      <c r="E386" s="32" t="str">
        <f>IFERROR(__xludf.DUMMYFUNCTION("""COMPUTED_VALUE"""),"Immune")</f>
        <v>Immune</v>
      </c>
      <c r="F386" s="32"/>
      <c r="G386" s="32">
        <f>IFERROR(__xludf.DUMMYFUNCTION("""COMPUTED_VALUE"""),100.0)</f>
        <v>100</v>
      </c>
      <c r="H386" s="32"/>
      <c r="I386" s="32"/>
      <c r="J386" s="32">
        <f>IFERROR(__xludf.DUMMYFUNCTION("""COMPUTED_VALUE"""),100.0)</f>
        <v>100</v>
      </c>
      <c r="K386" s="32" t="str">
        <f>IFERROR(__xludf.DUMMYFUNCTION("""COMPUTED_VALUE"""),"Immune")</f>
        <v>Immune</v>
      </c>
      <c r="L386" s="32"/>
      <c r="M386" s="32"/>
      <c r="N386" s="32"/>
      <c r="O386" s="32"/>
      <c r="P386" s="32"/>
      <c r="Q386" s="32"/>
      <c r="R386" s="32"/>
      <c r="S386" s="32"/>
      <c r="T386" s="32"/>
      <c r="U386" s="32"/>
      <c r="V386" s="32"/>
      <c r="W386" s="32">
        <f>IFERROR(__xludf.DUMMYFUNCTION("""COMPUTED_VALUE"""),100.0)</f>
        <v>100</v>
      </c>
      <c r="X386" s="32" t="str">
        <f>IFERROR(__xludf.DUMMYFUNCTION("""COMPUTED_VALUE"""),"Immune")</f>
        <v>Immune</v>
      </c>
      <c r="Y386" s="32" t="str">
        <f>IFERROR(__xludf.DUMMYFUNCTION("""COMPUTED_VALUE"""),"Immune")</f>
        <v>Immune</v>
      </c>
      <c r="Z386" s="32"/>
      <c r="AA386" s="32" t="str">
        <f>IFERROR(__xludf.DUMMYFUNCTION("""COMPUTED_VALUE"""),"Immune")</f>
        <v>Immune</v>
      </c>
      <c r="AB386" s="32"/>
      <c r="AC386" s="32"/>
      <c r="AD386" s="32"/>
      <c r="AE386" s="32"/>
      <c r="AF386" s="32"/>
      <c r="AG386" s="32"/>
      <c r="AH386" s="32"/>
      <c r="AI386" s="32"/>
      <c r="AJ386" s="32"/>
      <c r="AK386" s="32"/>
    </row>
    <row r="387">
      <c r="A387" s="32" t="str">
        <f>IFERROR(__xludf.DUMMYFUNCTION("""COMPUTED_VALUE"""),"Ninja of Bashe")</f>
        <v>Ninja of Bashe</v>
      </c>
      <c r="B387" s="32"/>
      <c r="C387" s="32"/>
      <c r="D387" s="32"/>
      <c r="E387" s="32"/>
      <c r="F387" s="32"/>
      <c r="G387" s="32">
        <f>IFERROR(__xludf.DUMMYFUNCTION("""COMPUTED_VALUE"""),100.0)</f>
        <v>100</v>
      </c>
      <c r="H387" s="32"/>
      <c r="I387" s="32"/>
      <c r="J387" s="32">
        <f>IFERROR(__xludf.DUMMYFUNCTION("""COMPUTED_VALUE"""),100.0)</f>
        <v>100</v>
      </c>
      <c r="K387" s="32"/>
      <c r="L387" s="32"/>
      <c r="M387" s="32"/>
      <c r="N387" s="32"/>
      <c r="O387" s="32"/>
      <c r="P387" s="32"/>
      <c r="Q387" s="32" t="str">
        <f>IFERROR(__xludf.DUMMYFUNCTION("""COMPUTED_VALUE"""),"Immune")</f>
        <v>Immune</v>
      </c>
      <c r="R387" s="32"/>
      <c r="S387" s="32"/>
      <c r="T387" s="32"/>
      <c r="U387" s="32"/>
      <c r="V387" s="32"/>
      <c r="W387" s="32"/>
      <c r="X387" s="32" t="str">
        <f>IFERROR(__xludf.DUMMYFUNCTION("""COMPUTED_VALUE"""),"Immune")</f>
        <v>Immune</v>
      </c>
      <c r="Y387" s="32"/>
      <c r="Z387" s="32"/>
      <c r="AA387" s="32"/>
      <c r="AB387" s="32"/>
      <c r="AC387" s="32"/>
      <c r="AD387" s="32"/>
      <c r="AE387" s="32"/>
      <c r="AF387" s="32"/>
      <c r="AG387" s="32"/>
      <c r="AH387" s="32"/>
      <c r="AI387" s="32"/>
      <c r="AJ387" s="32"/>
      <c r="AK387" s="32"/>
    </row>
    <row r="388">
      <c r="A388" s="32" t="str">
        <f>IFERROR(__xludf.DUMMYFUNCTION("""COMPUTED_VALUE"""),"Bahamut, Beast of the Endless Void (First Phase)")</f>
        <v>Bahamut, Beast of the Endless Void (First Phase)</v>
      </c>
      <c r="B388" s="32" t="str">
        <f>IFERROR(__xludf.DUMMYFUNCTION("""COMPUTED_VALUE"""),"Immune")</f>
        <v>Immune</v>
      </c>
      <c r="C388" s="32" t="str">
        <f>IFERROR(__xludf.DUMMYFUNCTION("""COMPUTED_VALUE"""),"Immune")</f>
        <v>Immune</v>
      </c>
      <c r="D388" s="32" t="str">
        <f>IFERROR(__xludf.DUMMYFUNCTION("""COMPUTED_VALUE"""),"Immune")</f>
        <v>Immune</v>
      </c>
      <c r="E388" s="32" t="str">
        <f>IFERROR(__xludf.DUMMYFUNCTION("""COMPUTED_VALUE"""),"Immune")</f>
        <v>Immune</v>
      </c>
      <c r="F388" s="32">
        <f>IFERROR(__xludf.DUMMYFUNCTION("""COMPUTED_VALUE"""),250.0)</f>
        <v>250</v>
      </c>
      <c r="G388" s="32">
        <f>IFERROR(__xludf.DUMMYFUNCTION("""COMPUTED_VALUE"""),250.0)</f>
        <v>250</v>
      </c>
      <c r="H388" s="32">
        <f>IFERROR(__xludf.DUMMYFUNCTION("""COMPUTED_VALUE"""),250.0)</f>
        <v>250</v>
      </c>
      <c r="I388" s="32"/>
      <c r="J388" s="32">
        <f>IFERROR(__xludf.DUMMYFUNCTION("""COMPUTED_VALUE"""),250.0)</f>
        <v>250</v>
      </c>
      <c r="K388" s="32"/>
      <c r="L388" s="32" t="str">
        <f>IFERROR(__xludf.DUMMYFUNCTION("""COMPUTED_VALUE"""),"Immune")</f>
        <v>Immune</v>
      </c>
      <c r="M388" s="32" t="str">
        <f>IFERROR(__xludf.DUMMYFUNCTION("""COMPUTED_VALUE"""),"Immune")</f>
        <v>Immune</v>
      </c>
      <c r="N388" s="32" t="str">
        <f>IFERROR(__xludf.DUMMYFUNCTION("""COMPUTED_VALUE"""),"Immune")</f>
        <v>Immune</v>
      </c>
      <c r="O388" s="32">
        <f>IFERROR(__xludf.DUMMYFUNCTION("""COMPUTED_VALUE"""),250.0)</f>
        <v>250</v>
      </c>
      <c r="P388" s="32">
        <f>IFERROR(__xludf.DUMMYFUNCTION("""COMPUTED_VALUE"""),250.0)</f>
        <v>250</v>
      </c>
      <c r="Q388" s="32">
        <f>IFERROR(__xludf.DUMMYFUNCTION("""COMPUTED_VALUE"""),250.0)</f>
        <v>250</v>
      </c>
      <c r="R388" s="32" t="str">
        <f>IFERROR(__xludf.DUMMYFUNCTION("""COMPUTED_VALUE"""),"Immune")</f>
        <v>Immune</v>
      </c>
      <c r="S388" s="32"/>
      <c r="T388" s="32"/>
      <c r="U388" s="32"/>
      <c r="V388" s="32" t="str">
        <f>IFERROR(__xludf.DUMMYFUNCTION("""COMPUTED_VALUE"""),"Immune")</f>
        <v>Immune</v>
      </c>
      <c r="W388" s="32" t="str">
        <f>IFERROR(__xludf.DUMMYFUNCTION("""COMPUTED_VALUE"""),"Immune")</f>
        <v>Immune</v>
      </c>
      <c r="X388" s="32" t="str">
        <f>IFERROR(__xludf.DUMMYFUNCTION("""COMPUTED_VALUE"""),"Immune")</f>
        <v>Immune</v>
      </c>
      <c r="Y388" s="32" t="str">
        <f>IFERROR(__xludf.DUMMYFUNCTION("""COMPUTED_VALUE"""),"Immune")</f>
        <v>Immune</v>
      </c>
      <c r="Z388" s="32"/>
      <c r="AA388" s="32" t="str">
        <f>IFERROR(__xludf.DUMMYFUNCTION("""COMPUTED_VALUE"""),"Immune")</f>
        <v>Immune</v>
      </c>
      <c r="AB388" s="32"/>
      <c r="AC388" s="32"/>
      <c r="AD388" s="32"/>
      <c r="AE388" s="32"/>
      <c r="AF388" s="32"/>
      <c r="AG388" s="32"/>
      <c r="AH388" s="32"/>
      <c r="AI388" s="32"/>
      <c r="AJ388" s="32"/>
      <c r="AK388" s="32"/>
    </row>
    <row r="389">
      <c r="A389" s="32" t="str">
        <f>IFERROR(__xludf.DUMMYFUNCTION("""COMPUTED_VALUE"""),"Orgroth - The Volcanic Guardian of Fire Tiki Mountain")</f>
        <v>Orgroth - The Volcanic Guardian of Fire Tiki Mountain</v>
      </c>
      <c r="B389" s="32" t="str">
        <f>IFERROR(__xludf.DUMMYFUNCTION("""COMPUTED_VALUE"""),"Immune")</f>
        <v>Immune</v>
      </c>
      <c r="C389" s="32"/>
      <c r="D389" s="32"/>
      <c r="E389" s="32" t="str">
        <f>IFERROR(__xludf.DUMMYFUNCTION("""COMPUTED_VALUE"""),"Immune")</f>
        <v>Immune</v>
      </c>
      <c r="F389" s="32"/>
      <c r="G389" s="32"/>
      <c r="H389" s="32"/>
      <c r="I389" s="32"/>
      <c r="J389" s="32">
        <f>IFERROR(__xludf.DUMMYFUNCTION("""COMPUTED_VALUE"""),250.0)</f>
        <v>250</v>
      </c>
      <c r="K389" s="32"/>
      <c r="L389" s="32"/>
      <c r="M389" s="32"/>
      <c r="N389" s="32"/>
      <c r="O389" s="32"/>
      <c r="P389" s="32"/>
      <c r="Q389" s="32"/>
      <c r="R389" s="32"/>
      <c r="S389" s="32"/>
      <c r="T389" s="32"/>
      <c r="U389" s="32"/>
      <c r="V389" s="32"/>
      <c r="W389" s="32"/>
      <c r="X389" s="32" t="str">
        <f>IFERROR(__xludf.DUMMYFUNCTION("""COMPUTED_VALUE"""),"Immune")</f>
        <v>Immune</v>
      </c>
      <c r="Y389" s="32" t="str">
        <f>IFERROR(__xludf.DUMMYFUNCTION("""COMPUTED_VALUE"""),"Immune")</f>
        <v>Immune</v>
      </c>
      <c r="Z389" s="32"/>
      <c r="AA389" s="32" t="str">
        <f>IFERROR(__xludf.DUMMYFUNCTION("""COMPUTED_VALUE"""),"Immune")</f>
        <v>Immune</v>
      </c>
      <c r="AB389" s="32"/>
      <c r="AC389" s="32"/>
      <c r="AD389" s="32"/>
      <c r="AE389" s="32"/>
      <c r="AF389" s="32"/>
      <c r="AG389" s="32"/>
      <c r="AH389" s="32"/>
      <c r="AI389" s="32"/>
      <c r="AJ389" s="32"/>
      <c r="AK389" s="32"/>
    </row>
    <row r="390">
      <c r="A390" s="32" t="str">
        <f>IFERROR(__xludf.DUMMYFUNCTION("""COMPUTED_VALUE"""),"Gaia's Paladins")</f>
        <v>Gaia's Paladins</v>
      </c>
      <c r="B390" s="32"/>
      <c r="C390" s="32"/>
      <c r="D390" s="32"/>
      <c r="E390" s="32" t="str">
        <f>IFERROR(__xludf.DUMMYFUNCTION("""COMPUTED_VALUE"""),"Immune")</f>
        <v>Immune</v>
      </c>
      <c r="F390" s="32"/>
      <c r="G390" s="32">
        <f>IFERROR(__xludf.DUMMYFUNCTION("""COMPUTED_VALUE"""),250.0)</f>
        <v>250</v>
      </c>
      <c r="H390" s="32"/>
      <c r="I390" s="32"/>
      <c r="J390" s="32"/>
      <c r="K390" s="32">
        <f>IFERROR(__xludf.DUMMYFUNCTION("""COMPUTED_VALUE"""),100.0)</f>
        <v>100</v>
      </c>
      <c r="L390" s="32"/>
      <c r="M390" s="32"/>
      <c r="N390" s="32"/>
      <c r="O390" s="32"/>
      <c r="P390" s="32"/>
      <c r="Q390" s="32"/>
      <c r="R390" s="32"/>
      <c r="S390" s="32"/>
      <c r="T390" s="32"/>
      <c r="U390" s="32"/>
      <c r="V390" s="32"/>
      <c r="W390" s="32">
        <f>IFERROR(__xludf.DUMMYFUNCTION("""COMPUTED_VALUE"""),100.0)</f>
        <v>100</v>
      </c>
      <c r="X390" s="32" t="str">
        <f>IFERROR(__xludf.DUMMYFUNCTION("""COMPUTED_VALUE"""),"Immune")</f>
        <v>Immune</v>
      </c>
      <c r="Y390" s="32"/>
      <c r="Z390" s="32"/>
      <c r="AA390" s="32"/>
      <c r="AB390" s="32"/>
      <c r="AC390" s="32"/>
      <c r="AD390" s="32"/>
      <c r="AE390" s="32"/>
      <c r="AF390" s="32"/>
      <c r="AG390" s="32"/>
      <c r="AH390" s="32"/>
      <c r="AI390" s="32"/>
      <c r="AJ390" s="32"/>
      <c r="AK390" s="32"/>
    </row>
    <row r="391">
      <c r="A391" s="32" t="str">
        <f>IFERROR(__xludf.DUMMYFUNCTION("""COMPUTED_VALUE"""),"Zor - The Volcanic Golem")</f>
        <v>Zor - The Volcanic Golem</v>
      </c>
      <c r="B391" s="32" t="str">
        <f>IFERROR(__xludf.DUMMYFUNCTION("""COMPUTED_VALUE"""),"Immune")</f>
        <v>Immune</v>
      </c>
      <c r="C391" s="32"/>
      <c r="D391" s="32"/>
      <c r="E391" s="32" t="str">
        <f>IFERROR(__xludf.DUMMYFUNCTION("""COMPUTED_VALUE"""),"Immune")</f>
        <v>Immune</v>
      </c>
      <c r="F391" s="32"/>
      <c r="G391" s="32"/>
      <c r="H391" s="32"/>
      <c r="I391" s="32"/>
      <c r="J391" s="32"/>
      <c r="K391" s="32"/>
      <c r="L391" s="32"/>
      <c r="M391" s="32"/>
      <c r="N391" s="32"/>
      <c r="O391" s="32"/>
      <c r="P391" s="32"/>
      <c r="Q391" s="32"/>
      <c r="R391" s="32"/>
      <c r="S391" s="32"/>
      <c r="T391" s="32"/>
      <c r="U391" s="32"/>
      <c r="V391" s="32"/>
      <c r="W391" s="32"/>
      <c r="X391" s="32" t="str">
        <f>IFERROR(__xludf.DUMMYFUNCTION("""COMPUTED_VALUE"""),"Immune")</f>
        <v>Immune</v>
      </c>
      <c r="Y391" s="32" t="str">
        <f>IFERROR(__xludf.DUMMYFUNCTION("""COMPUTED_VALUE"""),"Immune")</f>
        <v>Immune</v>
      </c>
      <c r="Z391" s="32"/>
      <c r="AA391" s="32" t="str">
        <f>IFERROR(__xludf.DUMMYFUNCTION("""COMPUTED_VALUE"""),"Immune")</f>
        <v>Immune</v>
      </c>
      <c r="AB391" s="32"/>
      <c r="AC391" s="32"/>
      <c r="AD391" s="32"/>
      <c r="AE391" s="32"/>
      <c r="AF391" s="32"/>
      <c r="AG391" s="32"/>
      <c r="AH391" s="32"/>
      <c r="AI391" s="32"/>
      <c r="AJ391" s="32"/>
      <c r="AK391" s="32"/>
    </row>
    <row r="392">
      <c r="A392" s="32" t="str">
        <f>IFERROR(__xludf.DUMMYFUNCTION("""COMPUTED_VALUE"""),"Talthos - The Towering Kaiju")</f>
        <v>Talthos - The Towering Kaiju</v>
      </c>
      <c r="B392" s="32" t="str">
        <f>IFERROR(__xludf.DUMMYFUNCTION("""COMPUTED_VALUE"""),"Immune")</f>
        <v>Immune</v>
      </c>
      <c r="C392" s="32"/>
      <c r="D392" s="32"/>
      <c r="E392" s="32" t="str">
        <f>IFERROR(__xludf.DUMMYFUNCTION("""COMPUTED_VALUE"""),"Immune")</f>
        <v>Immune</v>
      </c>
      <c r="F392" s="32"/>
      <c r="G392" s="32"/>
      <c r="H392" s="32"/>
      <c r="I392" s="32"/>
      <c r="J392" s="32"/>
      <c r="K392" s="32"/>
      <c r="L392" s="32"/>
      <c r="M392" s="32"/>
      <c r="N392" s="32"/>
      <c r="O392" s="32"/>
      <c r="P392" s="32"/>
      <c r="Q392" s="32"/>
      <c r="R392" s="32"/>
      <c r="S392" s="32"/>
      <c r="T392" s="32"/>
      <c r="U392" s="32"/>
      <c r="V392" s="32"/>
      <c r="W392" s="32"/>
      <c r="X392" s="32" t="str">
        <f>IFERROR(__xludf.DUMMYFUNCTION("""COMPUTED_VALUE"""),"Immune")</f>
        <v>Immune</v>
      </c>
      <c r="Y392" s="32" t="str">
        <f>IFERROR(__xludf.DUMMYFUNCTION("""COMPUTED_VALUE"""),"Immune")</f>
        <v>Immune</v>
      </c>
      <c r="Z392" s="32"/>
      <c r="AA392" s="32" t="str">
        <f>IFERROR(__xludf.DUMMYFUNCTION("""COMPUTED_VALUE"""),"Immune")</f>
        <v>Immune</v>
      </c>
      <c r="AB392" s="32"/>
      <c r="AC392" s="32"/>
      <c r="AD392" s="32"/>
      <c r="AE392" s="32"/>
      <c r="AF392" s="32"/>
      <c r="AG392" s="32"/>
      <c r="AH392" s="32"/>
      <c r="AI392" s="32"/>
      <c r="AJ392" s="32"/>
      <c r="AK392" s="32"/>
    </row>
    <row r="393">
      <c r="A393" s="32" t="str">
        <f>IFERROR(__xludf.DUMMYFUNCTION("""COMPUTED_VALUE"""),"Cloudius - The Smoke Elemental")</f>
        <v>Cloudius - The Smoke Elemental</v>
      </c>
      <c r="B393" s="32" t="str">
        <f>IFERROR(__xludf.DUMMYFUNCTION("""COMPUTED_VALUE"""),"Immune")</f>
        <v>Immune</v>
      </c>
      <c r="C393" s="32"/>
      <c r="D393" s="32"/>
      <c r="E393" s="32" t="str">
        <f>IFERROR(__xludf.DUMMYFUNCTION("""COMPUTED_VALUE"""),"Immune")</f>
        <v>Immune</v>
      </c>
      <c r="F393" s="32"/>
      <c r="G393" s="32"/>
      <c r="H393" s="32"/>
      <c r="I393" s="32"/>
      <c r="J393" s="32"/>
      <c r="K393" s="32"/>
      <c r="L393" s="32"/>
      <c r="M393" s="32"/>
      <c r="N393" s="32"/>
      <c r="O393" s="32"/>
      <c r="P393" s="32"/>
      <c r="Q393" s="32"/>
      <c r="R393" s="32" t="str">
        <f>IFERROR(__xludf.DUMMYFUNCTION("""COMPUTED_VALUE"""),"Immune")</f>
        <v>Immune</v>
      </c>
      <c r="S393" s="32"/>
      <c r="T393" s="32"/>
      <c r="U393" s="32"/>
      <c r="V393" s="32"/>
      <c r="W393" s="32">
        <f>IFERROR(__xludf.DUMMYFUNCTION("""COMPUTED_VALUE"""),100.0)</f>
        <v>100</v>
      </c>
      <c r="X393" s="32" t="str">
        <f>IFERROR(__xludf.DUMMYFUNCTION("""COMPUTED_VALUE"""),"Immune")</f>
        <v>Immune</v>
      </c>
      <c r="Y393" s="32" t="str">
        <f>IFERROR(__xludf.DUMMYFUNCTION("""COMPUTED_VALUE"""),"Immune")</f>
        <v>Immune</v>
      </c>
      <c r="Z393" s="32"/>
      <c r="AA393" s="32" t="str">
        <f>IFERROR(__xludf.DUMMYFUNCTION("""COMPUTED_VALUE"""),"Immune")</f>
        <v>Immune</v>
      </c>
      <c r="AB393" s="32"/>
      <c r="AC393" s="32"/>
      <c r="AD393" s="32"/>
      <c r="AE393" s="32"/>
      <c r="AF393" s="32"/>
      <c r="AG393" s="32"/>
      <c r="AH393" s="32"/>
      <c r="AI393" s="32"/>
      <c r="AJ393" s="32"/>
      <c r="AK393" s="32"/>
    </row>
    <row r="394">
      <c r="A394" s="32" t="str">
        <f>IFERROR(__xludf.DUMMYFUNCTION("""COMPUTED_VALUE"""),"Grisaia - The Head Paladin of Gaia")</f>
        <v>Grisaia - The Head Paladin of Gaia</v>
      </c>
      <c r="B394" s="32"/>
      <c r="C394" s="32"/>
      <c r="D394" s="32"/>
      <c r="E394" s="32" t="str">
        <f>IFERROR(__xludf.DUMMYFUNCTION("""COMPUTED_VALUE"""),"Immune")</f>
        <v>Immune</v>
      </c>
      <c r="F394" s="32"/>
      <c r="G394" s="32">
        <f>IFERROR(__xludf.DUMMYFUNCTION("""COMPUTED_VALUE"""),250.0)</f>
        <v>250</v>
      </c>
      <c r="H394" s="32"/>
      <c r="I394" s="32"/>
      <c r="J394" s="32">
        <f>IFERROR(__xludf.DUMMYFUNCTION("""COMPUTED_VALUE"""),250.0)</f>
        <v>250</v>
      </c>
      <c r="K394" s="32" t="str">
        <f>IFERROR(__xludf.DUMMYFUNCTION("""COMPUTED_VALUE"""),"Immune")</f>
        <v>Immune</v>
      </c>
      <c r="L394" s="32">
        <f>IFERROR(__xludf.DUMMYFUNCTION("""COMPUTED_VALUE"""),100.0)</f>
        <v>100</v>
      </c>
      <c r="M394" s="32">
        <f>IFERROR(__xludf.DUMMYFUNCTION("""COMPUTED_VALUE"""),100.0)</f>
        <v>100</v>
      </c>
      <c r="N394" s="32">
        <f>IFERROR(__xludf.DUMMYFUNCTION("""COMPUTED_VALUE"""),100.0)</f>
        <v>100</v>
      </c>
      <c r="O394" s="32"/>
      <c r="P394" s="32"/>
      <c r="Q394" s="32"/>
      <c r="R394" s="32"/>
      <c r="S394" s="32"/>
      <c r="T394" s="32"/>
      <c r="U394" s="32"/>
      <c r="V394" s="32"/>
      <c r="W394" s="32"/>
      <c r="X394" s="32" t="str">
        <f>IFERROR(__xludf.DUMMYFUNCTION("""COMPUTED_VALUE"""),"Immune")</f>
        <v>Immune</v>
      </c>
      <c r="Y394" s="32" t="str">
        <f>IFERROR(__xludf.DUMMYFUNCTION("""COMPUTED_VALUE"""),"Immune")</f>
        <v>Immune</v>
      </c>
      <c r="Z394" s="32"/>
      <c r="AA394" s="32" t="str">
        <f>IFERROR(__xludf.DUMMYFUNCTION("""COMPUTED_VALUE"""),"Immune")</f>
        <v>Immune</v>
      </c>
      <c r="AB394" s="32"/>
      <c r="AC394" s="32"/>
      <c r="AD394" s="32"/>
      <c r="AE394" s="32"/>
      <c r="AF394" s="32"/>
      <c r="AG394" s="32"/>
      <c r="AH394" s="32"/>
      <c r="AI394" s="32"/>
      <c r="AJ394" s="32"/>
      <c r="AK394" s="32"/>
    </row>
    <row r="395">
      <c r="A395" s="32" t="str">
        <f>IFERROR(__xludf.DUMMYFUNCTION("""COMPUTED_VALUE"""),"Earth Golem")</f>
        <v>Earth Golem</v>
      </c>
      <c r="B395" s="32"/>
      <c r="C395" s="32"/>
      <c r="D395" s="32"/>
      <c r="E395" s="32" t="str">
        <f>IFERROR(__xludf.DUMMYFUNCTION("""COMPUTED_VALUE"""),"Immune")</f>
        <v>Immune</v>
      </c>
      <c r="F395" s="32"/>
      <c r="G395" s="32"/>
      <c r="H395" s="32"/>
      <c r="I395" s="32"/>
      <c r="J395" s="32"/>
      <c r="K395" s="32">
        <f>IFERROR(__xludf.DUMMYFUNCTION("""COMPUTED_VALUE"""),100.0)</f>
        <v>100</v>
      </c>
      <c r="L395" s="32"/>
      <c r="M395" s="32"/>
      <c r="N395" s="32"/>
      <c r="O395" s="32"/>
      <c r="P395" s="32"/>
      <c r="Q395" s="32"/>
      <c r="R395" s="32"/>
      <c r="S395" s="32"/>
      <c r="T395" s="32"/>
      <c r="U395" s="32"/>
      <c r="V395" s="32"/>
      <c r="W395" s="32"/>
      <c r="X395" s="32" t="str">
        <f>IFERROR(__xludf.DUMMYFUNCTION("""COMPUTED_VALUE"""),"Immune")</f>
        <v>Immune</v>
      </c>
      <c r="Y395" s="32" t="str">
        <f>IFERROR(__xludf.DUMMYFUNCTION("""COMPUTED_VALUE"""),"Immune")</f>
        <v>Immune</v>
      </c>
      <c r="Z395" s="32"/>
      <c r="AA395" s="32" t="str">
        <f>IFERROR(__xludf.DUMMYFUNCTION("""COMPUTED_VALUE"""),"Immune")</f>
        <v>Immune</v>
      </c>
      <c r="AB395" s="32"/>
      <c r="AC395" s="32"/>
      <c r="AD395" s="32"/>
      <c r="AE395" s="32"/>
      <c r="AF395" s="32"/>
      <c r="AG395" s="32"/>
      <c r="AH395" s="32"/>
      <c r="AI395" s="32"/>
      <c r="AJ395" s="32"/>
      <c r="AK395" s="32"/>
    </row>
    <row r="396">
      <c r="A396" s="32" t="str">
        <f>IFERROR(__xludf.DUMMYFUNCTION("""COMPUTED_VALUE"""),"Crystal Spider")</f>
        <v>Crystal Spider</v>
      </c>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row>
    <row r="397">
      <c r="A397" s="32" t="str">
        <f>IFERROR(__xludf.DUMMYFUNCTION("""COMPUTED_VALUE"""),"Hephaestus, The God of The Forge")</f>
        <v>Hephaestus, The God of The Forge</v>
      </c>
      <c r="B397" s="32" t="str">
        <f>IFERROR(__xludf.DUMMYFUNCTION("""COMPUTED_VALUE"""),"Immune")</f>
        <v>Immune</v>
      </c>
      <c r="C397" s="32"/>
      <c r="D397" s="32"/>
      <c r="E397" s="32"/>
      <c r="F397" s="32"/>
      <c r="G397" s="32"/>
      <c r="H397" s="32"/>
      <c r="I397" s="32">
        <f>IFERROR(__xludf.DUMMYFUNCTION("""COMPUTED_VALUE"""),250.0)</f>
        <v>250</v>
      </c>
      <c r="J397" s="32">
        <f>IFERROR(__xludf.DUMMYFUNCTION("""COMPUTED_VALUE"""),250.0)</f>
        <v>250</v>
      </c>
      <c r="K397" s="32" t="str">
        <f>IFERROR(__xludf.DUMMYFUNCTION("""COMPUTED_VALUE"""),"Immune")</f>
        <v>Immune</v>
      </c>
      <c r="L397" s="32"/>
      <c r="M397" s="32"/>
      <c r="N397" s="32"/>
      <c r="O397" s="32"/>
      <c r="P397" s="32"/>
      <c r="Q397" s="32"/>
      <c r="R397" s="32"/>
      <c r="S397" s="32"/>
      <c r="T397" s="32"/>
      <c r="U397" s="32"/>
      <c r="V397" s="32"/>
      <c r="W397" s="32">
        <f>IFERROR(__xludf.DUMMYFUNCTION("""COMPUTED_VALUE"""),500.0)</f>
        <v>500</v>
      </c>
      <c r="X397" s="32" t="str">
        <f>IFERROR(__xludf.DUMMYFUNCTION("""COMPUTED_VALUE"""),"Immune")</f>
        <v>Immune</v>
      </c>
      <c r="Y397" s="32" t="str">
        <f>IFERROR(__xludf.DUMMYFUNCTION("""COMPUTED_VALUE"""),"Immune")</f>
        <v>Immune</v>
      </c>
      <c r="Z397" s="32"/>
      <c r="AA397" s="32" t="str">
        <f>IFERROR(__xludf.DUMMYFUNCTION("""COMPUTED_VALUE"""),"Immune")</f>
        <v>Immune</v>
      </c>
      <c r="AB397" s="32"/>
      <c r="AC397" s="32"/>
      <c r="AD397" s="32"/>
      <c r="AE397" s="32"/>
      <c r="AF397" s="32"/>
      <c r="AG397" s="32"/>
      <c r="AH397" s="32"/>
      <c r="AI397" s="32"/>
      <c r="AJ397" s="32"/>
      <c r="AK397" s="32"/>
    </row>
    <row r="398">
      <c r="A398" s="32" t="str">
        <f>IFERROR(__xludf.DUMMYFUNCTION("""COMPUTED_VALUE"""),"Artemis, Nature's Wrathful Avatar (Second Phase)")</f>
        <v>Artemis, Nature's Wrathful Avatar (Second Phase)</v>
      </c>
      <c r="B398" s="32"/>
      <c r="C398" s="32">
        <f>IFERROR(__xludf.DUMMYFUNCTION("""COMPUTED_VALUE"""),500.0)</f>
        <v>500</v>
      </c>
      <c r="D398" s="32"/>
      <c r="E398" s="32"/>
      <c r="F398" s="32">
        <f>IFERROR(__xludf.DUMMYFUNCTION("""COMPUTED_VALUE"""),250.0)</f>
        <v>250</v>
      </c>
      <c r="G398" s="32"/>
      <c r="H398" s="32"/>
      <c r="I398" s="32"/>
      <c r="J398" s="32">
        <f>IFERROR(__xludf.DUMMYFUNCTION("""COMPUTED_VALUE"""),250.0)</f>
        <v>250</v>
      </c>
      <c r="K398" s="32" t="str">
        <f>IFERROR(__xludf.DUMMYFUNCTION("""COMPUTED_VALUE"""),"Immune")</f>
        <v>Immune</v>
      </c>
      <c r="L398" s="32"/>
      <c r="M398" s="32"/>
      <c r="N398" s="32"/>
      <c r="O398" s="32" t="str">
        <f>IFERROR(__xludf.DUMMYFUNCTION("""COMPUTED_VALUE"""),"Immune")</f>
        <v>Immune</v>
      </c>
      <c r="P398" s="32"/>
      <c r="Q398" s="32"/>
      <c r="R398" s="32" t="str">
        <f>IFERROR(__xludf.DUMMYFUNCTION("""COMPUTED_VALUE"""),"Immune")</f>
        <v>Immune</v>
      </c>
      <c r="S398" s="32"/>
      <c r="T398" s="32"/>
      <c r="U398" s="32"/>
      <c r="V398" s="32"/>
      <c r="W398" s="32">
        <f>IFERROR(__xludf.DUMMYFUNCTION("""COMPUTED_VALUE"""),500.0)</f>
        <v>500</v>
      </c>
      <c r="X398" s="32" t="str">
        <f>IFERROR(__xludf.DUMMYFUNCTION("""COMPUTED_VALUE"""),"Immune")</f>
        <v>Immune</v>
      </c>
      <c r="Y398" s="32" t="str">
        <f>IFERROR(__xludf.DUMMYFUNCTION("""COMPUTED_VALUE"""),"Immune")</f>
        <v>Immune</v>
      </c>
      <c r="Z398" s="32"/>
      <c r="AA398" s="32" t="str">
        <f>IFERROR(__xludf.DUMMYFUNCTION("""COMPUTED_VALUE"""),"Immune")</f>
        <v>Immune</v>
      </c>
      <c r="AB398" s="32"/>
      <c r="AC398" s="32"/>
      <c r="AD398" s="32"/>
      <c r="AE398" s="32"/>
      <c r="AF398" s="32"/>
      <c r="AG398" s="32"/>
      <c r="AH398" s="32"/>
      <c r="AI398" s="32"/>
      <c r="AJ398" s="32"/>
      <c r="AK398" s="32"/>
    </row>
    <row r="399">
      <c r="A399" s="32" t="str">
        <f>IFERROR(__xludf.DUMMYFUNCTION("""COMPUTED_VALUE"""),"Artemis, Goddess of the Forest (First Phase)")</f>
        <v>Artemis, Goddess of the Forest (First Phase)</v>
      </c>
      <c r="B399" s="32"/>
      <c r="C399" s="32">
        <f>IFERROR(__xludf.DUMMYFUNCTION("""COMPUTED_VALUE"""),500.0)</f>
        <v>500</v>
      </c>
      <c r="D399" s="32"/>
      <c r="E399" s="32"/>
      <c r="F399" s="32">
        <f>IFERROR(__xludf.DUMMYFUNCTION("""COMPUTED_VALUE"""),250.0)</f>
        <v>250</v>
      </c>
      <c r="G399" s="32"/>
      <c r="H399" s="32"/>
      <c r="I399" s="32"/>
      <c r="J399" s="32">
        <f>IFERROR(__xludf.DUMMYFUNCTION("""COMPUTED_VALUE"""),250.0)</f>
        <v>250</v>
      </c>
      <c r="K399" s="32" t="str">
        <f>IFERROR(__xludf.DUMMYFUNCTION("""COMPUTED_VALUE"""),"Immune")</f>
        <v>Immune</v>
      </c>
      <c r="L399" s="32"/>
      <c r="M399" s="32"/>
      <c r="N399" s="32"/>
      <c r="O399" s="32" t="str">
        <f>IFERROR(__xludf.DUMMYFUNCTION("""COMPUTED_VALUE"""),"Immune")</f>
        <v>Immune</v>
      </c>
      <c r="P399" s="32"/>
      <c r="Q399" s="32"/>
      <c r="R399" s="32" t="str">
        <f>IFERROR(__xludf.DUMMYFUNCTION("""COMPUTED_VALUE"""),"Immune")</f>
        <v>Immune</v>
      </c>
      <c r="S399" s="32"/>
      <c r="T399" s="32"/>
      <c r="U399" s="32"/>
      <c r="V399" s="32"/>
      <c r="W399" s="32">
        <f>IFERROR(__xludf.DUMMYFUNCTION("""COMPUTED_VALUE"""),500.0)</f>
        <v>500</v>
      </c>
      <c r="X399" s="32" t="str">
        <f>IFERROR(__xludf.DUMMYFUNCTION("""COMPUTED_VALUE"""),"Immune")</f>
        <v>Immune</v>
      </c>
      <c r="Y399" s="32" t="str">
        <f>IFERROR(__xludf.DUMMYFUNCTION("""COMPUTED_VALUE"""),"Immune")</f>
        <v>Immune</v>
      </c>
      <c r="Z399" s="32"/>
      <c r="AA399" s="32" t="str">
        <f>IFERROR(__xludf.DUMMYFUNCTION("""COMPUTED_VALUE"""),"Immune")</f>
        <v>Immune</v>
      </c>
      <c r="AB399" s="32"/>
      <c r="AC399" s="32"/>
      <c r="AD399" s="32"/>
      <c r="AE399" s="32"/>
      <c r="AF399" s="32"/>
      <c r="AG399" s="32"/>
      <c r="AH399" s="32"/>
      <c r="AI399" s="32"/>
      <c r="AJ399" s="32"/>
      <c r="AK399" s="32"/>
    </row>
    <row r="400">
      <c r="A400" s="32" t="str">
        <f>IFERROR(__xludf.DUMMYFUNCTION("""COMPUTED_VALUE"""),"The Gods' Quiver")</f>
        <v>The Gods' Quiver</v>
      </c>
      <c r="B400" s="32"/>
      <c r="C400" s="32">
        <f>IFERROR(__xludf.DUMMYFUNCTION("""COMPUTED_VALUE"""),100.0)</f>
        <v>100</v>
      </c>
      <c r="D400" s="32"/>
      <c r="E400" s="32"/>
      <c r="F400" s="32">
        <f>IFERROR(__xludf.DUMMYFUNCTION("""COMPUTED_VALUE"""),100.0)</f>
        <v>100</v>
      </c>
      <c r="G400" s="32"/>
      <c r="H400" s="32"/>
      <c r="I400" s="32"/>
      <c r="J400" s="32">
        <f>IFERROR(__xludf.DUMMYFUNCTION("""COMPUTED_VALUE"""),100.0)</f>
        <v>100</v>
      </c>
      <c r="K400" s="32" t="str">
        <f>IFERROR(__xludf.DUMMYFUNCTION("""COMPUTED_VALUE"""),"Immune")</f>
        <v>Immune</v>
      </c>
      <c r="L400" s="32"/>
      <c r="M400" s="32"/>
      <c r="N400" s="32"/>
      <c r="O400" s="32" t="str">
        <f>IFERROR(__xludf.DUMMYFUNCTION("""COMPUTED_VALUE"""),"Immune")</f>
        <v>Immune</v>
      </c>
      <c r="P400" s="32"/>
      <c r="Q400" s="32"/>
      <c r="R400" s="32"/>
      <c r="S400" s="32"/>
      <c r="T400" s="32"/>
      <c r="U400" s="32"/>
      <c r="V400" s="32"/>
      <c r="W400" s="32">
        <f>IFERROR(__xludf.DUMMYFUNCTION("""COMPUTED_VALUE"""),100.0)</f>
        <v>100</v>
      </c>
      <c r="X400" s="32"/>
      <c r="Y400" s="32"/>
      <c r="Z400" s="32"/>
      <c r="AA400" s="32"/>
      <c r="AB400" s="32"/>
      <c r="AC400" s="32"/>
      <c r="AD400" s="32"/>
      <c r="AE400" s="32"/>
      <c r="AF400" s="32"/>
      <c r="AG400" s="32"/>
      <c r="AH400" s="32"/>
      <c r="AI400" s="32"/>
      <c r="AJ400" s="32"/>
      <c r="AK400" s="32"/>
    </row>
    <row r="401">
      <c r="A401" s="32" t="str">
        <f>IFERROR(__xludf.DUMMYFUNCTION("""COMPUTED_VALUE"""),"Jenos, Head Paladin of Artemis")</f>
        <v>Jenos, Head Paladin of Artemis</v>
      </c>
      <c r="B401" s="32"/>
      <c r="C401" s="32">
        <f>IFERROR(__xludf.DUMMYFUNCTION("""COMPUTED_VALUE"""),250.0)</f>
        <v>250</v>
      </c>
      <c r="D401" s="32"/>
      <c r="E401" s="32"/>
      <c r="F401" s="32">
        <f>IFERROR(__xludf.DUMMYFUNCTION("""COMPUTED_VALUE"""),250.0)</f>
        <v>250</v>
      </c>
      <c r="G401" s="32"/>
      <c r="H401" s="32"/>
      <c r="I401" s="32"/>
      <c r="J401" s="32">
        <f>IFERROR(__xludf.DUMMYFUNCTION("""COMPUTED_VALUE"""),250.0)</f>
        <v>250</v>
      </c>
      <c r="K401" s="32" t="str">
        <f>IFERROR(__xludf.DUMMYFUNCTION("""COMPUTED_VALUE"""),"Immune")</f>
        <v>Immune</v>
      </c>
      <c r="L401" s="32"/>
      <c r="M401" s="32"/>
      <c r="N401" s="32"/>
      <c r="O401" s="32"/>
      <c r="P401" s="32"/>
      <c r="Q401" s="32"/>
      <c r="R401" s="32"/>
      <c r="S401" s="32"/>
      <c r="T401" s="32"/>
      <c r="U401" s="32"/>
      <c r="V401" s="32"/>
      <c r="W401" s="32">
        <f>IFERROR(__xludf.DUMMYFUNCTION("""COMPUTED_VALUE"""),250.0)</f>
        <v>250</v>
      </c>
      <c r="X401" s="32" t="str">
        <f>IFERROR(__xludf.DUMMYFUNCTION("""COMPUTED_VALUE"""),"Immune")</f>
        <v>Immune</v>
      </c>
      <c r="Y401" s="32" t="str">
        <f>IFERROR(__xludf.DUMMYFUNCTION("""COMPUTED_VALUE"""),"Immune")</f>
        <v>Immune</v>
      </c>
      <c r="Z401" s="32"/>
      <c r="AA401" s="32" t="str">
        <f>IFERROR(__xludf.DUMMYFUNCTION("""COMPUTED_VALUE"""),"Immune")</f>
        <v>Immune</v>
      </c>
      <c r="AB401" s="32"/>
      <c r="AC401" s="32"/>
      <c r="AD401" s="32"/>
      <c r="AE401" s="32"/>
      <c r="AF401" s="32"/>
      <c r="AG401" s="32"/>
      <c r="AH401" s="32"/>
      <c r="AI401" s="32"/>
      <c r="AJ401" s="32"/>
      <c r="AK401" s="32"/>
    </row>
    <row r="402">
      <c r="A402" s="32" t="str">
        <f>IFERROR(__xludf.DUMMYFUNCTION("""COMPUTED_VALUE"""),"The Forged Ones")</f>
        <v>The Forged Ones</v>
      </c>
      <c r="B402" s="32" t="str">
        <f>IFERROR(__xludf.DUMMYFUNCTION("""COMPUTED_VALUE"""),"Immune")</f>
        <v>Immune</v>
      </c>
      <c r="C402" s="32"/>
      <c r="D402" s="32"/>
      <c r="E402" s="32"/>
      <c r="F402" s="32"/>
      <c r="G402" s="32"/>
      <c r="H402" s="32"/>
      <c r="I402" s="32">
        <f>IFERROR(__xludf.DUMMYFUNCTION("""COMPUTED_VALUE"""),250.0)</f>
        <v>250</v>
      </c>
      <c r="J402" s="32">
        <f>IFERROR(__xludf.DUMMYFUNCTION("""COMPUTED_VALUE"""),250.0)</f>
        <v>250</v>
      </c>
      <c r="K402" s="32"/>
      <c r="L402" s="32"/>
      <c r="M402" s="32"/>
      <c r="N402" s="32"/>
      <c r="O402" s="32"/>
      <c r="P402" s="32"/>
      <c r="Q402" s="32"/>
      <c r="R402" s="32"/>
      <c r="S402" s="32"/>
      <c r="T402" s="32"/>
      <c r="U402" s="32"/>
      <c r="V402" s="32"/>
      <c r="W402" s="32">
        <f>IFERROR(__xludf.DUMMYFUNCTION("""COMPUTED_VALUE"""),100.0)</f>
        <v>100</v>
      </c>
      <c r="X402" s="32" t="str">
        <f>IFERROR(__xludf.DUMMYFUNCTION("""COMPUTED_VALUE"""),"Immune")</f>
        <v>Immune</v>
      </c>
      <c r="Y402" s="32"/>
      <c r="Z402" s="32"/>
      <c r="AA402" s="32"/>
      <c r="AB402" s="32"/>
      <c r="AC402" s="32"/>
      <c r="AD402" s="32"/>
      <c r="AE402" s="32"/>
      <c r="AF402" s="32"/>
      <c r="AG402" s="32"/>
      <c r="AH402" s="32"/>
      <c r="AI402" s="32"/>
      <c r="AJ402" s="32"/>
      <c r="AK402" s="32"/>
    </row>
    <row r="403">
      <c r="A403" s="32" t="str">
        <f>IFERROR(__xludf.DUMMYFUNCTION("""COMPUTED_VALUE"""),"Cargo Ship")</f>
        <v>Cargo Ship</v>
      </c>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row>
    <row r="404">
      <c r="A404" s="32" t="str">
        <f>IFERROR(__xludf.DUMMYFUNCTION("""COMPUTED_VALUE"""),"Ghost Ship")</f>
        <v>Ghost Ship</v>
      </c>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row>
    <row r="405">
      <c r="A405" s="32" t="str">
        <f>IFERROR(__xludf.DUMMYFUNCTION("""COMPUTED_VALUE"""),"Brigantine")</f>
        <v>Brigantine</v>
      </c>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row>
    <row r="406">
      <c r="A406" s="32" t="str">
        <f>IFERROR(__xludf.DUMMYFUNCTION("""COMPUTED_VALUE"""),"Sloop")</f>
        <v>Sloop</v>
      </c>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row>
    <row r="407">
      <c r="A407" s="32" t="str">
        <f>IFERROR(__xludf.DUMMYFUNCTION("""COMPUTED_VALUE"""),"Elder Acid Dragon")</f>
        <v>Elder Acid Dragon</v>
      </c>
      <c r="B407" s="32"/>
      <c r="C407" s="32"/>
      <c r="D407" s="32"/>
      <c r="E407" s="32"/>
      <c r="F407" s="32"/>
      <c r="G407" s="32"/>
      <c r="H407" s="32"/>
      <c r="I407" s="32"/>
      <c r="J407" s="32"/>
      <c r="K407" s="32" t="str">
        <f>IFERROR(__xludf.DUMMYFUNCTION("""COMPUTED_VALUE"""),"Immune")</f>
        <v>Immune</v>
      </c>
      <c r="L407" s="32"/>
      <c r="M407" s="32"/>
      <c r="N407" s="32"/>
      <c r="O407" s="32"/>
      <c r="P407" s="32"/>
      <c r="Q407" s="32"/>
      <c r="R407" s="32"/>
      <c r="S407" s="32"/>
      <c r="T407" s="32"/>
      <c r="U407" s="32"/>
      <c r="V407" s="32"/>
      <c r="W407" s="32"/>
      <c r="X407" s="32" t="str">
        <f>IFERROR(__xludf.DUMMYFUNCTION("""COMPUTED_VALUE"""),"Immune")</f>
        <v>Immune</v>
      </c>
      <c r="Y407" s="32" t="str">
        <f>IFERROR(__xludf.DUMMYFUNCTION("""COMPUTED_VALUE"""),"Immune")</f>
        <v>Immune</v>
      </c>
      <c r="Z407" s="32"/>
      <c r="AA407" s="32" t="str">
        <f>IFERROR(__xludf.DUMMYFUNCTION("""COMPUTED_VALUE"""),"Immune")</f>
        <v>Immune</v>
      </c>
      <c r="AB407" s="32"/>
      <c r="AC407" s="32"/>
      <c r="AD407" s="32"/>
      <c r="AE407" s="32"/>
      <c r="AF407" s="32"/>
      <c r="AG407" s="32"/>
      <c r="AH407" s="32"/>
      <c r="AI407" s="32"/>
      <c r="AJ407" s="32"/>
      <c r="AK407" s="32"/>
    </row>
    <row r="408">
      <c r="A408" s="32" t="str">
        <f>IFERROR(__xludf.DUMMYFUNCTION("""COMPUTED_VALUE"""),"Elder Water Dragon")</f>
        <v>Elder Water Dragon</v>
      </c>
      <c r="B408" s="32" t="str">
        <f>IFERROR(__xludf.DUMMYFUNCTION("""COMPUTED_VALUE"""),"Immune")</f>
        <v>Immune</v>
      </c>
      <c r="C408" s="32" t="str">
        <f>IFERROR(__xludf.DUMMYFUNCTION("""COMPUTED_VALUE"""),"Immune")</f>
        <v>Immune</v>
      </c>
      <c r="D408" s="32"/>
      <c r="E408" s="32"/>
      <c r="F408" s="32"/>
      <c r="G408" s="32"/>
      <c r="H408" s="32"/>
      <c r="I408" s="32"/>
      <c r="J408" s="32"/>
      <c r="K408" s="32"/>
      <c r="L408" s="32"/>
      <c r="M408" s="32"/>
      <c r="N408" s="32"/>
      <c r="O408" s="32"/>
      <c r="P408" s="32"/>
      <c r="Q408" s="32"/>
      <c r="R408" s="32"/>
      <c r="S408" s="32"/>
      <c r="T408" s="32"/>
      <c r="U408" s="32"/>
      <c r="V408" s="32"/>
      <c r="W408" s="32"/>
      <c r="X408" s="32" t="str">
        <f>IFERROR(__xludf.DUMMYFUNCTION("""COMPUTED_VALUE"""),"Immune")</f>
        <v>Immune</v>
      </c>
      <c r="Y408" s="32" t="str">
        <f>IFERROR(__xludf.DUMMYFUNCTION("""COMPUTED_VALUE"""),"Immune")</f>
        <v>Immune</v>
      </c>
      <c r="Z408" s="32"/>
      <c r="AA408" s="32" t="str">
        <f>IFERROR(__xludf.DUMMYFUNCTION("""COMPUTED_VALUE"""),"Immune")</f>
        <v>Immune</v>
      </c>
      <c r="AB408" s="32"/>
      <c r="AC408" s="32"/>
      <c r="AD408" s="32"/>
      <c r="AE408" s="32"/>
      <c r="AF408" s="32"/>
      <c r="AG408" s="32"/>
      <c r="AH408" s="32"/>
      <c r="AI408" s="32"/>
      <c r="AJ408" s="32"/>
      <c r="AK408" s="32"/>
    </row>
    <row r="409">
      <c r="A409" s="32" t="str">
        <f>IFERROR(__xludf.DUMMYFUNCTION("""COMPUTED_VALUE"""),"Elder Astral Dragon")</f>
        <v>Elder Astral Dragon</v>
      </c>
      <c r="B409" s="32"/>
      <c r="C409" s="32"/>
      <c r="D409" s="32"/>
      <c r="E409" s="32"/>
      <c r="F409" s="32"/>
      <c r="G409" s="32"/>
      <c r="H409" s="32"/>
      <c r="I409" s="32"/>
      <c r="J409" s="32"/>
      <c r="K409" s="32"/>
      <c r="L409" s="32"/>
      <c r="M409" s="32"/>
      <c r="N409" s="32"/>
      <c r="O409" s="32"/>
      <c r="P409" s="32"/>
      <c r="Q409" s="32"/>
      <c r="R409" s="32"/>
      <c r="S409" s="32"/>
      <c r="T409" s="32"/>
      <c r="U409" s="32"/>
      <c r="V409" s="32" t="str">
        <f>IFERROR(__xludf.DUMMYFUNCTION("""COMPUTED_VALUE"""),"Immune")</f>
        <v>Immune</v>
      </c>
      <c r="W409" s="32"/>
      <c r="X409" s="32" t="str">
        <f>IFERROR(__xludf.DUMMYFUNCTION("""COMPUTED_VALUE"""),"Immune")</f>
        <v>Immune</v>
      </c>
      <c r="Y409" s="32" t="str">
        <f>IFERROR(__xludf.DUMMYFUNCTION("""COMPUTED_VALUE"""),"Immune")</f>
        <v>Immune</v>
      </c>
      <c r="Z409" s="32"/>
      <c r="AA409" s="32" t="str">
        <f>IFERROR(__xludf.DUMMYFUNCTION("""COMPUTED_VALUE"""),"Immune")</f>
        <v>Immune</v>
      </c>
      <c r="AB409" s="32"/>
      <c r="AC409" s="32"/>
      <c r="AD409" s="32"/>
      <c r="AE409" s="32"/>
      <c r="AF409" s="32"/>
      <c r="AG409" s="32"/>
      <c r="AH409" s="32"/>
      <c r="AI409" s="32"/>
      <c r="AJ409" s="32"/>
      <c r="AK409" s="32"/>
    </row>
    <row r="410">
      <c r="A410" s="32" t="str">
        <f>IFERROR(__xludf.DUMMYFUNCTION("""COMPUTED_VALUE"""),"Elder Celestial Dragon")</f>
        <v>Elder Celestial Dragon</v>
      </c>
      <c r="B410" s="32"/>
      <c r="C410" s="32"/>
      <c r="D410" s="32"/>
      <c r="E410" s="32"/>
      <c r="F410" s="32"/>
      <c r="G410" s="32"/>
      <c r="H410" s="32"/>
      <c r="I410" s="32"/>
      <c r="J410" s="32"/>
      <c r="K410" s="32"/>
      <c r="L410" s="32"/>
      <c r="M410" s="32"/>
      <c r="N410" s="32"/>
      <c r="O410" s="32"/>
      <c r="P410" s="32"/>
      <c r="Q410" s="32"/>
      <c r="R410" s="32"/>
      <c r="S410" s="32"/>
      <c r="T410" s="32"/>
      <c r="U410" s="32"/>
      <c r="V410" s="32"/>
      <c r="W410" s="32" t="str">
        <f>IFERROR(__xludf.DUMMYFUNCTION("""COMPUTED_VALUE"""),"Immune")</f>
        <v>Immune</v>
      </c>
      <c r="X410" s="32" t="str">
        <f>IFERROR(__xludf.DUMMYFUNCTION("""COMPUTED_VALUE"""),"Immune")</f>
        <v>Immune</v>
      </c>
      <c r="Y410" s="32" t="str">
        <f>IFERROR(__xludf.DUMMYFUNCTION("""COMPUTED_VALUE"""),"Immune")</f>
        <v>Immune</v>
      </c>
      <c r="Z410" s="32"/>
      <c r="AA410" s="32" t="str">
        <f>IFERROR(__xludf.DUMMYFUNCTION("""COMPUTED_VALUE"""),"Immune")</f>
        <v>Immune</v>
      </c>
      <c r="AB410" s="32"/>
      <c r="AC410" s="32"/>
      <c r="AD410" s="32"/>
      <c r="AE410" s="32"/>
      <c r="AF410" s="32"/>
      <c r="AG410" s="32"/>
      <c r="AH410" s="32"/>
      <c r="AI410" s="32"/>
      <c r="AJ410" s="32"/>
      <c r="AK410" s="32"/>
    </row>
    <row r="411">
      <c r="A411" s="32" t="str">
        <f>IFERROR(__xludf.DUMMYFUNCTION("""COMPUTED_VALUE"""),"Elder Chaos Dragon")</f>
        <v>Elder Chaos Dragon</v>
      </c>
      <c r="B411" s="32"/>
      <c r="C411" s="32"/>
      <c r="D411" s="32"/>
      <c r="E411" s="32"/>
      <c r="F411" s="32"/>
      <c r="G411" s="32"/>
      <c r="H411" s="32"/>
      <c r="I411" s="32"/>
      <c r="J411" s="32" t="str">
        <f>IFERROR(__xludf.DUMMYFUNCTION("""COMPUTED_VALUE"""),"Immune")</f>
        <v>Immune</v>
      </c>
      <c r="K411" s="32"/>
      <c r="L411" s="32"/>
      <c r="M411" s="32"/>
      <c r="N411" s="32"/>
      <c r="O411" s="32"/>
      <c r="P411" s="32"/>
      <c r="Q411" s="32"/>
      <c r="R411" s="32"/>
      <c r="S411" s="32"/>
      <c r="T411" s="32"/>
      <c r="U411" s="32"/>
      <c r="V411" s="32"/>
      <c r="W411" s="32"/>
      <c r="X411" s="32" t="str">
        <f>IFERROR(__xludf.DUMMYFUNCTION("""COMPUTED_VALUE"""),"Immune")</f>
        <v>Immune</v>
      </c>
      <c r="Y411" s="32" t="str">
        <f>IFERROR(__xludf.DUMMYFUNCTION("""COMPUTED_VALUE"""),"Immune")</f>
        <v>Immune</v>
      </c>
      <c r="Z411" s="32"/>
      <c r="AA411" s="32" t="str">
        <f>IFERROR(__xludf.DUMMYFUNCTION("""COMPUTED_VALUE"""),"Immune")</f>
        <v>Immune</v>
      </c>
      <c r="AB411" s="32"/>
      <c r="AC411" s="32"/>
      <c r="AD411" s="32"/>
      <c r="AE411" s="32"/>
      <c r="AF411" s="32"/>
      <c r="AG411" s="32"/>
      <c r="AH411" s="32"/>
      <c r="AI411" s="32"/>
      <c r="AJ411" s="32"/>
      <c r="AK411" s="32"/>
    </row>
    <row r="412">
      <c r="A412" s="32" t="str">
        <f>IFERROR(__xludf.DUMMYFUNCTION("""COMPUTED_VALUE"""),"Elder Dark Dragon")</f>
        <v>Elder Dark Dragon</v>
      </c>
      <c r="B412" s="32"/>
      <c r="C412" s="32"/>
      <c r="D412" s="32"/>
      <c r="E412" s="32"/>
      <c r="F412" s="32"/>
      <c r="G412" s="32" t="str">
        <f>IFERROR(__xludf.DUMMYFUNCTION("""COMPUTED_VALUE"""),"Immune")</f>
        <v>Immune</v>
      </c>
      <c r="H412" s="32"/>
      <c r="I412" s="32"/>
      <c r="J412" s="32"/>
      <c r="K412" s="32"/>
      <c r="L412" s="32"/>
      <c r="M412" s="32"/>
      <c r="N412" s="32"/>
      <c r="O412" s="32"/>
      <c r="P412" s="32"/>
      <c r="Q412" s="32"/>
      <c r="R412" s="32"/>
      <c r="S412" s="32"/>
      <c r="T412" s="32"/>
      <c r="U412" s="32"/>
      <c r="V412" s="32"/>
      <c r="W412" s="32"/>
      <c r="X412" s="32" t="str">
        <f>IFERROR(__xludf.DUMMYFUNCTION("""COMPUTED_VALUE"""),"Immune")</f>
        <v>Immune</v>
      </c>
      <c r="Y412" s="32" t="str">
        <f>IFERROR(__xludf.DUMMYFUNCTION("""COMPUTED_VALUE"""),"Immune")</f>
        <v>Immune</v>
      </c>
      <c r="Z412" s="32"/>
      <c r="AA412" s="32" t="str">
        <f>IFERROR(__xludf.DUMMYFUNCTION("""COMPUTED_VALUE"""),"Immune")</f>
        <v>Immune</v>
      </c>
      <c r="AB412" s="32"/>
      <c r="AC412" s="32"/>
      <c r="AD412" s="32"/>
      <c r="AE412" s="32"/>
      <c r="AF412" s="32"/>
      <c r="AG412" s="32"/>
      <c r="AH412" s="32"/>
      <c r="AI412" s="32"/>
      <c r="AJ412" s="32"/>
      <c r="AK412" s="32"/>
    </row>
    <row r="413">
      <c r="A413" s="32" t="str">
        <f>IFERROR(__xludf.DUMMYFUNCTION("""COMPUTED_VALUE"""),"Elder Delta Dragon")</f>
        <v>Elder Delta Dragon</v>
      </c>
      <c r="B413" s="32"/>
      <c r="C413" s="32"/>
      <c r="D413" s="32"/>
      <c r="E413" s="32"/>
      <c r="F413" s="32"/>
      <c r="G413" s="32"/>
      <c r="H413" s="32"/>
      <c r="I413" s="32"/>
      <c r="J413" s="32"/>
      <c r="K413" s="32"/>
      <c r="L413" s="32"/>
      <c r="M413" s="32"/>
      <c r="N413" s="32"/>
      <c r="O413" s="32"/>
      <c r="P413" s="32"/>
      <c r="Q413" s="32"/>
      <c r="R413" s="32"/>
      <c r="S413" s="32"/>
      <c r="T413" s="32"/>
      <c r="U413" s="32"/>
      <c r="V413" s="32"/>
      <c r="W413" s="32"/>
      <c r="X413" s="32" t="str">
        <f>IFERROR(__xludf.DUMMYFUNCTION("""COMPUTED_VALUE"""),"Immune")</f>
        <v>Immune</v>
      </c>
      <c r="Y413" s="32" t="str">
        <f>IFERROR(__xludf.DUMMYFUNCTION("""COMPUTED_VALUE"""),"Immune")</f>
        <v>Immune</v>
      </c>
      <c r="Z413" s="32"/>
      <c r="AA413" s="32" t="str">
        <f>IFERROR(__xludf.DUMMYFUNCTION("""COMPUTED_VALUE"""),"Immune")</f>
        <v>Immune</v>
      </c>
      <c r="AB413" s="32"/>
      <c r="AC413" s="32"/>
      <c r="AD413" s="32"/>
      <c r="AE413" s="32"/>
      <c r="AF413" s="32"/>
      <c r="AG413" s="32"/>
      <c r="AH413" s="32"/>
      <c r="AI413" s="32"/>
      <c r="AJ413" s="32"/>
      <c r="AK413" s="32"/>
    </row>
    <row r="414">
      <c r="A414" s="32" t="str">
        <f>IFERROR(__xludf.DUMMYFUNCTION("""COMPUTED_VALUE"""),"Elder Forest Dragon")</f>
        <v>Elder Forest Dragon</v>
      </c>
      <c r="B414" s="32"/>
      <c r="C414" s="32"/>
      <c r="D414" s="32"/>
      <c r="E414" s="32"/>
      <c r="F414" s="32"/>
      <c r="G414" s="32"/>
      <c r="H414" s="32"/>
      <c r="I414" s="32"/>
      <c r="J414" s="32"/>
      <c r="K414" s="32" t="str">
        <f>IFERROR(__xludf.DUMMYFUNCTION("""COMPUTED_VALUE"""),"Immune")</f>
        <v>Immune</v>
      </c>
      <c r="L414" s="32"/>
      <c r="M414" s="32"/>
      <c r="N414" s="32"/>
      <c r="O414" s="32"/>
      <c r="P414" s="32"/>
      <c r="Q414" s="32"/>
      <c r="R414" s="32"/>
      <c r="S414" s="32"/>
      <c r="T414" s="32"/>
      <c r="U414" s="32"/>
      <c r="V414" s="32"/>
      <c r="W414" s="32"/>
      <c r="X414" s="32" t="str">
        <f>IFERROR(__xludf.DUMMYFUNCTION("""COMPUTED_VALUE"""),"Immune")</f>
        <v>Immune</v>
      </c>
      <c r="Y414" s="32" t="str">
        <f>IFERROR(__xludf.DUMMYFUNCTION("""COMPUTED_VALUE"""),"Immune")</f>
        <v>Immune</v>
      </c>
      <c r="Z414" s="32"/>
      <c r="AA414" s="32" t="str">
        <f>IFERROR(__xludf.DUMMYFUNCTION("""COMPUTED_VALUE"""),"Immune")</f>
        <v>Immune</v>
      </c>
      <c r="AB414" s="32"/>
      <c r="AC414" s="32"/>
      <c r="AD414" s="32"/>
      <c r="AE414" s="32"/>
      <c r="AF414" s="32"/>
      <c r="AG414" s="32"/>
      <c r="AH414" s="32"/>
      <c r="AI414" s="32"/>
      <c r="AJ414" s="32"/>
      <c r="AK414" s="32"/>
    </row>
    <row r="415">
      <c r="A415" s="32" t="str">
        <f>IFERROR(__xludf.DUMMYFUNCTION("""COMPUTED_VALUE"""),"Elder Frost Dragon")</f>
        <v>Elder Frost Dragon</v>
      </c>
      <c r="B415" s="32"/>
      <c r="C415" s="32" t="str">
        <f>IFERROR(__xludf.DUMMYFUNCTION("""COMPUTED_VALUE"""),"Immune")</f>
        <v>Immune</v>
      </c>
      <c r="D415" s="32"/>
      <c r="E415" s="32"/>
      <c r="F415" s="32"/>
      <c r="G415" s="32"/>
      <c r="H415" s="32"/>
      <c r="I415" s="32"/>
      <c r="J415" s="32"/>
      <c r="K415" s="32"/>
      <c r="L415" s="32"/>
      <c r="M415" s="32"/>
      <c r="N415" s="32"/>
      <c r="O415" s="32"/>
      <c r="P415" s="32"/>
      <c r="Q415" s="32"/>
      <c r="R415" s="32"/>
      <c r="S415" s="32"/>
      <c r="T415" s="32"/>
      <c r="U415" s="32"/>
      <c r="V415" s="32"/>
      <c r="W415" s="32"/>
      <c r="X415" s="32" t="str">
        <f>IFERROR(__xludf.DUMMYFUNCTION("""COMPUTED_VALUE"""),"Immune")</f>
        <v>Immune</v>
      </c>
      <c r="Y415" s="32" t="str">
        <f>IFERROR(__xludf.DUMMYFUNCTION("""COMPUTED_VALUE"""),"Immune")</f>
        <v>Immune</v>
      </c>
      <c r="Z415" s="32"/>
      <c r="AA415" s="32" t="str">
        <f>IFERROR(__xludf.DUMMYFUNCTION("""COMPUTED_VALUE"""),"Immune")</f>
        <v>Immune</v>
      </c>
      <c r="AB415" s="32"/>
      <c r="AC415" s="32"/>
      <c r="AD415" s="32"/>
      <c r="AE415" s="32"/>
      <c r="AF415" s="32"/>
      <c r="AG415" s="32"/>
      <c r="AH415" s="32"/>
      <c r="AI415" s="32"/>
      <c r="AJ415" s="32"/>
      <c r="AK415" s="32"/>
    </row>
    <row r="416">
      <c r="A416" s="32" t="str">
        <f>IFERROR(__xludf.DUMMYFUNCTION("""COMPUTED_VALUE"""),"Elder Soul Dragon")</f>
        <v>Elder Soul Dragon</v>
      </c>
      <c r="B416" s="32"/>
      <c r="C416" s="32"/>
      <c r="D416" s="32"/>
      <c r="E416" s="32"/>
      <c r="F416" s="32"/>
      <c r="G416" s="32" t="str">
        <f>IFERROR(__xludf.DUMMYFUNCTION("""COMPUTED_VALUE"""),"Immune")</f>
        <v>Immune</v>
      </c>
      <c r="H416" s="32"/>
      <c r="I416" s="32"/>
      <c r="J416" s="32"/>
      <c r="K416" s="32"/>
      <c r="L416" s="32"/>
      <c r="M416" s="32"/>
      <c r="N416" s="32"/>
      <c r="O416" s="32"/>
      <c r="P416" s="32"/>
      <c r="Q416" s="32"/>
      <c r="R416" s="32"/>
      <c r="S416" s="32"/>
      <c r="T416" s="32"/>
      <c r="U416" s="32"/>
      <c r="V416" s="32"/>
      <c r="W416" s="32"/>
      <c r="X416" s="32" t="str">
        <f>IFERROR(__xludf.DUMMYFUNCTION("""COMPUTED_VALUE"""),"Immune")</f>
        <v>Immune</v>
      </c>
      <c r="Y416" s="32" t="str">
        <f>IFERROR(__xludf.DUMMYFUNCTION("""COMPUTED_VALUE"""),"Immune")</f>
        <v>Immune</v>
      </c>
      <c r="Z416" s="32"/>
      <c r="AA416" s="32" t="str">
        <f>IFERROR(__xludf.DUMMYFUNCTION("""COMPUTED_VALUE"""),"Immune")</f>
        <v>Immune</v>
      </c>
      <c r="AB416" s="32"/>
      <c r="AC416" s="32"/>
      <c r="AD416" s="32"/>
      <c r="AE416" s="32"/>
      <c r="AF416" s="32"/>
      <c r="AG416" s="32"/>
      <c r="AH416" s="32"/>
      <c r="AI416" s="32"/>
      <c r="AJ416" s="32"/>
      <c r="AK416" s="32"/>
    </row>
    <row r="417">
      <c r="A417" s="32" t="str">
        <f>IFERROR(__xludf.DUMMYFUNCTION("""COMPUTED_VALUE"""),"Elder Spirit Dragon")</f>
        <v>Elder Spirit Dragon</v>
      </c>
      <c r="B417" s="32"/>
      <c r="C417" s="32"/>
      <c r="D417" s="32"/>
      <c r="E417" s="32"/>
      <c r="F417" s="32"/>
      <c r="G417" s="32" t="str">
        <f>IFERROR(__xludf.DUMMYFUNCTION("""COMPUTED_VALUE"""),"Immune")</f>
        <v>Immune</v>
      </c>
      <c r="H417" s="32"/>
      <c r="I417" s="32"/>
      <c r="J417" s="32"/>
      <c r="K417" s="32"/>
      <c r="L417" s="32"/>
      <c r="M417" s="32"/>
      <c r="N417" s="32"/>
      <c r="O417" s="32"/>
      <c r="P417" s="32"/>
      <c r="Q417" s="32"/>
      <c r="R417" s="32"/>
      <c r="S417" s="32"/>
      <c r="T417" s="32"/>
      <c r="U417" s="32"/>
      <c r="V417" s="32"/>
      <c r="W417" s="32"/>
      <c r="X417" s="32" t="str">
        <f>IFERROR(__xludf.DUMMYFUNCTION("""COMPUTED_VALUE"""),"Immune")</f>
        <v>Immune</v>
      </c>
      <c r="Y417" s="32" t="str">
        <f>IFERROR(__xludf.DUMMYFUNCTION("""COMPUTED_VALUE"""),"Immune")</f>
        <v>Immune</v>
      </c>
      <c r="Z417" s="32"/>
      <c r="AA417" s="32" t="str">
        <f>IFERROR(__xludf.DUMMYFUNCTION("""COMPUTED_VALUE"""),"Immune")</f>
        <v>Immune</v>
      </c>
      <c r="AB417" s="32"/>
      <c r="AC417" s="32"/>
      <c r="AD417" s="32"/>
      <c r="AE417" s="32"/>
      <c r="AF417" s="32"/>
      <c r="AG417" s="32"/>
      <c r="AH417" s="32"/>
      <c r="AI417" s="32"/>
      <c r="AJ417" s="32"/>
      <c r="AK417" s="32"/>
    </row>
    <row r="418">
      <c r="A418" s="32" t="str">
        <f>IFERROR(__xludf.DUMMYFUNCTION("""COMPUTED_VALUE"""),"Elder Stone Dragon")</f>
        <v>Elder Stone Dragon</v>
      </c>
      <c r="B418" s="32"/>
      <c r="C418" s="32"/>
      <c r="D418" s="32"/>
      <c r="E418" s="32" t="str">
        <f>IFERROR(__xludf.DUMMYFUNCTION("""COMPUTED_VALUE"""),"Immune")</f>
        <v>Immune</v>
      </c>
      <c r="F418" s="32"/>
      <c r="G418" s="32"/>
      <c r="H418" s="32"/>
      <c r="I418" s="32"/>
      <c r="J418" s="32"/>
      <c r="K418" s="32"/>
      <c r="L418" s="32"/>
      <c r="M418" s="32"/>
      <c r="N418" s="32"/>
      <c r="O418" s="32"/>
      <c r="P418" s="32"/>
      <c r="Q418" s="32"/>
      <c r="R418" s="32"/>
      <c r="S418" s="32"/>
      <c r="T418" s="32"/>
      <c r="U418" s="32"/>
      <c r="V418" s="32"/>
      <c r="W418" s="32"/>
      <c r="X418" s="32" t="str">
        <f>IFERROR(__xludf.DUMMYFUNCTION("""COMPUTED_VALUE"""),"Immune")</f>
        <v>Immune</v>
      </c>
      <c r="Y418" s="32" t="str">
        <f>IFERROR(__xludf.DUMMYFUNCTION("""COMPUTED_VALUE"""),"Immune")</f>
        <v>Immune</v>
      </c>
      <c r="Z418" s="32"/>
      <c r="AA418" s="32" t="str">
        <f>IFERROR(__xludf.DUMMYFUNCTION("""COMPUTED_VALUE"""),"Immune")</f>
        <v>Immune</v>
      </c>
      <c r="AB418" s="32"/>
      <c r="AC418" s="32"/>
      <c r="AD418" s="32"/>
      <c r="AE418" s="32"/>
      <c r="AF418" s="32"/>
      <c r="AG418" s="32"/>
      <c r="AH418" s="32"/>
      <c r="AI418" s="32"/>
      <c r="AJ418" s="32"/>
      <c r="AK418" s="32"/>
    </row>
    <row r="419">
      <c r="A419" s="32" t="str">
        <f>IFERROR(__xludf.DUMMYFUNCTION("""COMPUTED_VALUE"""),"Ancient Fire Elemental")</f>
        <v>Ancient Fire Elemental</v>
      </c>
      <c r="B419" s="32" t="str">
        <f>IFERROR(__xludf.DUMMYFUNCTION("""COMPUTED_VALUE"""),"Immune")</f>
        <v>Immune</v>
      </c>
      <c r="C419" s="32"/>
      <c r="D419" s="32"/>
      <c r="E419" s="32"/>
      <c r="F419" s="32"/>
      <c r="G419" s="32"/>
      <c r="H419" s="32"/>
      <c r="I419" s="32"/>
      <c r="J419" s="32"/>
      <c r="K419" s="32" t="str">
        <f>IFERROR(__xludf.DUMMYFUNCTION("""COMPUTED_VALUE"""),"Immune")</f>
        <v>Immune</v>
      </c>
      <c r="L419" s="32"/>
      <c r="M419" s="32"/>
      <c r="N419" s="32"/>
      <c r="O419" s="32"/>
      <c r="P419" s="32"/>
      <c r="Q419" s="32"/>
      <c r="R419" s="32" t="str">
        <f>IFERROR(__xludf.DUMMYFUNCTION("""COMPUTED_VALUE"""),"Immune")</f>
        <v>Immune</v>
      </c>
      <c r="S419" s="32"/>
      <c r="T419" s="32"/>
      <c r="U419" s="32"/>
      <c r="V419" s="32"/>
      <c r="W419" s="32"/>
      <c r="X419" s="32" t="str">
        <f>IFERROR(__xludf.DUMMYFUNCTION("""COMPUTED_VALUE"""),"Immune")</f>
        <v>Immune</v>
      </c>
      <c r="Y419" s="32" t="str">
        <f>IFERROR(__xludf.DUMMYFUNCTION("""COMPUTED_VALUE"""),"Immune")</f>
        <v>Immune</v>
      </c>
      <c r="Z419" s="32"/>
      <c r="AA419" s="32" t="str">
        <f>IFERROR(__xludf.DUMMYFUNCTION("""COMPUTED_VALUE"""),"Immune")</f>
        <v>Immune</v>
      </c>
      <c r="AB419" s="32"/>
      <c r="AC419" s="32"/>
      <c r="AD419" s="32"/>
      <c r="AE419" s="32"/>
      <c r="AF419" s="32"/>
      <c r="AG419" s="32"/>
      <c r="AH419" s="32"/>
      <c r="AI419" s="32"/>
      <c r="AJ419" s="32"/>
      <c r="AK419" s="32"/>
    </row>
    <row r="420">
      <c r="A420" s="32" t="str">
        <f>IFERROR(__xludf.DUMMYFUNCTION("""COMPUTED_VALUE"""),"Elder Fire Dragon")</f>
        <v>Elder Fire Dragon</v>
      </c>
      <c r="B420" s="32" t="str">
        <f>IFERROR(__xludf.DUMMYFUNCTION("""COMPUTED_VALUE"""),"Immune")</f>
        <v>Immune</v>
      </c>
      <c r="C420" s="32"/>
      <c r="D420" s="32"/>
      <c r="E420" s="32"/>
      <c r="F420" s="32"/>
      <c r="G420" s="32"/>
      <c r="H420" s="32"/>
      <c r="I420" s="32"/>
      <c r="J420" s="32"/>
      <c r="K420" s="32" t="str">
        <f>IFERROR(__xludf.DUMMYFUNCTION("""COMPUTED_VALUE"""),"Immune")</f>
        <v>Immune</v>
      </c>
      <c r="L420" s="32"/>
      <c r="M420" s="32"/>
      <c r="N420" s="32"/>
      <c r="O420" s="32"/>
      <c r="P420" s="32"/>
      <c r="Q420" s="32"/>
      <c r="R420" s="32"/>
      <c r="S420" s="32"/>
      <c r="T420" s="32"/>
      <c r="U420" s="32"/>
      <c r="V420" s="32"/>
      <c r="W420" s="32"/>
      <c r="X420" s="32" t="str">
        <f>IFERROR(__xludf.DUMMYFUNCTION("""COMPUTED_VALUE"""),"Immune")</f>
        <v>Immune</v>
      </c>
      <c r="Y420" s="32" t="str">
        <f>IFERROR(__xludf.DUMMYFUNCTION("""COMPUTED_VALUE"""),"Immune")</f>
        <v>Immune</v>
      </c>
      <c r="Z420" s="32"/>
      <c r="AA420" s="32" t="str">
        <f>IFERROR(__xludf.DUMMYFUNCTION("""COMPUTED_VALUE"""),"Immune")</f>
        <v>Immune</v>
      </c>
      <c r="AB420" s="32"/>
      <c r="AC420" s="32"/>
      <c r="AD420" s="32"/>
      <c r="AE420" s="32"/>
      <c r="AF420" s="32"/>
      <c r="AG420" s="32"/>
      <c r="AH420" s="32"/>
      <c r="AI420" s="32"/>
      <c r="AJ420" s="32"/>
      <c r="AK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row>
    <row r="422">
      <c r="A422" s="32" t="str">
        <f>IFERROR(__xludf.DUMMYFUNCTION("""COMPUTED_VALUE"""),"Elder Undead Dragon")</f>
        <v>Elder Undead Dragon</v>
      </c>
      <c r="B422" s="32"/>
      <c r="C422" s="32"/>
      <c r="D422" s="32"/>
      <c r="E422" s="32"/>
      <c r="F422" s="32"/>
      <c r="G422" s="32" t="str">
        <f>IFERROR(__xludf.DUMMYFUNCTION("""COMPUTED_VALUE"""),"Immune")</f>
        <v>Immune</v>
      </c>
      <c r="H422" s="32"/>
      <c r="I422" s="32"/>
      <c r="J422" s="32"/>
      <c r="K422" s="32"/>
      <c r="L422" s="32"/>
      <c r="M422" s="32"/>
      <c r="N422" s="32"/>
      <c r="O422" s="32"/>
      <c r="P422" s="32"/>
      <c r="Q422" s="32"/>
      <c r="R422" s="32"/>
      <c r="S422" s="32"/>
      <c r="T422" s="32"/>
      <c r="U422" s="32"/>
      <c r="V422" s="32"/>
      <c r="W422" s="32"/>
      <c r="X422" s="32" t="str">
        <f>IFERROR(__xludf.DUMMYFUNCTION("""COMPUTED_VALUE"""),"Immune")</f>
        <v>Immune</v>
      </c>
      <c r="Y422" s="32" t="str">
        <f>IFERROR(__xludf.DUMMYFUNCTION("""COMPUTED_VALUE"""),"Immune")</f>
        <v>Immune</v>
      </c>
      <c r="Z422" s="32"/>
      <c r="AA422" s="32" t="str">
        <f>IFERROR(__xludf.DUMMYFUNCTION("""COMPUTED_VALUE"""),"Immune")</f>
        <v>Immune</v>
      </c>
      <c r="AB422" s="32"/>
      <c r="AC422" s="32"/>
      <c r="AD422" s="32"/>
      <c r="AE422" s="32"/>
      <c r="AF422" s="32"/>
      <c r="AG422" s="32"/>
      <c r="AH422" s="32"/>
      <c r="AI422" s="32"/>
      <c r="AJ422" s="32"/>
      <c r="AK422" s="32"/>
    </row>
    <row r="423">
      <c r="A423" s="32" t="str">
        <f>IFERROR(__xludf.DUMMYFUNCTION("""COMPUTED_VALUE"""),"Elder Crystal Dragon")</f>
        <v>Elder Crystal Dragon</v>
      </c>
      <c r="B423" s="32"/>
      <c r="C423" s="32"/>
      <c r="D423" s="32"/>
      <c r="E423" s="32">
        <f>IFERROR(__xludf.DUMMYFUNCTION("""COMPUTED_VALUE"""),100.0)</f>
        <v>100</v>
      </c>
      <c r="F423" s="32"/>
      <c r="G423" s="32"/>
      <c r="H423" s="32"/>
      <c r="I423" s="32"/>
      <c r="J423" s="32"/>
      <c r="K423" s="32"/>
      <c r="L423" s="32"/>
      <c r="M423" s="32"/>
      <c r="N423" s="32"/>
      <c r="O423" s="32"/>
      <c r="P423" s="32"/>
      <c r="Q423" s="32"/>
      <c r="R423" s="32"/>
      <c r="S423" s="32"/>
      <c r="T423" s="32"/>
      <c r="U423" s="32"/>
      <c r="V423" s="32"/>
      <c r="W423" s="32"/>
      <c r="X423" s="32" t="str">
        <f>IFERROR(__xludf.DUMMYFUNCTION("""COMPUTED_VALUE"""),"Immune")</f>
        <v>Immune</v>
      </c>
      <c r="Y423" s="32" t="str">
        <f>IFERROR(__xludf.DUMMYFUNCTION("""COMPUTED_VALUE"""),"Immune")</f>
        <v>Immune</v>
      </c>
      <c r="Z423" s="32"/>
      <c r="AA423" s="32" t="str">
        <f>IFERROR(__xludf.DUMMYFUNCTION("""COMPUTED_VALUE"""),"Immune")</f>
        <v>Immune</v>
      </c>
      <c r="AB423" s="32"/>
      <c r="AC423" s="32"/>
      <c r="AD423" s="32"/>
      <c r="AE423" s="32"/>
      <c r="AF423" s="32"/>
      <c r="AG423" s="32"/>
      <c r="AH423" s="32"/>
      <c r="AI423" s="32"/>
      <c r="AJ423" s="32"/>
      <c r="AK423" s="32"/>
    </row>
    <row r="424">
      <c r="A424" s="32" t="str">
        <f>IFERROR(__xludf.DUMMYFUNCTION("""COMPUTED_VALUE"""),"Ancient Acid Dragon")</f>
        <v>Ancient Acid Dragon</v>
      </c>
      <c r="B424" s="32"/>
      <c r="C424" s="32"/>
      <c r="D424" s="32"/>
      <c r="E424" s="32"/>
      <c r="F424" s="32"/>
      <c r="G424" s="32"/>
      <c r="H424" s="32"/>
      <c r="I424" s="32"/>
      <c r="J424" s="32"/>
      <c r="K424" s="32" t="str">
        <f>IFERROR(__xludf.DUMMYFUNCTION("""COMPUTED_VALUE"""),"Immune")</f>
        <v>Immune</v>
      </c>
      <c r="L424" s="32"/>
      <c r="M424" s="32"/>
      <c r="N424" s="32"/>
      <c r="O424" s="32"/>
      <c r="P424" s="32"/>
      <c r="Q424" s="32"/>
      <c r="R424" s="32"/>
      <c r="S424" s="32"/>
      <c r="T424" s="32"/>
      <c r="U424" s="32"/>
      <c r="V424" s="32"/>
      <c r="W424" s="32"/>
      <c r="X424" s="32" t="str">
        <f>IFERROR(__xludf.DUMMYFUNCTION("""COMPUTED_VALUE"""),"Immune")</f>
        <v>Immune</v>
      </c>
      <c r="Y424" s="32" t="str">
        <f>IFERROR(__xludf.DUMMYFUNCTION("""COMPUTED_VALUE"""),"Immune")</f>
        <v>Immune</v>
      </c>
      <c r="Z424" s="32"/>
      <c r="AA424" s="32" t="str">
        <f>IFERROR(__xludf.DUMMYFUNCTION("""COMPUTED_VALUE"""),"Immune")</f>
        <v>Immune</v>
      </c>
      <c r="AB424" s="32"/>
      <c r="AC424" s="32"/>
      <c r="AD424" s="32"/>
      <c r="AE424" s="32"/>
      <c r="AF424" s="32"/>
      <c r="AG424" s="32"/>
      <c r="AH424" s="32"/>
      <c r="AI424" s="32"/>
      <c r="AJ424" s="32"/>
      <c r="AK424" s="32"/>
    </row>
    <row r="425">
      <c r="A425" s="32" t="str">
        <f>IFERROR(__xludf.DUMMYFUNCTION("""COMPUTED_VALUE"""),"Ancient Water Dragon")</f>
        <v>Ancient Water Dragon</v>
      </c>
      <c r="B425" s="32" t="str">
        <f>IFERROR(__xludf.DUMMYFUNCTION("""COMPUTED_VALUE"""),"Immune")</f>
        <v>Immune</v>
      </c>
      <c r="C425" s="32" t="str">
        <f>IFERROR(__xludf.DUMMYFUNCTION("""COMPUTED_VALUE"""),"Immune")</f>
        <v>Immune</v>
      </c>
      <c r="D425" s="32"/>
      <c r="E425" s="32"/>
      <c r="F425" s="32"/>
      <c r="G425" s="32"/>
      <c r="H425" s="32"/>
      <c r="I425" s="32"/>
      <c r="J425" s="32"/>
      <c r="K425" s="32"/>
      <c r="L425" s="32"/>
      <c r="M425" s="32"/>
      <c r="N425" s="32"/>
      <c r="O425" s="32"/>
      <c r="P425" s="32"/>
      <c r="Q425" s="32"/>
      <c r="R425" s="32"/>
      <c r="S425" s="32"/>
      <c r="T425" s="32"/>
      <c r="U425" s="32"/>
      <c r="V425" s="32"/>
      <c r="W425" s="32"/>
      <c r="X425" s="32" t="str">
        <f>IFERROR(__xludf.DUMMYFUNCTION("""COMPUTED_VALUE"""),"Immune")</f>
        <v>Immune</v>
      </c>
      <c r="Y425" s="32" t="str">
        <f>IFERROR(__xludf.DUMMYFUNCTION("""COMPUTED_VALUE"""),"Immune")</f>
        <v>Immune</v>
      </c>
      <c r="Z425" s="32"/>
      <c r="AA425" s="32" t="str">
        <f>IFERROR(__xludf.DUMMYFUNCTION("""COMPUTED_VALUE"""),"Immune")</f>
        <v>Immune</v>
      </c>
      <c r="AB425" s="32"/>
      <c r="AC425" s="32"/>
      <c r="AD425" s="32"/>
      <c r="AE425" s="32"/>
      <c r="AF425" s="32"/>
      <c r="AG425" s="32"/>
      <c r="AH425" s="32"/>
      <c r="AI425" s="32"/>
      <c r="AJ425" s="32"/>
      <c r="AK425" s="32"/>
    </row>
    <row r="426">
      <c r="A426" s="32" t="str">
        <f>IFERROR(__xludf.DUMMYFUNCTION("""COMPUTED_VALUE"""),"Ancient Astral Dragon")</f>
        <v>Ancient Astral Dragon</v>
      </c>
      <c r="B426" s="32"/>
      <c r="C426" s="32"/>
      <c r="D426" s="32"/>
      <c r="E426" s="32"/>
      <c r="F426" s="32"/>
      <c r="G426" s="32"/>
      <c r="H426" s="32"/>
      <c r="I426" s="32"/>
      <c r="J426" s="32"/>
      <c r="K426" s="32"/>
      <c r="L426" s="32"/>
      <c r="M426" s="32"/>
      <c r="N426" s="32"/>
      <c r="O426" s="32"/>
      <c r="P426" s="32"/>
      <c r="Q426" s="32"/>
      <c r="R426" s="32"/>
      <c r="S426" s="32"/>
      <c r="T426" s="32"/>
      <c r="U426" s="32"/>
      <c r="V426" s="32" t="str">
        <f>IFERROR(__xludf.DUMMYFUNCTION("""COMPUTED_VALUE"""),"Immune")</f>
        <v>Immune</v>
      </c>
      <c r="W426" s="32"/>
      <c r="X426" s="32" t="str">
        <f>IFERROR(__xludf.DUMMYFUNCTION("""COMPUTED_VALUE"""),"Immune")</f>
        <v>Immune</v>
      </c>
      <c r="Y426" s="32" t="str">
        <f>IFERROR(__xludf.DUMMYFUNCTION("""COMPUTED_VALUE"""),"Immune")</f>
        <v>Immune</v>
      </c>
      <c r="Z426" s="32"/>
      <c r="AA426" s="32" t="str">
        <f>IFERROR(__xludf.DUMMYFUNCTION("""COMPUTED_VALUE"""),"Immune")</f>
        <v>Immune</v>
      </c>
      <c r="AB426" s="32"/>
      <c r="AC426" s="32"/>
      <c r="AD426" s="32"/>
      <c r="AE426" s="32"/>
      <c r="AF426" s="32"/>
      <c r="AG426" s="32"/>
      <c r="AH426" s="32"/>
      <c r="AI426" s="32"/>
      <c r="AJ426" s="32"/>
      <c r="AK426" s="32"/>
    </row>
    <row r="427">
      <c r="A427" s="32" t="str">
        <f>IFERROR(__xludf.DUMMYFUNCTION("""COMPUTED_VALUE"""),"Ancient Celestial Dragon")</f>
        <v>Ancient Celestial Dragon</v>
      </c>
      <c r="B427" s="32"/>
      <c r="C427" s="32"/>
      <c r="D427" s="32"/>
      <c r="E427" s="32"/>
      <c r="F427" s="32"/>
      <c r="G427" s="32"/>
      <c r="H427" s="32"/>
      <c r="I427" s="32"/>
      <c r="J427" s="32"/>
      <c r="K427" s="32"/>
      <c r="L427" s="32"/>
      <c r="M427" s="32"/>
      <c r="N427" s="32"/>
      <c r="O427" s="32"/>
      <c r="P427" s="32"/>
      <c r="Q427" s="32"/>
      <c r="R427" s="32"/>
      <c r="S427" s="32"/>
      <c r="T427" s="32"/>
      <c r="U427" s="32"/>
      <c r="V427" s="32"/>
      <c r="W427" s="32" t="str">
        <f>IFERROR(__xludf.DUMMYFUNCTION("""COMPUTED_VALUE"""),"Immune")</f>
        <v>Immune</v>
      </c>
      <c r="X427" s="32" t="str">
        <f>IFERROR(__xludf.DUMMYFUNCTION("""COMPUTED_VALUE"""),"Immune")</f>
        <v>Immune</v>
      </c>
      <c r="Y427" s="32" t="str">
        <f>IFERROR(__xludf.DUMMYFUNCTION("""COMPUTED_VALUE"""),"Immune")</f>
        <v>Immune</v>
      </c>
      <c r="Z427" s="32"/>
      <c r="AA427" s="32" t="str">
        <f>IFERROR(__xludf.DUMMYFUNCTION("""COMPUTED_VALUE"""),"Immune")</f>
        <v>Immune</v>
      </c>
      <c r="AB427" s="32"/>
      <c r="AC427" s="32"/>
      <c r="AD427" s="32"/>
      <c r="AE427" s="32"/>
      <c r="AF427" s="32"/>
      <c r="AG427" s="32"/>
      <c r="AH427" s="32"/>
      <c r="AI427" s="32"/>
      <c r="AJ427" s="32"/>
      <c r="AK427" s="32"/>
    </row>
    <row r="428">
      <c r="A428" s="32" t="str">
        <f>IFERROR(__xludf.DUMMYFUNCTION("""COMPUTED_VALUE"""),"Ancient Chaos Dragon")</f>
        <v>Ancient Chaos Dragon</v>
      </c>
      <c r="B428" s="32"/>
      <c r="C428" s="32"/>
      <c r="D428" s="32"/>
      <c r="E428" s="32"/>
      <c r="F428" s="32"/>
      <c r="G428" s="32"/>
      <c r="H428" s="32"/>
      <c r="I428" s="32"/>
      <c r="J428" s="32" t="str">
        <f>IFERROR(__xludf.DUMMYFUNCTION("""COMPUTED_VALUE"""),"Immune")</f>
        <v>Immune</v>
      </c>
      <c r="K428" s="32"/>
      <c r="L428" s="32"/>
      <c r="M428" s="32"/>
      <c r="N428" s="32"/>
      <c r="O428" s="32"/>
      <c r="P428" s="32"/>
      <c r="Q428" s="32"/>
      <c r="R428" s="32"/>
      <c r="S428" s="32"/>
      <c r="T428" s="32"/>
      <c r="U428" s="32"/>
      <c r="V428" s="32"/>
      <c r="W428" s="32"/>
      <c r="X428" s="32" t="str">
        <f>IFERROR(__xludf.DUMMYFUNCTION("""COMPUTED_VALUE"""),"Immune")</f>
        <v>Immune</v>
      </c>
      <c r="Y428" s="32" t="str">
        <f>IFERROR(__xludf.DUMMYFUNCTION("""COMPUTED_VALUE"""),"Immune")</f>
        <v>Immune</v>
      </c>
      <c r="Z428" s="32"/>
      <c r="AA428" s="32" t="str">
        <f>IFERROR(__xludf.DUMMYFUNCTION("""COMPUTED_VALUE"""),"Immune")</f>
        <v>Immune</v>
      </c>
      <c r="AB428" s="32"/>
      <c r="AC428" s="32"/>
      <c r="AD428" s="32"/>
      <c r="AE428" s="32"/>
      <c r="AF428" s="32"/>
      <c r="AG428" s="32"/>
      <c r="AH428" s="32"/>
      <c r="AI428" s="32"/>
      <c r="AJ428" s="32"/>
      <c r="AK428" s="32"/>
    </row>
    <row r="429">
      <c r="A429" s="32" t="str">
        <f>IFERROR(__xludf.DUMMYFUNCTION("""COMPUTED_VALUE"""),"Ancient Dark Dragon")</f>
        <v>Ancient Dark Dragon</v>
      </c>
      <c r="B429" s="32"/>
      <c r="C429" s="32"/>
      <c r="D429" s="32"/>
      <c r="E429" s="32"/>
      <c r="F429" s="32"/>
      <c r="G429" s="32" t="str">
        <f>IFERROR(__xludf.DUMMYFUNCTION("""COMPUTED_VALUE"""),"Immune")</f>
        <v>Immune</v>
      </c>
      <c r="H429" s="32"/>
      <c r="I429" s="32"/>
      <c r="J429" s="32"/>
      <c r="K429" s="32"/>
      <c r="L429" s="32"/>
      <c r="M429" s="32"/>
      <c r="N429" s="32"/>
      <c r="O429" s="32"/>
      <c r="P429" s="32"/>
      <c r="Q429" s="32"/>
      <c r="R429" s="32"/>
      <c r="S429" s="32"/>
      <c r="T429" s="32"/>
      <c r="U429" s="32"/>
      <c r="V429" s="32"/>
      <c r="W429" s="32"/>
      <c r="X429" s="32" t="str">
        <f>IFERROR(__xludf.DUMMYFUNCTION("""COMPUTED_VALUE"""),"Immune")</f>
        <v>Immune</v>
      </c>
      <c r="Y429" s="32" t="str">
        <f>IFERROR(__xludf.DUMMYFUNCTION("""COMPUTED_VALUE"""),"Immune")</f>
        <v>Immune</v>
      </c>
      <c r="Z429" s="32"/>
      <c r="AA429" s="32" t="str">
        <f>IFERROR(__xludf.DUMMYFUNCTION("""COMPUTED_VALUE"""),"Immune")</f>
        <v>Immune</v>
      </c>
      <c r="AB429" s="32"/>
      <c r="AC429" s="32"/>
      <c r="AD429" s="32"/>
      <c r="AE429" s="32"/>
      <c r="AF429" s="32"/>
      <c r="AG429" s="32"/>
      <c r="AH429" s="32"/>
      <c r="AI429" s="32"/>
      <c r="AJ429" s="32"/>
      <c r="AK429" s="32"/>
    </row>
    <row r="430">
      <c r="A430" s="32" t="str">
        <f>IFERROR(__xludf.DUMMYFUNCTION("""COMPUTED_VALUE"""),"Ancient Delta Dragon")</f>
        <v>Ancient Delta Dragon</v>
      </c>
      <c r="B430" s="32"/>
      <c r="C430" s="32"/>
      <c r="D430" s="32"/>
      <c r="E430" s="32"/>
      <c r="F430" s="32"/>
      <c r="G430" s="32"/>
      <c r="H430" s="32"/>
      <c r="I430" s="32"/>
      <c r="J430" s="32"/>
      <c r="K430" s="32"/>
      <c r="L430" s="32"/>
      <c r="M430" s="32"/>
      <c r="N430" s="32"/>
      <c r="O430" s="32"/>
      <c r="P430" s="32"/>
      <c r="Q430" s="32"/>
      <c r="R430" s="32"/>
      <c r="S430" s="32"/>
      <c r="T430" s="32"/>
      <c r="U430" s="32"/>
      <c r="V430" s="32"/>
      <c r="W430" s="32"/>
      <c r="X430" s="32" t="str">
        <f>IFERROR(__xludf.DUMMYFUNCTION("""COMPUTED_VALUE"""),"Immune")</f>
        <v>Immune</v>
      </c>
      <c r="Y430" s="32" t="str">
        <f>IFERROR(__xludf.DUMMYFUNCTION("""COMPUTED_VALUE"""),"Immune")</f>
        <v>Immune</v>
      </c>
      <c r="Z430" s="32"/>
      <c r="AA430" s="32" t="str">
        <f>IFERROR(__xludf.DUMMYFUNCTION("""COMPUTED_VALUE"""),"Immune")</f>
        <v>Immune</v>
      </c>
      <c r="AB430" s="32"/>
      <c r="AC430" s="32"/>
      <c r="AD430" s="32"/>
      <c r="AE430" s="32"/>
      <c r="AF430" s="32"/>
      <c r="AG430" s="32"/>
      <c r="AH430" s="32"/>
      <c r="AI430" s="32"/>
      <c r="AJ430" s="32"/>
      <c r="AK430" s="32"/>
    </row>
    <row r="431">
      <c r="A431" s="32" t="str">
        <f>IFERROR(__xludf.DUMMYFUNCTION("""COMPUTED_VALUE"""),"Ancient Forest Dragon")</f>
        <v>Ancient Forest Dragon</v>
      </c>
      <c r="B431" s="32"/>
      <c r="C431" s="32"/>
      <c r="D431" s="32"/>
      <c r="E431" s="32"/>
      <c r="F431" s="32"/>
      <c r="G431" s="32"/>
      <c r="H431" s="32"/>
      <c r="I431" s="32"/>
      <c r="J431" s="32"/>
      <c r="K431" s="32" t="str">
        <f>IFERROR(__xludf.DUMMYFUNCTION("""COMPUTED_VALUE"""),"Immune")</f>
        <v>Immune</v>
      </c>
      <c r="L431" s="32"/>
      <c r="M431" s="32"/>
      <c r="N431" s="32"/>
      <c r="O431" s="32"/>
      <c r="P431" s="32"/>
      <c r="Q431" s="32"/>
      <c r="R431" s="32"/>
      <c r="S431" s="32"/>
      <c r="T431" s="32"/>
      <c r="U431" s="32"/>
      <c r="V431" s="32"/>
      <c r="W431" s="32"/>
      <c r="X431" s="32" t="str">
        <f>IFERROR(__xludf.DUMMYFUNCTION("""COMPUTED_VALUE"""),"Immune")</f>
        <v>Immune</v>
      </c>
      <c r="Y431" s="32" t="str">
        <f>IFERROR(__xludf.DUMMYFUNCTION("""COMPUTED_VALUE"""),"Immune")</f>
        <v>Immune</v>
      </c>
      <c r="Z431" s="32"/>
      <c r="AA431" s="32" t="str">
        <f>IFERROR(__xludf.DUMMYFUNCTION("""COMPUTED_VALUE"""),"Immune")</f>
        <v>Immune</v>
      </c>
      <c r="AB431" s="32"/>
      <c r="AC431" s="32"/>
      <c r="AD431" s="32"/>
      <c r="AE431" s="32"/>
      <c r="AF431" s="32"/>
      <c r="AG431" s="32"/>
      <c r="AH431" s="32"/>
      <c r="AI431" s="32"/>
      <c r="AJ431" s="32"/>
      <c r="AK431" s="32"/>
    </row>
    <row r="432">
      <c r="A432" s="32" t="str">
        <f>IFERROR(__xludf.DUMMYFUNCTION("""COMPUTED_VALUE"""),"Ancient Frost Dragon")</f>
        <v>Ancient Frost Dragon</v>
      </c>
      <c r="B432" s="32"/>
      <c r="C432" s="32" t="str">
        <f>IFERROR(__xludf.DUMMYFUNCTION("""COMPUTED_VALUE"""),"Immune")</f>
        <v>Immune</v>
      </c>
      <c r="D432" s="32"/>
      <c r="E432" s="32"/>
      <c r="F432" s="32"/>
      <c r="G432" s="32"/>
      <c r="H432" s="32"/>
      <c r="I432" s="32"/>
      <c r="J432" s="32"/>
      <c r="K432" s="32"/>
      <c r="L432" s="32"/>
      <c r="M432" s="32"/>
      <c r="N432" s="32"/>
      <c r="O432" s="32"/>
      <c r="P432" s="32"/>
      <c r="Q432" s="32"/>
      <c r="R432" s="32"/>
      <c r="S432" s="32"/>
      <c r="T432" s="32"/>
      <c r="U432" s="32"/>
      <c r="V432" s="32"/>
      <c r="W432" s="32"/>
      <c r="X432" s="32" t="str">
        <f>IFERROR(__xludf.DUMMYFUNCTION("""COMPUTED_VALUE"""),"Immune")</f>
        <v>Immune</v>
      </c>
      <c r="Y432" s="32" t="str">
        <f>IFERROR(__xludf.DUMMYFUNCTION("""COMPUTED_VALUE"""),"Immune")</f>
        <v>Immune</v>
      </c>
      <c r="Z432" s="32"/>
      <c r="AA432" s="32" t="str">
        <f>IFERROR(__xludf.DUMMYFUNCTION("""COMPUTED_VALUE"""),"Immune")</f>
        <v>Immune</v>
      </c>
      <c r="AB432" s="32"/>
      <c r="AC432" s="32"/>
      <c r="AD432" s="32"/>
      <c r="AE432" s="32"/>
      <c r="AF432" s="32"/>
      <c r="AG432" s="32"/>
      <c r="AH432" s="32"/>
      <c r="AI432" s="32"/>
      <c r="AJ432" s="32"/>
      <c r="AK432" s="32"/>
    </row>
    <row r="433">
      <c r="A433" s="32" t="str">
        <f>IFERROR(__xludf.DUMMYFUNCTION("""COMPUTED_VALUE"""),"Ancient Soul Dragon")</f>
        <v>Ancient Soul Dragon</v>
      </c>
      <c r="B433" s="32"/>
      <c r="C433" s="32"/>
      <c r="D433" s="32"/>
      <c r="E433" s="32"/>
      <c r="F433" s="32"/>
      <c r="G433" s="32" t="str">
        <f>IFERROR(__xludf.DUMMYFUNCTION("""COMPUTED_VALUE"""),"Immune")</f>
        <v>Immune</v>
      </c>
      <c r="H433" s="32"/>
      <c r="I433" s="32"/>
      <c r="J433" s="32"/>
      <c r="K433" s="32"/>
      <c r="L433" s="32"/>
      <c r="M433" s="32"/>
      <c r="N433" s="32"/>
      <c r="O433" s="32"/>
      <c r="P433" s="32"/>
      <c r="Q433" s="32"/>
      <c r="R433" s="32"/>
      <c r="S433" s="32"/>
      <c r="T433" s="32"/>
      <c r="U433" s="32"/>
      <c r="V433" s="32"/>
      <c r="W433" s="32"/>
      <c r="X433" s="32" t="str">
        <f>IFERROR(__xludf.DUMMYFUNCTION("""COMPUTED_VALUE"""),"Immune")</f>
        <v>Immune</v>
      </c>
      <c r="Y433" s="32" t="str">
        <f>IFERROR(__xludf.DUMMYFUNCTION("""COMPUTED_VALUE"""),"Immune")</f>
        <v>Immune</v>
      </c>
      <c r="Z433" s="32"/>
      <c r="AA433" s="32" t="str">
        <f>IFERROR(__xludf.DUMMYFUNCTION("""COMPUTED_VALUE"""),"Immune")</f>
        <v>Immune</v>
      </c>
      <c r="AB433" s="32"/>
      <c r="AC433" s="32"/>
      <c r="AD433" s="32"/>
      <c r="AE433" s="32"/>
      <c r="AF433" s="32"/>
      <c r="AG433" s="32"/>
      <c r="AH433" s="32"/>
      <c r="AI433" s="32"/>
      <c r="AJ433" s="32"/>
      <c r="AK433" s="32"/>
    </row>
    <row r="434">
      <c r="A434" s="32" t="str">
        <f>IFERROR(__xludf.DUMMYFUNCTION("""COMPUTED_VALUE"""),"Ancient Spirit Dragon")</f>
        <v>Ancient Spirit Dragon</v>
      </c>
      <c r="B434" s="32"/>
      <c r="C434" s="32"/>
      <c r="D434" s="32"/>
      <c r="E434" s="32"/>
      <c r="F434" s="32"/>
      <c r="G434" s="32" t="str">
        <f>IFERROR(__xludf.DUMMYFUNCTION("""COMPUTED_VALUE"""),"Immune")</f>
        <v>Immune</v>
      </c>
      <c r="H434" s="32"/>
      <c r="I434" s="32"/>
      <c r="J434" s="32"/>
      <c r="K434" s="32"/>
      <c r="L434" s="32"/>
      <c r="M434" s="32"/>
      <c r="N434" s="32"/>
      <c r="O434" s="32"/>
      <c r="P434" s="32"/>
      <c r="Q434" s="32"/>
      <c r="R434" s="32"/>
      <c r="S434" s="32"/>
      <c r="T434" s="32"/>
      <c r="U434" s="32"/>
      <c r="V434" s="32"/>
      <c r="W434" s="32"/>
      <c r="X434" s="32" t="str">
        <f>IFERROR(__xludf.DUMMYFUNCTION("""COMPUTED_VALUE"""),"Immune")</f>
        <v>Immune</v>
      </c>
      <c r="Y434" s="32" t="str">
        <f>IFERROR(__xludf.DUMMYFUNCTION("""COMPUTED_VALUE"""),"Immune")</f>
        <v>Immune</v>
      </c>
      <c r="Z434" s="32"/>
      <c r="AA434" s="32" t="str">
        <f>IFERROR(__xludf.DUMMYFUNCTION("""COMPUTED_VALUE"""),"Immune")</f>
        <v>Immune</v>
      </c>
      <c r="AB434" s="32"/>
      <c r="AC434" s="32"/>
      <c r="AD434" s="32"/>
      <c r="AE434" s="32"/>
      <c r="AF434" s="32"/>
      <c r="AG434" s="32"/>
      <c r="AH434" s="32"/>
      <c r="AI434" s="32"/>
      <c r="AJ434" s="32"/>
      <c r="AK434" s="32"/>
    </row>
    <row r="435">
      <c r="A435" s="32" t="str">
        <f>IFERROR(__xludf.DUMMYFUNCTION("""COMPUTED_VALUE"""),"Ancient Stone Dragon")</f>
        <v>Ancient Stone Dragon</v>
      </c>
      <c r="B435" s="32"/>
      <c r="C435" s="32"/>
      <c r="D435" s="32"/>
      <c r="E435" s="32" t="str">
        <f>IFERROR(__xludf.DUMMYFUNCTION("""COMPUTED_VALUE"""),"Immune")</f>
        <v>Immune</v>
      </c>
      <c r="F435" s="32"/>
      <c r="G435" s="32"/>
      <c r="H435" s="32"/>
      <c r="I435" s="32"/>
      <c r="J435" s="32"/>
      <c r="K435" s="32"/>
      <c r="L435" s="32"/>
      <c r="M435" s="32"/>
      <c r="N435" s="32"/>
      <c r="O435" s="32"/>
      <c r="P435" s="32"/>
      <c r="Q435" s="32"/>
      <c r="R435" s="32"/>
      <c r="S435" s="32"/>
      <c r="T435" s="32"/>
      <c r="U435" s="32"/>
      <c r="V435" s="32"/>
      <c r="W435" s="32"/>
      <c r="X435" s="32" t="str">
        <f>IFERROR(__xludf.DUMMYFUNCTION("""COMPUTED_VALUE"""),"Immune")</f>
        <v>Immune</v>
      </c>
      <c r="Y435" s="32" t="str">
        <f>IFERROR(__xludf.DUMMYFUNCTION("""COMPUTED_VALUE"""),"Immune")</f>
        <v>Immune</v>
      </c>
      <c r="Z435" s="32"/>
      <c r="AA435" s="32" t="str">
        <f>IFERROR(__xludf.DUMMYFUNCTION("""COMPUTED_VALUE"""),"Immune")</f>
        <v>Immune</v>
      </c>
      <c r="AB435" s="32"/>
      <c r="AC435" s="32"/>
      <c r="AD435" s="32"/>
      <c r="AE435" s="32"/>
      <c r="AF435" s="32"/>
      <c r="AG435" s="32"/>
      <c r="AH435" s="32"/>
      <c r="AI435" s="32"/>
      <c r="AJ435" s="32"/>
      <c r="AK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row>
    <row r="437">
      <c r="A437" s="32" t="str">
        <f>IFERROR(__xludf.DUMMYFUNCTION("""COMPUTED_VALUE"""),"Ancient Fire Dragon")</f>
        <v>Ancient Fire Dragon</v>
      </c>
      <c r="B437" s="32" t="str">
        <f>IFERROR(__xludf.DUMMYFUNCTION("""COMPUTED_VALUE"""),"Immune")</f>
        <v>Immune</v>
      </c>
      <c r="C437" s="32"/>
      <c r="D437" s="32"/>
      <c r="E437" s="32"/>
      <c r="F437" s="32"/>
      <c r="G437" s="32"/>
      <c r="H437" s="32"/>
      <c r="I437" s="32"/>
      <c r="J437" s="32"/>
      <c r="K437" s="32" t="str">
        <f>IFERROR(__xludf.DUMMYFUNCTION("""COMPUTED_VALUE"""),"Immune")</f>
        <v>Immune</v>
      </c>
      <c r="L437" s="32"/>
      <c r="M437" s="32"/>
      <c r="N437" s="32"/>
      <c r="O437" s="32"/>
      <c r="P437" s="32"/>
      <c r="Q437" s="32"/>
      <c r="R437" s="32"/>
      <c r="S437" s="32"/>
      <c r="T437" s="32"/>
      <c r="U437" s="32"/>
      <c r="V437" s="32"/>
      <c r="W437" s="32"/>
      <c r="X437" s="32" t="str">
        <f>IFERROR(__xludf.DUMMYFUNCTION("""COMPUTED_VALUE"""),"Immune")</f>
        <v>Immune</v>
      </c>
      <c r="Y437" s="32" t="str">
        <f>IFERROR(__xludf.DUMMYFUNCTION("""COMPUTED_VALUE"""),"Immune")</f>
        <v>Immune</v>
      </c>
      <c r="Z437" s="32"/>
      <c r="AA437" s="32" t="str">
        <f>IFERROR(__xludf.DUMMYFUNCTION("""COMPUTED_VALUE"""),"Immune")</f>
        <v>Immune</v>
      </c>
      <c r="AB437" s="32"/>
      <c r="AC437" s="32"/>
      <c r="AD437" s="32"/>
      <c r="AE437" s="32"/>
      <c r="AF437" s="32"/>
      <c r="AG437" s="32"/>
      <c r="AH437" s="32"/>
      <c r="AI437" s="32"/>
      <c r="AJ437" s="32"/>
      <c r="AK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row>
    <row r="439">
      <c r="A439" s="32" t="str">
        <f>IFERROR(__xludf.DUMMYFUNCTION("""COMPUTED_VALUE"""),"Ancient Undead Dragon")</f>
        <v>Ancient Undead Dragon</v>
      </c>
      <c r="B439" s="32"/>
      <c r="C439" s="32"/>
      <c r="D439" s="32"/>
      <c r="E439" s="32"/>
      <c r="F439" s="32"/>
      <c r="G439" s="32" t="str">
        <f>IFERROR(__xludf.DUMMYFUNCTION("""COMPUTED_VALUE"""),"Immune")</f>
        <v>Immune</v>
      </c>
      <c r="H439" s="32"/>
      <c r="I439" s="32"/>
      <c r="J439" s="32"/>
      <c r="K439" s="32"/>
      <c r="L439" s="32"/>
      <c r="M439" s="32"/>
      <c r="N439" s="32"/>
      <c r="O439" s="32"/>
      <c r="P439" s="32"/>
      <c r="Q439" s="32"/>
      <c r="R439" s="32"/>
      <c r="S439" s="32"/>
      <c r="T439" s="32"/>
      <c r="U439" s="32"/>
      <c r="V439" s="32"/>
      <c r="W439" s="32"/>
      <c r="X439" s="32" t="str">
        <f>IFERROR(__xludf.DUMMYFUNCTION("""COMPUTED_VALUE"""),"Immune")</f>
        <v>Immune</v>
      </c>
      <c r="Y439" s="32" t="str">
        <f>IFERROR(__xludf.DUMMYFUNCTION("""COMPUTED_VALUE"""),"Immune")</f>
        <v>Immune</v>
      </c>
      <c r="Z439" s="32"/>
      <c r="AA439" s="32" t="str">
        <f>IFERROR(__xludf.DUMMYFUNCTION("""COMPUTED_VALUE"""),"Immune")</f>
        <v>Immune</v>
      </c>
      <c r="AB439" s="32"/>
      <c r="AC439" s="32"/>
      <c r="AD439" s="32"/>
      <c r="AE439" s="32"/>
      <c r="AF439" s="32"/>
      <c r="AG439" s="32"/>
      <c r="AH439" s="32"/>
      <c r="AI439" s="32"/>
      <c r="AJ439" s="32"/>
      <c r="AK439" s="32"/>
    </row>
    <row r="440">
      <c r="A440" s="32" t="str">
        <f>IFERROR(__xludf.DUMMYFUNCTION("""COMPUTED_VALUE"""),"Ancient Crystal Dragon")</f>
        <v>Ancient Crystal Dragon</v>
      </c>
      <c r="B440" s="32"/>
      <c r="C440" s="32"/>
      <c r="D440" s="32"/>
      <c r="E440" s="32">
        <f>IFERROR(__xludf.DUMMYFUNCTION("""COMPUTED_VALUE"""),100.0)</f>
        <v>100</v>
      </c>
      <c r="F440" s="32"/>
      <c r="G440" s="32"/>
      <c r="H440" s="32"/>
      <c r="I440" s="32"/>
      <c r="J440" s="32"/>
      <c r="K440" s="32"/>
      <c r="L440" s="32"/>
      <c r="M440" s="32"/>
      <c r="N440" s="32"/>
      <c r="O440" s="32"/>
      <c r="P440" s="32"/>
      <c r="Q440" s="32"/>
      <c r="R440" s="32"/>
      <c r="S440" s="32"/>
      <c r="T440" s="32"/>
      <c r="U440" s="32"/>
      <c r="V440" s="32"/>
      <c r="W440" s="32"/>
      <c r="X440" s="32" t="str">
        <f>IFERROR(__xludf.DUMMYFUNCTION("""COMPUTED_VALUE"""),"Immune")</f>
        <v>Immune</v>
      </c>
      <c r="Y440" s="32" t="str">
        <f>IFERROR(__xludf.DUMMYFUNCTION("""COMPUTED_VALUE"""),"Immune")</f>
        <v>Immune</v>
      </c>
      <c r="Z440" s="32"/>
      <c r="AA440" s="32" t="str">
        <f>IFERROR(__xludf.DUMMYFUNCTION("""COMPUTED_VALUE"""),"Immune")</f>
        <v>Immune</v>
      </c>
      <c r="AB440" s="32"/>
      <c r="AC440" s="32"/>
      <c r="AD440" s="32"/>
      <c r="AE440" s="32"/>
      <c r="AF440" s="32"/>
      <c r="AG440" s="32"/>
      <c r="AH440" s="32"/>
      <c r="AI440" s="32"/>
      <c r="AJ440" s="32"/>
      <c r="AK440" s="32"/>
    </row>
    <row r="441">
      <c r="A441" s="32" t="str">
        <f>IFERROR(__xludf.DUMMYFUNCTION("""COMPUTED_VALUE"""),"Divine Acid Dragon")</f>
        <v>Divine Acid Dragon</v>
      </c>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row>
    <row r="442">
      <c r="A442" s="32" t="str">
        <f>IFERROR(__xludf.DUMMYFUNCTION("""COMPUTED_VALUE"""),"Divine Water Dragon")</f>
        <v>Divine Water Dragon</v>
      </c>
      <c r="B442" s="32" t="str">
        <f>IFERROR(__xludf.DUMMYFUNCTION("""COMPUTED_VALUE"""),"Immune")</f>
        <v>Immune</v>
      </c>
      <c r="C442" s="32" t="str">
        <f>IFERROR(__xludf.DUMMYFUNCTION("""COMPUTED_VALUE"""),"Immune")</f>
        <v>Immune</v>
      </c>
      <c r="D442" s="32"/>
      <c r="E442" s="32"/>
      <c r="F442" s="32"/>
      <c r="G442" s="32"/>
      <c r="H442" s="32"/>
      <c r="I442" s="32"/>
      <c r="J442" s="32"/>
      <c r="K442" s="32"/>
      <c r="L442" s="32"/>
      <c r="M442" s="32"/>
      <c r="N442" s="32"/>
      <c r="O442" s="32"/>
      <c r="P442" s="32"/>
      <c r="Q442" s="32"/>
      <c r="R442" s="32"/>
      <c r="S442" s="32"/>
      <c r="T442" s="32"/>
      <c r="U442" s="32"/>
      <c r="V442" s="32"/>
      <c r="W442" s="32"/>
      <c r="X442" s="32" t="str">
        <f>IFERROR(__xludf.DUMMYFUNCTION("""COMPUTED_VALUE"""),"Immune")</f>
        <v>Immune</v>
      </c>
      <c r="Y442" s="32" t="str">
        <f>IFERROR(__xludf.DUMMYFUNCTION("""COMPUTED_VALUE"""),"Immune")</f>
        <v>Immune</v>
      </c>
      <c r="Z442" s="32"/>
      <c r="AA442" s="32" t="str">
        <f>IFERROR(__xludf.DUMMYFUNCTION("""COMPUTED_VALUE"""),"Immune")</f>
        <v>Immune</v>
      </c>
      <c r="AB442" s="32"/>
      <c r="AC442" s="32"/>
      <c r="AD442" s="32"/>
      <c r="AE442" s="32"/>
      <c r="AF442" s="32"/>
      <c r="AG442" s="32"/>
      <c r="AH442" s="32"/>
      <c r="AI442" s="32"/>
      <c r="AJ442" s="32"/>
      <c r="AK442" s="32"/>
    </row>
    <row r="443">
      <c r="A443" s="32" t="str">
        <f>IFERROR(__xludf.DUMMYFUNCTION("""COMPUTED_VALUE"""),"Divine Astral Dragon")</f>
        <v>Divine Astral Dragon</v>
      </c>
      <c r="B443" s="32"/>
      <c r="C443" s="32"/>
      <c r="D443" s="32"/>
      <c r="E443" s="32"/>
      <c r="F443" s="32"/>
      <c r="G443" s="32"/>
      <c r="H443" s="32"/>
      <c r="I443" s="32"/>
      <c r="J443" s="32"/>
      <c r="K443" s="32"/>
      <c r="L443" s="32"/>
      <c r="M443" s="32"/>
      <c r="N443" s="32"/>
      <c r="O443" s="32"/>
      <c r="P443" s="32"/>
      <c r="Q443" s="32"/>
      <c r="R443" s="32"/>
      <c r="S443" s="32"/>
      <c r="T443" s="32"/>
      <c r="U443" s="32"/>
      <c r="V443" s="32" t="str">
        <f>IFERROR(__xludf.DUMMYFUNCTION("""COMPUTED_VALUE"""),"Immune")</f>
        <v>Immune</v>
      </c>
      <c r="W443" s="32"/>
      <c r="X443" s="32" t="str">
        <f>IFERROR(__xludf.DUMMYFUNCTION("""COMPUTED_VALUE"""),"Immune")</f>
        <v>Immune</v>
      </c>
      <c r="Y443" s="32" t="str">
        <f>IFERROR(__xludf.DUMMYFUNCTION("""COMPUTED_VALUE"""),"Immune")</f>
        <v>Immune</v>
      </c>
      <c r="Z443" s="32"/>
      <c r="AA443" s="32" t="str">
        <f>IFERROR(__xludf.DUMMYFUNCTION("""COMPUTED_VALUE"""),"Immune")</f>
        <v>Immune</v>
      </c>
      <c r="AB443" s="32"/>
      <c r="AC443" s="32"/>
      <c r="AD443" s="32"/>
      <c r="AE443" s="32"/>
      <c r="AF443" s="32"/>
      <c r="AG443" s="32"/>
      <c r="AH443" s="32"/>
      <c r="AI443" s="32"/>
      <c r="AJ443" s="32"/>
      <c r="AK443" s="32"/>
    </row>
    <row r="444">
      <c r="A444" s="32" t="str">
        <f>IFERROR(__xludf.DUMMYFUNCTION("""COMPUTED_VALUE"""),"Divine Celestial Dragon")</f>
        <v>Divine Celestial Dragon</v>
      </c>
      <c r="B444" s="32"/>
      <c r="C444" s="32"/>
      <c r="D444" s="32"/>
      <c r="E444" s="32"/>
      <c r="F444" s="32"/>
      <c r="G444" s="32"/>
      <c r="H444" s="32"/>
      <c r="I444" s="32"/>
      <c r="J444" s="32"/>
      <c r="K444" s="32"/>
      <c r="L444" s="32"/>
      <c r="M444" s="32"/>
      <c r="N444" s="32"/>
      <c r="O444" s="32"/>
      <c r="P444" s="32"/>
      <c r="Q444" s="32"/>
      <c r="R444" s="32"/>
      <c r="S444" s="32"/>
      <c r="T444" s="32"/>
      <c r="U444" s="32"/>
      <c r="V444" s="32"/>
      <c r="W444" s="32" t="str">
        <f>IFERROR(__xludf.DUMMYFUNCTION("""COMPUTED_VALUE"""),"Immune")</f>
        <v>Immune</v>
      </c>
      <c r="X444" s="32" t="str">
        <f>IFERROR(__xludf.DUMMYFUNCTION("""COMPUTED_VALUE"""),"Immune")</f>
        <v>Immune</v>
      </c>
      <c r="Y444" s="32" t="str">
        <f>IFERROR(__xludf.DUMMYFUNCTION("""COMPUTED_VALUE"""),"Immune")</f>
        <v>Immune</v>
      </c>
      <c r="Z444" s="32"/>
      <c r="AA444" s="32" t="str">
        <f>IFERROR(__xludf.DUMMYFUNCTION("""COMPUTED_VALUE"""),"Immune")</f>
        <v>Immune</v>
      </c>
      <c r="AB444" s="32"/>
      <c r="AC444" s="32"/>
      <c r="AD444" s="32"/>
      <c r="AE444" s="32"/>
      <c r="AF444" s="32"/>
      <c r="AG444" s="32"/>
      <c r="AH444" s="32"/>
      <c r="AI444" s="32"/>
      <c r="AJ444" s="32"/>
      <c r="AK444" s="32"/>
    </row>
    <row r="445">
      <c r="A445" s="32" t="str">
        <f>IFERROR(__xludf.DUMMYFUNCTION("""COMPUTED_VALUE"""),"Divine Chaos Dragon")</f>
        <v>Divine Chaos Dragon</v>
      </c>
      <c r="B445" s="32"/>
      <c r="C445" s="32"/>
      <c r="D445" s="32"/>
      <c r="E445" s="32"/>
      <c r="F445" s="32"/>
      <c r="G445" s="32"/>
      <c r="H445" s="32"/>
      <c r="I445" s="32"/>
      <c r="J445" s="32" t="str">
        <f>IFERROR(__xludf.DUMMYFUNCTION("""COMPUTED_VALUE"""),"Immune")</f>
        <v>Immune</v>
      </c>
      <c r="K445" s="32"/>
      <c r="L445" s="32"/>
      <c r="M445" s="32"/>
      <c r="N445" s="32"/>
      <c r="O445" s="32"/>
      <c r="P445" s="32"/>
      <c r="Q445" s="32"/>
      <c r="R445" s="32"/>
      <c r="S445" s="32"/>
      <c r="T445" s="32"/>
      <c r="U445" s="32"/>
      <c r="V445" s="32"/>
      <c r="W445" s="32"/>
      <c r="X445" s="32" t="str">
        <f>IFERROR(__xludf.DUMMYFUNCTION("""COMPUTED_VALUE"""),"Immune")</f>
        <v>Immune</v>
      </c>
      <c r="Y445" s="32" t="str">
        <f>IFERROR(__xludf.DUMMYFUNCTION("""COMPUTED_VALUE"""),"Immune")</f>
        <v>Immune</v>
      </c>
      <c r="Z445" s="32"/>
      <c r="AA445" s="32" t="str">
        <f>IFERROR(__xludf.DUMMYFUNCTION("""COMPUTED_VALUE"""),"Immune")</f>
        <v>Immune</v>
      </c>
      <c r="AB445" s="32"/>
      <c r="AC445" s="32"/>
      <c r="AD445" s="32"/>
      <c r="AE445" s="32"/>
      <c r="AF445" s="32"/>
      <c r="AG445" s="32"/>
      <c r="AH445" s="32"/>
      <c r="AI445" s="32"/>
      <c r="AJ445" s="32"/>
      <c r="AK445" s="32"/>
    </row>
    <row r="446">
      <c r="A446" s="32" t="str">
        <f>IFERROR(__xludf.DUMMYFUNCTION("""COMPUTED_VALUE"""),"Divine Dark Dragon")</f>
        <v>Divine Dark Dragon</v>
      </c>
      <c r="B446" s="32"/>
      <c r="C446" s="32"/>
      <c r="D446" s="32"/>
      <c r="E446" s="32"/>
      <c r="F446" s="32"/>
      <c r="G446" s="32" t="str">
        <f>IFERROR(__xludf.DUMMYFUNCTION("""COMPUTED_VALUE"""),"Immune")</f>
        <v>Immune</v>
      </c>
      <c r="H446" s="32"/>
      <c r="I446" s="32"/>
      <c r="J446" s="32"/>
      <c r="K446" s="32"/>
      <c r="L446" s="32"/>
      <c r="M446" s="32"/>
      <c r="N446" s="32"/>
      <c r="O446" s="32"/>
      <c r="P446" s="32"/>
      <c r="Q446" s="32"/>
      <c r="R446" s="32"/>
      <c r="S446" s="32"/>
      <c r="T446" s="32"/>
      <c r="U446" s="32"/>
      <c r="V446" s="32"/>
      <c r="W446" s="32"/>
      <c r="X446" s="32" t="str">
        <f>IFERROR(__xludf.DUMMYFUNCTION("""COMPUTED_VALUE"""),"Immune")</f>
        <v>Immune</v>
      </c>
      <c r="Y446" s="32" t="str">
        <f>IFERROR(__xludf.DUMMYFUNCTION("""COMPUTED_VALUE"""),"Immune")</f>
        <v>Immune</v>
      </c>
      <c r="Z446" s="32"/>
      <c r="AA446" s="32" t="str">
        <f>IFERROR(__xludf.DUMMYFUNCTION("""COMPUTED_VALUE"""),"Immune")</f>
        <v>Immune</v>
      </c>
      <c r="AB446" s="32"/>
      <c r="AC446" s="32"/>
      <c r="AD446" s="32"/>
      <c r="AE446" s="32"/>
      <c r="AF446" s="32"/>
      <c r="AG446" s="32"/>
      <c r="AH446" s="32"/>
      <c r="AI446" s="32"/>
      <c r="AJ446" s="32"/>
      <c r="AK446" s="32"/>
    </row>
    <row r="447">
      <c r="A447" s="32" t="str">
        <f>IFERROR(__xludf.DUMMYFUNCTION("""COMPUTED_VALUE"""),"Divine Delta Dragon")</f>
        <v>Divine Delta Dragon</v>
      </c>
      <c r="B447" s="32"/>
      <c r="C447" s="32"/>
      <c r="D447" s="32"/>
      <c r="E447" s="32"/>
      <c r="F447" s="32"/>
      <c r="G447" s="32"/>
      <c r="H447" s="32"/>
      <c r="I447" s="32"/>
      <c r="J447" s="32"/>
      <c r="K447" s="32"/>
      <c r="L447" s="32"/>
      <c r="M447" s="32"/>
      <c r="N447" s="32"/>
      <c r="O447" s="32"/>
      <c r="P447" s="32"/>
      <c r="Q447" s="32"/>
      <c r="R447" s="32"/>
      <c r="S447" s="32"/>
      <c r="T447" s="32"/>
      <c r="U447" s="32"/>
      <c r="V447" s="32"/>
      <c r="W447" s="32"/>
      <c r="X447" s="32" t="str">
        <f>IFERROR(__xludf.DUMMYFUNCTION("""COMPUTED_VALUE"""),"Immune")</f>
        <v>Immune</v>
      </c>
      <c r="Y447" s="32" t="str">
        <f>IFERROR(__xludf.DUMMYFUNCTION("""COMPUTED_VALUE"""),"Immune")</f>
        <v>Immune</v>
      </c>
      <c r="Z447" s="32"/>
      <c r="AA447" s="32" t="str">
        <f>IFERROR(__xludf.DUMMYFUNCTION("""COMPUTED_VALUE"""),"Immune")</f>
        <v>Immune</v>
      </c>
      <c r="AB447" s="32"/>
      <c r="AC447" s="32"/>
      <c r="AD447" s="32"/>
      <c r="AE447" s="32"/>
      <c r="AF447" s="32"/>
      <c r="AG447" s="32"/>
      <c r="AH447" s="32"/>
      <c r="AI447" s="32"/>
      <c r="AJ447" s="32"/>
      <c r="AK447" s="32"/>
    </row>
    <row r="448">
      <c r="A448" s="32" t="str">
        <f>IFERROR(__xludf.DUMMYFUNCTION("""COMPUTED_VALUE"""),"Divine Forest Dragon")</f>
        <v>Divine Forest Dragon</v>
      </c>
      <c r="B448" s="32"/>
      <c r="C448" s="32"/>
      <c r="D448" s="32"/>
      <c r="E448" s="32"/>
      <c r="F448" s="32"/>
      <c r="G448" s="32"/>
      <c r="H448" s="32"/>
      <c r="I448" s="32"/>
      <c r="J448" s="32"/>
      <c r="K448" s="32" t="str">
        <f>IFERROR(__xludf.DUMMYFUNCTION("""COMPUTED_VALUE"""),"Immune")</f>
        <v>Immune</v>
      </c>
      <c r="L448" s="32"/>
      <c r="M448" s="32"/>
      <c r="N448" s="32"/>
      <c r="O448" s="32"/>
      <c r="P448" s="32"/>
      <c r="Q448" s="32"/>
      <c r="R448" s="32"/>
      <c r="S448" s="32"/>
      <c r="T448" s="32"/>
      <c r="U448" s="32"/>
      <c r="V448" s="32"/>
      <c r="W448" s="32"/>
      <c r="X448" s="32" t="str">
        <f>IFERROR(__xludf.DUMMYFUNCTION("""COMPUTED_VALUE"""),"Immune")</f>
        <v>Immune</v>
      </c>
      <c r="Y448" s="32" t="str">
        <f>IFERROR(__xludf.DUMMYFUNCTION("""COMPUTED_VALUE"""),"Immune")</f>
        <v>Immune</v>
      </c>
      <c r="Z448" s="32"/>
      <c r="AA448" s="32" t="str">
        <f>IFERROR(__xludf.DUMMYFUNCTION("""COMPUTED_VALUE"""),"Immune")</f>
        <v>Immune</v>
      </c>
      <c r="AB448" s="32"/>
      <c r="AC448" s="32"/>
      <c r="AD448" s="32"/>
      <c r="AE448" s="32"/>
      <c r="AF448" s="32"/>
      <c r="AG448" s="32"/>
      <c r="AH448" s="32"/>
      <c r="AI448" s="32"/>
      <c r="AJ448" s="32"/>
      <c r="AK448" s="32"/>
    </row>
    <row r="449">
      <c r="A449" s="32" t="str">
        <f>IFERROR(__xludf.DUMMYFUNCTION("""COMPUTED_VALUE"""),"Divine Frost Dragon")</f>
        <v>Divine Frost Dragon</v>
      </c>
      <c r="B449" s="32"/>
      <c r="C449" s="32" t="str">
        <f>IFERROR(__xludf.DUMMYFUNCTION("""COMPUTED_VALUE"""),"Immune")</f>
        <v>Immune</v>
      </c>
      <c r="D449" s="32"/>
      <c r="E449" s="32"/>
      <c r="F449" s="32"/>
      <c r="G449" s="32"/>
      <c r="H449" s="32"/>
      <c r="I449" s="32"/>
      <c r="J449" s="32"/>
      <c r="K449" s="32"/>
      <c r="L449" s="32"/>
      <c r="M449" s="32"/>
      <c r="N449" s="32"/>
      <c r="O449" s="32"/>
      <c r="P449" s="32"/>
      <c r="Q449" s="32"/>
      <c r="R449" s="32"/>
      <c r="S449" s="32"/>
      <c r="T449" s="32"/>
      <c r="U449" s="32"/>
      <c r="V449" s="32"/>
      <c r="W449" s="32"/>
      <c r="X449" s="32" t="str">
        <f>IFERROR(__xludf.DUMMYFUNCTION("""COMPUTED_VALUE"""),"Immune")</f>
        <v>Immune</v>
      </c>
      <c r="Y449" s="32" t="str">
        <f>IFERROR(__xludf.DUMMYFUNCTION("""COMPUTED_VALUE"""),"Immune")</f>
        <v>Immune</v>
      </c>
      <c r="Z449" s="32"/>
      <c r="AA449" s="32" t="str">
        <f>IFERROR(__xludf.DUMMYFUNCTION("""COMPUTED_VALUE"""),"Immune")</f>
        <v>Immune</v>
      </c>
      <c r="AB449" s="32"/>
      <c r="AC449" s="32"/>
      <c r="AD449" s="32"/>
      <c r="AE449" s="32"/>
      <c r="AF449" s="32"/>
      <c r="AG449" s="32"/>
      <c r="AH449" s="32"/>
      <c r="AI449" s="32"/>
      <c r="AJ449" s="32"/>
      <c r="AK449" s="32"/>
    </row>
    <row r="450">
      <c r="A450" s="32" t="str">
        <f>IFERROR(__xludf.DUMMYFUNCTION("""COMPUTED_VALUE"""),"Divine Soul Dragon")</f>
        <v>Divine Soul Dragon</v>
      </c>
      <c r="B450" s="32"/>
      <c r="C450" s="32"/>
      <c r="D450" s="32"/>
      <c r="E450" s="32"/>
      <c r="F450" s="32"/>
      <c r="G450" s="32" t="str">
        <f>IFERROR(__xludf.DUMMYFUNCTION("""COMPUTED_VALUE"""),"Immune")</f>
        <v>Immune</v>
      </c>
      <c r="H450" s="32"/>
      <c r="I450" s="32"/>
      <c r="J450" s="32"/>
      <c r="K450" s="32"/>
      <c r="L450" s="32"/>
      <c r="M450" s="32"/>
      <c r="N450" s="32"/>
      <c r="O450" s="32"/>
      <c r="P450" s="32"/>
      <c r="Q450" s="32"/>
      <c r="R450" s="32"/>
      <c r="S450" s="32"/>
      <c r="T450" s="32"/>
      <c r="U450" s="32"/>
      <c r="V450" s="32"/>
      <c r="W450" s="32"/>
      <c r="X450" s="32" t="str">
        <f>IFERROR(__xludf.DUMMYFUNCTION("""COMPUTED_VALUE"""),"Immune")</f>
        <v>Immune</v>
      </c>
      <c r="Y450" s="32" t="str">
        <f>IFERROR(__xludf.DUMMYFUNCTION("""COMPUTED_VALUE"""),"Immune")</f>
        <v>Immune</v>
      </c>
      <c r="Z450" s="32"/>
      <c r="AA450" s="32" t="str">
        <f>IFERROR(__xludf.DUMMYFUNCTION("""COMPUTED_VALUE"""),"Immune")</f>
        <v>Immune</v>
      </c>
      <c r="AB450" s="32"/>
      <c r="AC450" s="32"/>
      <c r="AD450" s="32"/>
      <c r="AE450" s="32"/>
      <c r="AF450" s="32"/>
      <c r="AG450" s="32"/>
      <c r="AH450" s="32"/>
      <c r="AI450" s="32"/>
      <c r="AJ450" s="32"/>
      <c r="AK450" s="32"/>
    </row>
    <row r="451">
      <c r="A451" s="32" t="str">
        <f>IFERROR(__xludf.DUMMYFUNCTION("""COMPUTED_VALUE"""),"Divine Spirit Dragon")</f>
        <v>Divine Spirit Dragon</v>
      </c>
      <c r="B451" s="32"/>
      <c r="C451" s="32"/>
      <c r="D451" s="32"/>
      <c r="E451" s="32"/>
      <c r="F451" s="32"/>
      <c r="G451" s="32" t="str">
        <f>IFERROR(__xludf.DUMMYFUNCTION("""COMPUTED_VALUE"""),"Immune")</f>
        <v>Immune</v>
      </c>
      <c r="H451" s="32"/>
      <c r="I451" s="32"/>
      <c r="J451" s="32"/>
      <c r="K451" s="32"/>
      <c r="L451" s="32"/>
      <c r="M451" s="32"/>
      <c r="N451" s="32"/>
      <c r="O451" s="32"/>
      <c r="P451" s="32"/>
      <c r="Q451" s="32"/>
      <c r="R451" s="32"/>
      <c r="S451" s="32"/>
      <c r="T451" s="32"/>
      <c r="U451" s="32"/>
      <c r="V451" s="32"/>
      <c r="W451" s="32"/>
      <c r="X451" s="32" t="str">
        <f>IFERROR(__xludf.DUMMYFUNCTION("""COMPUTED_VALUE"""),"Immune")</f>
        <v>Immune</v>
      </c>
      <c r="Y451" s="32" t="str">
        <f>IFERROR(__xludf.DUMMYFUNCTION("""COMPUTED_VALUE"""),"Immune")</f>
        <v>Immune</v>
      </c>
      <c r="Z451" s="32"/>
      <c r="AA451" s="32" t="str">
        <f>IFERROR(__xludf.DUMMYFUNCTION("""COMPUTED_VALUE"""),"Immune")</f>
        <v>Immune</v>
      </c>
      <c r="AB451" s="32"/>
      <c r="AC451" s="32"/>
      <c r="AD451" s="32"/>
      <c r="AE451" s="32"/>
      <c r="AF451" s="32"/>
      <c r="AG451" s="32"/>
      <c r="AH451" s="32"/>
      <c r="AI451" s="32"/>
      <c r="AJ451" s="32"/>
      <c r="AK451" s="32"/>
    </row>
    <row r="452">
      <c r="A452" s="32" t="str">
        <f>IFERROR(__xludf.DUMMYFUNCTION("""COMPUTED_VALUE"""),"Divine Stone Dragon")</f>
        <v>Divine Stone Dragon</v>
      </c>
      <c r="B452" s="32"/>
      <c r="C452" s="32"/>
      <c r="D452" s="32"/>
      <c r="E452" s="32" t="str">
        <f>IFERROR(__xludf.DUMMYFUNCTION("""COMPUTED_VALUE"""),"Immune")</f>
        <v>Immune</v>
      </c>
      <c r="F452" s="32"/>
      <c r="G452" s="32"/>
      <c r="H452" s="32"/>
      <c r="I452" s="32"/>
      <c r="J452" s="32"/>
      <c r="K452" s="32"/>
      <c r="L452" s="32"/>
      <c r="M452" s="32"/>
      <c r="N452" s="32"/>
      <c r="O452" s="32"/>
      <c r="P452" s="32"/>
      <c r="Q452" s="32"/>
      <c r="R452" s="32"/>
      <c r="S452" s="32"/>
      <c r="T452" s="32"/>
      <c r="U452" s="32"/>
      <c r="V452" s="32"/>
      <c r="W452" s="32"/>
      <c r="X452" s="32" t="str">
        <f>IFERROR(__xludf.DUMMYFUNCTION("""COMPUTED_VALUE"""),"Immune")</f>
        <v>Immune</v>
      </c>
      <c r="Y452" s="32" t="str">
        <f>IFERROR(__xludf.DUMMYFUNCTION("""COMPUTED_VALUE"""),"Immune")</f>
        <v>Immune</v>
      </c>
      <c r="Z452" s="32"/>
      <c r="AA452" s="32" t="str">
        <f>IFERROR(__xludf.DUMMYFUNCTION("""COMPUTED_VALUE"""),"Immune")</f>
        <v>Immune</v>
      </c>
      <c r="AB452" s="32"/>
      <c r="AC452" s="32"/>
      <c r="AD452" s="32"/>
      <c r="AE452" s="32"/>
      <c r="AF452" s="32"/>
      <c r="AG452" s="32"/>
      <c r="AH452" s="32"/>
      <c r="AI452" s="32"/>
      <c r="AJ452" s="32"/>
      <c r="AK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row>
    <row r="454">
      <c r="A454" s="32" t="str">
        <f>IFERROR(__xludf.DUMMYFUNCTION("""COMPUTED_VALUE"""),"Divine Fire Dragon")</f>
        <v>Divine Fire Dragon</v>
      </c>
      <c r="B454" s="32" t="str">
        <f>IFERROR(__xludf.DUMMYFUNCTION("""COMPUTED_VALUE"""),"Immune")</f>
        <v>Immune</v>
      </c>
      <c r="C454" s="32"/>
      <c r="D454" s="32"/>
      <c r="E454" s="32"/>
      <c r="F454" s="32"/>
      <c r="G454" s="32"/>
      <c r="H454" s="32"/>
      <c r="I454" s="32"/>
      <c r="J454" s="32"/>
      <c r="K454" s="32" t="str">
        <f>IFERROR(__xludf.DUMMYFUNCTION("""COMPUTED_VALUE"""),"Immune")</f>
        <v>Immune</v>
      </c>
      <c r="L454" s="32"/>
      <c r="M454" s="32"/>
      <c r="N454" s="32"/>
      <c r="O454" s="32"/>
      <c r="P454" s="32"/>
      <c r="Q454" s="32"/>
      <c r="R454" s="32"/>
      <c r="S454" s="32"/>
      <c r="T454" s="32"/>
      <c r="U454" s="32"/>
      <c r="V454" s="32"/>
      <c r="W454" s="32"/>
      <c r="X454" s="32" t="str">
        <f>IFERROR(__xludf.DUMMYFUNCTION("""COMPUTED_VALUE"""),"Immune")</f>
        <v>Immune</v>
      </c>
      <c r="Y454" s="32" t="str">
        <f>IFERROR(__xludf.DUMMYFUNCTION("""COMPUTED_VALUE"""),"Immune")</f>
        <v>Immune</v>
      </c>
      <c r="Z454" s="32"/>
      <c r="AA454" s="32" t="str">
        <f>IFERROR(__xludf.DUMMYFUNCTION("""COMPUTED_VALUE"""),"Immune")</f>
        <v>Immune</v>
      </c>
      <c r="AB454" s="32"/>
      <c r="AC454" s="32"/>
      <c r="AD454" s="32"/>
      <c r="AE454" s="32"/>
      <c r="AF454" s="32"/>
      <c r="AG454" s="32"/>
      <c r="AH454" s="32"/>
      <c r="AI454" s="32"/>
      <c r="AJ454" s="32"/>
      <c r="AK454" s="32"/>
    </row>
    <row r="455">
      <c r="A455" s="32" t="str">
        <f>IFERROR(__xludf.DUMMYFUNCTION("""COMPUTED_VALUE"""),"Divine Void Dragon")</f>
        <v>Divine Void Dragon</v>
      </c>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row>
    <row r="456">
      <c r="A456" s="32" t="str">
        <f>IFERROR(__xludf.DUMMYFUNCTION("""COMPUTED_VALUE"""),"Divine Undead Dragon")</f>
        <v>Divine Undead Dragon</v>
      </c>
      <c r="B456" s="32"/>
      <c r="C456" s="32"/>
      <c r="D456" s="32"/>
      <c r="E456" s="32"/>
      <c r="F456" s="32"/>
      <c r="G456" s="32" t="str">
        <f>IFERROR(__xludf.DUMMYFUNCTION("""COMPUTED_VALUE"""),"Immune")</f>
        <v>Immune</v>
      </c>
      <c r="H456" s="32"/>
      <c r="I456" s="32"/>
      <c r="J456" s="32"/>
      <c r="K456" s="32"/>
      <c r="L456" s="32"/>
      <c r="M456" s="32"/>
      <c r="N456" s="32"/>
      <c r="O456" s="32"/>
      <c r="P456" s="32"/>
      <c r="Q456" s="32"/>
      <c r="R456" s="32"/>
      <c r="S456" s="32"/>
      <c r="T456" s="32"/>
      <c r="U456" s="32"/>
      <c r="V456" s="32"/>
      <c r="W456" s="32"/>
      <c r="X456" s="32" t="str">
        <f>IFERROR(__xludf.DUMMYFUNCTION("""COMPUTED_VALUE"""),"Immune")</f>
        <v>Immune</v>
      </c>
      <c r="Y456" s="32" t="str">
        <f>IFERROR(__xludf.DUMMYFUNCTION("""COMPUTED_VALUE"""),"Immune")</f>
        <v>Immune</v>
      </c>
      <c r="Z456" s="32"/>
      <c r="AA456" s="32" t="str">
        <f>IFERROR(__xludf.DUMMYFUNCTION("""COMPUTED_VALUE"""),"Immune")</f>
        <v>Immune</v>
      </c>
      <c r="AB456" s="32"/>
      <c r="AC456" s="32"/>
      <c r="AD456" s="32"/>
      <c r="AE456" s="32"/>
      <c r="AF456" s="32"/>
      <c r="AG456" s="32"/>
      <c r="AH456" s="32"/>
      <c r="AI456" s="32"/>
      <c r="AJ456" s="32"/>
      <c r="AK456" s="32"/>
    </row>
    <row r="457">
      <c r="A457" s="32" t="str">
        <f>IFERROR(__xludf.DUMMYFUNCTION("""COMPUTED_VALUE"""),"Divine Crystal Dragon")</f>
        <v>Divine Crystal Dragon</v>
      </c>
      <c r="B457" s="32"/>
      <c r="C457" s="32"/>
      <c r="D457" s="32"/>
      <c r="E457" s="32">
        <f>IFERROR(__xludf.DUMMYFUNCTION("""COMPUTED_VALUE"""),100.0)</f>
        <v>100</v>
      </c>
      <c r="F457" s="32"/>
      <c r="G457" s="32"/>
      <c r="H457" s="32"/>
      <c r="I457" s="32"/>
      <c r="J457" s="32"/>
      <c r="K457" s="32"/>
      <c r="L457" s="32"/>
      <c r="M457" s="32"/>
      <c r="N457" s="32"/>
      <c r="O457" s="32"/>
      <c r="P457" s="32"/>
      <c r="Q457" s="32"/>
      <c r="R457" s="32"/>
      <c r="S457" s="32"/>
      <c r="T457" s="32"/>
      <c r="U457" s="32"/>
      <c r="V457" s="32"/>
      <c r="W457" s="32"/>
      <c r="X457" s="32" t="str">
        <f>IFERROR(__xludf.DUMMYFUNCTION("""COMPUTED_VALUE"""),"Immune")</f>
        <v>Immune</v>
      </c>
      <c r="Y457" s="32" t="str">
        <f>IFERROR(__xludf.DUMMYFUNCTION("""COMPUTED_VALUE"""),"Immune")</f>
        <v>Immune</v>
      </c>
      <c r="Z457" s="32"/>
      <c r="AA457" s="32" t="str">
        <f>IFERROR(__xludf.DUMMYFUNCTION("""COMPUTED_VALUE"""),"Immune")</f>
        <v>Immune</v>
      </c>
      <c r="AB457" s="32"/>
      <c r="AC457" s="32"/>
      <c r="AD457" s="32"/>
      <c r="AE457" s="32"/>
      <c r="AF457" s="32"/>
      <c r="AG457" s="32"/>
      <c r="AH457" s="32"/>
      <c r="AI457" s="32"/>
      <c r="AJ457" s="32"/>
      <c r="AK457" s="32"/>
    </row>
    <row r="458">
      <c r="A458" s="32" t="str">
        <f>IFERROR(__xludf.DUMMYFUNCTION("""COMPUTED_VALUE"""),"Acid Wyrm")</f>
        <v>Acid Wyrm</v>
      </c>
      <c r="B458" s="32"/>
      <c r="C458" s="32"/>
      <c r="D458" s="32"/>
      <c r="E458" s="32"/>
      <c r="F458" s="32"/>
      <c r="G458" s="32"/>
      <c r="H458" s="32"/>
      <c r="I458" s="32"/>
      <c r="J458" s="32"/>
      <c r="K458" s="32" t="str">
        <f>IFERROR(__xludf.DUMMYFUNCTION("""COMPUTED_VALUE"""),"Immune")</f>
        <v>Immune</v>
      </c>
      <c r="L458" s="32"/>
      <c r="M458" s="32"/>
      <c r="N458" s="32"/>
      <c r="O458" s="32"/>
      <c r="P458" s="32"/>
      <c r="Q458" s="32"/>
      <c r="R458" s="32"/>
      <c r="S458" s="32"/>
      <c r="T458" s="32"/>
      <c r="U458" s="32"/>
      <c r="V458" s="32"/>
      <c r="W458" s="32"/>
      <c r="X458" s="32" t="str">
        <f>IFERROR(__xludf.DUMMYFUNCTION("""COMPUTED_VALUE"""),"Immune")</f>
        <v>Immune</v>
      </c>
      <c r="Y458" s="32" t="str">
        <f>IFERROR(__xludf.DUMMYFUNCTION("""COMPUTED_VALUE"""),"Immune")</f>
        <v>Immune</v>
      </c>
      <c r="Z458" s="32"/>
      <c r="AA458" s="32" t="str">
        <f>IFERROR(__xludf.DUMMYFUNCTION("""COMPUTED_VALUE"""),"Immune")</f>
        <v>Immune</v>
      </c>
      <c r="AB458" s="32"/>
      <c r="AC458" s="32"/>
      <c r="AD458" s="32"/>
      <c r="AE458" s="32"/>
      <c r="AF458" s="32"/>
      <c r="AG458" s="32"/>
      <c r="AH458" s="32"/>
      <c r="AI458" s="32"/>
      <c r="AJ458" s="32"/>
      <c r="AK458" s="32"/>
    </row>
    <row r="459">
      <c r="A459" s="32" t="str">
        <f>IFERROR(__xludf.DUMMYFUNCTION("""COMPUTED_VALUE"""),"Astral Wyrm")</f>
        <v>Astral Wyrm</v>
      </c>
      <c r="B459" s="32"/>
      <c r="C459" s="32"/>
      <c r="D459" s="32"/>
      <c r="E459" s="32"/>
      <c r="F459" s="32"/>
      <c r="G459" s="32"/>
      <c r="H459" s="32"/>
      <c r="I459" s="32"/>
      <c r="J459" s="32"/>
      <c r="K459" s="32"/>
      <c r="L459" s="32"/>
      <c r="M459" s="32"/>
      <c r="N459" s="32"/>
      <c r="O459" s="32"/>
      <c r="P459" s="32"/>
      <c r="Q459" s="32"/>
      <c r="R459" s="32"/>
      <c r="S459" s="32"/>
      <c r="T459" s="32"/>
      <c r="U459" s="32"/>
      <c r="V459" s="32">
        <f>IFERROR(__xludf.DUMMYFUNCTION("""COMPUTED_VALUE"""),50.0)</f>
        <v>50</v>
      </c>
      <c r="W459" s="32"/>
      <c r="X459" s="32" t="str">
        <f>IFERROR(__xludf.DUMMYFUNCTION("""COMPUTED_VALUE"""),"Immune")</f>
        <v>Immune</v>
      </c>
      <c r="Y459" s="32" t="str">
        <f>IFERROR(__xludf.DUMMYFUNCTION("""COMPUTED_VALUE"""),"Immune")</f>
        <v>Immune</v>
      </c>
      <c r="Z459" s="32"/>
      <c r="AA459" s="32" t="str">
        <f>IFERROR(__xludf.DUMMYFUNCTION("""COMPUTED_VALUE"""),"Immune")</f>
        <v>Immune</v>
      </c>
      <c r="AB459" s="32"/>
      <c r="AC459" s="32"/>
      <c r="AD459" s="32"/>
      <c r="AE459" s="32"/>
      <c r="AF459" s="32"/>
      <c r="AG459" s="32"/>
      <c r="AH459" s="32"/>
      <c r="AI459" s="32"/>
      <c r="AJ459" s="32"/>
      <c r="AK459" s="32"/>
    </row>
    <row r="460">
      <c r="A460" s="32" t="str">
        <f>IFERROR(__xludf.DUMMYFUNCTION("""COMPUTED_VALUE"""),"Celestial Wyrm")</f>
        <v>Celestial Wyrm</v>
      </c>
      <c r="B460" s="32"/>
      <c r="C460" s="32"/>
      <c r="D460" s="32"/>
      <c r="E460" s="32"/>
      <c r="F460" s="32"/>
      <c r="G460" s="32"/>
      <c r="H460" s="32"/>
      <c r="I460" s="32"/>
      <c r="J460" s="32"/>
      <c r="K460" s="32"/>
      <c r="L460" s="32"/>
      <c r="M460" s="32"/>
      <c r="N460" s="32"/>
      <c r="O460" s="32"/>
      <c r="P460" s="32"/>
      <c r="Q460" s="32"/>
      <c r="R460" s="32"/>
      <c r="S460" s="32"/>
      <c r="T460" s="32"/>
      <c r="U460" s="32"/>
      <c r="V460" s="32"/>
      <c r="W460" s="32">
        <f>IFERROR(__xludf.DUMMYFUNCTION("""COMPUTED_VALUE"""),50.0)</f>
        <v>50</v>
      </c>
      <c r="X460" s="32"/>
      <c r="Y460" s="32"/>
      <c r="Z460" s="32"/>
      <c r="AA460" s="32"/>
      <c r="AB460" s="32"/>
      <c r="AC460" s="32"/>
      <c r="AD460" s="32"/>
      <c r="AE460" s="32"/>
      <c r="AF460" s="32"/>
      <c r="AG460" s="32"/>
      <c r="AH460" s="32"/>
      <c r="AI460" s="32"/>
      <c r="AJ460" s="32"/>
      <c r="AK460" s="32"/>
    </row>
    <row r="461">
      <c r="A461" s="32" t="str">
        <f>IFERROR(__xludf.DUMMYFUNCTION("""COMPUTED_VALUE"""),"Chaos Wyrm")</f>
        <v>Chaos Wyrm</v>
      </c>
      <c r="B461" s="32"/>
      <c r="C461" s="32"/>
      <c r="D461" s="32"/>
      <c r="E461" s="32"/>
      <c r="F461" s="32"/>
      <c r="G461" s="32"/>
      <c r="H461" s="32"/>
      <c r="I461" s="32"/>
      <c r="J461" s="32">
        <f>IFERROR(__xludf.DUMMYFUNCTION("""COMPUTED_VALUE"""),50.0)</f>
        <v>50</v>
      </c>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row>
    <row r="462">
      <c r="A462" s="32" t="str">
        <f>IFERROR(__xludf.DUMMYFUNCTION("""COMPUTED_VALUE"""),"Dark Wyrm")</f>
        <v>Dark Wyrm</v>
      </c>
      <c r="B462" s="32"/>
      <c r="C462" s="32"/>
      <c r="D462" s="32"/>
      <c r="E462" s="32"/>
      <c r="F462" s="32"/>
      <c r="G462" s="32">
        <f>IFERROR(__xludf.DUMMYFUNCTION("""COMPUTED_VALUE"""),50.0)</f>
        <v>50</v>
      </c>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row>
    <row r="463">
      <c r="A463" s="32" t="str">
        <f>IFERROR(__xludf.DUMMYFUNCTION("""COMPUTED_VALUE"""),"Delta Wyrm")</f>
        <v>Delta Wyrm</v>
      </c>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row>
    <row r="464">
      <c r="A464" s="32" t="str">
        <f>IFERROR(__xludf.DUMMYFUNCTION("""COMPUTED_VALUE"""),"Frost Wyrm")</f>
        <v>Frost Wyrm</v>
      </c>
      <c r="B464" s="32"/>
      <c r="C464" s="32">
        <f>IFERROR(__xludf.DUMMYFUNCTION("""COMPUTED_VALUE"""),50.0)</f>
        <v>50</v>
      </c>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row>
    <row r="465">
      <c r="A465" s="32" t="str">
        <f>IFERROR(__xludf.DUMMYFUNCTION("""COMPUTED_VALUE"""),"Soul Wyrm")</f>
        <v>Soul Wyrm</v>
      </c>
      <c r="B465" s="32"/>
      <c r="C465" s="32"/>
      <c r="D465" s="32"/>
      <c r="E465" s="32"/>
      <c r="F465" s="32"/>
      <c r="G465" s="32"/>
      <c r="H465" s="32">
        <f>IFERROR(__xludf.DUMMYFUNCTION("""COMPUTED_VALUE"""),50.0)</f>
        <v>50</v>
      </c>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row>
    <row r="466">
      <c r="A466" s="32" t="str">
        <f>IFERROR(__xludf.DUMMYFUNCTION("""COMPUTED_VALUE"""),"Spirit Wyrm")</f>
        <v>Spirit Wyrm</v>
      </c>
      <c r="B466" s="32"/>
      <c r="C466" s="32"/>
      <c r="D466" s="32"/>
      <c r="E466" s="32"/>
      <c r="F466" s="32"/>
      <c r="G466" s="32"/>
      <c r="H466" s="32">
        <f>IFERROR(__xludf.DUMMYFUNCTION("""COMPUTED_VALUE"""),50.0)</f>
        <v>50</v>
      </c>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row>
    <row r="467">
      <c r="A467" s="32" t="str">
        <f>IFERROR(__xludf.DUMMYFUNCTION("""COMPUTED_VALUE"""),"Komodo Dragon")</f>
        <v>Komodo Dragon</v>
      </c>
      <c r="B467" s="32"/>
      <c r="C467" s="32"/>
      <c r="D467" s="32"/>
      <c r="E467" s="32"/>
      <c r="F467" s="32"/>
      <c r="G467" s="32"/>
      <c r="H467" s="32"/>
      <c r="I467" s="32"/>
      <c r="J467" s="32"/>
      <c r="K467" s="32" t="str">
        <f>IFERROR(__xludf.DUMMYFUNCTION("""COMPUTED_VALUE"""),"Immune")</f>
        <v>Immune</v>
      </c>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row>
    <row r="469">
      <c r="A469" s="32" t="str">
        <f>IFERROR(__xludf.DUMMYFUNCTION("""COMPUTED_VALUE"""),"Undead Wyrm")</f>
        <v>Undead Wyrm</v>
      </c>
      <c r="B469" s="32"/>
      <c r="C469" s="32"/>
      <c r="D469" s="32"/>
      <c r="E469" s="32"/>
      <c r="F469" s="32"/>
      <c r="G469" s="32" t="str">
        <f>IFERROR(__xludf.DUMMYFUNCTION("""COMPUTED_VALUE"""),"Immune")</f>
        <v>Immune</v>
      </c>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row>
    <row r="470">
      <c r="A470" s="32" t="str">
        <f>IFERROR(__xludf.DUMMYFUNCTION("""COMPUTED_VALUE"""),"Crystal Wyrm")</f>
        <v>Crystal Wyrm</v>
      </c>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row>
    <row r="471">
      <c r="A471" s="32" t="str">
        <f>IFERROR(__xludf.DUMMYFUNCTION("""COMPUTED_VALUE"""),"Lizardfolk Wizard")</f>
        <v>Lizardfolk Wizard</v>
      </c>
      <c r="B471" s="32" t="str">
        <f>IFERROR(__xludf.DUMMYFUNCTION("""COMPUTED_VALUE"""),"Immune")</f>
        <v>Immune</v>
      </c>
      <c r="C471" s="32" t="str">
        <f>IFERROR(__xludf.DUMMYFUNCTION("""COMPUTED_VALUE"""),"Immune")</f>
        <v>Immune</v>
      </c>
      <c r="D471" s="32" t="str">
        <f>IFERROR(__xludf.DUMMYFUNCTION("""COMPUTED_VALUE"""),"Immune")</f>
        <v>Immune</v>
      </c>
      <c r="E471" s="32" t="str">
        <f>IFERROR(__xludf.DUMMYFUNCTION("""COMPUTED_VALUE"""),"Immune")</f>
        <v>Immune</v>
      </c>
      <c r="F471" s="32"/>
      <c r="G471" s="32"/>
      <c r="H471" s="32"/>
      <c r="I471" s="32"/>
      <c r="J471" s="32"/>
      <c r="K471" s="32" t="str">
        <f>IFERROR(__xludf.DUMMYFUNCTION("""COMPUTED_VALUE"""),"Immune")</f>
        <v>Immune</v>
      </c>
      <c r="L471" s="32"/>
      <c r="M471" s="32"/>
      <c r="N471" s="32"/>
      <c r="O471" s="32"/>
      <c r="P471" s="32"/>
      <c r="Q471" s="32"/>
      <c r="R471" s="32"/>
      <c r="S471" s="32"/>
      <c r="T471" s="32"/>
      <c r="U471" s="32"/>
      <c r="V471" s="32"/>
      <c r="W471" s="32"/>
      <c r="X471" s="32" t="str">
        <f>IFERROR(__xludf.DUMMYFUNCTION("""COMPUTED_VALUE"""),"Immune")</f>
        <v>Immune</v>
      </c>
      <c r="Y471" s="32"/>
      <c r="Z471" s="32"/>
      <c r="AA471" s="32"/>
      <c r="AB471" s="32"/>
      <c r="AC471" s="32"/>
      <c r="AD471" s="32"/>
      <c r="AE471" s="32"/>
      <c r="AF471" s="32"/>
      <c r="AG471" s="32"/>
      <c r="AH471" s="32"/>
      <c r="AI471" s="32"/>
      <c r="AJ471" s="32"/>
      <c r="AK471" s="32"/>
    </row>
    <row r="472">
      <c r="A472" s="32" t="str">
        <f>IFERROR(__xludf.DUMMYFUNCTION("""COMPUTED_VALUE"""),"Lizardfolk Thief")</f>
        <v>Lizardfolk Thief</v>
      </c>
      <c r="B472" s="32"/>
      <c r="C472" s="32"/>
      <c r="D472" s="32"/>
      <c r="E472" s="32"/>
      <c r="F472" s="32"/>
      <c r="G472" s="32"/>
      <c r="H472" s="32"/>
      <c r="I472" s="32"/>
      <c r="J472" s="32"/>
      <c r="K472" s="32" t="str">
        <f>IFERROR(__xludf.DUMMYFUNCTION("""COMPUTED_VALUE"""),"Immune")</f>
        <v>Immune</v>
      </c>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row>
    <row r="473">
      <c r="A473" s="32" t="str">
        <f>IFERROR(__xludf.DUMMYFUNCTION("""COMPUTED_VALUE"""),"Lizardfolk Warrior")</f>
        <v>Lizardfolk Warrior</v>
      </c>
      <c r="B473" s="32"/>
      <c r="C473" s="32"/>
      <c r="D473" s="32"/>
      <c r="E473" s="32"/>
      <c r="F473" s="32"/>
      <c r="G473" s="32"/>
      <c r="H473" s="32"/>
      <c r="I473" s="32"/>
      <c r="J473" s="32"/>
      <c r="K473" s="32" t="str">
        <f>IFERROR(__xludf.DUMMYFUNCTION("""COMPUTED_VALUE"""),"Immune")</f>
        <v>Immune</v>
      </c>
      <c r="L473" s="32">
        <f>IFERROR(__xludf.DUMMYFUNCTION("""COMPUTED_VALUE"""),100.0)</f>
        <v>100</v>
      </c>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row>
    <row r="474">
      <c r="A474" s="32" t="str">
        <f>IFERROR(__xludf.DUMMYFUNCTION("""COMPUTED_VALUE"""),"Iguanian  Assassin")</f>
        <v>Iguanian  Assassin</v>
      </c>
      <c r="B474" s="32"/>
      <c r="C474" s="32">
        <f>IFERROR(__xludf.DUMMYFUNCTION("""COMPUTED_VALUE"""),100.0)</f>
        <v>100</v>
      </c>
      <c r="D474" s="32"/>
      <c r="E474" s="32"/>
      <c r="F474" s="32"/>
      <c r="G474" s="32"/>
      <c r="H474" s="32"/>
      <c r="I474" s="32"/>
      <c r="J474" s="32"/>
      <c r="K474" s="32"/>
      <c r="L474" s="32"/>
      <c r="M474" s="32"/>
      <c r="N474" s="32"/>
      <c r="O474" s="32"/>
      <c r="P474" s="32"/>
      <c r="Q474" s="32"/>
      <c r="R474" s="32"/>
      <c r="S474" s="32"/>
      <c r="T474" s="32"/>
      <c r="U474" s="32"/>
      <c r="V474" s="32"/>
      <c r="W474" s="32"/>
      <c r="X474" s="32" t="str">
        <f>IFERROR(__xludf.DUMMYFUNCTION("""COMPUTED_VALUE"""),"Immune")</f>
        <v>Immune</v>
      </c>
      <c r="Y474" s="32"/>
      <c r="Z474" s="32"/>
      <c r="AA474" s="32"/>
      <c r="AB474" s="32"/>
      <c r="AC474" s="32"/>
      <c r="AD474" s="32"/>
      <c r="AE474" s="32"/>
      <c r="AF474" s="32"/>
      <c r="AG474" s="32"/>
      <c r="AH474" s="32"/>
      <c r="AI474" s="32"/>
      <c r="AJ474" s="32"/>
      <c r="AK474" s="32"/>
    </row>
    <row r="475">
      <c r="A475" s="32" t="str">
        <f>IFERROR(__xludf.DUMMYFUNCTION("""COMPUTED_VALUE"""),"Iguanian Brawler")</f>
        <v>Iguanian Brawler</v>
      </c>
      <c r="B475" s="32"/>
      <c r="C475" s="32">
        <f>IFERROR(__xludf.DUMMYFUNCTION("""COMPUTED_VALUE"""),100.0)</f>
        <v>100</v>
      </c>
      <c r="D475" s="32"/>
      <c r="E475" s="32"/>
      <c r="F475" s="32"/>
      <c r="G475" s="32"/>
      <c r="H475" s="32"/>
      <c r="I475" s="32"/>
      <c r="J475" s="32"/>
      <c r="K475" s="32"/>
      <c r="L475" s="32">
        <f>IFERROR(__xludf.DUMMYFUNCTION("""COMPUTED_VALUE"""),100.0)</f>
        <v>100</v>
      </c>
      <c r="M475" s="32"/>
      <c r="N475" s="32"/>
      <c r="O475" s="32"/>
      <c r="P475" s="32"/>
      <c r="Q475" s="32"/>
      <c r="R475" s="32"/>
      <c r="S475" s="32"/>
      <c r="T475" s="32"/>
      <c r="U475" s="32"/>
      <c r="V475" s="32"/>
      <c r="W475" s="32"/>
      <c r="X475" s="32"/>
      <c r="Y475" s="32"/>
      <c r="Z475" s="32" t="str">
        <f>IFERROR(__xludf.DUMMYFUNCTION("""COMPUTED_VALUE"""),"Immune")</f>
        <v>Immune</v>
      </c>
      <c r="AA475" s="32"/>
      <c r="AB475" s="32"/>
      <c r="AC475" s="32"/>
      <c r="AD475" s="32"/>
      <c r="AE475" s="32"/>
      <c r="AF475" s="32"/>
      <c r="AG475" s="32"/>
      <c r="AH475" s="32"/>
      <c r="AI475" s="32"/>
      <c r="AJ475" s="32"/>
      <c r="AK475" s="32"/>
    </row>
    <row r="476">
      <c r="A476" s="32" t="str">
        <f>IFERROR(__xludf.DUMMYFUNCTION("""COMPUTED_VALUE"""),"Iguanian Mage")</f>
        <v>Iguanian Mage</v>
      </c>
      <c r="B476" s="32"/>
      <c r="C476" s="32">
        <f>IFERROR(__xludf.DUMMYFUNCTION("""COMPUTED_VALUE"""),100.0)</f>
        <v>100</v>
      </c>
      <c r="D476" s="32"/>
      <c r="E476" s="32"/>
      <c r="F476" s="32"/>
      <c r="G476" s="32"/>
      <c r="H476" s="32"/>
      <c r="I476" s="32"/>
      <c r="J476" s="32"/>
      <c r="K476" s="32"/>
      <c r="L476" s="32"/>
      <c r="M476" s="32"/>
      <c r="N476" s="32"/>
      <c r="O476" s="32"/>
      <c r="P476" s="32"/>
      <c r="Q476" s="32"/>
      <c r="R476" s="32">
        <f>IFERROR(__xludf.DUMMYFUNCTION("""COMPUTED_VALUE"""),100.0)</f>
        <v>100</v>
      </c>
      <c r="S476" s="32"/>
      <c r="T476" s="32"/>
      <c r="U476" s="32"/>
      <c r="V476" s="32"/>
      <c r="W476" s="32"/>
      <c r="X476" s="32"/>
      <c r="Y476" s="32"/>
      <c r="Z476" s="32"/>
      <c r="AA476" s="32"/>
      <c r="AB476" s="32"/>
      <c r="AC476" s="32"/>
      <c r="AD476" s="32"/>
      <c r="AE476" s="32"/>
      <c r="AF476" s="32"/>
      <c r="AG476" s="32"/>
      <c r="AH476" s="32"/>
      <c r="AI476" s="32"/>
      <c r="AJ476" s="32"/>
      <c r="AK476" s="32"/>
    </row>
    <row r="477">
      <c r="A477" s="32" t="str">
        <f>IFERROR(__xludf.DUMMYFUNCTION("""COMPUTED_VALUE"""),"Salamandrith Ranger")</f>
        <v>Salamandrith Ranger</v>
      </c>
      <c r="B477" s="32">
        <f>IFERROR(__xludf.DUMMYFUNCTION("""COMPUTED_VALUE"""),100.0)</f>
        <v>100</v>
      </c>
      <c r="C477" s="32"/>
      <c r="D477" s="32"/>
      <c r="E477" s="32"/>
      <c r="F477" s="32"/>
      <c r="G477" s="32"/>
      <c r="H477" s="32"/>
      <c r="I477" s="32"/>
      <c r="J477" s="32"/>
      <c r="K477" s="32">
        <f>IFERROR(__xludf.DUMMYFUNCTION("""COMPUTED_VALUE"""),100.0)</f>
        <v>100</v>
      </c>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row>
    <row r="478">
      <c r="A478" s="32" t="str">
        <f>IFERROR(__xludf.DUMMYFUNCTION("""COMPUTED_VALUE"""),"Salamandrith Cultist")</f>
        <v>Salamandrith Cultist</v>
      </c>
      <c r="B478" s="32">
        <f>IFERROR(__xludf.DUMMYFUNCTION("""COMPUTED_VALUE"""),100.0)</f>
        <v>100</v>
      </c>
      <c r="C478" s="32"/>
      <c r="D478" s="32"/>
      <c r="E478" s="32"/>
      <c r="F478" s="32"/>
      <c r="G478" s="32">
        <f>IFERROR(__xludf.DUMMYFUNCTION("""COMPUTED_VALUE"""),100.0)</f>
        <v>100</v>
      </c>
      <c r="H478" s="32"/>
      <c r="I478" s="32"/>
      <c r="J478" s="32"/>
      <c r="K478" s="32">
        <f>IFERROR(__xludf.DUMMYFUNCTION("""COMPUTED_VALUE"""),100.0)</f>
        <v>100</v>
      </c>
      <c r="L478" s="32"/>
      <c r="M478" s="32"/>
      <c r="N478" s="32"/>
      <c r="O478" s="32"/>
      <c r="P478" s="32"/>
      <c r="Q478" s="32"/>
      <c r="R478" s="32"/>
      <c r="S478" s="32"/>
      <c r="T478" s="32"/>
      <c r="U478" s="32"/>
      <c r="V478" s="32"/>
      <c r="W478" s="32"/>
      <c r="X478" s="32" t="str">
        <f>IFERROR(__xludf.DUMMYFUNCTION("""COMPUTED_VALUE"""),"Immune")</f>
        <v>Immune</v>
      </c>
      <c r="Y478" s="32"/>
      <c r="Z478" s="32"/>
      <c r="AA478" s="32"/>
      <c r="AB478" s="32"/>
      <c r="AC478" s="32"/>
      <c r="AD478" s="32"/>
      <c r="AE478" s="32"/>
      <c r="AF478" s="32"/>
      <c r="AG478" s="32"/>
      <c r="AH478" s="32"/>
      <c r="AI478" s="32"/>
      <c r="AJ478" s="32"/>
      <c r="AK478" s="32"/>
    </row>
    <row r="479">
      <c r="A479" s="32" t="str">
        <f>IFERROR(__xludf.DUMMYFUNCTION("""COMPUTED_VALUE"""),"Salamandrith Shaman")</f>
        <v>Salamandrith Shaman</v>
      </c>
      <c r="B479" s="32">
        <f>IFERROR(__xludf.DUMMYFUNCTION("""COMPUTED_VALUE"""),100.0)</f>
        <v>100</v>
      </c>
      <c r="C479" s="32"/>
      <c r="D479" s="32"/>
      <c r="E479" s="32"/>
      <c r="F479" s="32"/>
      <c r="G479" s="32"/>
      <c r="H479" s="32"/>
      <c r="I479" s="32"/>
      <c r="J479" s="32"/>
      <c r="K479" s="32">
        <f>IFERROR(__xludf.DUMMYFUNCTION("""COMPUTED_VALUE"""),100.0)</f>
        <v>100</v>
      </c>
      <c r="L479" s="32"/>
      <c r="M479" s="32"/>
      <c r="N479" s="32"/>
      <c r="O479" s="32"/>
      <c r="P479" s="32"/>
      <c r="Q479" s="32">
        <f>IFERROR(__xludf.DUMMYFUNCTION("""COMPUTED_VALUE"""),100.0)</f>
        <v>100</v>
      </c>
      <c r="R479" s="32"/>
      <c r="S479" s="32"/>
      <c r="T479" s="32"/>
      <c r="U479" s="32"/>
      <c r="V479" s="32"/>
      <c r="W479" s="32"/>
      <c r="X479" s="32"/>
      <c r="Y479" s="32"/>
      <c r="Z479" s="32"/>
      <c r="AA479" s="32"/>
      <c r="AB479" s="32"/>
      <c r="AC479" s="32"/>
      <c r="AD479" s="32"/>
      <c r="AE479" s="32"/>
      <c r="AF479" s="32"/>
      <c r="AG479" s="32"/>
      <c r="AH479" s="32"/>
      <c r="AI479" s="32"/>
      <c r="AJ479" s="32"/>
      <c r="AK479" s="32"/>
    </row>
    <row r="480">
      <c r="A480" s="32" t="str">
        <f>IFERROR(__xludf.DUMMYFUNCTION("""COMPUTED_VALUE"""),"Geckorian Wandering Sword")</f>
        <v>Geckorian Wandering Sword</v>
      </c>
      <c r="B480" s="32"/>
      <c r="C480" s="32"/>
      <c r="D480" s="32"/>
      <c r="E480" s="32"/>
      <c r="F480" s="32">
        <f>IFERROR(__xludf.DUMMYFUNCTION("""COMPUTED_VALUE"""),100.0)</f>
        <v>100</v>
      </c>
      <c r="G480" s="32"/>
      <c r="H480" s="32"/>
      <c r="I480" s="32"/>
      <c r="J480" s="32"/>
      <c r="K480" s="32"/>
      <c r="L480" s="32"/>
      <c r="M480" s="32"/>
      <c r="N480" s="32"/>
      <c r="O480" s="32"/>
      <c r="P480" s="32"/>
      <c r="Q480" s="32"/>
      <c r="R480" s="32"/>
      <c r="S480" s="32"/>
      <c r="T480" s="32">
        <f>IFERROR(__xludf.DUMMYFUNCTION("""COMPUTED_VALUE"""),100.0)</f>
        <v>100</v>
      </c>
      <c r="U480" s="32"/>
      <c r="V480" s="32"/>
      <c r="W480" s="32"/>
      <c r="X480" s="32"/>
      <c r="Y480" s="32"/>
      <c r="Z480" s="32"/>
      <c r="AA480" s="32"/>
      <c r="AB480" s="32"/>
      <c r="AC480" s="32"/>
      <c r="AD480" s="32"/>
      <c r="AE480" s="32"/>
      <c r="AF480" s="32"/>
      <c r="AG480" s="32"/>
      <c r="AH480" s="32"/>
      <c r="AI480" s="32"/>
      <c r="AJ480" s="32"/>
      <c r="AK480" s="32"/>
    </row>
    <row r="481">
      <c r="A481" s="32" t="str">
        <f>IFERROR(__xludf.DUMMYFUNCTION("""COMPUTED_VALUE"""),"Geckorian Minstrel")</f>
        <v>Geckorian Minstrel</v>
      </c>
      <c r="B481" s="32"/>
      <c r="C481" s="32"/>
      <c r="D481" s="32"/>
      <c r="E481" s="32"/>
      <c r="F481" s="32">
        <f>IFERROR(__xludf.DUMMYFUNCTION("""COMPUTED_VALUE"""),100.0)</f>
        <v>100</v>
      </c>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f>IFERROR(__xludf.DUMMYFUNCTION("""COMPUTED_VALUE"""),100.0)</f>
        <v>100</v>
      </c>
      <c r="AD481" s="32"/>
      <c r="AE481" s="32"/>
      <c r="AF481" s="32"/>
      <c r="AG481" s="32"/>
      <c r="AH481" s="32"/>
      <c r="AI481" s="32"/>
      <c r="AJ481" s="32"/>
      <c r="AK481" s="32"/>
    </row>
    <row r="482">
      <c r="A482" s="32" t="str">
        <f>IFERROR(__xludf.DUMMYFUNCTION("""COMPUTED_VALUE"""),"Geckorian Warden")</f>
        <v>Geckorian Warden</v>
      </c>
      <c r="B482" s="32"/>
      <c r="C482" s="32"/>
      <c r="D482" s="32"/>
      <c r="E482" s="32"/>
      <c r="F482" s="32">
        <f>IFERROR(__xludf.DUMMYFUNCTION("""COMPUTED_VALUE"""),100.0)</f>
        <v>100</v>
      </c>
      <c r="G482" s="32"/>
      <c r="H482" s="32"/>
      <c r="I482" s="32">
        <f>IFERROR(__xludf.DUMMYFUNCTION("""COMPUTED_VALUE"""),100.0)</f>
        <v>100</v>
      </c>
      <c r="J482" s="32"/>
      <c r="K482" s="32"/>
      <c r="L482" s="32">
        <f>IFERROR(__xludf.DUMMYFUNCTION("""COMPUTED_VALUE"""),100.0)</f>
        <v>100</v>
      </c>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row>
    <row r="483">
      <c r="A483" s="32" t="str">
        <f>IFERROR(__xludf.DUMMYFUNCTION("""COMPUTED_VALUE"""),"Chameldrian Infiltrator")</f>
        <v>Chameldrian Infiltrator</v>
      </c>
      <c r="B483" s="32"/>
      <c r="C483" s="32"/>
      <c r="D483" s="32"/>
      <c r="E483" s="32"/>
      <c r="F483" s="32"/>
      <c r="G483" s="32"/>
      <c r="H483" s="32"/>
      <c r="I483" s="32"/>
      <c r="J483" s="32"/>
      <c r="K483" s="32"/>
      <c r="L483" s="32">
        <f>IFERROR(__xludf.DUMMYFUNCTION("""COMPUTED_VALUE"""),100.0)</f>
        <v>100</v>
      </c>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row>
    <row r="484">
      <c r="A484" s="32" t="str">
        <f>IFERROR(__xludf.DUMMYFUNCTION("""COMPUTED_VALUE"""),"Chameldrian Druid")</f>
        <v>Chameldrian Druid</v>
      </c>
      <c r="B484" s="32"/>
      <c r="C484" s="32"/>
      <c r="D484" s="32"/>
      <c r="E484" s="32"/>
      <c r="F484" s="32"/>
      <c r="G484" s="32"/>
      <c r="H484" s="32"/>
      <c r="I484" s="32"/>
      <c r="J484" s="32"/>
      <c r="K484" s="32">
        <f>IFERROR(__xludf.DUMMYFUNCTION("""COMPUTED_VALUE"""),100.0)</f>
        <v>100</v>
      </c>
      <c r="L484" s="32">
        <f>IFERROR(__xludf.DUMMYFUNCTION("""COMPUTED_VALUE"""),100.0)</f>
        <v>100</v>
      </c>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row>
    <row r="485">
      <c r="A485" s="32" t="str">
        <f>IFERROR(__xludf.DUMMYFUNCTION("""COMPUTED_VALUE"""),"Chameldrian Berserker")</f>
        <v>Chameldrian Berserker</v>
      </c>
      <c r="B485" s="32"/>
      <c r="C485" s="32"/>
      <c r="D485" s="32"/>
      <c r="E485" s="32"/>
      <c r="F485" s="32"/>
      <c r="G485" s="32"/>
      <c r="H485" s="32"/>
      <c r="I485" s="32"/>
      <c r="J485" s="32"/>
      <c r="K485" s="32"/>
      <c r="L485" s="32">
        <f>IFERROR(__xludf.DUMMYFUNCTION("""COMPUTED_VALUE"""),100.0)</f>
        <v>100</v>
      </c>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row>
    <row r="486">
      <c r="A486" s="32" t="str">
        <f>IFERROR(__xludf.DUMMYFUNCTION("""COMPUTED_VALUE"""),"Ancient Wood Dragon")</f>
        <v>Ancient Wood Dragon</v>
      </c>
      <c r="B486" s="32"/>
      <c r="C486" s="32">
        <f>IFERROR(__xludf.DUMMYFUNCTION("""COMPUTED_VALUE"""),100.0)</f>
        <v>100</v>
      </c>
      <c r="D486" s="32"/>
      <c r="E486" s="32"/>
      <c r="F486" s="32"/>
      <c r="G486" s="32"/>
      <c r="H486" s="32"/>
      <c r="I486" s="32"/>
      <c r="J486" s="32"/>
      <c r="K486" s="32" t="str">
        <f>IFERROR(__xludf.DUMMYFUNCTION("""COMPUTED_VALUE"""),"Immune")</f>
        <v>Immune</v>
      </c>
      <c r="L486" s="32"/>
      <c r="M486" s="32"/>
      <c r="N486" s="32"/>
      <c r="O486" s="32"/>
      <c r="P486" s="32"/>
      <c r="Q486" s="32"/>
      <c r="R486" s="32"/>
      <c r="S486" s="32"/>
      <c r="T486" s="32"/>
      <c r="U486" s="32"/>
      <c r="V486" s="32"/>
      <c r="W486" s="32"/>
      <c r="X486" s="32" t="str">
        <f>IFERROR(__xludf.DUMMYFUNCTION("""COMPUTED_VALUE"""),"Immune")</f>
        <v>Immune</v>
      </c>
      <c r="Y486" s="32" t="str">
        <f>IFERROR(__xludf.DUMMYFUNCTION("""COMPUTED_VALUE"""),"Immune")</f>
        <v>Immune</v>
      </c>
      <c r="Z486" s="32"/>
      <c r="AA486" s="32" t="str">
        <f>IFERROR(__xludf.DUMMYFUNCTION("""COMPUTED_VALUE"""),"Immune")</f>
        <v>Immune</v>
      </c>
      <c r="AB486" s="32"/>
      <c r="AC486" s="32"/>
      <c r="AD486" s="32"/>
      <c r="AE486" s="32"/>
      <c r="AF486" s="32"/>
      <c r="AG486" s="32"/>
      <c r="AH486" s="32"/>
      <c r="AI486" s="32"/>
      <c r="AJ486" s="32"/>
      <c r="AK486" s="32"/>
    </row>
    <row r="487">
      <c r="A487" s="32" t="str">
        <f>IFERROR(__xludf.DUMMYFUNCTION("""COMPUTED_VALUE"""),"Nature Elemental")</f>
        <v>Nature Elemental</v>
      </c>
      <c r="B487" s="32"/>
      <c r="C487" s="32" t="str">
        <f>IFERROR(__xludf.DUMMYFUNCTION("""COMPUTED_VALUE"""),"Immune")</f>
        <v>Immune</v>
      </c>
      <c r="D487" s="32"/>
      <c r="E487" s="32"/>
      <c r="F487" s="32"/>
      <c r="G487" s="32"/>
      <c r="H487" s="32"/>
      <c r="I487" s="32"/>
      <c r="J487" s="32"/>
      <c r="K487" s="32" t="str">
        <f>IFERROR(__xludf.DUMMYFUNCTION("""COMPUTED_VALUE"""),"Immune")</f>
        <v>Immune</v>
      </c>
      <c r="L487" s="32"/>
      <c r="M487" s="32"/>
      <c r="N487" s="32"/>
      <c r="O487" s="32"/>
      <c r="P487" s="32"/>
      <c r="Q487" s="32"/>
      <c r="R487" s="32" t="str">
        <f>IFERROR(__xludf.DUMMYFUNCTION("""COMPUTED_VALUE"""),"Immune")</f>
        <v>Immune</v>
      </c>
      <c r="S487" s="32"/>
      <c r="T487" s="32"/>
      <c r="U487" s="32"/>
      <c r="V487" s="32"/>
      <c r="W487" s="32"/>
      <c r="X487" s="32" t="str">
        <f>IFERROR(__xludf.DUMMYFUNCTION("""COMPUTED_VALUE"""),"Immune")</f>
        <v>Immune</v>
      </c>
      <c r="Y487" s="32"/>
      <c r="Z487" s="32"/>
      <c r="AA487" s="32" t="str">
        <f>IFERROR(__xludf.DUMMYFUNCTION("""COMPUTED_VALUE"""),"Immune")</f>
        <v>Immune</v>
      </c>
      <c r="AB487" s="32"/>
      <c r="AC487" s="32"/>
      <c r="AD487" s="32"/>
      <c r="AE487" s="32"/>
      <c r="AF487" s="32"/>
      <c r="AG487" s="32"/>
      <c r="AH487" s="32"/>
      <c r="AI487" s="32"/>
      <c r="AJ487" s="32"/>
      <c r="AK487" s="32"/>
    </row>
    <row r="488">
      <c r="A488" s="32" t="str">
        <f>IFERROR(__xludf.DUMMYFUNCTION("""COMPUTED_VALUE"""),"Forest Elemental")</f>
        <v>Forest Elemental</v>
      </c>
      <c r="B488" s="32"/>
      <c r="C488" s="32" t="str">
        <f>IFERROR(__xludf.DUMMYFUNCTION("""COMPUTED_VALUE"""),"Immune")</f>
        <v>Immune</v>
      </c>
      <c r="D488" s="32"/>
      <c r="E488" s="32"/>
      <c r="F488" s="32"/>
      <c r="G488" s="32"/>
      <c r="H488" s="32"/>
      <c r="I488" s="32"/>
      <c r="J488" s="32"/>
      <c r="K488" s="32" t="str">
        <f>IFERROR(__xludf.DUMMYFUNCTION("""COMPUTED_VALUE"""),"Immune")</f>
        <v>Immune</v>
      </c>
      <c r="L488" s="32"/>
      <c r="M488" s="32"/>
      <c r="N488" s="32"/>
      <c r="O488" s="32"/>
      <c r="P488" s="32"/>
      <c r="Q488" s="32"/>
      <c r="R488" s="32" t="str">
        <f>IFERROR(__xludf.DUMMYFUNCTION("""COMPUTED_VALUE"""),"Immune")</f>
        <v>Immune</v>
      </c>
      <c r="S488" s="32"/>
      <c r="T488" s="32"/>
      <c r="U488" s="32"/>
      <c r="V488" s="32"/>
      <c r="W488" s="32"/>
      <c r="X488" s="32" t="str">
        <f>IFERROR(__xludf.DUMMYFUNCTION("""COMPUTED_VALUE"""),"Immune")</f>
        <v>Immune</v>
      </c>
      <c r="Y488" s="32"/>
      <c r="Z488" s="32"/>
      <c r="AA488" s="32" t="str">
        <f>IFERROR(__xludf.DUMMYFUNCTION("""COMPUTED_VALUE"""),"Immune")</f>
        <v>Immune</v>
      </c>
      <c r="AB488" s="32"/>
      <c r="AC488" s="32"/>
      <c r="AD488" s="32"/>
      <c r="AE488" s="32"/>
      <c r="AF488" s="32"/>
      <c r="AG488" s="32"/>
      <c r="AH488" s="32"/>
      <c r="AI488" s="32"/>
      <c r="AJ488" s="32"/>
      <c r="AK488" s="32"/>
    </row>
    <row r="489">
      <c r="A489" s="32" t="str">
        <f>IFERROR(__xludf.DUMMYFUNCTION("""COMPUTED_VALUE"""),"Ancient Nature Elemental")</f>
        <v>Ancient Nature Elemental</v>
      </c>
      <c r="B489" s="32"/>
      <c r="C489" s="32" t="str">
        <f>IFERROR(__xludf.DUMMYFUNCTION("""COMPUTED_VALUE"""),"Immune")</f>
        <v>Immune</v>
      </c>
      <c r="D489" s="32"/>
      <c r="E489" s="32"/>
      <c r="F489" s="32"/>
      <c r="G489" s="32"/>
      <c r="H489" s="32"/>
      <c r="I489" s="32"/>
      <c r="J489" s="32"/>
      <c r="K489" s="32" t="str">
        <f>IFERROR(__xludf.DUMMYFUNCTION("""COMPUTED_VALUE"""),"Immune")</f>
        <v>Immune</v>
      </c>
      <c r="L489" s="32"/>
      <c r="M489" s="32"/>
      <c r="N489" s="32"/>
      <c r="O489" s="32"/>
      <c r="P489" s="32"/>
      <c r="Q489" s="32"/>
      <c r="R489" s="32" t="str">
        <f>IFERROR(__xludf.DUMMYFUNCTION("""COMPUTED_VALUE"""),"Immune")</f>
        <v>Immune</v>
      </c>
      <c r="S489" s="32"/>
      <c r="T489" s="32"/>
      <c r="U489" s="32"/>
      <c r="V489" s="32"/>
      <c r="W489" s="32"/>
      <c r="X489" s="32" t="str">
        <f>IFERROR(__xludf.DUMMYFUNCTION("""COMPUTED_VALUE"""),"Immune")</f>
        <v>Immune</v>
      </c>
      <c r="Y489" s="32" t="str">
        <f>IFERROR(__xludf.DUMMYFUNCTION("""COMPUTED_VALUE"""),"Immune")</f>
        <v>Immune</v>
      </c>
      <c r="Z489" s="32"/>
      <c r="AA489" s="32" t="str">
        <f>IFERROR(__xludf.DUMMYFUNCTION("""COMPUTED_VALUE"""),"Immune")</f>
        <v>Immune</v>
      </c>
      <c r="AB489" s="32"/>
      <c r="AC489" s="32"/>
      <c r="AD489" s="32"/>
      <c r="AE489" s="32"/>
      <c r="AF489" s="32"/>
      <c r="AG489" s="32"/>
      <c r="AH489" s="32"/>
      <c r="AI489" s="32"/>
      <c r="AJ489" s="32"/>
      <c r="AK489" s="32"/>
    </row>
    <row r="490">
      <c r="A490" s="32" t="str">
        <f>IFERROR(__xludf.DUMMYFUNCTION("""COMPUTED_VALUE"""),"Earth Elemental")</f>
        <v>Earth Elemental</v>
      </c>
      <c r="B490" s="32" t="str">
        <f>IFERROR(__xludf.DUMMYFUNCTION("""COMPUTED_VALUE"""),"Immune")</f>
        <v>Immune</v>
      </c>
      <c r="C490" s="32"/>
      <c r="D490" s="32"/>
      <c r="E490" s="32"/>
      <c r="F490" s="32"/>
      <c r="G490" s="32"/>
      <c r="H490" s="32"/>
      <c r="I490" s="32"/>
      <c r="J490" s="32"/>
      <c r="K490" s="32"/>
      <c r="L490" s="32"/>
      <c r="M490" s="32"/>
      <c r="N490" s="32"/>
      <c r="O490" s="32"/>
      <c r="P490" s="32"/>
      <c r="Q490" s="32"/>
      <c r="R490" s="32" t="str">
        <f>IFERROR(__xludf.DUMMYFUNCTION("""COMPUTED_VALUE"""),"Immune")</f>
        <v>Immune</v>
      </c>
      <c r="S490" s="32"/>
      <c r="T490" s="32"/>
      <c r="U490" s="32"/>
      <c r="V490" s="32"/>
      <c r="W490" s="32"/>
      <c r="X490" s="32" t="str">
        <f>IFERROR(__xludf.DUMMYFUNCTION("""COMPUTED_VALUE"""),"Immune")</f>
        <v>Immune</v>
      </c>
      <c r="Y490" s="32"/>
      <c r="Z490" s="32"/>
      <c r="AA490" s="32" t="str">
        <f>IFERROR(__xludf.DUMMYFUNCTION("""COMPUTED_VALUE"""),"Immune")</f>
        <v>Immune</v>
      </c>
      <c r="AB490" s="32"/>
      <c r="AC490" s="32"/>
      <c r="AD490" s="32"/>
      <c r="AE490" s="32"/>
      <c r="AF490" s="32"/>
      <c r="AG490" s="32"/>
      <c r="AH490" s="32"/>
      <c r="AI490" s="32"/>
      <c r="AJ490" s="32"/>
      <c r="AK490" s="32"/>
    </row>
    <row r="491">
      <c r="A491" s="32" t="str">
        <f>IFERROR(__xludf.DUMMYFUNCTION("""COMPUTED_VALUE"""),"Mountain Elemental")</f>
        <v>Mountain Elemental</v>
      </c>
      <c r="B491" s="32" t="str">
        <f>IFERROR(__xludf.DUMMYFUNCTION("""COMPUTED_VALUE"""),"Immune")</f>
        <v>Immune</v>
      </c>
      <c r="C491" s="32"/>
      <c r="D491" s="32"/>
      <c r="E491" s="32"/>
      <c r="F491" s="32"/>
      <c r="G491" s="32"/>
      <c r="H491" s="32"/>
      <c r="I491" s="32"/>
      <c r="J491" s="32"/>
      <c r="K491" s="32"/>
      <c r="L491" s="32"/>
      <c r="M491" s="32"/>
      <c r="N491" s="32"/>
      <c r="O491" s="32"/>
      <c r="P491" s="32"/>
      <c r="Q491" s="32"/>
      <c r="R491" s="32" t="str">
        <f>IFERROR(__xludf.DUMMYFUNCTION("""COMPUTED_VALUE"""),"Immune")</f>
        <v>Immune</v>
      </c>
      <c r="S491" s="32"/>
      <c r="T491" s="32"/>
      <c r="U491" s="32"/>
      <c r="V491" s="32"/>
      <c r="W491" s="32"/>
      <c r="X491" s="32" t="str">
        <f>IFERROR(__xludf.DUMMYFUNCTION("""COMPUTED_VALUE"""),"Immune")</f>
        <v>Immune</v>
      </c>
      <c r="Y491" s="32"/>
      <c r="Z491" s="32"/>
      <c r="AA491" s="32" t="str">
        <f>IFERROR(__xludf.DUMMYFUNCTION("""COMPUTED_VALUE"""),"Immune")</f>
        <v>Immune</v>
      </c>
      <c r="AB491" s="32"/>
      <c r="AC491" s="32"/>
      <c r="AD491" s="32"/>
      <c r="AE491" s="32"/>
      <c r="AF491" s="32"/>
      <c r="AG491" s="32"/>
      <c r="AH491" s="32"/>
      <c r="AI491" s="32"/>
      <c r="AJ491" s="32"/>
      <c r="AK491" s="32"/>
    </row>
    <row r="492">
      <c r="A492" s="32" t="str">
        <f>IFERROR(__xludf.DUMMYFUNCTION("""COMPUTED_VALUE"""),"Ancient Earth Elemental")</f>
        <v>Ancient Earth Elemental</v>
      </c>
      <c r="B492" s="32" t="str">
        <f>IFERROR(__xludf.DUMMYFUNCTION("""COMPUTED_VALUE"""),"Immune")</f>
        <v>Immune</v>
      </c>
      <c r="C492" s="32"/>
      <c r="D492" s="32"/>
      <c r="E492" s="32"/>
      <c r="F492" s="32"/>
      <c r="G492" s="32"/>
      <c r="H492" s="32"/>
      <c r="I492" s="32"/>
      <c r="J492" s="32"/>
      <c r="K492" s="32"/>
      <c r="L492" s="32"/>
      <c r="M492" s="32"/>
      <c r="N492" s="32"/>
      <c r="O492" s="32"/>
      <c r="P492" s="32"/>
      <c r="Q492" s="32"/>
      <c r="R492" s="32" t="str">
        <f>IFERROR(__xludf.DUMMYFUNCTION("""COMPUTED_VALUE"""),"Immune")</f>
        <v>Immune</v>
      </c>
      <c r="S492" s="32"/>
      <c r="T492" s="32"/>
      <c r="U492" s="32"/>
      <c r="V492" s="32"/>
      <c r="W492" s="32"/>
      <c r="X492" s="32" t="str">
        <f>IFERROR(__xludf.DUMMYFUNCTION("""COMPUTED_VALUE"""),"Immune")</f>
        <v>Immune</v>
      </c>
      <c r="Y492" s="32" t="str">
        <f>IFERROR(__xludf.DUMMYFUNCTION("""COMPUTED_VALUE"""),"Immune")</f>
        <v>Immune</v>
      </c>
      <c r="Z492" s="32"/>
      <c r="AA492" s="32" t="str">
        <f>IFERROR(__xludf.DUMMYFUNCTION("""COMPUTED_VALUE"""),"Immune")</f>
        <v>Immune</v>
      </c>
      <c r="AB492" s="32"/>
      <c r="AC492" s="32"/>
      <c r="AD492" s="32"/>
      <c r="AE492" s="32"/>
      <c r="AF492" s="32"/>
      <c r="AG492" s="32"/>
      <c r="AH492" s="32"/>
      <c r="AI492" s="32"/>
      <c r="AJ492" s="32"/>
      <c r="AK492" s="32"/>
    </row>
    <row r="493">
      <c r="A493" s="32" t="str">
        <f>IFERROR(__xludf.DUMMYFUNCTION("""COMPUTED_VALUE"""),"Storm Elemental")</f>
        <v>Storm Elemental</v>
      </c>
      <c r="B493" s="32"/>
      <c r="C493" s="32"/>
      <c r="D493" s="32" t="str">
        <f>IFERROR(__xludf.DUMMYFUNCTION("""COMPUTED_VALUE"""),"Immune")</f>
        <v>Immune</v>
      </c>
      <c r="E493" s="32" t="str">
        <f>IFERROR(__xludf.DUMMYFUNCTION("""COMPUTED_VALUE"""),"Immune")</f>
        <v>Immune</v>
      </c>
      <c r="F493" s="32"/>
      <c r="G493" s="32"/>
      <c r="H493" s="32"/>
      <c r="I493" s="32"/>
      <c r="J493" s="32"/>
      <c r="K493" s="32" t="str">
        <f>IFERROR(__xludf.DUMMYFUNCTION("""COMPUTED_VALUE"""),"Immune")</f>
        <v>Immune</v>
      </c>
      <c r="L493" s="32"/>
      <c r="M493" s="32"/>
      <c r="N493" s="32"/>
      <c r="O493" s="32"/>
      <c r="P493" s="32"/>
      <c r="Q493" s="32"/>
      <c r="R493" s="32" t="str">
        <f>IFERROR(__xludf.DUMMYFUNCTION("""COMPUTED_VALUE"""),"Immune")</f>
        <v>Immune</v>
      </c>
      <c r="S493" s="32"/>
      <c r="T493" s="32"/>
      <c r="U493" s="32"/>
      <c r="V493" s="32"/>
      <c r="W493" s="32"/>
      <c r="X493" s="32" t="str">
        <f>IFERROR(__xludf.DUMMYFUNCTION("""COMPUTED_VALUE"""),"Immune")</f>
        <v>Immune</v>
      </c>
      <c r="Y493" s="32"/>
      <c r="Z493" s="32"/>
      <c r="AA493" s="32" t="str">
        <f>IFERROR(__xludf.DUMMYFUNCTION("""COMPUTED_VALUE"""),"Immune")</f>
        <v>Immune</v>
      </c>
      <c r="AB493" s="32"/>
      <c r="AC493" s="32"/>
      <c r="AD493" s="32"/>
      <c r="AE493" s="32"/>
      <c r="AF493" s="32"/>
      <c r="AG493" s="32"/>
      <c r="AH493" s="32"/>
      <c r="AI493" s="32"/>
      <c r="AJ493" s="32"/>
      <c r="AK493" s="32"/>
    </row>
    <row r="494">
      <c r="A494" s="32" t="str">
        <f>IFERROR(__xludf.DUMMYFUNCTION("""COMPUTED_VALUE"""),"Lightning Elemental")</f>
        <v>Lightning Elemental</v>
      </c>
      <c r="B494" s="32"/>
      <c r="C494" s="32"/>
      <c r="D494" s="32" t="str">
        <f>IFERROR(__xludf.DUMMYFUNCTION("""COMPUTED_VALUE"""),"Immune")</f>
        <v>Immune</v>
      </c>
      <c r="E494" s="32" t="str">
        <f>IFERROR(__xludf.DUMMYFUNCTION("""COMPUTED_VALUE"""),"Immune")</f>
        <v>Immune</v>
      </c>
      <c r="F494" s="32"/>
      <c r="G494" s="32"/>
      <c r="H494" s="32"/>
      <c r="I494" s="32"/>
      <c r="J494" s="32"/>
      <c r="K494" s="32" t="str">
        <f>IFERROR(__xludf.DUMMYFUNCTION("""COMPUTED_VALUE"""),"Immune")</f>
        <v>Immune</v>
      </c>
      <c r="L494" s="32"/>
      <c r="M494" s="32"/>
      <c r="N494" s="32"/>
      <c r="O494" s="32"/>
      <c r="P494" s="32"/>
      <c r="Q494" s="32"/>
      <c r="R494" s="32" t="str">
        <f>IFERROR(__xludf.DUMMYFUNCTION("""COMPUTED_VALUE"""),"Immune")</f>
        <v>Immune</v>
      </c>
      <c r="S494" s="32"/>
      <c r="T494" s="32"/>
      <c r="U494" s="32"/>
      <c r="V494" s="32"/>
      <c r="W494" s="32"/>
      <c r="X494" s="32" t="str">
        <f>IFERROR(__xludf.DUMMYFUNCTION("""COMPUTED_VALUE"""),"Immune")</f>
        <v>Immune</v>
      </c>
      <c r="Y494" s="32"/>
      <c r="Z494" s="32"/>
      <c r="AA494" s="32" t="str">
        <f>IFERROR(__xludf.DUMMYFUNCTION("""COMPUTED_VALUE"""),"Immune")</f>
        <v>Immune</v>
      </c>
      <c r="AB494" s="32"/>
      <c r="AC494" s="32"/>
      <c r="AD494" s="32"/>
      <c r="AE494" s="32"/>
      <c r="AF494" s="32"/>
      <c r="AG494" s="32"/>
      <c r="AH494" s="32"/>
      <c r="AI494" s="32"/>
      <c r="AJ494" s="32"/>
      <c r="AK494" s="32"/>
    </row>
    <row r="495">
      <c r="A495" s="32" t="str">
        <f>IFERROR(__xludf.DUMMYFUNCTION("""COMPUTED_VALUE"""),"Ancient Storm Elemental")</f>
        <v>Ancient Storm Elemental</v>
      </c>
      <c r="B495" s="32"/>
      <c r="C495" s="32"/>
      <c r="D495" s="32" t="str">
        <f>IFERROR(__xludf.DUMMYFUNCTION("""COMPUTED_VALUE"""),"Immune")</f>
        <v>Immune</v>
      </c>
      <c r="E495" s="32" t="str">
        <f>IFERROR(__xludf.DUMMYFUNCTION("""COMPUTED_VALUE"""),"Immune")</f>
        <v>Immune</v>
      </c>
      <c r="F495" s="32"/>
      <c r="G495" s="32"/>
      <c r="H495" s="32"/>
      <c r="I495" s="32"/>
      <c r="J495" s="32"/>
      <c r="K495" s="32" t="str">
        <f>IFERROR(__xludf.DUMMYFUNCTION("""COMPUTED_VALUE"""),"Immune")</f>
        <v>Immune</v>
      </c>
      <c r="L495" s="32"/>
      <c r="M495" s="32"/>
      <c r="N495" s="32"/>
      <c r="O495" s="32"/>
      <c r="P495" s="32"/>
      <c r="Q495" s="32"/>
      <c r="R495" s="32" t="str">
        <f>IFERROR(__xludf.DUMMYFUNCTION("""COMPUTED_VALUE"""),"Immune")</f>
        <v>Immune</v>
      </c>
      <c r="S495" s="32"/>
      <c r="T495" s="32"/>
      <c r="U495" s="32"/>
      <c r="V495" s="32"/>
      <c r="W495" s="32"/>
      <c r="X495" s="32" t="str">
        <f>IFERROR(__xludf.DUMMYFUNCTION("""COMPUTED_VALUE"""),"Immune")</f>
        <v>Immune</v>
      </c>
      <c r="Y495" s="32" t="str">
        <f>IFERROR(__xludf.DUMMYFUNCTION("""COMPUTED_VALUE"""),"Immune")</f>
        <v>Immune</v>
      </c>
      <c r="Z495" s="32"/>
      <c r="AA495" s="32" t="str">
        <f>IFERROR(__xludf.DUMMYFUNCTION("""COMPUTED_VALUE"""),"Immune")</f>
        <v>Immune</v>
      </c>
      <c r="AB495" s="32"/>
      <c r="AC495" s="32"/>
      <c r="AD495" s="32"/>
      <c r="AE495" s="32"/>
      <c r="AF495" s="32"/>
      <c r="AG495" s="32"/>
      <c r="AH495" s="32"/>
      <c r="AI495" s="32"/>
      <c r="AJ495" s="32"/>
      <c r="AK495" s="32"/>
    </row>
    <row r="496">
      <c r="A496" s="32" t="str">
        <f>IFERROR(__xludf.DUMMYFUNCTION("""COMPUTED_VALUE"""),"Lathom, Ancient Penumbral Elemental of Insanity")</f>
        <v>Lathom, Ancient Penumbral Elemental of Insanity</v>
      </c>
      <c r="B496" s="32">
        <f>IFERROR(__xludf.DUMMYFUNCTION("""COMPUTED_VALUE"""),250.0)</f>
        <v>250</v>
      </c>
      <c r="C496" s="32">
        <f>IFERROR(__xludf.DUMMYFUNCTION("""COMPUTED_VALUE"""),250.0)</f>
        <v>250</v>
      </c>
      <c r="D496" s="32">
        <f>IFERROR(__xludf.DUMMYFUNCTION("""COMPUTED_VALUE"""),250.0)</f>
        <v>250</v>
      </c>
      <c r="E496" s="32">
        <f>IFERROR(__xludf.DUMMYFUNCTION("""COMPUTED_VALUE"""),250.0)</f>
        <v>250</v>
      </c>
      <c r="F496" s="32"/>
      <c r="G496" s="32" t="str">
        <f>IFERROR(__xludf.DUMMYFUNCTION("""COMPUTED_VALUE"""),"Immune")</f>
        <v>Immune</v>
      </c>
      <c r="H496" s="32"/>
      <c r="I496" s="32"/>
      <c r="J496" s="32" t="str">
        <f>IFERROR(__xludf.DUMMYFUNCTION("""COMPUTED_VALUE"""),"Immune")</f>
        <v>Immune</v>
      </c>
      <c r="K496" s="32">
        <f>IFERROR(__xludf.DUMMYFUNCTION("""COMPUTED_VALUE"""),250.0)</f>
        <v>250</v>
      </c>
      <c r="L496" s="32"/>
      <c r="M496" s="32"/>
      <c r="N496" s="32"/>
      <c r="O496" s="32"/>
      <c r="P496" s="32"/>
      <c r="Q496" s="32"/>
      <c r="R496" s="32" t="str">
        <f>IFERROR(__xludf.DUMMYFUNCTION("""COMPUTED_VALUE"""),"Immune")</f>
        <v>Immune</v>
      </c>
      <c r="S496" s="32"/>
      <c r="T496" s="32"/>
      <c r="U496" s="32"/>
      <c r="V496" s="32"/>
      <c r="W496" s="32"/>
      <c r="X496" s="32" t="str">
        <f>IFERROR(__xludf.DUMMYFUNCTION("""COMPUTED_VALUE"""),"Immune")</f>
        <v>Immune</v>
      </c>
      <c r="Y496" s="32" t="str">
        <f>IFERROR(__xludf.DUMMYFUNCTION("""COMPUTED_VALUE"""),"Immune")</f>
        <v>Immune</v>
      </c>
      <c r="Z496" s="32"/>
      <c r="AA496" s="32" t="str">
        <f>IFERROR(__xludf.DUMMYFUNCTION("""COMPUTED_VALUE"""),"Immune")</f>
        <v>Immune</v>
      </c>
      <c r="AB496" s="32"/>
      <c r="AC496" s="32"/>
      <c r="AD496" s="32"/>
      <c r="AE496" s="32"/>
      <c r="AF496" s="32"/>
      <c r="AG496" s="32"/>
      <c r="AH496" s="32"/>
      <c r="AI496" s="32"/>
      <c r="AJ496" s="32"/>
      <c r="AK496" s="32"/>
    </row>
    <row r="497">
      <c r="A497" s="32" t="str">
        <f>IFERROR(__xludf.DUMMYFUNCTION("""COMPUTED_VALUE"""),"Aspect of The First Dragon Keeper (Easy)")</f>
        <v>Aspect of The First Dragon Keeper (Easy)</v>
      </c>
      <c r="B497" s="32">
        <f>IFERROR(__xludf.DUMMYFUNCTION("""COMPUTED_VALUE"""),250.0)</f>
        <v>250</v>
      </c>
      <c r="C497" s="32">
        <f>IFERROR(__xludf.DUMMYFUNCTION("""COMPUTED_VALUE"""),250.0)</f>
        <v>250</v>
      </c>
      <c r="D497" s="32">
        <f>IFERROR(__xludf.DUMMYFUNCTION("""COMPUTED_VALUE"""),250.0)</f>
        <v>250</v>
      </c>
      <c r="E497" s="32">
        <f>IFERROR(__xludf.DUMMYFUNCTION("""COMPUTED_VALUE"""),250.0)</f>
        <v>250</v>
      </c>
      <c r="F497" s="32">
        <f>IFERROR(__xludf.DUMMYFUNCTION("""COMPUTED_VALUE"""),250.0)</f>
        <v>250</v>
      </c>
      <c r="G497" s="32">
        <f>IFERROR(__xludf.DUMMYFUNCTION("""COMPUTED_VALUE"""),250.0)</f>
        <v>250</v>
      </c>
      <c r="H497" s="32">
        <f>IFERROR(__xludf.DUMMYFUNCTION("""COMPUTED_VALUE"""),250.0)</f>
        <v>250</v>
      </c>
      <c r="I497" s="32">
        <f>IFERROR(__xludf.DUMMYFUNCTION("""COMPUTED_VALUE"""),250.0)</f>
        <v>250</v>
      </c>
      <c r="J497" s="32">
        <f>IFERROR(__xludf.DUMMYFUNCTION("""COMPUTED_VALUE"""),250.0)</f>
        <v>250</v>
      </c>
      <c r="K497" s="32">
        <f>IFERROR(__xludf.DUMMYFUNCTION("""COMPUTED_VALUE"""),250.0)</f>
        <v>250</v>
      </c>
      <c r="L497" s="32"/>
      <c r="M497" s="32"/>
      <c r="N497" s="32"/>
      <c r="O497" s="32">
        <f>IFERROR(__xludf.DUMMYFUNCTION("""COMPUTED_VALUE"""),250.0)</f>
        <v>250</v>
      </c>
      <c r="P497" s="32">
        <f>IFERROR(__xludf.DUMMYFUNCTION("""COMPUTED_VALUE"""),250.0)</f>
        <v>250</v>
      </c>
      <c r="Q497" s="32">
        <f>IFERROR(__xludf.DUMMYFUNCTION("""COMPUTED_VALUE"""),250.0)</f>
        <v>250</v>
      </c>
      <c r="R497" s="32">
        <f>IFERROR(__xludf.DUMMYFUNCTION("""COMPUTED_VALUE"""),250.0)</f>
        <v>250</v>
      </c>
      <c r="S497" s="32">
        <f>IFERROR(__xludf.DUMMYFUNCTION("""COMPUTED_VALUE"""),250.0)</f>
        <v>250</v>
      </c>
      <c r="T497" s="32">
        <f>IFERROR(__xludf.DUMMYFUNCTION("""COMPUTED_VALUE"""),250.0)</f>
        <v>250</v>
      </c>
      <c r="U497" s="32">
        <f>IFERROR(__xludf.DUMMYFUNCTION("""COMPUTED_VALUE"""),250.0)</f>
        <v>250</v>
      </c>
      <c r="V497" s="32">
        <f>IFERROR(__xludf.DUMMYFUNCTION("""COMPUTED_VALUE"""),250.0)</f>
        <v>250</v>
      </c>
      <c r="W497" s="32">
        <f>IFERROR(__xludf.DUMMYFUNCTION("""COMPUTED_VALUE"""),250.0)</f>
        <v>250</v>
      </c>
      <c r="X497" s="32" t="str">
        <f>IFERROR(__xludf.DUMMYFUNCTION("""COMPUTED_VALUE"""),"Immune")</f>
        <v>Immune</v>
      </c>
      <c r="Y497" s="32" t="str">
        <f>IFERROR(__xludf.DUMMYFUNCTION("""COMPUTED_VALUE"""),"Immune")</f>
        <v>Immune</v>
      </c>
      <c r="Z497" s="32"/>
      <c r="AA497" s="32" t="str">
        <f>IFERROR(__xludf.DUMMYFUNCTION("""COMPUTED_VALUE"""),"Immune")</f>
        <v>Immune</v>
      </c>
      <c r="AB497" s="32"/>
      <c r="AC497" s="32">
        <f>IFERROR(__xludf.DUMMYFUNCTION("""COMPUTED_VALUE"""),250.0)</f>
        <v>250</v>
      </c>
      <c r="AD497" s="32"/>
      <c r="AE497" s="32"/>
      <c r="AF497" s="32"/>
      <c r="AG497" s="32"/>
      <c r="AH497" s="32"/>
      <c r="AI497" s="32"/>
      <c r="AJ497" s="32"/>
      <c r="AK497" s="32"/>
    </row>
    <row r="498">
      <c r="A498" s="32" t="str">
        <f>IFERROR(__xludf.DUMMYFUNCTION("""COMPUTED_VALUE"""),"Aspect of The First Dragon Keeper (Medium)")</f>
        <v>Aspect of The First Dragon Keeper (Medium)</v>
      </c>
      <c r="B498" s="32">
        <f>IFERROR(__xludf.DUMMYFUNCTION("""COMPUTED_VALUE"""),500.0)</f>
        <v>500</v>
      </c>
      <c r="C498" s="32">
        <f>IFERROR(__xludf.DUMMYFUNCTION("""COMPUTED_VALUE"""),500.0)</f>
        <v>500</v>
      </c>
      <c r="D498" s="32">
        <f>IFERROR(__xludf.DUMMYFUNCTION("""COMPUTED_VALUE"""),500.0)</f>
        <v>500</v>
      </c>
      <c r="E498" s="32">
        <f>IFERROR(__xludf.DUMMYFUNCTION("""COMPUTED_VALUE"""),500.0)</f>
        <v>500</v>
      </c>
      <c r="F498" s="32">
        <f>IFERROR(__xludf.DUMMYFUNCTION("""COMPUTED_VALUE"""),500.0)</f>
        <v>500</v>
      </c>
      <c r="G498" s="32">
        <f>IFERROR(__xludf.DUMMYFUNCTION("""COMPUTED_VALUE"""),500.0)</f>
        <v>500</v>
      </c>
      <c r="H498" s="32">
        <f>IFERROR(__xludf.DUMMYFUNCTION("""COMPUTED_VALUE"""),500.0)</f>
        <v>500</v>
      </c>
      <c r="I498" s="32">
        <f>IFERROR(__xludf.DUMMYFUNCTION("""COMPUTED_VALUE"""),500.0)</f>
        <v>500</v>
      </c>
      <c r="J498" s="32">
        <f>IFERROR(__xludf.DUMMYFUNCTION("""COMPUTED_VALUE"""),500.0)</f>
        <v>500</v>
      </c>
      <c r="K498" s="32">
        <f>IFERROR(__xludf.DUMMYFUNCTION("""COMPUTED_VALUE"""),500.0)</f>
        <v>500</v>
      </c>
      <c r="L498" s="32"/>
      <c r="M498" s="32"/>
      <c r="N498" s="32"/>
      <c r="O498" s="32">
        <f>IFERROR(__xludf.DUMMYFUNCTION("""COMPUTED_VALUE"""),500.0)</f>
        <v>500</v>
      </c>
      <c r="P498" s="32">
        <f>IFERROR(__xludf.DUMMYFUNCTION("""COMPUTED_VALUE"""),500.0)</f>
        <v>500</v>
      </c>
      <c r="Q498" s="32">
        <f>IFERROR(__xludf.DUMMYFUNCTION("""COMPUTED_VALUE"""),500.0)</f>
        <v>500</v>
      </c>
      <c r="R498" s="32">
        <f>IFERROR(__xludf.DUMMYFUNCTION("""COMPUTED_VALUE"""),500.0)</f>
        <v>500</v>
      </c>
      <c r="S498" s="32">
        <f>IFERROR(__xludf.DUMMYFUNCTION("""COMPUTED_VALUE"""),500.0)</f>
        <v>500</v>
      </c>
      <c r="T498" s="32">
        <f>IFERROR(__xludf.DUMMYFUNCTION("""COMPUTED_VALUE"""),500.0)</f>
        <v>500</v>
      </c>
      <c r="U498" s="32">
        <f>IFERROR(__xludf.DUMMYFUNCTION("""COMPUTED_VALUE"""),500.0)</f>
        <v>500</v>
      </c>
      <c r="V498" s="32">
        <f>IFERROR(__xludf.DUMMYFUNCTION("""COMPUTED_VALUE"""),500.0)</f>
        <v>500</v>
      </c>
      <c r="W498" s="32">
        <f>IFERROR(__xludf.DUMMYFUNCTION("""COMPUTED_VALUE"""),500.0)</f>
        <v>500</v>
      </c>
      <c r="X498" s="32" t="str">
        <f>IFERROR(__xludf.DUMMYFUNCTION("""COMPUTED_VALUE"""),"Immune")</f>
        <v>Immune</v>
      </c>
      <c r="Y498" s="32" t="str">
        <f>IFERROR(__xludf.DUMMYFUNCTION("""COMPUTED_VALUE"""),"Immune")</f>
        <v>Immune</v>
      </c>
      <c r="Z498" s="32"/>
      <c r="AA498" s="32" t="str">
        <f>IFERROR(__xludf.DUMMYFUNCTION("""COMPUTED_VALUE"""),"Immune")</f>
        <v>Immune</v>
      </c>
      <c r="AB498" s="32"/>
      <c r="AC498" s="32">
        <f>IFERROR(__xludf.DUMMYFUNCTION("""COMPUTED_VALUE"""),500.0)</f>
        <v>500</v>
      </c>
      <c r="AD498" s="32"/>
      <c r="AE498" s="32"/>
      <c r="AF498" s="32"/>
      <c r="AG498" s="32"/>
      <c r="AH498" s="32"/>
      <c r="AI498" s="32"/>
      <c r="AJ498" s="32"/>
      <c r="AK498" s="32"/>
    </row>
    <row r="499">
      <c r="A499" s="32" t="str">
        <f>IFERROR(__xludf.DUMMYFUNCTION("""COMPUTED_VALUE"""),"Aspect of The First Dragon Keeper (Hard)")</f>
        <v>Aspect of The First Dragon Keeper (Hard)</v>
      </c>
      <c r="B499" s="32">
        <f>IFERROR(__xludf.DUMMYFUNCTION("""COMPUTED_VALUE"""),750.0)</f>
        <v>750</v>
      </c>
      <c r="C499" s="32">
        <f>IFERROR(__xludf.DUMMYFUNCTION("""COMPUTED_VALUE"""),750.0)</f>
        <v>750</v>
      </c>
      <c r="D499" s="32">
        <f>IFERROR(__xludf.DUMMYFUNCTION("""COMPUTED_VALUE"""),750.0)</f>
        <v>750</v>
      </c>
      <c r="E499" s="32">
        <f>IFERROR(__xludf.DUMMYFUNCTION("""COMPUTED_VALUE"""),750.0)</f>
        <v>750</v>
      </c>
      <c r="F499" s="32">
        <f>IFERROR(__xludf.DUMMYFUNCTION("""COMPUTED_VALUE"""),750.0)</f>
        <v>750</v>
      </c>
      <c r="G499" s="32">
        <f>IFERROR(__xludf.DUMMYFUNCTION("""COMPUTED_VALUE"""),750.0)</f>
        <v>750</v>
      </c>
      <c r="H499" s="32">
        <f>IFERROR(__xludf.DUMMYFUNCTION("""COMPUTED_VALUE"""),750.0)</f>
        <v>750</v>
      </c>
      <c r="I499" s="32">
        <f>IFERROR(__xludf.DUMMYFUNCTION("""COMPUTED_VALUE"""),750.0)</f>
        <v>750</v>
      </c>
      <c r="J499" s="32">
        <f>IFERROR(__xludf.DUMMYFUNCTION("""COMPUTED_VALUE"""),750.0)</f>
        <v>750</v>
      </c>
      <c r="K499" s="32">
        <f>IFERROR(__xludf.DUMMYFUNCTION("""COMPUTED_VALUE"""),750.0)</f>
        <v>750</v>
      </c>
      <c r="L499" s="32"/>
      <c r="M499" s="32"/>
      <c r="N499" s="32"/>
      <c r="O499" s="32">
        <f>IFERROR(__xludf.DUMMYFUNCTION("""COMPUTED_VALUE"""),750.0)</f>
        <v>750</v>
      </c>
      <c r="P499" s="32">
        <f>IFERROR(__xludf.DUMMYFUNCTION("""COMPUTED_VALUE"""),750.0)</f>
        <v>750</v>
      </c>
      <c r="Q499" s="32">
        <f>IFERROR(__xludf.DUMMYFUNCTION("""COMPUTED_VALUE"""),750.0)</f>
        <v>750</v>
      </c>
      <c r="R499" s="32">
        <f>IFERROR(__xludf.DUMMYFUNCTION("""COMPUTED_VALUE"""),750.0)</f>
        <v>750</v>
      </c>
      <c r="S499" s="32">
        <f>IFERROR(__xludf.DUMMYFUNCTION("""COMPUTED_VALUE"""),750.0)</f>
        <v>750</v>
      </c>
      <c r="T499" s="32">
        <f>IFERROR(__xludf.DUMMYFUNCTION("""COMPUTED_VALUE"""),750.0)</f>
        <v>750</v>
      </c>
      <c r="U499" s="32">
        <f>IFERROR(__xludf.DUMMYFUNCTION("""COMPUTED_VALUE"""),750.0)</f>
        <v>750</v>
      </c>
      <c r="V499" s="32">
        <f>IFERROR(__xludf.DUMMYFUNCTION("""COMPUTED_VALUE"""),750.0)</f>
        <v>750</v>
      </c>
      <c r="W499" s="32">
        <f>IFERROR(__xludf.DUMMYFUNCTION("""COMPUTED_VALUE"""),750.0)</f>
        <v>750</v>
      </c>
      <c r="X499" s="32" t="str">
        <f>IFERROR(__xludf.DUMMYFUNCTION("""COMPUTED_VALUE"""),"Immune")</f>
        <v>Immune</v>
      </c>
      <c r="Y499" s="32" t="str">
        <f>IFERROR(__xludf.DUMMYFUNCTION("""COMPUTED_VALUE"""),"Immune")</f>
        <v>Immune</v>
      </c>
      <c r="Z499" s="32"/>
      <c r="AA499" s="32" t="str">
        <f>IFERROR(__xludf.DUMMYFUNCTION("""COMPUTED_VALUE"""),"Immune")</f>
        <v>Immune</v>
      </c>
      <c r="AB499" s="32"/>
      <c r="AC499" s="32">
        <f>IFERROR(__xludf.DUMMYFUNCTION("""COMPUTED_VALUE"""),750.0)</f>
        <v>750</v>
      </c>
      <c r="AD499" s="32"/>
      <c r="AE499" s="32"/>
      <c r="AF499" s="32"/>
      <c r="AG499" s="32"/>
      <c r="AH499" s="32"/>
      <c r="AI499" s="32"/>
      <c r="AJ499" s="32"/>
      <c r="AK499" s="32"/>
    </row>
    <row r="500">
      <c r="A500" s="32" t="str">
        <f>IFERROR(__xludf.DUMMYFUNCTION("""COMPUTED_VALUE"""),"Aspect of The First Dragon Keeper (Insane)")</f>
        <v>Aspect of The First Dragon Keeper (Insane)</v>
      </c>
      <c r="B500" s="32">
        <f>IFERROR(__xludf.DUMMYFUNCTION("""COMPUTED_VALUE"""),1000.0)</f>
        <v>1000</v>
      </c>
      <c r="C500" s="32">
        <f>IFERROR(__xludf.DUMMYFUNCTION("""COMPUTED_VALUE"""),1000.0)</f>
        <v>1000</v>
      </c>
      <c r="D500" s="32">
        <f>IFERROR(__xludf.DUMMYFUNCTION("""COMPUTED_VALUE"""),1000.0)</f>
        <v>1000</v>
      </c>
      <c r="E500" s="32">
        <f>IFERROR(__xludf.DUMMYFUNCTION("""COMPUTED_VALUE"""),1000.0)</f>
        <v>1000</v>
      </c>
      <c r="F500" s="32">
        <f>IFERROR(__xludf.DUMMYFUNCTION("""COMPUTED_VALUE"""),1000.0)</f>
        <v>1000</v>
      </c>
      <c r="G500" s="32">
        <f>IFERROR(__xludf.DUMMYFUNCTION("""COMPUTED_VALUE"""),1000.0)</f>
        <v>1000</v>
      </c>
      <c r="H500" s="32">
        <f>IFERROR(__xludf.DUMMYFUNCTION("""COMPUTED_VALUE"""),1000.0)</f>
        <v>1000</v>
      </c>
      <c r="I500" s="32">
        <f>IFERROR(__xludf.DUMMYFUNCTION("""COMPUTED_VALUE"""),1000.0)</f>
        <v>1000</v>
      </c>
      <c r="J500" s="32">
        <f>IFERROR(__xludf.DUMMYFUNCTION("""COMPUTED_VALUE"""),1000.0)</f>
        <v>1000</v>
      </c>
      <c r="K500" s="32">
        <f>IFERROR(__xludf.DUMMYFUNCTION("""COMPUTED_VALUE"""),1000.0)</f>
        <v>1000</v>
      </c>
      <c r="L500" s="32"/>
      <c r="M500" s="32"/>
      <c r="N500" s="32"/>
      <c r="O500" s="32">
        <f>IFERROR(__xludf.DUMMYFUNCTION("""COMPUTED_VALUE"""),1000.0)</f>
        <v>1000</v>
      </c>
      <c r="P500" s="32">
        <f>IFERROR(__xludf.DUMMYFUNCTION("""COMPUTED_VALUE"""),1000.0)</f>
        <v>1000</v>
      </c>
      <c r="Q500" s="32">
        <f>IFERROR(__xludf.DUMMYFUNCTION("""COMPUTED_VALUE"""),1000.0)</f>
        <v>1000</v>
      </c>
      <c r="R500" s="32">
        <f>IFERROR(__xludf.DUMMYFUNCTION("""COMPUTED_VALUE"""),1000.0)</f>
        <v>1000</v>
      </c>
      <c r="S500" s="32">
        <f>IFERROR(__xludf.DUMMYFUNCTION("""COMPUTED_VALUE"""),1000.0)</f>
        <v>1000</v>
      </c>
      <c r="T500" s="32">
        <f>IFERROR(__xludf.DUMMYFUNCTION("""COMPUTED_VALUE"""),1000.0)</f>
        <v>1000</v>
      </c>
      <c r="U500" s="32">
        <f>IFERROR(__xludf.DUMMYFUNCTION("""COMPUTED_VALUE"""),1000.0)</f>
        <v>1000</v>
      </c>
      <c r="V500" s="32">
        <f>IFERROR(__xludf.DUMMYFUNCTION("""COMPUTED_VALUE"""),1000.0)</f>
        <v>1000</v>
      </c>
      <c r="W500" s="32">
        <f>IFERROR(__xludf.DUMMYFUNCTION("""COMPUTED_VALUE"""),1000.0)</f>
        <v>1000</v>
      </c>
      <c r="X500" s="32" t="str">
        <f>IFERROR(__xludf.DUMMYFUNCTION("""COMPUTED_VALUE"""),"Immune")</f>
        <v>Immune</v>
      </c>
      <c r="Y500" s="32" t="str">
        <f>IFERROR(__xludf.DUMMYFUNCTION("""COMPUTED_VALUE"""),"Immune")</f>
        <v>Immune</v>
      </c>
      <c r="Z500" s="32"/>
      <c r="AA500" s="32" t="str">
        <f>IFERROR(__xludf.DUMMYFUNCTION("""COMPUTED_VALUE"""),"Immune")</f>
        <v>Immune</v>
      </c>
      <c r="AB500" s="32"/>
      <c r="AC500" s="32">
        <f>IFERROR(__xludf.DUMMYFUNCTION("""COMPUTED_VALUE"""),1000.0)</f>
        <v>1000</v>
      </c>
      <c r="AD500" s="32"/>
      <c r="AE500" s="32"/>
      <c r="AF500" s="32"/>
      <c r="AG500" s="32"/>
      <c r="AH500" s="32"/>
      <c r="AI500" s="32"/>
      <c r="AJ500" s="32"/>
      <c r="AK500" s="32"/>
    </row>
    <row r="501">
      <c r="A501" s="32" t="str">
        <f>IFERROR(__xludf.DUMMYFUNCTION("""COMPUTED_VALUE"""),"The First Dragon Keeper")</f>
        <v>The First Dragon Keeper</v>
      </c>
      <c r="B501" s="32"/>
      <c r="C501" s="32"/>
      <c r="D501" s="32"/>
      <c r="E501" s="32"/>
      <c r="F501" s="32"/>
      <c r="G501" s="32"/>
      <c r="H501" s="32"/>
      <c r="I501" s="32"/>
      <c r="J501" s="32"/>
      <c r="K501" s="32"/>
      <c r="L501" s="32"/>
      <c r="M501" s="32"/>
      <c r="N501" s="32"/>
      <c r="O501" s="32"/>
      <c r="P501" s="32"/>
      <c r="Q501" s="32"/>
      <c r="R501" s="32"/>
      <c r="S501" s="32"/>
      <c r="T501" s="32"/>
      <c r="U501" s="32"/>
      <c r="V501" s="32"/>
      <c r="W501" s="32"/>
      <c r="X501" s="32" t="str">
        <f>IFERROR(__xludf.DUMMYFUNCTION("""COMPUTED_VALUE"""),"Immune")</f>
        <v>Immune</v>
      </c>
      <c r="Y501" s="32" t="str">
        <f>IFERROR(__xludf.DUMMYFUNCTION("""COMPUTED_VALUE"""),"Immune")</f>
        <v>Immune</v>
      </c>
      <c r="Z501" s="32"/>
      <c r="AA501" s="32" t="str">
        <f>IFERROR(__xludf.DUMMYFUNCTION("""COMPUTED_VALUE"""),"Immune")</f>
        <v>Immune</v>
      </c>
      <c r="AB501" s="32"/>
      <c r="AC501" s="32"/>
      <c r="AD501" s="32"/>
      <c r="AE501" s="32"/>
      <c r="AF501" s="32"/>
      <c r="AG501" s="32"/>
      <c r="AH501" s="32"/>
      <c r="AI501" s="32"/>
      <c r="AJ501" s="32"/>
      <c r="AK501" s="32"/>
    </row>
    <row r="502">
      <c r="A502" s="32" t="str">
        <f>IFERROR(__xludf.DUMMYFUNCTION("""COMPUTED_VALUE"""),"Dragonian Warden")</f>
        <v>Dragonian Warden</v>
      </c>
      <c r="B502" s="32"/>
      <c r="C502" s="32"/>
      <c r="D502" s="32"/>
      <c r="E502" s="32"/>
      <c r="F502" s="32"/>
      <c r="G502" s="32"/>
      <c r="H502" s="32"/>
      <c r="I502" s="32"/>
      <c r="J502" s="32">
        <f>IFERROR(__xludf.DUMMYFUNCTION("""COMPUTED_VALUE"""),100.0)</f>
        <v>100</v>
      </c>
      <c r="K502" s="32"/>
      <c r="L502" s="32"/>
      <c r="M502" s="32"/>
      <c r="N502" s="32"/>
      <c r="O502" s="32"/>
      <c r="P502" s="32"/>
      <c r="Q502" s="32"/>
      <c r="R502" s="32"/>
      <c r="S502" s="32"/>
      <c r="T502" s="32"/>
      <c r="U502" s="32"/>
      <c r="V502" s="32"/>
      <c r="W502" s="32"/>
      <c r="X502" s="32" t="str">
        <f>IFERROR(__xludf.DUMMYFUNCTION("""COMPUTED_VALUE"""),"Immune")</f>
        <v>Immune</v>
      </c>
      <c r="Y502" s="32" t="str">
        <f>IFERROR(__xludf.DUMMYFUNCTION("""COMPUTED_VALUE"""),"Immune")</f>
        <v>Immune</v>
      </c>
      <c r="Z502" s="32"/>
      <c r="AA502" s="32"/>
      <c r="AB502" s="32"/>
      <c r="AC502" s="32"/>
      <c r="AD502" s="32"/>
      <c r="AE502" s="32"/>
      <c r="AF502" s="32"/>
      <c r="AG502" s="32"/>
      <c r="AH502" s="32"/>
      <c r="AI502" s="32"/>
      <c r="AJ502" s="32"/>
      <c r="AK502" s="32"/>
    </row>
    <row r="503">
      <c r="A503" s="32" t="str">
        <f>IFERROR(__xludf.DUMMYFUNCTION("""COMPUTED_VALUE"""),"Dragonian Inmate")</f>
        <v>Dragonian Inmate</v>
      </c>
      <c r="B503" s="32"/>
      <c r="C503" s="32"/>
      <c r="D503" s="32"/>
      <c r="E503" s="32"/>
      <c r="F503" s="32"/>
      <c r="G503" s="32"/>
      <c r="H503" s="32"/>
      <c r="I503" s="32">
        <f>IFERROR(__xludf.DUMMYFUNCTION("""COMPUTED_VALUE"""),100.0)</f>
        <v>100</v>
      </c>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row>
    <row r="504">
      <c r="A504" s="32" t="str">
        <f>IFERROR(__xludf.DUMMYFUNCTION("""COMPUTED_VALUE"""),"Sand Worm Queen")</f>
        <v>Sand Worm Queen</v>
      </c>
      <c r="B504" s="32" t="str">
        <f>IFERROR(__xludf.DUMMYFUNCTION("""COMPUTED_VALUE"""),"Immune")</f>
        <v>Immune</v>
      </c>
      <c r="C504" s="32" t="str">
        <f>IFERROR(__xludf.DUMMYFUNCTION("""COMPUTED_VALUE"""),"Immune")</f>
        <v>Immune</v>
      </c>
      <c r="D504" s="32"/>
      <c r="E504" s="32"/>
      <c r="F504" s="32"/>
      <c r="G504" s="32"/>
      <c r="H504" s="32"/>
      <c r="I504" s="32"/>
      <c r="J504" s="32"/>
      <c r="K504" s="32"/>
      <c r="L504" s="32"/>
      <c r="M504" s="32"/>
      <c r="N504" s="32"/>
      <c r="O504" s="32"/>
      <c r="P504" s="32"/>
      <c r="Q504" s="32"/>
      <c r="R504" s="32"/>
      <c r="S504" s="32"/>
      <c r="T504" s="32"/>
      <c r="U504" s="32"/>
      <c r="V504" s="32"/>
      <c r="W504" s="32"/>
      <c r="X504" s="32" t="str">
        <f>IFERROR(__xludf.DUMMYFUNCTION("""COMPUTED_VALUE"""),"Immune")</f>
        <v>Immune</v>
      </c>
      <c r="Y504" s="32" t="str">
        <f>IFERROR(__xludf.DUMMYFUNCTION("""COMPUTED_VALUE"""),"Immune")</f>
        <v>Immune</v>
      </c>
      <c r="Z504" s="32"/>
      <c r="AA504" s="32" t="str">
        <f>IFERROR(__xludf.DUMMYFUNCTION("""COMPUTED_VALUE"""),"Immune")</f>
        <v>Immune</v>
      </c>
      <c r="AB504" s="32"/>
      <c r="AC504" s="32"/>
      <c r="AD504" s="32"/>
      <c r="AE504" s="32"/>
      <c r="AF504" s="32"/>
      <c r="AG504" s="32"/>
      <c r="AH504" s="32"/>
      <c r="AI504" s="32"/>
      <c r="AJ504" s="32"/>
      <c r="AK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tr">
        <f>IFERROR(__xludf.DUMMYFUNCTION("IMPORTRANGE(""https://docs.google.com/spreadsheets/d/1HXoAI5UG3zq1UHqU5n7fPdbQk93qOha2VQb1r7iRi1o"",""Vulnerabilities!A:AX"")"),"Mob")</f>
        <v>Mob</v>
      </c>
      <c r="B1" s="32" t="str">
        <f>IFERROR(__xludf.DUMMYFUNCTION("""COMPUTED_VALUE"""),"Fire")</f>
        <v>Fire</v>
      </c>
      <c r="C1" s="32" t="str">
        <f>IFERROR(__xludf.DUMMYFUNCTION("""COMPUTED_VALUE"""),"Water")</f>
        <v>Water</v>
      </c>
      <c r="D1" s="32" t="str">
        <f>IFERROR(__xludf.DUMMYFUNCTION("""COMPUTED_VALUE"""),"Storm")</f>
        <v>Storm</v>
      </c>
      <c r="E1" s="32" t="str">
        <f>IFERROR(__xludf.DUMMYFUNCTION("""COMPUTED_VALUE"""),"Earth")</f>
        <v>Earth</v>
      </c>
      <c r="F1" s="32" t="str">
        <f>IFERROR(__xludf.DUMMYFUNCTION("""COMPUTED_VALUE"""),"Light")</f>
        <v>Light</v>
      </c>
      <c r="G1" s="32" t="str">
        <f>IFERROR(__xludf.DUMMYFUNCTION("""COMPUTED_VALUE"""),"Dark")</f>
        <v>Dark</v>
      </c>
      <c r="H1" s="32" t="str">
        <f>IFERROR(__xludf.DUMMYFUNCTION("""COMPUTED_VALUE"""),"Spirit")</f>
        <v>Spirit</v>
      </c>
      <c r="I1" s="32" t="str">
        <f>IFERROR(__xludf.DUMMYFUNCTION("""COMPUTED_VALUE"""),"Order")</f>
        <v>Order</v>
      </c>
      <c r="J1" s="32" t="str">
        <f>IFERROR(__xludf.DUMMYFUNCTION("""COMPUTED_VALUE"""),"Chaos")</f>
        <v>Chaos</v>
      </c>
      <c r="K1" s="32" t="str">
        <f>IFERROR(__xludf.DUMMYFUNCTION("""COMPUTED_VALUE"""),"Nature")</f>
        <v>Nature</v>
      </c>
      <c r="L1" s="32" t="str">
        <f>IFERROR(__xludf.DUMMYFUNCTION("""COMPUTED_VALUE"""),"Physical")</f>
        <v>Physical</v>
      </c>
      <c r="M1" s="32" t="str">
        <f>IFERROR(__xludf.DUMMYFUNCTION("""COMPUTED_VALUE"""),"Melee")</f>
        <v>Melee</v>
      </c>
      <c r="N1" s="32" t="str">
        <f>IFERROR(__xludf.DUMMYFUNCTION("""COMPUTED_VALUE"""),"Ranged")</f>
        <v>Ranged</v>
      </c>
      <c r="O1" s="32" t="str">
        <f>IFERROR(__xludf.DUMMYFUNCTION("""COMPUTED_VALUE"""),"Stasis")</f>
        <v>Stasis</v>
      </c>
      <c r="P1" s="32" t="str">
        <f>IFERROR(__xludf.DUMMYFUNCTION("""COMPUTED_VALUE"""),"Twilight")</f>
        <v>Twilight</v>
      </c>
      <c r="Q1" s="32" t="str">
        <f>IFERROR(__xludf.DUMMYFUNCTION("""COMPUTED_VALUE"""),"Voodoo")</f>
        <v>Voodoo</v>
      </c>
      <c r="R1" s="32" t="str">
        <f>IFERROR(__xludf.DUMMYFUNCTION("""COMPUTED_VALUE"""),"Blood")</f>
        <v>Blood</v>
      </c>
      <c r="S1" s="32" t="str">
        <f>IFERROR(__xludf.DUMMYFUNCTION("""COMPUTED_VALUE"""),"Delta")</f>
        <v>Delta</v>
      </c>
      <c r="T1" s="32" t="str">
        <f>IFERROR(__xludf.DUMMYFUNCTION("""COMPUTED_VALUE"""),"Zen")</f>
        <v>Zen</v>
      </c>
      <c r="U1" s="32" t="str">
        <f>IFERROR(__xludf.DUMMYFUNCTION("""COMPUTED_VALUE"""),"Time")</f>
        <v>Time</v>
      </c>
      <c r="V1" s="32" t="str">
        <f>IFERROR(__xludf.DUMMYFUNCTION("""COMPUTED_VALUE"""),"Astral")</f>
        <v>Astral</v>
      </c>
      <c r="W1" s="32" t="str">
        <f>IFERROR(__xludf.DUMMYFUNCTION("""COMPUTED_VALUE"""),"Celestial")</f>
        <v>Celestial</v>
      </c>
      <c r="X1" s="32" t="str">
        <f>IFERROR(__xludf.DUMMYFUNCTION("""COMPUTED_VALUE"""),"Acoustic")</f>
        <v>Acoustic</v>
      </c>
      <c r="Y1" s="32"/>
      <c r="Z1" s="32"/>
    </row>
    <row r="2">
      <c r="A2" s="32" t="str">
        <f>IFERROR(__xludf.DUMMYFUNCTION("""COMPUTED_VALUE"""),"Acid Dragon")</f>
        <v>Acid Dragon</v>
      </c>
      <c r="B2" s="32">
        <f>IFERROR(__xludf.DUMMYFUNCTION("""COMPUTED_VALUE"""),100.0)</f>
        <v>100</v>
      </c>
      <c r="C2" s="32"/>
      <c r="D2" s="32">
        <f>IFERROR(__xludf.DUMMYFUNCTION("""COMPUTED_VALUE"""),100.0)</f>
        <v>100</v>
      </c>
      <c r="E2" s="32"/>
      <c r="F2" s="32"/>
      <c r="G2" s="32"/>
      <c r="H2" s="32"/>
      <c r="I2" s="32"/>
      <c r="J2" s="32"/>
      <c r="K2" s="32"/>
      <c r="L2" s="32"/>
      <c r="M2" s="32"/>
      <c r="N2" s="32"/>
      <c r="O2" s="32"/>
      <c r="P2" s="32"/>
      <c r="Q2" s="32"/>
      <c r="R2" s="32"/>
      <c r="S2" s="32"/>
      <c r="T2" s="32"/>
      <c r="U2" s="32"/>
      <c r="V2" s="32"/>
      <c r="W2" s="32"/>
      <c r="X2" s="32"/>
      <c r="Y2" s="32"/>
      <c r="Z2" s="32"/>
    </row>
    <row r="3">
      <c r="A3" s="32" t="str">
        <f>IFERROR(__xludf.DUMMYFUNCTION("""COMPUTED_VALUE"""),"Acid Slime")</f>
        <v>Acid Slime</v>
      </c>
      <c r="B3" s="32"/>
      <c r="C3" s="32"/>
      <c r="D3" s="32"/>
      <c r="E3" s="32"/>
      <c r="F3" s="32"/>
      <c r="G3" s="32"/>
      <c r="H3" s="32"/>
      <c r="I3" s="32"/>
      <c r="J3" s="32"/>
      <c r="K3" s="32"/>
      <c r="L3" s="32"/>
      <c r="M3" s="32"/>
      <c r="N3" s="32"/>
      <c r="O3" s="32"/>
      <c r="P3" s="32"/>
      <c r="Q3" s="32"/>
      <c r="R3" s="32"/>
      <c r="S3" s="32"/>
      <c r="T3" s="32"/>
      <c r="U3" s="32"/>
      <c r="V3" s="32"/>
      <c r="W3" s="32"/>
      <c r="X3" s="32"/>
      <c r="Y3" s="32"/>
      <c r="Z3" s="32"/>
    </row>
    <row r="4">
      <c r="A4" s="32" t="str">
        <f>IFERROR(__xludf.DUMMYFUNCTION("""COMPUTED_VALUE"""),"Ancient Colossal Frost Spider")</f>
        <v>Ancient Colossal Frost Spider</v>
      </c>
      <c r="B4" s="32">
        <f>IFERROR(__xludf.DUMMYFUNCTION("""COMPUTED_VALUE"""),100.0)</f>
        <v>100</v>
      </c>
      <c r="C4" s="32"/>
      <c r="D4" s="32"/>
      <c r="E4" s="32"/>
      <c r="F4" s="32"/>
      <c r="G4" s="32"/>
      <c r="H4" s="32"/>
      <c r="I4" s="32"/>
      <c r="J4" s="32"/>
      <c r="K4" s="32">
        <f>IFERROR(__xludf.DUMMYFUNCTION("""COMPUTED_VALUE"""),100.0)</f>
        <v>100</v>
      </c>
      <c r="L4" s="32"/>
      <c r="M4" s="32"/>
      <c r="N4" s="32"/>
      <c r="O4" s="32"/>
      <c r="P4" s="32"/>
      <c r="Q4" s="32"/>
      <c r="R4" s="32"/>
      <c r="S4" s="32"/>
      <c r="T4" s="32"/>
      <c r="U4" s="32"/>
      <c r="V4" s="32"/>
      <c r="W4" s="32"/>
      <c r="X4" s="32"/>
      <c r="Y4" s="32"/>
      <c r="Z4" s="32"/>
    </row>
    <row r="5">
      <c r="A5" s="32" t="str">
        <f>IFERROR(__xludf.DUMMYFUNCTION("""COMPUTED_VALUE"""),"Ancient Deer Of The Forest")</f>
        <v>Ancient Deer Of The Forest</v>
      </c>
      <c r="B5" s="32">
        <f>IFERROR(__xludf.DUMMYFUNCTION("""COMPUTED_VALUE"""),100.0)</f>
        <v>100</v>
      </c>
      <c r="C5" s="32"/>
      <c r="D5" s="32">
        <f>IFERROR(__xludf.DUMMYFUNCTION("""COMPUTED_VALUE"""),100.0)</f>
        <v>100</v>
      </c>
      <c r="E5" s="32"/>
      <c r="F5" s="32"/>
      <c r="G5" s="32"/>
      <c r="H5" s="32"/>
      <c r="I5" s="32"/>
      <c r="J5" s="32"/>
      <c r="K5" s="32"/>
      <c r="L5" s="32"/>
      <c r="M5" s="32"/>
      <c r="N5" s="32"/>
      <c r="O5" s="32"/>
      <c r="P5" s="32"/>
      <c r="Q5" s="32"/>
      <c r="R5" s="32"/>
      <c r="S5" s="32"/>
      <c r="T5" s="32"/>
      <c r="U5" s="32"/>
      <c r="V5" s="32"/>
      <c r="W5" s="32"/>
      <c r="X5" s="32"/>
      <c r="Y5" s="32"/>
      <c r="Z5" s="32"/>
    </row>
    <row r="6">
      <c r="A6" s="32" t="str">
        <f>IFERROR(__xludf.DUMMYFUNCTION("""COMPUTED_VALUE"""),"Demon Snowman")</f>
        <v>Demon Snowman</v>
      </c>
      <c r="B6" s="32">
        <f>IFERROR(__xludf.DUMMYFUNCTION("""COMPUTED_VALUE"""),100.0)</f>
        <v>100</v>
      </c>
      <c r="C6" s="32"/>
      <c r="D6" s="32"/>
      <c r="E6" s="32"/>
      <c r="F6" s="32"/>
      <c r="G6" s="32"/>
      <c r="H6" s="32"/>
      <c r="I6" s="32"/>
      <c r="J6" s="32"/>
      <c r="K6" s="32">
        <f>IFERROR(__xludf.DUMMYFUNCTION("""COMPUTED_VALUE"""),100.0)</f>
        <v>100</v>
      </c>
      <c r="L6" s="32"/>
      <c r="M6" s="32"/>
      <c r="N6" s="32"/>
      <c r="O6" s="32"/>
      <c r="P6" s="32"/>
      <c r="Q6" s="32"/>
      <c r="R6" s="32"/>
      <c r="S6" s="32"/>
      <c r="T6" s="32"/>
      <c r="U6" s="32"/>
      <c r="V6" s="32"/>
      <c r="W6" s="32"/>
      <c r="X6" s="32"/>
      <c r="Y6" s="32"/>
      <c r="Z6" s="32"/>
    </row>
    <row r="7">
      <c r="A7" s="32" t="str">
        <f>IFERROR(__xludf.DUMMYFUNCTION("""COMPUTED_VALUE"""),"Ancient Desert Serpent")</f>
        <v>Ancient Desert Serpent</v>
      </c>
      <c r="B7" s="32"/>
      <c r="C7" s="32">
        <f>IFERROR(__xludf.DUMMYFUNCTION("""COMPUTED_VALUE"""),100.0)</f>
        <v>100</v>
      </c>
      <c r="D7" s="32">
        <f>IFERROR(__xludf.DUMMYFUNCTION("""COMPUTED_VALUE"""),100.0)</f>
        <v>100</v>
      </c>
      <c r="E7" s="32"/>
      <c r="F7" s="32"/>
      <c r="G7" s="32"/>
      <c r="H7" s="32"/>
      <c r="I7" s="32"/>
      <c r="J7" s="32"/>
      <c r="K7" s="32"/>
      <c r="L7" s="32"/>
      <c r="M7" s="32"/>
      <c r="N7" s="32"/>
      <c r="O7" s="32"/>
      <c r="P7" s="32"/>
      <c r="Q7" s="32"/>
      <c r="R7" s="32"/>
      <c r="S7" s="32"/>
      <c r="T7" s="32"/>
      <c r="U7" s="32"/>
      <c r="V7" s="32"/>
      <c r="W7" s="32"/>
      <c r="X7" s="32"/>
      <c r="Y7" s="32"/>
      <c r="Z7" s="32"/>
    </row>
    <row r="8">
      <c r="A8" s="32" t="str">
        <f>IFERROR(__xludf.DUMMYFUNCTION("""COMPUTED_VALUE"""),"Ancient Fire Sentinel")</f>
        <v>Ancient Fire Sentinel</v>
      </c>
      <c r="B8" s="32"/>
      <c r="C8" s="32">
        <f>IFERROR(__xludf.DUMMYFUNCTION("""COMPUTED_VALUE"""),100.0)</f>
        <v>100</v>
      </c>
      <c r="D8" s="32"/>
      <c r="E8" s="32">
        <f>IFERROR(__xludf.DUMMYFUNCTION("""COMPUTED_VALUE"""),100.0)</f>
        <v>100</v>
      </c>
      <c r="F8" s="32"/>
      <c r="G8" s="32"/>
      <c r="H8" s="32"/>
      <c r="I8" s="32"/>
      <c r="J8" s="32"/>
      <c r="K8" s="32"/>
      <c r="L8" s="32"/>
      <c r="M8" s="32"/>
      <c r="N8" s="32"/>
      <c r="O8" s="32"/>
      <c r="P8" s="32"/>
      <c r="Q8" s="32"/>
      <c r="R8" s="32"/>
      <c r="S8" s="32"/>
      <c r="T8" s="32"/>
      <c r="U8" s="32"/>
      <c r="V8" s="32"/>
      <c r="W8" s="32"/>
      <c r="X8" s="32"/>
      <c r="Y8" s="32"/>
      <c r="Z8" s="32"/>
    </row>
    <row r="9">
      <c r="A9" s="32" t="str">
        <f>IFERROR(__xludf.DUMMYFUNCTION("""COMPUTED_VALUE"""),"Ancient Fire Serpent")</f>
        <v>Ancient Fire Serpent</v>
      </c>
      <c r="B9" s="32"/>
      <c r="C9" s="32">
        <f>IFERROR(__xludf.DUMMYFUNCTION("""COMPUTED_VALUE"""),100.0)</f>
        <v>100</v>
      </c>
      <c r="D9" s="32"/>
      <c r="E9" s="32"/>
      <c r="F9" s="32"/>
      <c r="G9" s="32"/>
      <c r="H9" s="32"/>
      <c r="I9" s="32"/>
      <c r="J9" s="32"/>
      <c r="K9" s="32"/>
      <c r="L9" s="32"/>
      <c r="M9" s="32"/>
      <c r="N9" s="32"/>
      <c r="O9" s="32"/>
      <c r="P9" s="32"/>
      <c r="Q9" s="32"/>
      <c r="R9" s="32"/>
      <c r="S9" s="32"/>
      <c r="T9" s="32"/>
      <c r="U9" s="32"/>
      <c r="V9" s="32"/>
      <c r="W9" s="32"/>
      <c r="X9" s="32"/>
      <c r="Y9" s="32"/>
      <c r="Z9" s="32"/>
    </row>
    <row r="10">
      <c r="A10" s="32" t="str">
        <f>IFERROR(__xludf.DUMMYFUNCTION("""COMPUTED_VALUE"""),"Flame Ostrich")</f>
        <v>Flame Ostrich</v>
      </c>
      <c r="B10" s="32"/>
      <c r="C10" s="32">
        <f>IFERROR(__xludf.DUMMYFUNCTION("""COMPUTED_VALUE"""),100.0)</f>
        <v>100</v>
      </c>
      <c r="D10" s="32"/>
      <c r="E10" s="32"/>
      <c r="F10" s="32"/>
      <c r="G10" s="32"/>
      <c r="H10" s="32"/>
      <c r="I10" s="32"/>
      <c r="J10" s="32"/>
      <c r="K10" s="32"/>
      <c r="L10" s="32"/>
      <c r="M10" s="32"/>
      <c r="N10" s="32"/>
      <c r="O10" s="32"/>
      <c r="P10" s="32"/>
      <c r="Q10" s="32"/>
      <c r="R10" s="32"/>
      <c r="S10" s="32"/>
      <c r="T10" s="32"/>
      <c r="U10" s="32"/>
      <c r="V10" s="32"/>
      <c r="W10" s="32"/>
      <c r="X10" s="32"/>
      <c r="Y10" s="32"/>
      <c r="Z10" s="32"/>
    </row>
    <row r="11">
      <c r="A11" s="32" t="str">
        <f>IFERROR(__xludf.DUMMYFUNCTION("""COMPUTED_VALUE"""),"Ancient Forest Colossus")</f>
        <v>Ancient Forest Colossus</v>
      </c>
      <c r="B11" s="32">
        <f>IFERROR(__xludf.DUMMYFUNCTION("""COMPUTED_VALUE"""),100.0)</f>
        <v>100</v>
      </c>
      <c r="C11" s="32"/>
      <c r="D11" s="32">
        <f>IFERROR(__xludf.DUMMYFUNCTION("""COMPUTED_VALUE"""),100.0)</f>
        <v>100</v>
      </c>
      <c r="E11" s="32"/>
      <c r="F11" s="32"/>
      <c r="G11" s="32"/>
      <c r="H11" s="32"/>
      <c r="I11" s="32"/>
      <c r="J11" s="32"/>
      <c r="K11" s="32"/>
      <c r="L11" s="32"/>
      <c r="M11" s="32"/>
      <c r="N11" s="32"/>
      <c r="O11" s="32"/>
      <c r="P11" s="32"/>
      <c r="Q11" s="32"/>
      <c r="R11" s="32"/>
      <c r="S11" s="32"/>
      <c r="T11" s="32"/>
      <c r="U11" s="32"/>
      <c r="V11" s="32"/>
      <c r="W11" s="32"/>
      <c r="X11" s="32"/>
      <c r="Y11" s="32"/>
      <c r="Z11" s="32"/>
    </row>
    <row r="12">
      <c r="A12" s="32" t="str">
        <f>IFERROR(__xludf.DUMMYFUNCTION("""COMPUTED_VALUE"""),"Frost Colossus")</f>
        <v>Frost Colossus</v>
      </c>
      <c r="B12" s="32">
        <f>IFERROR(__xludf.DUMMYFUNCTION("""COMPUTED_VALUE"""),100.0)</f>
        <v>100</v>
      </c>
      <c r="C12" s="32"/>
      <c r="D12" s="32"/>
      <c r="E12" s="32"/>
      <c r="F12" s="32"/>
      <c r="G12" s="32"/>
      <c r="H12" s="32"/>
      <c r="I12" s="32"/>
      <c r="J12" s="32"/>
      <c r="K12" s="32">
        <f>IFERROR(__xludf.DUMMYFUNCTION("""COMPUTED_VALUE"""),100.0)</f>
        <v>100</v>
      </c>
      <c r="L12" s="32"/>
      <c r="M12" s="32"/>
      <c r="N12" s="32"/>
      <c r="O12" s="32"/>
      <c r="P12" s="32"/>
      <c r="Q12" s="32"/>
      <c r="R12" s="32"/>
      <c r="S12" s="32"/>
      <c r="T12" s="32"/>
      <c r="U12" s="32"/>
      <c r="V12" s="32"/>
      <c r="W12" s="32"/>
      <c r="X12" s="32"/>
      <c r="Y12" s="32"/>
      <c r="Z12" s="32"/>
    </row>
    <row r="13">
      <c r="A13" s="32" t="str">
        <f>IFERROR(__xludf.DUMMYFUNCTION("""COMPUTED_VALUE"""),"Frost Cyclops")</f>
        <v>Frost Cyclops</v>
      </c>
      <c r="B13" s="32">
        <f>IFERROR(__xludf.DUMMYFUNCTION("""COMPUTED_VALUE"""),100.0)</f>
        <v>100</v>
      </c>
      <c r="C13" s="32"/>
      <c r="D13" s="32"/>
      <c r="E13" s="32"/>
      <c r="F13" s="32"/>
      <c r="G13" s="32"/>
      <c r="H13" s="32"/>
      <c r="I13" s="32"/>
      <c r="J13" s="32"/>
      <c r="K13" s="32">
        <f>IFERROR(__xludf.DUMMYFUNCTION("""COMPUTED_VALUE"""),100.0)</f>
        <v>100</v>
      </c>
      <c r="L13" s="32"/>
      <c r="M13" s="32"/>
      <c r="N13" s="32"/>
      <c r="O13" s="32"/>
      <c r="P13" s="32"/>
      <c r="Q13" s="32"/>
      <c r="R13" s="32"/>
      <c r="S13" s="32"/>
      <c r="T13" s="32"/>
      <c r="U13" s="32"/>
      <c r="V13" s="32"/>
      <c r="W13" s="32"/>
      <c r="X13" s="32"/>
      <c r="Y13" s="32"/>
      <c r="Z13" s="32"/>
    </row>
    <row r="14">
      <c r="A14" s="32" t="str">
        <f>IFERROR(__xludf.DUMMYFUNCTION("""COMPUTED_VALUE"""),"Frost Grand Mage")</f>
        <v>Frost Grand Mage</v>
      </c>
      <c r="B14" s="32">
        <f>IFERROR(__xludf.DUMMYFUNCTION("""COMPUTED_VALUE"""),100.0)</f>
        <v>100</v>
      </c>
      <c r="C14" s="32"/>
      <c r="D14" s="32"/>
      <c r="E14" s="32"/>
      <c r="F14" s="32"/>
      <c r="G14" s="32"/>
      <c r="H14" s="32"/>
      <c r="I14" s="32"/>
      <c r="J14" s="32"/>
      <c r="K14" s="32">
        <f>IFERROR(__xludf.DUMMYFUNCTION("""COMPUTED_VALUE"""),100.0)</f>
        <v>100</v>
      </c>
      <c r="L14" s="32"/>
      <c r="M14" s="32"/>
      <c r="N14" s="32"/>
      <c r="O14" s="32"/>
      <c r="P14" s="32"/>
      <c r="Q14" s="32"/>
      <c r="R14" s="32"/>
      <c r="S14" s="32"/>
      <c r="T14" s="32"/>
      <c r="U14" s="32"/>
      <c r="V14" s="32"/>
      <c r="W14" s="32"/>
      <c r="X14" s="32"/>
      <c r="Y14" s="32"/>
      <c r="Z14" s="32"/>
    </row>
    <row r="15">
      <c r="A15" s="32" t="str">
        <f>IFERROR(__xludf.DUMMYFUNCTION("""COMPUTED_VALUE"""),"Frost King")</f>
        <v>Frost King</v>
      </c>
      <c r="B15" s="32">
        <f>IFERROR(__xludf.DUMMYFUNCTION("""COMPUTED_VALUE"""),100.0)</f>
        <v>100</v>
      </c>
      <c r="C15" s="32"/>
      <c r="D15" s="32"/>
      <c r="E15" s="32"/>
      <c r="F15" s="32"/>
      <c r="G15" s="32"/>
      <c r="H15" s="32"/>
      <c r="I15" s="32"/>
      <c r="J15" s="32"/>
      <c r="K15" s="32">
        <f>IFERROR(__xludf.DUMMYFUNCTION("""COMPUTED_VALUE"""),100.0)</f>
        <v>100</v>
      </c>
      <c r="L15" s="32"/>
      <c r="M15" s="32"/>
      <c r="N15" s="32"/>
      <c r="O15" s="32"/>
      <c r="P15" s="32"/>
      <c r="Q15" s="32"/>
      <c r="R15" s="32"/>
      <c r="S15" s="32"/>
      <c r="T15" s="32"/>
      <c r="U15" s="32"/>
      <c r="V15" s="32"/>
      <c r="W15" s="32"/>
      <c r="X15" s="32"/>
      <c r="Y15" s="32"/>
      <c r="Z15" s="32"/>
    </row>
    <row r="16">
      <c r="A16" s="32" t="str">
        <f>IFERROR(__xludf.DUMMYFUNCTION("""COMPUTED_VALUE"""),"Frost Queen")</f>
        <v>Frost Queen</v>
      </c>
      <c r="B16" s="32">
        <f>IFERROR(__xludf.DUMMYFUNCTION("""COMPUTED_VALUE"""),100.0)</f>
        <v>100</v>
      </c>
      <c r="C16" s="32"/>
      <c r="D16" s="32"/>
      <c r="E16" s="32"/>
      <c r="F16" s="32"/>
      <c r="G16" s="32"/>
      <c r="H16" s="32"/>
      <c r="I16" s="32"/>
      <c r="J16" s="32"/>
      <c r="K16" s="32">
        <f>IFERROR(__xludf.DUMMYFUNCTION("""COMPUTED_VALUE"""),100.0)</f>
        <v>100</v>
      </c>
      <c r="L16" s="32"/>
      <c r="M16" s="32"/>
      <c r="N16" s="32"/>
      <c r="O16" s="32"/>
      <c r="P16" s="32"/>
      <c r="Q16" s="32"/>
      <c r="R16" s="32"/>
      <c r="S16" s="32"/>
      <c r="T16" s="32"/>
      <c r="U16" s="32"/>
      <c r="V16" s="32"/>
      <c r="W16" s="32"/>
      <c r="X16" s="32"/>
      <c r="Y16" s="32"/>
      <c r="Z16" s="32"/>
    </row>
    <row r="17">
      <c r="A17" s="32" t="str">
        <f>IFERROR(__xludf.DUMMYFUNCTION("""COMPUTED_VALUE"""),"Sea Dinosaur (WD)")</f>
        <v>Sea Dinosaur (WD)</v>
      </c>
      <c r="B17" s="32"/>
      <c r="C17" s="32"/>
      <c r="D17" s="32"/>
      <c r="E17" s="32"/>
      <c r="F17" s="32"/>
      <c r="G17" s="32"/>
      <c r="H17" s="32"/>
      <c r="I17" s="32"/>
      <c r="J17" s="32"/>
      <c r="K17" s="32">
        <f>IFERROR(__xludf.DUMMYFUNCTION("""COMPUTED_VALUE"""),100.0)</f>
        <v>100</v>
      </c>
      <c r="L17" s="32"/>
      <c r="M17" s="32"/>
      <c r="N17" s="32"/>
      <c r="O17" s="32"/>
      <c r="P17" s="32"/>
      <c r="Q17" s="32"/>
      <c r="R17" s="32"/>
      <c r="S17" s="32"/>
      <c r="T17" s="32"/>
      <c r="U17" s="32"/>
      <c r="V17" s="32"/>
      <c r="W17" s="32"/>
      <c r="X17" s="32"/>
      <c r="Y17" s="32"/>
      <c r="Z17" s="32"/>
    </row>
    <row r="18">
      <c r="A18" s="32" t="str">
        <f>IFERROR(__xludf.DUMMYFUNCTION("""COMPUTED_VALUE"""),"Sea Dinosaur (WD) (Enhanced)")</f>
        <v>Sea Dinosaur (WD) (Enhanced)</v>
      </c>
      <c r="B18" s="32"/>
      <c r="C18" s="32"/>
      <c r="D18" s="32"/>
      <c r="E18" s="32"/>
      <c r="F18" s="32"/>
      <c r="G18" s="32"/>
      <c r="H18" s="32"/>
      <c r="I18" s="32"/>
      <c r="J18" s="32"/>
      <c r="K18" s="32">
        <f>IFERROR(__xludf.DUMMYFUNCTION("""COMPUTED_VALUE"""),100.0)</f>
        <v>100</v>
      </c>
      <c r="L18" s="32"/>
      <c r="M18" s="32"/>
      <c r="N18" s="32"/>
      <c r="O18" s="32"/>
      <c r="P18" s="32"/>
      <c r="Q18" s="32"/>
      <c r="R18" s="32"/>
      <c r="S18" s="32"/>
      <c r="T18" s="32"/>
      <c r="U18" s="32"/>
      <c r="V18" s="32"/>
      <c r="W18" s="32"/>
      <c r="X18" s="32"/>
      <c r="Y18" s="32"/>
      <c r="Z18" s="32"/>
    </row>
    <row r="19">
      <c r="A19" s="32" t="str">
        <f>IFERROR(__xludf.DUMMYFUNCTION("""COMPUTED_VALUE"""),"Ancient Skeleton Colossus")</f>
        <v>Ancient Skeleton Colossus</v>
      </c>
      <c r="B19" s="32">
        <f>IFERROR(__xludf.DUMMYFUNCTION("""COMPUTED_VALUE"""),100.0)</f>
        <v>100</v>
      </c>
      <c r="C19" s="32"/>
      <c r="D19" s="32"/>
      <c r="E19" s="32"/>
      <c r="F19" s="32">
        <f>IFERROR(__xludf.DUMMYFUNCTION("""COMPUTED_VALUE"""),100.0)</f>
        <v>100</v>
      </c>
      <c r="G19" s="32"/>
      <c r="H19" s="32"/>
      <c r="I19" s="32"/>
      <c r="J19" s="32"/>
      <c r="K19" s="32"/>
      <c r="L19" s="32"/>
      <c r="M19" s="32"/>
      <c r="N19" s="32"/>
      <c r="O19" s="32"/>
      <c r="P19" s="32"/>
      <c r="Q19" s="32"/>
      <c r="R19" s="32"/>
      <c r="S19" s="32"/>
      <c r="T19" s="32"/>
      <c r="U19" s="32"/>
      <c r="V19" s="32"/>
      <c r="W19" s="32"/>
      <c r="X19" s="32"/>
      <c r="Y19" s="32"/>
      <c r="Z19" s="32"/>
    </row>
    <row r="20">
      <c r="A20" s="32" t="str">
        <f>IFERROR(__xludf.DUMMYFUNCTION("""COMPUTED_VALUE"""),"Ancient Stone Guard")</f>
        <v>Ancient Stone Guard</v>
      </c>
      <c r="B20" s="32"/>
      <c r="C20" s="32">
        <f>IFERROR(__xludf.DUMMYFUNCTION("""COMPUTED_VALUE"""),100.0)</f>
        <v>100</v>
      </c>
      <c r="D20" s="32">
        <f>IFERROR(__xludf.DUMMYFUNCTION("""COMPUTED_VALUE"""),100.0)</f>
        <v>100</v>
      </c>
      <c r="E20" s="32"/>
      <c r="F20" s="32"/>
      <c r="G20" s="32">
        <f>IFERROR(__xludf.DUMMYFUNCTION("""COMPUTED_VALUE"""),100.0)</f>
        <v>100</v>
      </c>
      <c r="H20" s="32"/>
      <c r="I20" s="32"/>
      <c r="J20" s="32">
        <f>IFERROR(__xludf.DUMMYFUNCTION("""COMPUTED_VALUE"""),100.0)</f>
        <v>100</v>
      </c>
      <c r="K20" s="32"/>
      <c r="L20" s="32"/>
      <c r="M20" s="32"/>
      <c r="N20" s="32"/>
      <c r="O20" s="32"/>
      <c r="P20" s="32"/>
      <c r="Q20" s="32"/>
      <c r="R20" s="32"/>
      <c r="S20" s="32"/>
      <c r="T20" s="32"/>
      <c r="U20" s="32"/>
      <c r="V20" s="32"/>
      <c r="W20" s="32"/>
      <c r="X20" s="32"/>
      <c r="Y20" s="32"/>
      <c r="Z20" s="32"/>
    </row>
    <row r="21">
      <c r="A21" s="32" t="str">
        <f>IFERROR(__xludf.DUMMYFUNCTION("""COMPUTED_VALUE"""),"Ancient Tree Of Flames")</f>
        <v>Ancient Tree Of Flames</v>
      </c>
      <c r="B21" s="32"/>
      <c r="C21" s="32">
        <f>IFERROR(__xludf.DUMMYFUNCTION("""COMPUTED_VALUE"""),100.0)</f>
        <v>100</v>
      </c>
      <c r="D21" s="32"/>
      <c r="E21" s="32"/>
      <c r="F21" s="32"/>
      <c r="G21" s="32"/>
      <c r="H21" s="32"/>
      <c r="I21" s="32"/>
      <c r="J21" s="32"/>
      <c r="K21" s="32"/>
      <c r="L21" s="32"/>
      <c r="M21" s="32"/>
      <c r="N21" s="32"/>
      <c r="O21" s="32"/>
      <c r="P21" s="32"/>
      <c r="Q21" s="32"/>
      <c r="R21" s="32"/>
      <c r="S21" s="32"/>
      <c r="T21" s="32"/>
      <c r="U21" s="32"/>
      <c r="V21" s="32"/>
      <c r="W21" s="32"/>
      <c r="X21" s="32"/>
      <c r="Y21" s="32"/>
      <c r="Z21" s="32"/>
    </row>
    <row r="22">
      <c r="A22" s="32" t="str">
        <f>IFERROR(__xludf.DUMMYFUNCTION("""COMPUTED_VALUE"""),"Volcanic Worm")</f>
        <v>Volcanic Worm</v>
      </c>
      <c r="B22" s="32"/>
      <c r="C22" s="32">
        <f>IFERROR(__xludf.DUMMYFUNCTION("""COMPUTED_VALUE"""),100.0)</f>
        <v>100</v>
      </c>
      <c r="D22" s="32"/>
      <c r="E22" s="32"/>
      <c r="F22" s="32"/>
      <c r="G22" s="32"/>
      <c r="H22" s="32"/>
      <c r="I22" s="32"/>
      <c r="J22" s="32"/>
      <c r="K22" s="32"/>
      <c r="L22" s="32"/>
      <c r="M22" s="32"/>
      <c r="N22" s="32"/>
      <c r="O22" s="32"/>
      <c r="P22" s="32"/>
      <c r="Q22" s="32"/>
      <c r="R22" s="32"/>
      <c r="S22" s="32"/>
      <c r="T22" s="32"/>
      <c r="U22" s="32"/>
      <c r="V22" s="32"/>
      <c r="W22" s="32"/>
      <c r="X22" s="32"/>
      <c r="Y22" s="32"/>
      <c r="Z22" s="32"/>
    </row>
    <row r="23">
      <c r="A23" s="32" t="str">
        <f>IFERROR(__xludf.DUMMYFUNCTION("""COMPUTED_VALUE"""),"Water Dragon (WD)")</f>
        <v>Water Dragon (WD)</v>
      </c>
      <c r="B23" s="32"/>
      <c r="C23" s="32"/>
      <c r="D23" s="32"/>
      <c r="E23" s="32"/>
      <c r="F23" s="32"/>
      <c r="G23" s="32"/>
      <c r="H23" s="32"/>
      <c r="I23" s="32"/>
      <c r="J23" s="32"/>
      <c r="K23" s="32">
        <f>IFERROR(__xludf.DUMMYFUNCTION("""COMPUTED_VALUE"""),100.0)</f>
        <v>100</v>
      </c>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f>IFERROR(__xludf.DUMMYFUNCTION("""COMPUTED_VALUE"""),100.0)</f>
        <v>100</v>
      </c>
      <c r="L24" s="32"/>
      <c r="M24" s="32"/>
      <c r="N24" s="32"/>
      <c r="O24" s="32"/>
      <c r="P24" s="32"/>
      <c r="Q24" s="32"/>
      <c r="R24" s="32"/>
      <c r="S24" s="32"/>
      <c r="T24" s="32"/>
      <c r="U24" s="32"/>
      <c r="V24" s="32"/>
      <c r="W24" s="32"/>
      <c r="X24" s="32"/>
      <c r="Y24" s="32"/>
      <c r="Z24" s="32"/>
    </row>
    <row r="25">
      <c r="A25" s="32" t="str">
        <f>IFERROR(__xludf.DUMMYFUNCTION("""COMPUTED_VALUE"""),"Aonbharr of Manannán")</f>
        <v>Aonbharr of Manannán</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t="str">
        <f>IFERROR(__xludf.DUMMYFUNCTION("""COMPUTED_VALUE"""),"Aquatic Serpent")</f>
        <v>Aquatic Serpent</v>
      </c>
      <c r="B26" s="32"/>
      <c r="C26" s="32"/>
      <c r="D26" s="32"/>
      <c r="E26" s="32"/>
      <c r="F26" s="32"/>
      <c r="G26" s="32"/>
      <c r="H26" s="32"/>
      <c r="I26" s="32"/>
      <c r="J26" s="32"/>
      <c r="K26" s="32">
        <f>IFERROR(__xludf.DUMMYFUNCTION("""COMPUTED_VALUE"""),100.0)</f>
        <v>100</v>
      </c>
      <c r="L26" s="32"/>
      <c r="M26" s="32"/>
      <c r="N26" s="32"/>
      <c r="O26" s="32"/>
      <c r="P26" s="32"/>
      <c r="Q26" s="32"/>
      <c r="R26" s="32"/>
      <c r="S26" s="32"/>
      <c r="T26" s="32"/>
      <c r="U26" s="32"/>
      <c r="V26" s="32"/>
      <c r="W26" s="32"/>
      <c r="X26" s="32"/>
      <c r="Y26" s="32"/>
      <c r="Z26" s="32"/>
    </row>
    <row r="27">
      <c r="A27" s="32" t="str">
        <f>IFERROR(__xludf.DUMMYFUNCTION("""COMPUTED_VALUE"""),"Astral Dragon")</f>
        <v>Astral Dragon</v>
      </c>
      <c r="B27" s="32"/>
      <c r="C27" s="32"/>
      <c r="D27" s="32"/>
      <c r="E27" s="32"/>
      <c r="F27" s="32"/>
      <c r="G27" s="32"/>
      <c r="H27" s="32"/>
      <c r="I27" s="32"/>
      <c r="J27" s="32"/>
      <c r="K27" s="32"/>
      <c r="L27" s="32"/>
      <c r="M27" s="32"/>
      <c r="N27" s="32"/>
      <c r="O27" s="32"/>
      <c r="P27" s="32"/>
      <c r="Q27" s="32"/>
      <c r="R27" s="32"/>
      <c r="S27" s="32"/>
      <c r="T27" s="32"/>
      <c r="U27" s="32"/>
      <c r="V27" s="32"/>
      <c r="W27" s="32">
        <f>IFERROR(__xludf.DUMMYFUNCTION("""COMPUTED_VALUE"""),100.0)</f>
        <v>100</v>
      </c>
      <c r="X27" s="32"/>
      <c r="Y27" s="32"/>
      <c r="Z27" s="32"/>
    </row>
    <row r="28">
      <c r="A28" s="32" t="str">
        <f>IFERROR(__xludf.DUMMYFUNCTION("""COMPUTED_VALUE"""),"Baboon")</f>
        <v>Baboon</v>
      </c>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t="str">
        <f>IFERROR(__xludf.DUMMYFUNCTION("""COMPUTED_VALUE"""),"Bandit")</f>
        <v>Bandit</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t="str">
        <f>IFERROR(__xludf.DUMMYFUNCTION("""COMPUTED_VALUE"""),"Bees")</f>
        <v>Bees</v>
      </c>
      <c r="B30" s="32">
        <f>IFERROR(__xludf.DUMMYFUNCTION("""COMPUTED_VALUE"""),100.0)</f>
        <v>100</v>
      </c>
      <c r="C30" s="32">
        <f>IFERROR(__xludf.DUMMYFUNCTION("""COMPUTED_VALUE"""),100.0)</f>
        <v>100</v>
      </c>
      <c r="D30" s="32"/>
      <c r="E30" s="32"/>
      <c r="F30" s="32"/>
      <c r="G30" s="32"/>
      <c r="H30" s="32"/>
      <c r="I30" s="32"/>
      <c r="J30" s="32"/>
      <c r="K30" s="32"/>
      <c r="L30" s="32"/>
      <c r="M30" s="32"/>
      <c r="N30" s="32"/>
      <c r="O30" s="32"/>
      <c r="P30" s="32"/>
      <c r="Q30" s="32"/>
      <c r="R30" s="32"/>
      <c r="S30" s="32"/>
      <c r="T30" s="32"/>
      <c r="U30" s="32"/>
      <c r="V30" s="32"/>
      <c r="W30" s="32"/>
      <c r="X30" s="32"/>
      <c r="Y30" s="32"/>
      <c r="Z30" s="32"/>
    </row>
    <row r="31">
      <c r="A31" s="32" t="str">
        <f>IFERROR(__xludf.DUMMYFUNCTION("""COMPUTED_VALUE"""),"Big Frost Owl")</f>
        <v>Big Frost Owl</v>
      </c>
      <c r="B31" s="32">
        <f>IFERROR(__xludf.DUMMYFUNCTION("""COMPUTED_VALUE"""),100.0)</f>
        <v>100</v>
      </c>
      <c r="C31" s="32"/>
      <c r="D31" s="32"/>
      <c r="E31" s="32"/>
      <c r="F31" s="32"/>
      <c r="G31" s="32"/>
      <c r="H31" s="32"/>
      <c r="I31" s="32"/>
      <c r="J31" s="32"/>
      <c r="K31" s="32">
        <f>IFERROR(__xludf.DUMMYFUNCTION("""COMPUTED_VALUE"""),100.0)</f>
        <v>100</v>
      </c>
      <c r="L31" s="32"/>
      <c r="M31" s="32"/>
      <c r="N31" s="32"/>
      <c r="O31" s="32"/>
      <c r="P31" s="32"/>
      <c r="Q31" s="32"/>
      <c r="R31" s="32"/>
      <c r="S31" s="32"/>
      <c r="T31" s="32"/>
      <c r="U31" s="32"/>
      <c r="V31" s="32"/>
      <c r="W31" s="32"/>
      <c r="X31" s="32"/>
      <c r="Y31" s="32"/>
      <c r="Z31" s="32"/>
    </row>
    <row r="32">
      <c r="A32" s="32" t="str">
        <f>IFERROR(__xludf.DUMMYFUNCTION("""COMPUTED_VALUE"""),"Black Soul")</f>
        <v>Black Soul</v>
      </c>
      <c r="B32" s="32">
        <f>IFERROR(__xludf.DUMMYFUNCTION("""COMPUTED_VALUE"""),100.0)</f>
        <v>100</v>
      </c>
      <c r="C32" s="32"/>
      <c r="D32" s="32"/>
      <c r="E32" s="32"/>
      <c r="F32" s="32">
        <f>IFERROR(__xludf.DUMMYFUNCTION("""COMPUTED_VALUE"""),100.0)</f>
        <v>100</v>
      </c>
      <c r="G32" s="32"/>
      <c r="H32" s="32"/>
      <c r="I32" s="32"/>
      <c r="J32" s="32"/>
      <c r="K32" s="32"/>
      <c r="L32" s="32"/>
      <c r="M32" s="32"/>
      <c r="N32" s="32"/>
      <c r="O32" s="32"/>
      <c r="P32" s="32"/>
      <c r="Q32" s="32"/>
      <c r="R32" s="32"/>
      <c r="S32" s="32"/>
      <c r="T32" s="32"/>
      <c r="U32" s="32"/>
      <c r="V32" s="32"/>
      <c r="W32" s="32"/>
      <c r="X32" s="32"/>
      <c r="Y32" s="32"/>
      <c r="Z32" s="32"/>
    </row>
    <row r="33">
      <c r="A33" s="32" t="str">
        <f>IFERROR(__xludf.DUMMYFUNCTION("""COMPUTED_VALUE"""),"Blood Monk")</f>
        <v>Blood Monk</v>
      </c>
      <c r="B33" s="32">
        <f>IFERROR(__xludf.DUMMYFUNCTION("""COMPUTED_VALUE"""),100.0)</f>
        <v>100</v>
      </c>
      <c r="C33" s="32"/>
      <c r="D33" s="32"/>
      <c r="E33" s="32"/>
      <c r="F33" s="32">
        <f>IFERROR(__xludf.DUMMYFUNCTION("""COMPUTED_VALUE"""),100.0)</f>
        <v>100</v>
      </c>
      <c r="G33" s="32"/>
      <c r="H33" s="32"/>
      <c r="I33" s="32"/>
      <c r="J33" s="32"/>
      <c r="K33" s="32"/>
      <c r="L33" s="32"/>
      <c r="M33" s="32"/>
      <c r="N33" s="32"/>
      <c r="O33" s="32"/>
      <c r="P33" s="32"/>
      <c r="Q33" s="32">
        <f>IFERROR(__xludf.DUMMYFUNCTION("""COMPUTED_VALUE"""),100.0)</f>
        <v>100</v>
      </c>
      <c r="R33" s="32"/>
      <c r="S33" s="32"/>
      <c r="T33" s="32"/>
      <c r="U33" s="32"/>
      <c r="V33" s="32"/>
      <c r="W33" s="32"/>
      <c r="X33" s="32"/>
      <c r="Y33" s="32"/>
      <c r="Z33" s="32"/>
    </row>
    <row r="34">
      <c r="A34" s="32" t="str">
        <f>IFERROR(__xludf.DUMMYFUNCTION("""COMPUTED_VALUE"""),"Blue Soul")</f>
        <v>Blue Soul</v>
      </c>
      <c r="B34" s="32"/>
      <c r="C34" s="32"/>
      <c r="D34" s="32"/>
      <c r="E34" s="32"/>
      <c r="F34" s="32"/>
      <c r="G34" s="32"/>
      <c r="H34" s="32"/>
      <c r="I34" s="32"/>
      <c r="J34" s="32"/>
      <c r="K34" s="32">
        <f>IFERROR(__xludf.DUMMYFUNCTION("""COMPUTED_VALUE"""),100.0)</f>
        <v>100</v>
      </c>
      <c r="L34" s="32"/>
      <c r="M34" s="32"/>
      <c r="N34" s="32"/>
      <c r="O34" s="32"/>
      <c r="P34" s="32"/>
      <c r="Q34" s="32"/>
      <c r="R34" s="32"/>
      <c r="S34" s="32"/>
      <c r="T34" s="32"/>
      <c r="U34" s="32"/>
      <c r="V34" s="32"/>
      <c r="W34" s="32"/>
      <c r="X34" s="32"/>
      <c r="Y34" s="32"/>
      <c r="Z34" s="32"/>
    </row>
    <row r="35">
      <c r="A35" s="32" t="str">
        <f>IFERROR(__xludf.DUMMYFUNCTION("""COMPUTED_VALUE"""),"Boar")</f>
        <v>Boar</v>
      </c>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t="str">
        <f>IFERROR(__xludf.DUMMYFUNCTION("""COMPUTED_VALUE"""),"Bounty Hunter")</f>
        <v>Bounty Hunter</v>
      </c>
      <c r="B36" s="32"/>
      <c r="C36" s="32"/>
      <c r="D36" s="32"/>
      <c r="E36" s="32"/>
      <c r="F36" s="32">
        <f>IFERROR(__xludf.DUMMYFUNCTION("""COMPUTED_VALUE"""),100.0)</f>
        <v>100</v>
      </c>
      <c r="G36" s="32"/>
      <c r="H36" s="32"/>
      <c r="I36" s="32"/>
      <c r="J36" s="32"/>
      <c r="K36" s="32"/>
      <c r="L36" s="32"/>
      <c r="M36" s="32"/>
      <c r="N36" s="32"/>
      <c r="O36" s="32"/>
      <c r="P36" s="32"/>
      <c r="Q36" s="32"/>
      <c r="R36" s="32"/>
      <c r="S36" s="32"/>
      <c r="T36" s="32"/>
      <c r="U36" s="32"/>
      <c r="V36" s="32"/>
      <c r="W36" s="32"/>
      <c r="X36" s="32"/>
      <c r="Y36" s="32"/>
      <c r="Z36" s="32"/>
    </row>
    <row r="37">
      <c r="A37" s="32" t="str">
        <f>IFERROR(__xludf.DUMMYFUNCTION("""COMPUTED_VALUE"""),"Brown Soul")</f>
        <v>Brown Soul</v>
      </c>
      <c r="B37" s="32">
        <f>IFERROR(__xludf.DUMMYFUNCTION("""COMPUTED_VALUE"""),100.0)</f>
        <v>100</v>
      </c>
      <c r="C37" s="32"/>
      <c r="D37" s="32"/>
      <c r="E37" s="32"/>
      <c r="F37" s="32">
        <f>IFERROR(__xludf.DUMMYFUNCTION("""COMPUTED_VALUE"""),100.0)</f>
        <v>100</v>
      </c>
      <c r="G37" s="32"/>
      <c r="H37" s="32"/>
      <c r="I37" s="32"/>
      <c r="J37" s="32"/>
      <c r="K37" s="32"/>
      <c r="L37" s="32"/>
      <c r="M37" s="32"/>
      <c r="N37" s="32"/>
      <c r="O37" s="32"/>
      <c r="P37" s="32"/>
      <c r="Q37" s="32"/>
      <c r="R37" s="32"/>
      <c r="S37" s="32"/>
      <c r="T37" s="32"/>
      <c r="U37" s="32"/>
      <c r="V37" s="32"/>
      <c r="W37" s="32"/>
      <c r="X37" s="32"/>
      <c r="Y37" s="32"/>
      <c r="Z37" s="32"/>
    </row>
    <row r="38">
      <c r="A38" s="32" t="str">
        <f>IFERROR(__xludf.DUMMYFUNCTION("""COMPUTED_VALUE"""),"Bull")</f>
        <v>Bull</v>
      </c>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t="str">
        <f>IFERROR(__xludf.DUMMYFUNCTION("""COMPUTED_VALUE"""),"Celestial Dragon")</f>
        <v>Celestial Dragon</v>
      </c>
      <c r="B39" s="32"/>
      <c r="C39" s="32"/>
      <c r="D39" s="32"/>
      <c r="E39" s="32"/>
      <c r="F39" s="32"/>
      <c r="G39" s="32"/>
      <c r="H39" s="32"/>
      <c r="I39" s="32"/>
      <c r="J39" s="32"/>
      <c r="K39" s="32"/>
      <c r="L39" s="32"/>
      <c r="M39" s="32"/>
      <c r="N39" s="32"/>
      <c r="O39" s="32"/>
      <c r="P39" s="32"/>
      <c r="Q39" s="32"/>
      <c r="R39" s="32"/>
      <c r="S39" s="32"/>
      <c r="T39" s="32"/>
      <c r="U39" s="32"/>
      <c r="V39" s="32">
        <f>IFERROR(__xludf.DUMMYFUNCTION("""COMPUTED_VALUE"""),100.0)</f>
        <v>100</v>
      </c>
      <c r="W39" s="32"/>
      <c r="X39" s="32"/>
      <c r="Y39" s="32"/>
      <c r="Z39" s="32"/>
    </row>
    <row r="40">
      <c r="A40" s="32" t="str">
        <f>IFERROR(__xludf.DUMMYFUNCTION("""COMPUTED_VALUE"""),"Cerberus Gatekeeper of Souls")</f>
        <v>Cerberus Gatekeeper of Souls</v>
      </c>
      <c r="B40" s="32"/>
      <c r="C40" s="32"/>
      <c r="D40" s="32"/>
      <c r="E40" s="32"/>
      <c r="F40" s="32">
        <f>IFERROR(__xludf.DUMMYFUNCTION("""COMPUTED_VALUE"""),100.0)</f>
        <v>100</v>
      </c>
      <c r="G40" s="32"/>
      <c r="H40" s="32"/>
      <c r="I40" s="32">
        <f>IFERROR(__xludf.DUMMYFUNCTION("""COMPUTED_VALUE"""),100.0)</f>
        <v>100</v>
      </c>
      <c r="J40" s="32"/>
      <c r="K40" s="32"/>
      <c r="L40" s="32"/>
      <c r="M40" s="32"/>
      <c r="N40" s="32"/>
      <c r="O40" s="32"/>
      <c r="P40" s="32"/>
      <c r="Q40" s="32"/>
      <c r="R40" s="32"/>
      <c r="S40" s="32"/>
      <c r="T40" s="32"/>
      <c r="U40" s="32"/>
      <c r="V40" s="32"/>
      <c r="W40" s="32"/>
      <c r="X40" s="32"/>
      <c r="Y40" s="32"/>
      <c r="Z40" s="32"/>
    </row>
    <row r="41">
      <c r="A41" s="32" t="str">
        <f>IFERROR(__xludf.DUMMYFUNCTION("""COMPUTED_VALUE"""),"Chaos Dragon")</f>
        <v>Chaos Dragon</v>
      </c>
      <c r="B41" s="32"/>
      <c r="C41" s="32"/>
      <c r="D41" s="32"/>
      <c r="E41" s="32"/>
      <c r="F41" s="32"/>
      <c r="G41" s="32"/>
      <c r="H41" s="32"/>
      <c r="I41" s="32">
        <f>IFERROR(__xludf.DUMMYFUNCTION("""COMPUTED_VALUE"""),100.0)</f>
        <v>100</v>
      </c>
      <c r="J41" s="32"/>
      <c r="K41" s="32"/>
      <c r="L41" s="32"/>
      <c r="M41" s="32"/>
      <c r="N41" s="32"/>
      <c r="O41" s="32"/>
      <c r="P41" s="32"/>
      <c r="Q41" s="32"/>
      <c r="R41" s="32"/>
      <c r="S41" s="32"/>
      <c r="T41" s="32"/>
      <c r="U41" s="32"/>
      <c r="V41" s="32"/>
      <c r="W41" s="32"/>
      <c r="X41" s="32"/>
      <c r="Y41" s="32"/>
      <c r="Z41" s="32"/>
    </row>
    <row r="42">
      <c r="A42" s="32" t="str">
        <f>IFERROR(__xludf.DUMMYFUNCTION("""COMPUTED_VALUE"""),"Chaotic Shadow Gnome")</f>
        <v>Chaotic Shadow Gnome</v>
      </c>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t="str">
        <f>IFERROR(__xludf.DUMMYFUNCTION("""COMPUTED_VALUE"""),"Chaotic Shadow Golem")</f>
        <v>Chaotic Shadow Golem</v>
      </c>
      <c r="B43" s="32">
        <f>IFERROR(__xludf.DUMMYFUNCTION("""COMPUTED_VALUE"""),100.0)</f>
        <v>100</v>
      </c>
      <c r="C43" s="32"/>
      <c r="D43" s="32"/>
      <c r="E43" s="32"/>
      <c r="F43" s="32">
        <f>IFERROR(__xludf.DUMMYFUNCTION("""COMPUTED_VALUE"""),100.0)</f>
        <v>100</v>
      </c>
      <c r="G43" s="32"/>
      <c r="H43" s="32"/>
      <c r="I43" s="32">
        <f>IFERROR(__xludf.DUMMYFUNCTION("""COMPUTED_VALUE"""),100.0)</f>
        <v>100</v>
      </c>
      <c r="J43" s="32"/>
      <c r="K43" s="32"/>
      <c r="L43" s="32"/>
      <c r="M43" s="32"/>
      <c r="N43" s="32"/>
      <c r="O43" s="32"/>
      <c r="P43" s="32"/>
      <c r="Q43" s="32"/>
      <c r="R43" s="32"/>
      <c r="S43" s="32"/>
      <c r="T43" s="32"/>
      <c r="U43" s="32"/>
      <c r="V43" s="32"/>
      <c r="W43" s="32"/>
      <c r="X43" s="32"/>
      <c r="Y43" s="32"/>
      <c r="Z43" s="32"/>
    </row>
    <row r="44">
      <c r="A44" s="32" t="str">
        <f>IFERROR(__xludf.DUMMYFUNCTION("""COMPUTED_VALUE"""),"Chaotic Shadow Phantom")</f>
        <v>Chaotic Shadow Phantom</v>
      </c>
      <c r="B44" s="32">
        <f>IFERROR(__xludf.DUMMYFUNCTION("""COMPUTED_VALUE"""),100.0)</f>
        <v>100</v>
      </c>
      <c r="C44" s="32"/>
      <c r="D44" s="32"/>
      <c r="E44" s="32"/>
      <c r="F44" s="32">
        <f>IFERROR(__xludf.DUMMYFUNCTION("""COMPUTED_VALUE"""),100.0)</f>
        <v>100</v>
      </c>
      <c r="G44" s="32"/>
      <c r="H44" s="32"/>
      <c r="I44" s="32">
        <f>IFERROR(__xludf.DUMMYFUNCTION("""COMPUTED_VALUE"""),100.0)</f>
        <v>100</v>
      </c>
      <c r="J44" s="32"/>
      <c r="K44" s="32"/>
      <c r="L44" s="32"/>
      <c r="M44" s="32"/>
      <c r="N44" s="32"/>
      <c r="O44" s="32"/>
      <c r="P44" s="32"/>
      <c r="Q44" s="32"/>
      <c r="R44" s="32"/>
      <c r="S44" s="32"/>
      <c r="T44" s="32"/>
      <c r="U44" s="32"/>
      <c r="V44" s="32"/>
      <c r="W44" s="32"/>
      <c r="X44" s="32"/>
      <c r="Y44" s="32"/>
      <c r="Z44" s="32"/>
    </row>
    <row r="45">
      <c r="A45" s="32" t="str">
        <f>IFERROR(__xludf.DUMMYFUNCTION("""COMPUTED_VALUE"""),"Chaotic Shadow Royal Knight")</f>
        <v>Chaotic Shadow Royal Knight</v>
      </c>
      <c r="B45" s="32">
        <f>IFERROR(__xludf.DUMMYFUNCTION("""COMPUTED_VALUE"""),100.0)</f>
        <v>100</v>
      </c>
      <c r="C45" s="32"/>
      <c r="D45" s="32"/>
      <c r="E45" s="32"/>
      <c r="F45" s="32">
        <f>IFERROR(__xludf.DUMMYFUNCTION("""COMPUTED_VALUE"""),100.0)</f>
        <v>100</v>
      </c>
      <c r="G45" s="32"/>
      <c r="H45" s="32"/>
      <c r="I45" s="32">
        <f>IFERROR(__xludf.DUMMYFUNCTION("""COMPUTED_VALUE"""),100.0)</f>
        <v>100</v>
      </c>
      <c r="J45" s="32"/>
      <c r="K45" s="32"/>
      <c r="L45" s="32"/>
      <c r="M45" s="32"/>
      <c r="N45" s="32"/>
      <c r="O45" s="32"/>
      <c r="P45" s="32"/>
      <c r="Q45" s="32"/>
      <c r="R45" s="32"/>
      <c r="S45" s="32"/>
      <c r="T45" s="32"/>
      <c r="U45" s="32"/>
      <c r="V45" s="32"/>
      <c r="W45" s="32"/>
      <c r="X45" s="32"/>
      <c r="Y45" s="32"/>
      <c r="Z45" s="32"/>
    </row>
    <row r="46">
      <c r="A46" s="32" t="str">
        <f>IFERROR(__xludf.DUMMYFUNCTION("""COMPUTED_VALUE"""),"colossus suit of armor")</f>
        <v>colossus suit of armor</v>
      </c>
      <c r="B46" s="32"/>
      <c r="C46" s="32"/>
      <c r="D46" s="32"/>
      <c r="E46" s="32"/>
      <c r="F46" s="32"/>
      <c r="G46" s="32"/>
      <c r="H46" s="32"/>
      <c r="I46" s="32"/>
      <c r="J46" s="32">
        <f>IFERROR(__xludf.DUMMYFUNCTION("""COMPUTED_VALUE"""),100.0)</f>
        <v>100</v>
      </c>
      <c r="K46" s="32"/>
      <c r="L46" s="32"/>
      <c r="M46" s="32"/>
      <c r="N46" s="32"/>
      <c r="O46" s="32"/>
      <c r="P46" s="32"/>
      <c r="Q46" s="32"/>
      <c r="R46" s="32"/>
      <c r="S46" s="32"/>
      <c r="T46" s="32"/>
      <c r="U46" s="32"/>
      <c r="V46" s="32"/>
      <c r="W46" s="32"/>
      <c r="X46" s="32"/>
      <c r="Y46" s="32"/>
      <c r="Z46" s="32"/>
    </row>
    <row r="47">
      <c r="A47" s="32" t="str">
        <f>IFERROR(__xludf.DUMMYFUNCTION("""COMPUTED_VALUE"""),"Corrupted Twilight Knight")</f>
        <v>Corrupted Twilight Knight</v>
      </c>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t="str">
        <f>IFERROR(__xludf.DUMMYFUNCTION("""COMPUTED_VALUE"""),"Corrupted Twilight Knight")</f>
        <v>Corrupted Twilight Knight</v>
      </c>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t="str">
        <f>IFERROR(__xludf.DUMMYFUNCTION("""COMPUTED_VALUE"""),"Cremagetion")</f>
        <v>Cremagetion</v>
      </c>
      <c r="B49" s="32"/>
      <c r="C49" s="32">
        <f>IFERROR(__xludf.DUMMYFUNCTION("""COMPUTED_VALUE"""),100.0)</f>
        <v>100</v>
      </c>
      <c r="D49" s="32"/>
      <c r="E49" s="32"/>
      <c r="F49" s="32"/>
      <c r="G49" s="32"/>
      <c r="H49" s="32"/>
      <c r="I49" s="32"/>
      <c r="J49" s="32"/>
      <c r="K49" s="32"/>
      <c r="L49" s="32"/>
      <c r="M49" s="32"/>
      <c r="N49" s="32"/>
      <c r="O49" s="32"/>
      <c r="P49" s="32"/>
      <c r="Q49" s="32"/>
      <c r="R49" s="32"/>
      <c r="S49" s="32"/>
      <c r="T49" s="32"/>
      <c r="U49" s="32"/>
      <c r="V49" s="32"/>
      <c r="W49" s="32"/>
      <c r="X49" s="32"/>
      <c r="Y49" s="32"/>
      <c r="Z49" s="32"/>
    </row>
    <row r="50">
      <c r="A50" s="32" t="str">
        <f>IFERROR(__xludf.DUMMYFUNCTION("""COMPUTED_VALUE"""),"Crow")</f>
        <v>Crow</v>
      </c>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t="str">
        <f>IFERROR(__xludf.DUMMYFUNCTION("""COMPUTED_VALUE"""),"Crystal Dragon")</f>
        <v>Crystal Dragon</v>
      </c>
      <c r="B51" s="32"/>
      <c r="C51" s="32">
        <f>IFERROR(__xludf.DUMMYFUNCTION("""COMPUTED_VALUE"""),100.0)</f>
        <v>100</v>
      </c>
      <c r="D51" s="32">
        <f>IFERROR(__xludf.DUMMYFUNCTION("""COMPUTED_VALUE"""),100.0)</f>
        <v>100</v>
      </c>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f>IFERROR(__xludf.DUMMYFUNCTION("""COMPUTED_VALUE"""),100.0)</f>
        <v>100</v>
      </c>
      <c r="D52" s="32">
        <f>IFERROR(__xludf.DUMMYFUNCTION("""COMPUTED_VALUE"""),100.0)</f>
        <v>100</v>
      </c>
      <c r="E52" s="32"/>
      <c r="F52" s="32"/>
      <c r="G52" s="32"/>
      <c r="H52" s="32"/>
      <c r="I52" s="32"/>
      <c r="J52" s="32"/>
      <c r="K52" s="32"/>
      <c r="L52" s="32"/>
      <c r="M52" s="32"/>
      <c r="N52" s="32"/>
      <c r="O52" s="32"/>
      <c r="P52" s="32"/>
      <c r="Q52" s="32"/>
      <c r="R52" s="32"/>
      <c r="S52" s="32"/>
      <c r="T52" s="32"/>
      <c r="U52" s="32"/>
      <c r="V52" s="32"/>
      <c r="W52" s="32"/>
      <c r="X52" s="32"/>
      <c r="Y52" s="32"/>
      <c r="Z52" s="32"/>
    </row>
    <row r="53">
      <c r="A53" s="32" t="str">
        <f>IFERROR(__xludf.DUMMYFUNCTION("""COMPUTED_VALUE"""),"Cthulhu")</f>
        <v>Cthulhu</v>
      </c>
      <c r="B53" s="32"/>
      <c r="C53" s="32"/>
      <c r="D53" s="32">
        <f>IFERROR(__xludf.DUMMYFUNCTION("""COMPUTED_VALUE"""),100.0)</f>
        <v>100</v>
      </c>
      <c r="E53" s="32"/>
      <c r="F53" s="32">
        <f>IFERROR(__xludf.DUMMYFUNCTION("""COMPUTED_VALUE"""),100.0)</f>
        <v>100</v>
      </c>
      <c r="G53" s="32"/>
      <c r="H53" s="32"/>
      <c r="I53" s="32"/>
      <c r="J53" s="32"/>
      <c r="K53" s="32">
        <f>IFERROR(__xludf.DUMMYFUNCTION("""COMPUTED_VALUE"""),100.0)</f>
        <v>100</v>
      </c>
      <c r="L53" s="32"/>
      <c r="M53" s="32"/>
      <c r="N53" s="32"/>
      <c r="O53" s="32"/>
      <c r="P53" s="32"/>
      <c r="Q53" s="32"/>
      <c r="R53" s="32"/>
      <c r="S53" s="32"/>
      <c r="T53" s="32"/>
      <c r="U53" s="32"/>
      <c r="V53" s="32"/>
      <c r="W53" s="32">
        <f>IFERROR(__xludf.DUMMYFUNCTION("""COMPUTED_VALUE"""),100.0)</f>
        <v>100</v>
      </c>
      <c r="X53" s="32"/>
      <c r="Y53" s="32"/>
      <c r="Z53" s="32"/>
    </row>
    <row r="54">
      <c r="A54" s="32" t="str">
        <f>IFERROR(__xludf.DUMMYFUNCTION("""COMPUTED_VALUE"""),"Cultist of Dreadful")</f>
        <v>Cultist of Dreadful</v>
      </c>
      <c r="B54" s="32"/>
      <c r="C54" s="32"/>
      <c r="D54" s="32"/>
      <c r="E54" s="32"/>
      <c r="F54" s="32">
        <f>IFERROR(__xludf.DUMMYFUNCTION("""COMPUTED_VALUE"""),100.0)</f>
        <v>100</v>
      </c>
      <c r="G54" s="32"/>
      <c r="H54" s="32"/>
      <c r="I54" s="32">
        <f>IFERROR(__xludf.DUMMYFUNCTION("""COMPUTED_VALUE"""),100.0)</f>
        <v>100</v>
      </c>
      <c r="J54" s="32"/>
      <c r="K54" s="32"/>
      <c r="L54" s="32"/>
      <c r="M54" s="32"/>
      <c r="N54" s="32"/>
      <c r="O54" s="32"/>
      <c r="P54" s="32"/>
      <c r="Q54" s="32"/>
      <c r="R54" s="32"/>
      <c r="S54" s="32"/>
      <c r="T54" s="32"/>
      <c r="U54" s="32"/>
      <c r="V54" s="32"/>
      <c r="W54" s="32"/>
      <c r="X54" s="32"/>
      <c r="Y54" s="32"/>
      <c r="Z54" s="32"/>
    </row>
    <row r="55">
      <c r="A55" s="32" t="str">
        <f>IFERROR(__xludf.DUMMYFUNCTION("""COMPUTED_VALUE"""),"Cultist Leader")</f>
        <v>Cultist Leader</v>
      </c>
      <c r="B55" s="32"/>
      <c r="C55" s="32"/>
      <c r="D55" s="32"/>
      <c r="E55" s="32"/>
      <c r="F55" s="32">
        <f>IFERROR(__xludf.DUMMYFUNCTION("""COMPUTED_VALUE"""),100.0)</f>
        <v>100</v>
      </c>
      <c r="G55" s="32"/>
      <c r="H55" s="32"/>
      <c r="I55" s="32">
        <f>IFERROR(__xludf.DUMMYFUNCTION("""COMPUTED_VALUE"""),100.0)</f>
        <v>100</v>
      </c>
      <c r="J55" s="32"/>
      <c r="K55" s="32"/>
      <c r="L55" s="32"/>
      <c r="M55" s="32"/>
      <c r="N55" s="32"/>
      <c r="O55" s="32"/>
      <c r="P55" s="32"/>
      <c r="Q55" s="32"/>
      <c r="R55" s="32"/>
      <c r="S55" s="32"/>
      <c r="T55" s="32"/>
      <c r="U55" s="32"/>
      <c r="V55" s="32"/>
      <c r="W55" s="32"/>
      <c r="X55" s="32"/>
      <c r="Y55" s="32"/>
      <c r="Z55" s="32"/>
    </row>
    <row r="56">
      <c r="A56" s="32" t="str">
        <f>IFERROR(__xludf.DUMMYFUNCTION("""COMPUTED_VALUE"""),"Cursed Ronin")</f>
        <v>Cursed Ronin</v>
      </c>
      <c r="B56" s="32"/>
      <c r="C56" s="32"/>
      <c r="D56" s="32"/>
      <c r="E56" s="32"/>
      <c r="F56" s="32">
        <f>IFERROR(__xludf.DUMMYFUNCTION("""COMPUTED_VALUE"""),100.0)</f>
        <v>100</v>
      </c>
      <c r="G56" s="32"/>
      <c r="H56" s="32"/>
      <c r="I56" s="32">
        <f>IFERROR(__xludf.DUMMYFUNCTION("""COMPUTED_VALUE"""),100.0)</f>
        <v>100</v>
      </c>
      <c r="J56" s="32"/>
      <c r="K56" s="32"/>
      <c r="L56" s="32"/>
      <c r="M56" s="32"/>
      <c r="N56" s="32"/>
      <c r="O56" s="32"/>
      <c r="P56" s="32"/>
      <c r="Q56" s="32"/>
      <c r="R56" s="32"/>
      <c r="S56" s="32"/>
      <c r="T56" s="32"/>
      <c r="U56" s="32"/>
      <c r="V56" s="32"/>
      <c r="W56" s="32"/>
      <c r="X56" s="32"/>
      <c r="Y56" s="32"/>
      <c r="Z56" s="32"/>
    </row>
    <row r="57">
      <c r="A57" s="32" t="str">
        <f>IFERROR(__xludf.DUMMYFUNCTION("""COMPUTED_VALUE"""),"Cursed Samurai")</f>
        <v>Cursed Samurai</v>
      </c>
      <c r="B57" s="32">
        <f>IFERROR(__xludf.DUMMYFUNCTION("""COMPUTED_VALUE"""),100.0)</f>
        <v>100</v>
      </c>
      <c r="C57" s="32"/>
      <c r="D57" s="32"/>
      <c r="E57" s="32"/>
      <c r="F57" s="32">
        <f>IFERROR(__xludf.DUMMYFUNCTION("""COMPUTED_VALUE"""),100.0)</f>
        <v>100</v>
      </c>
      <c r="G57" s="32"/>
      <c r="H57" s="32"/>
      <c r="I57" s="32"/>
      <c r="J57" s="32"/>
      <c r="K57" s="32"/>
      <c r="L57" s="32"/>
      <c r="M57" s="32"/>
      <c r="N57" s="32"/>
      <c r="O57" s="32"/>
      <c r="P57" s="32"/>
      <c r="Q57" s="32"/>
      <c r="R57" s="32"/>
      <c r="S57" s="32"/>
      <c r="T57" s="32"/>
      <c r="U57" s="32"/>
      <c r="V57" s="32"/>
      <c r="W57" s="32"/>
      <c r="X57" s="32"/>
      <c r="Y57" s="32"/>
      <c r="Z57" s="32"/>
    </row>
    <row r="58">
      <c r="A58" s="32" t="str">
        <f>IFERROR(__xludf.DUMMYFUNCTION("""COMPUTED_VALUE"""),"Cyclops")</f>
        <v>Cyclops</v>
      </c>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t="str">
        <f>IFERROR(__xludf.DUMMYFUNCTION("""COMPUTED_VALUE"""),"Dark Dragon")</f>
        <v>Dark Dragon</v>
      </c>
      <c r="B59" s="32">
        <f>IFERROR(__xludf.DUMMYFUNCTION("""COMPUTED_VALUE"""),100.0)</f>
        <v>100</v>
      </c>
      <c r="C59" s="32"/>
      <c r="D59" s="32"/>
      <c r="E59" s="32"/>
      <c r="F59" s="32">
        <f>IFERROR(__xludf.DUMMYFUNCTION("""COMPUTED_VALUE"""),100.0)</f>
        <v>100</v>
      </c>
      <c r="G59" s="32"/>
      <c r="H59" s="32"/>
      <c r="I59" s="32"/>
      <c r="J59" s="32"/>
      <c r="K59" s="32"/>
      <c r="L59" s="32"/>
      <c r="M59" s="32"/>
      <c r="N59" s="32"/>
      <c r="O59" s="32"/>
      <c r="P59" s="32"/>
      <c r="Q59" s="32"/>
      <c r="R59" s="32"/>
      <c r="S59" s="32"/>
      <c r="T59" s="32"/>
      <c r="U59" s="32"/>
      <c r="V59" s="32"/>
      <c r="W59" s="32"/>
      <c r="X59" s="32"/>
      <c r="Y59" s="32"/>
      <c r="Z59" s="32"/>
    </row>
    <row r="60">
      <c r="A60" s="32" t="str">
        <f>IFERROR(__xludf.DUMMYFUNCTION("""COMPUTED_VALUE"""),"Dark Snow Warrior")</f>
        <v>Dark Snow Warrior</v>
      </c>
      <c r="B60" s="32">
        <f>IFERROR(__xludf.DUMMYFUNCTION("""COMPUTED_VALUE"""),100.0)</f>
        <v>100</v>
      </c>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t="str">
        <f>IFERROR(__xludf.DUMMYFUNCTION("""COMPUTED_VALUE"""),"Dark Wizard")</f>
        <v>Dark Wizard</v>
      </c>
      <c r="B61" s="32"/>
      <c r="C61" s="32"/>
      <c r="D61" s="32"/>
      <c r="E61" s="32"/>
      <c r="F61" s="32">
        <f>IFERROR(__xludf.DUMMYFUNCTION("""COMPUTED_VALUE"""),100.0)</f>
        <v>100</v>
      </c>
      <c r="G61" s="32"/>
      <c r="H61" s="32"/>
      <c r="I61" s="32"/>
      <c r="J61" s="32"/>
      <c r="K61" s="32"/>
      <c r="L61" s="32"/>
      <c r="M61" s="32"/>
      <c r="N61" s="32"/>
      <c r="O61" s="32"/>
      <c r="P61" s="32"/>
      <c r="Q61" s="32"/>
      <c r="R61" s="32"/>
      <c r="S61" s="32"/>
      <c r="T61" s="32"/>
      <c r="U61" s="32"/>
      <c r="V61" s="32"/>
      <c r="W61" s="32"/>
      <c r="X61" s="32"/>
      <c r="Y61" s="32"/>
      <c r="Z61" s="32"/>
    </row>
    <row r="62">
      <c r="A62" s="32" t="str">
        <f>IFERROR(__xludf.DUMMYFUNCTION("""COMPUTED_VALUE"""),"Death's Royal Guard")</f>
        <v>Death's Royal Guard</v>
      </c>
      <c r="B62" s="32">
        <f>IFERROR(__xludf.DUMMYFUNCTION("""COMPUTED_VALUE"""),100.0)</f>
        <v>100</v>
      </c>
      <c r="C62" s="32"/>
      <c r="D62" s="32"/>
      <c r="E62" s="32"/>
      <c r="F62" s="32">
        <f>IFERROR(__xludf.DUMMYFUNCTION("""COMPUTED_VALUE"""),100.0)</f>
        <v>100</v>
      </c>
      <c r="G62" s="32"/>
      <c r="H62" s="32"/>
      <c r="I62" s="32">
        <f>IFERROR(__xludf.DUMMYFUNCTION("""COMPUTED_VALUE"""),100.0)</f>
        <v>100</v>
      </c>
      <c r="J62" s="32"/>
      <c r="K62" s="32"/>
      <c r="L62" s="32"/>
      <c r="M62" s="32"/>
      <c r="N62" s="32"/>
      <c r="O62" s="32"/>
      <c r="P62" s="32"/>
      <c r="Q62" s="32"/>
      <c r="R62" s="32"/>
      <c r="S62" s="32"/>
      <c r="T62" s="32"/>
      <c r="U62" s="32"/>
      <c r="V62" s="32"/>
      <c r="W62" s="32"/>
      <c r="X62" s="32"/>
      <c r="Y62" s="32"/>
      <c r="Z62" s="32"/>
    </row>
    <row r="63">
      <c r="A63" s="32" t="str">
        <f>IFERROR(__xludf.DUMMYFUNCTION("""COMPUTED_VALUE"""),"Deathblade The Dragon Hunter")</f>
        <v>Deathblade The Dragon Hunter</v>
      </c>
      <c r="B63" s="32">
        <f>IFERROR(__xludf.DUMMYFUNCTION("""COMPUTED_VALUE"""),100.0)</f>
        <v>100</v>
      </c>
      <c r="C63" s="32"/>
      <c r="D63" s="32"/>
      <c r="E63" s="32"/>
      <c r="F63" s="32">
        <f>IFERROR(__xludf.DUMMYFUNCTION("""COMPUTED_VALUE"""),100.0)</f>
        <v>100</v>
      </c>
      <c r="G63" s="32"/>
      <c r="H63" s="32"/>
      <c r="I63" s="32">
        <f>IFERROR(__xludf.DUMMYFUNCTION("""COMPUTED_VALUE"""),100.0)</f>
        <v>100</v>
      </c>
      <c r="J63" s="32"/>
      <c r="K63" s="32"/>
      <c r="L63" s="32"/>
      <c r="M63" s="32"/>
      <c r="N63" s="32"/>
      <c r="O63" s="32"/>
      <c r="P63" s="32"/>
      <c r="Q63" s="32"/>
      <c r="R63" s="32"/>
      <c r="S63" s="32"/>
      <c r="T63" s="32"/>
      <c r="U63" s="32"/>
      <c r="V63" s="32"/>
      <c r="W63" s="32"/>
      <c r="X63" s="32"/>
      <c r="Y63" s="32"/>
      <c r="Z63" s="32"/>
    </row>
    <row r="64">
      <c r="A64" s="32" t="str">
        <f>IFERROR(__xludf.DUMMYFUNCTION("""COMPUTED_VALUE"""),"DeathBlade The Dragon Hunter")</f>
        <v>DeathBlade The Dragon Hunter</v>
      </c>
      <c r="B64" s="32">
        <f>IFERROR(__xludf.DUMMYFUNCTION("""COMPUTED_VALUE"""),100.0)</f>
        <v>100</v>
      </c>
      <c r="C64" s="32"/>
      <c r="D64" s="32"/>
      <c r="E64" s="32"/>
      <c r="F64" s="32">
        <f>IFERROR(__xludf.DUMMYFUNCTION("""COMPUTED_VALUE"""),100.0)</f>
        <v>100</v>
      </c>
      <c r="G64" s="32"/>
      <c r="H64" s="32"/>
      <c r="I64" s="32">
        <f>IFERROR(__xludf.DUMMYFUNCTION("""COMPUTED_VALUE"""),100.0)</f>
        <v>100</v>
      </c>
      <c r="J64" s="32"/>
      <c r="K64" s="32"/>
      <c r="L64" s="32"/>
      <c r="M64" s="32"/>
      <c r="N64" s="32"/>
      <c r="O64" s="32"/>
      <c r="P64" s="32"/>
      <c r="Q64" s="32"/>
      <c r="R64" s="32"/>
      <c r="S64" s="32"/>
      <c r="T64" s="32"/>
      <c r="U64" s="32"/>
      <c r="V64" s="32"/>
      <c r="W64" s="32"/>
      <c r="X64" s="32"/>
      <c r="Y64" s="32"/>
      <c r="Z64" s="32"/>
    </row>
    <row r="65">
      <c r="A65" s="32" t="str">
        <f>IFERROR(__xludf.DUMMYFUNCTION("""COMPUTED_VALUE"""),"Defensive Rock Giant")</f>
        <v>Defensive Rock Giant</v>
      </c>
      <c r="B65" s="32"/>
      <c r="C65" s="32">
        <f>IFERROR(__xludf.DUMMYFUNCTION("""COMPUTED_VALUE"""),100.0)</f>
        <v>100</v>
      </c>
      <c r="D65" s="32"/>
      <c r="E65" s="32"/>
      <c r="F65" s="32"/>
      <c r="G65" s="32"/>
      <c r="H65" s="32"/>
      <c r="I65" s="32"/>
      <c r="J65" s="32"/>
      <c r="K65" s="32">
        <f>IFERROR(__xludf.DUMMYFUNCTION("""COMPUTED_VALUE"""),100.0)</f>
        <v>100</v>
      </c>
      <c r="L65" s="32"/>
      <c r="M65" s="32"/>
      <c r="N65" s="32"/>
      <c r="O65" s="32"/>
      <c r="P65" s="32"/>
      <c r="Q65" s="32"/>
      <c r="R65" s="32"/>
      <c r="S65" s="32"/>
      <c r="T65" s="32"/>
      <c r="U65" s="32"/>
      <c r="V65" s="32"/>
      <c r="W65" s="32"/>
      <c r="X65" s="32"/>
      <c r="Y65" s="32"/>
      <c r="Z65" s="32"/>
    </row>
    <row r="66">
      <c r="A66" s="32" t="str">
        <f>IFERROR(__xludf.DUMMYFUNCTION("""COMPUTED_VALUE"""),"Deimos")</f>
        <v>Deimos</v>
      </c>
      <c r="B66" s="32"/>
      <c r="C66" s="32">
        <f>IFERROR(__xludf.DUMMYFUNCTION("""COMPUTED_VALUE"""),100.0)</f>
        <v>100</v>
      </c>
      <c r="D66" s="32"/>
      <c r="E66" s="32"/>
      <c r="F66" s="32">
        <f>IFERROR(__xludf.DUMMYFUNCTION("""COMPUTED_VALUE"""),100.0)</f>
        <v>100</v>
      </c>
      <c r="G66" s="32"/>
      <c r="H66" s="32"/>
      <c r="I66" s="32">
        <f>IFERROR(__xludf.DUMMYFUNCTION("""COMPUTED_VALUE"""),100.0)</f>
        <v>100</v>
      </c>
      <c r="J66" s="32"/>
      <c r="K66" s="32"/>
      <c r="L66" s="32"/>
      <c r="M66" s="32"/>
      <c r="N66" s="32"/>
      <c r="O66" s="32"/>
      <c r="P66" s="32"/>
      <c r="Q66" s="32"/>
      <c r="R66" s="32"/>
      <c r="S66" s="32"/>
      <c r="T66" s="32"/>
      <c r="U66" s="32"/>
      <c r="V66" s="32"/>
      <c r="W66" s="32">
        <f>IFERROR(__xludf.DUMMYFUNCTION("""COMPUTED_VALUE"""),100.0)</f>
        <v>100</v>
      </c>
      <c r="X66" s="32"/>
      <c r="Y66" s="32"/>
      <c r="Z66" s="32"/>
    </row>
    <row r="67">
      <c r="A67" s="32" t="str">
        <f>IFERROR(__xludf.DUMMYFUNCTION("""COMPUTED_VALUE"""),"Delta Dragon")</f>
        <v>Delta Dragon</v>
      </c>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t="str">
        <f>IFERROR(__xludf.DUMMYFUNCTION("""COMPUTED_VALUE"""),"Demon ")</f>
        <v>Demon </v>
      </c>
      <c r="B68" s="32"/>
      <c r="C68" s="32">
        <f>IFERROR(__xludf.DUMMYFUNCTION("""COMPUTED_VALUE"""),100.0)</f>
        <v>100</v>
      </c>
      <c r="D68" s="32"/>
      <c r="E68" s="32"/>
      <c r="F68" s="32">
        <f>IFERROR(__xludf.DUMMYFUNCTION("""COMPUTED_VALUE"""),100.0)</f>
        <v>100</v>
      </c>
      <c r="G68" s="32"/>
      <c r="H68" s="32"/>
      <c r="I68" s="32"/>
      <c r="J68" s="32"/>
      <c r="K68" s="32"/>
      <c r="L68" s="32"/>
      <c r="M68" s="32"/>
      <c r="N68" s="32"/>
      <c r="O68" s="32"/>
      <c r="P68" s="32"/>
      <c r="Q68" s="32"/>
      <c r="R68" s="32"/>
      <c r="S68" s="32"/>
      <c r="T68" s="32"/>
      <c r="U68" s="32"/>
      <c r="V68" s="32"/>
      <c r="W68" s="32"/>
      <c r="X68" s="32"/>
      <c r="Y68" s="32"/>
      <c r="Z68" s="32"/>
    </row>
    <row r="69">
      <c r="A69" s="32" t="str">
        <f>IFERROR(__xludf.DUMMYFUNCTION("""COMPUTED_VALUE"""),"Demon Of Heatmore")</f>
        <v>Demon Of Heatmore</v>
      </c>
      <c r="B69" s="32"/>
      <c r="C69" s="32">
        <f>IFERROR(__xludf.DUMMYFUNCTION("""COMPUTED_VALUE"""),100.0)</f>
        <v>100</v>
      </c>
      <c r="D69" s="32"/>
      <c r="E69" s="32"/>
      <c r="F69" s="32"/>
      <c r="G69" s="32"/>
      <c r="H69" s="32"/>
      <c r="I69" s="32"/>
      <c r="J69" s="32"/>
      <c r="K69" s="32"/>
      <c r="L69" s="32"/>
      <c r="M69" s="32"/>
      <c r="N69" s="32"/>
      <c r="O69" s="32"/>
      <c r="P69" s="32"/>
      <c r="Q69" s="32"/>
      <c r="R69" s="32"/>
      <c r="S69" s="32"/>
      <c r="T69" s="32"/>
      <c r="U69" s="32"/>
      <c r="V69" s="32"/>
      <c r="W69" s="32"/>
      <c r="X69" s="32"/>
      <c r="Y69" s="32"/>
      <c r="Z69" s="32"/>
    </row>
    <row r="70">
      <c r="A70" s="32" t="str">
        <f>IFERROR(__xludf.DUMMYFUNCTION("""COMPUTED_VALUE"""),"Desert Demon")</f>
        <v>Desert Demon</v>
      </c>
      <c r="B70" s="32"/>
      <c r="C70" s="32">
        <f>IFERROR(__xludf.DUMMYFUNCTION("""COMPUTED_VALUE"""),100.0)</f>
        <v>100</v>
      </c>
      <c r="D70" s="32">
        <f>IFERROR(__xludf.DUMMYFUNCTION("""COMPUTED_VALUE"""),100.0)</f>
        <v>100</v>
      </c>
      <c r="E70" s="32"/>
      <c r="F70" s="32">
        <f>IFERROR(__xludf.DUMMYFUNCTION("""COMPUTED_VALUE"""),100.0)</f>
        <v>100</v>
      </c>
      <c r="G70" s="32"/>
      <c r="H70" s="32"/>
      <c r="I70" s="32"/>
      <c r="J70" s="32"/>
      <c r="K70" s="32"/>
      <c r="L70" s="32"/>
      <c r="M70" s="32"/>
      <c r="N70" s="32"/>
      <c r="O70" s="32"/>
      <c r="P70" s="32"/>
      <c r="Q70" s="32"/>
      <c r="R70" s="32"/>
      <c r="S70" s="32"/>
      <c r="T70" s="32"/>
      <c r="U70" s="32"/>
      <c r="V70" s="32"/>
      <c r="W70" s="32"/>
      <c r="X70" s="32"/>
      <c r="Y70" s="32"/>
      <c r="Z70" s="32"/>
    </row>
    <row r="71">
      <c r="A71" s="32" t="str">
        <f>IFERROR(__xludf.DUMMYFUNCTION("""COMPUTED_VALUE"""),"Desert Hunter")</f>
        <v>Desert Hunter</v>
      </c>
      <c r="B71" s="32"/>
      <c r="C71" s="32">
        <f>IFERROR(__xludf.DUMMYFUNCTION("""COMPUTED_VALUE"""),100.0)</f>
        <v>100</v>
      </c>
      <c r="D71" s="32">
        <f>IFERROR(__xludf.DUMMYFUNCTION("""COMPUTED_VALUE"""),100.0)</f>
        <v>100</v>
      </c>
      <c r="E71" s="32"/>
      <c r="F71" s="32"/>
      <c r="G71" s="32"/>
      <c r="H71" s="32"/>
      <c r="I71" s="32"/>
      <c r="J71" s="32"/>
      <c r="K71" s="32"/>
      <c r="L71" s="32"/>
      <c r="M71" s="32"/>
      <c r="N71" s="32"/>
      <c r="O71" s="32"/>
      <c r="P71" s="32"/>
      <c r="Q71" s="32"/>
      <c r="R71" s="32"/>
      <c r="S71" s="32"/>
      <c r="T71" s="32"/>
      <c r="U71" s="32"/>
      <c r="V71" s="32"/>
      <c r="W71" s="32"/>
      <c r="X71" s="32"/>
      <c r="Y71" s="32"/>
      <c r="Z71" s="32"/>
    </row>
    <row r="72">
      <c r="A72" s="32" t="str">
        <f>IFERROR(__xludf.DUMMYFUNCTION("""COMPUTED_VALUE"""),"Desert Titan")</f>
        <v>Desert Titan</v>
      </c>
      <c r="B72" s="32"/>
      <c r="C72" s="32">
        <f>IFERROR(__xludf.DUMMYFUNCTION("""COMPUTED_VALUE"""),100.0)</f>
        <v>100</v>
      </c>
      <c r="D72" s="32">
        <f>IFERROR(__xludf.DUMMYFUNCTION("""COMPUTED_VALUE"""),100.0)</f>
        <v>100</v>
      </c>
      <c r="E72" s="32"/>
      <c r="F72" s="32"/>
      <c r="G72" s="32"/>
      <c r="H72" s="32"/>
      <c r="I72" s="32"/>
      <c r="J72" s="32"/>
      <c r="K72" s="32"/>
      <c r="L72" s="32"/>
      <c r="M72" s="32"/>
      <c r="N72" s="32"/>
      <c r="O72" s="32"/>
      <c r="P72" s="32"/>
      <c r="Q72" s="32"/>
      <c r="R72" s="32"/>
      <c r="S72" s="32"/>
      <c r="T72" s="32"/>
      <c r="U72" s="32"/>
      <c r="V72" s="32"/>
      <c r="W72" s="32"/>
      <c r="X72" s="32"/>
      <c r="Y72" s="32"/>
      <c r="Z72" s="32"/>
    </row>
    <row r="73">
      <c r="A73" s="32" t="str">
        <f>IFERROR(__xludf.DUMMYFUNCTION("""COMPUTED_VALUE"""),"Diamond Dragon")</f>
        <v>Diamond Dragon</v>
      </c>
      <c r="B73" s="32"/>
      <c r="C73" s="32">
        <f>IFERROR(__xludf.DUMMYFUNCTION("""COMPUTED_VALUE"""),100.0)</f>
        <v>100</v>
      </c>
      <c r="D73" s="32">
        <f>IFERROR(__xludf.DUMMYFUNCTION("""COMPUTED_VALUE"""),100.0)</f>
        <v>100</v>
      </c>
      <c r="E73" s="32"/>
      <c r="F73" s="32"/>
      <c r="G73" s="32"/>
      <c r="H73" s="32"/>
      <c r="I73" s="32"/>
      <c r="J73" s="32"/>
      <c r="K73" s="32"/>
      <c r="L73" s="32"/>
      <c r="M73" s="32"/>
      <c r="N73" s="32"/>
      <c r="O73" s="32"/>
      <c r="P73" s="32"/>
      <c r="Q73" s="32"/>
      <c r="R73" s="32"/>
      <c r="S73" s="32"/>
      <c r="T73" s="32"/>
      <c r="U73" s="32"/>
      <c r="V73" s="32"/>
      <c r="W73" s="32"/>
      <c r="X73" s="32"/>
      <c r="Y73" s="32"/>
      <c r="Z73" s="32"/>
    </row>
    <row r="74">
      <c r="A74" s="32" t="str">
        <f>IFERROR(__xludf.DUMMYFUNCTION("""COMPUTED_VALUE"""),"Dio The Time Dragon")</f>
        <v>Dio The Time Dragon</v>
      </c>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t="str">
        <f>IFERROR(__xludf.DUMMYFUNCTION("""COMPUTED_VALUE"""),"Divine Dragon Of The Flames")</f>
        <v>Divine Dragon Of The Flames</v>
      </c>
      <c r="B75" s="32"/>
      <c r="C75" s="32">
        <f>IFERROR(__xludf.DUMMYFUNCTION("""COMPUTED_VALUE"""),100.0)</f>
        <v>100</v>
      </c>
      <c r="D75" s="32"/>
      <c r="E75" s="32"/>
      <c r="F75" s="32"/>
      <c r="G75" s="32"/>
      <c r="H75" s="32"/>
      <c r="I75" s="32"/>
      <c r="J75" s="32"/>
      <c r="K75" s="32"/>
      <c r="L75" s="32"/>
      <c r="M75" s="32"/>
      <c r="N75" s="32"/>
      <c r="O75" s="32"/>
      <c r="P75" s="32"/>
      <c r="Q75" s="32"/>
      <c r="R75" s="32"/>
      <c r="S75" s="32"/>
      <c r="T75" s="32"/>
      <c r="U75" s="32"/>
      <c r="V75" s="32"/>
      <c r="W75" s="32"/>
      <c r="X75" s="32"/>
      <c r="Y75" s="32"/>
      <c r="Z75" s="32"/>
    </row>
    <row r="76">
      <c r="A76" s="32" t="str">
        <f>IFERROR(__xludf.DUMMYFUNCTION("""COMPUTED_VALUE"""),"Donkey")</f>
        <v>Donkey</v>
      </c>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t="str">
        <f>IFERROR(__xludf.DUMMYFUNCTION("""COMPUTED_VALUE"""),"Dragon Summoner")</f>
        <v>Dragon Summoner</v>
      </c>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t="str">
        <f>IFERROR(__xludf.DUMMYFUNCTION("""COMPUTED_VALUE"""),"Dreading Fire Lich")</f>
        <v>Dreading Fire Lich</v>
      </c>
      <c r="B78" s="32"/>
      <c r="C78" s="32">
        <f>IFERROR(__xludf.DUMMYFUNCTION("""COMPUTED_VALUE"""),100.0)</f>
        <v>100</v>
      </c>
      <c r="D78" s="32"/>
      <c r="E78" s="32"/>
      <c r="F78" s="32"/>
      <c r="G78" s="32"/>
      <c r="H78" s="32"/>
      <c r="I78" s="32"/>
      <c r="J78" s="32"/>
      <c r="K78" s="32"/>
      <c r="L78" s="32"/>
      <c r="M78" s="32"/>
      <c r="N78" s="32"/>
      <c r="O78" s="32"/>
      <c r="P78" s="32"/>
      <c r="Q78" s="32"/>
      <c r="R78" s="32"/>
      <c r="S78" s="32"/>
      <c r="T78" s="32"/>
      <c r="U78" s="32"/>
      <c r="V78" s="32"/>
      <c r="W78" s="32"/>
      <c r="X78" s="32"/>
      <c r="Y78" s="32"/>
      <c r="Z78" s="32"/>
    </row>
    <row r="79">
      <c r="A79" s="32" t="str">
        <f>IFERROR(__xludf.DUMMYFUNCTION("""COMPUTED_VALUE"""),"Dweller Of The Abyss ")</f>
        <v>Dweller Of The Abyss </v>
      </c>
      <c r="B79" s="32"/>
      <c r="C79" s="32"/>
      <c r="D79" s="32"/>
      <c r="E79" s="32"/>
      <c r="F79" s="32">
        <f>IFERROR(__xludf.DUMMYFUNCTION("""COMPUTED_VALUE"""),100.0)</f>
        <v>100</v>
      </c>
      <c r="G79" s="32"/>
      <c r="H79" s="32"/>
      <c r="I79" s="32"/>
      <c r="J79" s="32"/>
      <c r="K79" s="32">
        <f>IFERROR(__xludf.DUMMYFUNCTION("""COMPUTED_VALUE"""),100.0)</f>
        <v>100</v>
      </c>
      <c r="L79" s="32"/>
      <c r="M79" s="32"/>
      <c r="N79" s="32"/>
      <c r="O79" s="32"/>
      <c r="P79" s="32"/>
      <c r="Q79" s="32"/>
      <c r="R79" s="32"/>
      <c r="S79" s="32"/>
      <c r="T79" s="32"/>
      <c r="U79" s="32"/>
      <c r="V79" s="32"/>
      <c r="W79" s="32">
        <f>IFERROR(__xludf.DUMMYFUNCTION("""COMPUTED_VALUE"""),100.0)</f>
        <v>100</v>
      </c>
      <c r="X79" s="32"/>
      <c r="Y79" s="32"/>
      <c r="Z79" s="32"/>
    </row>
    <row r="80">
      <c r="A80" s="32" t="str">
        <f>IFERROR(__xludf.DUMMYFUNCTION("""COMPUTED_VALUE"""),"Eagle")</f>
        <v>Eagle</v>
      </c>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t="str">
        <f>IFERROR(__xludf.DUMMYFUNCTION("""COMPUTED_VALUE"""),"Eagle (Enhanced)")</f>
        <v>Eagle (Enhanced)</v>
      </c>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t="str">
        <f>IFERROR(__xludf.DUMMYFUNCTION("""COMPUTED_VALUE"""),"Elder Monk Kenyu")</f>
        <v>Elder Monk Kenyu</v>
      </c>
      <c r="B82" s="32"/>
      <c r="C82" s="32"/>
      <c r="D82" s="32"/>
      <c r="E82" s="32"/>
      <c r="F82" s="32"/>
      <c r="G82" s="32">
        <f>IFERROR(__xludf.DUMMYFUNCTION("""COMPUTED_VALUE"""),100.0)</f>
        <v>100</v>
      </c>
      <c r="H82" s="32"/>
      <c r="I82" s="32"/>
      <c r="J82" s="32">
        <f>IFERROR(__xludf.DUMMYFUNCTION("""COMPUTED_VALUE"""),100.0)</f>
        <v>100</v>
      </c>
      <c r="K82" s="32"/>
      <c r="L82" s="32"/>
      <c r="M82" s="32"/>
      <c r="N82" s="32"/>
      <c r="O82" s="32"/>
      <c r="P82" s="32"/>
      <c r="Q82" s="32">
        <f>IFERROR(__xludf.DUMMYFUNCTION("""COMPUTED_VALUE"""),100.0)</f>
        <v>100</v>
      </c>
      <c r="R82" s="32"/>
      <c r="S82" s="32"/>
      <c r="T82" s="32"/>
      <c r="U82" s="32"/>
      <c r="V82" s="32">
        <f>IFERROR(__xludf.DUMMYFUNCTION("""COMPUTED_VALUE"""),100.0)</f>
        <v>100</v>
      </c>
      <c r="W82" s="32"/>
      <c r="X82" s="32"/>
      <c r="Y82" s="32"/>
      <c r="Z82" s="32"/>
    </row>
    <row r="83">
      <c r="A83" s="32" t="str">
        <f>IFERROR(__xludf.DUMMYFUNCTION("""COMPUTED_VALUE"""),"Emerald Dragon")</f>
        <v>Emerald Dragon</v>
      </c>
      <c r="B83" s="32">
        <f>IFERROR(__xludf.DUMMYFUNCTION("""COMPUTED_VALUE"""),100.0)</f>
        <v>100</v>
      </c>
      <c r="C83" s="32">
        <f>IFERROR(__xludf.DUMMYFUNCTION("""COMPUTED_VALUE"""),100.0)</f>
        <v>100</v>
      </c>
      <c r="D83" s="32">
        <f>IFERROR(__xludf.DUMMYFUNCTION("""COMPUTED_VALUE"""),100.0)</f>
        <v>100</v>
      </c>
      <c r="E83" s="32"/>
      <c r="F83" s="32"/>
      <c r="G83" s="32"/>
      <c r="H83" s="32"/>
      <c r="I83" s="32"/>
      <c r="J83" s="32"/>
      <c r="K83" s="32"/>
      <c r="L83" s="32"/>
      <c r="M83" s="32"/>
      <c r="N83" s="32"/>
      <c r="O83" s="32"/>
      <c r="P83" s="32"/>
      <c r="Q83" s="32"/>
      <c r="R83" s="32"/>
      <c r="S83" s="32"/>
      <c r="T83" s="32"/>
      <c r="U83" s="32"/>
      <c r="V83" s="32"/>
      <c r="W83" s="32"/>
      <c r="X83" s="32"/>
      <c r="Y83" s="32"/>
      <c r="Z83" s="32"/>
    </row>
    <row r="84">
      <c r="A84" s="32" t="str">
        <f>IFERROR(__xludf.DUMMYFUNCTION("""COMPUTED_VALUE"""),"Endless Dark Dragon")</f>
        <v>Endless Dark Dragon</v>
      </c>
      <c r="B84" s="32"/>
      <c r="C84" s="32"/>
      <c r="D84" s="32"/>
      <c r="E84" s="32"/>
      <c r="F84" s="32">
        <f>IFERROR(__xludf.DUMMYFUNCTION("""COMPUTED_VALUE"""),100.0)</f>
        <v>100</v>
      </c>
      <c r="G84" s="32"/>
      <c r="H84" s="32"/>
      <c r="I84" s="32">
        <f>IFERROR(__xludf.DUMMYFUNCTION("""COMPUTED_VALUE"""),100.0)</f>
        <v>100</v>
      </c>
      <c r="J84" s="32"/>
      <c r="K84" s="32"/>
      <c r="L84" s="32"/>
      <c r="M84" s="32"/>
      <c r="N84" s="32"/>
      <c r="O84" s="32"/>
      <c r="P84" s="32"/>
      <c r="Q84" s="32"/>
      <c r="R84" s="32"/>
      <c r="S84" s="32"/>
      <c r="T84" s="32"/>
      <c r="U84" s="32"/>
      <c r="V84" s="32"/>
      <c r="W84" s="32"/>
      <c r="X84" s="32"/>
      <c r="Y84" s="32"/>
      <c r="Z84" s="32"/>
    </row>
    <row r="85">
      <c r="A85" s="32" t="str">
        <f>IFERROR(__xludf.DUMMYFUNCTION("""COMPUTED_VALUE"""),"Evil Clown")</f>
        <v>Evil Clown</v>
      </c>
      <c r="B85" s="32"/>
      <c r="C85" s="32"/>
      <c r="D85" s="32"/>
      <c r="E85" s="32"/>
      <c r="F85" s="32">
        <f>IFERROR(__xludf.DUMMYFUNCTION("""COMPUTED_VALUE"""),100.0)</f>
        <v>100</v>
      </c>
      <c r="G85" s="32"/>
      <c r="H85" s="32"/>
      <c r="I85" s="32"/>
      <c r="J85" s="32"/>
      <c r="K85" s="32"/>
      <c r="L85" s="32"/>
      <c r="M85" s="32"/>
      <c r="N85" s="32"/>
      <c r="O85" s="32"/>
      <c r="P85" s="32"/>
      <c r="Q85" s="32"/>
      <c r="R85" s="32"/>
      <c r="S85" s="32"/>
      <c r="T85" s="32"/>
      <c r="U85" s="32"/>
      <c r="V85" s="32"/>
      <c r="W85" s="32"/>
      <c r="X85" s="32"/>
      <c r="Y85" s="32"/>
      <c r="Z85" s="32"/>
    </row>
    <row r="86">
      <c r="A86" s="32" t="str">
        <f>IFERROR(__xludf.DUMMYFUNCTION("""COMPUTED_VALUE"""),"Failinis")</f>
        <v>Failinis</v>
      </c>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t="str">
        <f>IFERROR(__xludf.DUMMYFUNCTION("""COMPUTED_VALUE"""),"Fire Dragon")</f>
        <v>Fire Dragon</v>
      </c>
      <c r="B87" s="32"/>
      <c r="C87" s="32">
        <f>IFERROR(__xludf.DUMMYFUNCTION("""COMPUTED_VALUE"""),100.0)</f>
        <v>100</v>
      </c>
      <c r="D87" s="32"/>
      <c r="E87" s="32"/>
      <c r="F87" s="32"/>
      <c r="G87" s="32"/>
      <c r="H87" s="32"/>
      <c r="I87" s="32"/>
      <c r="J87" s="32"/>
      <c r="K87" s="32"/>
      <c r="L87" s="32"/>
      <c r="M87" s="32"/>
      <c r="N87" s="32"/>
      <c r="O87" s="32"/>
      <c r="P87" s="32"/>
      <c r="Q87" s="32"/>
      <c r="R87" s="32"/>
      <c r="S87" s="32"/>
      <c r="T87" s="32"/>
      <c r="U87" s="32"/>
      <c r="V87" s="32"/>
      <c r="W87" s="32"/>
      <c r="X87" s="32"/>
      <c r="Y87" s="32"/>
      <c r="Z87" s="32"/>
    </row>
    <row r="88">
      <c r="A88" s="32" t="str">
        <f>IFERROR(__xludf.DUMMYFUNCTION("""COMPUTED_VALUE"""),"Fire Mage")</f>
        <v>Fire Mage</v>
      </c>
      <c r="B88" s="32"/>
      <c r="C88" s="32">
        <f>IFERROR(__xludf.DUMMYFUNCTION("""COMPUTED_VALUE"""),100.0)</f>
        <v>100</v>
      </c>
      <c r="D88" s="32"/>
      <c r="E88" s="32"/>
      <c r="F88" s="32"/>
      <c r="G88" s="32"/>
      <c r="H88" s="32"/>
      <c r="I88" s="32"/>
      <c r="J88" s="32"/>
      <c r="K88" s="32"/>
      <c r="L88" s="32"/>
      <c r="M88" s="32"/>
      <c r="N88" s="32"/>
      <c r="O88" s="32"/>
      <c r="P88" s="32"/>
      <c r="Q88" s="32"/>
      <c r="R88" s="32"/>
      <c r="S88" s="32"/>
      <c r="T88" s="32"/>
      <c r="U88" s="32"/>
      <c r="V88" s="32"/>
      <c r="W88" s="32"/>
      <c r="X88" s="32"/>
      <c r="Y88" s="32"/>
      <c r="Z88" s="32"/>
    </row>
    <row r="89">
      <c r="A89" s="32" t="str">
        <f>IFERROR(__xludf.DUMMYFUNCTION("""COMPUTED_VALUE"""),"Fire Soldier")</f>
        <v>Fire Soldier</v>
      </c>
      <c r="B89" s="32"/>
      <c r="C89" s="32">
        <f>IFERROR(__xludf.DUMMYFUNCTION("""COMPUTED_VALUE"""),100.0)</f>
        <v>100</v>
      </c>
      <c r="D89" s="32"/>
      <c r="E89" s="32"/>
      <c r="F89" s="32"/>
      <c r="G89" s="32"/>
      <c r="H89" s="32"/>
      <c r="I89" s="32"/>
      <c r="J89" s="32"/>
      <c r="K89" s="32"/>
      <c r="L89" s="32"/>
      <c r="M89" s="32"/>
      <c r="N89" s="32"/>
      <c r="O89" s="32"/>
      <c r="P89" s="32"/>
      <c r="Q89" s="32"/>
      <c r="R89" s="32"/>
      <c r="S89" s="32"/>
      <c r="T89" s="32"/>
      <c r="U89" s="32"/>
      <c r="V89" s="32"/>
      <c r="W89" s="32"/>
      <c r="X89" s="32"/>
      <c r="Y89" s="32"/>
      <c r="Z89" s="32"/>
    </row>
    <row r="90">
      <c r="A90" s="32" t="str">
        <f>IFERROR(__xludf.DUMMYFUNCTION("""COMPUTED_VALUE"""),"Fire Warrior")</f>
        <v>Fire Warrior</v>
      </c>
      <c r="B90" s="32"/>
      <c r="C90" s="32">
        <f>IFERROR(__xludf.DUMMYFUNCTION("""COMPUTED_VALUE"""),100.0)</f>
        <v>100</v>
      </c>
      <c r="D90" s="32"/>
      <c r="E90" s="32"/>
      <c r="F90" s="32"/>
      <c r="G90" s="32"/>
      <c r="H90" s="32"/>
      <c r="I90" s="32"/>
      <c r="J90" s="32"/>
      <c r="K90" s="32"/>
      <c r="L90" s="32"/>
      <c r="M90" s="32"/>
      <c r="N90" s="32"/>
      <c r="O90" s="32"/>
      <c r="P90" s="32"/>
      <c r="Q90" s="32"/>
      <c r="R90" s="32"/>
      <c r="S90" s="32"/>
      <c r="T90" s="32"/>
      <c r="U90" s="32"/>
      <c r="V90" s="32"/>
      <c r="W90" s="32"/>
      <c r="X90" s="32"/>
      <c r="Y90" s="32"/>
      <c r="Z90" s="32"/>
    </row>
    <row r="91">
      <c r="A91" s="32" t="str">
        <f>IFERROR(__xludf.DUMMYFUNCTION("""COMPUTED_VALUE"""),"Fireflies")</f>
        <v>Fireflies</v>
      </c>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t="str">
        <f>IFERROR(__xludf.DUMMYFUNCTION("""COMPUTED_VALUE"""),"Flaming Behemoth")</f>
        <v>Flaming Behemoth</v>
      </c>
      <c r="B92" s="32"/>
      <c r="C92" s="32">
        <f>IFERROR(__xludf.DUMMYFUNCTION("""COMPUTED_VALUE"""),100.0)</f>
        <v>100</v>
      </c>
      <c r="D92" s="32"/>
      <c r="E92" s="32"/>
      <c r="F92" s="32"/>
      <c r="G92" s="32"/>
      <c r="H92" s="32"/>
      <c r="I92" s="32"/>
      <c r="J92" s="32"/>
      <c r="K92" s="32"/>
      <c r="L92" s="32"/>
      <c r="M92" s="32"/>
      <c r="N92" s="32"/>
      <c r="O92" s="32"/>
      <c r="P92" s="32"/>
      <c r="Q92" s="32"/>
      <c r="R92" s="32"/>
      <c r="S92" s="32"/>
      <c r="T92" s="32"/>
      <c r="U92" s="32"/>
      <c r="V92" s="32"/>
      <c r="W92" s="32"/>
      <c r="X92" s="32"/>
      <c r="Y92" s="32"/>
      <c r="Z92" s="32"/>
    </row>
    <row r="93">
      <c r="A93" s="32" t="str">
        <f>IFERROR(__xludf.DUMMYFUNCTION("""COMPUTED_VALUE"""),"Flaming Buffalo")</f>
        <v>Flaming Buffalo</v>
      </c>
      <c r="B93" s="32"/>
      <c r="C93" s="32">
        <f>IFERROR(__xludf.DUMMYFUNCTION("""COMPUTED_VALUE"""),100.0)</f>
        <v>100</v>
      </c>
      <c r="D93" s="32"/>
      <c r="E93" s="32"/>
      <c r="F93" s="32"/>
      <c r="G93" s="32"/>
      <c r="H93" s="32"/>
      <c r="I93" s="32"/>
      <c r="J93" s="32"/>
      <c r="K93" s="32"/>
      <c r="L93" s="32"/>
      <c r="M93" s="32"/>
      <c r="N93" s="32"/>
      <c r="O93" s="32"/>
      <c r="P93" s="32"/>
      <c r="Q93" s="32"/>
      <c r="R93" s="32"/>
      <c r="S93" s="32"/>
      <c r="T93" s="32"/>
      <c r="U93" s="32"/>
      <c r="V93" s="32"/>
      <c r="W93" s="32"/>
      <c r="X93" s="32"/>
      <c r="Y93" s="32"/>
      <c r="Z93" s="32"/>
    </row>
    <row r="94">
      <c r="A94" s="32" t="str">
        <f>IFERROR(__xludf.DUMMYFUNCTION("""COMPUTED_VALUE"""),"Flaming Cactus")</f>
        <v>Flaming Cactus</v>
      </c>
      <c r="B94" s="32"/>
      <c r="C94" s="32">
        <f>IFERROR(__xludf.DUMMYFUNCTION("""COMPUTED_VALUE"""),100.0)</f>
        <v>100</v>
      </c>
      <c r="D94" s="32"/>
      <c r="E94" s="32"/>
      <c r="F94" s="32"/>
      <c r="G94" s="32"/>
      <c r="H94" s="32"/>
      <c r="I94" s="32"/>
      <c r="J94" s="32"/>
      <c r="K94" s="32"/>
      <c r="L94" s="32"/>
      <c r="M94" s="32"/>
      <c r="N94" s="32"/>
      <c r="O94" s="32"/>
      <c r="P94" s="32"/>
      <c r="Q94" s="32"/>
      <c r="R94" s="32"/>
      <c r="S94" s="32"/>
      <c r="T94" s="32"/>
      <c r="U94" s="32"/>
      <c r="V94" s="32"/>
      <c r="W94" s="32"/>
      <c r="X94" s="32"/>
      <c r="Y94" s="32"/>
      <c r="Z94" s="32"/>
    </row>
    <row r="95">
      <c r="A95" s="32" t="str">
        <f>IFERROR(__xludf.DUMMYFUNCTION("""COMPUTED_VALUE"""),"flaming dragon Knight")</f>
        <v>flaming dragon Knight</v>
      </c>
      <c r="B95" s="32"/>
      <c r="C95" s="32">
        <f>IFERROR(__xludf.DUMMYFUNCTION("""COMPUTED_VALUE"""),100.0)</f>
        <v>100</v>
      </c>
      <c r="D95" s="32"/>
      <c r="E95" s="32"/>
      <c r="F95" s="32"/>
      <c r="G95" s="32"/>
      <c r="H95" s="32"/>
      <c r="I95" s="32"/>
      <c r="J95" s="32"/>
      <c r="K95" s="32"/>
      <c r="L95" s="32"/>
      <c r="M95" s="32"/>
      <c r="N95" s="32"/>
      <c r="O95" s="32"/>
      <c r="P95" s="32"/>
      <c r="Q95" s="32"/>
      <c r="R95" s="32"/>
      <c r="S95" s="32"/>
      <c r="T95" s="32"/>
      <c r="U95" s="32"/>
      <c r="V95" s="32"/>
      <c r="W95" s="32"/>
      <c r="X95" s="32"/>
      <c r="Y95" s="32"/>
      <c r="Z95" s="32"/>
    </row>
    <row r="96">
      <c r="A96" s="32" t="str">
        <f>IFERROR(__xludf.DUMMYFUNCTION("""COMPUTED_VALUE"""),"Flaming Duck")</f>
        <v>Flaming Duck</v>
      </c>
      <c r="B96" s="32"/>
      <c r="C96" s="32">
        <f>IFERROR(__xludf.DUMMYFUNCTION("""COMPUTED_VALUE"""),100.0)</f>
        <v>100</v>
      </c>
      <c r="D96" s="32"/>
      <c r="E96" s="32"/>
      <c r="F96" s="32"/>
      <c r="G96" s="32"/>
      <c r="H96" s="32"/>
      <c r="I96" s="32"/>
      <c r="J96" s="32"/>
      <c r="K96" s="32"/>
      <c r="L96" s="32"/>
      <c r="M96" s="32"/>
      <c r="N96" s="32"/>
      <c r="O96" s="32"/>
      <c r="P96" s="32"/>
      <c r="Q96" s="32"/>
      <c r="R96" s="32"/>
      <c r="S96" s="32"/>
      <c r="T96" s="32"/>
      <c r="U96" s="32"/>
      <c r="V96" s="32"/>
      <c r="W96" s="32"/>
      <c r="X96" s="32"/>
      <c r="Y96" s="32"/>
      <c r="Z96" s="32"/>
    </row>
    <row r="97">
      <c r="A97" s="32" t="str">
        <f>IFERROR(__xludf.DUMMYFUNCTION("""COMPUTED_VALUE"""),"Flaming King Duck")</f>
        <v>Flaming King Duck</v>
      </c>
      <c r="B97" s="32"/>
      <c r="C97" s="32">
        <f>IFERROR(__xludf.DUMMYFUNCTION("""COMPUTED_VALUE"""),100.0)</f>
        <v>100</v>
      </c>
      <c r="D97" s="32"/>
      <c r="E97" s="32"/>
      <c r="F97" s="32"/>
      <c r="G97" s="32"/>
      <c r="H97" s="32"/>
      <c r="I97" s="32"/>
      <c r="J97" s="32"/>
      <c r="K97" s="32"/>
      <c r="L97" s="32"/>
      <c r="M97" s="32"/>
      <c r="N97" s="32"/>
      <c r="O97" s="32"/>
      <c r="P97" s="32"/>
      <c r="Q97" s="32"/>
      <c r="R97" s="32"/>
      <c r="S97" s="32"/>
      <c r="T97" s="32"/>
      <c r="U97" s="32"/>
      <c r="V97" s="32"/>
      <c r="W97" s="32"/>
      <c r="X97" s="32"/>
      <c r="Y97" s="32"/>
      <c r="Z97" s="32"/>
    </row>
    <row r="98">
      <c r="A98" s="32" t="str">
        <f>IFERROR(__xludf.DUMMYFUNCTION("""COMPUTED_VALUE"""),"Flaming monkey")</f>
        <v>Flaming monkey</v>
      </c>
      <c r="B98" s="32"/>
      <c r="C98" s="32">
        <f>IFERROR(__xludf.DUMMYFUNCTION("""COMPUTED_VALUE"""),100.0)</f>
        <v>100</v>
      </c>
      <c r="D98" s="32"/>
      <c r="E98" s="32"/>
      <c r="F98" s="32"/>
      <c r="G98" s="32"/>
      <c r="H98" s="32"/>
      <c r="I98" s="32"/>
      <c r="J98" s="32"/>
      <c r="K98" s="32"/>
      <c r="L98" s="32"/>
      <c r="M98" s="32"/>
      <c r="N98" s="32"/>
      <c r="O98" s="32"/>
      <c r="P98" s="32"/>
      <c r="Q98" s="32"/>
      <c r="R98" s="32"/>
      <c r="S98" s="32"/>
      <c r="T98" s="32"/>
      <c r="U98" s="32"/>
      <c r="V98" s="32"/>
      <c r="W98" s="32"/>
      <c r="X98" s="32"/>
      <c r="Y98" s="32"/>
      <c r="Z98" s="32"/>
    </row>
    <row r="99">
      <c r="A99" s="32" t="str">
        <f>IFERROR(__xludf.DUMMYFUNCTION("""COMPUTED_VALUE"""),"Flaming Yak")</f>
        <v>Flaming Yak</v>
      </c>
      <c r="B99" s="32"/>
      <c r="C99" s="32">
        <f>IFERROR(__xludf.DUMMYFUNCTION("""COMPUTED_VALUE"""),100.0)</f>
        <v>100</v>
      </c>
      <c r="D99" s="32"/>
      <c r="E99" s="32"/>
      <c r="F99" s="32"/>
      <c r="G99" s="32"/>
      <c r="H99" s="32"/>
      <c r="I99" s="32"/>
      <c r="J99" s="32"/>
      <c r="K99" s="32"/>
      <c r="L99" s="32"/>
      <c r="M99" s="32"/>
      <c r="N99" s="32"/>
      <c r="O99" s="32"/>
      <c r="P99" s="32"/>
      <c r="Q99" s="32"/>
      <c r="R99" s="32"/>
      <c r="S99" s="32"/>
      <c r="T99" s="32"/>
      <c r="U99" s="32"/>
      <c r="V99" s="32"/>
      <c r="W99" s="32"/>
      <c r="X99" s="32"/>
      <c r="Y99" s="32"/>
      <c r="Z99" s="32"/>
    </row>
    <row r="100">
      <c r="A100" s="32" t="str">
        <f>IFERROR(__xludf.DUMMYFUNCTION("""COMPUTED_VALUE"""),"Floating Skull")</f>
        <v>Floating Skull</v>
      </c>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t="str">
        <f>IFERROR(__xludf.DUMMYFUNCTION("""COMPUTED_VALUE"""),"Forest Dragon")</f>
        <v>Forest Dragon</v>
      </c>
      <c r="B101" s="32">
        <f>IFERROR(__xludf.DUMMYFUNCTION("""COMPUTED_VALUE"""),100.0)</f>
        <v>100</v>
      </c>
      <c r="C101" s="32"/>
      <c r="D101" s="32">
        <f>IFERROR(__xludf.DUMMYFUNCTION("""COMPUTED_VALUE"""),100.0)</f>
        <v>100</v>
      </c>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f>IFERROR(__xludf.DUMMYFUNCTION("""COMPUTED_VALUE"""),100.0)</f>
        <v>100</v>
      </c>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t="str">
        <f>IFERROR(__xludf.DUMMYFUNCTION("""COMPUTED_VALUE"""),"Forest Elf")</f>
        <v>Forest Elf</v>
      </c>
      <c r="B103" s="32">
        <f>IFERROR(__xludf.DUMMYFUNCTION("""COMPUTED_VALUE"""),100.0)</f>
        <v>100</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t="str">
        <f>IFERROR(__xludf.DUMMYFUNCTION("""COMPUTED_VALUE"""),"Forest Guardian")</f>
        <v>Forest Guardian</v>
      </c>
      <c r="B104" s="32">
        <f>IFERROR(__xludf.DUMMYFUNCTION("""COMPUTED_VALUE"""),100.0)</f>
        <v>100</v>
      </c>
      <c r="C104" s="32"/>
      <c r="D104" s="32">
        <f>IFERROR(__xludf.DUMMYFUNCTION("""COMPUTED_VALUE"""),100.0)</f>
        <v>100</v>
      </c>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t="str">
        <f>IFERROR(__xludf.DUMMYFUNCTION("""COMPUTED_VALUE"""),"Frost Dragon")</f>
        <v>Frost Dragon</v>
      </c>
      <c r="B105" s="32">
        <f>IFERROR(__xludf.DUMMYFUNCTION("""COMPUTED_VALUE"""),100.0)</f>
        <v>100</v>
      </c>
      <c r="C105" s="32"/>
      <c r="D105" s="32"/>
      <c r="E105" s="32"/>
      <c r="F105" s="32"/>
      <c r="G105" s="32"/>
      <c r="H105" s="32"/>
      <c r="I105" s="32"/>
      <c r="J105" s="32"/>
      <c r="K105" s="32">
        <f>IFERROR(__xludf.DUMMYFUNCTION("""COMPUTED_VALUE"""),100.0)</f>
        <v>100</v>
      </c>
      <c r="L105" s="32"/>
      <c r="M105" s="32"/>
      <c r="N105" s="32"/>
      <c r="O105" s="32"/>
      <c r="P105" s="32"/>
      <c r="Q105" s="32"/>
      <c r="R105" s="32"/>
      <c r="S105" s="32"/>
      <c r="T105" s="32"/>
      <c r="U105" s="32"/>
      <c r="V105" s="32"/>
      <c r="W105" s="32"/>
      <c r="X105" s="32"/>
      <c r="Y105" s="32"/>
      <c r="Z105" s="32"/>
    </row>
    <row r="106">
      <c r="A106" s="32" t="str">
        <f>IFERROR(__xludf.DUMMYFUNCTION("""COMPUTED_VALUE"""),"Frost Knight")</f>
        <v>Frost Knight</v>
      </c>
      <c r="B106" s="32">
        <f>IFERROR(__xludf.DUMMYFUNCTION("""COMPUTED_VALUE"""),100.0)</f>
        <v>100</v>
      </c>
      <c r="C106" s="32"/>
      <c r="D106" s="32"/>
      <c r="E106" s="32"/>
      <c r="F106" s="32"/>
      <c r="G106" s="32"/>
      <c r="H106" s="32"/>
      <c r="I106" s="32"/>
      <c r="J106" s="32"/>
      <c r="K106" s="32">
        <f>IFERROR(__xludf.DUMMYFUNCTION("""COMPUTED_VALUE"""),100.0)</f>
        <v>100</v>
      </c>
      <c r="L106" s="32"/>
      <c r="M106" s="32"/>
      <c r="N106" s="32"/>
      <c r="O106" s="32"/>
      <c r="P106" s="32"/>
      <c r="Q106" s="32"/>
      <c r="R106" s="32"/>
      <c r="S106" s="32"/>
      <c r="T106" s="32"/>
      <c r="U106" s="32"/>
      <c r="V106" s="32"/>
      <c r="W106" s="32"/>
      <c r="X106" s="32"/>
      <c r="Y106" s="32"/>
      <c r="Z106" s="32"/>
    </row>
    <row r="107">
      <c r="A107" s="32" t="str">
        <f>IFERROR(__xludf.DUMMYFUNCTION("""COMPUTED_VALUE"""),"Giant")</f>
        <v>Giant</v>
      </c>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t="str">
        <f>IFERROR(__xludf.DUMMYFUNCTION("""COMPUTED_VALUE"""),"Giant Alligator (WD)")</f>
        <v>Giant Alligator (WD)</v>
      </c>
      <c r="B108" s="32"/>
      <c r="C108" s="32"/>
      <c r="D108" s="32"/>
      <c r="E108" s="32"/>
      <c r="F108" s="32"/>
      <c r="G108" s="32"/>
      <c r="H108" s="32"/>
      <c r="I108" s="32"/>
      <c r="J108" s="32"/>
      <c r="K108" s="32">
        <f>IFERROR(__xludf.DUMMYFUNCTION("""COMPUTED_VALUE"""),100.0)</f>
        <v>100</v>
      </c>
      <c r="L108" s="32"/>
      <c r="M108" s="32"/>
      <c r="N108" s="32"/>
      <c r="O108" s="32"/>
      <c r="P108" s="32"/>
      <c r="Q108" s="32"/>
      <c r="R108" s="32"/>
      <c r="S108" s="32"/>
      <c r="T108" s="32"/>
      <c r="U108" s="32"/>
      <c r="V108" s="32"/>
      <c r="W108" s="32"/>
      <c r="X108" s="32"/>
      <c r="Y108" s="32"/>
      <c r="Z108" s="32"/>
    </row>
    <row r="109">
      <c r="A109" s="32" t="str">
        <f>IFERROR(__xludf.DUMMYFUNCTION("""COMPUTED_VALUE"""),"Giant Alligator (WD) (Enhanced)")</f>
        <v>Giant Alligator (WD) (Enhanced)</v>
      </c>
      <c r="B109" s="32"/>
      <c r="C109" s="32"/>
      <c r="D109" s="32"/>
      <c r="E109" s="32"/>
      <c r="F109" s="32"/>
      <c r="G109" s="32"/>
      <c r="H109" s="32"/>
      <c r="I109" s="32"/>
      <c r="J109" s="32"/>
      <c r="K109" s="32">
        <f>IFERROR(__xludf.DUMMYFUNCTION("""COMPUTED_VALUE"""),100.0)</f>
        <v>100</v>
      </c>
      <c r="L109" s="32"/>
      <c r="M109" s="32"/>
      <c r="N109" s="32"/>
      <c r="O109" s="32"/>
      <c r="P109" s="32"/>
      <c r="Q109" s="32"/>
      <c r="R109" s="32"/>
      <c r="S109" s="32"/>
      <c r="T109" s="32"/>
      <c r="U109" s="32"/>
      <c r="V109" s="32"/>
      <c r="W109" s="32"/>
      <c r="X109" s="32"/>
      <c r="Y109" s="32"/>
      <c r="Z109" s="32"/>
    </row>
    <row r="110">
      <c r="A110" s="32" t="str">
        <f>IFERROR(__xludf.DUMMYFUNCTION("""COMPUTED_VALUE"""),"Giant Ancient Frost Troll")</f>
        <v>Giant Ancient Frost Troll</v>
      </c>
      <c r="B110" s="32">
        <f>IFERROR(__xludf.DUMMYFUNCTION("""COMPUTED_VALUE"""),100.0)</f>
        <v>100</v>
      </c>
      <c r="C110" s="32"/>
      <c r="D110" s="32"/>
      <c r="E110" s="32"/>
      <c r="F110" s="32"/>
      <c r="G110" s="32"/>
      <c r="H110" s="32"/>
      <c r="I110" s="32"/>
      <c r="J110" s="32"/>
      <c r="K110" s="32">
        <f>IFERROR(__xludf.DUMMYFUNCTION("""COMPUTED_VALUE"""),100.0)</f>
        <v>100</v>
      </c>
      <c r="L110" s="32"/>
      <c r="M110" s="32"/>
      <c r="N110" s="32"/>
      <c r="O110" s="32"/>
      <c r="P110" s="32"/>
      <c r="Q110" s="32"/>
      <c r="R110" s="32"/>
      <c r="S110" s="32"/>
      <c r="T110" s="32"/>
      <c r="U110" s="32"/>
      <c r="V110" s="32"/>
      <c r="W110" s="32"/>
      <c r="X110" s="32"/>
      <c r="Y110" s="32"/>
      <c r="Z110" s="32"/>
    </row>
    <row r="111">
      <c r="A111" s="32" t="str">
        <f>IFERROR(__xludf.DUMMYFUNCTION("""COMPUTED_VALUE"""),"Giant Chaotic Shadow Spider")</f>
        <v>Giant Chaotic Shadow Spider</v>
      </c>
      <c r="B111" s="32">
        <f>IFERROR(__xludf.DUMMYFUNCTION("""COMPUTED_VALUE"""),100.0)</f>
        <v>100</v>
      </c>
      <c r="C111" s="32"/>
      <c r="D111" s="32"/>
      <c r="E111" s="32"/>
      <c r="F111" s="32">
        <f>IFERROR(__xludf.DUMMYFUNCTION("""COMPUTED_VALUE"""),100.0)</f>
        <v>100</v>
      </c>
      <c r="G111" s="32"/>
      <c r="H111" s="32"/>
      <c r="I111" s="32">
        <f>IFERROR(__xludf.DUMMYFUNCTION("""COMPUTED_VALUE"""),100.0)</f>
        <v>100</v>
      </c>
      <c r="J111" s="32"/>
      <c r="K111" s="32"/>
      <c r="L111" s="32"/>
      <c r="M111" s="32"/>
      <c r="N111" s="32"/>
      <c r="O111" s="32"/>
      <c r="P111" s="32"/>
      <c r="Q111" s="32"/>
      <c r="R111" s="32"/>
      <c r="S111" s="32"/>
      <c r="T111" s="32"/>
      <c r="U111" s="32"/>
      <c r="V111" s="32"/>
      <c r="W111" s="32"/>
      <c r="X111" s="32"/>
      <c r="Y111" s="32"/>
      <c r="Z111" s="32"/>
    </row>
    <row r="112">
      <c r="A112" s="32" t="str">
        <f>IFERROR(__xludf.DUMMYFUNCTION("""COMPUTED_VALUE"""),"Giant Eagle")</f>
        <v>Giant Eagle</v>
      </c>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t="str">
        <f>IFERROR(__xludf.DUMMYFUNCTION("""COMPUTED_VALUE"""),"Giant Lava Frog ")</f>
        <v>Giant Lava Frog </v>
      </c>
      <c r="B113" s="32"/>
      <c r="C113" s="32">
        <f>IFERROR(__xludf.DUMMYFUNCTION("""COMPUTED_VALUE"""),100.0)</f>
        <v>100</v>
      </c>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t="str">
        <f>IFERROR(__xludf.DUMMYFUNCTION("""COMPUTED_VALUE"""),"Giant Mutated Eel Shark")</f>
        <v>Giant Mutated Eel Shark</v>
      </c>
      <c r="B114" s="32"/>
      <c r="C114" s="32"/>
      <c r="D114" s="32"/>
      <c r="E114" s="32"/>
      <c r="F114" s="32"/>
      <c r="G114" s="32"/>
      <c r="H114" s="32"/>
      <c r="I114" s="32"/>
      <c r="J114" s="32"/>
      <c r="K114" s="32">
        <f>IFERROR(__xludf.DUMMYFUNCTION("""COMPUTED_VALUE"""),100.0)</f>
        <v>100</v>
      </c>
      <c r="L114" s="32"/>
      <c r="M114" s="32"/>
      <c r="N114" s="32"/>
      <c r="O114" s="32"/>
      <c r="P114" s="32"/>
      <c r="Q114" s="32"/>
      <c r="R114" s="32"/>
      <c r="S114" s="32"/>
      <c r="T114" s="32"/>
      <c r="U114" s="32"/>
      <c r="V114" s="32"/>
      <c r="W114" s="32"/>
      <c r="X114" s="32"/>
      <c r="Y114" s="32"/>
      <c r="Z114" s="32"/>
    </row>
    <row r="115">
      <c r="A115" s="32" t="str">
        <f>IFERROR(__xludf.DUMMYFUNCTION("""COMPUTED_VALUE"""),"Giant Scorpion")</f>
        <v>Giant Scorpion</v>
      </c>
      <c r="B115" s="32">
        <f>IFERROR(__xludf.DUMMYFUNCTION("""COMPUTED_VALUE"""),100.0)</f>
        <v>100</v>
      </c>
      <c r="C115" s="32"/>
      <c r="D115" s="32">
        <f>IFERROR(__xludf.DUMMYFUNCTION("""COMPUTED_VALUE"""),100.0)</f>
        <v>100</v>
      </c>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t="str">
        <f>IFERROR(__xludf.DUMMYFUNCTION("""COMPUTED_VALUE"""),"Giant Snow Spider")</f>
        <v>Giant Snow Spider</v>
      </c>
      <c r="B116" s="32">
        <f>IFERROR(__xludf.DUMMYFUNCTION("""COMPUTED_VALUE"""),100.0)</f>
        <v>100</v>
      </c>
      <c r="C116" s="32"/>
      <c r="D116" s="32"/>
      <c r="E116" s="32"/>
      <c r="F116" s="32"/>
      <c r="G116" s="32"/>
      <c r="H116" s="32"/>
      <c r="I116" s="32"/>
      <c r="J116" s="32">
        <f>IFERROR(__xludf.DUMMYFUNCTION("""COMPUTED_VALUE"""),100.0)</f>
        <v>100</v>
      </c>
      <c r="K116" s="32"/>
      <c r="L116" s="32"/>
      <c r="M116" s="32"/>
      <c r="N116" s="32"/>
      <c r="O116" s="32"/>
      <c r="P116" s="32"/>
      <c r="Q116" s="32"/>
      <c r="R116" s="32"/>
      <c r="S116" s="32"/>
      <c r="T116" s="32"/>
      <c r="U116" s="32"/>
      <c r="V116" s="32"/>
      <c r="W116" s="32"/>
      <c r="X116" s="32"/>
      <c r="Y116" s="32"/>
      <c r="Z116" s="32"/>
    </row>
    <row r="117">
      <c r="A117" s="32" t="str">
        <f>IFERROR(__xludf.DUMMYFUNCTION("""COMPUTED_VALUE"""),"Giant Spider")</f>
        <v>Giant Spider</v>
      </c>
      <c r="B117" s="32">
        <f>IFERROR(__xludf.DUMMYFUNCTION("""COMPUTED_VALUE"""),100.0)</f>
        <v>100</v>
      </c>
      <c r="C117" s="32"/>
      <c r="D117" s="32">
        <f>IFERROR(__xludf.DUMMYFUNCTION("""COMPUTED_VALUE"""),100.0)</f>
        <v>100</v>
      </c>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t="str">
        <f>IFERROR(__xludf.DUMMYFUNCTION("""COMPUTED_VALUE"""),"Giant Volcanic Spider")</f>
        <v>Giant Volcanic Spider</v>
      </c>
      <c r="B118" s="32"/>
      <c r="C118" s="32">
        <f>IFERROR(__xludf.DUMMYFUNCTION("""COMPUTED_VALUE"""),100.0)</f>
        <v>100</v>
      </c>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t="str">
        <f>IFERROR(__xludf.DUMMYFUNCTION("""COMPUTED_VALUE"""),"Girl Of The Crow")</f>
        <v>Girl Of The Crow</v>
      </c>
      <c r="B119" s="32">
        <f>IFERROR(__xludf.DUMMYFUNCTION("""COMPUTED_VALUE"""),100.0)</f>
        <v>100</v>
      </c>
      <c r="C119" s="32"/>
      <c r="D119" s="32"/>
      <c r="E119" s="32"/>
      <c r="F119" s="32">
        <f>IFERROR(__xludf.DUMMYFUNCTION("""COMPUTED_VALUE"""),100.0)</f>
        <v>100</v>
      </c>
      <c r="G119" s="32"/>
      <c r="H119" s="32"/>
      <c r="I119" s="32"/>
      <c r="J119" s="32"/>
      <c r="K119" s="32"/>
      <c r="L119" s="32"/>
      <c r="M119" s="32"/>
      <c r="N119" s="32"/>
      <c r="O119" s="32"/>
      <c r="P119" s="32"/>
      <c r="Q119" s="32"/>
      <c r="R119" s="32"/>
      <c r="S119" s="32"/>
      <c r="T119" s="32"/>
      <c r="U119" s="32"/>
      <c r="V119" s="32"/>
      <c r="W119" s="32"/>
      <c r="X119" s="32"/>
      <c r="Y119" s="32"/>
      <c r="Z119" s="32"/>
    </row>
    <row r="120">
      <c r="A120" s="32" t="str">
        <f>IFERROR(__xludf.DUMMYFUNCTION("""COMPUTED_VALUE"""),"Goblin")</f>
        <v>Goblin</v>
      </c>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t="str">
        <f>IFERROR(__xludf.DUMMYFUNCTION("""COMPUTED_VALUE"""),"Grand Dark &amp; Fire Mage")</f>
        <v>Grand Dark &amp; Fire Mage</v>
      </c>
      <c r="B121" s="32"/>
      <c r="C121" s="32">
        <f>IFERROR(__xludf.DUMMYFUNCTION("""COMPUTED_VALUE"""),100.0)</f>
        <v>100</v>
      </c>
      <c r="D121" s="32"/>
      <c r="E121" s="32"/>
      <c r="F121" s="32">
        <f>IFERROR(__xludf.DUMMYFUNCTION("""COMPUTED_VALUE"""),100.0)</f>
        <v>100</v>
      </c>
      <c r="G121" s="32"/>
      <c r="H121" s="32"/>
      <c r="I121" s="32"/>
      <c r="J121" s="32"/>
      <c r="K121" s="32"/>
      <c r="L121" s="32"/>
      <c r="M121" s="32"/>
      <c r="N121" s="32"/>
      <c r="O121" s="32"/>
      <c r="P121" s="32"/>
      <c r="Q121" s="32"/>
      <c r="R121" s="32"/>
      <c r="S121" s="32"/>
      <c r="T121" s="32"/>
      <c r="U121" s="32"/>
      <c r="V121" s="32"/>
      <c r="W121" s="32"/>
      <c r="X121" s="32"/>
      <c r="Y121" s="32"/>
      <c r="Z121" s="32"/>
    </row>
    <row r="122">
      <c r="A122" s="32" t="str">
        <f>IFERROR(__xludf.DUMMYFUNCTION("""COMPUTED_VALUE"""),"Grand Fire Elemental")</f>
        <v>Grand Fire Elemental</v>
      </c>
      <c r="B122" s="32"/>
      <c r="C122" s="32">
        <f>IFERROR(__xludf.DUMMYFUNCTION("""COMPUTED_VALUE"""),100.0)</f>
        <v>100</v>
      </c>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t="str">
        <f>IFERROR(__xludf.DUMMYFUNCTION("""COMPUTED_VALUE"""),"Gray Soul")</f>
        <v>Gray Soul</v>
      </c>
      <c r="B123" s="32">
        <f>IFERROR(__xludf.DUMMYFUNCTION("""COMPUTED_VALUE"""),100.0)</f>
        <v>100</v>
      </c>
      <c r="C123" s="32"/>
      <c r="D123" s="32"/>
      <c r="E123" s="32"/>
      <c r="F123" s="32">
        <f>IFERROR(__xludf.DUMMYFUNCTION("""COMPUTED_VALUE"""),100.0)</f>
        <v>100</v>
      </c>
      <c r="G123" s="32"/>
      <c r="H123" s="32"/>
      <c r="I123" s="32"/>
      <c r="J123" s="32"/>
      <c r="K123" s="32"/>
      <c r="L123" s="32"/>
      <c r="M123" s="32"/>
      <c r="N123" s="32"/>
      <c r="O123" s="32"/>
      <c r="P123" s="32"/>
      <c r="Q123" s="32"/>
      <c r="R123" s="32"/>
      <c r="S123" s="32"/>
      <c r="T123" s="32"/>
      <c r="U123" s="32"/>
      <c r="V123" s="32"/>
      <c r="W123" s="32"/>
      <c r="X123" s="32"/>
      <c r="Y123" s="32"/>
      <c r="Z123" s="32"/>
    </row>
    <row r="124">
      <c r="A124" s="32" t="str">
        <f>IFERROR(__xludf.DUMMYFUNCTION("""COMPUTED_VALUE"""),"Green Soul")</f>
        <v>Green Soul</v>
      </c>
      <c r="B124" s="32">
        <f>IFERROR(__xludf.DUMMYFUNCTION("""COMPUTED_VALUE"""),100.0)</f>
        <v>100</v>
      </c>
      <c r="C124" s="32"/>
      <c r="D124" s="32"/>
      <c r="E124" s="32"/>
      <c r="F124" s="32">
        <f>IFERROR(__xludf.DUMMYFUNCTION("""COMPUTED_VALUE"""),100.0)</f>
        <v>100</v>
      </c>
      <c r="G124" s="32"/>
      <c r="H124" s="32"/>
      <c r="I124" s="32"/>
      <c r="J124" s="32"/>
      <c r="K124" s="32"/>
      <c r="L124" s="32"/>
      <c r="M124" s="32"/>
      <c r="N124" s="32"/>
      <c r="O124" s="32"/>
      <c r="P124" s="32"/>
      <c r="Q124" s="32"/>
      <c r="R124" s="32"/>
      <c r="S124" s="32"/>
      <c r="T124" s="32"/>
      <c r="U124" s="32"/>
      <c r="V124" s="32"/>
      <c r="W124" s="32"/>
      <c r="X124" s="32"/>
      <c r="Y124" s="32"/>
      <c r="Z124" s="32"/>
    </row>
    <row r="125">
      <c r="A125" s="32" t="str">
        <f>IFERROR(__xludf.DUMMYFUNCTION("""COMPUTED_VALUE"""),"Griffin")</f>
        <v>Griffin</v>
      </c>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t="str">
        <f>IFERROR(__xludf.DUMMYFUNCTION("""COMPUTED_VALUE"""),"Ground Tiger")</f>
        <v>Ground Tiger</v>
      </c>
      <c r="B126" s="32"/>
      <c r="C126" s="32">
        <f>IFERROR(__xludf.DUMMYFUNCTION("""COMPUTED_VALUE"""),100.0)</f>
        <v>100</v>
      </c>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t="str">
        <f>IFERROR(__xludf.DUMMYFUNCTION("""COMPUTED_VALUE"""),"Guard Tier III")</f>
        <v>Guard Tier III</v>
      </c>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t="str">
        <f>IFERROR(__xludf.DUMMYFUNCTION("""COMPUTED_VALUE"""),"Guard Tier II")</f>
        <v>Guard Tier II</v>
      </c>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t="str">
        <f>IFERROR(__xludf.DUMMYFUNCTION("""COMPUTED_VALUE"""),"Guard Tier I")</f>
        <v>Guard Tier I</v>
      </c>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t="str">
        <f>IFERROR(__xludf.DUMMYFUNCTION("""COMPUTED_VALUE"""),"Ninja Trainee (Dragonscale)")</f>
        <v>Ninja Trainee (Dragonscale)</v>
      </c>
      <c r="B130" s="32"/>
      <c r="C130" s="32"/>
      <c r="D130" s="32"/>
      <c r="E130" s="32"/>
      <c r="F130" s="32">
        <f>IFERROR(__xludf.DUMMYFUNCTION("""COMPUTED_VALUE"""),500.0)</f>
        <v>500</v>
      </c>
      <c r="G130" s="32"/>
      <c r="H130" s="32"/>
      <c r="I130" s="32">
        <f>IFERROR(__xludf.DUMMYFUNCTION("""COMPUTED_VALUE"""),500.0)</f>
        <v>500</v>
      </c>
      <c r="J130" s="32"/>
      <c r="K130" s="32"/>
      <c r="L130" s="32"/>
      <c r="M130" s="32"/>
      <c r="N130" s="32"/>
      <c r="O130" s="32"/>
      <c r="P130" s="32"/>
      <c r="Q130" s="32"/>
      <c r="R130" s="32"/>
      <c r="S130" s="32"/>
      <c r="T130" s="32"/>
      <c r="U130" s="32"/>
      <c r="V130" s="32"/>
      <c r="W130" s="32"/>
      <c r="X130" s="32"/>
      <c r="Y130" s="32"/>
      <c r="Z130" s="32"/>
    </row>
    <row r="131">
      <c r="A131" s="32" t="str">
        <f>IFERROR(__xludf.DUMMYFUNCTION("""COMPUTED_VALUE"""),"Ninja Ambusher (Dragonscale)")</f>
        <v>Ninja Ambusher (Dragonscale)</v>
      </c>
      <c r="B131" s="32"/>
      <c r="C131" s="32"/>
      <c r="D131" s="32"/>
      <c r="E131" s="32"/>
      <c r="F131" s="32">
        <f>IFERROR(__xludf.DUMMYFUNCTION("""COMPUTED_VALUE"""),250.0)</f>
        <v>250</v>
      </c>
      <c r="G131" s="32"/>
      <c r="H131" s="32"/>
      <c r="I131" s="32">
        <f>IFERROR(__xludf.DUMMYFUNCTION("""COMPUTED_VALUE"""),250.0)</f>
        <v>250</v>
      </c>
      <c r="J131" s="32"/>
      <c r="K131" s="32"/>
      <c r="L131" s="32"/>
      <c r="M131" s="32"/>
      <c r="N131" s="32"/>
      <c r="O131" s="32"/>
      <c r="P131" s="32"/>
      <c r="Q131" s="32"/>
      <c r="R131" s="32"/>
      <c r="S131" s="32"/>
      <c r="T131" s="32"/>
      <c r="U131" s="32"/>
      <c r="V131" s="32"/>
      <c r="W131" s="32"/>
      <c r="X131" s="32"/>
      <c r="Y131" s="32"/>
      <c r="Z131" s="32"/>
    </row>
    <row r="132">
      <c r="A132" s="32" t="str">
        <f>IFERROR(__xludf.DUMMYFUNCTION("""COMPUTED_VALUE"""),"Ninja Poison Master (Dragonscale)")</f>
        <v>Ninja Poison Master (Dragonscale)</v>
      </c>
      <c r="B132" s="32"/>
      <c r="C132" s="32"/>
      <c r="D132" s="32"/>
      <c r="E132" s="32"/>
      <c r="F132" s="32">
        <f>IFERROR(__xludf.DUMMYFUNCTION("""COMPUTED_VALUE"""),250.0)</f>
        <v>250</v>
      </c>
      <c r="G132" s="32"/>
      <c r="H132" s="32"/>
      <c r="I132" s="32">
        <f>IFERROR(__xludf.DUMMYFUNCTION("""COMPUTED_VALUE"""),250.0)</f>
        <v>250</v>
      </c>
      <c r="J132" s="32"/>
      <c r="K132" s="32"/>
      <c r="L132" s="32"/>
      <c r="M132" s="32"/>
      <c r="N132" s="32"/>
      <c r="O132" s="32"/>
      <c r="P132" s="32"/>
      <c r="Q132" s="32"/>
      <c r="R132" s="32"/>
      <c r="S132" s="32"/>
      <c r="T132" s="32"/>
      <c r="U132" s="32"/>
      <c r="V132" s="32"/>
      <c r="W132" s="32"/>
      <c r="X132" s="32"/>
      <c r="Y132" s="32"/>
      <c r="Z132" s="32"/>
    </row>
    <row r="133">
      <c r="A133" s="32" t="str">
        <f>IFERROR(__xludf.DUMMYFUNCTION("""COMPUTED_VALUE"""),"Ninja Master (Dragonscale)")</f>
        <v>Ninja Master (Dragonscale)</v>
      </c>
      <c r="B133" s="32"/>
      <c r="C133" s="32"/>
      <c r="D133" s="32"/>
      <c r="E133" s="32"/>
      <c r="F133" s="32">
        <f>IFERROR(__xludf.DUMMYFUNCTION("""COMPUTED_VALUE"""),100.0)</f>
        <v>100</v>
      </c>
      <c r="G133" s="32"/>
      <c r="H133" s="32"/>
      <c r="I133" s="32">
        <f>IFERROR(__xludf.DUMMYFUNCTION("""COMPUTED_VALUE"""),100.0)</f>
        <v>100</v>
      </c>
      <c r="J133" s="32"/>
      <c r="K133" s="32"/>
      <c r="L133" s="32"/>
      <c r="M133" s="32"/>
      <c r="N133" s="32"/>
      <c r="O133" s="32"/>
      <c r="P133" s="32"/>
      <c r="Q133" s="32"/>
      <c r="R133" s="32"/>
      <c r="S133" s="32"/>
      <c r="T133" s="32"/>
      <c r="U133" s="32"/>
      <c r="V133" s="32"/>
      <c r="W133" s="32"/>
      <c r="X133" s="32"/>
      <c r="Y133" s="32"/>
      <c r="Z133" s="32"/>
    </row>
    <row r="134">
      <c r="A134" s="32" t="str">
        <f>IFERROR(__xludf.DUMMYFUNCTION("""COMPUTED_VALUE"""),"Wolf")</f>
        <v>Wolf</v>
      </c>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t="str">
        <f>IFERROR(__xludf.DUMMYFUNCTION("""COMPUTED_VALUE"""),"Fire Wyrm")</f>
        <v>Fire Wyrm</v>
      </c>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t="str">
        <f>IFERROR(__xludf.DUMMYFUNCTION("""COMPUTED_VALUE"""),"Storm Wyrm")</f>
        <v>Storm Wyrm</v>
      </c>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t="str">
        <f>IFERROR(__xludf.DUMMYFUNCTION("""COMPUTED_VALUE"""),"Earth Wyrm")</f>
        <v>Earth Wyrm</v>
      </c>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t="str">
        <f>IFERROR(__xludf.DUMMYFUNCTION("""COMPUTED_VALUE"""),"Water Wyrm")</f>
        <v>Water Wyrm</v>
      </c>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t="str">
        <f>IFERROR(__xludf.DUMMYFUNCTION("""COMPUTED_VALUE"""),"Nature Wyrm")</f>
        <v>Nature Wyrm</v>
      </c>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t="str">
        <f>IFERROR(__xludf.DUMMYFUNCTION("""COMPUTED_VALUE"""),"Imp")</f>
        <v>Imp</v>
      </c>
      <c r="B140" s="32"/>
      <c r="C140" s="32"/>
      <c r="D140" s="32"/>
      <c r="E140" s="32"/>
      <c r="F140" s="32">
        <f>IFERROR(__xludf.DUMMYFUNCTION("""COMPUTED_VALUE"""),50.0)</f>
        <v>50</v>
      </c>
      <c r="G140" s="32"/>
      <c r="H140" s="32"/>
      <c r="I140" s="32">
        <f>IFERROR(__xludf.DUMMYFUNCTION("""COMPUTED_VALUE"""),50.0)</f>
        <v>50</v>
      </c>
      <c r="J140" s="32"/>
      <c r="K140" s="32"/>
      <c r="L140" s="32"/>
      <c r="M140" s="32"/>
      <c r="N140" s="32"/>
      <c r="O140" s="32"/>
      <c r="P140" s="32"/>
      <c r="Q140" s="32"/>
      <c r="R140" s="32"/>
      <c r="S140" s="32"/>
      <c r="T140" s="32"/>
      <c r="U140" s="32"/>
      <c r="V140" s="32"/>
      <c r="W140" s="32"/>
      <c r="X140" s="32"/>
      <c r="Y140" s="32"/>
      <c r="Z140" s="32"/>
    </row>
    <row r="141">
      <c r="A141" s="32" t="str">
        <f>IFERROR(__xludf.DUMMYFUNCTION("""COMPUTED_VALUE"""),"Lesser tengu")</f>
        <v>Lesser tengu</v>
      </c>
      <c r="B141" s="32"/>
      <c r="C141" s="32"/>
      <c r="D141" s="32"/>
      <c r="E141" s="32"/>
      <c r="F141" s="32"/>
      <c r="G141" s="32">
        <f>IFERROR(__xludf.DUMMYFUNCTION("""COMPUTED_VALUE"""),50.0)</f>
        <v>50</v>
      </c>
      <c r="H141" s="32"/>
      <c r="I141" s="32"/>
      <c r="J141" s="32">
        <f>IFERROR(__xludf.DUMMYFUNCTION("""COMPUTED_VALUE"""),50.0)</f>
        <v>50</v>
      </c>
      <c r="K141" s="32"/>
      <c r="L141" s="32"/>
      <c r="M141" s="32"/>
      <c r="N141" s="32"/>
      <c r="O141" s="32"/>
      <c r="P141" s="32"/>
      <c r="Q141" s="32"/>
      <c r="R141" s="32"/>
      <c r="S141" s="32"/>
      <c r="T141" s="32"/>
      <c r="U141" s="32"/>
      <c r="V141" s="32"/>
      <c r="W141" s="32"/>
      <c r="X141" s="32"/>
      <c r="Y141" s="32"/>
      <c r="Z141" s="32"/>
    </row>
    <row r="142">
      <c r="A142" s="32" t="str">
        <f>IFERROR(__xludf.DUMMYFUNCTION("""COMPUTED_VALUE"""),"Salamander, King Of The Fire Elementals")</f>
        <v>Salamander, King Of The Fire Elementals</v>
      </c>
      <c r="B142" s="32"/>
      <c r="C142" s="32">
        <f>IFERROR(__xludf.DUMMYFUNCTION("""COMPUTED_VALUE"""),250.0)</f>
        <v>250</v>
      </c>
      <c r="D142" s="32"/>
      <c r="E142" s="32"/>
      <c r="F142" s="32"/>
      <c r="G142" s="32"/>
      <c r="H142" s="32">
        <f>IFERROR(__xludf.DUMMYFUNCTION("""COMPUTED_VALUE"""),100.0)</f>
        <v>100</v>
      </c>
      <c r="I142" s="32"/>
      <c r="J142" s="32"/>
      <c r="K142" s="32"/>
      <c r="L142" s="32"/>
      <c r="M142" s="32"/>
      <c r="N142" s="32"/>
      <c r="O142" s="32"/>
      <c r="P142" s="32"/>
      <c r="Q142" s="32"/>
      <c r="R142" s="32"/>
      <c r="S142" s="32"/>
      <c r="T142" s="32"/>
      <c r="U142" s="32"/>
      <c r="V142" s="32"/>
      <c r="W142" s="32"/>
      <c r="X142" s="32"/>
      <c r="Y142" s="32"/>
      <c r="Z142" s="32"/>
    </row>
    <row r="143">
      <c r="A143" s="32" t="str">
        <f>IFERROR(__xludf.DUMMYFUNCTION("""COMPUTED_VALUE"""),"Beast of Gévaudan")</f>
        <v>Beast of Gévaudan</v>
      </c>
      <c r="B143" s="32"/>
      <c r="C143" s="32"/>
      <c r="D143" s="32"/>
      <c r="E143" s="32"/>
      <c r="F143" s="32"/>
      <c r="G143" s="32"/>
      <c r="H143" s="32">
        <f>IFERROR(__xludf.DUMMYFUNCTION("""COMPUTED_VALUE"""),100.0)</f>
        <v>100</v>
      </c>
      <c r="I143" s="32"/>
      <c r="J143" s="32"/>
      <c r="K143" s="32"/>
      <c r="L143" s="32"/>
      <c r="M143" s="32"/>
      <c r="N143" s="32"/>
      <c r="O143" s="32"/>
      <c r="P143" s="32"/>
      <c r="Q143" s="32"/>
      <c r="R143" s="32"/>
      <c r="S143" s="32"/>
      <c r="T143" s="32"/>
      <c r="U143" s="32"/>
      <c r="V143" s="32"/>
      <c r="W143" s="32"/>
      <c r="X143" s="32"/>
      <c r="Y143" s="32"/>
      <c r="Z143" s="32"/>
    </row>
    <row r="144">
      <c r="A144" s="32" t="str">
        <f>IFERROR(__xludf.DUMMYFUNCTION("""COMPUTED_VALUE"""),"Karduk, King of the Earth Elementals")</f>
        <v>Karduk, King of the Earth Elementals</v>
      </c>
      <c r="B144" s="32"/>
      <c r="C144" s="32">
        <f>IFERROR(__xludf.DUMMYFUNCTION("""COMPUTED_VALUE"""),250.0)</f>
        <v>250</v>
      </c>
      <c r="D144" s="32">
        <f>IFERROR(__xludf.DUMMYFUNCTION("""COMPUTED_VALUE"""),250.0)</f>
        <v>250</v>
      </c>
      <c r="E144" s="32"/>
      <c r="F144" s="32"/>
      <c r="G144" s="32"/>
      <c r="H144" s="32">
        <f>IFERROR(__xludf.DUMMYFUNCTION("""COMPUTED_VALUE"""),100.0)</f>
        <v>100</v>
      </c>
      <c r="I144" s="32"/>
      <c r="J144" s="32"/>
      <c r="K144" s="32"/>
      <c r="L144" s="32"/>
      <c r="M144" s="32"/>
      <c r="N144" s="32"/>
      <c r="O144" s="32"/>
      <c r="P144" s="32"/>
      <c r="Q144" s="32"/>
      <c r="R144" s="32"/>
      <c r="S144" s="32"/>
      <c r="T144" s="32"/>
      <c r="U144" s="32"/>
      <c r="V144" s="32"/>
      <c r="W144" s="32"/>
      <c r="X144" s="32"/>
      <c r="Y144" s="32"/>
      <c r="Z144" s="32"/>
    </row>
    <row r="145">
      <c r="A145" s="32" t="str">
        <f>IFERROR(__xludf.DUMMYFUNCTION("""COMPUTED_VALUE"""),"Undyne, Queen of the Water Elementals")</f>
        <v>Undyne, Queen of the Water Elementals</v>
      </c>
      <c r="B145" s="32"/>
      <c r="C145" s="32"/>
      <c r="D145" s="32">
        <f>IFERROR(__xludf.DUMMYFUNCTION("""COMPUTED_VALUE"""),250.0)</f>
        <v>250</v>
      </c>
      <c r="E145" s="32"/>
      <c r="F145" s="32"/>
      <c r="G145" s="32"/>
      <c r="H145" s="32">
        <f>IFERROR(__xludf.DUMMYFUNCTION("""COMPUTED_VALUE"""),100.0)</f>
        <v>100</v>
      </c>
      <c r="I145" s="32"/>
      <c r="J145" s="32"/>
      <c r="K145" s="32">
        <f>IFERROR(__xludf.DUMMYFUNCTION("""COMPUTED_VALUE"""),250.0)</f>
        <v>250</v>
      </c>
      <c r="L145" s="32"/>
      <c r="M145" s="32"/>
      <c r="N145" s="32"/>
      <c r="O145" s="32"/>
      <c r="P145" s="32"/>
      <c r="Q145" s="32"/>
      <c r="R145" s="32"/>
      <c r="S145" s="32"/>
      <c r="T145" s="32"/>
      <c r="U145" s="32"/>
      <c r="V145" s="32"/>
      <c r="W145" s="32"/>
      <c r="X145" s="32"/>
      <c r="Y145" s="32"/>
      <c r="Z145" s="32"/>
    </row>
    <row r="146">
      <c r="A146" s="32" t="str">
        <f>IFERROR(__xludf.DUMMYFUNCTION("""COMPUTED_VALUE"""),"Sylph, Queen of the Nature Elementals")</f>
        <v>Sylph, Queen of the Nature Elementals</v>
      </c>
      <c r="B146" s="32">
        <f>IFERROR(__xludf.DUMMYFUNCTION("""COMPUTED_VALUE"""),250.0)</f>
        <v>250</v>
      </c>
      <c r="C146" s="32"/>
      <c r="D146" s="32">
        <f>IFERROR(__xludf.DUMMYFUNCTION("""COMPUTED_VALUE"""),250.0)</f>
        <v>250</v>
      </c>
      <c r="E146" s="32"/>
      <c r="F146" s="32"/>
      <c r="G146" s="32"/>
      <c r="H146" s="32">
        <f>IFERROR(__xludf.DUMMYFUNCTION("""COMPUTED_VALUE"""),100.0)</f>
        <v>100</v>
      </c>
      <c r="I146" s="32"/>
      <c r="J146" s="32"/>
      <c r="K146" s="32"/>
      <c r="L146" s="32"/>
      <c r="M146" s="32"/>
      <c r="N146" s="32"/>
      <c r="O146" s="32"/>
      <c r="P146" s="32"/>
      <c r="Q146" s="32"/>
      <c r="R146" s="32"/>
      <c r="S146" s="32"/>
      <c r="T146" s="32"/>
      <c r="U146" s="32"/>
      <c r="V146" s="32"/>
      <c r="W146" s="32"/>
      <c r="X146" s="32"/>
      <c r="Y146" s="32"/>
      <c r="Z146" s="32"/>
    </row>
    <row r="147">
      <c r="A147" s="32" t="str">
        <f>IFERROR(__xludf.DUMMYFUNCTION("""COMPUTED_VALUE"""),"Raijin, King of the Storm Elementals")</f>
        <v>Raijin, King of the Storm Elementals</v>
      </c>
      <c r="B147" s="32"/>
      <c r="C147" s="32"/>
      <c r="D147" s="32"/>
      <c r="E147" s="32"/>
      <c r="F147" s="32"/>
      <c r="G147" s="32"/>
      <c r="H147" s="32">
        <f>IFERROR(__xludf.DUMMYFUNCTION("""COMPUTED_VALUE"""),100.0)</f>
        <v>100</v>
      </c>
      <c r="I147" s="32"/>
      <c r="J147" s="32"/>
      <c r="K147" s="32"/>
      <c r="L147" s="32"/>
      <c r="M147" s="32"/>
      <c r="N147" s="32"/>
      <c r="O147" s="32"/>
      <c r="P147" s="32"/>
      <c r="Q147" s="32"/>
      <c r="R147" s="32"/>
      <c r="S147" s="32"/>
      <c r="T147" s="32"/>
      <c r="U147" s="32"/>
      <c r="V147" s="32"/>
      <c r="W147" s="32"/>
      <c r="X147" s="32"/>
      <c r="Y147" s="32"/>
      <c r="Z147" s="32"/>
    </row>
    <row r="148">
      <c r="A148" s="32" t="str">
        <f>IFERROR(__xludf.DUMMYFUNCTION("""COMPUTED_VALUE"""),"Plague Doctor, Kaillon")</f>
        <v>Plague Doctor, Kaillon</v>
      </c>
      <c r="B148" s="32">
        <f>IFERROR(__xludf.DUMMYFUNCTION("""COMPUTED_VALUE"""),100.0)</f>
        <v>100</v>
      </c>
      <c r="C148" s="32"/>
      <c r="D148" s="32"/>
      <c r="E148" s="32"/>
      <c r="F148" s="32">
        <f>IFERROR(__xludf.DUMMYFUNCTION("""COMPUTED_VALUE"""),100.0)</f>
        <v>100</v>
      </c>
      <c r="G148" s="32"/>
      <c r="H148" s="32"/>
      <c r="I148" s="32"/>
      <c r="J148" s="32"/>
      <c r="K148" s="32"/>
      <c r="L148" s="32"/>
      <c r="M148" s="32">
        <f>IFERROR(__xludf.DUMMYFUNCTION("""COMPUTED_VALUE"""),100.0)</f>
        <v>100</v>
      </c>
      <c r="N148" s="32"/>
      <c r="O148" s="32"/>
      <c r="P148" s="32"/>
      <c r="Q148" s="32"/>
      <c r="R148" s="32"/>
      <c r="S148" s="32"/>
      <c r="T148" s="32"/>
      <c r="U148" s="32"/>
      <c r="V148" s="32"/>
      <c r="W148" s="32"/>
      <c r="X148" s="32"/>
      <c r="Y148" s="32"/>
      <c r="Z148" s="32"/>
    </row>
    <row r="149">
      <c r="A149" s="32" t="str">
        <f>IFERROR(__xludf.DUMMYFUNCTION("""COMPUTED_VALUE"""),"Fire Elemental")</f>
        <v>Fire Elemental</v>
      </c>
      <c r="B149" s="32"/>
      <c r="C149" s="32">
        <f>IFERROR(__xludf.DUMMYFUNCTION("""COMPUTED_VALUE"""),100.0)</f>
        <v>100</v>
      </c>
      <c r="D149" s="32"/>
      <c r="E149" s="32"/>
      <c r="F149" s="32"/>
      <c r="G149" s="32"/>
      <c r="H149" s="32">
        <f>IFERROR(__xludf.DUMMYFUNCTION("""COMPUTED_VALUE"""),100.0)</f>
        <v>100</v>
      </c>
      <c r="I149" s="32"/>
      <c r="J149" s="32"/>
      <c r="K149" s="32"/>
      <c r="L149" s="32"/>
      <c r="M149" s="32"/>
      <c r="N149" s="32"/>
      <c r="O149" s="32"/>
      <c r="P149" s="32"/>
      <c r="Q149" s="32"/>
      <c r="R149" s="32"/>
      <c r="S149" s="32"/>
      <c r="T149" s="32"/>
      <c r="U149" s="32"/>
      <c r="V149" s="32"/>
      <c r="W149" s="32"/>
      <c r="X149" s="32"/>
      <c r="Y149" s="32"/>
      <c r="Z149" s="32"/>
    </row>
    <row r="150">
      <c r="A150" s="32" t="str">
        <f>IFERROR(__xludf.DUMMYFUNCTION("""COMPUTED_VALUE"""),"Volcanic Elemental")</f>
        <v>Volcanic Elemental</v>
      </c>
      <c r="B150" s="32"/>
      <c r="C150" s="32">
        <f>IFERROR(__xludf.DUMMYFUNCTION("""COMPUTED_VALUE"""),50.0)</f>
        <v>50</v>
      </c>
      <c r="D150" s="32"/>
      <c r="E150" s="32"/>
      <c r="F150" s="32"/>
      <c r="G150" s="32"/>
      <c r="H150" s="32">
        <f>IFERROR(__xludf.DUMMYFUNCTION("""COMPUTED_VALUE"""),50.0)</f>
        <v>50</v>
      </c>
      <c r="I150" s="32"/>
      <c r="J150" s="32"/>
      <c r="K150" s="32"/>
      <c r="L150" s="32"/>
      <c r="M150" s="32"/>
      <c r="N150" s="32"/>
      <c r="O150" s="32"/>
      <c r="P150" s="32"/>
      <c r="Q150" s="32"/>
      <c r="R150" s="32"/>
      <c r="S150" s="32"/>
      <c r="T150" s="32"/>
      <c r="U150" s="32"/>
      <c r="V150" s="32"/>
      <c r="W150" s="32"/>
      <c r="X150" s="32"/>
      <c r="Y150" s="32"/>
      <c r="Z150" s="32"/>
    </row>
    <row r="151">
      <c r="A151" s="32" t="str">
        <f>IFERROR(__xludf.DUMMYFUNCTION("""COMPUTED_VALUE"""),"Gytras: The Lord Of Jellyfish")</f>
        <v>Gytras: The Lord Of Jellyfish</v>
      </c>
      <c r="B151" s="32"/>
      <c r="C151" s="32"/>
      <c r="D151" s="32"/>
      <c r="E151" s="32"/>
      <c r="F151" s="32"/>
      <c r="G151" s="32"/>
      <c r="H151" s="32"/>
      <c r="I151" s="32"/>
      <c r="J151" s="32"/>
      <c r="K151" s="32">
        <f>IFERROR(__xludf.DUMMYFUNCTION("""COMPUTED_VALUE"""),100.0)</f>
        <v>100</v>
      </c>
      <c r="L151" s="32"/>
      <c r="M151" s="32"/>
      <c r="N151" s="32"/>
      <c r="O151" s="32"/>
      <c r="P151" s="32"/>
      <c r="Q151" s="32"/>
      <c r="R151" s="32"/>
      <c r="S151" s="32"/>
      <c r="T151" s="32"/>
      <c r="U151" s="32"/>
      <c r="V151" s="32"/>
      <c r="W151" s="32"/>
      <c r="X151" s="32"/>
      <c r="Y151" s="32"/>
      <c r="Z151" s="32"/>
    </row>
    <row r="152">
      <c r="A152" s="32" t="str">
        <f>IFERROR(__xludf.DUMMYFUNCTION("""COMPUTED_VALUE"""),"Haunted Scarecrow")</f>
        <v>Haunted Scarecrow</v>
      </c>
      <c r="B152" s="32">
        <f>IFERROR(__xludf.DUMMYFUNCTION("""COMPUTED_VALUE"""),100.0)</f>
        <v>100</v>
      </c>
      <c r="C152" s="32"/>
      <c r="D152" s="32"/>
      <c r="E152" s="32"/>
      <c r="F152" s="32">
        <f>IFERROR(__xludf.DUMMYFUNCTION("""COMPUTED_VALUE"""),100.0)</f>
        <v>100</v>
      </c>
      <c r="G152" s="32"/>
      <c r="H152" s="32"/>
      <c r="I152" s="32"/>
      <c r="J152" s="32"/>
      <c r="K152" s="32"/>
      <c r="L152" s="32"/>
      <c r="M152" s="32"/>
      <c r="N152" s="32"/>
      <c r="O152" s="32"/>
      <c r="P152" s="32"/>
      <c r="Q152" s="32"/>
      <c r="R152" s="32"/>
      <c r="S152" s="32"/>
      <c r="T152" s="32"/>
      <c r="U152" s="32"/>
      <c r="V152" s="32"/>
      <c r="W152" s="32"/>
      <c r="X152" s="32"/>
      <c r="Y152" s="32"/>
      <c r="Z152" s="32"/>
    </row>
    <row r="153">
      <c r="A153" s="32" t="str">
        <f>IFERROR(__xludf.DUMMYFUNCTION("""COMPUTED_VALUE"""),"Ancient Fire Elemental")</f>
        <v>Ancient Fire Elemental</v>
      </c>
      <c r="B153" s="32"/>
      <c r="C153" s="32">
        <f>IFERROR(__xludf.DUMMYFUNCTION("""COMPUTED_VALUE"""),50.0)</f>
        <v>50</v>
      </c>
      <c r="D153" s="32"/>
      <c r="E153" s="32"/>
      <c r="F153" s="32"/>
      <c r="G153" s="32"/>
      <c r="H153" s="32">
        <f>IFERROR(__xludf.DUMMYFUNCTION("""COMPUTED_VALUE"""),50.0)</f>
        <v>50</v>
      </c>
      <c r="I153" s="32"/>
      <c r="J153" s="32"/>
      <c r="K153" s="32"/>
      <c r="L153" s="32"/>
      <c r="M153" s="32"/>
      <c r="N153" s="32"/>
      <c r="O153" s="32"/>
      <c r="P153" s="32"/>
      <c r="Q153" s="32"/>
      <c r="R153" s="32"/>
      <c r="S153" s="32"/>
      <c r="T153" s="32"/>
      <c r="U153" s="32"/>
      <c r="V153" s="32"/>
      <c r="W153" s="32"/>
      <c r="X153" s="32"/>
      <c r="Y153" s="32"/>
      <c r="Z153" s="32"/>
    </row>
    <row r="154">
      <c r="A154" s="32" t="str">
        <f>IFERROR(__xludf.DUMMYFUNCTION("""COMPUTED_VALUE"""),"Heatmore Flame Golem")</f>
        <v>Heatmore Flame Golem</v>
      </c>
      <c r="B154" s="32"/>
      <c r="C154" s="32">
        <f>IFERROR(__xludf.DUMMYFUNCTION("""COMPUTED_VALUE"""),100.0)</f>
        <v>100</v>
      </c>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t="str">
        <f>IFERROR(__xludf.DUMMYFUNCTION("""COMPUTED_VALUE"""),"Heatmore Royal Keeper")</f>
        <v>Heatmore Royal Keeper</v>
      </c>
      <c r="B155" s="32"/>
      <c r="C155" s="32">
        <f>IFERROR(__xludf.DUMMYFUNCTION("""COMPUTED_VALUE"""),100.0)</f>
        <v>100</v>
      </c>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t="str">
        <f>IFERROR(__xludf.DUMMYFUNCTION("""COMPUTED_VALUE"""),"Heatmore Underling")</f>
        <v>Heatmore Underling</v>
      </c>
      <c r="B156" s="32"/>
      <c r="C156" s="32">
        <f>IFERROR(__xludf.DUMMYFUNCTION("""COMPUTED_VALUE"""),100.0)</f>
        <v>100</v>
      </c>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t="str">
        <f>IFERROR(__xludf.DUMMYFUNCTION("""COMPUTED_VALUE"""),"Hellmore The Soul keeper")</f>
        <v>Hellmore The Soul keeper</v>
      </c>
      <c r="B157" s="32">
        <f>IFERROR(__xludf.DUMMYFUNCTION("""COMPUTED_VALUE"""),100.0)</f>
        <v>100</v>
      </c>
      <c r="C157" s="32"/>
      <c r="D157" s="32"/>
      <c r="E157" s="32"/>
      <c r="F157" s="32">
        <f>IFERROR(__xludf.DUMMYFUNCTION("""COMPUTED_VALUE"""),100.0)</f>
        <v>100</v>
      </c>
      <c r="G157" s="32"/>
      <c r="H157" s="32"/>
      <c r="I157" s="32">
        <f>IFERROR(__xludf.DUMMYFUNCTION("""COMPUTED_VALUE"""),100.0)</f>
        <v>100</v>
      </c>
      <c r="J157" s="32"/>
      <c r="K157" s="32"/>
      <c r="L157" s="32"/>
      <c r="M157" s="32"/>
      <c r="N157" s="32"/>
      <c r="O157" s="32"/>
      <c r="P157" s="32"/>
      <c r="Q157" s="32"/>
      <c r="R157" s="32"/>
      <c r="S157" s="32"/>
      <c r="T157" s="32"/>
      <c r="U157" s="32"/>
      <c r="V157" s="32"/>
      <c r="W157" s="32">
        <f>IFERROR(__xludf.DUMMYFUNCTION("""COMPUTED_VALUE"""),100.0)</f>
        <v>100</v>
      </c>
      <c r="X157" s="32"/>
      <c r="Y157" s="32"/>
      <c r="Z157" s="32"/>
    </row>
    <row r="158">
      <c r="A158" s="32" t="str">
        <f>IFERROR(__xludf.DUMMYFUNCTION("""COMPUTED_VALUE"""),"Hydra Cobra")</f>
        <v>Hydra Cobra</v>
      </c>
      <c r="B158" s="32">
        <f>IFERROR(__xludf.DUMMYFUNCTION("""COMPUTED_VALUE"""),100.0)</f>
        <v>100</v>
      </c>
      <c r="C158" s="32"/>
      <c r="D158" s="32"/>
      <c r="E158" s="32"/>
      <c r="F158" s="32">
        <f>IFERROR(__xludf.DUMMYFUNCTION("""COMPUTED_VALUE"""),100.0)</f>
        <v>100</v>
      </c>
      <c r="G158" s="32"/>
      <c r="H158" s="32"/>
      <c r="I158" s="32">
        <f>IFERROR(__xludf.DUMMYFUNCTION("""COMPUTED_VALUE"""),100.0)</f>
        <v>100</v>
      </c>
      <c r="J158" s="32"/>
      <c r="K158" s="32"/>
      <c r="L158" s="32"/>
      <c r="M158" s="32"/>
      <c r="N158" s="32"/>
      <c r="O158" s="32"/>
      <c r="P158" s="32"/>
      <c r="Q158" s="32"/>
      <c r="R158" s="32"/>
      <c r="S158" s="32"/>
      <c r="T158" s="32"/>
      <c r="U158" s="32"/>
      <c r="V158" s="32"/>
      <c r="W158" s="32"/>
      <c r="X158" s="32"/>
      <c r="Y158" s="32"/>
      <c r="Z158" s="32"/>
    </row>
    <row r="159">
      <c r="A159" s="32" t="str">
        <f>IFERROR(__xludf.DUMMYFUNCTION("""COMPUTED_VALUE"""),"Hyena")</f>
        <v>Hyena</v>
      </c>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t="str">
        <f>IFERROR(__xludf.DUMMYFUNCTION("""COMPUTED_VALUE"""),"Ice Golem")</f>
        <v>Ice Golem</v>
      </c>
      <c r="B160" s="32">
        <f>IFERROR(__xludf.DUMMYFUNCTION("""COMPUTED_VALUE"""),100.0)</f>
        <v>100</v>
      </c>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t="str">
        <f>IFERROR(__xludf.DUMMYFUNCTION("""COMPUTED_VALUE"""),"Ice Slime")</f>
        <v>Ice Slime</v>
      </c>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t="str">
        <f>IFERROR(__xludf.DUMMYFUNCTION("""COMPUTED_VALUE"""),"Ice Yak")</f>
        <v>Ice Yak</v>
      </c>
      <c r="B162" s="32">
        <f>IFERROR(__xludf.DUMMYFUNCTION("""COMPUTED_VALUE"""),100.0)</f>
        <v>100</v>
      </c>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t="str">
        <f>IFERROR(__xludf.DUMMYFUNCTION("""COMPUTED_VALUE"""),"Imperial Judge")</f>
        <v>Imperial Judge</v>
      </c>
      <c r="B163" s="32"/>
      <c r="C163" s="32"/>
      <c r="D163" s="32"/>
      <c r="E163" s="32"/>
      <c r="F163" s="32"/>
      <c r="G163" s="32">
        <f>IFERROR(__xludf.DUMMYFUNCTION("""COMPUTED_VALUE"""),100.0)</f>
        <v>100</v>
      </c>
      <c r="H163" s="32"/>
      <c r="I163" s="32"/>
      <c r="J163" s="32"/>
      <c r="K163" s="32"/>
      <c r="L163" s="32"/>
      <c r="M163" s="32"/>
      <c r="N163" s="32"/>
      <c r="O163" s="32"/>
      <c r="P163" s="32"/>
      <c r="Q163" s="32"/>
      <c r="R163" s="32"/>
      <c r="S163" s="32"/>
      <c r="T163" s="32"/>
      <c r="U163" s="32"/>
      <c r="V163" s="32"/>
      <c r="W163" s="32"/>
      <c r="X163" s="32"/>
      <c r="Y163" s="32"/>
      <c r="Z163" s="32"/>
    </row>
    <row r="164">
      <c r="A164" s="32" t="str">
        <f>IFERROR(__xludf.DUMMYFUNCTION("""COMPUTED_VALUE"""),"Inferno Tree Walker")</f>
        <v>Inferno Tree Walker</v>
      </c>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t="str">
        <f>IFERROR(__xludf.DUMMYFUNCTION("""COMPUTED_VALUE"""),"Inferno Vulture")</f>
        <v>Inferno Vulture</v>
      </c>
      <c r="B165" s="32"/>
      <c r="C165" s="32">
        <f>IFERROR(__xludf.DUMMYFUNCTION("""COMPUTED_VALUE"""),100.0)</f>
        <v>100</v>
      </c>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t="str">
        <f>IFERROR(__xludf.DUMMYFUNCTION("""COMPUTED_VALUE"""),"Jack Haggerson")</f>
        <v>Jack Haggerson</v>
      </c>
      <c r="B166" s="32">
        <f>IFERROR(__xludf.DUMMYFUNCTION("""COMPUTED_VALUE"""),100.0)</f>
        <v>100</v>
      </c>
      <c r="C166" s="32"/>
      <c r="D166" s="32"/>
      <c r="E166" s="32"/>
      <c r="F166" s="32">
        <f>IFERROR(__xludf.DUMMYFUNCTION("""COMPUTED_VALUE"""),100.0)</f>
        <v>100</v>
      </c>
      <c r="G166" s="32"/>
      <c r="H166" s="32"/>
      <c r="I166" s="32">
        <f>IFERROR(__xludf.DUMMYFUNCTION("""COMPUTED_VALUE"""),100.0)</f>
        <v>100</v>
      </c>
      <c r="J166" s="32"/>
      <c r="K166" s="32"/>
      <c r="L166" s="32"/>
      <c r="M166" s="32"/>
      <c r="N166" s="32"/>
      <c r="O166" s="32"/>
      <c r="P166" s="32"/>
      <c r="Q166" s="32"/>
      <c r="R166" s="32"/>
      <c r="S166" s="32"/>
      <c r="T166" s="32">
        <f>IFERROR(__xludf.DUMMYFUNCTION("""COMPUTED_VALUE"""),100.0)</f>
        <v>100</v>
      </c>
      <c r="U166" s="32"/>
      <c r="V166" s="32"/>
      <c r="W166" s="32">
        <f>IFERROR(__xludf.DUMMYFUNCTION("""COMPUTED_VALUE"""),100.0)</f>
        <v>100</v>
      </c>
      <c r="X166" s="32"/>
      <c r="Y166" s="32"/>
      <c r="Z166" s="32"/>
    </row>
    <row r="167">
      <c r="A167" s="32" t="str">
        <f>IFERROR(__xludf.DUMMYFUNCTION("""COMPUTED_VALUE"""),"Jelly Fish (WD)")</f>
        <v>Jelly Fish (WD)</v>
      </c>
      <c r="B167" s="32"/>
      <c r="C167" s="32"/>
      <c r="D167" s="32"/>
      <c r="E167" s="32"/>
      <c r="F167" s="32"/>
      <c r="G167" s="32"/>
      <c r="H167" s="32"/>
      <c r="I167" s="32"/>
      <c r="J167" s="32"/>
      <c r="K167" s="32">
        <f>IFERROR(__xludf.DUMMYFUNCTION("""COMPUTED_VALUE"""),100.0)</f>
        <v>100</v>
      </c>
      <c r="L167" s="32"/>
      <c r="M167" s="32"/>
      <c r="N167" s="32"/>
      <c r="O167" s="32"/>
      <c r="P167" s="32"/>
      <c r="Q167" s="32"/>
      <c r="R167" s="32"/>
      <c r="S167" s="32"/>
      <c r="T167" s="32"/>
      <c r="U167" s="32"/>
      <c r="V167" s="32"/>
      <c r="W167" s="32"/>
      <c r="X167" s="32"/>
      <c r="Y167" s="32"/>
      <c r="Z167" s="32"/>
    </row>
    <row r="168">
      <c r="A168" s="32" t="str">
        <f>IFERROR(__xludf.DUMMYFUNCTION("""COMPUTED_VALUE"""),"Jelly Fish (WD) (Enhanced)")</f>
        <v>Jelly Fish (WD) (Enhanced)</v>
      </c>
      <c r="B168" s="32"/>
      <c r="C168" s="32"/>
      <c r="D168" s="32"/>
      <c r="E168" s="32"/>
      <c r="F168" s="32"/>
      <c r="G168" s="32"/>
      <c r="H168" s="32"/>
      <c r="I168" s="32"/>
      <c r="J168" s="32"/>
      <c r="K168" s="32">
        <f>IFERROR(__xludf.DUMMYFUNCTION("""COMPUTED_VALUE"""),100.0)</f>
        <v>100</v>
      </c>
      <c r="L168" s="32"/>
      <c r="M168" s="32"/>
      <c r="N168" s="32"/>
      <c r="O168" s="32"/>
      <c r="P168" s="32"/>
      <c r="Q168" s="32"/>
      <c r="R168" s="32"/>
      <c r="S168" s="32"/>
      <c r="T168" s="32"/>
      <c r="U168" s="32"/>
      <c r="V168" s="32"/>
      <c r="W168" s="32"/>
      <c r="X168" s="32"/>
      <c r="Y168" s="32"/>
      <c r="Z168" s="32"/>
    </row>
    <row r="169">
      <c r="A169" s="32" t="str">
        <f>IFERROR(__xludf.DUMMYFUNCTION("""COMPUTED_VALUE"""),"King Goose")</f>
        <v>King Goose</v>
      </c>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t="str">
        <f>IFERROR(__xludf.DUMMYFUNCTION("""COMPUTED_VALUE"""),"King Of Mekana (Robotic Guardian of the 5th, No. 5)")</f>
        <v>King Of Mekana (Robotic Guardian of the 5th, No. 5)</v>
      </c>
      <c r="B170" s="32">
        <f>IFERROR(__xludf.DUMMYFUNCTION("""COMPUTED_VALUE"""),100.0)</f>
        <v>100</v>
      </c>
      <c r="C170" s="32">
        <f>IFERROR(__xludf.DUMMYFUNCTION("""COMPUTED_VALUE"""),100.0)</f>
        <v>100</v>
      </c>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t="str">
        <f>IFERROR(__xludf.DUMMYFUNCTION("""COMPUTED_VALUE"""),"Knight Of Chaotic Shadows")</f>
        <v>Knight Of Chaotic Shadows</v>
      </c>
      <c r="B171" s="32">
        <f>IFERROR(__xludf.DUMMYFUNCTION("""COMPUTED_VALUE"""),100.0)</f>
        <v>100</v>
      </c>
      <c r="C171" s="32"/>
      <c r="D171" s="32"/>
      <c r="E171" s="32"/>
      <c r="F171" s="32">
        <f>IFERROR(__xludf.DUMMYFUNCTION("""COMPUTED_VALUE"""),100.0)</f>
        <v>100</v>
      </c>
      <c r="G171" s="32"/>
      <c r="H171" s="32"/>
      <c r="I171" s="32">
        <f>IFERROR(__xludf.DUMMYFUNCTION("""COMPUTED_VALUE"""),100.0)</f>
        <v>100</v>
      </c>
      <c r="J171" s="32"/>
      <c r="K171" s="32"/>
      <c r="L171" s="32"/>
      <c r="M171" s="32"/>
      <c r="N171" s="32"/>
      <c r="O171" s="32"/>
      <c r="P171" s="32"/>
      <c r="Q171" s="32"/>
      <c r="R171" s="32"/>
      <c r="S171" s="32"/>
      <c r="T171" s="32"/>
      <c r="U171" s="32"/>
      <c r="V171" s="32"/>
      <c r="W171" s="32"/>
      <c r="X171" s="32"/>
      <c r="Y171" s="32"/>
      <c r="Z171" s="32"/>
    </row>
    <row r="172">
      <c r="A172" s="32" t="str">
        <f>IFERROR(__xludf.DUMMYFUNCTION("""COMPUTED_VALUE"""),"Lamia ")</f>
        <v>Lamia </v>
      </c>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t="str">
        <f>IFERROR(__xludf.DUMMYFUNCTION("""COMPUTED_VALUE"""),"Lava Kraken")</f>
        <v>Lava Kraken</v>
      </c>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t="str">
        <f>IFERROR(__xludf.DUMMYFUNCTION("""COMPUTED_VALUE"""),"Lava Lizard")</f>
        <v>Lava Lizard</v>
      </c>
      <c r="B174" s="32"/>
      <c r="C174" s="32">
        <f>IFERROR(__xludf.DUMMYFUNCTION("""COMPUTED_VALUE"""),100.0)</f>
        <v>100</v>
      </c>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t="str">
        <f>IFERROR(__xludf.DUMMYFUNCTION("""COMPUTED_VALUE"""),"Lava Moth")</f>
        <v>Lava Moth</v>
      </c>
      <c r="B175" s="32"/>
      <c r="C175" s="32">
        <f>IFERROR(__xludf.DUMMYFUNCTION("""COMPUTED_VALUE"""),100.0)</f>
        <v>100</v>
      </c>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t="str">
        <f>IFERROR(__xludf.DUMMYFUNCTION("""COMPUTED_VALUE"""),"Lava Panther")</f>
        <v>Lava Panther</v>
      </c>
      <c r="B176" s="32"/>
      <c r="C176" s="32">
        <f>IFERROR(__xludf.DUMMYFUNCTION("""COMPUTED_VALUE"""),100.0)</f>
        <v>100</v>
      </c>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t="str">
        <f>IFERROR(__xludf.DUMMYFUNCTION("""COMPUTED_VALUE"""),"Lava Rat")</f>
        <v>Lava Rat</v>
      </c>
      <c r="B177" s="32"/>
      <c r="C177" s="32">
        <f>IFERROR(__xludf.DUMMYFUNCTION("""COMPUTED_VALUE"""),100.0)</f>
        <v>100</v>
      </c>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t="str">
        <f>IFERROR(__xludf.DUMMYFUNCTION("""COMPUTED_VALUE"""),"Rat King")</f>
        <v>Rat King</v>
      </c>
      <c r="B178" s="32"/>
      <c r="C178" s="32"/>
      <c r="D178" s="32"/>
      <c r="E178" s="32"/>
      <c r="F178" s="32">
        <f>IFERROR(__xludf.DUMMYFUNCTION("""COMPUTED_VALUE"""),100.0)</f>
        <v>100</v>
      </c>
      <c r="G178" s="32"/>
      <c r="H178" s="32"/>
      <c r="I178" s="32">
        <f>IFERROR(__xludf.DUMMYFUNCTION("""COMPUTED_VALUE"""),100.0)</f>
        <v>100</v>
      </c>
      <c r="J178" s="32"/>
      <c r="K178" s="32"/>
      <c r="L178" s="32"/>
      <c r="M178" s="32"/>
      <c r="N178" s="32"/>
      <c r="O178" s="32"/>
      <c r="P178" s="32"/>
      <c r="Q178" s="32"/>
      <c r="R178" s="32"/>
      <c r="S178" s="32"/>
      <c r="T178" s="32"/>
      <c r="U178" s="32"/>
      <c r="V178" s="32"/>
      <c r="W178" s="32"/>
      <c r="X178" s="32"/>
      <c r="Y178" s="32"/>
      <c r="Z178" s="32"/>
    </row>
    <row r="179">
      <c r="A179" s="32" t="str">
        <f>IFERROR(__xludf.DUMMYFUNCTION("""COMPUTED_VALUE"""),"Lava Tiger")</f>
        <v>Lava Tiger</v>
      </c>
      <c r="B179" s="32"/>
      <c r="C179" s="32">
        <f>IFERROR(__xludf.DUMMYFUNCTION("""COMPUTED_VALUE"""),100.0)</f>
        <v>100</v>
      </c>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t="str">
        <f>IFERROR(__xludf.DUMMYFUNCTION("""COMPUTED_VALUE"""),"Legendary Treant")</f>
        <v>Legendary Treant</v>
      </c>
      <c r="B180" s="32">
        <f>IFERROR(__xludf.DUMMYFUNCTION("""COMPUTED_VALUE"""),100.0)</f>
        <v>100</v>
      </c>
      <c r="C180" s="32"/>
      <c r="D180" s="32">
        <f>IFERROR(__xludf.DUMMYFUNCTION("""COMPUTED_VALUE"""),100.0)</f>
        <v>100</v>
      </c>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t="str">
        <f>IFERROR(__xludf.DUMMYFUNCTION("""COMPUTED_VALUE"""),"Locust Swarm")</f>
        <v>Locust Swarm</v>
      </c>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t="str">
        <f>IFERROR(__xludf.DUMMYFUNCTION("""COMPUTED_VALUE"""),"Lord Dreadful (Form 1)")</f>
        <v>Lord Dreadful (Form 1)</v>
      </c>
      <c r="B182" s="32">
        <f>IFERROR(__xludf.DUMMYFUNCTION("""COMPUTED_VALUE"""),100.0)</f>
        <v>100</v>
      </c>
      <c r="C182" s="32"/>
      <c r="D182" s="32"/>
      <c r="E182" s="32"/>
      <c r="F182" s="32">
        <f>IFERROR(__xludf.DUMMYFUNCTION("""COMPUTED_VALUE"""),100.0)</f>
        <v>100</v>
      </c>
      <c r="G182" s="32"/>
      <c r="H182" s="32"/>
      <c r="I182" s="32">
        <f>IFERROR(__xludf.DUMMYFUNCTION("""COMPUTED_VALUE"""),100.0)</f>
        <v>100</v>
      </c>
      <c r="J182" s="32"/>
      <c r="K182" s="32"/>
      <c r="L182" s="32"/>
      <c r="M182" s="32"/>
      <c r="N182" s="32"/>
      <c r="O182" s="32"/>
      <c r="P182" s="32"/>
      <c r="Q182" s="32"/>
      <c r="R182" s="32"/>
      <c r="S182" s="32"/>
      <c r="T182" s="32"/>
      <c r="U182" s="32"/>
      <c r="V182" s="32"/>
      <c r="W182" s="32"/>
      <c r="X182" s="32"/>
      <c r="Y182" s="32"/>
      <c r="Z182" s="32"/>
    </row>
    <row r="183">
      <c r="A183" s="32" t="str">
        <f>IFERROR(__xludf.DUMMYFUNCTION("""COMPUTED_VALUE"""),"Lord Dreadful (Lord Zude) (Form 2)")</f>
        <v>Lord Dreadful (Lord Zude) (Form 2)</v>
      </c>
      <c r="B183" s="32">
        <f>IFERROR(__xludf.DUMMYFUNCTION("""COMPUTED_VALUE"""),100.0)</f>
        <v>100</v>
      </c>
      <c r="C183" s="32"/>
      <c r="D183" s="32"/>
      <c r="E183" s="32"/>
      <c r="F183" s="32">
        <f>IFERROR(__xludf.DUMMYFUNCTION("""COMPUTED_VALUE"""),100.0)</f>
        <v>100</v>
      </c>
      <c r="G183" s="32"/>
      <c r="H183" s="32"/>
      <c r="I183" s="32">
        <f>IFERROR(__xludf.DUMMYFUNCTION("""COMPUTED_VALUE"""),100.0)</f>
        <v>100</v>
      </c>
      <c r="J183" s="32"/>
      <c r="K183" s="32"/>
      <c r="L183" s="32"/>
      <c r="M183" s="32"/>
      <c r="N183" s="32"/>
      <c r="O183" s="32"/>
      <c r="P183" s="32"/>
      <c r="Q183" s="32"/>
      <c r="R183" s="32"/>
      <c r="S183" s="32"/>
      <c r="T183" s="32"/>
      <c r="U183" s="32"/>
      <c r="V183" s="32"/>
      <c r="W183" s="32"/>
      <c r="X183" s="32"/>
      <c r="Y183" s="32"/>
      <c r="Z183" s="32"/>
    </row>
    <row r="184">
      <c r="A184" s="32" t="str">
        <f>IFERROR(__xludf.DUMMYFUNCTION("""COMPUTED_VALUE"""),"Lord Goose")</f>
        <v>Lord Goose</v>
      </c>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t="str">
        <f>IFERROR(__xludf.DUMMYFUNCTION("""COMPUTED_VALUE"""),"Lord Of The Bandits")</f>
        <v>Lord Of The Bandits</v>
      </c>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t="str">
        <f>IFERROR(__xludf.DUMMYFUNCTION("""COMPUTED_VALUE"""),"Chaotic Shadow Servant")</f>
        <v>Chaotic Shadow Servant</v>
      </c>
      <c r="B186" s="32">
        <f>IFERROR(__xludf.DUMMYFUNCTION("""COMPUTED_VALUE"""),100.0)</f>
        <v>100</v>
      </c>
      <c r="C186" s="32"/>
      <c r="D186" s="32"/>
      <c r="E186" s="32"/>
      <c r="F186" s="32">
        <f>IFERROR(__xludf.DUMMYFUNCTION("""COMPUTED_VALUE"""),100.0)</f>
        <v>100</v>
      </c>
      <c r="G186" s="32"/>
      <c r="H186" s="32"/>
      <c r="I186" s="32">
        <f>IFERROR(__xludf.DUMMYFUNCTION("""COMPUTED_VALUE"""),100.0)</f>
        <v>100</v>
      </c>
      <c r="J186" s="32"/>
      <c r="K186" s="32"/>
      <c r="L186" s="32"/>
      <c r="M186" s="32"/>
      <c r="N186" s="32"/>
      <c r="O186" s="32"/>
      <c r="P186" s="32"/>
      <c r="Q186" s="32"/>
      <c r="R186" s="32"/>
      <c r="S186" s="32"/>
      <c r="T186" s="32"/>
      <c r="U186" s="32"/>
      <c r="V186" s="32"/>
      <c r="W186" s="32"/>
      <c r="X186" s="32"/>
      <c r="Y186" s="32"/>
      <c r="Z186" s="32"/>
    </row>
    <row r="187">
      <c r="A187" s="32" t="str">
        <f>IFERROR(__xludf.DUMMYFUNCTION("""COMPUTED_VALUE"""),"Lugh")</f>
        <v>Lugh</v>
      </c>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t="str">
        <f>IFERROR(__xludf.DUMMYFUNCTION("""COMPUTED_VALUE"""),"Madem Hagbottom")</f>
        <v>Madem Hagbottom</v>
      </c>
      <c r="B188" s="32">
        <f>IFERROR(__xludf.DUMMYFUNCTION("""COMPUTED_VALUE"""),100.0)</f>
        <v>100</v>
      </c>
      <c r="C188" s="32"/>
      <c r="D188" s="32"/>
      <c r="E188" s="32"/>
      <c r="F188" s="32">
        <f>IFERROR(__xludf.DUMMYFUNCTION("""COMPUTED_VALUE"""),100.0)</f>
        <v>100</v>
      </c>
      <c r="G188" s="32"/>
      <c r="H188" s="32"/>
      <c r="I188" s="32">
        <f>IFERROR(__xludf.DUMMYFUNCTION("""COMPUTED_VALUE"""),100.0)</f>
        <v>100</v>
      </c>
      <c r="J188" s="32"/>
      <c r="K188" s="32"/>
      <c r="L188" s="32"/>
      <c r="M188" s="32"/>
      <c r="N188" s="32"/>
      <c r="O188" s="32"/>
      <c r="P188" s="32"/>
      <c r="Q188" s="32"/>
      <c r="R188" s="32"/>
      <c r="S188" s="32"/>
      <c r="T188" s="32">
        <f>IFERROR(__xludf.DUMMYFUNCTION("""COMPUTED_VALUE"""),100.0)</f>
        <v>100</v>
      </c>
      <c r="U188" s="32"/>
      <c r="V188" s="32"/>
      <c r="W188" s="32">
        <f>IFERROR(__xludf.DUMMYFUNCTION("""COMPUTED_VALUE"""),100.0)</f>
        <v>100</v>
      </c>
      <c r="X188" s="32"/>
      <c r="Y188" s="32"/>
      <c r="Z188" s="32"/>
    </row>
    <row r="189">
      <c r="A189" s="32" t="str">
        <f>IFERROR(__xludf.DUMMYFUNCTION("""COMPUTED_VALUE"""),"Magma Bear")</f>
        <v>Magma Bear</v>
      </c>
      <c r="B189" s="32"/>
      <c r="C189" s="32">
        <f>IFERROR(__xludf.DUMMYFUNCTION("""COMPUTED_VALUE"""),100.0)</f>
        <v>100</v>
      </c>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t="str">
        <f>IFERROR(__xludf.DUMMYFUNCTION("""COMPUTED_VALUE"""),"Magma Slime")</f>
        <v>Magma Slime</v>
      </c>
      <c r="B190" s="32"/>
      <c r="C190" s="32">
        <f>IFERROR(__xludf.DUMMYFUNCTION("""COMPUTED_VALUE"""),100.0)</f>
        <v>100</v>
      </c>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t="str">
        <f>IFERROR(__xludf.DUMMYFUNCTION("""COMPUTED_VALUE"""),"Manticore")</f>
        <v>Manticore</v>
      </c>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t="str">
        <f>IFERROR(__xludf.DUMMYFUNCTION("""COMPUTED_VALUE"""),"Master Monk Warrior")</f>
        <v>Master Monk Warrior</v>
      </c>
      <c r="B192" s="32"/>
      <c r="C192" s="32"/>
      <c r="D192" s="32"/>
      <c r="E192" s="32"/>
      <c r="F192" s="32"/>
      <c r="G192" s="32">
        <f>IFERROR(__xludf.DUMMYFUNCTION("""COMPUTED_VALUE"""),100.0)</f>
        <v>100</v>
      </c>
      <c r="H192" s="32"/>
      <c r="I192" s="32"/>
      <c r="J192" s="32">
        <f>IFERROR(__xludf.DUMMYFUNCTION("""COMPUTED_VALUE"""),100.0)</f>
        <v>100</v>
      </c>
      <c r="K192" s="32"/>
      <c r="L192" s="32"/>
      <c r="M192" s="32"/>
      <c r="N192" s="32"/>
      <c r="O192" s="32"/>
      <c r="P192" s="32"/>
      <c r="Q192" s="32">
        <f>IFERROR(__xludf.DUMMYFUNCTION("""COMPUTED_VALUE"""),100.0)</f>
        <v>100</v>
      </c>
      <c r="R192" s="32"/>
      <c r="S192" s="32"/>
      <c r="T192" s="32"/>
      <c r="U192" s="32"/>
      <c r="V192" s="32"/>
      <c r="W192" s="32"/>
      <c r="X192" s="32"/>
      <c r="Y192" s="32"/>
      <c r="Z192" s="32"/>
    </row>
    <row r="193">
      <c r="A193" s="32" t="str">
        <f>IFERROR(__xludf.DUMMYFUNCTION("""COMPUTED_VALUE"""),"Master Sawoogo")</f>
        <v>Master Sawoogo</v>
      </c>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t="str">
        <f>IFERROR(__xludf.DUMMYFUNCTION("""COMPUTED_VALUE"""),"Megalodon (WD)")</f>
        <v>Megalodon (WD)</v>
      </c>
      <c r="B194" s="32"/>
      <c r="C194" s="32"/>
      <c r="D194" s="32"/>
      <c r="E194" s="32"/>
      <c r="F194" s="32"/>
      <c r="G194" s="32"/>
      <c r="H194" s="32"/>
      <c r="I194" s="32"/>
      <c r="J194" s="32"/>
      <c r="K194" s="32">
        <f>IFERROR(__xludf.DUMMYFUNCTION("""COMPUTED_VALUE"""),100.0)</f>
        <v>100</v>
      </c>
      <c r="L194" s="32"/>
      <c r="M194" s="32"/>
      <c r="N194" s="32"/>
      <c r="O194" s="32"/>
      <c r="P194" s="32"/>
      <c r="Q194" s="32"/>
      <c r="R194" s="32"/>
      <c r="S194" s="32"/>
      <c r="T194" s="32"/>
      <c r="U194" s="32"/>
      <c r="V194" s="32"/>
      <c r="W194" s="32"/>
      <c r="X194" s="32"/>
      <c r="Y194" s="32"/>
      <c r="Z194" s="32"/>
    </row>
    <row r="195">
      <c r="A195" s="32" t="str">
        <f>IFERROR(__xludf.DUMMYFUNCTION("""COMPUTED_VALUE"""),"Megalodon (WD) (Enhanced)")</f>
        <v>Megalodon (WD) (Enhanced)</v>
      </c>
      <c r="B195" s="32"/>
      <c r="C195" s="32"/>
      <c r="D195" s="32"/>
      <c r="E195" s="32"/>
      <c r="F195" s="32"/>
      <c r="G195" s="32"/>
      <c r="H195" s="32"/>
      <c r="I195" s="32"/>
      <c r="J195" s="32"/>
      <c r="K195" s="32">
        <f>IFERROR(__xludf.DUMMYFUNCTION("""COMPUTED_VALUE"""),100.0)</f>
        <v>100</v>
      </c>
      <c r="L195" s="32"/>
      <c r="M195" s="32"/>
      <c r="N195" s="32"/>
      <c r="O195" s="32"/>
      <c r="P195" s="32"/>
      <c r="Q195" s="32"/>
      <c r="R195" s="32"/>
      <c r="S195" s="32"/>
      <c r="T195" s="32"/>
      <c r="U195" s="32"/>
      <c r="V195" s="32"/>
      <c r="W195" s="32"/>
      <c r="X195" s="32"/>
      <c r="Y195" s="32"/>
      <c r="Z195" s="32"/>
    </row>
    <row r="196">
      <c r="A196" s="32" t="str">
        <f>IFERROR(__xludf.DUMMYFUNCTION("""COMPUTED_VALUE"""),"Merk the undying sand Goblin")</f>
        <v>Merk the undying sand Goblin</v>
      </c>
      <c r="B196" s="32"/>
      <c r="C196" s="32">
        <f>IFERROR(__xludf.DUMMYFUNCTION("""COMPUTED_VALUE"""),100.0)</f>
        <v>100</v>
      </c>
      <c r="D196" s="32">
        <f>IFERROR(__xludf.DUMMYFUNCTION("""COMPUTED_VALUE"""),100.0)</f>
        <v>100</v>
      </c>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t="str">
        <f>IFERROR(__xludf.DUMMYFUNCTION("""COMPUTED_VALUE"""),"Mod ""The Evil Seahag From Hagstown""")</f>
        <v>Mod "The Evil Seahag From Hagstown"</v>
      </c>
      <c r="B197" s="32">
        <f>IFERROR(__xludf.DUMMYFUNCTION("""COMPUTED_VALUE"""),100.0)</f>
        <v>100</v>
      </c>
      <c r="C197" s="32"/>
      <c r="D197" s="32"/>
      <c r="E197" s="32"/>
      <c r="F197" s="32">
        <f>IFERROR(__xludf.DUMMYFUNCTION("""COMPUTED_VALUE"""),100.0)</f>
        <v>100</v>
      </c>
      <c r="G197" s="32"/>
      <c r="H197" s="32"/>
      <c r="I197" s="32">
        <f>IFERROR(__xludf.DUMMYFUNCTION("""COMPUTED_VALUE"""),100.0)</f>
        <v>100</v>
      </c>
      <c r="J197" s="32"/>
      <c r="K197" s="32"/>
      <c r="L197" s="32"/>
      <c r="M197" s="32"/>
      <c r="N197" s="32"/>
      <c r="O197" s="32"/>
      <c r="P197" s="32"/>
      <c r="Q197" s="32"/>
      <c r="R197" s="32"/>
      <c r="S197" s="32"/>
      <c r="T197" s="32">
        <f>IFERROR(__xludf.DUMMYFUNCTION("""COMPUTED_VALUE"""),100.0)</f>
        <v>100</v>
      </c>
      <c r="U197" s="32"/>
      <c r="V197" s="32"/>
      <c r="W197" s="32">
        <f>IFERROR(__xludf.DUMMYFUNCTION("""COMPUTED_VALUE"""),100.0)</f>
        <v>100</v>
      </c>
      <c r="X197" s="32"/>
      <c r="Y197" s="32"/>
      <c r="Z197" s="32"/>
    </row>
    <row r="198">
      <c r="A198" s="32" t="str">
        <f>IFERROR(__xludf.DUMMYFUNCTION("""COMPUTED_VALUE"""),"Moonlight Unicorn")</f>
        <v>Moonlight Unicorn</v>
      </c>
      <c r="B198" s="32"/>
      <c r="C198" s="32"/>
      <c r="D198" s="32"/>
      <c r="E198" s="32"/>
      <c r="F198" s="32"/>
      <c r="G198" s="32"/>
      <c r="H198" s="32"/>
      <c r="I198" s="32"/>
      <c r="J198" s="32"/>
      <c r="K198" s="32"/>
      <c r="L198" s="32"/>
      <c r="M198" s="32"/>
      <c r="N198" s="32"/>
      <c r="O198" s="32"/>
      <c r="P198" s="32"/>
      <c r="Q198" s="32"/>
      <c r="R198" s="32"/>
      <c r="S198" s="32"/>
      <c r="T198" s="32"/>
      <c r="U198" s="32"/>
      <c r="V198" s="32"/>
      <c r="W198" s="32">
        <f>IFERROR(__xludf.DUMMYFUNCTION("""COMPUTED_VALUE"""),100.0)</f>
        <v>100</v>
      </c>
      <c r="X198" s="32"/>
      <c r="Y198" s="32"/>
      <c r="Z198" s="32"/>
    </row>
    <row r="199">
      <c r="A199" s="32" t="str">
        <f>IFERROR(__xludf.DUMMYFUNCTION("""COMPUTED_VALUE"""),"Moonstone Dragon")</f>
        <v>Moonstone Dragon</v>
      </c>
      <c r="B199" s="32"/>
      <c r="C199" s="32">
        <f>IFERROR(__xludf.DUMMYFUNCTION("""COMPUTED_VALUE"""),100.0)</f>
        <v>100</v>
      </c>
      <c r="D199" s="32">
        <f>IFERROR(__xludf.DUMMYFUNCTION("""COMPUTED_VALUE"""),100.0)</f>
        <v>100</v>
      </c>
      <c r="E199" s="32"/>
      <c r="F199" s="32"/>
      <c r="G199" s="32"/>
      <c r="H199" s="32"/>
      <c r="I199" s="32"/>
      <c r="J199" s="32"/>
      <c r="K199" s="32"/>
      <c r="L199" s="32"/>
      <c r="M199" s="32"/>
      <c r="N199" s="32"/>
      <c r="O199" s="32"/>
      <c r="P199" s="32"/>
      <c r="Q199" s="32"/>
      <c r="R199" s="32"/>
      <c r="S199" s="32"/>
      <c r="T199" s="32"/>
      <c r="U199" s="32"/>
      <c r="V199" s="32"/>
      <c r="W199" s="32">
        <f>IFERROR(__xludf.DUMMYFUNCTION("""COMPUTED_VALUE"""),100.0)</f>
        <v>100</v>
      </c>
      <c r="X199" s="32"/>
      <c r="Y199" s="32"/>
      <c r="Z199" s="32"/>
    </row>
    <row r="200">
      <c r="A200" s="32" t="str">
        <f>IFERROR(__xludf.DUMMYFUNCTION("""COMPUTED_VALUE"""),"Mr. Skeleton")</f>
        <v>Mr. Skeleton</v>
      </c>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t="str">
        <f>IFERROR(__xludf.DUMMYFUNCTION("""COMPUTED_VALUE"""),"Multi Headed Chaotic Shadow Dragon")</f>
        <v>Multi Headed Chaotic Shadow Dragon</v>
      </c>
      <c r="B201" s="32">
        <f>IFERROR(__xludf.DUMMYFUNCTION("""COMPUTED_VALUE"""),100.0)</f>
        <v>100</v>
      </c>
      <c r="C201" s="32"/>
      <c r="D201" s="32"/>
      <c r="E201" s="32"/>
      <c r="F201" s="32">
        <f>IFERROR(__xludf.DUMMYFUNCTION("""COMPUTED_VALUE"""),100.0)</f>
        <v>100</v>
      </c>
      <c r="G201" s="32"/>
      <c r="H201" s="32"/>
      <c r="I201" s="32">
        <f>IFERROR(__xludf.DUMMYFUNCTION("""COMPUTED_VALUE"""),100.0)</f>
        <v>100</v>
      </c>
      <c r="J201" s="32"/>
      <c r="K201" s="32"/>
      <c r="L201" s="32"/>
      <c r="M201" s="32"/>
      <c r="N201" s="32"/>
      <c r="O201" s="32"/>
      <c r="P201" s="32"/>
      <c r="Q201" s="32"/>
      <c r="R201" s="32"/>
      <c r="S201" s="32"/>
      <c r="T201" s="32"/>
      <c r="U201" s="32"/>
      <c r="V201" s="32"/>
      <c r="W201" s="32"/>
      <c r="X201" s="32"/>
      <c r="Y201" s="32"/>
      <c r="Z201" s="32"/>
    </row>
    <row r="202">
      <c r="A202" s="32" t="str">
        <f>IFERROR(__xludf.DUMMYFUNCTION("""COMPUTED_VALUE"""),"Mummy Guardian")</f>
        <v>Mummy Guardian</v>
      </c>
      <c r="B202" s="32">
        <f>IFERROR(__xludf.DUMMYFUNCTION("""COMPUTED_VALUE"""),100.0)</f>
        <v>100</v>
      </c>
      <c r="C202" s="32"/>
      <c r="D202" s="32"/>
      <c r="E202" s="32"/>
      <c r="F202" s="32">
        <f>IFERROR(__xludf.DUMMYFUNCTION("""COMPUTED_VALUE"""),100.0)</f>
        <v>100</v>
      </c>
      <c r="G202" s="32"/>
      <c r="H202" s="32"/>
      <c r="I202" s="32"/>
      <c r="J202" s="32"/>
      <c r="K202" s="32"/>
      <c r="L202" s="32"/>
      <c r="M202" s="32"/>
      <c r="N202" s="32"/>
      <c r="O202" s="32"/>
      <c r="P202" s="32"/>
      <c r="Q202" s="32"/>
      <c r="R202" s="32"/>
      <c r="S202" s="32"/>
      <c r="T202" s="32"/>
      <c r="U202" s="32"/>
      <c r="V202" s="32"/>
      <c r="W202" s="32"/>
      <c r="X202" s="32"/>
      <c r="Y202" s="32"/>
      <c r="Z202" s="32"/>
    </row>
    <row r="203">
      <c r="A203" s="32" t="str">
        <f>IFERROR(__xludf.DUMMYFUNCTION("""COMPUTED_VALUE"""),"Mummy King")</f>
        <v>Mummy King</v>
      </c>
      <c r="B203" s="32">
        <f>IFERROR(__xludf.DUMMYFUNCTION("""COMPUTED_VALUE"""),100.0)</f>
        <v>100</v>
      </c>
      <c r="C203" s="32"/>
      <c r="D203" s="32"/>
      <c r="E203" s="32"/>
      <c r="F203" s="32">
        <f>IFERROR(__xludf.DUMMYFUNCTION("""COMPUTED_VALUE"""),100.0)</f>
        <v>100</v>
      </c>
      <c r="G203" s="32"/>
      <c r="H203" s="32"/>
      <c r="I203" s="32"/>
      <c r="J203" s="32"/>
      <c r="K203" s="32"/>
      <c r="L203" s="32"/>
      <c r="M203" s="32"/>
      <c r="N203" s="32"/>
      <c r="O203" s="32"/>
      <c r="P203" s="32"/>
      <c r="Q203" s="32"/>
      <c r="R203" s="32"/>
      <c r="S203" s="32"/>
      <c r="T203" s="32"/>
      <c r="U203" s="32"/>
      <c r="V203" s="32"/>
      <c r="W203" s="32"/>
      <c r="X203" s="32"/>
      <c r="Y203" s="32"/>
      <c r="Z203" s="32"/>
    </row>
    <row r="204">
      <c r="A204" s="32" t="str">
        <f>IFERROR(__xludf.DUMMYFUNCTION("""COMPUTED_VALUE"""),"Mummy Queen")</f>
        <v>Mummy Queen</v>
      </c>
      <c r="B204" s="32">
        <f>IFERROR(__xludf.DUMMYFUNCTION("""COMPUTED_VALUE"""),100.0)</f>
        <v>100</v>
      </c>
      <c r="C204" s="32"/>
      <c r="D204" s="32"/>
      <c r="E204" s="32"/>
      <c r="F204" s="32">
        <f>IFERROR(__xludf.DUMMYFUNCTION("""COMPUTED_VALUE"""),100.0)</f>
        <v>100</v>
      </c>
      <c r="G204" s="32"/>
      <c r="H204" s="32"/>
      <c r="I204" s="32"/>
      <c r="J204" s="32"/>
      <c r="K204" s="32"/>
      <c r="L204" s="32"/>
      <c r="M204" s="32"/>
      <c r="N204" s="32"/>
      <c r="O204" s="32"/>
      <c r="P204" s="32"/>
      <c r="Q204" s="32"/>
      <c r="R204" s="32"/>
      <c r="S204" s="32"/>
      <c r="T204" s="32"/>
      <c r="U204" s="32"/>
      <c r="V204" s="32"/>
      <c r="W204" s="32"/>
      <c r="X204" s="32"/>
      <c r="Y204" s="32"/>
      <c r="Z204" s="32"/>
    </row>
    <row r="205">
      <c r="A205" s="32" t="str">
        <f>IFERROR(__xludf.DUMMYFUNCTION("""COMPUTED_VALUE"""),"Mummy Soldier")</f>
        <v>Mummy Soldier</v>
      </c>
      <c r="B205" s="32">
        <f>IFERROR(__xludf.DUMMYFUNCTION("""COMPUTED_VALUE"""),100.0)</f>
        <v>100</v>
      </c>
      <c r="C205" s="32"/>
      <c r="D205" s="32"/>
      <c r="E205" s="32"/>
      <c r="F205" s="32">
        <f>IFERROR(__xludf.DUMMYFUNCTION("""COMPUTED_VALUE"""),100.0)</f>
        <v>100</v>
      </c>
      <c r="G205" s="32"/>
      <c r="H205" s="32"/>
      <c r="I205" s="32"/>
      <c r="J205" s="32"/>
      <c r="K205" s="32"/>
      <c r="L205" s="32"/>
      <c r="M205" s="32"/>
      <c r="N205" s="32"/>
      <c r="O205" s="32"/>
      <c r="P205" s="32"/>
      <c r="Q205" s="32"/>
      <c r="R205" s="32"/>
      <c r="S205" s="32"/>
      <c r="T205" s="32"/>
      <c r="U205" s="32"/>
      <c r="V205" s="32"/>
      <c r="W205" s="32"/>
      <c r="X205" s="32"/>
      <c r="Y205" s="32"/>
      <c r="Z205" s="32"/>
    </row>
    <row r="206">
      <c r="A206" s="32" t="str">
        <f>IFERROR(__xludf.DUMMYFUNCTION("""COMPUTED_VALUE"""),"Mummy Warrior")</f>
        <v>Mummy Warrior</v>
      </c>
      <c r="B206" s="32">
        <f>IFERROR(__xludf.DUMMYFUNCTION("""COMPUTED_VALUE"""),100.0)</f>
        <v>100</v>
      </c>
      <c r="C206" s="32"/>
      <c r="D206" s="32"/>
      <c r="E206" s="32"/>
      <c r="F206" s="32">
        <f>IFERROR(__xludf.DUMMYFUNCTION("""COMPUTED_VALUE"""),100.0)</f>
        <v>100</v>
      </c>
      <c r="G206" s="32"/>
      <c r="H206" s="32"/>
      <c r="I206" s="32"/>
      <c r="J206" s="32"/>
      <c r="K206" s="32"/>
      <c r="L206" s="32"/>
      <c r="M206" s="32"/>
      <c r="N206" s="32"/>
      <c r="O206" s="32"/>
      <c r="P206" s="32"/>
      <c r="Q206" s="32"/>
      <c r="R206" s="32"/>
      <c r="S206" s="32"/>
      <c r="T206" s="32"/>
      <c r="U206" s="32"/>
      <c r="V206" s="32"/>
      <c r="W206" s="32"/>
      <c r="X206" s="32"/>
      <c r="Y206" s="32"/>
      <c r="Z206" s="32"/>
    </row>
    <row r="207">
      <c r="A207" s="32" t="str">
        <f>IFERROR(__xludf.DUMMYFUNCTION("""COMPUTED_VALUE"""),"Octopi (WD)")</f>
        <v>Octopi (WD)</v>
      </c>
      <c r="B207" s="32"/>
      <c r="C207" s="32"/>
      <c r="D207" s="32"/>
      <c r="E207" s="32"/>
      <c r="F207" s="32"/>
      <c r="G207" s="32"/>
      <c r="H207" s="32"/>
      <c r="I207" s="32"/>
      <c r="J207" s="32"/>
      <c r="K207" s="32">
        <f>IFERROR(__xludf.DUMMYFUNCTION("""COMPUTED_VALUE"""),100.0)</f>
        <v>100</v>
      </c>
      <c r="L207" s="32"/>
      <c r="M207" s="32"/>
      <c r="N207" s="32"/>
      <c r="O207" s="32"/>
      <c r="P207" s="32"/>
      <c r="Q207" s="32"/>
      <c r="R207" s="32"/>
      <c r="S207" s="32"/>
      <c r="T207" s="32"/>
      <c r="U207" s="32"/>
      <c r="V207" s="32"/>
      <c r="W207" s="32"/>
      <c r="X207" s="32"/>
      <c r="Y207" s="32"/>
      <c r="Z207" s="32"/>
    </row>
    <row r="208">
      <c r="A208" s="32" t="str">
        <f>IFERROR(__xludf.DUMMYFUNCTION("""COMPUTED_VALUE"""),"Octopi (WD) (Enhanced)")</f>
        <v>Octopi (WD) (Enhanced)</v>
      </c>
      <c r="B208" s="32"/>
      <c r="C208" s="32"/>
      <c r="D208" s="32">
        <f>IFERROR(__xludf.DUMMYFUNCTION("""COMPUTED_VALUE"""),100.0)</f>
        <v>100</v>
      </c>
      <c r="E208" s="32"/>
      <c r="F208" s="32"/>
      <c r="G208" s="32"/>
      <c r="H208" s="32"/>
      <c r="I208" s="32"/>
      <c r="J208" s="32"/>
      <c r="K208" s="32">
        <f>IFERROR(__xludf.DUMMYFUNCTION("""COMPUTED_VALUE"""),100.0)</f>
        <v>100</v>
      </c>
      <c r="L208" s="32"/>
      <c r="M208" s="32"/>
      <c r="N208" s="32"/>
      <c r="O208" s="32"/>
      <c r="P208" s="32"/>
      <c r="Q208" s="32"/>
      <c r="R208" s="32"/>
      <c r="S208" s="32"/>
      <c r="T208" s="32"/>
      <c r="U208" s="32"/>
      <c r="V208" s="32"/>
      <c r="W208" s="32"/>
      <c r="X208" s="32"/>
      <c r="Y208" s="32"/>
      <c r="Z208" s="32"/>
    </row>
    <row r="209">
      <c r="A209" s="32" t="str">
        <f>IFERROR(__xludf.DUMMYFUNCTION("""COMPUTED_VALUE"""),"Ox")</f>
        <v>Ox</v>
      </c>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t="str">
        <f>IFERROR(__xludf.DUMMYFUNCTION("""COMPUTED_VALUE"""),"Phantom")</f>
        <v>Phantom</v>
      </c>
      <c r="B210" s="32"/>
      <c r="C210" s="32"/>
      <c r="D210" s="32"/>
      <c r="E210" s="32"/>
      <c r="F210" s="32">
        <f>IFERROR(__xludf.DUMMYFUNCTION("""COMPUTED_VALUE"""),100.0)</f>
        <v>100</v>
      </c>
      <c r="G210" s="32"/>
      <c r="H210" s="32"/>
      <c r="I210" s="32"/>
      <c r="J210" s="32"/>
      <c r="K210" s="32"/>
      <c r="L210" s="32"/>
      <c r="M210" s="32"/>
      <c r="N210" s="32"/>
      <c r="O210" s="32"/>
      <c r="P210" s="32"/>
      <c r="Q210" s="32"/>
      <c r="R210" s="32"/>
      <c r="S210" s="32"/>
      <c r="T210" s="32"/>
      <c r="U210" s="32"/>
      <c r="V210" s="32"/>
      <c r="W210" s="32"/>
      <c r="X210" s="32"/>
      <c r="Y210" s="32"/>
      <c r="Z210" s="32"/>
    </row>
    <row r="211">
      <c r="A211" s="32" t="str">
        <f>IFERROR(__xludf.DUMMYFUNCTION("""COMPUTED_VALUE"""),"Phantom of lord dreadful")</f>
        <v>Phantom of lord dreadful</v>
      </c>
      <c r="B211" s="32">
        <f>IFERROR(__xludf.DUMMYFUNCTION("""COMPUTED_VALUE"""),100.0)</f>
        <v>100</v>
      </c>
      <c r="C211" s="32"/>
      <c r="D211" s="32"/>
      <c r="E211" s="32"/>
      <c r="F211" s="32">
        <f>IFERROR(__xludf.DUMMYFUNCTION("""COMPUTED_VALUE"""),100.0)</f>
        <v>100</v>
      </c>
      <c r="G211" s="32"/>
      <c r="H211" s="32"/>
      <c r="I211" s="32"/>
      <c r="J211" s="32"/>
      <c r="K211" s="32"/>
      <c r="L211" s="32"/>
      <c r="M211" s="32"/>
      <c r="N211" s="32"/>
      <c r="O211" s="32"/>
      <c r="P211" s="32"/>
      <c r="Q211" s="32"/>
      <c r="R211" s="32"/>
      <c r="S211" s="32"/>
      <c r="T211" s="32"/>
      <c r="U211" s="32"/>
      <c r="V211" s="32"/>
      <c r="W211" s="32"/>
      <c r="X211" s="32"/>
      <c r="Y211" s="32"/>
      <c r="Z211" s="32"/>
    </row>
    <row r="212">
      <c r="A212" s="32" t="str">
        <f>IFERROR(__xludf.DUMMYFUNCTION("""COMPUTED_VALUE"""),"Piranhas (WD)")</f>
        <v>Piranhas (WD)</v>
      </c>
      <c r="B212" s="32"/>
      <c r="C212" s="32"/>
      <c r="D212" s="32"/>
      <c r="E212" s="32"/>
      <c r="F212" s="32"/>
      <c r="G212" s="32"/>
      <c r="H212" s="32"/>
      <c r="I212" s="32"/>
      <c r="J212" s="32"/>
      <c r="K212" s="32">
        <f>IFERROR(__xludf.DUMMYFUNCTION("""COMPUTED_VALUE"""),100.0)</f>
        <v>100</v>
      </c>
      <c r="L212" s="32"/>
      <c r="M212" s="32"/>
      <c r="N212" s="32"/>
      <c r="O212" s="32"/>
      <c r="P212" s="32"/>
      <c r="Q212" s="32"/>
      <c r="R212" s="32"/>
      <c r="S212" s="32"/>
      <c r="T212" s="32"/>
      <c r="U212" s="32"/>
      <c r="V212" s="32"/>
      <c r="W212" s="32"/>
      <c r="X212" s="32"/>
      <c r="Y212" s="32"/>
      <c r="Z212" s="32"/>
    </row>
    <row r="213">
      <c r="A213" s="32" t="str">
        <f>IFERROR(__xludf.DUMMYFUNCTION("""COMPUTED_VALUE"""),"Piranhas (WD) (Enhanced)")</f>
        <v>Piranhas (WD) (Enhanced)</v>
      </c>
      <c r="B213" s="32"/>
      <c r="C213" s="32"/>
      <c r="D213" s="32"/>
      <c r="E213" s="32"/>
      <c r="F213" s="32"/>
      <c r="G213" s="32"/>
      <c r="H213" s="32"/>
      <c r="I213" s="32"/>
      <c r="J213" s="32"/>
      <c r="K213" s="32">
        <f>IFERROR(__xludf.DUMMYFUNCTION("""COMPUTED_VALUE"""),100.0)</f>
        <v>100</v>
      </c>
      <c r="L213" s="32"/>
      <c r="M213" s="32"/>
      <c r="N213" s="32"/>
      <c r="O213" s="32"/>
      <c r="P213" s="32"/>
      <c r="Q213" s="32"/>
      <c r="R213" s="32"/>
      <c r="S213" s="32"/>
      <c r="T213" s="32"/>
      <c r="U213" s="32"/>
      <c r="V213" s="32"/>
      <c r="W213" s="32"/>
      <c r="X213" s="32"/>
      <c r="Y213" s="32"/>
      <c r="Z213" s="32"/>
    </row>
    <row r="214">
      <c r="A214" s="32" t="str">
        <f>IFERROR(__xludf.DUMMYFUNCTION("""COMPUTED_VALUE"""),"Poison Warrior")</f>
        <v>Poison Warrior</v>
      </c>
      <c r="B214" s="32">
        <f>IFERROR(__xludf.DUMMYFUNCTION("""COMPUTED_VALUE"""),100.0)</f>
        <v>100</v>
      </c>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t="str">
        <f>IFERROR(__xludf.DUMMYFUNCTION("""COMPUTED_VALUE"""),"Possessed Pumpkin")</f>
        <v>Possessed Pumpkin</v>
      </c>
      <c r="B215" s="32"/>
      <c r="C215" s="32"/>
      <c r="D215" s="32"/>
      <c r="E215" s="32"/>
      <c r="F215" s="32">
        <f>IFERROR(__xludf.DUMMYFUNCTION("""COMPUTED_VALUE"""),100.0)</f>
        <v>100</v>
      </c>
      <c r="G215" s="32"/>
      <c r="H215" s="32"/>
      <c r="I215" s="32"/>
      <c r="J215" s="32"/>
      <c r="K215" s="32"/>
      <c r="L215" s="32"/>
      <c r="M215" s="32"/>
      <c r="N215" s="32"/>
      <c r="O215" s="32"/>
      <c r="P215" s="32"/>
      <c r="Q215" s="32"/>
      <c r="R215" s="32"/>
      <c r="S215" s="32"/>
      <c r="T215" s="32"/>
      <c r="U215" s="32"/>
      <c r="V215" s="32"/>
      <c r="W215" s="32"/>
      <c r="X215" s="32"/>
      <c r="Y215" s="32"/>
      <c r="Z215" s="32"/>
    </row>
    <row r="216">
      <c r="A216" s="32" t="str">
        <f>IFERROR(__xludf.DUMMYFUNCTION("""COMPUTED_VALUE"""),"Possesed Clown")</f>
        <v>Possesed Clown</v>
      </c>
      <c r="B216" s="32"/>
      <c r="C216" s="32"/>
      <c r="D216" s="32"/>
      <c r="E216" s="32"/>
      <c r="F216" s="32">
        <f>IFERROR(__xludf.DUMMYFUNCTION("""COMPUTED_VALUE"""),100.0)</f>
        <v>100</v>
      </c>
      <c r="G216" s="32"/>
      <c r="H216" s="32"/>
      <c r="I216" s="32"/>
      <c r="J216" s="32"/>
      <c r="K216" s="32"/>
      <c r="L216" s="32"/>
      <c r="M216" s="32"/>
      <c r="N216" s="32"/>
      <c r="O216" s="32"/>
      <c r="P216" s="32"/>
      <c r="Q216" s="32"/>
      <c r="R216" s="32"/>
      <c r="S216" s="32"/>
      <c r="T216" s="32"/>
      <c r="U216" s="32"/>
      <c r="V216" s="32"/>
      <c r="W216" s="32"/>
      <c r="X216" s="32"/>
      <c r="Y216" s="32"/>
      <c r="Z216" s="32"/>
    </row>
    <row r="217">
      <c r="A217" s="32" t="str">
        <f>IFERROR(__xludf.DUMMYFUNCTION("""COMPUTED_VALUE"""),"Pumpkin King")</f>
        <v>Pumpkin King</v>
      </c>
      <c r="B217" s="32"/>
      <c r="C217" s="32"/>
      <c r="D217" s="32"/>
      <c r="E217" s="32"/>
      <c r="F217" s="32">
        <f>IFERROR(__xludf.DUMMYFUNCTION("""COMPUTED_VALUE"""),100.0)</f>
        <v>100</v>
      </c>
      <c r="G217" s="32"/>
      <c r="H217" s="32"/>
      <c r="I217" s="32"/>
      <c r="J217" s="32"/>
      <c r="K217" s="32"/>
      <c r="L217" s="32"/>
      <c r="M217" s="32"/>
      <c r="N217" s="32"/>
      <c r="O217" s="32"/>
      <c r="P217" s="32"/>
      <c r="Q217" s="32"/>
      <c r="R217" s="32"/>
      <c r="S217" s="32"/>
      <c r="T217" s="32"/>
      <c r="U217" s="32"/>
      <c r="V217" s="32"/>
      <c r="W217" s="32"/>
      <c r="X217" s="32"/>
      <c r="Y217" s="32"/>
      <c r="Z217" s="32"/>
    </row>
    <row r="218">
      <c r="A218" s="32" t="str">
        <f>IFERROR(__xludf.DUMMYFUNCTION("""COMPUTED_VALUE"""),"Pumpkin Lord")</f>
        <v>Pumpkin Lord</v>
      </c>
      <c r="B218" s="32"/>
      <c r="C218" s="32"/>
      <c r="D218" s="32"/>
      <c r="E218" s="32"/>
      <c r="F218" s="32">
        <f>IFERROR(__xludf.DUMMYFUNCTION("""COMPUTED_VALUE"""),100.0)</f>
        <v>100</v>
      </c>
      <c r="G218" s="32"/>
      <c r="H218" s="32"/>
      <c r="I218" s="32"/>
      <c r="J218" s="32"/>
      <c r="K218" s="32"/>
      <c r="L218" s="32"/>
      <c r="M218" s="32"/>
      <c r="N218" s="32"/>
      <c r="O218" s="32"/>
      <c r="P218" s="32"/>
      <c r="Q218" s="32"/>
      <c r="R218" s="32"/>
      <c r="S218" s="32"/>
      <c r="T218" s="32"/>
      <c r="U218" s="32"/>
      <c r="V218" s="32"/>
      <c r="W218" s="32"/>
      <c r="X218" s="32"/>
      <c r="Y218" s="32"/>
      <c r="Z218" s="32"/>
    </row>
    <row r="219">
      <c r="A219" s="32" t="str">
        <f>IFERROR(__xludf.DUMMYFUNCTION("""COMPUTED_VALUE"""),"Puppet")</f>
        <v>Puppet</v>
      </c>
      <c r="B219" s="32">
        <f>IFERROR(__xludf.DUMMYFUNCTION("""COMPUTED_VALUE"""),100.0)</f>
        <v>100</v>
      </c>
      <c r="C219" s="32"/>
      <c r="D219" s="32"/>
      <c r="E219" s="32"/>
      <c r="F219" s="32">
        <f>IFERROR(__xludf.DUMMYFUNCTION("""COMPUTED_VALUE"""),100.0)</f>
        <v>100</v>
      </c>
      <c r="G219" s="32"/>
      <c r="H219" s="32"/>
      <c r="I219" s="32">
        <f>IFERROR(__xludf.DUMMYFUNCTION("""COMPUTED_VALUE"""),100.0)</f>
        <v>100</v>
      </c>
      <c r="J219" s="32"/>
      <c r="K219" s="32"/>
      <c r="L219" s="32"/>
      <c r="M219" s="32"/>
      <c r="N219" s="32"/>
      <c r="O219" s="32"/>
      <c r="P219" s="32"/>
      <c r="Q219" s="32"/>
      <c r="R219" s="32"/>
      <c r="S219" s="32"/>
      <c r="T219" s="32"/>
      <c r="U219" s="32"/>
      <c r="V219" s="32"/>
      <c r="W219" s="32"/>
      <c r="X219" s="32"/>
      <c r="Y219" s="32"/>
      <c r="Z219" s="32"/>
    </row>
    <row r="220">
      <c r="A220" s="32" t="str">
        <f>IFERROR(__xludf.DUMMYFUNCTION("""COMPUTED_VALUE"""),"Master Inugima of the Amphibuki")</f>
        <v>Master Inugima of the Amphibuki</v>
      </c>
      <c r="B220" s="32"/>
      <c r="C220" s="32"/>
      <c r="D220" s="32"/>
      <c r="E220" s="32"/>
      <c r="F220" s="32">
        <f>IFERROR(__xludf.DUMMYFUNCTION("""COMPUTED_VALUE"""),50.0)</f>
        <v>50</v>
      </c>
      <c r="G220" s="32"/>
      <c r="H220" s="32"/>
      <c r="I220" s="32">
        <f>IFERROR(__xludf.DUMMYFUNCTION("""COMPUTED_VALUE"""),50.0)</f>
        <v>50</v>
      </c>
      <c r="J220" s="32"/>
      <c r="K220" s="32"/>
      <c r="L220" s="32"/>
      <c r="M220" s="32"/>
      <c r="N220" s="32"/>
      <c r="O220" s="32"/>
      <c r="P220" s="32"/>
      <c r="Q220" s="32"/>
      <c r="R220" s="32"/>
      <c r="S220" s="32"/>
      <c r="T220" s="32"/>
      <c r="U220" s="32"/>
      <c r="V220" s="32"/>
      <c r="W220" s="32"/>
      <c r="X220" s="32"/>
      <c r="Y220" s="32"/>
      <c r="Z220" s="32"/>
    </row>
    <row r="221">
      <c r="A221" s="32" t="str">
        <f>IFERROR(__xludf.DUMMYFUNCTION("""COMPUTED_VALUE"""),"Red Footed Beast")</f>
        <v>Red Footed Beast</v>
      </c>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t="str">
        <f>IFERROR(__xludf.DUMMYFUNCTION("""COMPUTED_VALUE"""),"Red Soul")</f>
        <v>Red Soul</v>
      </c>
      <c r="B222" s="32"/>
      <c r="C222" s="32">
        <f>IFERROR(__xludf.DUMMYFUNCTION("""COMPUTED_VALUE"""),100.0)</f>
        <v>100</v>
      </c>
      <c r="D222" s="32"/>
      <c r="E222" s="32"/>
      <c r="F222" s="32">
        <f>IFERROR(__xludf.DUMMYFUNCTION("""COMPUTED_VALUE"""),100.0)</f>
        <v>100</v>
      </c>
      <c r="G222" s="32"/>
      <c r="H222" s="32"/>
      <c r="I222" s="32"/>
      <c r="J222" s="32"/>
      <c r="K222" s="32"/>
      <c r="L222" s="32"/>
      <c r="M222" s="32"/>
      <c r="N222" s="32"/>
      <c r="O222" s="32"/>
      <c r="P222" s="32"/>
      <c r="Q222" s="32"/>
      <c r="R222" s="32"/>
      <c r="S222" s="32"/>
      <c r="T222" s="32"/>
      <c r="U222" s="32"/>
      <c r="V222" s="32"/>
      <c r="W222" s="32"/>
      <c r="X222" s="32"/>
      <c r="Y222" s="32"/>
      <c r="Z222" s="32"/>
    </row>
    <row r="223">
      <c r="A223" s="32" t="str">
        <f>IFERROR(__xludf.DUMMYFUNCTION("""COMPUTED_VALUE"""),"Rhino")</f>
        <v>Rhino</v>
      </c>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t="str">
        <f>IFERROR(__xludf.DUMMYFUNCTION("""COMPUTED_VALUE"""),"Robotic Guardian of the 5th, No. 1")</f>
        <v>Robotic Guardian of the 5th, No. 1</v>
      </c>
      <c r="B224" s="32">
        <f>IFERROR(__xludf.DUMMYFUNCTION("""COMPUTED_VALUE"""),100.0)</f>
        <v>100</v>
      </c>
      <c r="C224" s="32">
        <f>IFERROR(__xludf.DUMMYFUNCTION("""COMPUTED_VALUE"""),100.0)</f>
        <v>100</v>
      </c>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t="str">
        <f>IFERROR(__xludf.DUMMYFUNCTION("""COMPUTED_VALUE"""),"Robotic Guardian of the 5th, No. 2")</f>
        <v>Robotic Guardian of the 5th, No. 2</v>
      </c>
      <c r="B225" s="32">
        <f>IFERROR(__xludf.DUMMYFUNCTION("""COMPUTED_VALUE"""),100.0)</f>
        <v>100</v>
      </c>
      <c r="C225" s="32">
        <f>IFERROR(__xludf.DUMMYFUNCTION("""COMPUTED_VALUE"""),100.0)</f>
        <v>100</v>
      </c>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t="str">
        <f>IFERROR(__xludf.DUMMYFUNCTION("""COMPUTED_VALUE"""),"Robotic Guardian of the 5th, No. 3")</f>
        <v>Robotic Guardian of the 5th, No. 3</v>
      </c>
      <c r="B226" s="32">
        <f>IFERROR(__xludf.DUMMYFUNCTION("""COMPUTED_VALUE"""),100.0)</f>
        <v>100</v>
      </c>
      <c r="C226" s="32">
        <f>IFERROR(__xludf.DUMMYFUNCTION("""COMPUTED_VALUE"""),100.0)</f>
        <v>100</v>
      </c>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t="str">
        <f>IFERROR(__xludf.DUMMYFUNCTION("""COMPUTED_VALUE"""),"Robotic Guardian of the 5th, No. 4")</f>
        <v>Robotic Guardian of the 5th, No. 4</v>
      </c>
      <c r="B227" s="32">
        <f>IFERROR(__xludf.DUMMYFUNCTION("""COMPUTED_VALUE"""),100.0)</f>
        <v>100</v>
      </c>
      <c r="C227" s="32">
        <f>IFERROR(__xludf.DUMMYFUNCTION("""COMPUTED_VALUE"""),100.0)</f>
        <v>100</v>
      </c>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t="str">
        <f>IFERROR(__xludf.DUMMYFUNCTION("""COMPUTED_VALUE"""),"Rock Snake")</f>
        <v>Rock Snake</v>
      </c>
      <c r="B228" s="32"/>
      <c r="C228" s="32">
        <f>IFERROR(__xludf.DUMMYFUNCTION("""COMPUTED_VALUE"""),100.0)</f>
        <v>100</v>
      </c>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t="str">
        <f>IFERROR(__xludf.DUMMYFUNCTION("""COMPUTED_VALUE"""),"Rooster")</f>
        <v>Rooster</v>
      </c>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t="str">
        <f>IFERROR(__xludf.DUMMYFUNCTION("""COMPUTED_VALUE"""),"Rowboat")</f>
        <v>Rowboat</v>
      </c>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t="str">
        <f>IFERROR(__xludf.DUMMYFUNCTION("""COMPUTED_VALUE"""),"Ruby Dragon")</f>
        <v>Ruby Dragon</v>
      </c>
      <c r="B231" s="32"/>
      <c r="C231" s="32">
        <f>IFERROR(__xludf.DUMMYFUNCTION("""COMPUTED_VALUE"""),100.0)</f>
        <v>100</v>
      </c>
      <c r="D231" s="32">
        <f>IFERROR(__xludf.DUMMYFUNCTION("""COMPUTED_VALUE"""),100.0)</f>
        <v>100</v>
      </c>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t="str">
        <f>IFERROR(__xludf.DUMMYFUNCTION("""COMPUTED_VALUE"""),"Saber Toothed Cat")</f>
        <v>Saber Toothed Cat</v>
      </c>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t="str">
        <f>IFERROR(__xludf.DUMMYFUNCTION("""COMPUTED_VALUE"""),"Sandmite")</f>
        <v>Sandmite</v>
      </c>
      <c r="B233" s="32"/>
      <c r="C233" s="32">
        <f>IFERROR(__xludf.DUMMYFUNCTION("""COMPUTED_VALUE"""),100.0)</f>
        <v>100</v>
      </c>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t="str">
        <f>IFERROR(__xludf.DUMMYFUNCTION("""COMPUTED_VALUE"""),"Sapphire Dragon")</f>
        <v>Sapphire Dragon</v>
      </c>
      <c r="B234" s="32"/>
      <c r="C234" s="32"/>
      <c r="D234" s="32">
        <f>IFERROR(__xludf.DUMMYFUNCTION("""COMPUTED_VALUE"""),100.0)</f>
        <v>100</v>
      </c>
      <c r="E234" s="32"/>
      <c r="F234" s="32"/>
      <c r="G234" s="32"/>
      <c r="H234" s="32"/>
      <c r="I234" s="32"/>
      <c r="J234" s="32"/>
      <c r="K234" s="32">
        <f>IFERROR(__xludf.DUMMYFUNCTION("""COMPUTED_VALUE"""),100.0)</f>
        <v>100</v>
      </c>
      <c r="L234" s="32"/>
      <c r="M234" s="32"/>
      <c r="N234" s="32"/>
      <c r="O234" s="32"/>
      <c r="P234" s="32"/>
      <c r="Q234" s="32"/>
      <c r="R234" s="32"/>
      <c r="S234" s="32"/>
      <c r="T234" s="32"/>
      <c r="U234" s="32"/>
      <c r="V234" s="32"/>
      <c r="W234" s="32"/>
      <c r="X234" s="32"/>
      <c r="Y234" s="32"/>
      <c r="Z234" s="32"/>
    </row>
    <row r="235">
      <c r="A235" s="32" t="str">
        <f>IFERROR(__xludf.DUMMYFUNCTION("""COMPUTED_VALUE"""),"Sea Serpent (WD)")</f>
        <v>Sea Serpent (WD)</v>
      </c>
      <c r="B235" s="32"/>
      <c r="C235" s="32"/>
      <c r="D235" s="32"/>
      <c r="E235" s="32"/>
      <c r="F235" s="32"/>
      <c r="G235" s="32"/>
      <c r="H235" s="32"/>
      <c r="I235" s="32"/>
      <c r="J235" s="32"/>
      <c r="K235" s="32">
        <f>IFERROR(__xludf.DUMMYFUNCTION("""COMPUTED_VALUE"""),100.0)</f>
        <v>100</v>
      </c>
      <c r="L235" s="32"/>
      <c r="M235" s="32"/>
      <c r="N235" s="32"/>
      <c r="O235" s="32"/>
      <c r="P235" s="32"/>
      <c r="Q235" s="32"/>
      <c r="R235" s="32"/>
      <c r="S235" s="32"/>
      <c r="T235" s="32"/>
      <c r="U235" s="32"/>
      <c r="V235" s="32"/>
      <c r="W235" s="32"/>
      <c r="X235" s="32"/>
      <c r="Y235" s="32"/>
      <c r="Z235" s="32"/>
    </row>
    <row r="236">
      <c r="A236" s="32" t="str">
        <f>IFERROR(__xludf.DUMMYFUNCTION("""COMPUTED_VALUE"""),"Sea Serpent (WD) (Enhanced)")</f>
        <v>Sea Serpent (WD) (Enhanced)</v>
      </c>
      <c r="B236" s="32"/>
      <c r="C236" s="32"/>
      <c r="D236" s="32"/>
      <c r="E236" s="32"/>
      <c r="F236" s="32"/>
      <c r="G236" s="32"/>
      <c r="H236" s="32"/>
      <c r="I236" s="32"/>
      <c r="J236" s="32"/>
      <c r="K236" s="32">
        <f>IFERROR(__xludf.DUMMYFUNCTION("""COMPUTED_VALUE"""),100.0)</f>
        <v>100</v>
      </c>
      <c r="L236" s="32"/>
      <c r="M236" s="32"/>
      <c r="N236" s="32"/>
      <c r="O236" s="32"/>
      <c r="P236" s="32"/>
      <c r="Q236" s="32"/>
      <c r="R236" s="32"/>
      <c r="S236" s="32"/>
      <c r="T236" s="32"/>
      <c r="U236" s="32"/>
      <c r="V236" s="32"/>
      <c r="W236" s="32"/>
      <c r="X236" s="32"/>
      <c r="Y236" s="32"/>
      <c r="Z236" s="32"/>
    </row>
    <row r="237">
      <c r="A237" s="32" t="str">
        <f>IFERROR(__xludf.DUMMYFUNCTION("""COMPUTED_VALUE"""),"Sea Worm (WD)")</f>
        <v>Sea Worm (WD)</v>
      </c>
      <c r="B237" s="32"/>
      <c r="C237" s="32"/>
      <c r="D237" s="32"/>
      <c r="E237" s="32"/>
      <c r="F237" s="32"/>
      <c r="G237" s="32"/>
      <c r="H237" s="32"/>
      <c r="I237" s="32"/>
      <c r="J237" s="32"/>
      <c r="K237" s="32">
        <f>IFERROR(__xludf.DUMMYFUNCTION("""COMPUTED_VALUE"""),100.0)</f>
        <v>100</v>
      </c>
      <c r="L237" s="32"/>
      <c r="M237" s="32"/>
      <c r="N237" s="32"/>
      <c r="O237" s="32"/>
      <c r="P237" s="32"/>
      <c r="Q237" s="32"/>
      <c r="R237" s="32"/>
      <c r="S237" s="32"/>
      <c r="T237" s="32"/>
      <c r="U237" s="32"/>
      <c r="V237" s="32"/>
      <c r="W237" s="32"/>
      <c r="X237" s="32"/>
      <c r="Y237" s="32"/>
      <c r="Z237" s="32"/>
    </row>
    <row r="238">
      <c r="A238" s="32" t="str">
        <f>IFERROR(__xludf.DUMMYFUNCTION("""COMPUTED_VALUE"""),"Sea Worm (WD) (Enhanced)")</f>
        <v>Sea Worm (WD) (Enhanced)</v>
      </c>
      <c r="B238" s="32"/>
      <c r="C238" s="32"/>
      <c r="D238" s="32"/>
      <c r="E238" s="32"/>
      <c r="F238" s="32"/>
      <c r="G238" s="32"/>
      <c r="H238" s="32"/>
      <c r="I238" s="32"/>
      <c r="J238" s="32"/>
      <c r="K238" s="32">
        <f>IFERROR(__xludf.DUMMYFUNCTION("""COMPUTED_VALUE"""),100.0)</f>
        <v>100</v>
      </c>
      <c r="L238" s="32"/>
      <c r="M238" s="32"/>
      <c r="N238" s="32"/>
      <c r="O238" s="32"/>
      <c r="P238" s="32"/>
      <c r="Q238" s="32"/>
      <c r="R238" s="32"/>
      <c r="S238" s="32"/>
      <c r="T238" s="32"/>
      <c r="U238" s="32"/>
      <c r="V238" s="32"/>
      <c r="W238" s="32"/>
      <c r="X238" s="32"/>
      <c r="Y238" s="32"/>
      <c r="Z238" s="32"/>
    </row>
    <row r="239">
      <c r="A239" s="32" t="str">
        <f>IFERROR(__xludf.DUMMYFUNCTION("""COMPUTED_VALUE"""),"Seraph")</f>
        <v>Seraph</v>
      </c>
      <c r="B239" s="32"/>
      <c r="C239" s="32"/>
      <c r="D239" s="32"/>
      <c r="E239" s="32"/>
      <c r="F239" s="32"/>
      <c r="G239" s="32">
        <f>IFERROR(__xludf.DUMMYFUNCTION("""COMPUTED_VALUE"""),100.0)</f>
        <v>100</v>
      </c>
      <c r="H239" s="32"/>
      <c r="I239" s="32"/>
      <c r="J239" s="32">
        <f>IFERROR(__xludf.DUMMYFUNCTION("""COMPUTED_VALUE"""),100.0)</f>
        <v>100</v>
      </c>
      <c r="K239" s="32"/>
      <c r="L239" s="32"/>
      <c r="M239" s="32"/>
      <c r="N239" s="32"/>
      <c r="O239" s="32"/>
      <c r="P239" s="32"/>
      <c r="Q239" s="32">
        <f>IFERROR(__xludf.DUMMYFUNCTION("""COMPUTED_VALUE"""),100.0)</f>
        <v>100</v>
      </c>
      <c r="R239" s="32"/>
      <c r="S239" s="32"/>
      <c r="T239" s="32"/>
      <c r="U239" s="32"/>
      <c r="V239" s="32"/>
      <c r="W239" s="32"/>
      <c r="X239" s="32"/>
      <c r="Y239" s="32"/>
      <c r="Z239" s="32"/>
    </row>
    <row r="240">
      <c r="A240" s="32" t="str">
        <f>IFERROR(__xludf.DUMMYFUNCTION("""COMPUTED_VALUE"""),"Shadow King")</f>
        <v>Shadow King</v>
      </c>
      <c r="B240" s="32">
        <f>IFERROR(__xludf.DUMMYFUNCTION("""COMPUTED_VALUE"""),100.0)</f>
        <v>100</v>
      </c>
      <c r="C240" s="32"/>
      <c r="D240" s="32"/>
      <c r="E240" s="32"/>
      <c r="F240" s="32">
        <f>IFERROR(__xludf.DUMMYFUNCTION("""COMPUTED_VALUE"""),100.0)</f>
        <v>100</v>
      </c>
      <c r="G240" s="32"/>
      <c r="H240" s="32"/>
      <c r="I240" s="32"/>
      <c r="J240" s="32"/>
      <c r="K240" s="32"/>
      <c r="L240" s="32"/>
      <c r="M240" s="32"/>
      <c r="N240" s="32"/>
      <c r="O240" s="32"/>
      <c r="P240" s="32"/>
      <c r="Q240" s="32"/>
      <c r="R240" s="32"/>
      <c r="S240" s="32"/>
      <c r="T240" s="32"/>
      <c r="U240" s="32"/>
      <c r="V240" s="32"/>
      <c r="W240" s="32"/>
      <c r="X240" s="32"/>
      <c r="Y240" s="32"/>
      <c r="Z240" s="32"/>
    </row>
    <row r="241">
      <c r="A241" s="32" t="str">
        <f>IFERROR(__xludf.DUMMYFUNCTION("""COMPUTED_VALUE"""),"Shadow King")</f>
        <v>Shadow King</v>
      </c>
      <c r="B241" s="32">
        <f>IFERROR(__xludf.DUMMYFUNCTION("""COMPUTED_VALUE"""),100.0)</f>
        <v>100</v>
      </c>
      <c r="C241" s="32"/>
      <c r="D241" s="32"/>
      <c r="E241" s="32"/>
      <c r="F241" s="32">
        <f>IFERROR(__xludf.DUMMYFUNCTION("""COMPUTED_VALUE"""),100.0)</f>
        <v>100</v>
      </c>
      <c r="G241" s="32"/>
      <c r="H241" s="32"/>
      <c r="I241" s="32"/>
      <c r="J241" s="32"/>
      <c r="K241" s="32"/>
      <c r="L241" s="32"/>
      <c r="M241" s="32"/>
      <c r="N241" s="32"/>
      <c r="O241" s="32"/>
      <c r="P241" s="32"/>
      <c r="Q241" s="32"/>
      <c r="R241" s="32"/>
      <c r="S241" s="32"/>
      <c r="T241" s="32"/>
      <c r="U241" s="32"/>
      <c r="V241" s="32"/>
      <c r="W241" s="32"/>
      <c r="X241" s="32"/>
      <c r="Y241" s="32"/>
      <c r="Z241" s="32"/>
    </row>
    <row r="242">
      <c r="A242" s="32" t="str">
        <f>IFERROR(__xludf.DUMMYFUNCTION("""COMPUTED_VALUE"""),"Shadow Suit of armor")</f>
        <v>Shadow Suit of armor</v>
      </c>
      <c r="B242" s="32"/>
      <c r="C242" s="32"/>
      <c r="D242" s="32"/>
      <c r="E242" s="32"/>
      <c r="F242" s="32">
        <f>IFERROR(__xludf.DUMMYFUNCTION("""COMPUTED_VALUE"""),100.0)</f>
        <v>100</v>
      </c>
      <c r="G242" s="32"/>
      <c r="H242" s="32"/>
      <c r="I242" s="32"/>
      <c r="J242" s="32"/>
      <c r="K242" s="32"/>
      <c r="L242" s="32"/>
      <c r="M242" s="32"/>
      <c r="N242" s="32"/>
      <c r="O242" s="32"/>
      <c r="P242" s="32"/>
      <c r="Q242" s="32"/>
      <c r="R242" s="32"/>
      <c r="S242" s="32"/>
      <c r="T242" s="32"/>
      <c r="U242" s="32"/>
      <c r="V242" s="32"/>
      <c r="W242" s="32"/>
      <c r="X242" s="32"/>
      <c r="Y242" s="32"/>
      <c r="Z242" s="32"/>
    </row>
    <row r="243">
      <c r="A243" s="32" t="str">
        <f>IFERROR(__xludf.DUMMYFUNCTION("""COMPUTED_VALUE"""),"Shadow Suit of armor")</f>
        <v>Shadow Suit of armor</v>
      </c>
      <c r="B243" s="32">
        <f>IFERROR(__xludf.DUMMYFUNCTION("""COMPUTED_VALUE"""),100.0)</f>
        <v>100</v>
      </c>
      <c r="C243" s="32"/>
      <c r="D243" s="32"/>
      <c r="E243" s="32"/>
      <c r="F243" s="32">
        <f>IFERROR(__xludf.DUMMYFUNCTION("""COMPUTED_VALUE"""),100.0)</f>
        <v>100</v>
      </c>
      <c r="G243" s="32"/>
      <c r="H243" s="32"/>
      <c r="I243" s="32"/>
      <c r="J243" s="32"/>
      <c r="K243" s="32"/>
      <c r="L243" s="32"/>
      <c r="M243" s="32"/>
      <c r="N243" s="32"/>
      <c r="O243" s="32"/>
      <c r="P243" s="32"/>
      <c r="Q243" s="32"/>
      <c r="R243" s="32"/>
      <c r="S243" s="32"/>
      <c r="T243" s="32"/>
      <c r="U243" s="32"/>
      <c r="V243" s="32"/>
      <c r="W243" s="32"/>
      <c r="X243" s="32"/>
      <c r="Y243" s="32"/>
      <c r="Z243" s="32"/>
    </row>
    <row r="244">
      <c r="A244" s="32" t="str">
        <f>IFERROR(__xludf.DUMMYFUNCTION("""COMPUTED_VALUE"""),"Shark (WD)")</f>
        <v>Shark (WD)</v>
      </c>
      <c r="B244" s="32"/>
      <c r="C244" s="32"/>
      <c r="D244" s="32"/>
      <c r="E244" s="32"/>
      <c r="F244" s="32"/>
      <c r="G244" s="32"/>
      <c r="H244" s="32"/>
      <c r="I244" s="32"/>
      <c r="J244" s="32"/>
      <c r="K244" s="32">
        <f>IFERROR(__xludf.DUMMYFUNCTION("""COMPUTED_VALUE"""),100.0)</f>
        <v>100</v>
      </c>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f>IFERROR(__xludf.DUMMYFUNCTION("""COMPUTED_VALUE"""),100.0)</f>
        <v>100</v>
      </c>
      <c r="L245" s="32"/>
      <c r="M245" s="32"/>
      <c r="N245" s="32"/>
      <c r="O245" s="32"/>
      <c r="P245" s="32"/>
      <c r="Q245" s="32"/>
      <c r="R245" s="32"/>
      <c r="S245" s="32"/>
      <c r="T245" s="32"/>
      <c r="U245" s="32"/>
      <c r="V245" s="32"/>
      <c r="W245" s="32"/>
      <c r="X245" s="32"/>
      <c r="Y245" s="32"/>
      <c r="Z245" s="32"/>
    </row>
    <row r="246">
      <c r="A246" s="32" t="str">
        <f>IFERROR(__xludf.DUMMYFUNCTION("""COMPUTED_VALUE"""),"Skeletal Warrior")</f>
        <v>Skeletal Warrior</v>
      </c>
      <c r="B246" s="32"/>
      <c r="C246" s="32"/>
      <c r="D246" s="32"/>
      <c r="E246" s="32"/>
      <c r="F246" s="32">
        <f>IFERROR(__xludf.DUMMYFUNCTION("""COMPUTED_VALUE"""),100.0)</f>
        <v>100</v>
      </c>
      <c r="G246" s="32"/>
      <c r="H246" s="32"/>
      <c r="I246" s="32"/>
      <c r="J246" s="32"/>
      <c r="K246" s="32"/>
      <c r="L246" s="32"/>
      <c r="M246" s="32"/>
      <c r="N246" s="32"/>
      <c r="O246" s="32"/>
      <c r="P246" s="32"/>
      <c r="Q246" s="32"/>
      <c r="R246" s="32"/>
      <c r="S246" s="32"/>
      <c r="T246" s="32"/>
      <c r="U246" s="32"/>
      <c r="V246" s="32"/>
      <c r="W246" s="32"/>
      <c r="X246" s="32"/>
      <c r="Y246" s="32"/>
      <c r="Z246" s="32"/>
    </row>
    <row r="247">
      <c r="A247" s="32" t="str">
        <f>IFERROR(__xludf.DUMMYFUNCTION("""COMPUTED_VALUE"""),"Ancient Skeleton Colossus")</f>
        <v>Ancient Skeleton Colossus</v>
      </c>
      <c r="B247" s="32">
        <f>IFERROR(__xludf.DUMMYFUNCTION("""COMPUTED_VALUE"""),100.0)</f>
        <v>100</v>
      </c>
      <c r="C247" s="32"/>
      <c r="D247" s="32"/>
      <c r="E247" s="32"/>
      <c r="F247" s="32">
        <f>IFERROR(__xludf.DUMMYFUNCTION("""COMPUTED_VALUE"""),100.0)</f>
        <v>100</v>
      </c>
      <c r="G247" s="32"/>
      <c r="H247" s="32"/>
      <c r="I247" s="32"/>
      <c r="J247" s="32"/>
      <c r="K247" s="32"/>
      <c r="L247" s="32"/>
      <c r="M247" s="32"/>
      <c r="N247" s="32"/>
      <c r="O247" s="32"/>
      <c r="P247" s="32"/>
      <c r="Q247" s="32"/>
      <c r="R247" s="32"/>
      <c r="S247" s="32"/>
      <c r="T247" s="32"/>
      <c r="U247" s="32"/>
      <c r="V247" s="32"/>
      <c r="W247" s="32"/>
      <c r="X247" s="32"/>
      <c r="Y247" s="32"/>
      <c r="Z247" s="32"/>
    </row>
    <row r="248">
      <c r="A248" s="32" t="str">
        <f>IFERROR(__xludf.DUMMYFUNCTION("""COMPUTED_VALUE"""),"Skeleton Lord")</f>
        <v>Skeleton Lord</v>
      </c>
      <c r="B248" s="32"/>
      <c r="C248" s="32"/>
      <c r="D248" s="32"/>
      <c r="E248" s="32"/>
      <c r="F248" s="32">
        <f>IFERROR(__xludf.DUMMYFUNCTION("""COMPUTED_VALUE"""),100.0)</f>
        <v>100</v>
      </c>
      <c r="G248" s="32"/>
      <c r="H248" s="32"/>
      <c r="I248" s="32"/>
      <c r="J248" s="32"/>
      <c r="K248" s="32"/>
      <c r="L248" s="32"/>
      <c r="M248" s="32"/>
      <c r="N248" s="32"/>
      <c r="O248" s="32"/>
      <c r="P248" s="32"/>
      <c r="Q248" s="32"/>
      <c r="R248" s="32"/>
      <c r="S248" s="32"/>
      <c r="T248" s="32"/>
      <c r="U248" s="32"/>
      <c r="V248" s="32"/>
      <c r="W248" s="32"/>
      <c r="X248" s="32"/>
      <c r="Y248" s="32"/>
      <c r="Z248" s="32"/>
    </row>
    <row r="249">
      <c r="A249" s="32" t="str">
        <f>IFERROR(__xludf.DUMMYFUNCTION("""COMPUTED_VALUE"""),"Skilled Robot Soldier (King Of Mekanas Companion)")</f>
        <v>Skilled Robot Soldier (King Of Mekanas Companion)</v>
      </c>
      <c r="B249" s="32">
        <f>IFERROR(__xludf.DUMMYFUNCTION("""COMPUTED_VALUE"""),100.0)</f>
        <v>100</v>
      </c>
      <c r="C249" s="32">
        <f>IFERROR(__xludf.DUMMYFUNCTION("""COMPUTED_VALUE"""),100.0)</f>
        <v>100</v>
      </c>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t="str">
        <f>IFERROR(__xludf.DUMMYFUNCTION("""COMPUTED_VALUE"""),"Slime")</f>
        <v>Slime</v>
      </c>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t="str">
        <f>IFERROR(__xludf.DUMMYFUNCTION("""COMPUTED_VALUE"""),"Sorana- Demon Of The Cycle")</f>
        <v>Sorana- Demon Of The Cycle</v>
      </c>
      <c r="B251" s="32">
        <f>IFERROR(__xludf.DUMMYFUNCTION("""COMPUTED_VALUE"""),100.0)</f>
        <v>100</v>
      </c>
      <c r="C251" s="32"/>
      <c r="D251" s="32"/>
      <c r="E251" s="32"/>
      <c r="F251" s="32">
        <f>IFERROR(__xludf.DUMMYFUNCTION("""COMPUTED_VALUE"""),100.0)</f>
        <v>100</v>
      </c>
      <c r="G251" s="32"/>
      <c r="H251" s="32"/>
      <c r="I251" s="32">
        <f>IFERROR(__xludf.DUMMYFUNCTION("""COMPUTED_VALUE"""),100.0)</f>
        <v>100</v>
      </c>
      <c r="J251" s="32"/>
      <c r="K251" s="32"/>
      <c r="L251" s="32"/>
      <c r="M251" s="32"/>
      <c r="N251" s="32"/>
      <c r="O251" s="32"/>
      <c r="P251" s="32"/>
      <c r="Q251" s="32"/>
      <c r="R251" s="32"/>
      <c r="S251" s="32"/>
      <c r="T251" s="32"/>
      <c r="U251" s="32"/>
      <c r="V251" s="32"/>
      <c r="W251" s="32"/>
      <c r="X251" s="32"/>
      <c r="Y251" s="32"/>
      <c r="Z251" s="32"/>
    </row>
    <row r="252">
      <c r="A252" s="32" t="str">
        <f>IFERROR(__xludf.DUMMYFUNCTION("""COMPUTED_VALUE"""),"Soul Dragon")</f>
        <v>Soul Dragon</v>
      </c>
      <c r="B252" s="32">
        <f>IFERROR(__xludf.DUMMYFUNCTION("""COMPUTED_VALUE"""),100.0)</f>
        <v>100</v>
      </c>
      <c r="C252" s="32"/>
      <c r="D252" s="32"/>
      <c r="E252" s="32"/>
      <c r="F252" s="32">
        <f>IFERROR(__xludf.DUMMYFUNCTION("""COMPUTED_VALUE"""),100.0)</f>
        <v>100</v>
      </c>
      <c r="G252" s="32"/>
      <c r="H252" s="32"/>
      <c r="I252" s="32"/>
      <c r="J252" s="32"/>
      <c r="K252" s="32"/>
      <c r="L252" s="32"/>
      <c r="M252" s="32"/>
      <c r="N252" s="32"/>
      <c r="O252" s="32"/>
      <c r="P252" s="32"/>
      <c r="Q252" s="32"/>
      <c r="R252" s="32"/>
      <c r="S252" s="32"/>
      <c r="T252" s="32"/>
      <c r="U252" s="32"/>
      <c r="V252" s="32"/>
      <c r="W252" s="32"/>
      <c r="X252" s="32"/>
      <c r="Y252" s="32"/>
      <c r="Z252" s="32"/>
    </row>
    <row r="253">
      <c r="A253" s="32" t="str">
        <f>IFERROR(__xludf.DUMMYFUNCTION("""COMPUTED_VALUE"""),"Spirit Dragon")</f>
        <v>Spirit Dragon</v>
      </c>
      <c r="B253" s="32">
        <f>IFERROR(__xludf.DUMMYFUNCTION("""COMPUTED_VALUE"""),100.0)</f>
        <v>100</v>
      </c>
      <c r="C253" s="32"/>
      <c r="D253" s="32"/>
      <c r="E253" s="32"/>
      <c r="F253" s="32">
        <f>IFERROR(__xludf.DUMMYFUNCTION("""COMPUTED_VALUE"""),100.0)</f>
        <v>100</v>
      </c>
      <c r="G253" s="32"/>
      <c r="H253" s="32"/>
      <c r="I253" s="32"/>
      <c r="J253" s="32"/>
      <c r="K253" s="32"/>
      <c r="L253" s="32"/>
      <c r="M253" s="32"/>
      <c r="N253" s="32"/>
      <c r="O253" s="32"/>
      <c r="P253" s="32"/>
      <c r="Q253" s="32"/>
      <c r="R253" s="32"/>
      <c r="S253" s="32"/>
      <c r="T253" s="32"/>
      <c r="U253" s="32"/>
      <c r="V253" s="32"/>
      <c r="W253" s="32"/>
      <c r="X253" s="32"/>
      <c r="Y253" s="32"/>
      <c r="Z253" s="32"/>
    </row>
    <row r="254">
      <c r="A254" s="32" t="str">
        <f>IFERROR(__xludf.DUMMYFUNCTION("""COMPUTED_VALUE"""),"Spirit Warrior")</f>
        <v>Spirit Warrior</v>
      </c>
      <c r="B254" s="32"/>
      <c r="C254" s="32"/>
      <c r="D254" s="32"/>
      <c r="E254" s="32"/>
      <c r="F254" s="32">
        <f>IFERROR(__xludf.DUMMYFUNCTION("""COMPUTED_VALUE"""),100.0)</f>
        <v>100</v>
      </c>
      <c r="G254" s="32"/>
      <c r="H254" s="32"/>
      <c r="I254" s="32"/>
      <c r="J254" s="32"/>
      <c r="K254" s="32"/>
      <c r="L254" s="32"/>
      <c r="M254" s="32"/>
      <c r="N254" s="32"/>
      <c r="O254" s="32"/>
      <c r="P254" s="32"/>
      <c r="Q254" s="32"/>
      <c r="R254" s="32"/>
      <c r="S254" s="32"/>
      <c r="T254" s="32"/>
      <c r="U254" s="32"/>
      <c r="V254" s="32"/>
      <c r="W254" s="32"/>
      <c r="X254" s="32"/>
      <c r="Y254" s="32"/>
      <c r="Z254" s="32"/>
    </row>
    <row r="255">
      <c r="A255" s="32" t="str">
        <f>IFERROR(__xludf.DUMMYFUNCTION("""COMPUTED_VALUE"""),"Squid (WD)")</f>
        <v>Squid (WD)</v>
      </c>
      <c r="B255" s="32"/>
      <c r="C255" s="32"/>
      <c r="D255" s="32"/>
      <c r="E255" s="32"/>
      <c r="F255" s="32"/>
      <c r="G255" s="32"/>
      <c r="H255" s="32"/>
      <c r="I255" s="32"/>
      <c r="J255" s="32"/>
      <c r="K255" s="32">
        <f>IFERROR(__xludf.DUMMYFUNCTION("""COMPUTED_VALUE"""),100.0)</f>
        <v>100</v>
      </c>
      <c r="L255" s="32"/>
      <c r="M255" s="32"/>
      <c r="N255" s="32"/>
      <c r="O255" s="32"/>
      <c r="P255" s="32"/>
      <c r="Q255" s="32"/>
      <c r="R255" s="32"/>
      <c r="S255" s="32"/>
      <c r="T255" s="32"/>
      <c r="U255" s="32"/>
      <c r="V255" s="32"/>
      <c r="W255" s="32"/>
      <c r="X255" s="32"/>
      <c r="Y255" s="32"/>
      <c r="Z255" s="32"/>
    </row>
    <row r="256">
      <c r="A256" s="32" t="str">
        <f>IFERROR(__xludf.DUMMYFUNCTION("""COMPUTED_VALUE"""),"Squid (WD) (Enhanced)")</f>
        <v>Squid (WD) (Enhanced)</v>
      </c>
      <c r="B256" s="32"/>
      <c r="C256" s="32"/>
      <c r="D256" s="32"/>
      <c r="E256" s="32"/>
      <c r="F256" s="32"/>
      <c r="G256" s="32"/>
      <c r="H256" s="32"/>
      <c r="I256" s="32"/>
      <c r="J256" s="32"/>
      <c r="K256" s="32">
        <f>IFERROR(__xludf.DUMMYFUNCTION("""COMPUTED_VALUE"""),100.0)</f>
        <v>100</v>
      </c>
      <c r="L256" s="32"/>
      <c r="M256" s="32"/>
      <c r="N256" s="32"/>
      <c r="O256" s="32"/>
      <c r="P256" s="32"/>
      <c r="Q256" s="32"/>
      <c r="R256" s="32"/>
      <c r="S256" s="32"/>
      <c r="T256" s="32"/>
      <c r="U256" s="32"/>
      <c r="V256" s="32"/>
      <c r="W256" s="32"/>
      <c r="X256" s="32"/>
      <c r="Y256" s="32"/>
      <c r="Z256" s="32"/>
    </row>
    <row r="257">
      <c r="A257" s="32" t="str">
        <f>IFERROR(__xludf.DUMMYFUNCTION("""COMPUTED_VALUE"""),"Stag")</f>
        <v>Stag</v>
      </c>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t="str">
        <f>IFERROR(__xludf.DUMMYFUNCTION("""COMPUTED_VALUE"""),"Steed")</f>
        <v>Steed</v>
      </c>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t="str">
        <f>IFERROR(__xludf.DUMMYFUNCTION("""COMPUTED_VALUE"""),"Stone Dragon")</f>
        <v>Stone Dragon</v>
      </c>
      <c r="B259" s="32"/>
      <c r="C259" s="32">
        <f>IFERROR(__xludf.DUMMYFUNCTION("""COMPUTED_VALUE"""),100.0)</f>
        <v>100</v>
      </c>
      <c r="D259" s="32">
        <f>IFERROR(__xludf.DUMMYFUNCTION("""COMPUTED_VALUE"""),100.0)</f>
        <v>100</v>
      </c>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f>IFERROR(__xludf.DUMMYFUNCTION("""COMPUTED_VALUE"""),100.0)</f>
        <v>100</v>
      </c>
      <c r="D260" s="32">
        <f>IFERROR(__xludf.DUMMYFUNCTION("""COMPUTED_VALUE"""),100.0)</f>
        <v>100</v>
      </c>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t="str">
        <f>IFERROR(__xludf.DUMMYFUNCTION("""COMPUTED_VALUE"""),"Storm Dragon")</f>
        <v>Storm Dragon</v>
      </c>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t="str">
        <f>IFERROR(__xludf.DUMMYFUNCTION("""COMPUTED_VALUE"""),"Straitzo The Vampire Warrior")</f>
        <v>Straitzo The Vampire Warrior</v>
      </c>
      <c r="B262" s="32">
        <f>IFERROR(__xludf.DUMMYFUNCTION("""COMPUTED_VALUE"""),100.0)</f>
        <v>100</v>
      </c>
      <c r="C262" s="32"/>
      <c r="D262" s="32"/>
      <c r="E262" s="32"/>
      <c r="F262" s="32">
        <f>IFERROR(__xludf.DUMMYFUNCTION("""COMPUTED_VALUE"""),100.0)</f>
        <v>100</v>
      </c>
      <c r="G262" s="32"/>
      <c r="H262" s="32"/>
      <c r="I262" s="32"/>
      <c r="J262" s="32"/>
      <c r="K262" s="32"/>
      <c r="L262" s="32"/>
      <c r="M262" s="32"/>
      <c r="N262" s="32"/>
      <c r="O262" s="32"/>
      <c r="P262" s="32"/>
      <c r="Q262" s="32"/>
      <c r="R262" s="32"/>
      <c r="S262" s="32"/>
      <c r="T262" s="32"/>
      <c r="U262" s="32"/>
      <c r="V262" s="32"/>
      <c r="W262" s="32"/>
      <c r="X262" s="32"/>
      <c r="Y262" s="32"/>
      <c r="Z262" s="32"/>
    </row>
    <row r="263">
      <c r="A263" s="32" t="str">
        <f>IFERROR(__xludf.DUMMYFUNCTION("""COMPUTED_VALUE"""),"Sunstone Dragon")</f>
        <v>Sunstone Dragon</v>
      </c>
      <c r="B263" s="32"/>
      <c r="C263" s="32"/>
      <c r="D263" s="32"/>
      <c r="E263" s="32"/>
      <c r="F263" s="32"/>
      <c r="G263" s="32"/>
      <c r="H263" s="32"/>
      <c r="I263" s="32"/>
      <c r="J263" s="32"/>
      <c r="K263" s="32"/>
      <c r="L263" s="32"/>
      <c r="M263" s="32"/>
      <c r="N263" s="32"/>
      <c r="O263" s="32"/>
      <c r="P263" s="32"/>
      <c r="Q263" s="32"/>
      <c r="R263" s="32"/>
      <c r="S263" s="32"/>
      <c r="T263" s="32"/>
      <c r="U263" s="32"/>
      <c r="V263" s="32">
        <f>IFERROR(__xludf.DUMMYFUNCTION("""COMPUTED_VALUE"""),100.0)</f>
        <v>100</v>
      </c>
      <c r="W263" s="32"/>
      <c r="X263" s="32"/>
      <c r="Y263" s="32"/>
      <c r="Z263" s="32"/>
    </row>
    <row r="264">
      <c r="A264" s="32" t="str">
        <f>IFERROR(__xludf.DUMMYFUNCTION("""COMPUTED_VALUE"""),"Swamp Dragon")</f>
        <v>Swamp Dragon</v>
      </c>
      <c r="B264" s="32">
        <f>IFERROR(__xludf.DUMMYFUNCTION("""COMPUTED_VALUE"""),100.0)</f>
        <v>100</v>
      </c>
      <c r="C264" s="32"/>
      <c r="D264" s="32">
        <f>IFERROR(__xludf.DUMMYFUNCTION("""COMPUTED_VALUE"""),100.0)</f>
        <v>100</v>
      </c>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t="str">
        <f>IFERROR(__xludf.DUMMYFUNCTION("""COMPUTED_VALUE"""),"Swamp Dragon")</f>
        <v>Swamp Dragon</v>
      </c>
      <c r="B265" s="32">
        <f>IFERROR(__xludf.DUMMYFUNCTION("""COMPUTED_VALUE"""),100.0)</f>
        <v>100</v>
      </c>
      <c r="C265" s="32"/>
      <c r="D265" s="32">
        <f>IFERROR(__xludf.DUMMYFUNCTION("""COMPUTED_VALUE"""),100.0)</f>
        <v>100</v>
      </c>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t="str">
        <f>IFERROR(__xludf.DUMMYFUNCTION("""COMPUTED_VALUE"""),"Swamp Portal Guard")</f>
        <v>Swamp Portal Guard</v>
      </c>
      <c r="B266" s="32">
        <f>IFERROR(__xludf.DUMMYFUNCTION("""COMPUTED_VALUE"""),100.0)</f>
        <v>100</v>
      </c>
      <c r="C266" s="32"/>
      <c r="D266" s="32">
        <f>IFERROR(__xludf.DUMMYFUNCTION("""COMPUTED_VALUE"""),100.0)</f>
        <v>100</v>
      </c>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t="str">
        <f>IFERROR(__xludf.DUMMYFUNCTION("""COMPUTED_VALUE"""),"The Ancient Colossal Dragon of Spira")</f>
        <v>The Ancient Colossal Dragon of Spira</v>
      </c>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t="str">
        <f>IFERROR(__xludf.DUMMYFUNCTION("""COMPUTED_VALUE"""),"The Black And White Dragon")</f>
        <v>The Black And White Dragon</v>
      </c>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t="str">
        <f>IFERROR(__xludf.DUMMYFUNCTION("""COMPUTED_VALUE"""),"The Black Demon")</f>
        <v>The Black Demon</v>
      </c>
      <c r="B269" s="32">
        <f>IFERROR(__xludf.DUMMYFUNCTION("""COMPUTED_VALUE"""),100.0)</f>
        <v>100</v>
      </c>
      <c r="C269" s="32"/>
      <c r="D269" s="32"/>
      <c r="E269" s="32"/>
      <c r="F269" s="32">
        <f>IFERROR(__xludf.DUMMYFUNCTION("""COMPUTED_VALUE"""),100.0)</f>
        <v>100</v>
      </c>
      <c r="G269" s="32"/>
      <c r="H269" s="32"/>
      <c r="I269" s="32"/>
      <c r="J269" s="32"/>
      <c r="K269" s="32"/>
      <c r="L269" s="32"/>
      <c r="M269" s="32"/>
      <c r="N269" s="32"/>
      <c r="O269" s="32"/>
      <c r="P269" s="32"/>
      <c r="Q269" s="32"/>
      <c r="R269" s="32"/>
      <c r="S269" s="32"/>
      <c r="T269" s="32"/>
      <c r="U269" s="32"/>
      <c r="V269" s="32"/>
      <c r="W269" s="32"/>
      <c r="X269" s="32"/>
      <c r="Y269" s="32"/>
      <c r="Z269" s="32"/>
    </row>
    <row r="270">
      <c r="A270" s="32" t="str">
        <f>IFERROR(__xludf.DUMMYFUNCTION("""COMPUTED_VALUE"""),"The Clown King")</f>
        <v>The Clown King</v>
      </c>
      <c r="B270" s="32"/>
      <c r="C270" s="32"/>
      <c r="D270" s="32"/>
      <c r="E270" s="32"/>
      <c r="F270" s="32">
        <f>IFERROR(__xludf.DUMMYFUNCTION("""COMPUTED_VALUE"""),100.0)</f>
        <v>100</v>
      </c>
      <c r="G270" s="32"/>
      <c r="H270" s="32"/>
      <c r="I270" s="32"/>
      <c r="J270" s="32"/>
      <c r="K270" s="32"/>
      <c r="L270" s="32"/>
      <c r="M270" s="32"/>
      <c r="N270" s="32"/>
      <c r="O270" s="32"/>
      <c r="P270" s="32"/>
      <c r="Q270" s="32"/>
      <c r="R270" s="32"/>
      <c r="S270" s="32"/>
      <c r="T270" s="32"/>
      <c r="U270" s="32"/>
      <c r="V270" s="32"/>
      <c r="W270" s="32"/>
      <c r="X270" s="32"/>
      <c r="Y270" s="32"/>
      <c r="Z270" s="32"/>
    </row>
    <row r="271">
      <c r="A271" s="32" t="str">
        <f>IFERROR(__xludf.DUMMYFUNCTION("""COMPUTED_VALUE"""),"The Cursed Kraken")</f>
        <v>The Cursed Kraken</v>
      </c>
      <c r="B271" s="32"/>
      <c r="C271" s="32"/>
      <c r="D271" s="32"/>
      <c r="E271" s="32"/>
      <c r="F271" s="32"/>
      <c r="G271" s="32"/>
      <c r="H271" s="32"/>
      <c r="I271" s="32"/>
      <c r="J271" s="32"/>
      <c r="K271" s="32">
        <f>IFERROR(__xludf.DUMMYFUNCTION("""COMPUTED_VALUE"""),100.0)</f>
        <v>100</v>
      </c>
      <c r="L271" s="32"/>
      <c r="M271" s="32"/>
      <c r="N271" s="32"/>
      <c r="O271" s="32"/>
      <c r="P271" s="32"/>
      <c r="Q271" s="32"/>
      <c r="R271" s="32"/>
      <c r="S271" s="32"/>
      <c r="T271" s="32"/>
      <c r="U271" s="32"/>
      <c r="V271" s="32"/>
      <c r="W271" s="32"/>
      <c r="X271" s="32"/>
      <c r="Y271" s="32"/>
      <c r="Z271" s="32"/>
    </row>
    <row r="272">
      <c r="A272" s="32" t="str">
        <f>IFERROR(__xludf.DUMMYFUNCTION("""COMPUTED_VALUE"""),"Master Inugima Clone")</f>
        <v>Master Inugima Clone</v>
      </c>
      <c r="B272" s="32"/>
      <c r="C272" s="32"/>
      <c r="D272" s="32"/>
      <c r="E272" s="32"/>
      <c r="F272" s="32">
        <f>IFERROR(__xludf.DUMMYFUNCTION("""COMPUTED_VALUE"""),50.0)</f>
        <v>50</v>
      </c>
      <c r="G272" s="32"/>
      <c r="H272" s="32"/>
      <c r="I272" s="32">
        <f>IFERROR(__xludf.DUMMYFUNCTION("""COMPUTED_VALUE"""),50.0)</f>
        <v>50</v>
      </c>
      <c r="J272" s="32"/>
      <c r="K272" s="32"/>
      <c r="L272" s="32"/>
      <c r="M272" s="32"/>
      <c r="N272" s="32"/>
      <c r="O272" s="32"/>
      <c r="P272" s="32"/>
      <c r="Q272" s="32"/>
      <c r="R272" s="32"/>
      <c r="S272" s="32"/>
      <c r="T272" s="32"/>
      <c r="U272" s="32"/>
      <c r="V272" s="32"/>
      <c r="W272" s="32"/>
      <c r="X272" s="32"/>
      <c r="Y272" s="32"/>
      <c r="Z272" s="32"/>
    </row>
    <row r="273">
      <c r="A273" s="32" t="str">
        <f>IFERROR(__xludf.DUMMYFUNCTION("""COMPUTED_VALUE"""),"The God Of Birch")</f>
        <v>The God Of Birch</v>
      </c>
      <c r="B273" s="32">
        <f>IFERROR(__xludf.DUMMYFUNCTION("""COMPUTED_VALUE"""),100.0)</f>
        <v>100</v>
      </c>
      <c r="C273" s="32"/>
      <c r="D273" s="32">
        <f>IFERROR(__xludf.DUMMYFUNCTION("""COMPUTED_VALUE"""),100.0)</f>
        <v>100</v>
      </c>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t="str">
        <f>IFERROR(__xludf.DUMMYFUNCTION("""COMPUTED_VALUE"""),"The Grim Reaper")</f>
        <v>The Grim Reaper</v>
      </c>
      <c r="B274" s="32">
        <f>IFERROR(__xludf.DUMMYFUNCTION("""COMPUTED_VALUE"""),100.0)</f>
        <v>100</v>
      </c>
      <c r="C274" s="32"/>
      <c r="D274" s="32"/>
      <c r="E274" s="32"/>
      <c r="F274" s="32">
        <f>IFERROR(__xludf.DUMMYFUNCTION("""COMPUTED_VALUE"""),100.0)</f>
        <v>100</v>
      </c>
      <c r="G274" s="32"/>
      <c r="H274" s="32"/>
      <c r="I274" s="32"/>
      <c r="J274" s="32"/>
      <c r="K274" s="32"/>
      <c r="L274" s="32"/>
      <c r="M274" s="32"/>
      <c r="N274" s="32"/>
      <c r="O274" s="32"/>
      <c r="P274" s="32"/>
      <c r="Q274" s="32"/>
      <c r="R274" s="32"/>
      <c r="S274" s="32"/>
      <c r="T274" s="32"/>
      <c r="U274" s="32"/>
      <c r="V274" s="32"/>
      <c r="W274" s="32"/>
      <c r="X274" s="32"/>
      <c r="Y274" s="32"/>
      <c r="Z274" s="32"/>
    </row>
    <row r="275">
      <c r="A275" s="32" t="str">
        <f>IFERROR(__xludf.DUMMYFUNCTION("""COMPUTED_VALUE"""),"The Guardian Of Death")</f>
        <v>The Guardian Of Death</v>
      </c>
      <c r="B275" s="32">
        <f>IFERROR(__xludf.DUMMYFUNCTION("""COMPUTED_VALUE"""),100.0)</f>
        <v>100</v>
      </c>
      <c r="C275" s="32"/>
      <c r="D275" s="32"/>
      <c r="E275" s="32"/>
      <c r="F275" s="32">
        <f>IFERROR(__xludf.DUMMYFUNCTION("""COMPUTED_VALUE"""),100.0)</f>
        <v>100</v>
      </c>
      <c r="G275" s="32"/>
      <c r="H275" s="32"/>
      <c r="I275" s="32"/>
      <c r="J275" s="32"/>
      <c r="K275" s="32">
        <f>IFERROR(__xludf.DUMMYFUNCTION("""COMPUTED_VALUE"""),100.0)</f>
        <v>100</v>
      </c>
      <c r="L275" s="32"/>
      <c r="M275" s="32"/>
      <c r="N275" s="32"/>
      <c r="O275" s="32"/>
      <c r="P275" s="32"/>
      <c r="Q275" s="32"/>
      <c r="R275" s="32"/>
      <c r="S275" s="32"/>
      <c r="T275" s="32"/>
      <c r="U275" s="32"/>
      <c r="V275" s="32"/>
      <c r="W275" s="32"/>
      <c r="X275" s="32"/>
      <c r="Y275" s="32"/>
      <c r="Z275" s="32"/>
    </row>
    <row r="276">
      <c r="A276" s="32" t="str">
        <f>IFERROR(__xludf.DUMMYFUNCTION("""COMPUTED_VALUE"""),"The Guardian Of The Mystic Well")</f>
        <v>The Guardian Of The Mystic Well</v>
      </c>
      <c r="B276" s="32"/>
      <c r="C276" s="32"/>
      <c r="D276" s="32"/>
      <c r="E276" s="32"/>
      <c r="F276" s="32"/>
      <c r="G276" s="32"/>
      <c r="H276" s="32"/>
      <c r="I276" s="32"/>
      <c r="J276" s="32"/>
      <c r="K276" s="32">
        <f>IFERROR(__xludf.DUMMYFUNCTION("""COMPUTED_VALUE"""),100.0)</f>
        <v>100</v>
      </c>
      <c r="L276" s="32"/>
      <c r="M276" s="32"/>
      <c r="N276" s="32"/>
      <c r="O276" s="32"/>
      <c r="P276" s="32"/>
      <c r="Q276" s="32"/>
      <c r="R276" s="32"/>
      <c r="S276" s="32"/>
      <c r="T276" s="32"/>
      <c r="U276" s="32"/>
      <c r="V276" s="32"/>
      <c r="W276" s="32"/>
      <c r="X276" s="32"/>
      <c r="Y276" s="32"/>
      <c r="Z276" s="32"/>
    </row>
    <row r="277">
      <c r="A277" s="3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t="str">
        <f>IFERROR(__xludf.DUMMYFUNCTION("""COMPUTED_VALUE"""),"The Horseman Of Lord Dreadful No. 2 This enemy will appear alongside The Horseman Of Lord Dreadful No. 1")</f>
        <v>The Horseman Of Lord Dreadful No. 2 This enemy will appear alongside The Horseman Of Lord Dreadful No. 1</v>
      </c>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t="str">
        <f>IFERROR(__xludf.DUMMYFUNCTION("""COMPUTED_VALUE"""),"The Kraken")</f>
        <v>The Kraken</v>
      </c>
      <c r="B279" s="32"/>
      <c r="C279" s="32"/>
      <c r="D279" s="32"/>
      <c r="E279" s="32"/>
      <c r="F279" s="32"/>
      <c r="G279" s="32"/>
      <c r="H279" s="32"/>
      <c r="I279" s="32"/>
      <c r="J279" s="32"/>
      <c r="K279" s="32">
        <f>IFERROR(__xludf.DUMMYFUNCTION("""COMPUTED_VALUE"""),100.0)</f>
        <v>100</v>
      </c>
      <c r="L279" s="32"/>
      <c r="M279" s="32"/>
      <c r="N279" s="32"/>
      <c r="O279" s="32"/>
      <c r="P279" s="32"/>
      <c r="Q279" s="32"/>
      <c r="R279" s="32"/>
      <c r="S279" s="32"/>
      <c r="T279" s="32"/>
      <c r="U279" s="32"/>
      <c r="V279" s="32"/>
      <c r="W279" s="32"/>
      <c r="X279" s="32"/>
      <c r="Y279" s="32"/>
      <c r="Z279" s="32"/>
    </row>
    <row r="280">
      <c r="A280" s="32" t="str">
        <f>IFERROR(__xludf.DUMMYFUNCTION("""COMPUTED_VALUE"""),"The Puppet Master")</f>
        <v>The Puppet Master</v>
      </c>
      <c r="B280" s="32">
        <f>IFERROR(__xludf.DUMMYFUNCTION("""COMPUTED_VALUE"""),100.0)</f>
        <v>100</v>
      </c>
      <c r="C280" s="32"/>
      <c r="D280" s="32"/>
      <c r="E280" s="32"/>
      <c r="F280" s="32">
        <f>IFERROR(__xludf.DUMMYFUNCTION("""COMPUTED_VALUE"""),100.0)</f>
        <v>100</v>
      </c>
      <c r="G280" s="32"/>
      <c r="H280" s="32"/>
      <c r="I280" s="32">
        <f>IFERROR(__xludf.DUMMYFUNCTION("""COMPUTED_VALUE"""),100.0)</f>
        <v>100</v>
      </c>
      <c r="J280" s="32"/>
      <c r="K280" s="32"/>
      <c r="L280" s="32"/>
      <c r="M280" s="32"/>
      <c r="N280" s="32"/>
      <c r="O280" s="32"/>
      <c r="P280" s="32"/>
      <c r="Q280" s="32"/>
      <c r="R280" s="32"/>
      <c r="S280" s="32"/>
      <c r="T280" s="32"/>
      <c r="U280" s="32"/>
      <c r="V280" s="32"/>
      <c r="W280" s="32"/>
      <c r="X280" s="32"/>
      <c r="Y280" s="32"/>
      <c r="Z280" s="32"/>
    </row>
    <row r="281">
      <c r="A281" s="32" t="str">
        <f>IFERROR(__xludf.DUMMYFUNCTION("""COMPUTED_VALUE"""),"The Purple Necromancer")</f>
        <v>The Purple Necromancer</v>
      </c>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t="str">
        <f>IFERROR(__xludf.DUMMYFUNCTION("""COMPUTED_VALUE"""),"The Ring King")</f>
        <v>The Ring King</v>
      </c>
      <c r="B282" s="32">
        <f>IFERROR(__xludf.DUMMYFUNCTION("""COMPUTED_VALUE"""),100.0)</f>
        <v>100</v>
      </c>
      <c r="C282" s="32"/>
      <c r="D282" s="32"/>
      <c r="E282" s="32"/>
      <c r="F282" s="32">
        <f>IFERROR(__xludf.DUMMYFUNCTION("""COMPUTED_VALUE"""),100.0)</f>
        <v>100</v>
      </c>
      <c r="G282" s="32"/>
      <c r="H282" s="32"/>
      <c r="I282" s="32">
        <f>IFERROR(__xludf.DUMMYFUNCTION("""COMPUTED_VALUE"""),100.0)</f>
        <v>100</v>
      </c>
      <c r="J282" s="32"/>
      <c r="K282" s="32"/>
      <c r="L282" s="32"/>
      <c r="M282" s="32"/>
      <c r="N282" s="32"/>
      <c r="O282" s="32"/>
      <c r="P282" s="32"/>
      <c r="Q282" s="32"/>
      <c r="R282" s="32"/>
      <c r="S282" s="32"/>
      <c r="T282" s="32"/>
      <c r="U282" s="32"/>
      <c r="V282" s="32"/>
      <c r="W282" s="32"/>
      <c r="X282" s="32"/>
      <c r="Y282" s="32"/>
      <c r="Z282" s="32"/>
    </row>
    <row r="283">
      <c r="A283" s="32" t="str">
        <f>IFERROR(__xludf.DUMMYFUNCTION("""COMPUTED_VALUE"""),"The Undead King")</f>
        <v>The Undead King</v>
      </c>
      <c r="B283" s="32"/>
      <c r="C283" s="32"/>
      <c r="D283" s="32"/>
      <c r="E283" s="32"/>
      <c r="F283" s="32">
        <f>IFERROR(__xludf.DUMMYFUNCTION("""COMPUTED_VALUE"""),100.0)</f>
        <v>100</v>
      </c>
      <c r="G283" s="32"/>
      <c r="H283" s="32"/>
      <c r="I283" s="32"/>
      <c r="J283" s="32"/>
      <c r="K283" s="32"/>
      <c r="L283" s="32"/>
      <c r="M283" s="32"/>
      <c r="N283" s="32"/>
      <c r="O283" s="32"/>
      <c r="P283" s="32"/>
      <c r="Q283" s="32"/>
      <c r="R283" s="32"/>
      <c r="S283" s="32"/>
      <c r="T283" s="32"/>
      <c r="U283" s="32"/>
      <c r="V283" s="32"/>
      <c r="W283" s="32"/>
      <c r="X283" s="32"/>
      <c r="Y283" s="32"/>
      <c r="Z283" s="32"/>
    </row>
    <row r="284">
      <c r="A284" s="32" t="str">
        <f>IFERROR(__xludf.DUMMYFUNCTION("""COMPUTED_VALUE"""),"Titonium The Destroyer")</f>
        <v>Titonium The Destroyer</v>
      </c>
      <c r="B284" s="32">
        <f>IFERROR(__xludf.DUMMYFUNCTION("""COMPUTED_VALUE"""),100.0)</f>
        <v>100</v>
      </c>
      <c r="C284" s="32">
        <f>IFERROR(__xludf.DUMMYFUNCTION("""COMPUTED_VALUE"""),100.0)</f>
        <v>100</v>
      </c>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t="str">
        <f>IFERROR(__xludf.DUMMYFUNCTION("""COMPUTED_VALUE"""),"Turkey Hydra")</f>
        <v>Turkey Hydra</v>
      </c>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t="str">
        <f>IFERROR(__xludf.DUMMYFUNCTION("""COMPUTED_VALUE"""),"Twilight Cultist")</f>
        <v>Twilight Cultist</v>
      </c>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t="str">
        <f>IFERROR(__xludf.DUMMYFUNCTION("""COMPUTED_VALUE"""),"Twilight Shadow")</f>
        <v>Twilight Shadow</v>
      </c>
      <c r="B287" s="32"/>
      <c r="C287" s="32"/>
      <c r="D287" s="32"/>
      <c r="E287" s="32"/>
      <c r="F287" s="32">
        <f>IFERROR(__xludf.DUMMYFUNCTION("""COMPUTED_VALUE"""),100.0)</f>
        <v>100</v>
      </c>
      <c r="G287" s="32"/>
      <c r="H287" s="32"/>
      <c r="I287" s="32"/>
      <c r="J287" s="32"/>
      <c r="K287" s="32"/>
      <c r="L287" s="32"/>
      <c r="M287" s="32"/>
      <c r="N287" s="32"/>
      <c r="O287" s="32"/>
      <c r="P287" s="32"/>
      <c r="Q287" s="32"/>
      <c r="R287" s="32"/>
      <c r="S287" s="32"/>
      <c r="T287" s="32"/>
      <c r="U287" s="32"/>
      <c r="V287" s="32"/>
      <c r="W287" s="32"/>
      <c r="X287" s="32"/>
      <c r="Y287" s="32"/>
      <c r="Z287" s="32"/>
    </row>
    <row r="288">
      <c r="A288" s="32" t="str">
        <f>IFERROR(__xludf.DUMMYFUNCTION("""COMPUTED_VALUE"""),"Twilight Soldier")</f>
        <v>Twilight Soldier</v>
      </c>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t="str">
        <f>IFERROR(__xludf.DUMMYFUNCTION("""COMPUTED_VALUE"""),"Undead Dragon")</f>
        <v>Undead Dragon</v>
      </c>
      <c r="B289" s="32">
        <f>IFERROR(__xludf.DUMMYFUNCTION("""COMPUTED_VALUE"""),100.0)</f>
        <v>100</v>
      </c>
      <c r="C289" s="32"/>
      <c r="D289" s="32"/>
      <c r="E289" s="32"/>
      <c r="F289" s="32">
        <f>IFERROR(__xludf.DUMMYFUNCTION("""COMPUTED_VALUE"""),100.0)</f>
        <v>100</v>
      </c>
      <c r="G289" s="32"/>
      <c r="H289" s="32"/>
      <c r="I289" s="32"/>
      <c r="J289" s="32"/>
      <c r="K289" s="32"/>
      <c r="L289" s="32"/>
      <c r="M289" s="32"/>
      <c r="N289" s="32"/>
      <c r="O289" s="32"/>
      <c r="P289" s="32"/>
      <c r="Q289" s="32"/>
      <c r="R289" s="32"/>
      <c r="S289" s="32"/>
      <c r="T289" s="32"/>
      <c r="U289" s="32"/>
      <c r="V289" s="32"/>
      <c r="W289" s="32"/>
      <c r="X289" s="32"/>
      <c r="Y289" s="32"/>
      <c r="Z289" s="32"/>
    </row>
    <row r="290">
      <c r="A290" s="32" t="str">
        <f>IFERROR(__xludf.DUMMYFUNCTION("""COMPUTED_VALUE"""),"Vampire")</f>
        <v>Vampire</v>
      </c>
      <c r="B290" s="32">
        <f>IFERROR(__xludf.DUMMYFUNCTION("""COMPUTED_VALUE"""),100.0)</f>
        <v>100</v>
      </c>
      <c r="C290" s="32"/>
      <c r="D290" s="32"/>
      <c r="E290" s="32"/>
      <c r="F290" s="32">
        <f>IFERROR(__xludf.DUMMYFUNCTION("""COMPUTED_VALUE"""),100.0)</f>
        <v>100</v>
      </c>
      <c r="G290" s="32"/>
      <c r="H290" s="32"/>
      <c r="I290" s="32"/>
      <c r="J290" s="32"/>
      <c r="K290" s="32"/>
      <c r="L290" s="32"/>
      <c r="M290" s="32"/>
      <c r="N290" s="32"/>
      <c r="O290" s="32"/>
      <c r="P290" s="32"/>
      <c r="Q290" s="32"/>
      <c r="R290" s="32"/>
      <c r="S290" s="32"/>
      <c r="T290" s="32"/>
      <c r="U290" s="32"/>
      <c r="V290" s="32"/>
      <c r="W290" s="32"/>
      <c r="X290" s="32"/>
      <c r="Y290" s="32"/>
      <c r="Z290" s="32"/>
    </row>
    <row r="291">
      <c r="A291" s="32" t="str">
        <f>IFERROR(__xludf.DUMMYFUNCTION("""COMPUTED_VALUE"""),"Vampire King")</f>
        <v>Vampire King</v>
      </c>
      <c r="B291" s="32">
        <f>IFERROR(__xludf.DUMMYFUNCTION("""COMPUTED_VALUE"""),100.0)</f>
        <v>100</v>
      </c>
      <c r="C291" s="32"/>
      <c r="D291" s="32"/>
      <c r="E291" s="32"/>
      <c r="F291" s="32">
        <f>IFERROR(__xludf.DUMMYFUNCTION("""COMPUTED_VALUE"""),100.0)</f>
        <v>100</v>
      </c>
      <c r="G291" s="32"/>
      <c r="H291" s="32"/>
      <c r="I291" s="32"/>
      <c r="J291" s="32"/>
      <c r="K291" s="32"/>
      <c r="L291" s="32"/>
      <c r="M291" s="32"/>
      <c r="N291" s="32"/>
      <c r="O291" s="32"/>
      <c r="P291" s="32"/>
      <c r="Q291" s="32"/>
      <c r="R291" s="32"/>
      <c r="S291" s="32"/>
      <c r="T291" s="32"/>
      <c r="U291" s="32"/>
      <c r="V291" s="32"/>
      <c r="W291" s="32"/>
      <c r="X291" s="32"/>
      <c r="Y291" s="32"/>
      <c r="Z291" s="32"/>
    </row>
    <row r="292">
      <c r="A292" s="32" t="str">
        <f>IFERROR(__xludf.DUMMYFUNCTION("""COMPUTED_VALUE"""),"Vampire Lord")</f>
        <v>Vampire Lord</v>
      </c>
      <c r="B292" s="32">
        <f>IFERROR(__xludf.DUMMYFUNCTION("""COMPUTED_VALUE"""),100.0)</f>
        <v>100</v>
      </c>
      <c r="C292" s="32"/>
      <c r="D292" s="32"/>
      <c r="E292" s="32"/>
      <c r="F292" s="32">
        <f>IFERROR(__xludf.DUMMYFUNCTION("""COMPUTED_VALUE"""),100.0)</f>
        <v>100</v>
      </c>
      <c r="G292" s="32"/>
      <c r="H292" s="32"/>
      <c r="I292" s="32"/>
      <c r="J292" s="32"/>
      <c r="K292" s="32"/>
      <c r="L292" s="32"/>
      <c r="M292" s="32"/>
      <c r="N292" s="32"/>
      <c r="O292" s="32"/>
      <c r="P292" s="32"/>
      <c r="Q292" s="32"/>
      <c r="R292" s="32"/>
      <c r="S292" s="32"/>
      <c r="T292" s="32"/>
      <c r="U292" s="32"/>
      <c r="V292" s="32"/>
      <c r="W292" s="32"/>
      <c r="X292" s="32"/>
      <c r="Y292" s="32"/>
      <c r="Z292" s="32"/>
    </row>
    <row r="293">
      <c r="A293" s="32" t="str">
        <f>IFERROR(__xludf.DUMMYFUNCTION("""COMPUTED_VALUE"""),"Vampire Soldier")</f>
        <v>Vampire Soldier</v>
      </c>
      <c r="B293" s="32">
        <f>IFERROR(__xludf.DUMMYFUNCTION("""COMPUTED_VALUE"""),100.0)</f>
        <v>100</v>
      </c>
      <c r="C293" s="32"/>
      <c r="D293" s="32"/>
      <c r="E293" s="32"/>
      <c r="F293" s="32">
        <f>IFERROR(__xludf.DUMMYFUNCTION("""COMPUTED_VALUE"""),100.0)</f>
        <v>100</v>
      </c>
      <c r="G293" s="32"/>
      <c r="H293" s="32"/>
      <c r="I293" s="32"/>
      <c r="J293" s="32"/>
      <c r="K293" s="32"/>
      <c r="L293" s="32"/>
      <c r="M293" s="32"/>
      <c r="N293" s="32"/>
      <c r="O293" s="32"/>
      <c r="P293" s="32"/>
      <c r="Q293" s="32"/>
      <c r="R293" s="32"/>
      <c r="S293" s="32"/>
      <c r="T293" s="32"/>
      <c r="U293" s="32"/>
      <c r="V293" s="32"/>
      <c r="W293" s="32"/>
      <c r="X293" s="32"/>
      <c r="Y293" s="32"/>
      <c r="Z293" s="32"/>
    </row>
    <row r="294">
      <c r="A294" s="32" t="str">
        <f>IFERROR(__xludf.DUMMYFUNCTION("""COMPUTED_VALUE"""),"Volcanic Lava Dragon")</f>
        <v>Volcanic Lava Dragon</v>
      </c>
      <c r="B294" s="32"/>
      <c r="C294" s="32">
        <f>IFERROR(__xludf.DUMMYFUNCTION("""COMPUTED_VALUE"""),100.0)</f>
        <v>100</v>
      </c>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t="str">
        <f>IFERROR(__xludf.DUMMYFUNCTION("""COMPUTED_VALUE"""),"Volcanic Serpent")</f>
        <v>Volcanic Serpent</v>
      </c>
      <c r="B295" s="32"/>
      <c r="C295" s="32">
        <f>IFERROR(__xludf.DUMMYFUNCTION("""COMPUTED_VALUE"""),100.0)</f>
        <v>100</v>
      </c>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t="str">
        <f>IFERROR(__xludf.DUMMYFUNCTION("""COMPUTED_VALUE"""),"Volcanic Void Dragon")</f>
        <v>Volcanic Void Dragon</v>
      </c>
      <c r="B296" s="32"/>
      <c r="C296" s="32">
        <f>IFERROR(__xludf.DUMMYFUNCTION("""COMPUTED_VALUE"""),100.0)</f>
        <v>100</v>
      </c>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t="str">
        <f>IFERROR(__xludf.DUMMYFUNCTION("""COMPUTED_VALUE"""),"Volcanic Void Dragon")</f>
        <v>Volcanic Void Dragon</v>
      </c>
      <c r="B297" s="32"/>
      <c r="C297" s="32">
        <f>IFERROR(__xludf.DUMMYFUNCTION("""COMPUTED_VALUE"""),100.0)</f>
        <v>100</v>
      </c>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t="str">
        <f>IFERROR(__xludf.DUMMYFUNCTION("""COMPUTED_VALUE"""),"Voodoo Shameness")</f>
        <v>Voodoo Shameness</v>
      </c>
      <c r="B298" s="32"/>
      <c r="C298" s="32"/>
      <c r="D298" s="32"/>
      <c r="E298" s="32"/>
      <c r="F298" s="32">
        <f>IFERROR(__xludf.DUMMYFUNCTION("""COMPUTED_VALUE"""),100.0)</f>
        <v>100</v>
      </c>
      <c r="G298" s="32"/>
      <c r="H298" s="32"/>
      <c r="I298" s="32">
        <f>IFERROR(__xludf.DUMMYFUNCTION("""COMPUTED_VALUE"""),100.0)</f>
        <v>100</v>
      </c>
      <c r="J298" s="32"/>
      <c r="K298" s="32"/>
      <c r="L298" s="32"/>
      <c r="M298" s="32"/>
      <c r="N298" s="32"/>
      <c r="O298" s="32"/>
      <c r="P298" s="32"/>
      <c r="Q298" s="32"/>
      <c r="R298" s="32"/>
      <c r="S298" s="32"/>
      <c r="T298" s="32">
        <f>IFERROR(__xludf.DUMMYFUNCTION("""COMPUTED_VALUE"""),100.0)</f>
        <v>100</v>
      </c>
      <c r="U298" s="32"/>
      <c r="V298" s="32"/>
      <c r="W298" s="32"/>
      <c r="X298" s="32"/>
      <c r="Y298" s="32"/>
      <c r="Z298" s="32"/>
    </row>
    <row r="299">
      <c r="A299" s="32" t="str">
        <f>IFERROR(__xludf.DUMMYFUNCTION("""COMPUTED_VALUE"""),"Wandering Pumpkin")</f>
        <v>Wandering Pumpkin</v>
      </c>
      <c r="B299" s="32"/>
      <c r="C299" s="32"/>
      <c r="D299" s="32"/>
      <c r="E299" s="32"/>
      <c r="F299" s="32">
        <f>IFERROR(__xludf.DUMMYFUNCTION("""COMPUTED_VALUE"""),100.0)</f>
        <v>100</v>
      </c>
      <c r="G299" s="32"/>
      <c r="H299" s="32"/>
      <c r="I299" s="32"/>
      <c r="J299" s="32"/>
      <c r="K299" s="32"/>
      <c r="L299" s="32"/>
      <c r="M299" s="32"/>
      <c r="N299" s="32"/>
      <c r="O299" s="32"/>
      <c r="P299" s="32"/>
      <c r="Q299" s="32"/>
      <c r="R299" s="32"/>
      <c r="S299" s="32"/>
      <c r="T299" s="32"/>
      <c r="U299" s="32"/>
      <c r="V299" s="32"/>
      <c r="W299" s="32"/>
      <c r="X299" s="32"/>
      <c r="Y299" s="32"/>
      <c r="Z299" s="32"/>
    </row>
    <row r="300">
      <c r="A300" s="32" t="str">
        <f>IFERROR(__xludf.DUMMYFUNCTION("""COMPUTED_VALUE"""),"Werewolf")</f>
        <v>Werewolf</v>
      </c>
      <c r="B300" s="32">
        <f>IFERROR(__xludf.DUMMYFUNCTION("""COMPUTED_VALUE"""),100.0)</f>
        <v>100</v>
      </c>
      <c r="C300" s="32"/>
      <c r="D300" s="32"/>
      <c r="E300" s="32"/>
      <c r="F300" s="32">
        <f>IFERROR(__xludf.DUMMYFUNCTION("""COMPUTED_VALUE"""),100.0)</f>
        <v>100</v>
      </c>
      <c r="G300" s="32"/>
      <c r="H300" s="32"/>
      <c r="I300" s="32"/>
      <c r="J300" s="32"/>
      <c r="K300" s="32"/>
      <c r="L300" s="32"/>
      <c r="M300" s="32"/>
      <c r="N300" s="32"/>
      <c r="O300" s="32"/>
      <c r="P300" s="32"/>
      <c r="Q300" s="32"/>
      <c r="R300" s="32"/>
      <c r="S300" s="32"/>
      <c r="T300" s="32"/>
      <c r="U300" s="32"/>
      <c r="V300" s="32"/>
      <c r="W300" s="32"/>
      <c r="X300" s="32"/>
      <c r="Y300" s="32"/>
      <c r="Z300" s="32"/>
    </row>
    <row r="301">
      <c r="A301" s="32" t="str">
        <f>IFERROR(__xludf.DUMMYFUNCTION("""COMPUTED_VALUE"""),"White Soul")</f>
        <v>White Soul</v>
      </c>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t="str">
        <f>IFERROR(__xludf.DUMMYFUNCTION("""COMPUTED_VALUE"""),"Witch")</f>
        <v>Witch</v>
      </c>
      <c r="B302" s="32"/>
      <c r="C302" s="32"/>
      <c r="D302" s="32"/>
      <c r="E302" s="32"/>
      <c r="F302" s="32">
        <f>IFERROR(__xludf.DUMMYFUNCTION("""COMPUTED_VALUE"""),100.0)</f>
        <v>100</v>
      </c>
      <c r="G302" s="32"/>
      <c r="H302" s="32"/>
      <c r="I302" s="32">
        <f>IFERROR(__xludf.DUMMYFUNCTION("""COMPUTED_VALUE"""),100.0)</f>
        <v>100</v>
      </c>
      <c r="J302" s="32"/>
      <c r="K302" s="32"/>
      <c r="L302" s="32"/>
      <c r="M302" s="32"/>
      <c r="N302" s="32"/>
      <c r="O302" s="32"/>
      <c r="P302" s="32"/>
      <c r="Q302" s="32"/>
      <c r="R302" s="32"/>
      <c r="S302" s="32"/>
      <c r="T302" s="32"/>
      <c r="U302" s="32"/>
      <c r="V302" s="32"/>
      <c r="W302" s="32"/>
      <c r="X302" s="32"/>
      <c r="Y302" s="32"/>
      <c r="Z302" s="32"/>
    </row>
    <row r="303">
      <c r="A303" s="32" t="str">
        <f>IFERROR(__xludf.DUMMYFUNCTION("""COMPUTED_VALUE"""),"Yellow Soul")</f>
        <v>Yellow Soul</v>
      </c>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t="str">
        <f>IFERROR(__xludf.DUMMYFUNCTION("""COMPUTED_VALUE"""),"Zombie")</f>
        <v>Zombie</v>
      </c>
      <c r="B304" s="32"/>
      <c r="C304" s="32"/>
      <c r="D304" s="32"/>
      <c r="E304" s="32"/>
      <c r="F304" s="32">
        <f>IFERROR(__xludf.DUMMYFUNCTION("""COMPUTED_VALUE"""),100.0)</f>
        <v>100</v>
      </c>
      <c r="G304" s="32"/>
      <c r="H304" s="32"/>
      <c r="I304" s="32"/>
      <c r="J304" s="32"/>
      <c r="K304" s="32"/>
      <c r="L304" s="32"/>
      <c r="M304" s="32"/>
      <c r="N304" s="32"/>
      <c r="O304" s="32"/>
      <c r="P304" s="32"/>
      <c r="Q304" s="32"/>
      <c r="R304" s="32"/>
      <c r="S304" s="32"/>
      <c r="T304" s="32"/>
      <c r="U304" s="32"/>
      <c r="V304" s="32"/>
      <c r="W304" s="32"/>
      <c r="X304" s="32"/>
      <c r="Y304" s="32"/>
      <c r="Z304" s="32"/>
    </row>
    <row r="305">
      <c r="A305" s="32"/>
      <c r="B305" s="32">
        <f>IFERROR(__xludf.DUMMYFUNCTION("""COMPUTED_VALUE"""),100.0)</f>
        <v>100</v>
      </c>
      <c r="C305" s="32"/>
      <c r="D305" s="32"/>
      <c r="E305" s="32"/>
      <c r="F305" s="32">
        <f>IFERROR(__xludf.DUMMYFUNCTION("""COMPUTED_VALUE"""),100.0)</f>
        <v>100</v>
      </c>
      <c r="G305" s="32"/>
      <c r="H305" s="32"/>
      <c r="I305" s="32"/>
      <c r="J305" s="32"/>
      <c r="K305" s="32"/>
      <c r="L305" s="32"/>
      <c r="M305" s="32"/>
      <c r="N305" s="32"/>
      <c r="O305" s="32"/>
      <c r="P305" s="32"/>
      <c r="Q305" s="32"/>
      <c r="R305" s="32"/>
      <c r="S305" s="32"/>
      <c r="T305" s="32"/>
      <c r="U305" s="32"/>
      <c r="V305" s="32"/>
      <c r="W305" s="32"/>
      <c r="X305" s="32"/>
      <c r="Y305" s="32"/>
      <c r="Z305" s="32"/>
    </row>
    <row r="306">
      <c r="A306" s="32" t="str">
        <f>IFERROR(__xludf.DUMMYFUNCTION("""COMPUTED_VALUE"""),"Zombie Whale Shark")</f>
        <v>Zombie Whale Shark</v>
      </c>
      <c r="B306" s="32"/>
      <c r="C306" s="32"/>
      <c r="D306" s="32"/>
      <c r="E306" s="32"/>
      <c r="F306" s="32">
        <f>IFERROR(__xludf.DUMMYFUNCTION("""COMPUTED_VALUE"""),100.0)</f>
        <v>100</v>
      </c>
      <c r="G306" s="32"/>
      <c r="H306" s="32"/>
      <c r="I306" s="32"/>
      <c r="J306" s="32"/>
      <c r="K306" s="32"/>
      <c r="L306" s="32"/>
      <c r="M306" s="32"/>
      <c r="N306" s="32"/>
      <c r="O306" s="32"/>
      <c r="P306" s="32"/>
      <c r="Q306" s="32"/>
      <c r="R306" s="32"/>
      <c r="S306" s="32"/>
      <c r="T306" s="32"/>
      <c r="U306" s="32"/>
      <c r="V306" s="32"/>
      <c r="W306" s="32"/>
      <c r="X306" s="32"/>
      <c r="Y306" s="32"/>
      <c r="Z306" s="32"/>
    </row>
    <row r="307">
      <c r="A307" s="32" t="str">
        <f>IFERROR(__xludf.DUMMYFUNCTION("""COMPUTED_VALUE"""),"Pirate")</f>
        <v>Pirate</v>
      </c>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t="str">
        <f>IFERROR(__xludf.DUMMYFUNCTION("""COMPUTED_VALUE"""),"Pirate Captain")</f>
        <v>Pirate Captain</v>
      </c>
      <c r="B308" s="32"/>
      <c r="C308" s="32"/>
      <c r="D308" s="32"/>
      <c r="E308" s="32"/>
      <c r="F308" s="32"/>
      <c r="G308" s="32"/>
      <c r="H308" s="32"/>
      <c r="I308" s="32">
        <f>IFERROR(__xludf.DUMMYFUNCTION("""COMPUTED_VALUE"""),100.0)</f>
        <v>100</v>
      </c>
      <c r="J308" s="32"/>
      <c r="K308" s="32">
        <f>IFERROR(__xludf.DUMMYFUNCTION("""COMPUTED_VALUE"""),100.0)</f>
        <v>100</v>
      </c>
      <c r="L308" s="32"/>
      <c r="M308" s="32"/>
      <c r="N308" s="32"/>
      <c r="O308" s="32"/>
      <c r="P308" s="32"/>
      <c r="Q308" s="32"/>
      <c r="R308" s="32"/>
      <c r="S308" s="32"/>
      <c r="T308" s="32"/>
      <c r="U308" s="32"/>
      <c r="V308" s="32"/>
      <c r="W308" s="32"/>
      <c r="X308" s="32"/>
      <c r="Y308" s="32"/>
      <c r="Z308" s="32"/>
    </row>
    <row r="309">
      <c r="A309" s="32" t="str">
        <f>IFERROR(__xludf.DUMMYFUNCTION("""COMPUTED_VALUE"""),"The Crystal King")</f>
        <v>The Crystal King</v>
      </c>
      <c r="B309" s="32"/>
      <c r="C309" s="32"/>
      <c r="D309" s="32">
        <f>IFERROR(__xludf.DUMMYFUNCTION("""COMPUTED_VALUE"""),100.0)</f>
        <v>100</v>
      </c>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t="str">
        <f>IFERROR(__xludf.DUMMYFUNCTION("""COMPUTED_VALUE"""),"Sand Worm")</f>
        <v>Sand Worm</v>
      </c>
      <c r="B310" s="32"/>
      <c r="C310" s="32"/>
      <c r="D310" s="32">
        <f>IFERROR(__xludf.DUMMYFUNCTION("""COMPUTED_VALUE"""),100.0)</f>
        <v>100</v>
      </c>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t="str">
        <f>IFERROR(__xludf.DUMMYFUNCTION("""COMPUTED_VALUE"""),"Water Elemental")</f>
        <v>Water Elemental</v>
      </c>
      <c r="B311" s="32"/>
      <c r="C311" s="32"/>
      <c r="D311" s="32"/>
      <c r="E311" s="32"/>
      <c r="F311" s="32"/>
      <c r="G311" s="32"/>
      <c r="H311" s="32"/>
      <c r="I311" s="32"/>
      <c r="J311" s="32"/>
      <c r="K311" s="32">
        <f>IFERROR(__xludf.DUMMYFUNCTION("""COMPUTED_VALUE"""),100.0)</f>
        <v>100</v>
      </c>
      <c r="L311" s="32"/>
      <c r="M311" s="32"/>
      <c r="N311" s="32"/>
      <c r="O311" s="32"/>
      <c r="P311" s="32"/>
      <c r="Q311" s="32"/>
      <c r="R311" s="32"/>
      <c r="S311" s="32"/>
      <c r="T311" s="32"/>
      <c r="U311" s="32"/>
      <c r="V311" s="32"/>
      <c r="W311" s="32"/>
      <c r="X311" s="32"/>
      <c r="Y311" s="32"/>
      <c r="Z311" s="32"/>
    </row>
    <row r="312">
      <c r="A312" s="32" t="str">
        <f>IFERROR(__xludf.DUMMYFUNCTION("""COMPUTED_VALUE"""),"Mekanian Knight")</f>
        <v>Mekanian Knight</v>
      </c>
      <c r="B312" s="32">
        <f>IFERROR(__xludf.DUMMYFUNCTION("""COMPUTED_VALUE"""),100.0)</f>
        <v>100</v>
      </c>
      <c r="C312" s="32">
        <f>IFERROR(__xludf.DUMMYFUNCTION("""COMPUTED_VALUE"""),100.0)</f>
        <v>100</v>
      </c>
      <c r="D312" s="32"/>
      <c r="E312" s="32"/>
      <c r="F312" s="32"/>
      <c r="G312" s="32"/>
      <c r="H312" s="32"/>
      <c r="I312" s="32"/>
      <c r="J312" s="32"/>
      <c r="K312" s="32">
        <f>IFERROR(__xludf.DUMMYFUNCTION("""COMPUTED_VALUE"""),100.0)</f>
        <v>100</v>
      </c>
      <c r="L312" s="32"/>
      <c r="M312" s="32"/>
      <c r="N312" s="32"/>
      <c r="O312" s="32"/>
      <c r="P312" s="32"/>
      <c r="Q312" s="32"/>
      <c r="R312" s="32"/>
      <c r="S312" s="32"/>
      <c r="T312" s="32"/>
      <c r="U312" s="32"/>
      <c r="V312" s="32"/>
      <c r="W312" s="32"/>
      <c r="X312" s="32"/>
      <c r="Y312" s="32"/>
      <c r="Z312" s="32"/>
    </row>
    <row r="313">
      <c r="A313" s="32" t="str">
        <f>IFERROR(__xludf.DUMMYFUNCTION("""COMPUTED_VALUE"""),"Armored Car")</f>
        <v>Armored Car</v>
      </c>
      <c r="B313" s="32"/>
      <c r="C313" s="32"/>
      <c r="D313" s="32"/>
      <c r="E313" s="32"/>
      <c r="F313" s="32"/>
      <c r="G313" s="32"/>
      <c r="H313" s="32">
        <f>IFERROR(__xludf.DUMMYFUNCTION("""COMPUTED_VALUE"""),100.0)</f>
        <v>100</v>
      </c>
      <c r="I313" s="32"/>
      <c r="J313" s="32"/>
      <c r="K313" s="32"/>
      <c r="L313" s="32"/>
      <c r="M313" s="32"/>
      <c r="N313" s="32"/>
      <c r="O313" s="32"/>
      <c r="P313" s="32"/>
      <c r="Q313" s="32"/>
      <c r="R313" s="32"/>
      <c r="S313" s="32"/>
      <c r="T313" s="32"/>
      <c r="U313" s="32"/>
      <c r="V313" s="32"/>
      <c r="W313" s="32"/>
      <c r="X313" s="32"/>
      <c r="Y313" s="32"/>
      <c r="Z313" s="32"/>
    </row>
    <row r="314">
      <c r="A314" s="32" t="str">
        <f>IFERROR(__xludf.DUMMYFUNCTION("""COMPUTED_VALUE"""),"Tank")</f>
        <v>Tank</v>
      </c>
      <c r="B314" s="32"/>
      <c r="C314" s="32"/>
      <c r="D314" s="32"/>
      <c r="E314" s="32"/>
      <c r="F314" s="32"/>
      <c r="G314" s="32"/>
      <c r="H314" s="32">
        <f>IFERROR(__xludf.DUMMYFUNCTION("""COMPUTED_VALUE"""),100.0)</f>
        <v>100</v>
      </c>
      <c r="I314" s="32"/>
      <c r="J314" s="32"/>
      <c r="K314" s="32"/>
      <c r="L314" s="32"/>
      <c r="M314" s="32"/>
      <c r="N314" s="32"/>
      <c r="O314" s="32"/>
      <c r="P314" s="32"/>
      <c r="Q314" s="32"/>
      <c r="R314" s="32"/>
      <c r="S314" s="32"/>
      <c r="T314" s="32"/>
      <c r="U314" s="32"/>
      <c r="V314" s="32"/>
      <c r="W314" s="32"/>
      <c r="X314" s="32"/>
      <c r="Y314" s="32"/>
      <c r="Z314" s="32"/>
    </row>
    <row r="315">
      <c r="A315" s="32" t="str">
        <f>IFERROR(__xludf.DUMMYFUNCTION("""COMPUTED_VALUE"""),"ATV")</f>
        <v>ATV</v>
      </c>
      <c r="B315" s="32"/>
      <c r="C315" s="32"/>
      <c r="D315" s="32"/>
      <c r="E315" s="32"/>
      <c r="F315" s="32"/>
      <c r="G315" s="32"/>
      <c r="H315" s="32">
        <f>IFERROR(__xludf.DUMMYFUNCTION("""COMPUTED_VALUE"""),100.0)</f>
        <v>100</v>
      </c>
      <c r="I315" s="32"/>
      <c r="J315" s="32"/>
      <c r="K315" s="32"/>
      <c r="L315" s="32"/>
      <c r="M315" s="32"/>
      <c r="N315" s="32"/>
      <c r="O315" s="32"/>
      <c r="P315" s="32"/>
      <c r="Q315" s="32"/>
      <c r="R315" s="32"/>
      <c r="S315" s="32"/>
      <c r="T315" s="32"/>
      <c r="U315" s="32"/>
      <c r="V315" s="32"/>
      <c r="W315" s="32"/>
      <c r="X315" s="32"/>
      <c r="Y315" s="32"/>
      <c r="Z315" s="32"/>
    </row>
    <row r="316">
      <c r="A316" s="32" t="str">
        <f>IFERROR(__xludf.DUMMYFUNCTION("""COMPUTED_VALUE"""),"Battleship")</f>
        <v>Battleship</v>
      </c>
      <c r="B316" s="32"/>
      <c r="C316" s="32"/>
      <c r="D316" s="32"/>
      <c r="E316" s="32"/>
      <c r="F316" s="32"/>
      <c r="G316" s="32"/>
      <c r="H316" s="32">
        <f>IFERROR(__xludf.DUMMYFUNCTION("""COMPUTED_VALUE"""),100.0)</f>
        <v>100</v>
      </c>
      <c r="I316" s="32"/>
      <c r="J316" s="32"/>
      <c r="K316" s="32"/>
      <c r="L316" s="32"/>
      <c r="M316" s="32"/>
      <c r="N316" s="32"/>
      <c r="O316" s="32"/>
      <c r="P316" s="32"/>
      <c r="Q316" s="32"/>
      <c r="R316" s="32"/>
      <c r="S316" s="32"/>
      <c r="T316" s="32"/>
      <c r="U316" s="32"/>
      <c r="V316" s="32"/>
      <c r="W316" s="32"/>
      <c r="X316" s="32"/>
      <c r="Y316" s="32"/>
      <c r="Z316" s="32"/>
    </row>
    <row r="317">
      <c r="A317" s="32" t="str">
        <f>IFERROR(__xludf.DUMMYFUNCTION("""COMPUTED_VALUE"""),"Galleon")</f>
        <v>Galleon</v>
      </c>
      <c r="B317" s="32"/>
      <c r="C317" s="32"/>
      <c r="D317" s="32"/>
      <c r="E317" s="32"/>
      <c r="F317" s="32"/>
      <c r="G317" s="32"/>
      <c r="H317" s="32">
        <f>IFERROR(__xludf.DUMMYFUNCTION("""COMPUTED_VALUE"""),100.0)</f>
        <v>100</v>
      </c>
      <c r="I317" s="32"/>
      <c r="J317" s="32"/>
      <c r="K317" s="32"/>
      <c r="L317" s="32"/>
      <c r="M317" s="32"/>
      <c r="N317" s="32"/>
      <c r="O317" s="32"/>
      <c r="P317" s="32"/>
      <c r="Q317" s="32"/>
      <c r="R317" s="32"/>
      <c r="S317" s="32"/>
      <c r="T317" s="32"/>
      <c r="U317" s="32"/>
      <c r="V317" s="32"/>
      <c r="W317" s="32"/>
      <c r="X317" s="32"/>
      <c r="Y317" s="32"/>
      <c r="Z317" s="32"/>
    </row>
    <row r="318">
      <c r="A318" s="32" t="str">
        <f>IFERROR(__xludf.DUMMYFUNCTION("""COMPUTED_VALUE"""),"Submarine")</f>
        <v>Submarine</v>
      </c>
      <c r="B318" s="32"/>
      <c r="C318" s="32"/>
      <c r="D318" s="32"/>
      <c r="E318" s="32"/>
      <c r="F318" s="32"/>
      <c r="G318" s="32"/>
      <c r="H318" s="32">
        <f>IFERROR(__xludf.DUMMYFUNCTION("""COMPUTED_VALUE"""),100.0)</f>
        <v>100</v>
      </c>
      <c r="I318" s="32"/>
      <c r="J318" s="32"/>
      <c r="K318" s="32"/>
      <c r="L318" s="32"/>
      <c r="M318" s="32"/>
      <c r="N318" s="32"/>
      <c r="O318" s="32"/>
      <c r="P318" s="32"/>
      <c r="Q318" s="32"/>
      <c r="R318" s="32"/>
      <c r="S318" s="32"/>
      <c r="T318" s="32"/>
      <c r="U318" s="32"/>
      <c r="V318" s="32"/>
      <c r="W318" s="32"/>
      <c r="X318" s="32"/>
      <c r="Y318" s="32"/>
      <c r="Z318" s="32"/>
    </row>
    <row r="319">
      <c r="A319" s="32" t="str">
        <f>IFERROR(__xludf.DUMMYFUNCTION("""COMPUTED_VALUE"""),"Scarecrow Lord")</f>
        <v>Scarecrow Lord</v>
      </c>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t="str">
        <f>IFERROR(__xludf.DUMMYFUNCTION("""COMPUTED_VALUE"""),"Corrupted King Zorgod")</f>
        <v>Corrupted King Zorgod</v>
      </c>
      <c r="B320" s="32"/>
      <c r="C320" s="32"/>
      <c r="D320" s="32"/>
      <c r="E320" s="32"/>
      <c r="F320" s="32">
        <f>IFERROR(__xludf.DUMMYFUNCTION("""COMPUTED_VALUE"""),100.0)</f>
        <v>100</v>
      </c>
      <c r="G320" s="32"/>
      <c r="H320" s="32"/>
      <c r="I320" s="32"/>
      <c r="J320" s="32"/>
      <c r="K320" s="32"/>
      <c r="L320" s="32"/>
      <c r="M320" s="32"/>
      <c r="N320" s="32"/>
      <c r="O320" s="32"/>
      <c r="P320" s="32"/>
      <c r="Q320" s="32"/>
      <c r="R320" s="32"/>
      <c r="S320" s="32"/>
      <c r="T320" s="32"/>
      <c r="U320" s="32"/>
      <c r="V320" s="32"/>
      <c r="W320" s="32"/>
      <c r="X320" s="32"/>
      <c r="Y320" s="32"/>
      <c r="Z320" s="32"/>
    </row>
    <row r="321">
      <c r="A321" s="32" t="str">
        <f>IFERROR(__xludf.DUMMYFUNCTION("""COMPUTED_VALUE"""),"Vermouth The Sea Monkey King")</f>
        <v>Vermouth The Sea Monkey King</v>
      </c>
      <c r="B321" s="32"/>
      <c r="C321" s="32"/>
      <c r="D321" s="32"/>
      <c r="E321" s="32"/>
      <c r="F321" s="32"/>
      <c r="G321" s="32"/>
      <c r="H321" s="32"/>
      <c r="I321" s="32"/>
      <c r="J321" s="32"/>
      <c r="K321" s="32">
        <f>IFERROR(__xludf.DUMMYFUNCTION("""COMPUTED_VALUE"""),100.0)</f>
        <v>100</v>
      </c>
      <c r="L321" s="32"/>
      <c r="M321" s="32"/>
      <c r="N321" s="32"/>
      <c r="O321" s="32"/>
      <c r="P321" s="32"/>
      <c r="Q321" s="32"/>
      <c r="R321" s="32"/>
      <c r="S321" s="32"/>
      <c r="T321" s="32"/>
      <c r="U321" s="32"/>
      <c r="V321" s="32"/>
      <c r="W321" s="32"/>
      <c r="X321" s="32"/>
      <c r="Y321" s="32"/>
      <c r="Z321" s="32"/>
    </row>
    <row r="322">
      <c r="A322" s="32" t="str">
        <f>IFERROR(__xludf.DUMMYFUNCTION("""COMPUTED_VALUE"""),"Assassin Doll")</f>
        <v>Assassin Doll</v>
      </c>
      <c r="B322" s="32"/>
      <c r="C322" s="32"/>
      <c r="D322" s="32"/>
      <c r="E322" s="32"/>
      <c r="F322" s="32">
        <f>IFERROR(__xludf.DUMMYFUNCTION("""COMPUTED_VALUE"""),100.0)</f>
        <v>100</v>
      </c>
      <c r="G322" s="32"/>
      <c r="H322" s="32"/>
      <c r="I322" s="32"/>
      <c r="J322" s="32"/>
      <c r="K322" s="32"/>
      <c r="L322" s="32"/>
      <c r="M322" s="32"/>
      <c r="N322" s="32"/>
      <c r="O322" s="32"/>
      <c r="P322" s="32"/>
      <c r="Q322" s="32"/>
      <c r="R322" s="32"/>
      <c r="S322" s="32"/>
      <c r="T322" s="32"/>
      <c r="U322" s="32"/>
      <c r="V322" s="32"/>
      <c r="W322" s="32"/>
      <c r="X322" s="32"/>
      <c r="Y322" s="32"/>
      <c r="Z322" s="32"/>
    </row>
    <row r="323">
      <c r="A323" s="32" t="str">
        <f>IFERROR(__xludf.DUMMYFUNCTION("""COMPUTED_VALUE"""),"Black Serpent Dragon")</f>
        <v>Black Serpent Dragon</v>
      </c>
      <c r="B323" s="32"/>
      <c r="C323" s="32"/>
      <c r="D323" s="32"/>
      <c r="E323" s="32"/>
      <c r="F323" s="32">
        <f>IFERROR(__xludf.DUMMYFUNCTION("""COMPUTED_VALUE"""),100.0)</f>
        <v>100</v>
      </c>
      <c r="G323" s="32"/>
      <c r="H323" s="32"/>
      <c r="I323" s="32"/>
      <c r="J323" s="32"/>
      <c r="K323" s="32"/>
      <c r="L323" s="32"/>
      <c r="M323" s="32"/>
      <c r="N323" s="32"/>
      <c r="O323" s="32"/>
      <c r="P323" s="32"/>
      <c r="Q323" s="32"/>
      <c r="R323" s="32"/>
      <c r="S323" s="32"/>
      <c r="T323" s="32"/>
      <c r="U323" s="32"/>
      <c r="V323" s="32"/>
      <c r="W323" s="32"/>
      <c r="X323" s="32"/>
      <c r="Y323" s="32"/>
      <c r="Z323" s="32"/>
    </row>
    <row r="324">
      <c r="A324" s="32" t="str">
        <f>IFERROR(__xludf.DUMMYFUNCTION("""COMPUTED_VALUE"""),"Vermouth's Guard")</f>
        <v>Vermouth's Guard</v>
      </c>
      <c r="B324" s="32"/>
      <c r="C324" s="32"/>
      <c r="D324" s="32"/>
      <c r="E324" s="32"/>
      <c r="F324" s="32"/>
      <c r="G324" s="32"/>
      <c r="H324" s="32"/>
      <c r="I324" s="32"/>
      <c r="J324" s="32"/>
      <c r="K324" s="32">
        <f>IFERROR(__xludf.DUMMYFUNCTION("""COMPUTED_VALUE"""),100.0)</f>
        <v>100</v>
      </c>
      <c r="L324" s="32"/>
      <c r="M324" s="32"/>
      <c r="N324" s="32"/>
      <c r="O324" s="32"/>
      <c r="P324" s="32"/>
      <c r="Q324" s="32"/>
      <c r="R324" s="32"/>
      <c r="S324" s="32"/>
      <c r="T324" s="32"/>
      <c r="U324" s="32"/>
      <c r="V324" s="32"/>
      <c r="W324" s="32"/>
      <c r="X324" s="32"/>
      <c r="Y324" s="32"/>
      <c r="Z324" s="32"/>
    </row>
    <row r="325">
      <c r="A325" s="32" t="str">
        <f>IFERROR(__xludf.DUMMYFUNCTION("""COMPUTED_VALUE"""),"Crystal Guardian")</f>
        <v>Crystal Guardian</v>
      </c>
      <c r="B325" s="32"/>
      <c r="C325" s="32">
        <f>IFERROR(__xludf.DUMMYFUNCTION("""COMPUTED_VALUE"""),100.0)</f>
        <v>100</v>
      </c>
      <c r="D325" s="32">
        <f>IFERROR(__xludf.DUMMYFUNCTION("""COMPUTED_VALUE"""),100.0)</f>
        <v>100</v>
      </c>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t="str">
        <f>IFERROR(__xludf.DUMMYFUNCTION("""COMPUTED_VALUE"""),"Evil Moth")</f>
        <v>Evil Moth</v>
      </c>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t="str">
        <f>IFERROR(__xludf.DUMMYFUNCTION("""COMPUTED_VALUE"""),"Flamethrower Corpse")</f>
        <v>Flamethrower Corpse</v>
      </c>
      <c r="B327" s="32"/>
      <c r="C327" s="32">
        <f>IFERROR(__xludf.DUMMYFUNCTION("""COMPUTED_VALUE"""),100.0)</f>
        <v>100</v>
      </c>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t="str">
        <f>IFERROR(__xludf.DUMMYFUNCTION("""COMPUTED_VALUE"""),"Headless Horseman ")</f>
        <v>Headless Horseman </v>
      </c>
      <c r="B328" s="32">
        <f>IFERROR(__xludf.DUMMYFUNCTION("""COMPUTED_VALUE"""),100.0)</f>
        <v>100</v>
      </c>
      <c r="C328" s="32"/>
      <c r="D328" s="32"/>
      <c r="E328" s="32"/>
      <c r="F328" s="32">
        <f>IFERROR(__xludf.DUMMYFUNCTION("""COMPUTED_VALUE"""),100.0)</f>
        <v>100</v>
      </c>
      <c r="G328" s="32"/>
      <c r="H328" s="32"/>
      <c r="I328" s="32">
        <f>IFERROR(__xludf.DUMMYFUNCTION("""COMPUTED_VALUE"""),100.0)</f>
        <v>100</v>
      </c>
      <c r="J328" s="32"/>
      <c r="K328" s="32"/>
      <c r="L328" s="32"/>
      <c r="M328" s="32"/>
      <c r="N328" s="32"/>
      <c r="O328" s="32"/>
      <c r="P328" s="32"/>
      <c r="Q328" s="32"/>
      <c r="R328" s="32"/>
      <c r="S328" s="32"/>
      <c r="T328" s="32"/>
      <c r="U328" s="32"/>
      <c r="V328" s="32"/>
      <c r="W328" s="32"/>
      <c r="X328" s="32"/>
      <c r="Y328" s="32"/>
      <c r="Z328" s="32"/>
    </row>
    <row r="329">
      <c r="A329" s="32" t="str">
        <f>IFERROR(__xludf.DUMMYFUNCTION("""COMPUTED_VALUE"""),"Mournful Mother")</f>
        <v>Mournful Mother</v>
      </c>
      <c r="B329" s="32"/>
      <c r="C329" s="32"/>
      <c r="D329" s="32"/>
      <c r="E329" s="32"/>
      <c r="F329" s="32">
        <f>IFERROR(__xludf.DUMMYFUNCTION("""COMPUTED_VALUE"""),100.0)</f>
        <v>100</v>
      </c>
      <c r="G329" s="32"/>
      <c r="H329" s="32"/>
      <c r="I329" s="32"/>
      <c r="J329" s="32"/>
      <c r="K329" s="32"/>
      <c r="L329" s="32"/>
      <c r="M329" s="32"/>
      <c r="N329" s="32"/>
      <c r="O329" s="32"/>
      <c r="P329" s="32"/>
      <c r="Q329" s="32"/>
      <c r="R329" s="32"/>
      <c r="S329" s="32"/>
      <c r="T329" s="32"/>
      <c r="U329" s="32"/>
      <c r="V329" s="32"/>
      <c r="W329" s="32"/>
      <c r="X329" s="32"/>
      <c r="Y329" s="32"/>
      <c r="Z329" s="32"/>
    </row>
    <row r="330">
      <c r="A330" s="32" t="str">
        <f>IFERROR(__xludf.DUMMYFUNCTION("""COMPUTED_VALUE"""),"Reaper Of Spira (25% chance of this enemy appearing when you complain about being targeted)")</f>
        <v>Reaper Of Spira (25% chance of this enemy appearing when you complain about being targeted)</v>
      </c>
      <c r="B330" s="32">
        <f>IFERROR(__xludf.DUMMYFUNCTION("""COMPUTED_VALUE"""),100.0)</f>
        <v>100</v>
      </c>
      <c r="C330" s="32"/>
      <c r="D330" s="32"/>
      <c r="E330" s="32"/>
      <c r="F330" s="32">
        <f>IFERROR(__xludf.DUMMYFUNCTION("""COMPUTED_VALUE"""),100.0)</f>
        <v>100</v>
      </c>
      <c r="G330" s="32"/>
      <c r="H330" s="32"/>
      <c r="I330" s="32">
        <f>IFERROR(__xludf.DUMMYFUNCTION("""COMPUTED_VALUE"""),100.0)</f>
        <v>100</v>
      </c>
      <c r="J330" s="32"/>
      <c r="K330" s="32"/>
      <c r="L330" s="32"/>
      <c r="M330" s="32"/>
      <c r="N330" s="32"/>
      <c r="O330" s="32"/>
      <c r="P330" s="32"/>
      <c r="Q330" s="32"/>
      <c r="R330" s="32"/>
      <c r="S330" s="32"/>
      <c r="T330" s="32"/>
      <c r="U330" s="32"/>
      <c r="V330" s="32"/>
      <c r="W330" s="32"/>
      <c r="X330" s="32"/>
      <c r="Y330" s="32"/>
      <c r="Z330" s="32"/>
    </row>
    <row r="331">
      <c r="A331" s="32" t="str">
        <f>IFERROR(__xludf.DUMMYFUNCTION("""COMPUTED_VALUE"""),"Giant Magma Snail")</f>
        <v>Giant Magma Snail</v>
      </c>
      <c r="B331" s="32"/>
      <c r="C331" s="32">
        <f>IFERROR(__xludf.DUMMYFUNCTION("""COMPUTED_VALUE"""),100.0)</f>
        <v>100</v>
      </c>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t="str">
        <f>IFERROR(__xludf.DUMMYFUNCTION("""COMPUTED_VALUE"""),"Twilight Lord")</f>
        <v>Twilight Lord</v>
      </c>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t="str">
        <f>IFERROR(__xludf.DUMMYFUNCTION("""COMPUTED_VALUE"""),"Twilight Priest")</f>
        <v>Twilight Priest</v>
      </c>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t="str">
        <f>IFERROR(__xludf.DUMMYFUNCTION("""COMPUTED_VALUE"""),"Werewolf King")</f>
        <v>Werewolf King</v>
      </c>
      <c r="B334" s="32"/>
      <c r="C334" s="32"/>
      <c r="D334" s="32"/>
      <c r="E334" s="32"/>
      <c r="F334" s="32">
        <f>IFERROR(__xludf.DUMMYFUNCTION("""COMPUTED_VALUE"""),100.0)</f>
        <v>100</v>
      </c>
      <c r="G334" s="32"/>
      <c r="H334" s="32"/>
      <c r="I334" s="32"/>
      <c r="J334" s="32"/>
      <c r="K334" s="32"/>
      <c r="L334" s="32"/>
      <c r="M334" s="32"/>
      <c r="N334" s="32"/>
      <c r="O334" s="32"/>
      <c r="P334" s="32"/>
      <c r="Q334" s="32"/>
      <c r="R334" s="32"/>
      <c r="S334" s="32"/>
      <c r="T334" s="32"/>
      <c r="U334" s="32"/>
      <c r="V334" s="32"/>
      <c r="W334" s="32"/>
      <c r="X334" s="32"/>
      <c r="Y334" s="32"/>
      <c r="Z334" s="32"/>
    </row>
    <row r="335">
      <c r="A335" s="32" t="str">
        <f>IFERROR(__xludf.DUMMYFUNCTION("""COMPUTED_VALUE"""),"Mekanian Soldier")</f>
        <v>Mekanian Soldier</v>
      </c>
      <c r="B335" s="32"/>
      <c r="C335" s="32">
        <f>IFERROR(__xludf.DUMMYFUNCTION("""COMPUTED_VALUE"""),100.0)</f>
        <v>100</v>
      </c>
      <c r="D335" s="32">
        <f>IFERROR(__xludf.DUMMYFUNCTION("""COMPUTED_VALUE"""),100.0)</f>
        <v>100</v>
      </c>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t="str">
        <f>IFERROR(__xludf.DUMMYFUNCTION("""COMPUTED_VALUE"""),"Mekanian ")</f>
        <v>Mekanian </v>
      </c>
      <c r="B336" s="32"/>
      <c r="C336" s="32">
        <f>IFERROR(__xludf.DUMMYFUNCTION("""COMPUTED_VALUE"""),100.0)</f>
        <v>100</v>
      </c>
      <c r="D336" s="32">
        <f>IFERROR(__xludf.DUMMYFUNCTION("""COMPUTED_VALUE"""),100.0)</f>
        <v>100</v>
      </c>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t="str">
        <f>IFERROR(__xludf.DUMMYFUNCTION("""COMPUTED_VALUE"""),"Bashe The Cursed Sepent")</f>
        <v>Bashe The Cursed Sepent</v>
      </c>
      <c r="B337" s="32">
        <f>IFERROR(__xludf.DUMMYFUNCTION("""COMPUTED_VALUE"""),100.0)</f>
        <v>100</v>
      </c>
      <c r="C337" s="32"/>
      <c r="D337" s="32"/>
      <c r="E337" s="32"/>
      <c r="F337" s="32"/>
      <c r="G337" s="32"/>
      <c r="H337" s="32"/>
      <c r="I337" s="32"/>
      <c r="J337" s="32"/>
      <c r="K337" s="32">
        <f>IFERROR(__xludf.DUMMYFUNCTION("""COMPUTED_VALUE"""),100.0)</f>
        <v>100</v>
      </c>
      <c r="L337" s="32"/>
      <c r="M337" s="32"/>
      <c r="N337" s="32"/>
      <c r="O337" s="32"/>
      <c r="P337" s="32"/>
      <c r="Q337" s="32"/>
      <c r="R337" s="32"/>
      <c r="S337" s="32"/>
      <c r="T337" s="32"/>
      <c r="U337" s="32"/>
      <c r="V337" s="32"/>
      <c r="W337" s="32"/>
      <c r="X337" s="32"/>
      <c r="Y337" s="32"/>
      <c r="Z337" s="32"/>
    </row>
    <row r="338">
      <c r="A338" s="32" t="str">
        <f>IFERROR(__xludf.DUMMYFUNCTION("""COMPUTED_VALUE"""),"Grash, The Oni of Fiji")</f>
        <v>Grash, The Oni of Fiji</v>
      </c>
      <c r="B338" s="32"/>
      <c r="C338" s="32"/>
      <c r="D338" s="32"/>
      <c r="E338" s="32"/>
      <c r="F338" s="32">
        <f>IFERROR(__xludf.DUMMYFUNCTION("""COMPUTED_VALUE"""),100.0)</f>
        <v>100</v>
      </c>
      <c r="G338" s="32"/>
      <c r="H338" s="32"/>
      <c r="I338" s="32">
        <f>IFERROR(__xludf.DUMMYFUNCTION("""COMPUTED_VALUE"""),100.0)</f>
        <v>100</v>
      </c>
      <c r="J338" s="32"/>
      <c r="K338" s="32"/>
      <c r="L338" s="32">
        <f>IFERROR(__xludf.DUMMYFUNCTION("""COMPUTED_VALUE"""),100.0)</f>
        <v>100</v>
      </c>
      <c r="M338" s="32"/>
      <c r="N338" s="32"/>
      <c r="O338" s="32"/>
      <c r="P338" s="32"/>
      <c r="Q338" s="32"/>
      <c r="R338" s="32"/>
      <c r="S338" s="32"/>
      <c r="T338" s="32"/>
      <c r="U338" s="32"/>
      <c r="V338" s="32"/>
      <c r="W338" s="32"/>
      <c r="X338" s="32"/>
      <c r="Y338" s="32"/>
      <c r="Z338" s="32"/>
    </row>
    <row r="339">
      <c r="A339" s="32" t="str">
        <f>IFERROR(__xludf.DUMMYFUNCTION("""COMPUTED_VALUE"""),"The Black Tortoise ")</f>
        <v>The Black Tortoise </v>
      </c>
      <c r="B339" s="32"/>
      <c r="C339" s="32"/>
      <c r="D339" s="32"/>
      <c r="E339" s="32"/>
      <c r="F339" s="32">
        <f>IFERROR(__xludf.DUMMYFUNCTION("""COMPUTED_VALUE"""),100.0)</f>
        <v>100</v>
      </c>
      <c r="G339" s="32"/>
      <c r="H339" s="32"/>
      <c r="I339" s="32">
        <f>IFERROR(__xludf.DUMMYFUNCTION("""COMPUTED_VALUE"""),100.0)</f>
        <v>100</v>
      </c>
      <c r="J339" s="32"/>
      <c r="K339" s="32"/>
      <c r="L339" s="32"/>
      <c r="M339" s="32"/>
      <c r="N339" s="32"/>
      <c r="O339" s="32"/>
      <c r="P339" s="32"/>
      <c r="Q339" s="32"/>
      <c r="R339" s="32"/>
      <c r="S339" s="32"/>
      <c r="T339" s="32"/>
      <c r="U339" s="32"/>
      <c r="V339" s="32"/>
      <c r="W339" s="32"/>
      <c r="X339" s="32"/>
      <c r="Y339" s="32"/>
      <c r="Z339" s="32"/>
    </row>
    <row r="340">
      <c r="A340" s="32" t="str">
        <f>IFERROR(__xludf.DUMMYFUNCTION("""COMPUTED_VALUE"""),"PyroShell")</f>
        <v>PyroShell</v>
      </c>
      <c r="B340" s="32"/>
      <c r="C340" s="32">
        <f>IFERROR(__xludf.DUMMYFUNCTION("""COMPUTED_VALUE"""),100.0)</f>
        <v>100</v>
      </c>
      <c r="D340" s="32"/>
      <c r="E340" s="32">
        <f>IFERROR(__xludf.DUMMYFUNCTION("""COMPUTED_VALUE"""),100.0)</f>
        <v>100</v>
      </c>
      <c r="F340" s="32"/>
      <c r="G340" s="32"/>
      <c r="H340" s="32"/>
      <c r="I340" s="32"/>
      <c r="J340" s="32"/>
      <c r="K340" s="32"/>
      <c r="L340" s="32"/>
      <c r="M340" s="32"/>
      <c r="N340" s="32"/>
      <c r="O340" s="32"/>
      <c r="P340" s="32"/>
      <c r="Q340" s="32"/>
      <c r="R340" s="32"/>
      <c r="S340" s="32"/>
      <c r="T340" s="32"/>
      <c r="U340" s="32"/>
      <c r="V340" s="32"/>
      <c r="W340" s="32"/>
      <c r="X340" s="32"/>
      <c r="Y340" s="32"/>
      <c r="Z340" s="32"/>
    </row>
    <row r="341">
      <c r="A341" s="32" t="str">
        <f>IFERROR(__xludf.DUMMYFUNCTION("""COMPUTED_VALUE"""),"Dragonscale Guard (Tier III)")</f>
        <v>Dragonscale Guard (Tier III)</v>
      </c>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t="str">
        <f>IFERROR(__xludf.DUMMYFUNCTION("""COMPUTED_VALUE"""),"Dragonscale Guard (Tier II)")</f>
        <v>Dragonscale Guard (Tier II)</v>
      </c>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t="str">
        <f>IFERROR(__xludf.DUMMYFUNCTION("""COMPUTED_VALUE"""),"Dragonscale Guard (Tier I)")</f>
        <v>Dragonscale Guard (Tier I)</v>
      </c>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t="str">
        <f>IFERROR(__xludf.DUMMYFUNCTION("""COMPUTED_VALUE"""),"Abstara Guard (Tier IIl)")</f>
        <v>Abstara Guard (Tier IIl)</v>
      </c>
      <c r="B344" s="32"/>
      <c r="C344" s="32"/>
      <c r="D344" s="32"/>
      <c r="E344" s="32"/>
      <c r="F344" s="32">
        <f>IFERROR(__xludf.DUMMYFUNCTION("""COMPUTED_VALUE"""),100.0)</f>
        <v>100</v>
      </c>
      <c r="G344" s="32"/>
      <c r="H344" s="32"/>
      <c r="I344" s="32">
        <f>IFERROR(__xludf.DUMMYFUNCTION("""COMPUTED_VALUE"""),100.0)</f>
        <v>100</v>
      </c>
      <c r="J344" s="32"/>
      <c r="K344" s="32"/>
      <c r="L344" s="32"/>
      <c r="M344" s="32"/>
      <c r="N344" s="32"/>
      <c r="O344" s="32"/>
      <c r="P344" s="32"/>
      <c r="Q344" s="32"/>
      <c r="R344" s="32"/>
      <c r="S344" s="32"/>
      <c r="T344" s="32"/>
      <c r="U344" s="32"/>
      <c r="V344" s="32"/>
      <c r="W344" s="32"/>
      <c r="X344" s="32"/>
      <c r="Y344" s="32"/>
      <c r="Z344" s="32"/>
    </row>
    <row r="345">
      <c r="A345" s="32" t="str">
        <f>IFERROR(__xludf.DUMMYFUNCTION("""COMPUTED_VALUE"""),"Abstara Guard (Tier II)")</f>
        <v>Abstara Guard (Tier II)</v>
      </c>
      <c r="B345" s="32"/>
      <c r="C345" s="32"/>
      <c r="D345" s="32"/>
      <c r="E345" s="32"/>
      <c r="F345" s="32">
        <f>IFERROR(__xludf.DUMMYFUNCTION("""COMPUTED_VALUE"""),100.0)</f>
        <v>100</v>
      </c>
      <c r="G345" s="32"/>
      <c r="H345" s="32"/>
      <c r="I345" s="32">
        <f>IFERROR(__xludf.DUMMYFUNCTION("""COMPUTED_VALUE"""),100.0)</f>
        <v>100</v>
      </c>
      <c r="J345" s="32"/>
      <c r="K345" s="32"/>
      <c r="L345" s="32"/>
      <c r="M345" s="32"/>
      <c r="N345" s="32"/>
      <c r="O345" s="32"/>
      <c r="P345" s="32"/>
      <c r="Q345" s="32"/>
      <c r="R345" s="32"/>
      <c r="S345" s="32"/>
      <c r="T345" s="32"/>
      <c r="U345" s="32"/>
      <c r="V345" s="32"/>
      <c r="W345" s="32"/>
      <c r="X345" s="32"/>
      <c r="Y345" s="32"/>
      <c r="Z345" s="32"/>
    </row>
    <row r="346">
      <c r="A346" s="32" t="str">
        <f>IFERROR(__xludf.DUMMYFUNCTION("""COMPUTED_VALUE"""),"Abstara  Guard (Tier l)")</f>
        <v>Abstara  Guard (Tier l)</v>
      </c>
      <c r="B346" s="32"/>
      <c r="C346" s="32"/>
      <c r="D346" s="32"/>
      <c r="E346" s="32"/>
      <c r="F346" s="32">
        <f>IFERROR(__xludf.DUMMYFUNCTION("""COMPUTED_VALUE"""),100.0)</f>
        <v>100</v>
      </c>
      <c r="G346" s="32"/>
      <c r="H346" s="32"/>
      <c r="I346" s="32">
        <f>IFERROR(__xludf.DUMMYFUNCTION("""COMPUTED_VALUE"""),100.0)</f>
        <v>100</v>
      </c>
      <c r="J346" s="32"/>
      <c r="K346" s="32"/>
      <c r="L346" s="32"/>
      <c r="M346" s="32"/>
      <c r="N346" s="32"/>
      <c r="O346" s="32"/>
      <c r="P346" s="32"/>
      <c r="Q346" s="32"/>
      <c r="R346" s="32"/>
      <c r="S346" s="32"/>
      <c r="T346" s="32"/>
      <c r="U346" s="32"/>
      <c r="V346" s="32"/>
      <c r="W346" s="32"/>
      <c r="X346" s="32"/>
      <c r="Y346" s="32"/>
      <c r="Z346" s="32"/>
    </row>
    <row r="347">
      <c r="A347" s="32" t="str">
        <f>IFERROR(__xludf.DUMMYFUNCTION("""COMPUTED_VALUE"""),"Wave Rider Paladins")</f>
        <v>Wave Rider Paladins</v>
      </c>
      <c r="B347" s="32"/>
      <c r="C347" s="32"/>
      <c r="D347" s="32"/>
      <c r="E347" s="32"/>
      <c r="F347" s="32"/>
      <c r="G347" s="32"/>
      <c r="H347" s="32"/>
      <c r="I347" s="32"/>
      <c r="J347" s="32"/>
      <c r="K347" s="32">
        <f>IFERROR(__xludf.DUMMYFUNCTION("""COMPUTED_VALUE"""),100.0)</f>
        <v>100</v>
      </c>
      <c r="L347" s="32"/>
      <c r="M347" s="32"/>
      <c r="N347" s="32"/>
      <c r="O347" s="32"/>
      <c r="P347" s="32"/>
      <c r="Q347" s="32"/>
      <c r="R347" s="32"/>
      <c r="S347" s="32"/>
      <c r="T347" s="32"/>
      <c r="U347" s="32"/>
      <c r="V347" s="32"/>
      <c r="W347" s="32"/>
      <c r="X347" s="32"/>
      <c r="Y347" s="32"/>
      <c r="Z347" s="32"/>
    </row>
    <row r="348">
      <c r="A348" s="32" t="str">
        <f>IFERROR(__xludf.DUMMYFUNCTION("""COMPUTED_VALUE"""),"Urchin Swiffer Paladins")</f>
        <v>Urchin Swiffer Paladins</v>
      </c>
      <c r="B348" s="32"/>
      <c r="C348" s="32"/>
      <c r="D348" s="32"/>
      <c r="E348" s="32"/>
      <c r="F348" s="32"/>
      <c r="G348" s="32"/>
      <c r="H348" s="32"/>
      <c r="I348" s="32"/>
      <c r="J348" s="32"/>
      <c r="K348" s="32">
        <f>IFERROR(__xludf.DUMMYFUNCTION("""COMPUTED_VALUE"""),100.0)</f>
        <v>100</v>
      </c>
      <c r="L348" s="32"/>
      <c r="M348" s="32"/>
      <c r="N348" s="32"/>
      <c r="O348" s="32"/>
      <c r="P348" s="32"/>
      <c r="Q348" s="32"/>
      <c r="R348" s="32"/>
      <c r="S348" s="32"/>
      <c r="T348" s="32"/>
      <c r="U348" s="32"/>
      <c r="V348" s="32"/>
      <c r="W348" s="32"/>
      <c r="X348" s="32"/>
      <c r="Y348" s="32"/>
      <c r="Z348" s="32"/>
    </row>
    <row r="349">
      <c r="A349" s="32" t="str">
        <f>IFERROR(__xludf.DUMMYFUNCTION("""COMPUTED_VALUE"""),"The Bloodletters")</f>
        <v>The Bloodletters</v>
      </c>
      <c r="B349" s="32"/>
      <c r="C349" s="32"/>
      <c r="D349" s="32"/>
      <c r="E349" s="32"/>
      <c r="F349" s="32">
        <f>IFERROR(__xludf.DUMMYFUNCTION("""COMPUTED_VALUE"""),100.0)</f>
        <v>100</v>
      </c>
      <c r="G349" s="32"/>
      <c r="H349" s="32"/>
      <c r="I349" s="32">
        <f>IFERROR(__xludf.DUMMYFUNCTION("""COMPUTED_VALUE"""),100.0)</f>
        <v>100</v>
      </c>
      <c r="J349" s="32"/>
      <c r="K349" s="32"/>
      <c r="L349" s="32"/>
      <c r="M349" s="32"/>
      <c r="N349" s="32"/>
      <c r="O349" s="32"/>
      <c r="P349" s="32"/>
      <c r="Q349" s="32"/>
      <c r="R349" s="32"/>
      <c r="S349" s="32"/>
      <c r="T349" s="32"/>
      <c r="U349" s="32"/>
      <c r="V349" s="32"/>
      <c r="W349" s="32">
        <f>IFERROR(__xludf.DUMMYFUNCTION("""COMPUTED_VALUE"""),100.0)</f>
        <v>100</v>
      </c>
      <c r="X349" s="32"/>
      <c r="Y349" s="32"/>
      <c r="Z349" s="32"/>
    </row>
    <row r="350">
      <c r="A350" s="32" t="str">
        <f>IFERROR(__xludf.DUMMYFUNCTION("""COMPUTED_VALUE"""),"The Soulbound Royals")</f>
        <v>The Soulbound Royals</v>
      </c>
      <c r="B350" s="32"/>
      <c r="C350" s="32"/>
      <c r="D350" s="32"/>
      <c r="E350" s="32"/>
      <c r="F350" s="32">
        <f>IFERROR(__xludf.DUMMYFUNCTION("""COMPUTED_VALUE"""),100.0)</f>
        <v>100</v>
      </c>
      <c r="G350" s="32"/>
      <c r="H350" s="32"/>
      <c r="I350" s="32">
        <f>IFERROR(__xludf.DUMMYFUNCTION("""COMPUTED_VALUE"""),100.0)</f>
        <v>100</v>
      </c>
      <c r="J350" s="32"/>
      <c r="K350" s="32"/>
      <c r="L350" s="32"/>
      <c r="M350" s="32"/>
      <c r="N350" s="32"/>
      <c r="O350" s="32"/>
      <c r="P350" s="32"/>
      <c r="Q350" s="32"/>
      <c r="R350" s="32"/>
      <c r="S350" s="32"/>
      <c r="T350" s="32"/>
      <c r="U350" s="32"/>
      <c r="V350" s="32"/>
      <c r="W350" s="32">
        <f>IFERROR(__xludf.DUMMYFUNCTION("""COMPUTED_VALUE"""),100.0)</f>
        <v>100</v>
      </c>
      <c r="X350" s="32"/>
      <c r="Y350" s="32"/>
      <c r="Z350" s="32"/>
    </row>
    <row r="351">
      <c r="A351" s="32" t="str">
        <f>IFERROR(__xludf.DUMMYFUNCTION("""COMPUTED_VALUE"""),"The Exiled One")</f>
        <v>The Exiled One</v>
      </c>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t="str">
        <f>IFERROR(__xludf.DUMMYFUNCTION("""COMPUTED_VALUE"""),"Monk (Abbot)")</f>
        <v>Monk (Abbot)</v>
      </c>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t="str">
        <f>IFERROR(__xludf.DUMMYFUNCTION("""COMPUTED_VALUE"""),"Guardian Of Nature")</f>
        <v>Guardian Of Nature</v>
      </c>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t="str">
        <f>IFERROR(__xludf.DUMMYFUNCTION("""COMPUTED_VALUE"""),"Shark (WD) (Enhanced0")</f>
        <v>Shark (WD) (Enhanced0</v>
      </c>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t="str">
        <f>IFERROR(__xludf.DUMMYFUNCTION("""COMPUTED_VALUE"""),"Hades The god of the Underworld")</f>
        <v>Hades The god of the Underworld</v>
      </c>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t="str">
        <f>IFERROR(__xludf.DUMMYFUNCTION("""COMPUTED_VALUE"""),"Sataniel - Keeper of The Banished")</f>
        <v>Sataniel - Keeper of The Banished</v>
      </c>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t="str">
        <f>IFERROR(__xludf.DUMMYFUNCTION("""COMPUTED_VALUE"""),"Trap: Pendulum")</f>
        <v>Trap: Pendulum</v>
      </c>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t="str">
        <f>IFERROR(__xludf.DUMMYFUNCTION("""COMPUTED_VALUE"""),"Trap: Moving Saw Blade")</f>
        <v>Trap: Moving Saw Blade</v>
      </c>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t="str">
        <f>IFERROR(__xludf.DUMMYFUNCTION("""COMPUTED_VALUE"""),"Trap: Bear Trap")</f>
        <v>Trap: Bear Trap</v>
      </c>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t="str">
        <f>IFERROR(__xludf.DUMMYFUNCTION("""COMPUTED_VALUE"""),"Trap: Pitfall")</f>
        <v>Trap: Pitfall</v>
      </c>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t="str">
        <f>IFERROR(__xludf.DUMMYFUNCTION("""COMPUTED_VALUE"""),"Trap: Flaming Arrows")</f>
        <v>Trap: Flaming Arrows</v>
      </c>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t="str">
        <f>IFERROR(__xludf.DUMMYFUNCTION("""COMPUTED_VALUE"""),"Trap: Bolder")</f>
        <v>Trap: Bolder</v>
      </c>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t="str">
        <f>IFERROR(__xludf.DUMMYFUNCTION("""COMPUTED_VALUE"""),"Trap: Mimic")</f>
        <v>Trap: Mimic</v>
      </c>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t="str">
        <f>IFERROR(__xludf.DUMMYFUNCTION("""COMPUTED_VALUE"""),"Mimic (Mob)")</f>
        <v>Mimic (Mob)</v>
      </c>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t="str">
        <f>IFERROR(__xludf.DUMMYFUNCTION("""COMPUTED_VALUE"""),"Puzzle: Floating Underground Sphere")</f>
        <v>Puzzle: Floating Underground Sphere</v>
      </c>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t="str">
        <f>IFERROR(__xludf.DUMMYFUNCTION("""COMPUTED_VALUE"""),"Puzzle: Locked Stone Platform Entrance")</f>
        <v>Puzzle: Locked Stone Platform Entrance</v>
      </c>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t="str">
        <f>IFERROR(__xludf.DUMMYFUNCTION("""COMPUTED_VALUE"""),"Puzzle: Mysterious Symbol")</f>
        <v>Puzzle: Mysterious Symbol</v>
      </c>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t="str">
        <f>IFERROR(__xludf.DUMMYFUNCTION("""COMPUTED_VALUE"""),"Puzzle: Ancient Stone Statue")</f>
        <v>Puzzle: Ancient Stone Statue</v>
      </c>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t="str">
        <f>IFERROR(__xludf.DUMMYFUNCTION("""COMPUTED_VALUE"""),"Puzzle: The Chosen One")</f>
        <v>Puzzle: The Chosen One</v>
      </c>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t="str">
        <f>IFERROR(__xludf.DUMMYFUNCTION("""COMPUTED_VALUE"""),"Poseidon, God of Tritonoch")</f>
        <v>Poseidon, God of Tritonoch</v>
      </c>
      <c r="B370" s="32"/>
      <c r="C370" s="32"/>
      <c r="D370" s="32"/>
      <c r="E370" s="32"/>
      <c r="F370" s="32"/>
      <c r="G370" s="32"/>
      <c r="H370" s="32"/>
      <c r="I370" s="32"/>
      <c r="J370" s="32"/>
      <c r="K370" s="32"/>
      <c r="L370" s="32"/>
      <c r="M370" s="32"/>
      <c r="N370" s="32"/>
      <c r="O370" s="32"/>
      <c r="P370" s="32"/>
      <c r="Q370" s="32"/>
      <c r="R370" s="32"/>
      <c r="S370" s="32"/>
      <c r="T370" s="32"/>
      <c r="U370" s="32"/>
      <c r="V370" s="32"/>
      <c r="W370" s="32">
        <f>IFERROR(__xludf.DUMMYFUNCTION("""COMPUTED_VALUE"""),100.0)</f>
        <v>100</v>
      </c>
      <c r="X370" s="32"/>
      <c r="Y370" s="32"/>
      <c r="Z370" s="32"/>
    </row>
    <row r="371">
      <c r="A371" s="32" t="str">
        <f>IFERROR(__xludf.DUMMYFUNCTION("""COMPUTED_VALUE"""),"Neptune, God of Atlotopia")</f>
        <v>Neptune, God of Atlotopia</v>
      </c>
      <c r="B371" s="32"/>
      <c r="C371" s="32"/>
      <c r="D371" s="32"/>
      <c r="E371" s="32"/>
      <c r="F371" s="32"/>
      <c r="G371" s="32"/>
      <c r="H371" s="32"/>
      <c r="I371" s="32"/>
      <c r="J371" s="32"/>
      <c r="K371" s="32"/>
      <c r="L371" s="32"/>
      <c r="M371" s="32"/>
      <c r="N371" s="32"/>
      <c r="O371" s="32"/>
      <c r="P371" s="32"/>
      <c r="Q371" s="32"/>
      <c r="R371" s="32"/>
      <c r="S371" s="32"/>
      <c r="T371" s="32"/>
      <c r="U371" s="32"/>
      <c r="V371" s="32"/>
      <c r="W371" s="32">
        <f>IFERROR(__xludf.DUMMYFUNCTION("""COMPUTED_VALUE"""),100.0)</f>
        <v>100</v>
      </c>
      <c r="X371" s="32"/>
      <c r="Y371" s="32"/>
      <c r="Z371" s="32"/>
    </row>
    <row r="372">
      <c r="A372" s="32" t="str">
        <f>IFERROR(__xludf.DUMMYFUNCTION("""COMPUTED_VALUE"""),"Dionysus, The Eternal Party")</f>
        <v>Dionysus, The Eternal Party</v>
      </c>
      <c r="B372" s="32"/>
      <c r="C372" s="32"/>
      <c r="D372" s="32"/>
      <c r="E372" s="32"/>
      <c r="F372" s="32"/>
      <c r="G372" s="32"/>
      <c r="H372" s="32"/>
      <c r="I372" s="32"/>
      <c r="J372" s="32"/>
      <c r="K372" s="32"/>
      <c r="L372" s="32"/>
      <c r="M372" s="32"/>
      <c r="N372" s="32"/>
      <c r="O372" s="32"/>
      <c r="P372" s="32"/>
      <c r="Q372" s="32"/>
      <c r="R372" s="32"/>
      <c r="S372" s="32"/>
      <c r="T372" s="32"/>
      <c r="U372" s="32"/>
      <c r="V372" s="32"/>
      <c r="W372" s="32">
        <f>IFERROR(__xludf.DUMMYFUNCTION("""COMPUTED_VALUE"""),100.0)</f>
        <v>100</v>
      </c>
      <c r="X372" s="32"/>
      <c r="Y372" s="32"/>
      <c r="Z372" s="32"/>
    </row>
    <row r="373">
      <c r="A373" s="32" t="str">
        <f>IFERROR(__xludf.DUMMYFUNCTION("""COMPUTED_VALUE"""),"The Storm Bloods")</f>
        <v>The Storm Bloods</v>
      </c>
      <c r="B373" s="32"/>
      <c r="C373" s="32"/>
      <c r="D373" s="32"/>
      <c r="E373" s="32"/>
      <c r="F373" s="32"/>
      <c r="G373" s="32"/>
      <c r="H373" s="32"/>
      <c r="I373" s="32"/>
      <c r="J373" s="32"/>
      <c r="K373" s="32"/>
      <c r="L373" s="32"/>
      <c r="M373" s="32"/>
      <c r="N373" s="32"/>
      <c r="O373" s="32"/>
      <c r="P373" s="32"/>
      <c r="Q373" s="32"/>
      <c r="R373" s="32"/>
      <c r="S373" s="32"/>
      <c r="T373" s="32"/>
      <c r="U373" s="32"/>
      <c r="V373" s="32"/>
      <c r="W373" s="32">
        <f>IFERROR(__xludf.DUMMYFUNCTION("""COMPUTED_VALUE"""),100.0)</f>
        <v>100</v>
      </c>
      <c r="X373" s="32"/>
      <c r="Y373" s="32"/>
      <c r="Z373" s="32"/>
    </row>
    <row r="374">
      <c r="A374" s="32" t="str">
        <f>IFERROR(__xludf.DUMMYFUNCTION("""COMPUTED_VALUE"""),"The Astrologians")</f>
        <v>The Astrologians</v>
      </c>
      <c r="B374" s="32"/>
      <c r="C374" s="32"/>
      <c r="D374" s="32"/>
      <c r="E374" s="32"/>
      <c r="F374" s="32"/>
      <c r="G374" s="32"/>
      <c r="H374" s="32"/>
      <c r="I374" s="32"/>
      <c r="J374" s="32"/>
      <c r="K374" s="32"/>
      <c r="L374" s="32"/>
      <c r="M374" s="32"/>
      <c r="N374" s="32"/>
      <c r="O374" s="32"/>
      <c r="P374" s="32"/>
      <c r="Q374" s="32"/>
      <c r="R374" s="32"/>
      <c r="S374" s="32"/>
      <c r="T374" s="32"/>
      <c r="U374" s="32"/>
      <c r="V374" s="32"/>
      <c r="W374" s="32">
        <f>IFERROR(__xludf.DUMMYFUNCTION("""COMPUTED_VALUE"""),100.0)</f>
        <v>100</v>
      </c>
      <c r="X374" s="32"/>
      <c r="Y374" s="32"/>
      <c r="Z374" s="32"/>
    </row>
    <row r="375">
      <c r="A375" s="32" t="str">
        <f>IFERROR(__xludf.DUMMYFUNCTION("""COMPUTED_VALUE"""),"The Harbingers of The Voidwoken (Spira)")</f>
        <v>The Harbingers of The Voidwoken (Spira)</v>
      </c>
      <c r="B375" s="32"/>
      <c r="C375" s="32"/>
      <c r="D375" s="32"/>
      <c r="E375" s="32"/>
      <c r="F375" s="32"/>
      <c r="G375" s="32"/>
      <c r="H375" s="32"/>
      <c r="I375" s="32"/>
      <c r="J375" s="32"/>
      <c r="K375" s="32"/>
      <c r="L375" s="32"/>
      <c r="M375" s="32"/>
      <c r="N375" s="32"/>
      <c r="O375" s="32"/>
      <c r="P375" s="32"/>
      <c r="Q375" s="32"/>
      <c r="R375" s="32"/>
      <c r="S375" s="32"/>
      <c r="T375" s="32"/>
      <c r="U375" s="32"/>
      <c r="V375" s="32"/>
      <c r="W375" s="32">
        <f>IFERROR(__xludf.DUMMYFUNCTION("""COMPUTED_VALUE"""),100.0)</f>
        <v>100</v>
      </c>
      <c r="X375" s="32"/>
      <c r="Y375" s="32"/>
      <c r="Z375" s="32"/>
    </row>
    <row r="376">
      <c r="A376" s="32" t="str">
        <f>IFERROR(__xludf.DUMMYFUNCTION("""COMPUTED_VALUE"""),"Imphigenia, Betrayed Goddess Of The Moon")</f>
        <v>Imphigenia, Betrayed Goddess Of The Moon</v>
      </c>
      <c r="B376" s="32"/>
      <c r="C376" s="32"/>
      <c r="D376" s="32"/>
      <c r="E376" s="32"/>
      <c r="F376" s="32"/>
      <c r="G376" s="32"/>
      <c r="H376" s="32"/>
      <c r="I376" s="32"/>
      <c r="J376" s="32"/>
      <c r="K376" s="32"/>
      <c r="L376" s="32"/>
      <c r="M376" s="32"/>
      <c r="N376" s="32"/>
      <c r="O376" s="32"/>
      <c r="P376" s="32"/>
      <c r="Q376" s="32"/>
      <c r="R376" s="32"/>
      <c r="S376" s="32"/>
      <c r="T376" s="32"/>
      <c r="U376" s="32"/>
      <c r="V376" s="32"/>
      <c r="W376" s="32">
        <f>IFERROR(__xludf.DUMMYFUNCTION("""COMPUTED_VALUE"""),100.0)</f>
        <v>100</v>
      </c>
      <c r="X376" s="32"/>
      <c r="Y376" s="32"/>
      <c r="Z376" s="32"/>
    </row>
    <row r="377">
      <c r="A377" s="32" t="str">
        <f>IFERROR(__xludf.DUMMYFUNCTION("""COMPUTED_VALUE"""),"Imphigenia, Harbinger of Revenge")</f>
        <v>Imphigenia, Harbinger of Revenge</v>
      </c>
      <c r="B377" s="32"/>
      <c r="C377" s="32"/>
      <c r="D377" s="32"/>
      <c r="E377" s="32"/>
      <c r="F377" s="32"/>
      <c r="G377" s="32"/>
      <c r="H377" s="32"/>
      <c r="I377" s="32"/>
      <c r="J377" s="32"/>
      <c r="K377" s="32"/>
      <c r="L377" s="32"/>
      <c r="M377" s="32"/>
      <c r="N377" s="32"/>
      <c r="O377" s="32"/>
      <c r="P377" s="32"/>
      <c r="Q377" s="32"/>
      <c r="R377" s="32"/>
      <c r="S377" s="32"/>
      <c r="T377" s="32"/>
      <c r="U377" s="32"/>
      <c r="V377" s="32"/>
      <c r="W377" s="32">
        <f>IFERROR(__xludf.DUMMYFUNCTION("""COMPUTED_VALUE"""),100.0)</f>
        <v>100</v>
      </c>
      <c r="X377" s="32"/>
      <c r="Y377" s="32"/>
      <c r="Z377" s="32"/>
    </row>
    <row r="378">
      <c r="A378" s="32" t="str">
        <f>IFERROR(__xludf.DUMMYFUNCTION("""COMPUTED_VALUE"""),"Lunarion, Faithful Hound of Imphigenia")</f>
        <v>Lunarion, Faithful Hound of Imphigenia</v>
      </c>
      <c r="B378" s="32"/>
      <c r="C378" s="32"/>
      <c r="D378" s="32"/>
      <c r="E378" s="32"/>
      <c r="F378" s="32"/>
      <c r="G378" s="32"/>
      <c r="H378" s="32"/>
      <c r="I378" s="32"/>
      <c r="J378" s="32"/>
      <c r="K378" s="32"/>
      <c r="L378" s="32"/>
      <c r="M378" s="32"/>
      <c r="N378" s="32"/>
      <c r="O378" s="32"/>
      <c r="P378" s="32"/>
      <c r="Q378" s="32"/>
      <c r="R378" s="32"/>
      <c r="S378" s="32"/>
      <c r="T378" s="32"/>
      <c r="U378" s="32"/>
      <c r="V378" s="32"/>
      <c r="W378" s="32">
        <f>IFERROR(__xludf.DUMMYFUNCTION("""COMPUTED_VALUE"""),100.0)</f>
        <v>100</v>
      </c>
      <c r="X378" s="32"/>
      <c r="Y378" s="32"/>
      <c r="Z378" s="32"/>
    </row>
    <row r="379">
      <c r="A379" s="32" t="str">
        <f>IFERROR(__xludf.DUMMYFUNCTION("""COMPUTED_VALUE"""),"The Harbingers of The Voidwoken (DragonScale)")</f>
        <v>The Harbingers of The Voidwoken (DragonScale)</v>
      </c>
      <c r="B379" s="32"/>
      <c r="C379" s="32"/>
      <c r="D379" s="32"/>
      <c r="E379" s="32"/>
      <c r="F379" s="32"/>
      <c r="G379" s="32"/>
      <c r="H379" s="32"/>
      <c r="I379" s="32"/>
      <c r="J379" s="32"/>
      <c r="K379" s="32"/>
      <c r="L379" s="32"/>
      <c r="M379" s="32"/>
      <c r="N379" s="32"/>
      <c r="O379" s="32"/>
      <c r="P379" s="32"/>
      <c r="Q379" s="32"/>
      <c r="R379" s="32"/>
      <c r="S379" s="32"/>
      <c r="T379" s="32"/>
      <c r="U379" s="32"/>
      <c r="V379" s="32"/>
      <c r="W379" s="32">
        <f>IFERROR(__xludf.DUMMYFUNCTION("""COMPUTED_VALUE"""),100.0)</f>
        <v>100</v>
      </c>
      <c r="X379" s="32"/>
      <c r="Y379" s="32"/>
      <c r="Z379" s="32"/>
    </row>
    <row r="380">
      <c r="A380" s="32" t="str">
        <f>IFERROR(__xludf.DUMMYFUNCTION("""COMPUTED_VALUE"""),"The Harbingers of The Voidwoken (Abstara)")</f>
        <v>The Harbingers of The Voidwoken (Abstara)</v>
      </c>
      <c r="B380" s="32"/>
      <c r="C380" s="32"/>
      <c r="D380" s="32"/>
      <c r="E380" s="32"/>
      <c r="F380" s="32"/>
      <c r="G380" s="32"/>
      <c r="H380" s="32"/>
      <c r="I380" s="32"/>
      <c r="J380" s="32"/>
      <c r="K380" s="32"/>
      <c r="L380" s="32"/>
      <c r="M380" s="32"/>
      <c r="N380" s="32"/>
      <c r="O380" s="32"/>
      <c r="P380" s="32"/>
      <c r="Q380" s="32"/>
      <c r="R380" s="32"/>
      <c r="S380" s="32"/>
      <c r="T380" s="32"/>
      <c r="U380" s="32"/>
      <c r="V380" s="32"/>
      <c r="W380" s="32">
        <f>IFERROR(__xludf.DUMMYFUNCTION("""COMPUTED_VALUE"""),100.0)</f>
        <v>100</v>
      </c>
      <c r="X380" s="32"/>
      <c r="Y380" s="32"/>
      <c r="Z380" s="32"/>
    </row>
    <row r="381">
      <c r="A381" s="32" t="str">
        <f>IFERROR(__xludf.DUMMYFUNCTION("""COMPUTED_VALUE"""),"The Harbingers of The Voidwoken (Solreach)")</f>
        <v>The Harbingers of The Voidwoken (Solreach)</v>
      </c>
      <c r="B381" s="32"/>
      <c r="C381" s="32"/>
      <c r="D381" s="32"/>
      <c r="E381" s="32"/>
      <c r="F381" s="32"/>
      <c r="G381" s="32"/>
      <c r="H381" s="32"/>
      <c r="I381" s="32"/>
      <c r="J381" s="32"/>
      <c r="K381" s="32"/>
      <c r="L381" s="32"/>
      <c r="M381" s="32"/>
      <c r="N381" s="32"/>
      <c r="O381" s="32"/>
      <c r="P381" s="32"/>
      <c r="Q381" s="32"/>
      <c r="R381" s="32"/>
      <c r="S381" s="32"/>
      <c r="T381" s="32"/>
      <c r="U381" s="32"/>
      <c r="V381" s="32"/>
      <c r="W381" s="32">
        <f>IFERROR(__xludf.DUMMYFUNCTION("""COMPUTED_VALUE"""),100.0)</f>
        <v>100</v>
      </c>
      <c r="X381" s="32"/>
      <c r="Y381" s="32"/>
      <c r="Z381" s="32"/>
    </row>
    <row r="382">
      <c r="A382" s="32" t="str">
        <f>IFERROR(__xludf.DUMMYFUNCTION("""COMPUTED_VALUE"""),"Nereid")</f>
        <v>Nereid</v>
      </c>
      <c r="B382" s="32"/>
      <c r="C382" s="32"/>
      <c r="D382" s="32"/>
      <c r="E382" s="32"/>
      <c r="F382" s="32"/>
      <c r="G382" s="32"/>
      <c r="H382" s="32">
        <f>IFERROR(__xludf.DUMMYFUNCTION("""COMPUTED_VALUE"""),100.0)</f>
        <v>100</v>
      </c>
      <c r="I382" s="32"/>
      <c r="J382" s="32"/>
      <c r="K382" s="32">
        <f>IFERROR(__xludf.DUMMYFUNCTION("""COMPUTED_VALUE"""),100.0)</f>
        <v>100</v>
      </c>
      <c r="L382" s="32"/>
      <c r="M382" s="32"/>
      <c r="N382" s="32"/>
      <c r="O382" s="32"/>
      <c r="P382" s="32"/>
      <c r="Q382" s="32"/>
      <c r="R382" s="32"/>
      <c r="S382" s="32"/>
      <c r="T382" s="32"/>
      <c r="U382" s="32"/>
      <c r="V382" s="32"/>
      <c r="W382" s="32"/>
      <c r="X382" s="32"/>
      <c r="Y382" s="32"/>
      <c r="Z382" s="32"/>
    </row>
    <row r="383">
      <c r="A383" s="32" t="str">
        <f>IFERROR(__xludf.DUMMYFUNCTION("""COMPUTED_VALUE"""),"Ancient Water Elemental")</f>
        <v>Ancient Water Elemental</v>
      </c>
      <c r="B383" s="32"/>
      <c r="C383" s="32"/>
      <c r="D383" s="32"/>
      <c r="E383" s="32"/>
      <c r="F383" s="32"/>
      <c r="G383" s="32"/>
      <c r="H383" s="32">
        <f>IFERROR(__xludf.DUMMYFUNCTION("""COMPUTED_VALUE"""),50.0)</f>
        <v>50</v>
      </c>
      <c r="I383" s="32"/>
      <c r="J383" s="32"/>
      <c r="K383" s="32">
        <f>IFERROR(__xludf.DUMMYFUNCTION("""COMPUTED_VALUE"""),50.0)</f>
        <v>50</v>
      </c>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t="str">
        <f>IFERROR(__xludf.DUMMYFUNCTION("""COMPUTED_VALUE"""),"Crystal Colossus")</f>
        <v>Crystal Colossus</v>
      </c>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t="str">
        <f>IFERROR(__xludf.DUMMYFUNCTION("""COMPUTED_VALUE"""),"The Great Storm Kaiju")</f>
        <v>The Great Storm Kaiju</v>
      </c>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t="str">
        <f>IFERROR(__xludf.DUMMYFUNCTION("""COMPUTED_VALUE"""),"Gaia, Goddess of Earth")</f>
        <v>Gaia, Goddess of Earth</v>
      </c>
      <c r="B389" s="32"/>
      <c r="C389" s="32">
        <f>IFERROR(__xludf.DUMMYFUNCTION("""COMPUTED_VALUE"""),100.0)</f>
        <v>100</v>
      </c>
      <c r="D389" s="32">
        <f>IFERROR(__xludf.DUMMYFUNCTION("""COMPUTED_VALUE"""),100.0)</f>
        <v>100</v>
      </c>
      <c r="E389" s="32"/>
      <c r="F389" s="32"/>
      <c r="G389" s="32">
        <f>IFERROR(__xludf.DUMMYFUNCTION("""COMPUTED_VALUE"""),100.0)</f>
        <v>100</v>
      </c>
      <c r="H389" s="32"/>
      <c r="I389" s="32"/>
      <c r="J389" s="32">
        <f>IFERROR(__xludf.DUMMYFUNCTION("""COMPUTED_VALUE"""),100.0)</f>
        <v>100</v>
      </c>
      <c r="K389" s="32"/>
      <c r="L389" s="32"/>
      <c r="M389" s="32"/>
      <c r="N389" s="32"/>
      <c r="O389" s="32"/>
      <c r="P389" s="32"/>
      <c r="Q389" s="32"/>
      <c r="R389" s="32"/>
      <c r="S389" s="32"/>
      <c r="T389" s="32"/>
      <c r="U389" s="32">
        <f>IFERROR(__xludf.DUMMYFUNCTION("""COMPUTED_VALUE"""),100.0)</f>
        <v>100</v>
      </c>
      <c r="V389" s="32"/>
      <c r="W389" s="32"/>
      <c r="X389" s="32"/>
      <c r="Y389" s="32"/>
      <c r="Z389" s="32"/>
    </row>
    <row r="390">
      <c r="A390" s="32" t="str">
        <f>IFERROR(__xludf.DUMMYFUNCTION("""COMPUTED_VALUE"""),"Ninja of Bashe")</f>
        <v>Ninja of Bashe</v>
      </c>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t="str">
        <f>IFERROR(__xludf.DUMMYFUNCTION("""COMPUTED_VALUE"""),"Bahamut, Beast of the Endless Void (First Phase)")</f>
        <v>Bahamut, Beast of the Endless Void (First Phase)</v>
      </c>
      <c r="B391" s="32"/>
      <c r="C391" s="32"/>
      <c r="D391" s="32"/>
      <c r="E391" s="32"/>
      <c r="F391" s="32"/>
      <c r="G391" s="32"/>
      <c r="H391" s="32"/>
      <c r="I391" s="32">
        <f>IFERROR(__xludf.DUMMYFUNCTION("""COMPUTED_VALUE"""),50.0)</f>
        <v>50</v>
      </c>
      <c r="J391" s="32"/>
      <c r="K391" s="32"/>
      <c r="L391" s="32"/>
      <c r="M391" s="32"/>
      <c r="N391" s="32"/>
      <c r="O391" s="32"/>
      <c r="P391" s="32"/>
      <c r="Q391" s="32"/>
      <c r="R391" s="32"/>
      <c r="S391" s="32"/>
      <c r="T391" s="32">
        <f>IFERROR(__xludf.DUMMYFUNCTION("""COMPUTED_VALUE"""),50.0)</f>
        <v>50</v>
      </c>
      <c r="U391" s="32">
        <f>IFERROR(__xludf.DUMMYFUNCTION("""COMPUTED_VALUE"""),50.0)</f>
        <v>50</v>
      </c>
      <c r="V391" s="32"/>
      <c r="W391" s="32"/>
      <c r="X391" s="32"/>
      <c r="Y391" s="32"/>
      <c r="Z391" s="32"/>
    </row>
    <row r="392">
      <c r="A392" s="32" t="str">
        <f>IFERROR(__xludf.DUMMYFUNCTION("""COMPUTED_VALUE"""),"Orgroth - The Volcanic Guardian of Fire Tiki Mountain")</f>
        <v>Orgroth - The Volcanic Guardian of Fire Tiki Mountain</v>
      </c>
      <c r="B392" s="32"/>
      <c r="C392" s="32">
        <f>IFERROR(__xludf.DUMMYFUNCTION("""COMPUTED_VALUE"""),100.0)</f>
        <v>100</v>
      </c>
      <c r="D392" s="32">
        <f>IFERROR(__xludf.DUMMYFUNCTION("""COMPUTED_VALUE"""),100.0)</f>
        <v>100</v>
      </c>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t="str">
        <f>IFERROR(__xludf.DUMMYFUNCTION("""COMPUTED_VALUE"""),"Zor - The Volcanic Golem")</f>
        <v>Zor - The Volcanic Golem</v>
      </c>
      <c r="B393" s="32"/>
      <c r="C393" s="32">
        <f>IFERROR(__xludf.DUMMYFUNCTION("""COMPUTED_VALUE"""),100.0)</f>
        <v>100</v>
      </c>
      <c r="D393" s="32">
        <f>IFERROR(__xludf.DUMMYFUNCTION("""COMPUTED_VALUE"""),100.0)</f>
        <v>100</v>
      </c>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t="str">
        <f>IFERROR(__xludf.DUMMYFUNCTION("""COMPUTED_VALUE"""),"Talthos - The Towering Kaiju")</f>
        <v>Talthos - The Towering Kaiju</v>
      </c>
      <c r="B394" s="32"/>
      <c r="C394" s="32">
        <f>IFERROR(__xludf.DUMMYFUNCTION("""COMPUTED_VALUE"""),100.0)</f>
        <v>100</v>
      </c>
      <c r="D394" s="32">
        <f>IFERROR(__xludf.DUMMYFUNCTION("""COMPUTED_VALUE"""),100.0)</f>
        <v>100</v>
      </c>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t="str">
        <f>IFERROR(__xludf.DUMMYFUNCTION("""COMPUTED_VALUE"""),"Cloudius - The Smoke Elemental")</f>
        <v>Cloudius - The Smoke Elemental</v>
      </c>
      <c r="B395" s="32"/>
      <c r="C395" s="32">
        <f>IFERROR(__xludf.DUMMYFUNCTION("""COMPUTED_VALUE"""),100.0)</f>
        <v>100</v>
      </c>
      <c r="D395" s="32">
        <f>IFERROR(__xludf.DUMMYFUNCTION("""COMPUTED_VALUE"""),100.0)</f>
        <v>100</v>
      </c>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t="str">
        <f>IFERROR(__xludf.DUMMYFUNCTION("""COMPUTED_VALUE"""),"Grisaia - The Head Paladin of Gaia")</f>
        <v>Grisaia - The Head Paladin of Gaia</v>
      </c>
      <c r="B396" s="32">
        <f>IFERROR(__xludf.DUMMYFUNCTION("""COMPUTED_VALUE"""),50.0)</f>
        <v>50</v>
      </c>
      <c r="C396" s="32">
        <f>IFERROR(__xludf.DUMMYFUNCTION("""COMPUTED_VALUE"""),50.0)</f>
        <v>50</v>
      </c>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t="str">
        <f>IFERROR(__xludf.DUMMYFUNCTION("""COMPUTED_VALUE"""),"Gaia's Paladins")</f>
        <v>Gaia's Paladins</v>
      </c>
      <c r="B397" s="32">
        <f>IFERROR(__xludf.DUMMYFUNCTION("""COMPUTED_VALUE"""),100.0)</f>
        <v>100</v>
      </c>
      <c r="C397" s="32">
        <f>IFERROR(__xludf.DUMMYFUNCTION("""COMPUTED_VALUE"""),100.0)</f>
        <v>100</v>
      </c>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t="str">
        <f>IFERROR(__xludf.DUMMYFUNCTION("""COMPUTED_VALUE"""),"Earth Golem")</f>
        <v>Earth Golem</v>
      </c>
      <c r="B398" s="32">
        <f>IFERROR(__xludf.DUMMYFUNCTION("""COMPUTED_VALUE"""),100.0)</f>
        <v>100</v>
      </c>
      <c r="C398" s="32">
        <f>IFERROR(__xludf.DUMMYFUNCTION("""COMPUTED_VALUE"""),100.0)</f>
        <v>100</v>
      </c>
      <c r="D398" s="32"/>
      <c r="E398" s="32"/>
      <c r="F398" s="32"/>
      <c r="G398" s="32"/>
      <c r="H398" s="32"/>
      <c r="I398" s="32"/>
      <c r="J398" s="32"/>
      <c r="K398" s="32"/>
      <c r="L398" s="32"/>
      <c r="M398" s="32"/>
      <c r="N398" s="32"/>
      <c r="O398" s="32"/>
      <c r="P398" s="32"/>
      <c r="Q398" s="32"/>
      <c r="R398" s="32"/>
      <c r="S398" s="32">
        <f>IFERROR(__xludf.DUMMYFUNCTION("""COMPUTED_VALUE"""),100.0)</f>
        <v>100</v>
      </c>
      <c r="T398" s="32"/>
      <c r="U398" s="32"/>
      <c r="V398" s="32"/>
      <c r="W398" s="32"/>
      <c r="X398" s="32"/>
      <c r="Y398" s="32"/>
      <c r="Z398" s="32"/>
    </row>
    <row r="399">
      <c r="A399" s="32" t="str">
        <f>IFERROR(__xludf.DUMMYFUNCTION("""COMPUTED_VALUE"""),"Crystal Spider")</f>
        <v>Crystal Spider</v>
      </c>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t="str">
        <f>IFERROR(__xludf.DUMMYFUNCTION("""COMPUTED_VALUE"""),"Hephaestus, The God of The Forge")</f>
        <v>Hephaestus, The God of The Forge</v>
      </c>
      <c r="B400" s="32"/>
      <c r="C400" s="32">
        <f>IFERROR(__xludf.DUMMYFUNCTION("""COMPUTED_VALUE"""),500.0)</f>
        <v>500</v>
      </c>
      <c r="D400" s="32"/>
      <c r="E400" s="32"/>
      <c r="F400" s="32"/>
      <c r="G400" s="32"/>
      <c r="H400" s="32"/>
      <c r="I400" s="32">
        <f>IFERROR(__xludf.DUMMYFUNCTION("""COMPUTED_VALUE"""),500.0)</f>
        <v>500</v>
      </c>
      <c r="J400" s="32"/>
      <c r="K400" s="32"/>
      <c r="L400" s="32"/>
      <c r="M400" s="32"/>
      <c r="N400" s="32"/>
      <c r="O400" s="32"/>
      <c r="P400" s="32"/>
      <c r="Q400" s="32"/>
      <c r="R400" s="32"/>
      <c r="S400" s="32"/>
      <c r="T400" s="32"/>
      <c r="U400" s="32"/>
      <c r="V400" s="32"/>
      <c r="W400" s="32"/>
      <c r="X400" s="32"/>
      <c r="Y400" s="32"/>
      <c r="Z400" s="32"/>
    </row>
    <row r="401">
      <c r="A401" s="32" t="str">
        <f>IFERROR(__xludf.DUMMYFUNCTION("""COMPUTED_VALUE"""),"Artemis, Goddess of the Forest (First Phase)")</f>
        <v>Artemis, Goddess of the Forest (First Phase)</v>
      </c>
      <c r="B401" s="32">
        <f>IFERROR(__xludf.DUMMYFUNCTION("""COMPUTED_VALUE"""),500.0)</f>
        <v>500</v>
      </c>
      <c r="C401" s="32"/>
      <c r="D401" s="32"/>
      <c r="E401" s="32"/>
      <c r="F401" s="32"/>
      <c r="G401" s="32"/>
      <c r="H401" s="32"/>
      <c r="I401" s="32">
        <f>IFERROR(__xludf.DUMMYFUNCTION("""COMPUTED_VALUE"""),500.0)</f>
        <v>500</v>
      </c>
      <c r="J401" s="32"/>
      <c r="K401" s="32"/>
      <c r="L401" s="32"/>
      <c r="M401" s="32"/>
      <c r="N401" s="32"/>
      <c r="O401" s="32"/>
      <c r="P401" s="32"/>
      <c r="Q401" s="32"/>
      <c r="R401" s="32"/>
      <c r="S401" s="32">
        <f>IFERROR(__xludf.DUMMYFUNCTION("""COMPUTED_VALUE"""),100.0)</f>
        <v>100</v>
      </c>
      <c r="T401" s="32"/>
      <c r="U401" s="32"/>
      <c r="V401" s="32"/>
      <c r="W401" s="32"/>
      <c r="X401" s="32"/>
      <c r="Y401" s="32"/>
      <c r="Z401" s="32"/>
    </row>
    <row r="402">
      <c r="A402" s="32" t="str">
        <f>IFERROR(__xludf.DUMMYFUNCTION("""COMPUTED_VALUE"""),"Artemis, Nature's Wrathful Avatar (Second Phase)")</f>
        <v>Artemis, Nature's Wrathful Avatar (Second Phase)</v>
      </c>
      <c r="B402" s="32">
        <f>IFERROR(__xludf.DUMMYFUNCTION("""COMPUTED_VALUE"""),500.0)</f>
        <v>500</v>
      </c>
      <c r="C402" s="32"/>
      <c r="D402" s="32"/>
      <c r="E402" s="32"/>
      <c r="F402" s="32"/>
      <c r="G402" s="32"/>
      <c r="H402" s="32"/>
      <c r="I402" s="32">
        <f>IFERROR(__xludf.DUMMYFUNCTION("""COMPUTED_VALUE"""),500.0)</f>
        <v>500</v>
      </c>
      <c r="J402" s="32"/>
      <c r="K402" s="32"/>
      <c r="L402" s="32"/>
      <c r="M402" s="32"/>
      <c r="N402" s="32"/>
      <c r="O402" s="32"/>
      <c r="P402" s="32"/>
      <c r="Q402" s="32"/>
      <c r="R402" s="32"/>
      <c r="S402" s="32">
        <f>IFERROR(__xludf.DUMMYFUNCTION("""COMPUTED_VALUE"""),100.0)</f>
        <v>100</v>
      </c>
      <c r="T402" s="32"/>
      <c r="U402" s="32"/>
      <c r="V402" s="32"/>
      <c r="W402" s="32"/>
      <c r="X402" s="32"/>
      <c r="Y402" s="32"/>
      <c r="Z402" s="32"/>
    </row>
    <row r="403">
      <c r="A403" s="32" t="str">
        <f>IFERROR(__xludf.DUMMYFUNCTION("""COMPUTED_VALUE"""),"The Gods' Quiver")</f>
        <v>The Gods' Quiver</v>
      </c>
      <c r="B403" s="32">
        <f>IFERROR(__xludf.DUMMYFUNCTION("""COMPUTED_VALUE"""),500.0)</f>
        <v>500</v>
      </c>
      <c r="C403" s="32"/>
      <c r="D403" s="32"/>
      <c r="E403" s="32"/>
      <c r="F403" s="32"/>
      <c r="G403" s="32"/>
      <c r="H403" s="32"/>
      <c r="I403" s="32">
        <f>IFERROR(__xludf.DUMMYFUNCTION("""COMPUTED_VALUE"""),500.0)</f>
        <v>500</v>
      </c>
      <c r="J403" s="32"/>
      <c r="K403" s="32"/>
      <c r="L403" s="32"/>
      <c r="M403" s="32"/>
      <c r="N403" s="32"/>
      <c r="O403" s="32"/>
      <c r="P403" s="32"/>
      <c r="Q403" s="32"/>
      <c r="R403" s="32"/>
      <c r="S403" s="32">
        <f>IFERROR(__xludf.DUMMYFUNCTION("""COMPUTED_VALUE"""),100.0)</f>
        <v>100</v>
      </c>
      <c r="T403" s="32"/>
      <c r="U403" s="32"/>
      <c r="V403" s="32"/>
      <c r="W403" s="32"/>
      <c r="X403" s="32"/>
      <c r="Y403" s="32"/>
      <c r="Z403" s="32"/>
    </row>
    <row r="404">
      <c r="A404" s="32" t="str">
        <f>IFERROR(__xludf.DUMMYFUNCTION("""COMPUTED_VALUE"""),"Jenos, Head Paladin of Artemis")</f>
        <v>Jenos, Head Paladin of Artemis</v>
      </c>
      <c r="B404" s="32">
        <f>IFERROR(__xludf.DUMMYFUNCTION("""COMPUTED_VALUE"""),500.0)</f>
        <v>500</v>
      </c>
      <c r="C404" s="32"/>
      <c r="D404" s="32"/>
      <c r="E404" s="32"/>
      <c r="F404" s="32"/>
      <c r="G404" s="32"/>
      <c r="H404" s="32"/>
      <c r="I404" s="32">
        <f>IFERROR(__xludf.DUMMYFUNCTION("""COMPUTED_VALUE"""),500.0)</f>
        <v>500</v>
      </c>
      <c r="J404" s="32"/>
      <c r="K404" s="32"/>
      <c r="L404" s="32"/>
      <c r="M404" s="32"/>
      <c r="N404" s="32"/>
      <c r="O404" s="32"/>
      <c r="P404" s="32"/>
      <c r="Q404" s="32"/>
      <c r="R404" s="32"/>
      <c r="S404" s="32">
        <f>IFERROR(__xludf.DUMMYFUNCTION("""COMPUTED_VALUE"""),100.0)</f>
        <v>100</v>
      </c>
      <c r="T404" s="32"/>
      <c r="U404" s="32"/>
      <c r="V404" s="32"/>
      <c r="W404" s="32"/>
      <c r="X404" s="32"/>
      <c r="Y404" s="32"/>
      <c r="Z404" s="32"/>
    </row>
    <row r="405">
      <c r="A405" s="32" t="str">
        <f>IFERROR(__xludf.DUMMYFUNCTION("""COMPUTED_VALUE"""),"The Forged Ones")</f>
        <v>The Forged Ones</v>
      </c>
      <c r="B405" s="32"/>
      <c r="C405" s="32">
        <f>IFERROR(__xludf.DUMMYFUNCTION("""COMPUTED_VALUE"""),500.0)</f>
        <v>500</v>
      </c>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t="str">
        <f>IFERROR(__xludf.DUMMYFUNCTION("""COMPUTED_VALUE"""),"The Ambrosian Paladins")</f>
        <v>The Ambrosian Paladins</v>
      </c>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t="str">
        <f>IFERROR(__xludf.DUMMYFUNCTION("""COMPUTED_VALUE"""),"Cargo Ship")</f>
        <v>Cargo Ship</v>
      </c>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t="str">
        <f>IFERROR(__xludf.DUMMYFUNCTION("""COMPUTED_VALUE"""),"Ghost Ship")</f>
        <v>Ghost Ship</v>
      </c>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t="str">
        <f>IFERROR(__xludf.DUMMYFUNCTION("""COMPUTED_VALUE"""),"Brigantine")</f>
        <v>Brigantine</v>
      </c>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t="str">
        <f>IFERROR(__xludf.DUMMYFUNCTION("""COMPUTED_VALUE"""),"Sloop")</f>
        <v>Sloop</v>
      </c>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t="str">
        <f>IFERROR(__xludf.DUMMYFUNCTION("""COMPUTED_VALUE"""),"Elder Acid Dragon")</f>
        <v>Elder Acid Dragon</v>
      </c>
      <c r="B411" s="32">
        <f>IFERROR(__xludf.DUMMYFUNCTION("""COMPUTED_VALUE"""),100.0)</f>
        <v>100</v>
      </c>
      <c r="C411" s="32"/>
      <c r="D411" s="32">
        <f>IFERROR(__xludf.DUMMYFUNCTION("""COMPUTED_VALUE"""),100.0)</f>
        <v>100</v>
      </c>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t="str">
        <f>IFERROR(__xludf.DUMMYFUNCTION("""COMPUTED_VALUE"""),"Elder Water Dragon")</f>
        <v>Elder Water Dragon</v>
      </c>
      <c r="B412" s="32"/>
      <c r="C412" s="32"/>
      <c r="D412" s="32"/>
      <c r="E412" s="32"/>
      <c r="F412" s="32"/>
      <c r="G412" s="32"/>
      <c r="H412" s="32"/>
      <c r="I412" s="32"/>
      <c r="J412" s="32"/>
      <c r="K412" s="32">
        <f>IFERROR(__xludf.DUMMYFUNCTION("""COMPUTED_VALUE"""),100.0)</f>
        <v>100</v>
      </c>
      <c r="L412" s="32"/>
      <c r="M412" s="32"/>
      <c r="N412" s="32"/>
      <c r="O412" s="32"/>
      <c r="P412" s="32"/>
      <c r="Q412" s="32"/>
      <c r="R412" s="32"/>
      <c r="S412" s="32"/>
      <c r="T412" s="32"/>
      <c r="U412" s="32"/>
      <c r="V412" s="32"/>
      <c r="W412" s="32"/>
      <c r="X412" s="32"/>
      <c r="Y412" s="32"/>
      <c r="Z412" s="32"/>
    </row>
    <row r="413">
      <c r="A413" s="32" t="str">
        <f>IFERROR(__xludf.DUMMYFUNCTION("""COMPUTED_VALUE"""),"Elder Astral Dragon")</f>
        <v>Elder Astral Dragon</v>
      </c>
      <c r="B413" s="32"/>
      <c r="C413" s="32"/>
      <c r="D413" s="32"/>
      <c r="E413" s="32"/>
      <c r="F413" s="32"/>
      <c r="G413" s="32"/>
      <c r="H413" s="32"/>
      <c r="I413" s="32"/>
      <c r="J413" s="32"/>
      <c r="K413" s="32"/>
      <c r="L413" s="32"/>
      <c r="M413" s="32"/>
      <c r="N413" s="32"/>
      <c r="O413" s="32"/>
      <c r="P413" s="32"/>
      <c r="Q413" s="32"/>
      <c r="R413" s="32"/>
      <c r="S413" s="32"/>
      <c r="T413" s="32"/>
      <c r="U413" s="32"/>
      <c r="V413" s="32"/>
      <c r="W413" s="32">
        <f>IFERROR(__xludf.DUMMYFUNCTION("""COMPUTED_VALUE"""),100.0)</f>
        <v>100</v>
      </c>
      <c r="X413" s="32"/>
      <c r="Y413" s="32"/>
      <c r="Z413" s="32"/>
    </row>
    <row r="414">
      <c r="A414" s="32" t="str">
        <f>IFERROR(__xludf.DUMMYFUNCTION("""COMPUTED_VALUE"""),"Elder Celestial Dragon")</f>
        <v>Elder Celestial Dragon</v>
      </c>
      <c r="B414" s="32"/>
      <c r="C414" s="32"/>
      <c r="D414" s="32"/>
      <c r="E414" s="32"/>
      <c r="F414" s="32"/>
      <c r="G414" s="32"/>
      <c r="H414" s="32"/>
      <c r="I414" s="32"/>
      <c r="J414" s="32"/>
      <c r="K414" s="32"/>
      <c r="L414" s="32"/>
      <c r="M414" s="32"/>
      <c r="N414" s="32"/>
      <c r="O414" s="32"/>
      <c r="P414" s="32"/>
      <c r="Q414" s="32"/>
      <c r="R414" s="32"/>
      <c r="S414" s="32"/>
      <c r="T414" s="32"/>
      <c r="U414" s="32"/>
      <c r="V414" s="32">
        <f>IFERROR(__xludf.DUMMYFUNCTION("""COMPUTED_VALUE"""),100.0)</f>
        <v>100</v>
      </c>
      <c r="W414" s="32"/>
      <c r="X414" s="32"/>
      <c r="Y414" s="32"/>
      <c r="Z414" s="32"/>
    </row>
    <row r="415">
      <c r="A415" s="32" t="str">
        <f>IFERROR(__xludf.DUMMYFUNCTION("""COMPUTED_VALUE"""),"Elder Chaos Dragon")</f>
        <v>Elder Chaos Dragon</v>
      </c>
      <c r="B415" s="32"/>
      <c r="C415" s="32"/>
      <c r="D415" s="32"/>
      <c r="E415" s="32"/>
      <c r="F415" s="32"/>
      <c r="G415" s="32"/>
      <c r="H415" s="32"/>
      <c r="I415" s="32">
        <f>IFERROR(__xludf.DUMMYFUNCTION("""COMPUTED_VALUE"""),100.0)</f>
        <v>100</v>
      </c>
      <c r="J415" s="32"/>
      <c r="K415" s="32"/>
      <c r="L415" s="32"/>
      <c r="M415" s="32"/>
      <c r="N415" s="32"/>
      <c r="O415" s="32"/>
      <c r="P415" s="32"/>
      <c r="Q415" s="32"/>
      <c r="R415" s="32"/>
      <c r="S415" s="32"/>
      <c r="T415" s="32"/>
      <c r="U415" s="32"/>
      <c r="V415" s="32"/>
      <c r="W415" s="32"/>
      <c r="X415" s="32"/>
      <c r="Y415" s="32"/>
      <c r="Z415" s="32"/>
    </row>
    <row r="416">
      <c r="A416" s="32" t="str">
        <f>IFERROR(__xludf.DUMMYFUNCTION("""COMPUTED_VALUE"""),"Elder Dark Dragon")</f>
        <v>Elder Dark Dragon</v>
      </c>
      <c r="B416" s="32"/>
      <c r="C416" s="32"/>
      <c r="D416" s="32"/>
      <c r="E416" s="32"/>
      <c r="F416" s="32">
        <f>IFERROR(__xludf.DUMMYFUNCTION("""COMPUTED_VALUE"""),100.0)</f>
        <v>100</v>
      </c>
      <c r="G416" s="32"/>
      <c r="H416" s="32"/>
      <c r="I416" s="32"/>
      <c r="J416" s="32"/>
      <c r="K416" s="32"/>
      <c r="L416" s="32"/>
      <c r="M416" s="32"/>
      <c r="N416" s="32"/>
      <c r="O416" s="32"/>
      <c r="P416" s="32"/>
      <c r="Q416" s="32"/>
      <c r="R416" s="32"/>
      <c r="S416" s="32"/>
      <c r="T416" s="32"/>
      <c r="U416" s="32"/>
      <c r="V416" s="32"/>
      <c r="W416" s="32"/>
      <c r="X416" s="32"/>
      <c r="Y416" s="32"/>
      <c r="Z416" s="32"/>
    </row>
    <row r="417">
      <c r="A417" s="32" t="str">
        <f>IFERROR(__xludf.DUMMYFUNCTION("""COMPUTED_VALUE"""),"Elder Delta Dragon")</f>
        <v>Elder Delta Dragon</v>
      </c>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t="str">
        <f>IFERROR(__xludf.DUMMYFUNCTION("""COMPUTED_VALUE"""),"Elder Forest Dragon")</f>
        <v>Elder Forest Dragon</v>
      </c>
      <c r="B418" s="32">
        <f>IFERROR(__xludf.DUMMYFUNCTION("""COMPUTED_VALUE"""),100.0)</f>
        <v>100</v>
      </c>
      <c r="C418" s="32"/>
      <c r="D418" s="32">
        <f>IFERROR(__xludf.DUMMYFUNCTION("""COMPUTED_VALUE"""),100.0)</f>
        <v>100</v>
      </c>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t="str">
        <f>IFERROR(__xludf.DUMMYFUNCTION("""COMPUTED_VALUE"""),"Elder Frost Dragon")</f>
        <v>Elder Frost Dragon</v>
      </c>
      <c r="B419" s="32">
        <f>IFERROR(__xludf.DUMMYFUNCTION("""COMPUTED_VALUE"""),100.0)</f>
        <v>100</v>
      </c>
      <c r="C419" s="32"/>
      <c r="D419" s="32"/>
      <c r="E419" s="32"/>
      <c r="F419" s="32"/>
      <c r="G419" s="32"/>
      <c r="H419" s="32"/>
      <c r="I419" s="32"/>
      <c r="J419" s="32"/>
      <c r="K419" s="32">
        <f>IFERROR(__xludf.DUMMYFUNCTION("""COMPUTED_VALUE"""),100.0)</f>
        <v>100</v>
      </c>
      <c r="L419" s="32"/>
      <c r="M419" s="32"/>
      <c r="N419" s="32"/>
      <c r="O419" s="32"/>
      <c r="P419" s="32"/>
      <c r="Q419" s="32"/>
      <c r="R419" s="32"/>
      <c r="S419" s="32"/>
      <c r="T419" s="32"/>
      <c r="U419" s="32"/>
      <c r="V419" s="32"/>
      <c r="W419" s="32"/>
      <c r="X419" s="32"/>
      <c r="Y419" s="32"/>
      <c r="Z419" s="32"/>
    </row>
    <row r="420">
      <c r="A420" s="32" t="str">
        <f>IFERROR(__xludf.DUMMYFUNCTION("""COMPUTED_VALUE"""),"Elder Soul Dragon")</f>
        <v>Elder Soul Dragon</v>
      </c>
      <c r="B420" s="32">
        <f>IFERROR(__xludf.DUMMYFUNCTION("""COMPUTED_VALUE"""),100.0)</f>
        <v>100</v>
      </c>
      <c r="C420" s="32"/>
      <c r="D420" s="32"/>
      <c r="E420" s="32"/>
      <c r="F420" s="32">
        <f>IFERROR(__xludf.DUMMYFUNCTION("""COMPUTED_VALUE"""),100.0)</f>
        <v>100</v>
      </c>
      <c r="G420" s="32"/>
      <c r="H420" s="32"/>
      <c r="I420" s="32"/>
      <c r="J420" s="32"/>
      <c r="K420" s="32"/>
      <c r="L420" s="32"/>
      <c r="M420" s="32"/>
      <c r="N420" s="32"/>
      <c r="O420" s="32"/>
      <c r="P420" s="32"/>
      <c r="Q420" s="32"/>
      <c r="R420" s="32"/>
      <c r="S420" s="32"/>
      <c r="T420" s="32"/>
      <c r="U420" s="32"/>
      <c r="V420" s="32"/>
      <c r="W420" s="32"/>
      <c r="X420" s="32"/>
      <c r="Y420" s="32"/>
      <c r="Z420" s="32"/>
    </row>
    <row r="421">
      <c r="A421" s="32" t="str">
        <f>IFERROR(__xludf.DUMMYFUNCTION("""COMPUTED_VALUE"""),"Elder Spirit Dragon")</f>
        <v>Elder Spirit Dragon</v>
      </c>
      <c r="B421" s="32">
        <f>IFERROR(__xludf.DUMMYFUNCTION("""COMPUTED_VALUE"""),100.0)</f>
        <v>100</v>
      </c>
      <c r="C421" s="32"/>
      <c r="D421" s="32"/>
      <c r="E421" s="32"/>
      <c r="F421" s="32">
        <f>IFERROR(__xludf.DUMMYFUNCTION("""COMPUTED_VALUE"""),100.0)</f>
        <v>100</v>
      </c>
      <c r="G421" s="32"/>
      <c r="H421" s="32"/>
      <c r="I421" s="32"/>
      <c r="J421" s="32"/>
      <c r="K421" s="32"/>
      <c r="L421" s="32"/>
      <c r="M421" s="32"/>
      <c r="N421" s="32"/>
      <c r="O421" s="32"/>
      <c r="P421" s="32"/>
      <c r="Q421" s="32"/>
      <c r="R421" s="32"/>
      <c r="S421" s="32"/>
      <c r="T421" s="32"/>
      <c r="U421" s="32"/>
      <c r="V421" s="32"/>
      <c r="W421" s="32"/>
      <c r="X421" s="32"/>
      <c r="Y421" s="32"/>
      <c r="Z421" s="32"/>
    </row>
    <row r="422">
      <c r="A422" s="32" t="str">
        <f>IFERROR(__xludf.DUMMYFUNCTION("""COMPUTED_VALUE"""),"Elder Stone Dragon")</f>
        <v>Elder Stone Dragon</v>
      </c>
      <c r="B422" s="32"/>
      <c r="C422" s="32">
        <f>IFERROR(__xludf.DUMMYFUNCTION("""COMPUTED_VALUE"""),100.0)</f>
        <v>100</v>
      </c>
      <c r="D422" s="32">
        <f>IFERROR(__xludf.DUMMYFUNCTION("""COMPUTED_VALUE"""),100.0)</f>
        <v>100</v>
      </c>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t="str">
        <f>IFERROR(__xludf.DUMMYFUNCTION("""COMPUTED_VALUE"""),"Elder Fire Dragon")</f>
        <v>Elder Fire Dragon</v>
      </c>
      <c r="B424" s="32"/>
      <c r="C424" s="32">
        <f>IFERROR(__xludf.DUMMYFUNCTION("""COMPUTED_VALUE"""),100.0)</f>
        <v>100</v>
      </c>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t="str">
        <f>IFERROR(__xludf.DUMMYFUNCTION("""COMPUTED_VALUE"""),"Elder Undead Dragon")</f>
        <v>Elder Undead Dragon</v>
      </c>
      <c r="B426" s="32">
        <f>IFERROR(__xludf.DUMMYFUNCTION("""COMPUTED_VALUE"""),100.0)</f>
        <v>100</v>
      </c>
      <c r="C426" s="32"/>
      <c r="D426" s="32"/>
      <c r="E426" s="32"/>
      <c r="F426" s="32">
        <f>IFERROR(__xludf.DUMMYFUNCTION("""COMPUTED_VALUE"""),100.0)</f>
        <v>100</v>
      </c>
      <c r="G426" s="32"/>
      <c r="H426" s="32"/>
      <c r="I426" s="32"/>
      <c r="J426" s="32"/>
      <c r="K426" s="32"/>
      <c r="L426" s="32"/>
      <c r="M426" s="32"/>
      <c r="N426" s="32"/>
      <c r="O426" s="32"/>
      <c r="P426" s="32"/>
      <c r="Q426" s="32"/>
      <c r="R426" s="32"/>
      <c r="S426" s="32"/>
      <c r="T426" s="32"/>
      <c r="U426" s="32"/>
      <c r="V426" s="32"/>
      <c r="W426" s="32"/>
      <c r="X426" s="32"/>
      <c r="Y426" s="32"/>
      <c r="Z426" s="32"/>
    </row>
    <row r="427">
      <c r="A427" s="32" t="str">
        <f>IFERROR(__xludf.DUMMYFUNCTION("""COMPUTED_VALUE"""),"Elder Crystal Dragon")</f>
        <v>Elder Crystal Dragon</v>
      </c>
      <c r="B427" s="32"/>
      <c r="C427" s="32">
        <f>IFERROR(__xludf.DUMMYFUNCTION("""COMPUTED_VALUE"""),100.0)</f>
        <v>100</v>
      </c>
      <c r="D427" s="32">
        <f>IFERROR(__xludf.DUMMYFUNCTION("""COMPUTED_VALUE"""),100.0)</f>
        <v>100</v>
      </c>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t="str">
        <f>IFERROR(__xludf.DUMMYFUNCTION("""COMPUTED_VALUE"""),"Ancient Acid Dragon")</f>
        <v>Ancient Acid Dragon</v>
      </c>
      <c r="B428" s="32">
        <f>IFERROR(__xludf.DUMMYFUNCTION("""COMPUTED_VALUE"""),100.0)</f>
        <v>100</v>
      </c>
      <c r="C428" s="32"/>
      <c r="D428" s="32">
        <f>IFERROR(__xludf.DUMMYFUNCTION("""COMPUTED_VALUE"""),100.0)</f>
        <v>100</v>
      </c>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t="str">
        <f>IFERROR(__xludf.DUMMYFUNCTION("""COMPUTED_VALUE"""),"Ancient Water Dragon")</f>
        <v>Ancient Water Dragon</v>
      </c>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t="str">
        <f>IFERROR(__xludf.DUMMYFUNCTION("""COMPUTED_VALUE"""),"Ancient Astral Dragon")</f>
        <v>Ancient Astral Dragon</v>
      </c>
      <c r="B430" s="32"/>
      <c r="C430" s="32"/>
      <c r="D430" s="32"/>
      <c r="E430" s="32"/>
      <c r="F430" s="32"/>
      <c r="G430" s="32"/>
      <c r="H430" s="32"/>
      <c r="I430" s="32"/>
      <c r="J430" s="32"/>
      <c r="K430" s="32"/>
      <c r="L430" s="32"/>
      <c r="M430" s="32"/>
      <c r="N430" s="32"/>
      <c r="O430" s="32"/>
      <c r="P430" s="32"/>
      <c r="Q430" s="32"/>
      <c r="R430" s="32"/>
      <c r="S430" s="32"/>
      <c r="T430" s="32"/>
      <c r="U430" s="32"/>
      <c r="V430" s="32"/>
      <c r="W430" s="32">
        <f>IFERROR(__xludf.DUMMYFUNCTION("""COMPUTED_VALUE"""),100.0)</f>
        <v>100</v>
      </c>
      <c r="X430" s="32"/>
      <c r="Y430" s="32"/>
      <c r="Z430" s="32"/>
    </row>
    <row r="431">
      <c r="A431" s="32" t="str">
        <f>IFERROR(__xludf.DUMMYFUNCTION("""COMPUTED_VALUE"""),"Ancient Celestial Dragon")</f>
        <v>Ancient Celestial Dragon</v>
      </c>
      <c r="B431" s="32"/>
      <c r="C431" s="32"/>
      <c r="D431" s="32"/>
      <c r="E431" s="32"/>
      <c r="F431" s="32"/>
      <c r="G431" s="32"/>
      <c r="H431" s="32"/>
      <c r="I431" s="32"/>
      <c r="J431" s="32"/>
      <c r="K431" s="32"/>
      <c r="L431" s="32"/>
      <c r="M431" s="32"/>
      <c r="N431" s="32"/>
      <c r="O431" s="32"/>
      <c r="P431" s="32"/>
      <c r="Q431" s="32"/>
      <c r="R431" s="32"/>
      <c r="S431" s="32"/>
      <c r="T431" s="32"/>
      <c r="U431" s="32"/>
      <c r="V431" s="32">
        <f>IFERROR(__xludf.DUMMYFUNCTION("""COMPUTED_VALUE"""),100.0)</f>
        <v>100</v>
      </c>
      <c r="W431" s="32"/>
      <c r="X431" s="32"/>
      <c r="Y431" s="32"/>
      <c r="Z431" s="32"/>
    </row>
    <row r="432">
      <c r="A432" s="32" t="str">
        <f>IFERROR(__xludf.DUMMYFUNCTION("""COMPUTED_VALUE"""),"Ancient Chaos Dragon")</f>
        <v>Ancient Chaos Dragon</v>
      </c>
      <c r="B432" s="32"/>
      <c r="C432" s="32"/>
      <c r="D432" s="32"/>
      <c r="E432" s="32"/>
      <c r="F432" s="32"/>
      <c r="G432" s="32"/>
      <c r="H432" s="32"/>
      <c r="I432" s="32">
        <f>IFERROR(__xludf.DUMMYFUNCTION("""COMPUTED_VALUE"""),100.0)</f>
        <v>100</v>
      </c>
      <c r="J432" s="32"/>
      <c r="K432" s="32"/>
      <c r="L432" s="32"/>
      <c r="M432" s="32"/>
      <c r="N432" s="32"/>
      <c r="O432" s="32"/>
      <c r="P432" s="32"/>
      <c r="Q432" s="32"/>
      <c r="R432" s="32"/>
      <c r="S432" s="32"/>
      <c r="T432" s="32"/>
      <c r="U432" s="32"/>
      <c r="V432" s="32"/>
      <c r="W432" s="32"/>
      <c r="X432" s="32"/>
      <c r="Y432" s="32"/>
      <c r="Z432" s="32"/>
    </row>
    <row r="433">
      <c r="A433" s="32" t="str">
        <f>IFERROR(__xludf.DUMMYFUNCTION("""COMPUTED_VALUE"""),"Ancient Dark Dragon")</f>
        <v>Ancient Dark Dragon</v>
      </c>
      <c r="B433" s="32"/>
      <c r="C433" s="32"/>
      <c r="D433" s="32"/>
      <c r="E433" s="32"/>
      <c r="F433" s="32">
        <f>IFERROR(__xludf.DUMMYFUNCTION("""COMPUTED_VALUE"""),100.0)</f>
        <v>100</v>
      </c>
      <c r="G433" s="32"/>
      <c r="H433" s="32"/>
      <c r="I433" s="32"/>
      <c r="J433" s="32"/>
      <c r="K433" s="32"/>
      <c r="L433" s="32"/>
      <c r="M433" s="32"/>
      <c r="N433" s="32"/>
      <c r="O433" s="32"/>
      <c r="P433" s="32"/>
      <c r="Q433" s="32"/>
      <c r="R433" s="32"/>
      <c r="S433" s="32"/>
      <c r="T433" s="32"/>
      <c r="U433" s="32"/>
      <c r="V433" s="32"/>
      <c r="W433" s="32"/>
      <c r="X433" s="32"/>
      <c r="Y433" s="32"/>
      <c r="Z433" s="32"/>
    </row>
    <row r="434">
      <c r="A434" s="32" t="str">
        <f>IFERROR(__xludf.DUMMYFUNCTION("""COMPUTED_VALUE"""),"Ancient Delta Dragon")</f>
        <v>Ancient Delta Dragon</v>
      </c>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t="str">
        <f>IFERROR(__xludf.DUMMYFUNCTION("""COMPUTED_VALUE"""),"Ancient Forest Dragon")</f>
        <v>Ancient Forest Dragon</v>
      </c>
      <c r="B435" s="32">
        <f>IFERROR(__xludf.DUMMYFUNCTION("""COMPUTED_VALUE"""),100.0)</f>
        <v>100</v>
      </c>
      <c r="C435" s="32"/>
      <c r="D435" s="32">
        <f>IFERROR(__xludf.DUMMYFUNCTION("""COMPUTED_VALUE"""),100.0)</f>
        <v>100</v>
      </c>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t="str">
        <f>IFERROR(__xludf.DUMMYFUNCTION("""COMPUTED_VALUE"""),"Ancient Frost Dragon")</f>
        <v>Ancient Frost Dragon</v>
      </c>
      <c r="B436" s="32">
        <f>IFERROR(__xludf.DUMMYFUNCTION("""COMPUTED_VALUE"""),100.0)</f>
        <v>100</v>
      </c>
      <c r="C436" s="32"/>
      <c r="D436" s="32"/>
      <c r="E436" s="32"/>
      <c r="F436" s="32"/>
      <c r="G436" s="32"/>
      <c r="H436" s="32"/>
      <c r="I436" s="32"/>
      <c r="J436" s="32"/>
      <c r="K436" s="32">
        <f>IFERROR(__xludf.DUMMYFUNCTION("""COMPUTED_VALUE"""),100.0)</f>
        <v>100</v>
      </c>
      <c r="L436" s="32"/>
      <c r="M436" s="32"/>
      <c r="N436" s="32"/>
      <c r="O436" s="32"/>
      <c r="P436" s="32"/>
      <c r="Q436" s="32"/>
      <c r="R436" s="32"/>
      <c r="S436" s="32"/>
      <c r="T436" s="32"/>
      <c r="U436" s="32"/>
      <c r="V436" s="32"/>
      <c r="W436" s="32"/>
      <c r="X436" s="32"/>
      <c r="Y436" s="32"/>
      <c r="Z436" s="32"/>
    </row>
    <row r="437">
      <c r="A437" s="32" t="str">
        <f>IFERROR(__xludf.DUMMYFUNCTION("""COMPUTED_VALUE"""),"Ancient Soul Dragon")</f>
        <v>Ancient Soul Dragon</v>
      </c>
      <c r="B437" s="32">
        <f>IFERROR(__xludf.DUMMYFUNCTION("""COMPUTED_VALUE"""),100.0)</f>
        <v>100</v>
      </c>
      <c r="C437" s="32"/>
      <c r="D437" s="32"/>
      <c r="E437" s="32"/>
      <c r="F437" s="32">
        <f>IFERROR(__xludf.DUMMYFUNCTION("""COMPUTED_VALUE"""),100.0)</f>
        <v>100</v>
      </c>
      <c r="G437" s="32"/>
      <c r="H437" s="32"/>
      <c r="I437" s="32"/>
      <c r="J437" s="32"/>
      <c r="K437" s="32"/>
      <c r="L437" s="32"/>
      <c r="M437" s="32"/>
      <c r="N437" s="32"/>
      <c r="O437" s="32"/>
      <c r="P437" s="32"/>
      <c r="Q437" s="32"/>
      <c r="R437" s="32"/>
      <c r="S437" s="32"/>
      <c r="T437" s="32"/>
      <c r="U437" s="32"/>
      <c r="V437" s="32"/>
      <c r="W437" s="32"/>
      <c r="X437" s="32"/>
      <c r="Y437" s="32"/>
      <c r="Z437" s="32"/>
    </row>
    <row r="438">
      <c r="A438" s="32" t="str">
        <f>IFERROR(__xludf.DUMMYFUNCTION("""COMPUTED_VALUE"""),"Ancient Spirit Dragon")</f>
        <v>Ancient Spirit Dragon</v>
      </c>
      <c r="B438" s="32">
        <f>IFERROR(__xludf.DUMMYFUNCTION("""COMPUTED_VALUE"""),100.0)</f>
        <v>100</v>
      </c>
      <c r="C438" s="32"/>
      <c r="D438" s="32"/>
      <c r="E438" s="32"/>
      <c r="F438" s="32">
        <f>IFERROR(__xludf.DUMMYFUNCTION("""COMPUTED_VALUE"""),100.0)</f>
        <v>100</v>
      </c>
      <c r="G438" s="32"/>
      <c r="H438" s="32"/>
      <c r="I438" s="32"/>
      <c r="J438" s="32"/>
      <c r="K438" s="32"/>
      <c r="L438" s="32"/>
      <c r="M438" s="32"/>
      <c r="N438" s="32"/>
      <c r="O438" s="32"/>
      <c r="P438" s="32"/>
      <c r="Q438" s="32"/>
      <c r="R438" s="32"/>
      <c r="S438" s="32"/>
      <c r="T438" s="32"/>
      <c r="U438" s="32"/>
      <c r="V438" s="32"/>
      <c r="W438" s="32"/>
      <c r="X438" s="32"/>
      <c r="Y438" s="32"/>
      <c r="Z438" s="32"/>
    </row>
    <row r="439">
      <c r="A439" s="32" t="str">
        <f>IFERROR(__xludf.DUMMYFUNCTION("""COMPUTED_VALUE"""),"Ancient Stone Dragon")</f>
        <v>Ancient Stone Dragon</v>
      </c>
      <c r="B439" s="32"/>
      <c r="C439" s="32">
        <f>IFERROR(__xludf.DUMMYFUNCTION("""COMPUTED_VALUE"""),100.0)</f>
        <v>100</v>
      </c>
      <c r="D439" s="32">
        <f>IFERROR(__xludf.DUMMYFUNCTION("""COMPUTED_VALUE"""),100.0)</f>
        <v>100</v>
      </c>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t="str">
        <f>IFERROR(__xludf.DUMMYFUNCTION("""COMPUTED_VALUE"""),"Ancient Fire Dragon")</f>
        <v>Ancient Fire Dragon</v>
      </c>
      <c r="B441" s="32"/>
      <c r="C441" s="32">
        <f>IFERROR(__xludf.DUMMYFUNCTION("""COMPUTED_VALUE"""),100.0)</f>
        <v>100</v>
      </c>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t="str">
        <f>IFERROR(__xludf.DUMMYFUNCTION("""COMPUTED_VALUE"""),"Ancient Undead Dragon")</f>
        <v>Ancient Undead Dragon</v>
      </c>
      <c r="B443" s="32">
        <f>IFERROR(__xludf.DUMMYFUNCTION("""COMPUTED_VALUE"""),100.0)</f>
        <v>100</v>
      </c>
      <c r="C443" s="32"/>
      <c r="D443" s="32"/>
      <c r="E443" s="32"/>
      <c r="F443" s="32">
        <f>IFERROR(__xludf.DUMMYFUNCTION("""COMPUTED_VALUE"""),100.0)</f>
        <v>100</v>
      </c>
      <c r="G443" s="32"/>
      <c r="H443" s="32"/>
      <c r="I443" s="32"/>
      <c r="J443" s="32"/>
      <c r="K443" s="32"/>
      <c r="L443" s="32"/>
      <c r="M443" s="32"/>
      <c r="N443" s="32"/>
      <c r="O443" s="32"/>
      <c r="P443" s="32"/>
      <c r="Q443" s="32"/>
      <c r="R443" s="32"/>
      <c r="S443" s="32"/>
      <c r="T443" s="32"/>
      <c r="U443" s="32"/>
      <c r="V443" s="32"/>
      <c r="W443" s="32"/>
      <c r="X443" s="32"/>
      <c r="Y443" s="32"/>
      <c r="Z443" s="32"/>
    </row>
    <row r="444">
      <c r="A444" s="32" t="str">
        <f>IFERROR(__xludf.DUMMYFUNCTION("""COMPUTED_VALUE"""),"Ancient Crystal Dragon")</f>
        <v>Ancient Crystal Dragon</v>
      </c>
      <c r="B444" s="32"/>
      <c r="C444" s="32">
        <f>IFERROR(__xludf.DUMMYFUNCTION("""COMPUTED_VALUE"""),100.0)</f>
        <v>100</v>
      </c>
      <c r="D444" s="32">
        <f>IFERROR(__xludf.DUMMYFUNCTION("""COMPUTED_VALUE"""),100.0)</f>
        <v>100</v>
      </c>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t="str">
        <f>IFERROR(__xludf.DUMMYFUNCTION("""COMPUTED_VALUE"""),"Divine Acid Dragon")</f>
        <v>Divine Acid Dragon</v>
      </c>
      <c r="B445" s="32">
        <f>IFERROR(__xludf.DUMMYFUNCTION("""COMPUTED_VALUE"""),100.0)</f>
        <v>100</v>
      </c>
      <c r="C445" s="32"/>
      <c r="D445" s="32">
        <f>IFERROR(__xludf.DUMMYFUNCTION("""COMPUTED_VALUE"""),100.0)</f>
        <v>100</v>
      </c>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t="str">
        <f>IFERROR(__xludf.DUMMYFUNCTION("""COMPUTED_VALUE"""),"Divine Water Dragon")</f>
        <v>Divine Water Dragon</v>
      </c>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t="str">
        <f>IFERROR(__xludf.DUMMYFUNCTION("""COMPUTED_VALUE"""),"Divine Astral Dragon")</f>
        <v>Divine Astral Dragon</v>
      </c>
      <c r="B447" s="32"/>
      <c r="C447" s="32"/>
      <c r="D447" s="32"/>
      <c r="E447" s="32"/>
      <c r="F447" s="32"/>
      <c r="G447" s="32"/>
      <c r="H447" s="32"/>
      <c r="I447" s="32"/>
      <c r="J447" s="32"/>
      <c r="K447" s="32"/>
      <c r="L447" s="32"/>
      <c r="M447" s="32"/>
      <c r="N447" s="32"/>
      <c r="O447" s="32"/>
      <c r="P447" s="32"/>
      <c r="Q447" s="32"/>
      <c r="R447" s="32"/>
      <c r="S447" s="32"/>
      <c r="T447" s="32"/>
      <c r="U447" s="32"/>
      <c r="V447" s="32"/>
      <c r="W447" s="32">
        <f>IFERROR(__xludf.DUMMYFUNCTION("""COMPUTED_VALUE"""),100.0)</f>
        <v>100</v>
      </c>
      <c r="X447" s="32"/>
      <c r="Y447" s="32"/>
      <c r="Z447" s="32"/>
    </row>
    <row r="448">
      <c r="A448" s="32" t="str">
        <f>IFERROR(__xludf.DUMMYFUNCTION("""COMPUTED_VALUE"""),"Divine Celestial Dragon")</f>
        <v>Divine Celestial Dragon</v>
      </c>
      <c r="B448" s="32"/>
      <c r="C448" s="32"/>
      <c r="D448" s="32"/>
      <c r="E448" s="32"/>
      <c r="F448" s="32"/>
      <c r="G448" s="32"/>
      <c r="H448" s="32"/>
      <c r="I448" s="32"/>
      <c r="J448" s="32"/>
      <c r="K448" s="32"/>
      <c r="L448" s="32"/>
      <c r="M448" s="32"/>
      <c r="N448" s="32"/>
      <c r="O448" s="32"/>
      <c r="P448" s="32"/>
      <c r="Q448" s="32"/>
      <c r="R448" s="32"/>
      <c r="S448" s="32"/>
      <c r="T448" s="32"/>
      <c r="U448" s="32"/>
      <c r="V448" s="32">
        <f>IFERROR(__xludf.DUMMYFUNCTION("""COMPUTED_VALUE"""),100.0)</f>
        <v>100</v>
      </c>
      <c r="W448" s="32"/>
      <c r="X448" s="32"/>
      <c r="Y448" s="32"/>
      <c r="Z448" s="32"/>
    </row>
    <row r="449">
      <c r="A449" s="32" t="str">
        <f>IFERROR(__xludf.DUMMYFUNCTION("""COMPUTED_VALUE"""),"Divine Chaos Dragon")</f>
        <v>Divine Chaos Dragon</v>
      </c>
      <c r="B449" s="32"/>
      <c r="C449" s="32"/>
      <c r="D449" s="32"/>
      <c r="E449" s="32"/>
      <c r="F449" s="32"/>
      <c r="G449" s="32"/>
      <c r="H449" s="32"/>
      <c r="I449" s="32">
        <f>IFERROR(__xludf.DUMMYFUNCTION("""COMPUTED_VALUE"""),100.0)</f>
        <v>100</v>
      </c>
      <c r="J449" s="32"/>
      <c r="K449" s="32"/>
      <c r="L449" s="32"/>
      <c r="M449" s="32"/>
      <c r="N449" s="32"/>
      <c r="O449" s="32"/>
      <c r="P449" s="32"/>
      <c r="Q449" s="32"/>
      <c r="R449" s="32"/>
      <c r="S449" s="32"/>
      <c r="T449" s="32"/>
      <c r="U449" s="32"/>
      <c r="V449" s="32"/>
      <c r="W449" s="32"/>
      <c r="X449" s="32"/>
      <c r="Y449" s="32"/>
      <c r="Z449" s="32"/>
    </row>
    <row r="450">
      <c r="A450" s="32" t="str">
        <f>IFERROR(__xludf.DUMMYFUNCTION("""COMPUTED_VALUE"""),"Divine Dark Dragon")</f>
        <v>Divine Dark Dragon</v>
      </c>
      <c r="B450" s="32">
        <f>IFERROR(__xludf.DUMMYFUNCTION("""COMPUTED_VALUE"""),100.0)</f>
        <v>100</v>
      </c>
      <c r="C450" s="32"/>
      <c r="D450" s="32"/>
      <c r="E450" s="32"/>
      <c r="F450" s="32">
        <f>IFERROR(__xludf.DUMMYFUNCTION("""COMPUTED_VALUE"""),100.0)</f>
        <v>100</v>
      </c>
      <c r="G450" s="32"/>
      <c r="H450" s="32"/>
      <c r="I450" s="32"/>
      <c r="J450" s="32"/>
      <c r="K450" s="32"/>
      <c r="L450" s="32"/>
      <c r="M450" s="32"/>
      <c r="N450" s="32"/>
      <c r="O450" s="32"/>
      <c r="P450" s="32"/>
      <c r="Q450" s="32"/>
      <c r="R450" s="32"/>
      <c r="S450" s="32"/>
      <c r="T450" s="32"/>
      <c r="U450" s="32"/>
      <c r="V450" s="32"/>
      <c r="W450" s="32"/>
      <c r="X450" s="32"/>
      <c r="Y450" s="32"/>
      <c r="Z450" s="32"/>
    </row>
    <row r="451">
      <c r="A451" s="32" t="str">
        <f>IFERROR(__xludf.DUMMYFUNCTION("""COMPUTED_VALUE"""),"Divine Delta Dragon")</f>
        <v>Divine Delta Dragon</v>
      </c>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t="str">
        <f>IFERROR(__xludf.DUMMYFUNCTION("""COMPUTED_VALUE"""),"Divine Forest Dragon")</f>
        <v>Divine Forest Dragon</v>
      </c>
      <c r="B452" s="32">
        <f>IFERROR(__xludf.DUMMYFUNCTION("""COMPUTED_VALUE"""),100.0)</f>
        <v>100</v>
      </c>
      <c r="C452" s="32"/>
      <c r="D452" s="32">
        <f>IFERROR(__xludf.DUMMYFUNCTION("""COMPUTED_VALUE"""),100.0)</f>
        <v>100</v>
      </c>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t="str">
        <f>IFERROR(__xludf.DUMMYFUNCTION("""COMPUTED_VALUE"""),"Divine Frost Dragon")</f>
        <v>Divine Frost Dragon</v>
      </c>
      <c r="B453" s="32">
        <f>IFERROR(__xludf.DUMMYFUNCTION("""COMPUTED_VALUE"""),100.0)</f>
        <v>100</v>
      </c>
      <c r="C453" s="32"/>
      <c r="D453" s="32"/>
      <c r="E453" s="32"/>
      <c r="F453" s="32"/>
      <c r="G453" s="32"/>
      <c r="H453" s="32"/>
      <c r="I453" s="32"/>
      <c r="J453" s="32"/>
      <c r="K453" s="32">
        <f>IFERROR(__xludf.DUMMYFUNCTION("""COMPUTED_VALUE"""),100.0)</f>
        <v>100</v>
      </c>
      <c r="L453" s="32"/>
      <c r="M453" s="32"/>
      <c r="N453" s="32"/>
      <c r="O453" s="32"/>
      <c r="P453" s="32"/>
      <c r="Q453" s="32"/>
      <c r="R453" s="32"/>
      <c r="S453" s="32"/>
      <c r="T453" s="32"/>
      <c r="U453" s="32"/>
      <c r="V453" s="32"/>
      <c r="W453" s="32"/>
      <c r="X453" s="32"/>
      <c r="Y453" s="32"/>
      <c r="Z453" s="32"/>
    </row>
    <row r="454">
      <c r="A454" s="32" t="str">
        <f>IFERROR(__xludf.DUMMYFUNCTION("""COMPUTED_VALUE"""),"Divine Soul Dragon")</f>
        <v>Divine Soul Dragon</v>
      </c>
      <c r="B454" s="32">
        <f>IFERROR(__xludf.DUMMYFUNCTION("""COMPUTED_VALUE"""),100.0)</f>
        <v>100</v>
      </c>
      <c r="C454" s="32"/>
      <c r="D454" s="32"/>
      <c r="E454" s="32"/>
      <c r="F454" s="32">
        <f>IFERROR(__xludf.DUMMYFUNCTION("""COMPUTED_VALUE"""),100.0)</f>
        <v>100</v>
      </c>
      <c r="G454" s="32"/>
      <c r="H454" s="32"/>
      <c r="I454" s="32"/>
      <c r="J454" s="32"/>
      <c r="K454" s="32"/>
      <c r="L454" s="32"/>
      <c r="M454" s="32"/>
      <c r="N454" s="32"/>
      <c r="O454" s="32"/>
      <c r="P454" s="32"/>
      <c r="Q454" s="32"/>
      <c r="R454" s="32"/>
      <c r="S454" s="32"/>
      <c r="T454" s="32"/>
      <c r="U454" s="32"/>
      <c r="V454" s="32"/>
      <c r="W454" s="32"/>
      <c r="X454" s="32"/>
      <c r="Y454" s="32"/>
      <c r="Z454" s="32"/>
    </row>
    <row r="455">
      <c r="A455" s="32" t="str">
        <f>IFERROR(__xludf.DUMMYFUNCTION("""COMPUTED_VALUE"""),"Divine Spirit Dragon")</f>
        <v>Divine Spirit Dragon</v>
      </c>
      <c r="B455" s="32">
        <f>IFERROR(__xludf.DUMMYFUNCTION("""COMPUTED_VALUE"""),100.0)</f>
        <v>100</v>
      </c>
      <c r="C455" s="32"/>
      <c r="D455" s="32"/>
      <c r="E455" s="32"/>
      <c r="F455" s="32">
        <f>IFERROR(__xludf.DUMMYFUNCTION("""COMPUTED_VALUE"""),100.0)</f>
        <v>100</v>
      </c>
      <c r="G455" s="32"/>
      <c r="H455" s="32"/>
      <c r="I455" s="32"/>
      <c r="J455" s="32"/>
      <c r="K455" s="32"/>
      <c r="L455" s="32"/>
      <c r="M455" s="32"/>
      <c r="N455" s="32"/>
      <c r="O455" s="32"/>
      <c r="P455" s="32"/>
      <c r="Q455" s="32"/>
      <c r="R455" s="32"/>
      <c r="S455" s="32"/>
      <c r="T455" s="32"/>
      <c r="U455" s="32"/>
      <c r="V455" s="32"/>
      <c r="W455" s="32"/>
      <c r="X455" s="32"/>
      <c r="Y455" s="32"/>
      <c r="Z455" s="32"/>
    </row>
    <row r="456">
      <c r="A456" s="32" t="str">
        <f>IFERROR(__xludf.DUMMYFUNCTION("""COMPUTED_VALUE"""),"Divine Stone Dragon")</f>
        <v>Divine Stone Dragon</v>
      </c>
      <c r="B456" s="32"/>
      <c r="C456" s="32">
        <f>IFERROR(__xludf.DUMMYFUNCTION("""COMPUTED_VALUE"""),100.0)</f>
        <v>100</v>
      </c>
      <c r="D456" s="32">
        <f>IFERROR(__xludf.DUMMYFUNCTION("""COMPUTED_VALUE"""),100.0)</f>
        <v>100</v>
      </c>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t="str">
        <f>IFERROR(__xludf.DUMMYFUNCTION("""COMPUTED_VALUE"""),"Divine Fire Dragon")</f>
        <v>Divine Fire Dragon</v>
      </c>
      <c r="B458" s="32"/>
      <c r="C458" s="32">
        <f>IFERROR(__xludf.DUMMYFUNCTION("""COMPUTED_VALUE"""),100.0)</f>
        <v>100</v>
      </c>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t="str">
        <f>IFERROR(__xludf.DUMMYFUNCTION("""COMPUTED_VALUE"""),"Divine Void Dragon")</f>
        <v>Divine Void Dragon</v>
      </c>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t="str">
        <f>IFERROR(__xludf.DUMMYFUNCTION("""COMPUTED_VALUE"""),"Divine Undead Dragon")</f>
        <v>Divine Undead Dragon</v>
      </c>
      <c r="B460" s="32">
        <f>IFERROR(__xludf.DUMMYFUNCTION("""COMPUTED_VALUE"""),100.0)</f>
        <v>100</v>
      </c>
      <c r="C460" s="32"/>
      <c r="D460" s="32"/>
      <c r="E460" s="32"/>
      <c r="F460" s="32">
        <f>IFERROR(__xludf.DUMMYFUNCTION("""COMPUTED_VALUE"""),100.0)</f>
        <v>100</v>
      </c>
      <c r="G460" s="32"/>
      <c r="H460" s="32"/>
      <c r="I460" s="32"/>
      <c r="J460" s="32"/>
      <c r="K460" s="32"/>
      <c r="L460" s="32"/>
      <c r="M460" s="32"/>
      <c r="N460" s="32"/>
      <c r="O460" s="32"/>
      <c r="P460" s="32"/>
      <c r="Q460" s="32"/>
      <c r="R460" s="32"/>
      <c r="S460" s="32"/>
      <c r="T460" s="32"/>
      <c r="U460" s="32"/>
      <c r="V460" s="32"/>
      <c r="W460" s="32"/>
      <c r="X460" s="32"/>
      <c r="Y460" s="32"/>
      <c r="Z460" s="32"/>
    </row>
    <row r="461">
      <c r="A461" s="32" t="str">
        <f>IFERROR(__xludf.DUMMYFUNCTION("""COMPUTED_VALUE"""),"Divine Crystal Dragon")</f>
        <v>Divine Crystal Dragon</v>
      </c>
      <c r="B461" s="32"/>
      <c r="C461" s="32">
        <f>IFERROR(__xludf.DUMMYFUNCTION("""COMPUTED_VALUE"""),100.0)</f>
        <v>100</v>
      </c>
      <c r="D461" s="32">
        <f>IFERROR(__xludf.DUMMYFUNCTION("""COMPUTED_VALUE"""),100.0)</f>
        <v>100</v>
      </c>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t="str">
        <f>IFERROR(__xludf.DUMMYFUNCTION("""COMPUTED_VALUE"""),"Acid Wyrm")</f>
        <v>Acid Wyrm</v>
      </c>
      <c r="B462" s="32">
        <f>IFERROR(__xludf.DUMMYFUNCTION("""COMPUTED_VALUE"""),100.0)</f>
        <v>100</v>
      </c>
      <c r="C462" s="32"/>
      <c r="D462" s="32">
        <f>IFERROR(__xludf.DUMMYFUNCTION("""COMPUTED_VALUE"""),100.0)</f>
        <v>100</v>
      </c>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t="str">
        <f>IFERROR(__xludf.DUMMYFUNCTION("""COMPUTED_VALUE"""),"Astral Wyrm")</f>
        <v>Astral Wyrm</v>
      </c>
      <c r="B463" s="32"/>
      <c r="C463" s="32"/>
      <c r="D463" s="32"/>
      <c r="E463" s="32"/>
      <c r="F463" s="32"/>
      <c r="G463" s="32"/>
      <c r="H463" s="32"/>
      <c r="I463" s="32"/>
      <c r="J463" s="32"/>
      <c r="K463" s="32"/>
      <c r="L463" s="32"/>
      <c r="M463" s="32"/>
      <c r="N463" s="32"/>
      <c r="O463" s="32"/>
      <c r="P463" s="32"/>
      <c r="Q463" s="32"/>
      <c r="R463" s="32"/>
      <c r="S463" s="32"/>
      <c r="T463" s="32"/>
      <c r="U463" s="32"/>
      <c r="V463" s="32"/>
      <c r="W463" s="32">
        <f>IFERROR(__xludf.DUMMYFUNCTION("""COMPUTED_VALUE"""),100.0)</f>
        <v>100</v>
      </c>
      <c r="X463" s="32"/>
      <c r="Y463" s="32"/>
      <c r="Z463" s="32"/>
    </row>
    <row r="464">
      <c r="A464" s="32" t="str">
        <f>IFERROR(__xludf.DUMMYFUNCTION("""COMPUTED_VALUE"""),"Celestial Wyrm")</f>
        <v>Celestial Wyrm</v>
      </c>
      <c r="B464" s="32"/>
      <c r="C464" s="32"/>
      <c r="D464" s="32"/>
      <c r="E464" s="32"/>
      <c r="F464" s="32"/>
      <c r="G464" s="32"/>
      <c r="H464" s="32"/>
      <c r="I464" s="32"/>
      <c r="J464" s="32"/>
      <c r="K464" s="32"/>
      <c r="L464" s="32"/>
      <c r="M464" s="32"/>
      <c r="N464" s="32"/>
      <c r="O464" s="32"/>
      <c r="P464" s="32"/>
      <c r="Q464" s="32"/>
      <c r="R464" s="32"/>
      <c r="S464" s="32"/>
      <c r="T464" s="32"/>
      <c r="U464" s="32"/>
      <c r="V464" s="32">
        <f>IFERROR(__xludf.DUMMYFUNCTION("""COMPUTED_VALUE"""),100.0)</f>
        <v>100</v>
      </c>
      <c r="W464" s="32"/>
      <c r="X464" s="32"/>
      <c r="Y464" s="32"/>
      <c r="Z464" s="32"/>
    </row>
    <row r="465">
      <c r="A465" s="32" t="str">
        <f>IFERROR(__xludf.DUMMYFUNCTION("""COMPUTED_VALUE"""),"Chaos Wyrm")</f>
        <v>Chaos Wyrm</v>
      </c>
      <c r="B465" s="32"/>
      <c r="C465" s="32"/>
      <c r="D465" s="32"/>
      <c r="E465" s="32"/>
      <c r="F465" s="32"/>
      <c r="G465" s="32"/>
      <c r="H465" s="32"/>
      <c r="I465" s="32">
        <f>IFERROR(__xludf.DUMMYFUNCTION("""COMPUTED_VALUE"""),100.0)</f>
        <v>100</v>
      </c>
      <c r="J465" s="32"/>
      <c r="K465" s="32"/>
      <c r="L465" s="32"/>
      <c r="M465" s="32"/>
      <c r="N465" s="32"/>
      <c r="O465" s="32"/>
      <c r="P465" s="32"/>
      <c r="Q465" s="32"/>
      <c r="R465" s="32"/>
      <c r="S465" s="32"/>
      <c r="T465" s="32"/>
      <c r="U465" s="32"/>
      <c r="V465" s="32"/>
      <c r="W465" s="32"/>
      <c r="X465" s="32"/>
      <c r="Y465" s="32"/>
      <c r="Z465" s="32"/>
    </row>
    <row r="466">
      <c r="A466" s="32" t="str">
        <f>IFERROR(__xludf.DUMMYFUNCTION("""COMPUTED_VALUE"""),"Dark Wyrm")</f>
        <v>Dark Wyrm</v>
      </c>
      <c r="B466" s="32">
        <f>IFERROR(__xludf.DUMMYFUNCTION("""COMPUTED_VALUE"""),100.0)</f>
        <v>100</v>
      </c>
      <c r="C466" s="32"/>
      <c r="D466" s="32"/>
      <c r="E466" s="32"/>
      <c r="F466" s="32">
        <f>IFERROR(__xludf.DUMMYFUNCTION("""COMPUTED_VALUE"""),100.0)</f>
        <v>100</v>
      </c>
      <c r="G466" s="32"/>
      <c r="H466" s="32"/>
      <c r="I466" s="32"/>
      <c r="J466" s="32"/>
      <c r="K466" s="32"/>
      <c r="L466" s="32"/>
      <c r="M466" s="32"/>
      <c r="N466" s="32"/>
      <c r="O466" s="32"/>
      <c r="P466" s="32"/>
      <c r="Q466" s="32"/>
      <c r="R466" s="32"/>
      <c r="S466" s="32"/>
      <c r="T466" s="32"/>
      <c r="U466" s="32"/>
      <c r="V466" s="32"/>
      <c r="W466" s="32"/>
      <c r="X466" s="32"/>
      <c r="Y466" s="32"/>
      <c r="Z466" s="32"/>
    </row>
    <row r="467">
      <c r="A467" s="32" t="str">
        <f>IFERROR(__xludf.DUMMYFUNCTION("""COMPUTED_VALUE"""),"Delta Wyrm")</f>
        <v>Delta Wyrm</v>
      </c>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t="str">
        <f>IFERROR(__xludf.DUMMYFUNCTION("""COMPUTED_VALUE"""),"Frost Wyrm")</f>
        <v>Frost Wyrm</v>
      </c>
      <c r="B468" s="32">
        <f>IFERROR(__xludf.DUMMYFUNCTION("""COMPUTED_VALUE"""),100.0)</f>
        <v>100</v>
      </c>
      <c r="C468" s="32"/>
      <c r="D468" s="32"/>
      <c r="E468" s="32"/>
      <c r="F468" s="32"/>
      <c r="G468" s="32"/>
      <c r="H468" s="32"/>
      <c r="I468" s="32"/>
      <c r="J468" s="32"/>
      <c r="K468" s="32">
        <f>IFERROR(__xludf.DUMMYFUNCTION("""COMPUTED_VALUE"""),100.0)</f>
        <v>100</v>
      </c>
      <c r="L468" s="32"/>
      <c r="M468" s="32"/>
      <c r="N468" s="32"/>
      <c r="O468" s="32"/>
      <c r="P468" s="32"/>
      <c r="Q468" s="32"/>
      <c r="R468" s="32"/>
      <c r="S468" s="32"/>
      <c r="T468" s="32"/>
      <c r="U468" s="32"/>
      <c r="V468" s="32"/>
      <c r="W468" s="32"/>
      <c r="X468" s="32"/>
      <c r="Y468" s="32"/>
      <c r="Z468" s="32"/>
    </row>
    <row r="469">
      <c r="A469" s="32" t="str">
        <f>IFERROR(__xludf.DUMMYFUNCTION("""COMPUTED_VALUE"""),"Soul Wyrm")</f>
        <v>Soul Wyrm</v>
      </c>
      <c r="B469" s="32">
        <f>IFERROR(__xludf.DUMMYFUNCTION("""COMPUTED_VALUE"""),100.0)</f>
        <v>100</v>
      </c>
      <c r="C469" s="32"/>
      <c r="D469" s="32"/>
      <c r="E469" s="32"/>
      <c r="F469" s="32">
        <f>IFERROR(__xludf.DUMMYFUNCTION("""COMPUTED_VALUE"""),100.0)</f>
        <v>100</v>
      </c>
      <c r="G469" s="32"/>
      <c r="H469" s="32"/>
      <c r="I469" s="32"/>
      <c r="J469" s="32"/>
      <c r="K469" s="32"/>
      <c r="L469" s="32"/>
      <c r="M469" s="32"/>
      <c r="N469" s="32"/>
      <c r="O469" s="32"/>
      <c r="P469" s="32"/>
      <c r="Q469" s="32"/>
      <c r="R469" s="32"/>
      <c r="S469" s="32"/>
      <c r="T469" s="32"/>
      <c r="U469" s="32"/>
      <c r="V469" s="32"/>
      <c r="W469" s="32"/>
      <c r="X469" s="32"/>
      <c r="Y469" s="32"/>
      <c r="Z469" s="32"/>
    </row>
    <row r="470">
      <c r="A470" s="32" t="str">
        <f>IFERROR(__xludf.DUMMYFUNCTION("""COMPUTED_VALUE"""),"Spirit Wyrm")</f>
        <v>Spirit Wyrm</v>
      </c>
      <c r="B470" s="32">
        <f>IFERROR(__xludf.DUMMYFUNCTION("""COMPUTED_VALUE"""),100.0)</f>
        <v>100</v>
      </c>
      <c r="C470" s="32"/>
      <c r="D470" s="32"/>
      <c r="E470" s="32"/>
      <c r="F470" s="32">
        <f>IFERROR(__xludf.DUMMYFUNCTION("""COMPUTED_VALUE"""),100.0)</f>
        <v>100</v>
      </c>
      <c r="G470" s="32"/>
      <c r="H470" s="32"/>
      <c r="I470" s="32"/>
      <c r="J470" s="32"/>
      <c r="K470" s="32"/>
      <c r="L470" s="32"/>
      <c r="M470" s="32"/>
      <c r="N470" s="32"/>
      <c r="O470" s="32"/>
      <c r="P470" s="32"/>
      <c r="Q470" s="32"/>
      <c r="R470" s="32"/>
      <c r="S470" s="32"/>
      <c r="T470" s="32"/>
      <c r="U470" s="32"/>
      <c r="V470" s="32"/>
      <c r="W470" s="32"/>
      <c r="X470" s="32"/>
      <c r="Y470" s="32"/>
      <c r="Z470" s="32"/>
    </row>
    <row r="471">
      <c r="A471" s="32" t="str">
        <f>IFERROR(__xludf.DUMMYFUNCTION("""COMPUTED_VALUE"""),"Komodo Dragon")</f>
        <v>Komodo Dragon</v>
      </c>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t="str">
        <f>IFERROR(__xludf.DUMMYFUNCTION("""COMPUTED_VALUE"""),"Undead Wyrm")</f>
        <v>Undead Wyrm</v>
      </c>
      <c r="B473" s="32">
        <f>IFERROR(__xludf.DUMMYFUNCTION("""COMPUTED_VALUE"""),50.0)</f>
        <v>50</v>
      </c>
      <c r="C473" s="32"/>
      <c r="D473" s="32"/>
      <c r="E473" s="32"/>
      <c r="F473" s="32">
        <f>IFERROR(__xludf.DUMMYFUNCTION("""COMPUTED_VALUE"""),50.0)</f>
        <v>50</v>
      </c>
      <c r="G473" s="32"/>
      <c r="H473" s="32"/>
      <c r="I473" s="32"/>
      <c r="J473" s="32"/>
      <c r="K473" s="32"/>
      <c r="L473" s="32"/>
      <c r="M473" s="32"/>
      <c r="N473" s="32"/>
      <c r="O473" s="32"/>
      <c r="P473" s="32"/>
      <c r="Q473" s="32"/>
      <c r="R473" s="32"/>
      <c r="S473" s="32"/>
      <c r="T473" s="32"/>
      <c r="U473" s="32"/>
      <c r="V473" s="32"/>
      <c r="W473" s="32"/>
      <c r="X473" s="32"/>
      <c r="Y473" s="32"/>
      <c r="Z473" s="32"/>
    </row>
    <row r="474">
      <c r="A474" s="32" t="str">
        <f>IFERROR(__xludf.DUMMYFUNCTION("""COMPUTED_VALUE"""),"Crystal Wyrm")</f>
        <v>Crystal Wyrm</v>
      </c>
      <c r="B474" s="32"/>
      <c r="C474" s="32">
        <f>IFERROR(__xludf.DUMMYFUNCTION("""COMPUTED_VALUE"""),50.0)</f>
        <v>50</v>
      </c>
      <c r="D474" s="32">
        <f>IFERROR(__xludf.DUMMYFUNCTION("""COMPUTED_VALUE"""),100.0)</f>
        <v>100</v>
      </c>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t="str">
        <f>IFERROR(__xludf.DUMMYFUNCTION("""COMPUTED_VALUE"""),"Lizardfolk Wizard")</f>
        <v>Lizardfolk Wizard</v>
      </c>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t="str">
        <f>IFERROR(__xludf.DUMMYFUNCTION("""COMPUTED_VALUE"""),"Lizardfolk Thief")</f>
        <v>Lizardfolk Thief</v>
      </c>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t="str">
        <f>IFERROR(__xludf.DUMMYFUNCTION("""COMPUTED_VALUE"""),"Lizardfolk Warrior")</f>
        <v>Lizardfolk Warrior</v>
      </c>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t="str">
        <f>IFERROR(__xludf.DUMMYFUNCTION("""COMPUTED_VALUE"""),"Iguanian  Assassin")</f>
        <v>Iguanian  Assassin</v>
      </c>
      <c r="B478" s="32"/>
      <c r="C478" s="32"/>
      <c r="D478" s="32"/>
      <c r="E478" s="32"/>
      <c r="F478" s="32"/>
      <c r="G478" s="32"/>
      <c r="H478" s="32"/>
      <c r="I478" s="32"/>
      <c r="J478" s="32"/>
      <c r="K478" s="32">
        <f>IFERROR(__xludf.DUMMYFUNCTION("""COMPUTED_VALUE"""),100.0)</f>
        <v>100</v>
      </c>
      <c r="L478" s="32"/>
      <c r="M478" s="32"/>
      <c r="N478" s="32"/>
      <c r="O478" s="32"/>
      <c r="P478" s="32"/>
      <c r="Q478" s="32"/>
      <c r="R478" s="32"/>
      <c r="S478" s="32"/>
      <c r="T478" s="32"/>
      <c r="U478" s="32"/>
      <c r="V478" s="32"/>
      <c r="W478" s="32"/>
      <c r="X478" s="32"/>
      <c r="Y478" s="32"/>
      <c r="Z478" s="32"/>
    </row>
    <row r="479">
      <c r="A479" s="32" t="str">
        <f>IFERROR(__xludf.DUMMYFUNCTION("""COMPUTED_VALUE"""),"Iguanian Brawler")</f>
        <v>Iguanian Brawler</v>
      </c>
      <c r="B479" s="32"/>
      <c r="C479" s="32"/>
      <c r="D479" s="32"/>
      <c r="E479" s="32"/>
      <c r="F479" s="32"/>
      <c r="G479" s="32"/>
      <c r="H479" s="32"/>
      <c r="I479" s="32"/>
      <c r="J479" s="32"/>
      <c r="K479" s="32">
        <f>IFERROR(__xludf.DUMMYFUNCTION("""COMPUTED_VALUE"""),100.0)</f>
        <v>100</v>
      </c>
      <c r="L479" s="32"/>
      <c r="M479" s="32"/>
      <c r="N479" s="32"/>
      <c r="O479" s="32"/>
      <c r="P479" s="32"/>
      <c r="Q479" s="32"/>
      <c r="R479" s="32"/>
      <c r="S479" s="32"/>
      <c r="T479" s="32"/>
      <c r="U479" s="32"/>
      <c r="V479" s="32"/>
      <c r="W479" s="32"/>
      <c r="X479" s="32"/>
      <c r="Y479" s="32"/>
      <c r="Z479" s="32"/>
    </row>
    <row r="480">
      <c r="A480" s="32" t="str">
        <f>IFERROR(__xludf.DUMMYFUNCTION("""COMPUTED_VALUE"""),"Iguanian Mage")</f>
        <v>Iguanian Mage</v>
      </c>
      <c r="B480" s="32"/>
      <c r="C480" s="32"/>
      <c r="D480" s="32"/>
      <c r="E480" s="32"/>
      <c r="F480" s="32"/>
      <c r="G480" s="32"/>
      <c r="H480" s="32"/>
      <c r="I480" s="32"/>
      <c r="J480" s="32"/>
      <c r="K480" s="32">
        <f>IFERROR(__xludf.DUMMYFUNCTION("""COMPUTED_VALUE"""),100.0)</f>
        <v>100</v>
      </c>
      <c r="L480" s="32"/>
      <c r="M480" s="32"/>
      <c r="N480" s="32"/>
      <c r="O480" s="32"/>
      <c r="P480" s="32"/>
      <c r="Q480" s="32"/>
      <c r="R480" s="32"/>
      <c r="S480" s="32"/>
      <c r="T480" s="32"/>
      <c r="U480" s="32"/>
      <c r="V480" s="32"/>
      <c r="W480" s="32"/>
      <c r="X480" s="32"/>
      <c r="Y480" s="32"/>
      <c r="Z480" s="32"/>
    </row>
    <row r="481">
      <c r="A481" s="32" t="str">
        <f>IFERROR(__xludf.DUMMYFUNCTION("""COMPUTED_VALUE"""),"Salamandrith Ranger")</f>
        <v>Salamandrith Ranger</v>
      </c>
      <c r="B481" s="32"/>
      <c r="C481" s="32">
        <f>IFERROR(__xludf.DUMMYFUNCTION("""COMPUTED_VALUE"""),100.0)</f>
        <v>100</v>
      </c>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t="str">
        <f>IFERROR(__xludf.DUMMYFUNCTION("""COMPUTED_VALUE"""),"Salamandrith Cultist")</f>
        <v>Salamandrith Cultist</v>
      </c>
      <c r="B482" s="32"/>
      <c r="C482" s="32">
        <f>IFERROR(__xludf.DUMMYFUNCTION("""COMPUTED_VALUE"""),100.0)</f>
        <v>100</v>
      </c>
      <c r="D482" s="32"/>
      <c r="E482" s="32"/>
      <c r="F482" s="32">
        <f>IFERROR(__xludf.DUMMYFUNCTION("""COMPUTED_VALUE"""),100.0)</f>
        <v>100</v>
      </c>
      <c r="G482" s="32"/>
      <c r="H482" s="32"/>
      <c r="I482" s="32"/>
      <c r="J482" s="32"/>
      <c r="K482" s="32"/>
      <c r="L482" s="32"/>
      <c r="M482" s="32"/>
      <c r="N482" s="32"/>
      <c r="O482" s="32"/>
      <c r="P482" s="32"/>
      <c r="Q482" s="32"/>
      <c r="R482" s="32"/>
      <c r="S482" s="32"/>
      <c r="T482" s="32"/>
      <c r="U482" s="32"/>
      <c r="V482" s="32"/>
      <c r="W482" s="32"/>
      <c r="X482" s="32"/>
      <c r="Y482" s="32"/>
      <c r="Z482" s="32"/>
    </row>
    <row r="483">
      <c r="A483" s="32" t="str">
        <f>IFERROR(__xludf.DUMMYFUNCTION("""COMPUTED_VALUE"""),"Salamandrith Shaman")</f>
        <v>Salamandrith Shaman</v>
      </c>
      <c r="B483" s="32"/>
      <c r="C483" s="32">
        <f>IFERROR(__xludf.DUMMYFUNCTION("""COMPUTED_VALUE"""),100.0)</f>
        <v>100</v>
      </c>
      <c r="D483" s="32"/>
      <c r="E483" s="32"/>
      <c r="F483" s="32"/>
      <c r="G483" s="32"/>
      <c r="H483" s="32">
        <f>IFERROR(__xludf.DUMMYFUNCTION("""COMPUTED_VALUE"""),100.0)</f>
        <v>100</v>
      </c>
      <c r="I483" s="32"/>
      <c r="J483" s="32"/>
      <c r="K483" s="32"/>
      <c r="L483" s="32"/>
      <c r="M483" s="32"/>
      <c r="N483" s="32"/>
      <c r="O483" s="32"/>
      <c r="P483" s="32"/>
      <c r="Q483" s="32"/>
      <c r="R483" s="32"/>
      <c r="S483" s="32"/>
      <c r="T483" s="32"/>
      <c r="U483" s="32"/>
      <c r="V483" s="32"/>
      <c r="W483" s="32"/>
      <c r="X483" s="32"/>
      <c r="Y483" s="32"/>
      <c r="Z483" s="32"/>
    </row>
    <row r="484">
      <c r="A484" s="32" t="str">
        <f>IFERROR(__xludf.DUMMYFUNCTION("""COMPUTED_VALUE"""),"Geckorian Wandering Sword")</f>
        <v>Geckorian Wandering Sword</v>
      </c>
      <c r="B484" s="32"/>
      <c r="C484" s="32"/>
      <c r="D484" s="32"/>
      <c r="E484" s="32"/>
      <c r="F484" s="32"/>
      <c r="G484" s="32">
        <f>IFERROR(__xludf.DUMMYFUNCTION("""COMPUTED_VALUE"""),100.0)</f>
        <v>100</v>
      </c>
      <c r="H484" s="32"/>
      <c r="I484" s="32"/>
      <c r="J484" s="32"/>
      <c r="K484" s="32"/>
      <c r="L484" s="32"/>
      <c r="M484" s="32"/>
      <c r="N484" s="32"/>
      <c r="O484" s="32"/>
      <c r="P484" s="32"/>
      <c r="Q484" s="32"/>
      <c r="R484" s="32"/>
      <c r="S484" s="32"/>
      <c r="T484" s="32"/>
      <c r="U484" s="32"/>
      <c r="V484" s="32"/>
      <c r="W484" s="32"/>
      <c r="X484" s="32"/>
      <c r="Y484" s="32"/>
      <c r="Z484" s="32"/>
    </row>
    <row r="485">
      <c r="A485" s="32" t="str">
        <f>IFERROR(__xludf.DUMMYFUNCTION("""COMPUTED_VALUE"""),"Geckorian Minstrel")</f>
        <v>Geckorian Minstrel</v>
      </c>
      <c r="B485" s="32"/>
      <c r="C485" s="32"/>
      <c r="D485" s="32"/>
      <c r="E485" s="32"/>
      <c r="F485" s="32"/>
      <c r="G485" s="32">
        <f>IFERROR(__xludf.DUMMYFUNCTION("""COMPUTED_VALUE"""),100.0)</f>
        <v>100</v>
      </c>
      <c r="H485" s="32"/>
      <c r="I485" s="32"/>
      <c r="J485" s="32"/>
      <c r="K485" s="32"/>
      <c r="L485" s="32"/>
      <c r="M485" s="32"/>
      <c r="N485" s="32"/>
      <c r="O485" s="32"/>
      <c r="P485" s="32"/>
      <c r="Q485" s="32"/>
      <c r="R485" s="32"/>
      <c r="S485" s="32"/>
      <c r="T485" s="32"/>
      <c r="U485" s="32"/>
      <c r="V485" s="32"/>
      <c r="W485" s="32"/>
      <c r="X485" s="32"/>
      <c r="Y485" s="32"/>
      <c r="Z485" s="32"/>
    </row>
    <row r="486">
      <c r="A486" s="32" t="str">
        <f>IFERROR(__xludf.DUMMYFUNCTION("""COMPUTED_VALUE"""),"Geckorian Warden")</f>
        <v>Geckorian Warden</v>
      </c>
      <c r="B486" s="32"/>
      <c r="C486" s="32"/>
      <c r="D486" s="32"/>
      <c r="E486" s="32"/>
      <c r="F486" s="32"/>
      <c r="G486" s="32">
        <f>IFERROR(__xludf.DUMMYFUNCTION("""COMPUTED_VALUE"""),100.0)</f>
        <v>100</v>
      </c>
      <c r="H486" s="32"/>
      <c r="I486" s="32"/>
      <c r="J486" s="32"/>
      <c r="K486" s="32"/>
      <c r="L486" s="32"/>
      <c r="M486" s="32"/>
      <c r="N486" s="32"/>
      <c r="O486" s="32"/>
      <c r="P486" s="32"/>
      <c r="Q486" s="32"/>
      <c r="R486" s="32"/>
      <c r="S486" s="32"/>
      <c r="T486" s="32"/>
      <c r="U486" s="32"/>
      <c r="V486" s="32"/>
      <c r="W486" s="32"/>
      <c r="X486" s="32"/>
      <c r="Y486" s="32"/>
      <c r="Z486" s="32"/>
    </row>
    <row r="487">
      <c r="A487" s="32" t="str">
        <f>IFERROR(__xludf.DUMMYFUNCTION("""COMPUTED_VALUE"""),"Chameldrian Infiltrator")</f>
        <v>Chameldrian Infiltrator</v>
      </c>
      <c r="B487" s="32"/>
      <c r="C487" s="32"/>
      <c r="D487" s="32"/>
      <c r="E487" s="32"/>
      <c r="F487" s="32"/>
      <c r="G487" s="32"/>
      <c r="H487" s="32"/>
      <c r="I487" s="32">
        <f>IFERROR(__xludf.DUMMYFUNCTION("""COMPUTED_VALUE"""),100.0)</f>
        <v>100</v>
      </c>
      <c r="J487" s="32"/>
      <c r="K487" s="32"/>
      <c r="L487" s="32"/>
      <c r="M487" s="32"/>
      <c r="N487" s="32"/>
      <c r="O487" s="32"/>
      <c r="P487" s="32"/>
      <c r="Q487" s="32"/>
      <c r="R487" s="32"/>
      <c r="S487" s="32"/>
      <c r="T487" s="32"/>
      <c r="U487" s="32"/>
      <c r="V487" s="32"/>
      <c r="W487" s="32"/>
      <c r="X487" s="32"/>
      <c r="Y487" s="32"/>
      <c r="Z487" s="32"/>
    </row>
    <row r="488">
      <c r="A488" s="32" t="str">
        <f>IFERROR(__xludf.DUMMYFUNCTION("""COMPUTED_VALUE"""),"Chameldrian Druid")</f>
        <v>Chameldrian Druid</v>
      </c>
      <c r="B488" s="32">
        <f>IFERROR(__xludf.DUMMYFUNCTION("""COMPUTED_VALUE"""),100.0)</f>
        <v>100</v>
      </c>
      <c r="C488" s="32"/>
      <c r="D488" s="32"/>
      <c r="E488" s="32"/>
      <c r="F488" s="32"/>
      <c r="G488" s="32"/>
      <c r="H488" s="32"/>
      <c r="I488" s="32">
        <f>IFERROR(__xludf.DUMMYFUNCTION("""COMPUTED_VALUE"""),100.0)</f>
        <v>100</v>
      </c>
      <c r="J488" s="32"/>
      <c r="K488" s="32"/>
      <c r="L488" s="32"/>
      <c r="M488" s="32"/>
      <c r="N488" s="32"/>
      <c r="O488" s="32"/>
      <c r="P488" s="32"/>
      <c r="Q488" s="32"/>
      <c r="R488" s="32"/>
      <c r="S488" s="32"/>
      <c r="T488" s="32"/>
      <c r="U488" s="32"/>
      <c r="V488" s="32"/>
      <c r="W488" s="32"/>
      <c r="X488" s="32"/>
      <c r="Y488" s="32"/>
      <c r="Z488" s="32"/>
    </row>
    <row r="489">
      <c r="A489" s="32" t="str">
        <f>IFERROR(__xludf.DUMMYFUNCTION("""COMPUTED_VALUE"""),"Chameldrian Berserker")</f>
        <v>Chameldrian Berserker</v>
      </c>
      <c r="B489" s="32"/>
      <c r="C489" s="32"/>
      <c r="D489" s="32"/>
      <c r="E489" s="32"/>
      <c r="F489" s="32"/>
      <c r="G489" s="32"/>
      <c r="H489" s="32"/>
      <c r="I489" s="32">
        <f>IFERROR(__xludf.DUMMYFUNCTION("""COMPUTED_VALUE"""),100.0)</f>
        <v>100</v>
      </c>
      <c r="J489" s="32"/>
      <c r="K489" s="32"/>
      <c r="L489" s="32"/>
      <c r="M489" s="32"/>
      <c r="N489" s="32"/>
      <c r="O489" s="32"/>
      <c r="P489" s="32"/>
      <c r="Q489" s="32"/>
      <c r="R489" s="32"/>
      <c r="S489" s="32"/>
      <c r="T489" s="32"/>
      <c r="U489" s="32"/>
      <c r="V489" s="32"/>
      <c r="W489" s="32"/>
      <c r="X489" s="32"/>
      <c r="Y489" s="32"/>
      <c r="Z489" s="32"/>
    </row>
    <row r="490">
      <c r="A490" s="32" t="str">
        <f>IFERROR(__xludf.DUMMYFUNCTION("""COMPUTED_VALUE"""),"Ancient Wood Dragon")</f>
        <v>Ancient Wood Dragon</v>
      </c>
      <c r="B490" s="32">
        <f>IFERROR(__xludf.DUMMYFUNCTION("""COMPUTED_VALUE"""),100.0)</f>
        <v>100</v>
      </c>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t="str">
        <f>IFERROR(__xludf.DUMMYFUNCTION("""COMPUTED_VALUE"""),"Nature Elemental")</f>
        <v>Nature Elemental</v>
      </c>
      <c r="B491" s="32">
        <f>IFERROR(__xludf.DUMMYFUNCTION("""COMPUTED_VALUE"""),150.0)</f>
        <v>150</v>
      </c>
      <c r="C491" s="32"/>
      <c r="D491" s="32">
        <f>IFERROR(__xludf.DUMMYFUNCTION("""COMPUTED_VALUE"""),150.0)</f>
        <v>150</v>
      </c>
      <c r="E491" s="32"/>
      <c r="F491" s="32"/>
      <c r="G491" s="32"/>
      <c r="H491" s="32">
        <f>IFERROR(__xludf.DUMMYFUNCTION("""COMPUTED_VALUE"""),150.0)</f>
        <v>150</v>
      </c>
      <c r="I491" s="32"/>
      <c r="J491" s="32"/>
      <c r="K491" s="32"/>
      <c r="L491" s="32"/>
      <c r="M491" s="32"/>
      <c r="N491" s="32"/>
      <c r="O491" s="32"/>
      <c r="P491" s="32"/>
      <c r="Q491" s="32"/>
      <c r="R491" s="32"/>
      <c r="S491" s="32"/>
      <c r="T491" s="32"/>
      <c r="U491" s="32"/>
      <c r="V491" s="32"/>
      <c r="W491" s="32"/>
      <c r="X491" s="32"/>
      <c r="Y491" s="32"/>
      <c r="Z491" s="32"/>
    </row>
    <row r="492">
      <c r="A492" s="32" t="str">
        <f>IFERROR(__xludf.DUMMYFUNCTION("""COMPUTED_VALUE"""),"Forest Elemental")</f>
        <v>Forest Elemental</v>
      </c>
      <c r="B492" s="32">
        <f>IFERROR(__xludf.DUMMYFUNCTION("""COMPUTED_VALUE"""),100.0)</f>
        <v>100</v>
      </c>
      <c r="C492" s="32"/>
      <c r="D492" s="32">
        <f>IFERROR(__xludf.DUMMYFUNCTION("""COMPUTED_VALUE"""),100.0)</f>
        <v>100</v>
      </c>
      <c r="E492" s="32"/>
      <c r="F492" s="32"/>
      <c r="G492" s="32"/>
      <c r="H492" s="32">
        <f>IFERROR(__xludf.DUMMYFUNCTION("""COMPUTED_VALUE"""),100.0)</f>
        <v>100</v>
      </c>
      <c r="I492" s="32"/>
      <c r="J492" s="32"/>
      <c r="K492" s="32"/>
      <c r="L492" s="32"/>
      <c r="M492" s="32"/>
      <c r="N492" s="32"/>
      <c r="O492" s="32"/>
      <c r="P492" s="32"/>
      <c r="Q492" s="32"/>
      <c r="R492" s="32"/>
      <c r="S492" s="32"/>
      <c r="T492" s="32"/>
      <c r="U492" s="32"/>
      <c r="V492" s="32"/>
      <c r="W492" s="32"/>
      <c r="X492" s="32"/>
      <c r="Y492" s="32"/>
      <c r="Z492" s="32"/>
    </row>
    <row r="493">
      <c r="A493" s="32" t="str">
        <f>IFERROR(__xludf.DUMMYFUNCTION("""COMPUTED_VALUE"""),"Ancient Nature Elemental")</f>
        <v>Ancient Nature Elemental</v>
      </c>
      <c r="B493" s="32">
        <f>IFERROR(__xludf.DUMMYFUNCTION("""COMPUTED_VALUE"""),50.0)</f>
        <v>50</v>
      </c>
      <c r="C493" s="32"/>
      <c r="D493" s="32">
        <f>IFERROR(__xludf.DUMMYFUNCTION("""COMPUTED_VALUE"""),50.0)</f>
        <v>50</v>
      </c>
      <c r="E493" s="32"/>
      <c r="F493" s="32"/>
      <c r="G493" s="32"/>
      <c r="H493" s="32">
        <f>IFERROR(__xludf.DUMMYFUNCTION("""COMPUTED_VALUE"""),50.0)</f>
        <v>50</v>
      </c>
      <c r="I493" s="32"/>
      <c r="J493" s="32"/>
      <c r="K493" s="32"/>
      <c r="L493" s="32"/>
      <c r="M493" s="32"/>
      <c r="N493" s="32"/>
      <c r="O493" s="32"/>
      <c r="P493" s="32"/>
      <c r="Q493" s="32"/>
      <c r="R493" s="32"/>
      <c r="S493" s="32"/>
      <c r="T493" s="32"/>
      <c r="U493" s="32"/>
      <c r="V493" s="32"/>
      <c r="W493" s="32"/>
      <c r="X493" s="32"/>
      <c r="Y493" s="32"/>
      <c r="Z493" s="32"/>
    </row>
    <row r="494">
      <c r="A494" s="32" t="str">
        <f>IFERROR(__xludf.DUMMYFUNCTION("""COMPUTED_VALUE"""),"Earth Elemental")</f>
        <v>Earth Elemental</v>
      </c>
      <c r="B494" s="32"/>
      <c r="C494" s="32">
        <f>IFERROR(__xludf.DUMMYFUNCTION("""COMPUTED_VALUE"""),150.0)</f>
        <v>150</v>
      </c>
      <c r="D494" s="32">
        <f>IFERROR(__xludf.DUMMYFUNCTION("""COMPUTED_VALUE"""),150.0)</f>
        <v>150</v>
      </c>
      <c r="E494" s="32"/>
      <c r="F494" s="32"/>
      <c r="G494" s="32"/>
      <c r="H494" s="32">
        <f>IFERROR(__xludf.DUMMYFUNCTION("""COMPUTED_VALUE"""),150.0)</f>
        <v>150</v>
      </c>
      <c r="I494" s="32"/>
      <c r="J494" s="32"/>
      <c r="K494" s="32"/>
      <c r="L494" s="32"/>
      <c r="M494" s="32"/>
      <c r="N494" s="32"/>
      <c r="O494" s="32"/>
      <c r="P494" s="32"/>
      <c r="Q494" s="32"/>
      <c r="R494" s="32"/>
      <c r="S494" s="32"/>
      <c r="T494" s="32"/>
      <c r="U494" s="32"/>
      <c r="V494" s="32"/>
      <c r="W494" s="32"/>
      <c r="X494" s="32"/>
      <c r="Y494" s="32"/>
      <c r="Z494" s="32"/>
    </row>
    <row r="495">
      <c r="A495" s="32" t="str">
        <f>IFERROR(__xludf.DUMMYFUNCTION("""COMPUTED_VALUE"""),"Mountain Elemental")</f>
        <v>Mountain Elemental</v>
      </c>
      <c r="B495" s="32"/>
      <c r="C495" s="32">
        <f>IFERROR(__xludf.DUMMYFUNCTION("""COMPUTED_VALUE"""),100.0)</f>
        <v>100</v>
      </c>
      <c r="D495" s="32">
        <f>IFERROR(__xludf.DUMMYFUNCTION("""COMPUTED_VALUE"""),100.0)</f>
        <v>100</v>
      </c>
      <c r="E495" s="32"/>
      <c r="F495" s="32"/>
      <c r="G495" s="32"/>
      <c r="H495" s="32">
        <f>IFERROR(__xludf.DUMMYFUNCTION("""COMPUTED_VALUE"""),100.0)</f>
        <v>100</v>
      </c>
      <c r="I495" s="32"/>
      <c r="J495" s="32"/>
      <c r="K495" s="32"/>
      <c r="L495" s="32"/>
      <c r="M495" s="32"/>
      <c r="N495" s="32"/>
      <c r="O495" s="32"/>
      <c r="P495" s="32"/>
      <c r="Q495" s="32"/>
      <c r="R495" s="32"/>
      <c r="S495" s="32"/>
      <c r="T495" s="32"/>
      <c r="U495" s="32"/>
      <c r="V495" s="32"/>
      <c r="W495" s="32"/>
      <c r="X495" s="32"/>
      <c r="Y495" s="32"/>
      <c r="Z495" s="32"/>
    </row>
    <row r="496">
      <c r="A496" s="32" t="str">
        <f>IFERROR(__xludf.DUMMYFUNCTION("""COMPUTED_VALUE"""),"Ancient Earth Elemental")</f>
        <v>Ancient Earth Elemental</v>
      </c>
      <c r="B496" s="32"/>
      <c r="C496" s="32">
        <f>IFERROR(__xludf.DUMMYFUNCTION("""COMPUTED_VALUE"""),50.0)</f>
        <v>50</v>
      </c>
      <c r="D496" s="32">
        <f>IFERROR(__xludf.DUMMYFUNCTION("""COMPUTED_VALUE"""),50.0)</f>
        <v>50</v>
      </c>
      <c r="E496" s="32"/>
      <c r="F496" s="32"/>
      <c r="G496" s="32"/>
      <c r="H496" s="32">
        <f>IFERROR(__xludf.DUMMYFUNCTION("""COMPUTED_VALUE"""),50.0)</f>
        <v>50</v>
      </c>
      <c r="I496" s="32"/>
      <c r="J496" s="32"/>
      <c r="K496" s="32"/>
      <c r="L496" s="32"/>
      <c r="M496" s="32"/>
      <c r="N496" s="32"/>
      <c r="O496" s="32"/>
      <c r="P496" s="32"/>
      <c r="Q496" s="32"/>
      <c r="R496" s="32"/>
      <c r="S496" s="32"/>
      <c r="T496" s="32"/>
      <c r="U496" s="32"/>
      <c r="V496" s="32"/>
      <c r="W496" s="32"/>
      <c r="X496" s="32"/>
      <c r="Y496" s="32"/>
      <c r="Z496" s="32"/>
    </row>
    <row r="497">
      <c r="A497" s="32" t="str">
        <f>IFERROR(__xludf.DUMMYFUNCTION("""COMPUTED_VALUE"""),"Storm Elemental")</f>
        <v>Storm Elemental</v>
      </c>
      <c r="B497" s="32"/>
      <c r="C497" s="32"/>
      <c r="D497" s="32"/>
      <c r="E497" s="32"/>
      <c r="F497" s="32"/>
      <c r="G497" s="32"/>
      <c r="H497" s="32">
        <f>IFERROR(__xludf.DUMMYFUNCTION("""COMPUTED_VALUE"""),150.0)</f>
        <v>150</v>
      </c>
      <c r="I497" s="32"/>
      <c r="J497" s="32"/>
      <c r="K497" s="32"/>
      <c r="L497" s="32"/>
      <c r="M497" s="32"/>
      <c r="N497" s="32"/>
      <c r="O497" s="32"/>
      <c r="P497" s="32"/>
      <c r="Q497" s="32"/>
      <c r="R497" s="32"/>
      <c r="S497" s="32"/>
      <c r="T497" s="32"/>
      <c r="U497" s="32"/>
      <c r="V497" s="32"/>
      <c r="W497" s="32"/>
      <c r="X497" s="32"/>
      <c r="Y497" s="32"/>
      <c r="Z497" s="32"/>
    </row>
    <row r="498">
      <c r="A498" s="32" t="str">
        <f>IFERROR(__xludf.DUMMYFUNCTION("""COMPUTED_VALUE"""),"Lightning Elemental")</f>
        <v>Lightning Elemental</v>
      </c>
      <c r="B498" s="32"/>
      <c r="C498" s="32"/>
      <c r="D498" s="32"/>
      <c r="E498" s="32"/>
      <c r="F498" s="32"/>
      <c r="G498" s="32"/>
      <c r="H498" s="32">
        <f>IFERROR(__xludf.DUMMYFUNCTION("""COMPUTED_VALUE"""),100.0)</f>
        <v>100</v>
      </c>
      <c r="I498" s="32"/>
      <c r="J498" s="32"/>
      <c r="K498" s="32"/>
      <c r="L498" s="32"/>
      <c r="M498" s="32"/>
      <c r="N498" s="32"/>
      <c r="O498" s="32"/>
      <c r="P498" s="32"/>
      <c r="Q498" s="32"/>
      <c r="R498" s="32"/>
      <c r="S498" s="32"/>
      <c r="T498" s="32"/>
      <c r="U498" s="32"/>
      <c r="V498" s="32"/>
      <c r="W498" s="32"/>
      <c r="X498" s="32"/>
      <c r="Y498" s="32"/>
      <c r="Z498" s="32"/>
    </row>
    <row r="499">
      <c r="A499" s="32" t="str">
        <f>IFERROR(__xludf.DUMMYFUNCTION("""COMPUTED_VALUE"""),"Ancient Storm Elemental")</f>
        <v>Ancient Storm Elemental</v>
      </c>
      <c r="B499" s="32"/>
      <c r="C499" s="32"/>
      <c r="D499" s="32"/>
      <c r="E499" s="32"/>
      <c r="F499" s="32"/>
      <c r="G499" s="32"/>
      <c r="H499" s="32">
        <f>IFERROR(__xludf.DUMMYFUNCTION("""COMPUTED_VALUE"""),50.0)</f>
        <v>50</v>
      </c>
      <c r="I499" s="32"/>
      <c r="J499" s="32"/>
      <c r="K499" s="32"/>
      <c r="L499" s="32"/>
      <c r="M499" s="32"/>
      <c r="N499" s="32"/>
      <c r="O499" s="32"/>
      <c r="P499" s="32"/>
      <c r="Q499" s="32"/>
      <c r="R499" s="32"/>
      <c r="S499" s="32"/>
      <c r="T499" s="32"/>
      <c r="U499" s="32"/>
      <c r="V499" s="32"/>
      <c r="W499" s="32"/>
      <c r="X499" s="32"/>
      <c r="Y499" s="32"/>
      <c r="Z499" s="32"/>
    </row>
    <row r="500">
      <c r="A500" s="32" t="str">
        <f>IFERROR(__xludf.DUMMYFUNCTION("""COMPUTED_VALUE"""),"Lathom, Ancient Penumbral Elemental of Insanity")</f>
        <v>Lathom, Ancient Penumbral Elemental of Insanity</v>
      </c>
      <c r="B500" s="32"/>
      <c r="C500" s="32"/>
      <c r="D500" s="32"/>
      <c r="E500" s="32"/>
      <c r="F500" s="32">
        <f>IFERROR(__xludf.DUMMYFUNCTION("""COMPUTED_VALUE"""),25.0)</f>
        <v>25</v>
      </c>
      <c r="G500" s="32"/>
      <c r="H500" s="32">
        <f>IFERROR(__xludf.DUMMYFUNCTION("""COMPUTED_VALUE"""),25.0)</f>
        <v>25</v>
      </c>
      <c r="I500" s="32">
        <f>IFERROR(__xludf.DUMMYFUNCTION("""COMPUTED_VALUE"""),25.0)</f>
        <v>25</v>
      </c>
      <c r="J500" s="32"/>
      <c r="K500" s="32"/>
      <c r="L500" s="32"/>
      <c r="M500" s="32"/>
      <c r="N500" s="32"/>
      <c r="O500" s="32"/>
      <c r="P500" s="32"/>
      <c r="Q500" s="32"/>
      <c r="R500" s="32"/>
      <c r="S500" s="32"/>
      <c r="T500" s="32"/>
      <c r="U500" s="32"/>
      <c r="V500" s="32"/>
      <c r="W500" s="32"/>
      <c r="X500" s="32"/>
      <c r="Y500" s="32"/>
      <c r="Z500" s="32"/>
    </row>
    <row r="501">
      <c r="A501" s="32" t="str">
        <f>IFERROR(__xludf.DUMMYFUNCTION("""COMPUTED_VALUE"""),"Aspect of The First Dragon Keeper (Easy)")</f>
        <v>Aspect of The First Dragon Keeper (Easy)</v>
      </c>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t="str">
        <f>IFERROR(__xludf.DUMMYFUNCTION("""COMPUTED_VALUE"""),"Aspect of The First Dragon Keeper (Medium)")</f>
        <v>Aspect of The First Dragon Keeper (Medium)</v>
      </c>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t="str">
        <f>IFERROR(__xludf.DUMMYFUNCTION("""COMPUTED_VALUE"""),"Aspect of The First Dragon Keeper (Hard)")</f>
        <v>Aspect of The First Dragon Keeper (Hard)</v>
      </c>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t="str">
        <f>IFERROR(__xludf.DUMMYFUNCTION("""COMPUTED_VALUE"""),"Aspect of The First Dragon Keeper (Insane)")</f>
        <v>Aspect of The First Dragon Keeper (Insane)</v>
      </c>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t="str">
        <f>IFERROR(__xludf.DUMMYFUNCTION("""COMPUTED_VALUE"""),"The First Dragon Keeper")</f>
        <v>The First Dragon Keeper</v>
      </c>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t="str">
        <f>IFERROR(__xludf.DUMMYFUNCTION("""COMPUTED_VALUE"""),"Dragonian Inmate")</f>
        <v>Dragonian Inmate</v>
      </c>
      <c r="B506" s="32"/>
      <c r="C506" s="32"/>
      <c r="D506" s="32"/>
      <c r="E506" s="32"/>
      <c r="F506" s="32"/>
      <c r="G506" s="32"/>
      <c r="H506" s="32"/>
      <c r="I506" s="32">
        <f>IFERROR(__xludf.DUMMYFUNCTION("""COMPUTED_VALUE"""),100.0)</f>
        <v>100</v>
      </c>
      <c r="J506" s="32"/>
      <c r="K506" s="32"/>
      <c r="L506" s="32"/>
      <c r="M506" s="32"/>
      <c r="N506" s="32"/>
      <c r="O506" s="32">
        <f>IFERROR(__xludf.DUMMYFUNCTION("""COMPUTED_VALUE"""),100.0)</f>
        <v>100</v>
      </c>
      <c r="P506" s="32"/>
      <c r="Q506" s="32"/>
      <c r="R506" s="32"/>
      <c r="S506" s="32"/>
      <c r="T506" s="32"/>
      <c r="U506" s="32"/>
      <c r="V506" s="32"/>
      <c r="W506" s="32"/>
      <c r="X506" s="32"/>
      <c r="Y506" s="32"/>
      <c r="Z506" s="32"/>
    </row>
    <row r="507">
      <c r="A507" s="32" t="str">
        <f>IFERROR(__xludf.DUMMYFUNCTION("""COMPUTED_VALUE"""),"Dragonian Warden")</f>
        <v>Dragonian Warden</v>
      </c>
      <c r="B507" s="32"/>
      <c r="C507" s="32"/>
      <c r="D507" s="32"/>
      <c r="E507" s="32"/>
      <c r="F507" s="32"/>
      <c r="G507" s="32">
        <f>IFERROR(__xludf.DUMMYFUNCTION("""COMPUTED_VALUE"""),100.0)</f>
        <v>100</v>
      </c>
      <c r="H507" s="32"/>
      <c r="I507" s="32"/>
      <c r="J507" s="32">
        <f>IFERROR(__xludf.DUMMYFUNCTION("""COMPUTED_VALUE"""),100.0)</f>
        <v>100</v>
      </c>
      <c r="K507" s="32"/>
      <c r="L507" s="32"/>
      <c r="M507" s="32"/>
      <c r="N507" s="32"/>
      <c r="O507" s="32"/>
      <c r="P507" s="32"/>
      <c r="Q507" s="32"/>
      <c r="R507" s="32"/>
      <c r="S507" s="32"/>
      <c r="T507" s="32"/>
      <c r="U507" s="32"/>
      <c r="V507" s="32"/>
      <c r="W507" s="32"/>
      <c r="X507" s="32"/>
      <c r="Y507" s="32"/>
      <c r="Z507" s="32"/>
    </row>
    <row r="508">
      <c r="A508" s="32" t="str">
        <f>IFERROR(__xludf.DUMMYFUNCTION("""COMPUTED_VALUE"""),"Sand Worm Queen")</f>
        <v>Sand Worm Queen</v>
      </c>
      <c r="B508" s="32"/>
      <c r="C508" s="32"/>
      <c r="D508" s="32">
        <f>IFERROR(__xludf.DUMMYFUNCTION("""COMPUTED_VALUE"""),100.0)</f>
        <v>100</v>
      </c>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tr">
        <f>IFERROR(__xludf.DUMMYFUNCTION("IMPORTRANGE(""https://docs.google.com/spreadsheets/d/1HXoAI5UG3zq1UHqU5n7fPdbQk93qOha2VQb1r7iRi1o"",""MobsPics!A:BM"")"),"Name")</f>
        <v>Name</v>
      </c>
      <c r="B1" s="32" t="str">
        <f>IFERROR(__xludf.DUMMYFUNCTION("""COMPUTED_VALUE"""),"Pic URL")</f>
        <v>Pic URL</v>
      </c>
      <c r="C1" s="32"/>
      <c r="D1" s="32"/>
      <c r="E1" s="32"/>
      <c r="F1" s="32"/>
      <c r="G1" s="32"/>
      <c r="H1" s="32"/>
      <c r="I1" s="32"/>
      <c r="J1" s="32"/>
      <c r="K1" s="32"/>
      <c r="L1" s="32"/>
      <c r="M1" s="32"/>
      <c r="N1" s="32"/>
      <c r="O1" s="32"/>
      <c r="P1" s="32"/>
      <c r="Q1" s="32"/>
      <c r="R1" s="32"/>
      <c r="S1" s="32"/>
      <c r="T1" s="32"/>
      <c r="U1" s="32"/>
      <c r="V1" s="32"/>
      <c r="W1" s="32"/>
      <c r="X1" s="32"/>
      <c r="Y1" s="32"/>
      <c r="Z1" s="32"/>
    </row>
    <row r="2">
      <c r="A2" s="32" t="str">
        <f>IFERROR(__xludf.DUMMYFUNCTION("""COMPUTED_VALUE"""),"Acid Dragon")</f>
        <v>Acid Dragon</v>
      </c>
      <c r="B2" s="37" t="str">
        <f>IFERROR(__xludf.DUMMYFUNCTION("""COMPUTED_VALUE"""),"https://i.pinimg.com/originals/20/02/d3/2002d3214a41bc756183bbb74b1e2084.jpg")</f>
        <v>https://i.pinimg.com/originals/20/02/d3/2002d3214a41bc756183bbb74b1e2084.jpg</v>
      </c>
      <c r="C2" s="32"/>
      <c r="D2" s="32"/>
      <c r="E2" s="32"/>
      <c r="F2" s="32"/>
      <c r="G2" s="32"/>
      <c r="H2" s="32"/>
      <c r="I2" s="32"/>
      <c r="J2" s="32"/>
      <c r="K2" s="32"/>
      <c r="L2" s="32"/>
      <c r="M2" s="32"/>
      <c r="N2" s="32"/>
      <c r="O2" s="32"/>
      <c r="P2" s="32"/>
      <c r="Q2" s="32"/>
      <c r="R2" s="32"/>
      <c r="S2" s="32"/>
      <c r="T2" s="32"/>
      <c r="U2" s="32"/>
      <c r="V2" s="32"/>
      <c r="W2" s="32"/>
      <c r="X2" s="32"/>
      <c r="Y2" s="32"/>
      <c r="Z2" s="32"/>
    </row>
    <row r="3">
      <c r="A3" s="32" t="str">
        <f>IFERROR(__xludf.DUMMYFUNCTION("""COMPUTED_VALUE"""),"Acid Slime")</f>
        <v>Acid Slime</v>
      </c>
      <c r="B3" s="37" t="str">
        <f>IFERROR(__xludf.DUMMYFUNCTION("""COMPUTED_VALUE"""),"https://static.wikia.nocookie.net/gamelore/images/5/56/Acidic_Slime.jpg/revision/latest?cb=20130501112219")</f>
        <v>https://static.wikia.nocookie.net/gamelore/images/5/56/Acidic_Slime.jpg/revision/latest?cb=20130501112219</v>
      </c>
      <c r="C3" s="32"/>
      <c r="D3" s="32"/>
      <c r="E3" s="32"/>
      <c r="F3" s="32"/>
      <c r="G3" s="32"/>
      <c r="H3" s="32"/>
      <c r="I3" s="32"/>
      <c r="J3" s="32"/>
      <c r="K3" s="32"/>
      <c r="L3" s="32"/>
      <c r="M3" s="32"/>
      <c r="N3" s="32"/>
      <c r="O3" s="32"/>
      <c r="P3" s="32"/>
      <c r="Q3" s="32"/>
      <c r="R3" s="32"/>
      <c r="S3" s="32"/>
      <c r="T3" s="32"/>
      <c r="U3" s="32"/>
      <c r="V3" s="32"/>
      <c r="W3" s="32"/>
      <c r="X3" s="32"/>
      <c r="Y3" s="32"/>
      <c r="Z3" s="32"/>
    </row>
    <row r="4">
      <c r="A4" s="32" t="str">
        <f>IFERROR(__xludf.DUMMYFUNCTION("""COMPUTED_VALUE"""),"Ancient Colossal Frost Spider")</f>
        <v>Ancient Colossal Frost Spider</v>
      </c>
      <c r="B4" s="37" t="str">
        <f>IFERROR(__xludf.DUMMYFUNCTION("""COMPUTED_VALUE"""),"https://i.pinimg.com/originals/54/dd/67/54dd67aa6b91b1f2d03d68500cc4996c.jpg")</f>
        <v>https://i.pinimg.com/originals/54/dd/67/54dd67aa6b91b1f2d03d68500cc4996c.jpg</v>
      </c>
      <c r="C4" s="32"/>
      <c r="D4" s="32"/>
      <c r="E4" s="32"/>
      <c r="F4" s="32"/>
      <c r="G4" s="32"/>
      <c r="H4" s="32"/>
      <c r="I4" s="32"/>
      <c r="J4" s="32"/>
      <c r="K4" s="32"/>
      <c r="L4" s="32"/>
      <c r="M4" s="32"/>
      <c r="N4" s="32"/>
      <c r="O4" s="32"/>
      <c r="P4" s="32"/>
      <c r="Q4" s="32"/>
      <c r="R4" s="32"/>
      <c r="S4" s="32"/>
      <c r="T4" s="32"/>
      <c r="U4" s="32"/>
      <c r="V4" s="32"/>
      <c r="W4" s="32"/>
      <c r="X4" s="32"/>
      <c r="Y4" s="32"/>
      <c r="Z4" s="32"/>
    </row>
    <row r="5">
      <c r="A5" s="32" t="str">
        <f>IFERROR(__xludf.DUMMYFUNCTION("""COMPUTED_VALUE"""),"Ancient Deer Of The Forest")</f>
        <v>Ancient Deer Of The Forest</v>
      </c>
      <c r="B5" s="37"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32"/>
      <c r="D5" s="32"/>
      <c r="E5" s="32"/>
      <c r="F5" s="32"/>
      <c r="G5" s="32"/>
      <c r="H5" s="32"/>
      <c r="I5" s="32"/>
      <c r="J5" s="32"/>
      <c r="K5" s="32"/>
      <c r="L5" s="32"/>
      <c r="M5" s="32"/>
      <c r="N5" s="32"/>
      <c r="O5" s="32"/>
      <c r="P5" s="32"/>
      <c r="Q5" s="32"/>
      <c r="R5" s="32"/>
      <c r="S5" s="32"/>
      <c r="T5" s="32"/>
      <c r="U5" s="32"/>
      <c r="V5" s="32"/>
      <c r="W5" s="32"/>
      <c r="X5" s="32"/>
      <c r="Y5" s="32"/>
      <c r="Z5" s="32"/>
    </row>
    <row r="6">
      <c r="A6" s="32" t="str">
        <f>IFERROR(__xludf.DUMMYFUNCTION("""COMPUTED_VALUE"""),"Demon Snowman")</f>
        <v>Demon Snowman</v>
      </c>
      <c r="B6" s="37" t="str">
        <f>IFERROR(__xludf.DUMMYFUNCTION("""COMPUTED_VALUE"""),"https://cdn.wallpapersafari.com/43/30/CH4uiU.jpg")</f>
        <v>https://cdn.wallpapersafari.com/43/30/CH4uiU.jpg</v>
      </c>
      <c r="C6" s="32"/>
      <c r="D6" s="32"/>
      <c r="E6" s="32"/>
      <c r="F6" s="32"/>
      <c r="G6" s="32"/>
      <c r="H6" s="32"/>
      <c r="I6" s="32"/>
      <c r="J6" s="32"/>
      <c r="K6" s="32"/>
      <c r="L6" s="32"/>
      <c r="M6" s="32"/>
      <c r="N6" s="32"/>
      <c r="O6" s="32"/>
      <c r="P6" s="32"/>
      <c r="Q6" s="32"/>
      <c r="R6" s="32"/>
      <c r="S6" s="32"/>
      <c r="T6" s="32"/>
      <c r="U6" s="32"/>
      <c r="V6" s="32"/>
      <c r="W6" s="32"/>
      <c r="X6" s="32"/>
      <c r="Y6" s="32"/>
      <c r="Z6" s="32"/>
    </row>
    <row r="7">
      <c r="A7" s="32" t="str">
        <f>IFERROR(__xludf.DUMMYFUNCTION("""COMPUTED_VALUE"""),"Ancient Desert Serpent")</f>
        <v>Ancient Desert Serpent</v>
      </c>
      <c r="B7" s="37" t="str">
        <f>IFERROR(__xludf.DUMMYFUNCTION("""COMPUTED_VALUE"""),"https://i.pinimg.com/550x/3e/98/72/3e98725d088b55632ed4a26bd9236948.jpg")</f>
        <v>https://i.pinimg.com/550x/3e/98/72/3e98725d088b55632ed4a26bd9236948.jpg</v>
      </c>
      <c r="C7" s="32"/>
      <c r="D7" s="32"/>
      <c r="E7" s="32"/>
      <c r="F7" s="32"/>
      <c r="G7" s="32"/>
      <c r="H7" s="32"/>
      <c r="I7" s="32"/>
      <c r="J7" s="32"/>
      <c r="K7" s="32"/>
      <c r="L7" s="32"/>
      <c r="M7" s="32"/>
      <c r="N7" s="32"/>
      <c r="O7" s="32"/>
      <c r="P7" s="32"/>
      <c r="Q7" s="32"/>
      <c r="R7" s="32"/>
      <c r="S7" s="32"/>
      <c r="T7" s="32"/>
      <c r="U7" s="32"/>
      <c r="V7" s="32"/>
      <c r="W7" s="32"/>
      <c r="X7" s="32"/>
      <c r="Y7" s="32"/>
      <c r="Z7" s="32"/>
    </row>
    <row r="8">
      <c r="A8" s="32" t="str">
        <f>IFERROR(__xludf.DUMMYFUNCTION("""COMPUTED_VALUE"""),"Ancient Fire Sentinel")</f>
        <v>Ancient Fire Sentinel</v>
      </c>
      <c r="B8" s="37" t="str">
        <f>IFERROR(__xludf.DUMMYFUNCTION("""COMPUTED_VALUE"""),"https://cdna.artstation.com/p/assets/images/images/041/588/730/large/thiago-almeida-fire-sentinel-09.jpg?1632142631")</f>
        <v>https://cdna.artstation.com/p/assets/images/images/041/588/730/large/thiago-almeida-fire-sentinel-09.jpg?1632142631</v>
      </c>
      <c r="C8" s="32"/>
      <c r="D8" s="32"/>
      <c r="E8" s="32"/>
      <c r="F8" s="32"/>
      <c r="G8" s="32"/>
      <c r="H8" s="32"/>
      <c r="I8" s="32"/>
      <c r="J8" s="32"/>
      <c r="K8" s="32"/>
      <c r="L8" s="32"/>
      <c r="M8" s="32"/>
      <c r="N8" s="32"/>
      <c r="O8" s="32"/>
      <c r="P8" s="32"/>
      <c r="Q8" s="32"/>
      <c r="R8" s="32"/>
      <c r="S8" s="32"/>
      <c r="T8" s="32"/>
      <c r="U8" s="32"/>
      <c r="V8" s="32"/>
      <c r="W8" s="32"/>
      <c r="X8" s="32"/>
      <c r="Y8" s="32"/>
      <c r="Z8" s="32"/>
    </row>
    <row r="9">
      <c r="A9" s="32" t="str">
        <f>IFERROR(__xludf.DUMMYFUNCTION("""COMPUTED_VALUE"""),"Ancient Fire Serpent")</f>
        <v>Ancient Fire Serpent</v>
      </c>
      <c r="B9" s="37"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32"/>
      <c r="D9" s="32"/>
      <c r="E9" s="32"/>
      <c r="F9" s="32"/>
      <c r="G9" s="32"/>
      <c r="H9" s="32"/>
      <c r="I9" s="32"/>
      <c r="J9" s="32"/>
      <c r="K9" s="32"/>
      <c r="L9" s="32"/>
      <c r="M9" s="32"/>
      <c r="N9" s="32"/>
      <c r="O9" s="32"/>
      <c r="P9" s="32"/>
      <c r="Q9" s="32"/>
      <c r="R9" s="32"/>
      <c r="S9" s="32"/>
      <c r="T9" s="32"/>
      <c r="U9" s="32"/>
      <c r="V9" s="32"/>
      <c r="W9" s="32"/>
      <c r="X9" s="32"/>
      <c r="Y9" s="32"/>
      <c r="Z9" s="32"/>
    </row>
    <row r="10">
      <c r="A10" s="32" t="str">
        <f>IFERROR(__xludf.DUMMYFUNCTION("""COMPUTED_VALUE"""),"Flame Ostrich")</f>
        <v>Flame Ostrich</v>
      </c>
      <c r="B10" s="37" t="str">
        <f>IFERROR(__xludf.DUMMYFUNCTION("""COMPUTED_VALUE"""),"https://cdna.artstation.com/p/assets/images/images/021/098/140/large/martin-malek-fireballostrich09-b.jpg?1570394497")</f>
        <v>https://cdna.artstation.com/p/assets/images/images/021/098/140/large/martin-malek-fireballostrich09-b.jpg?1570394497</v>
      </c>
      <c r="C10" s="32"/>
      <c r="D10" s="32"/>
      <c r="E10" s="32"/>
      <c r="F10" s="32"/>
      <c r="G10" s="32"/>
      <c r="H10" s="32"/>
      <c r="I10" s="32"/>
      <c r="J10" s="32"/>
      <c r="K10" s="32"/>
      <c r="L10" s="32"/>
      <c r="M10" s="32"/>
      <c r="N10" s="32"/>
      <c r="O10" s="32"/>
      <c r="P10" s="32"/>
      <c r="Q10" s="32"/>
      <c r="R10" s="32"/>
      <c r="S10" s="32"/>
      <c r="T10" s="32"/>
      <c r="U10" s="32"/>
      <c r="V10" s="32"/>
      <c r="W10" s="32"/>
      <c r="X10" s="32"/>
      <c r="Y10" s="32"/>
      <c r="Z10" s="32"/>
    </row>
    <row r="11">
      <c r="A11" s="32" t="str">
        <f>IFERROR(__xludf.DUMMYFUNCTION("""COMPUTED_VALUE"""),"Ancient Forest Colossus")</f>
        <v>Ancient Forest Colossus</v>
      </c>
      <c r="B11" s="37" t="str">
        <f>IFERROR(__xludf.DUMMYFUNCTION("""COMPUTED_VALUE"""),"https://i.pinimg.com/originals/84/06/37/840637b0782d1f2f1130998b52323f2f.jpg")</f>
        <v>https://i.pinimg.com/originals/84/06/37/840637b0782d1f2f1130998b52323f2f.jpg</v>
      </c>
      <c r="C11" s="32"/>
      <c r="D11" s="32"/>
      <c r="E11" s="32"/>
      <c r="F11" s="32"/>
      <c r="G11" s="32"/>
      <c r="H11" s="32"/>
      <c r="I11" s="32"/>
      <c r="J11" s="32"/>
      <c r="K11" s="32"/>
      <c r="L11" s="32"/>
      <c r="M11" s="32"/>
      <c r="N11" s="32"/>
      <c r="O11" s="32"/>
      <c r="P11" s="32"/>
      <c r="Q11" s="32"/>
      <c r="R11" s="32"/>
      <c r="S11" s="32"/>
      <c r="T11" s="32"/>
      <c r="U11" s="32"/>
      <c r="V11" s="32"/>
      <c r="W11" s="32"/>
      <c r="X11" s="32"/>
      <c r="Y11" s="32"/>
      <c r="Z11" s="32"/>
    </row>
    <row r="12">
      <c r="A12" s="32" t="str">
        <f>IFERROR(__xludf.DUMMYFUNCTION("""COMPUTED_VALUE"""),"Frost Colossus")</f>
        <v>Frost Colossus</v>
      </c>
      <c r="B12" s="37" t="str">
        <f>IFERROR(__xludf.DUMMYFUNCTION("""COMPUTED_VALUE"""),"https://i.pinimg.com/236x/69/40/6c/69406c316f7785f1fe56576643bab2b3--mystic-heroes.jpg")</f>
        <v>https://i.pinimg.com/236x/69/40/6c/69406c316f7785f1fe56576643bab2b3--mystic-heroes.jpg</v>
      </c>
      <c r="C12" s="32"/>
      <c r="D12" s="32"/>
      <c r="E12" s="32"/>
      <c r="F12" s="32"/>
      <c r="G12" s="32"/>
      <c r="H12" s="32"/>
      <c r="I12" s="32"/>
      <c r="J12" s="32"/>
      <c r="K12" s="32"/>
      <c r="L12" s="32"/>
      <c r="M12" s="32"/>
      <c r="N12" s="32"/>
      <c r="O12" s="32"/>
      <c r="P12" s="32"/>
      <c r="Q12" s="32"/>
      <c r="R12" s="32"/>
      <c r="S12" s="32"/>
      <c r="T12" s="32"/>
      <c r="U12" s="32"/>
      <c r="V12" s="32"/>
      <c r="W12" s="32"/>
      <c r="X12" s="32"/>
      <c r="Y12" s="32"/>
      <c r="Z12" s="32"/>
    </row>
    <row r="13">
      <c r="A13" s="32" t="str">
        <f>IFERROR(__xludf.DUMMYFUNCTION("""COMPUTED_VALUE"""),"Frost Cyclops")</f>
        <v>Frost Cyclops</v>
      </c>
      <c r="B13" s="37" t="str">
        <f>IFERROR(__xludf.DUMMYFUNCTION("""COMPUTED_VALUE"""),"https://cdnb.artstation.com/p/assets/images/images/023/228/359/large/nail-enikeev-ogr-3.jpg?1578518907")</f>
        <v>https://cdnb.artstation.com/p/assets/images/images/023/228/359/large/nail-enikeev-ogr-3.jpg?1578518907</v>
      </c>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t="str">
        <f>IFERROR(__xludf.DUMMYFUNCTION("""COMPUTED_VALUE"""),"Frost Grand Mage")</f>
        <v>Frost Grand Mage</v>
      </c>
      <c r="B14" s="37" t="str">
        <f>IFERROR(__xludf.DUMMYFUNCTION("""COMPUTED_VALUE"""),"https://64.media.tumblr.com/933d3cacc2489301f26e3e0cdae7fc4a/tumblr_nfpl5mXmaN1tv3g49o1_640.jpg")</f>
        <v>https://64.media.tumblr.com/933d3cacc2489301f26e3e0cdae7fc4a/tumblr_nfpl5mXmaN1tv3g49o1_640.jpg</v>
      </c>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t="str">
        <f>IFERROR(__xludf.DUMMYFUNCTION("""COMPUTED_VALUE"""),"Frost King")</f>
        <v>Frost King</v>
      </c>
      <c r="B15" s="37" t="str">
        <f>IFERROR(__xludf.DUMMYFUNCTION("""COMPUTED_VALUE"""),"https://i.pinimg.com/564x/b9/d0/49/b9d0494a3876174ef259d340cf2b05fe.jpg")</f>
        <v>https://i.pinimg.com/564x/b9/d0/49/b9d0494a3876174ef259d340cf2b05fe.jpg</v>
      </c>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t="str">
        <f>IFERROR(__xludf.DUMMYFUNCTION("""COMPUTED_VALUE"""),"Frost Queen")</f>
        <v>Frost Queen</v>
      </c>
      <c r="B16" s="37"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t="str">
        <f>IFERROR(__xludf.DUMMYFUNCTION("""COMPUTED_VALUE"""),"Sea Dinosaur (WD)")</f>
        <v>Sea Dinosaur (WD)</v>
      </c>
      <c r="B17" s="37"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t="str">
        <f>IFERROR(__xludf.DUMMYFUNCTION("""COMPUTED_VALUE"""),"Sea Dinosaur (WD) (Enhanced)")</f>
        <v>Sea Dinosaur (WD) (Enhanced)</v>
      </c>
      <c r="B18" s="37"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t="str">
        <f>IFERROR(__xludf.DUMMYFUNCTION("""COMPUTED_VALUE"""),"Ancient Skeleton Colossus")</f>
        <v>Ancient Skeleton Colossus</v>
      </c>
      <c r="B19" s="37" t="str">
        <f>IFERROR(__xludf.DUMMYFUNCTION("""COMPUTED_VALUE"""),"https://i.redd.it/saos4o2imfv11.jpg")</f>
        <v>https://i.redd.it/saos4o2imfv11.jpg</v>
      </c>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t="str">
        <f>IFERROR(__xludf.DUMMYFUNCTION("""COMPUTED_VALUE"""),"Ancient Stone Guard")</f>
        <v>Ancient Stone Guard</v>
      </c>
      <c r="B20" s="37"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t="str">
        <f>IFERROR(__xludf.DUMMYFUNCTION("""COMPUTED_VALUE"""),"Ancient Tree Of Flames")</f>
        <v>Ancient Tree Of Flames</v>
      </c>
      <c r="B21" s="37" t="str">
        <f>IFERROR(__xludf.DUMMYFUNCTION("""COMPUTED_VALUE"""),"https://64.media.tumblr.com/8a222dc6678fe1e014f8814ee64c839d/tumblr_psev916DFd1w2dbe6o1_1280.jpg")</f>
        <v>https://64.media.tumblr.com/8a222dc6678fe1e014f8814ee64c839d/tumblr_psev916DFd1w2dbe6o1_1280.jpg</v>
      </c>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t="str">
        <f>IFERROR(__xludf.DUMMYFUNCTION("""COMPUTED_VALUE"""),"Volcanic Worm")</f>
        <v>Volcanic Worm</v>
      </c>
      <c r="B22" s="37" t="str">
        <f>IFERROR(__xludf.DUMMYFUNCTION("""COMPUTED_VALUE"""),"https://limitless-adventures.com/preview/Volcano_Preview.png")</f>
        <v>https://limitless-adventures.com/preview/Volcano_Preview.png</v>
      </c>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t="str">
        <f>IFERROR(__xludf.DUMMYFUNCTION("""COMPUTED_VALUE"""),"Water Dragon (WD)")</f>
        <v>Water Dragon (WD)</v>
      </c>
      <c r="B23" s="37" t="str">
        <f>IFERROR(__xludf.DUMMYFUNCTION("""COMPUTED_VALUE"""),"https://i.pinimg.com/564x/3f/2d/24/3f2d242c6a85ac83be8f8e9c0ce6dfbb.jpg")</f>
        <v>https://i.pinimg.com/564x/3f/2d/24/3f2d242c6a85ac83be8f8e9c0ce6dfbb.jpg</v>
      </c>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t="str">
        <f>IFERROR(__xludf.DUMMYFUNCTION("""COMPUTED_VALUE"""),"Ancient Water Dragon")</f>
        <v>Ancient Water Dragon</v>
      </c>
      <c r="B24" s="37" t="str">
        <f>IFERROR(__xludf.DUMMYFUNCTION("""COMPUTED_VALUE"""),"https://i.pinimg.com/564x/3f/2d/24/3f2d242c6a85ac83be8f8e9c0ce6dfbb.jpg")</f>
        <v>https://i.pinimg.com/564x/3f/2d/24/3f2d242c6a85ac83be8f8e9c0ce6dfbb.jpg</v>
      </c>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t="str">
        <f>IFERROR(__xludf.DUMMYFUNCTION("""COMPUTED_VALUE"""),"Aonbharr of Manannán")</f>
        <v>Aonbharr of Manannán</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t="str">
        <f>IFERROR(__xludf.DUMMYFUNCTION("""COMPUTED_VALUE"""),"Aquatic Serpent")</f>
        <v>Aquatic Serpent</v>
      </c>
      <c r="B26" s="37" t="str">
        <f>IFERROR(__xludf.DUMMYFUNCTION("""COMPUTED_VALUE"""),"https://rare-gallery.com/mocahbig/449333-Kan-Liu-fantasy-art-dark-sea-underwater-creature.jpg")</f>
        <v>https://rare-gallery.com/mocahbig/449333-Kan-Liu-fantasy-art-dark-sea-underwater-creature.jpg</v>
      </c>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t="str">
        <f>IFERROR(__xludf.DUMMYFUNCTION("""COMPUTED_VALUE"""),"Assassin Doll")</f>
        <v>Assassin Doll</v>
      </c>
      <c r="B27" s="37" t="str">
        <f>IFERROR(__xludf.DUMMYFUNCTION("""COMPUTED_VALUE"""),"https://i.pinimg.com/474x/26/bc/e2/26bce2606f87efb366d46d783000f15e--horror-art-dark-fantasy.jpg")</f>
        <v>https://i.pinimg.com/474x/26/bc/e2/26bce2606f87efb366d46d783000f15e--horror-art-dark-fantasy.jpg</v>
      </c>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t="str">
        <f>IFERROR(__xludf.DUMMYFUNCTION("""COMPUTED_VALUE"""),"Astral Dragon")</f>
        <v>Astral Dragon</v>
      </c>
      <c r="B28" s="37" t="str">
        <f>IFERROR(__xludf.DUMMYFUNCTION("""COMPUTED_VALUE"""),"https://i.redd.it/vl2ec0kys2u51.jpg")</f>
        <v>https://i.redd.it/vl2ec0kys2u51.jpg</v>
      </c>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t="str">
        <f>IFERROR(__xludf.DUMMYFUNCTION("""COMPUTED_VALUE"""),"Baboon")</f>
        <v>Baboon</v>
      </c>
      <c r="B29" s="37" t="str">
        <f>IFERROR(__xludf.DUMMYFUNCTION("""COMPUTED_VALUE"""),"https://cdnb.artstation.com/p/assets/images/images/040/470/779/large/juan-silva-infested-baboon-jpg.jpg?1628952317")</f>
        <v>https://cdnb.artstation.com/p/assets/images/images/040/470/779/large/juan-silva-infested-baboon-jpg.jpg?1628952317</v>
      </c>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t="str">
        <f>IFERROR(__xludf.DUMMYFUNCTION("""COMPUTED_VALUE"""),"Bandit")</f>
        <v>Bandit</v>
      </c>
      <c r="B30" s="37" t="str">
        <f>IFERROR(__xludf.DUMMYFUNCTION("""COMPUTED_VALUE"""),"https://i.redd.it/fp9x9rqknhj81.jpg")</f>
        <v>https://i.redd.it/fp9x9rqknhj81.jpg</v>
      </c>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t="str">
        <f>IFERROR(__xludf.DUMMYFUNCTION("""COMPUTED_VALUE"""),"Bees")</f>
        <v>Bees</v>
      </c>
      <c r="B31" s="37"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t="str">
        <f>IFERROR(__xludf.DUMMYFUNCTION("""COMPUTED_VALUE"""),"Big Frost Owl")</f>
        <v>Big Frost Owl</v>
      </c>
      <c r="B32" s="37" t="str">
        <f>IFERROR(__xludf.DUMMYFUNCTION("""COMPUTED_VALUE"""),"https://wallpapersmug.com/download/1024x768/1aa06f/mother-owl-fantasy-art.jpg")</f>
        <v>https://wallpapersmug.com/download/1024x768/1aa06f/mother-owl-fantasy-art.jpg</v>
      </c>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t="str">
        <f>IFERROR(__xludf.DUMMYFUNCTION("""COMPUTED_VALUE"""),"Black Serpent Dragon")</f>
        <v>Black Serpent Dragon</v>
      </c>
      <c r="B33" s="37" t="str">
        <f>IFERROR(__xludf.DUMMYFUNCTION("""COMPUTED_VALUE"""),"https://i.pinimg.com/originals/cb/00/aa/cb00aa5e35724fda9738587ca90ef194.png")</f>
        <v>https://i.pinimg.com/originals/cb/00/aa/cb00aa5e35724fda9738587ca90ef194.png</v>
      </c>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t="str">
        <f>IFERROR(__xludf.DUMMYFUNCTION("""COMPUTED_VALUE"""),"Black Soul")</f>
        <v>Black Soul</v>
      </c>
      <c r="B34" s="37" t="str">
        <f>IFERROR(__xludf.DUMMYFUNCTION("""COMPUTED_VALUE"""),"https://encrypted-tbn2.gstatic.com/images?q=tbn:ANd9GcTVuZIf6B0YlLuzOFmp0PJYtJt83kUSWpkzkTwItXjETDaqRQOn")</f>
        <v>https://encrypted-tbn2.gstatic.com/images?q=tbn:ANd9GcTVuZIf6B0YlLuzOFmp0PJYtJt83kUSWpkzkTwItXjETDaqRQOn</v>
      </c>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t="str">
        <f>IFERROR(__xludf.DUMMYFUNCTION("""COMPUTED_VALUE"""),"Blood Monk")</f>
        <v>Blood Monk</v>
      </c>
      <c r="B35" s="37"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t="str">
        <f>IFERROR(__xludf.DUMMYFUNCTION("""COMPUTED_VALUE"""),"Blue Soul")</f>
        <v>Blue Soul</v>
      </c>
      <c r="B36" s="37" t="str">
        <f>IFERROR(__xludf.DUMMYFUNCTION("""COMPUTED_VALUE"""),"https://t1.gstatic.com/images?q=tbn:ANd9GcRBFyTIipE99Dt2HS1Bp5VKHLJ7WLTr9Rf0FLV0k-KdenjcZXSi")</f>
        <v>https://t1.gstatic.com/images?q=tbn:ANd9GcRBFyTIipE99Dt2HS1Bp5VKHLJ7WLTr9Rf0FLV0k-KdenjcZXSi</v>
      </c>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t="str">
        <f>IFERROR(__xludf.DUMMYFUNCTION("""COMPUTED_VALUE"""),"Boar")</f>
        <v>Boar</v>
      </c>
      <c r="B37" s="37" t="str">
        <f>IFERROR(__xludf.DUMMYFUNCTION("""COMPUTED_VALUE"""),"https://i.pinimg.com/originals/4c/a0/6b/4ca06b8103b3d8e983f22d82f8735a40.jpg")</f>
        <v>https://i.pinimg.com/originals/4c/a0/6b/4ca06b8103b3d8e983f22d82f8735a40.jpg</v>
      </c>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t="str">
        <f>IFERROR(__xludf.DUMMYFUNCTION("""COMPUTED_VALUE"""),"Bounty Hunter")</f>
        <v>Bounty Hunter</v>
      </c>
      <c r="B38" s="37" t="str">
        <f>IFERROR(__xludf.DUMMYFUNCTION("""COMPUTED_VALUE"""),"https://cdnb.artstation.com/p/assets/images/images/060/286/545/large/andrew-clark-bounty-hunter.jpg?1678224103&amp;dl=1")</f>
        <v>https://cdnb.artstation.com/p/assets/images/images/060/286/545/large/andrew-clark-bounty-hunter.jpg?1678224103&amp;dl=1</v>
      </c>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t="str">
        <f>IFERROR(__xludf.DUMMYFUNCTION("""COMPUTED_VALUE"""),"Brown Soul")</f>
        <v>Brown Soul</v>
      </c>
      <c r="B39" s="37" t="str">
        <f>IFERROR(__xludf.DUMMYFUNCTION("""COMPUTED_VALUE"""),"https://t0.gstatic.com/images?q=tbn:ANd9GcRTlvAR3IT-MZI8DeK4CpraC6TgxSmuy-KU6OMALjg5_oaYi_gG")</f>
        <v>https://t0.gstatic.com/images?q=tbn:ANd9GcRTlvAR3IT-MZI8DeK4CpraC6TgxSmuy-KU6OMALjg5_oaYi_gG</v>
      </c>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t="str">
        <f>IFERROR(__xludf.DUMMYFUNCTION("""COMPUTED_VALUE"""),"Bull")</f>
        <v>Bull</v>
      </c>
      <c r="B40" s="37" t="str">
        <f>IFERROR(__xludf.DUMMYFUNCTION("""COMPUTED_VALUE"""),"https://i.pinimg.com/originals/ce/9c/d8/ce9cd88486c67d34d9458f73f4d6ba06.jpg")</f>
        <v>https://i.pinimg.com/originals/ce/9c/d8/ce9cd88486c67d34d9458f73f4d6ba06.jpg</v>
      </c>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t="str">
        <f>IFERROR(__xludf.DUMMYFUNCTION("""COMPUTED_VALUE"""),"Celestial Dragon")</f>
        <v>Celestial Dragon</v>
      </c>
      <c r="B41" s="37" t="str">
        <f>IFERROR(__xludf.DUMMYFUNCTION("""COMPUTED_VALUE"""),"https://i.pinimg.com/originals/c1/8e/1a/c18e1a06b0d67090e3e0c20a445952a3.jpg")</f>
        <v>https://i.pinimg.com/originals/c1/8e/1a/c18e1a06b0d67090e3e0c20a445952a3.jpg</v>
      </c>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t="str">
        <f>IFERROR(__xludf.DUMMYFUNCTION("""COMPUTED_VALUE"""),"Cerberus Gatekeeper of Souls")</f>
        <v>Cerberus Gatekeeper of Souls</v>
      </c>
      <c r="B42" s="37" t="str">
        <f>IFERROR(__xludf.DUMMYFUNCTION("""COMPUTED_VALUE"""),"https://wallpapers.com/images/hd/cerberus-pictures-gdudzpkdyet0a4qe.jpg")</f>
        <v>https://wallpapers.com/images/hd/cerberus-pictures-gdudzpkdyet0a4qe.jpg</v>
      </c>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t="str">
        <f>IFERROR(__xludf.DUMMYFUNCTION("""COMPUTED_VALUE"""),"Chaos Dragon")</f>
        <v>Chaos Dragon</v>
      </c>
      <c r="B43" s="37" t="str">
        <f>IFERROR(__xludf.DUMMYFUNCTION("""COMPUTED_VALUE"""),"https://i.pinimg.com/originals/e8/87/c9/e887c9edf5f5f24e110e1db64f7296a5.jpg")</f>
        <v>https://i.pinimg.com/originals/e8/87/c9/e887c9edf5f5f24e110e1db64f7296a5.jpg</v>
      </c>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t="str">
        <f>IFERROR(__xludf.DUMMYFUNCTION("""COMPUTED_VALUE"""),"Chaotic Shadow Gnome")</f>
        <v>Chaotic Shadow Gnome</v>
      </c>
      <c r="B44" s="37" t="str">
        <f>IFERROR(__xludf.DUMMYFUNCTION("""COMPUTED_VALUE"""),"https://drive.google.com/uc?export=view&amp;id=1kWx7JJeUTL2xAxy1XLHhKlnjZsZhChth")</f>
        <v>https://drive.google.com/uc?export=view&amp;id=1kWx7JJeUTL2xAxy1XLHhKlnjZsZhChth</v>
      </c>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t="str">
        <f>IFERROR(__xludf.DUMMYFUNCTION("""COMPUTED_VALUE"""),"Chaotic Shadow Golem")</f>
        <v>Chaotic Shadow Golem</v>
      </c>
      <c r="B45" s="37" t="str">
        <f>IFERROR(__xludf.DUMMYFUNCTION("""COMPUTED_VALUE"""),"https://drive.google.com/uc?export=view&amp;id=1R4o5DUEMnebrCwdAR-duvwJVMQ2p_R9j")</f>
        <v>https://drive.google.com/uc?export=view&amp;id=1R4o5DUEMnebrCwdAR-duvwJVMQ2p_R9j</v>
      </c>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t="str">
        <f>IFERROR(__xludf.DUMMYFUNCTION("""COMPUTED_VALUE"""),"Chaotic Shadow Phantom")</f>
        <v>Chaotic Shadow Phantom</v>
      </c>
      <c r="B46" s="37" t="str">
        <f>IFERROR(__xludf.DUMMYFUNCTION("""COMPUTED_VALUE"""),"https://drive.google.com/uc?export=view&amp;id=17Ss72Afxm7Wix-mY9-blPegojifygBIm")</f>
        <v>https://drive.google.com/uc?export=view&amp;id=17Ss72Afxm7Wix-mY9-blPegojifygBIm</v>
      </c>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t="str">
        <f>IFERROR(__xludf.DUMMYFUNCTION("""COMPUTED_VALUE"""),"Chaotic Shadow Royal Knight")</f>
        <v>Chaotic Shadow Royal Knight</v>
      </c>
      <c r="B47" s="37" t="str">
        <f>IFERROR(__xludf.DUMMYFUNCTION("""COMPUTED_VALUE"""),"https://drive.google.com/uc?export=view&amp;id=1zm8lY_CocL8ZJgpxZxdhb1gH5tS9mVO4")</f>
        <v>https://drive.google.com/uc?export=view&amp;id=1zm8lY_CocL8ZJgpxZxdhb1gH5tS9mVO4</v>
      </c>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t="str">
        <f>IFERROR(__xludf.DUMMYFUNCTION("""COMPUTED_VALUE"""),"Colossus Suit of Armor")</f>
        <v>Colossus Suit of Armor</v>
      </c>
      <c r="B48" s="37" t="str">
        <f>IFERROR(__xludf.DUMMYFUNCTION("""COMPUTED_VALUE"""),"https://i.pinimg.com/736x/65/7d/69/657d6986ee0bfd660a2bc7e628eba5f1.jpg")</f>
        <v>https://i.pinimg.com/736x/65/7d/69/657d6986ee0bfd660a2bc7e628eba5f1.jpg</v>
      </c>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t="str">
        <f>IFERROR(__xludf.DUMMYFUNCTION("""COMPUTED_VALUE"""),"Corrupted Twilight Knight")</f>
        <v>Corrupted Twilight Knight</v>
      </c>
      <c r="B49" s="37" t="str">
        <f>IFERROR(__xludf.DUMMYFUNCTION("""COMPUTED_VALUE"""),"https://storage.googleapis.com/pai-images/d6e2bf402d044cc582f0c065404a076a.jpeg")</f>
        <v>https://storage.googleapis.com/pai-images/d6e2bf402d044cc582f0c065404a076a.jpeg</v>
      </c>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t="str">
        <f>IFERROR(__xludf.DUMMYFUNCTION("""COMPUTED_VALUE"""),"Cremagetion")</f>
        <v>Cremagetion</v>
      </c>
      <c r="B50" s="37"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t="str">
        <f>IFERROR(__xludf.DUMMYFUNCTION("""COMPUTED_VALUE"""),"Crow")</f>
        <v>Crow</v>
      </c>
      <c r="B51" s="37" t="str">
        <f>IFERROR(__xludf.DUMMYFUNCTION("""COMPUTED_VALUE"""),"https://i.pinimg.com/originals/3a/04/f1/3a04f11155301f7761e6980ced4e912b.jpg")</f>
        <v>https://i.pinimg.com/originals/3a/04/f1/3a04f11155301f7761e6980ced4e912b.jpg</v>
      </c>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t="str">
        <f>IFERROR(__xludf.DUMMYFUNCTION("""COMPUTED_VALUE"""),"Crystal Dragon")</f>
        <v>Crystal Dragon</v>
      </c>
      <c r="B52" s="37" t="str">
        <f>IFERROR(__xludf.DUMMYFUNCTION("""COMPUTED_VALUE"""),"https://i.pinimg.com/originals/c5/c4/f1/c5c4f16c6b756db55373075d9661b3a0.jpg")</f>
        <v>https://i.pinimg.com/originals/c5/c4/f1/c5c4f16c6b756db55373075d9661b3a0.jpg</v>
      </c>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t="str">
        <f>IFERROR(__xludf.DUMMYFUNCTION("""COMPUTED_VALUE"""),"Crystal Guardian")</f>
        <v>Crystal Guardian</v>
      </c>
      <c r="B53" s="37" t="str">
        <f>IFERROR(__xludf.DUMMYFUNCTION("""COMPUTED_VALUE"""),"https://pbs.twimg.com/media/CusP9YQXEAERGuj.jpg:large")</f>
        <v>https://pbs.twimg.com/media/CusP9YQXEAERGuj.jpg:large</v>
      </c>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t="str">
        <f>IFERROR(__xludf.DUMMYFUNCTION("""COMPUTED_VALUE"""),"Cthulhu")</f>
        <v>Cthulhu</v>
      </c>
      <c r="B54" s="37" t="str">
        <f>IFERROR(__xludf.DUMMYFUNCTION("""COMPUTED_VALUE"""),"https://c4.wallpaperflare.com/wallpaper/317/750/500/artwork-cthulhu-artstation-digital-art-fantasy-art-hd-wallpaper-preview.jpg")</f>
        <v>https://c4.wallpaperflare.com/wallpaper/317/750/500/artwork-cthulhu-artstation-digital-art-fantasy-art-hd-wallpaper-preview.jpg</v>
      </c>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t="str">
        <f>IFERROR(__xludf.DUMMYFUNCTION("""COMPUTED_VALUE"""),"Cultist of Dreadful")</f>
        <v>Cultist of Dreadful</v>
      </c>
      <c r="B55" s="37" t="str">
        <f>IFERROR(__xludf.DUMMYFUNCTION("""COMPUTED_VALUE"""),"https://encrypted-tbn1.gstatic.com/images?q=tbn:ANd9GcTvMx522kqCNH6QSrBwdNHiwIS58mgsiwYSZSZOgv8kGxKj1dsN")</f>
        <v>https://encrypted-tbn1.gstatic.com/images?q=tbn:ANd9GcTvMx522kqCNH6QSrBwdNHiwIS58mgsiwYSZSZOgv8kGxKj1dsN</v>
      </c>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t="str">
        <f>IFERROR(__xludf.DUMMYFUNCTION("""COMPUTED_VALUE"""),"Cultist Leader")</f>
        <v>Cultist Leader</v>
      </c>
      <c r="B56" s="37" t="str">
        <f>IFERROR(__xludf.DUMMYFUNCTION("""COMPUTED_VALUE"""),"https://encrypted-tbn2.gstatic.com/images?q=tbn:ANd9GcSjsj2YW88yWJIVwxthXd4QzbCG5_Z8M7X-NRGw-NwuxL3sDZzT")</f>
        <v>https://encrypted-tbn2.gstatic.com/images?q=tbn:ANd9GcSjsj2YW88yWJIVwxthXd4QzbCG5_Z8M7X-NRGw-NwuxL3sDZzT</v>
      </c>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t="str">
        <f>IFERROR(__xludf.DUMMYFUNCTION("""COMPUTED_VALUE"""),"Cursed Ronin")</f>
        <v>Cursed Ronin</v>
      </c>
      <c r="B57" s="37" t="str">
        <f>IFERROR(__xludf.DUMMYFUNCTION("""COMPUTED_VALUE"""),"https://t3.ftcdn.net/jpg/05/61/33/58/360_F_561335839_XPIleWtY5WVFWBy3P3aP2Yt7nPmKKvPD.webp")</f>
        <v>https://t3.ftcdn.net/jpg/05/61/33/58/360_F_561335839_XPIleWtY5WVFWBy3P3aP2Yt7nPmKKvPD.webp</v>
      </c>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t="str">
        <f>IFERROR(__xludf.DUMMYFUNCTION("""COMPUTED_VALUE"""),"Cursed Samurai")</f>
        <v>Cursed Samurai</v>
      </c>
      <c r="B58" s="37"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t="str">
        <f>IFERROR(__xludf.DUMMYFUNCTION("""COMPUTED_VALUE"""),"Cyclops")</f>
        <v>Cyclops</v>
      </c>
      <c r="B59" s="37" t="str">
        <f>IFERROR(__xludf.DUMMYFUNCTION("""COMPUTED_VALUE"""),"https://i.pinimg.com/originals/5f/28/ae/5f28ae88d2704e6b5be7f0d630483801.jpg")</f>
        <v>https://i.pinimg.com/originals/5f/28/ae/5f28ae88d2704e6b5be7f0d630483801.jpg</v>
      </c>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t="str">
        <f>IFERROR(__xludf.DUMMYFUNCTION("""COMPUTED_VALUE"""),"Dark Dragon")</f>
        <v>Dark Dragon</v>
      </c>
      <c r="B60" s="37" t="str">
        <f>IFERROR(__xludf.DUMMYFUNCTION("""COMPUTED_VALUE"""),"https://w0.peakpx.com/wallpaper/495/31/HD-wallpaper-dragon-art-fantasy-wings-dark-black-blue.jpg")</f>
        <v>https://w0.peakpx.com/wallpaper/495/31/HD-wallpaper-dragon-art-fantasy-wings-dark-black-blue.jpg</v>
      </c>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t="str">
        <f>IFERROR(__xludf.DUMMYFUNCTION("""COMPUTED_VALUE"""),"Dark Snow Warrior")</f>
        <v>Dark Snow Warrior</v>
      </c>
      <c r="B61" s="37" t="str">
        <f>IFERROR(__xludf.DUMMYFUNCTION("""COMPUTED_VALUE"""),"https://i.pinimg.com/originals/f4/3f/fd/f43ffd3a9c74f97511c0051567b8f650.jpg")</f>
        <v>https://i.pinimg.com/originals/f4/3f/fd/f43ffd3a9c74f97511c0051567b8f650.jpg</v>
      </c>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t="str">
        <f>IFERROR(__xludf.DUMMYFUNCTION("""COMPUTED_VALUE"""),"Dark Wizard")</f>
        <v>Dark Wizard</v>
      </c>
      <c r="B62" s="37" t="str">
        <f>IFERROR(__xludf.DUMMYFUNCTION("""COMPUTED_VALUE"""),"https://i.pinimg.com/originals/9e/47/13/9e4713f2b72a040ff3243636c111eb8a.jpg")</f>
        <v>https://i.pinimg.com/originals/9e/47/13/9e4713f2b72a040ff3243636c111eb8a.jpg</v>
      </c>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t="str">
        <f>IFERROR(__xludf.DUMMYFUNCTION("""COMPUTED_VALUE"""),"Death's Royal Guard")</f>
        <v>Death's Royal Guard</v>
      </c>
      <c r="B63" s="37" t="str">
        <f>IFERROR(__xludf.DUMMYFUNCTION("""COMPUTED_VALUE"""),"https://cdn.openart.ai/stable_diffusion/68141c57eedfef3c6cd00d9bad285539ccfe2f41_2000x2000.webp")</f>
        <v>https://cdn.openart.ai/stable_diffusion/68141c57eedfef3c6cd00d9bad285539ccfe2f41_2000x2000.webp</v>
      </c>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t="str">
        <f>IFERROR(__xludf.DUMMYFUNCTION("""COMPUTED_VALUE"""),"Deathblade The Dragon Hunter")</f>
        <v>Deathblade The Dragon Hunter</v>
      </c>
      <c r="B64" s="37" t="str">
        <f>IFERROR(__xludf.DUMMYFUNCTION("""COMPUTED_VALUE"""),"http://drive.google.com/uc?export=view&amp;id=1fTOqsOkiBPJyX_PJjYXP3r_EXxF1BZtm")</f>
        <v>http://drive.google.com/uc?export=view&amp;id=1fTOqsOkiBPJyX_PJjYXP3r_EXxF1BZtm</v>
      </c>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t="str">
        <f>IFERROR(__xludf.DUMMYFUNCTION("""COMPUTED_VALUE"""),"Defensive Rock Giant")</f>
        <v>Defensive Rock Giant</v>
      </c>
      <c r="B65" s="37" t="str">
        <f>IFERROR(__xludf.DUMMYFUNCTION("""COMPUTED_VALUE"""),"https://i.pinimg.com/736x/51/68/d2/5168d299adfb699961c350bc08f8485c--art-blog-challenges.jpg")</f>
        <v>https://i.pinimg.com/736x/51/68/d2/5168d299adfb699961c350bc08f8485c--art-blog-challenges.jpg</v>
      </c>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t="str">
        <f>IFERROR(__xludf.DUMMYFUNCTION("""COMPUTED_VALUE"""),"Deimos")</f>
        <v>Deimos</v>
      </c>
      <c r="B66" s="37" t="str">
        <f>IFERROR(__xludf.DUMMYFUNCTION("""COMPUTED_VALUE"""),"https://i.pinimg.com/originals/3f/8d/d1/3f8dd1ead651d9d4b1fb5a874af1022f.jpg")</f>
        <v>https://i.pinimg.com/originals/3f/8d/d1/3f8dd1ead651d9d4b1fb5a874af1022f.jpg</v>
      </c>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t="str">
        <f>IFERROR(__xludf.DUMMYFUNCTION("""COMPUTED_VALUE"""),"Delta Dragon")</f>
        <v>Delta Dragon</v>
      </c>
      <c r="B67" s="37" t="str">
        <f>IFERROR(__xludf.DUMMYFUNCTION("""COMPUTED_VALUE"""),"https://www.wallpaperup.com/uploads/wallpapers/2015/03/30/649871/c57c9388e263a93f386c1242f7f289ad-700.jpg")</f>
        <v>https://www.wallpaperup.com/uploads/wallpapers/2015/03/30/649871/c57c9388e263a93f386c1242f7f289ad-700.jpg</v>
      </c>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t="str">
        <f>IFERROR(__xludf.DUMMYFUNCTION("""COMPUTED_VALUE"""),"Demon ")</f>
        <v>Demon </v>
      </c>
      <c r="B68" s="37" t="str">
        <f>IFERROR(__xludf.DUMMYFUNCTION("""COMPUTED_VALUE"""),"https://i.pinimg.com/736x/27/3b/e7/273be790bebc0bbc3bca4e9a5264ca0d.jpg")</f>
        <v>https://i.pinimg.com/736x/27/3b/e7/273be790bebc0bbc3bca4e9a5264ca0d.jpg</v>
      </c>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t="str">
        <f>IFERROR(__xludf.DUMMYFUNCTION("""COMPUTED_VALUE"""),"Demon Of Heatmore")</f>
        <v>Demon Of Heatmore</v>
      </c>
      <c r="B69" s="37" t="str">
        <f>IFERROR(__xludf.DUMMYFUNCTION("""COMPUTED_VALUE"""),"https://i.pinimg.com/736x/dc/1b/85/dc1b85880f048fffce15fbed2c60d369.jpg")</f>
        <v>https://i.pinimg.com/736x/dc/1b/85/dc1b85880f048fffce15fbed2c60d369.jpg</v>
      </c>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t="str">
        <f>IFERROR(__xludf.DUMMYFUNCTION("""COMPUTED_VALUE"""),"Desert Demon")</f>
        <v>Desert Demon</v>
      </c>
      <c r="B70" s="37" t="str">
        <f>IFERROR(__xludf.DUMMYFUNCTION("""COMPUTED_VALUE"""),"https://i.pinimg.com/originals/01/43/e1/0143e115cb3f7f01072aca289fea0bd2.jpg")</f>
        <v>https://i.pinimg.com/originals/01/43/e1/0143e115cb3f7f01072aca289fea0bd2.jpg</v>
      </c>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t="str">
        <f>IFERROR(__xludf.DUMMYFUNCTION("""COMPUTED_VALUE"""),"Desert Hunter")</f>
        <v>Desert Hunter</v>
      </c>
      <c r="B71" s="37" t="str">
        <f>IFERROR(__xludf.DUMMYFUNCTION("""COMPUTED_VALUE"""),"https://cdnb.artstation.com/p/assets/images/images/006/020/639/large/sathoryn-bruno-henriques-camel-9s.jpg?1495474695")</f>
        <v>https://cdnb.artstation.com/p/assets/images/images/006/020/639/large/sathoryn-bruno-henriques-camel-9s.jpg?1495474695</v>
      </c>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t="str">
        <f>IFERROR(__xludf.DUMMYFUNCTION("""COMPUTED_VALUE"""),"Desert Titan")</f>
        <v>Desert Titan</v>
      </c>
      <c r="B72" s="37" t="str">
        <f>IFERROR(__xludf.DUMMYFUNCTION("""COMPUTED_VALUE"""),"https://i.pinimg.com/originals/0c/5a/f6/0c5af62b0e48e1ce94a87e9baf3c7d5a.jpg")</f>
        <v>https://i.pinimg.com/originals/0c/5a/f6/0c5af62b0e48e1ce94a87e9baf3c7d5a.jpg</v>
      </c>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t="str">
        <f>IFERROR(__xludf.DUMMYFUNCTION("""COMPUTED_VALUE"""),"Diamond Dragon")</f>
        <v>Diamond Dragon</v>
      </c>
      <c r="B73" s="37"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t="str">
        <f>IFERROR(__xludf.DUMMYFUNCTION("""COMPUTED_VALUE"""),"Dio The Time Dragon")</f>
        <v>Dio The Time Dragon</v>
      </c>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t="str">
        <f>IFERROR(__xludf.DUMMYFUNCTION("""COMPUTED_VALUE"""),"Divine Dragon Of The Flames")</f>
        <v>Divine Dragon Of The Flames</v>
      </c>
      <c r="B75" s="37" t="str">
        <f>IFERROR(__xludf.DUMMYFUNCTION("""COMPUTED_VALUE"""),"https://www.wallpaperflare.com/static/561/1018/479/fire-dragon-teeth-scales-wallpaper.jpg")</f>
        <v>https://www.wallpaperflare.com/static/561/1018/479/fire-dragon-teeth-scales-wallpaper.jpg</v>
      </c>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t="str">
        <f>IFERROR(__xludf.DUMMYFUNCTION("""COMPUTED_VALUE"""),"Donkey")</f>
        <v>Donkey</v>
      </c>
      <c r="B76" s="37"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t="str">
        <f>IFERROR(__xludf.DUMMYFUNCTION("""COMPUTED_VALUE"""),"Dragon Summoner")</f>
        <v>Dragon Summoner</v>
      </c>
      <c r="B77" s="37" t="str">
        <f>IFERROR(__xludf.DUMMYFUNCTION("""COMPUTED_VALUE"""),"https://w0.peakpx.com/wallpaper/586/1008/HD-wallpaper-dragon-summoner-female-warrior-summoner-fighter-china-beauty-dragon.jpg")</f>
        <v>https://w0.peakpx.com/wallpaper/586/1008/HD-wallpaper-dragon-summoner-female-warrior-summoner-fighter-china-beauty-dragon.jpg</v>
      </c>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t="str">
        <f>IFERROR(__xludf.DUMMYFUNCTION("""COMPUTED_VALUE"""),"Dreading Fire Lich")</f>
        <v>Dreading Fire Lich</v>
      </c>
      <c r="B78" s="37" t="str">
        <f>IFERROR(__xludf.DUMMYFUNCTION("""COMPUTED_VALUE"""),"https://www.worldanvil.com/uploads/images/8323772636927ea0f994dc19300eb4da.png")</f>
        <v>https://www.worldanvil.com/uploads/images/8323772636927ea0f994dc19300eb4da.png</v>
      </c>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t="str">
        <f>IFERROR(__xludf.DUMMYFUNCTION("""COMPUTED_VALUE"""),"Dweller Of The Abyss ")</f>
        <v>Dweller Of The Abyss </v>
      </c>
      <c r="B79" s="37" t="str">
        <f>IFERROR(__xludf.DUMMYFUNCTION("""COMPUTED_VALUE"""),"https://c4.wallpaperflare.com/wallpaper/685/546/348/blue-creature-eye-monster-wallpaper-preview.jpg")</f>
        <v>https://c4.wallpaperflare.com/wallpaper/685/546/348/blue-creature-eye-monster-wallpaper-preview.jpg</v>
      </c>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t="str">
        <f>IFERROR(__xludf.DUMMYFUNCTION("""COMPUTED_VALUE"""),"Eagle")</f>
        <v>Eagle</v>
      </c>
      <c r="B80" s="37" t="str">
        <f>IFERROR(__xludf.DUMMYFUNCTION("""COMPUTED_VALUE"""),"https://e0.pxfuel.com/wallpapers/168/1008/desktop-wallpaper-fantasy-bird-art-artistic-creature-eagle.jpg")</f>
        <v>https://e0.pxfuel.com/wallpapers/168/1008/desktop-wallpaper-fantasy-bird-art-artistic-creature-eagle.jpg</v>
      </c>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t="str">
        <f>IFERROR(__xludf.DUMMYFUNCTION("""COMPUTED_VALUE"""),"Eagle (Enhanced)")</f>
        <v>Eagle (Enhanced)</v>
      </c>
      <c r="B81" s="37" t="str">
        <f>IFERROR(__xludf.DUMMYFUNCTION("""COMPUTED_VALUE"""),"https://e0.pxfuel.com/wallpapers/168/1008/desktop-wallpaper-fantasy-bird-art-artistic-creature-eagle.jpg")</f>
        <v>https://e0.pxfuel.com/wallpapers/168/1008/desktop-wallpaper-fantasy-bird-art-artistic-creature-eagle.jpg</v>
      </c>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t="str">
        <f>IFERROR(__xludf.DUMMYFUNCTION("""COMPUTED_VALUE"""),"Elder Monk Kenyu")</f>
        <v>Elder Monk Kenyu</v>
      </c>
      <c r="B82" s="37" t="str">
        <f>IFERROR(__xludf.DUMMYFUNCTION("""COMPUTED_VALUE"""),"https://i.pinimg.com/236x/f6/41/33/f64133e354f4acb5d99c141c8a6e7c1e.jpg")</f>
        <v>https://i.pinimg.com/236x/f6/41/33/f64133e354f4acb5d99c141c8a6e7c1e.jpg</v>
      </c>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t="str">
        <f>IFERROR(__xludf.DUMMYFUNCTION("""COMPUTED_VALUE"""),"Endless Dark Dragon")</f>
        <v>Endless Dark Dragon</v>
      </c>
      <c r="B84" s="37"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t="str">
        <f>IFERROR(__xludf.DUMMYFUNCTION("""COMPUTED_VALUE"""),"Evil Clown")</f>
        <v>Evil Clown</v>
      </c>
      <c r="B85" s="37" t="str">
        <f>IFERROR(__xludf.DUMMYFUNCTION("""COMPUTED_VALUE"""),"https://i.pinimg.com/236x/53/1f/60/531f6021a08f09c77f9f74b1939b14d2.jpg")</f>
        <v>https://i.pinimg.com/236x/53/1f/60/531f6021a08f09c77f9f74b1939b14d2.jpg</v>
      </c>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t="str">
        <f>IFERROR(__xludf.DUMMYFUNCTION("""COMPUTED_VALUE"""),"Evil Moth")</f>
        <v>Evil Moth</v>
      </c>
      <c r="B86" s="37"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t="str">
        <f>IFERROR(__xludf.DUMMYFUNCTION("""COMPUTED_VALUE"""),"Failinis")</f>
        <v>Failinis</v>
      </c>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t="str">
        <f>IFERROR(__xludf.DUMMYFUNCTION("""COMPUTED_VALUE"""),"Fire Dragon")</f>
        <v>Fire Dragon</v>
      </c>
      <c r="B88" s="37"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t="str">
        <f>IFERROR(__xludf.DUMMYFUNCTION("""COMPUTED_VALUE"""),"Fire Mage")</f>
        <v>Fire Mage</v>
      </c>
      <c r="B89" s="37" t="str">
        <f>IFERROR(__xludf.DUMMYFUNCTION("""COMPUTED_VALUE"""),"https://imagedelivery.net/9sCnq8t6WEGNay0RAQNdvQ/UUID-cl9jnb8pc0210pnot4j6c5zv8/public")</f>
        <v>https://imagedelivery.net/9sCnq8t6WEGNay0RAQNdvQ/UUID-cl9jnb8pc0210pnot4j6c5zv8/public</v>
      </c>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t="str">
        <f>IFERROR(__xludf.DUMMYFUNCTION("""COMPUTED_VALUE"""),"Fire Soldier")</f>
        <v>Fire Soldier</v>
      </c>
      <c r="B90" s="37" t="str">
        <f>IFERROR(__xludf.DUMMYFUNCTION("""COMPUTED_VALUE"""),"https://i.pinimg.com/originals/f7/0c/87/f70c87a3fadb809f531bb4111329874d.jpg")</f>
        <v>https://i.pinimg.com/originals/f7/0c/87/f70c87a3fadb809f531bb4111329874d.jpg</v>
      </c>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t="str">
        <f>IFERROR(__xludf.DUMMYFUNCTION("""COMPUTED_VALUE"""),"Fire Warrior")</f>
        <v>Fire Warrior</v>
      </c>
      <c r="B91" s="37" t="str">
        <f>IFERROR(__xludf.DUMMYFUNCTION("""COMPUTED_VALUE"""),"https://i.pinimg.com/originals/f9/e6/39/f9e6394668d71df3bc37d6a56b226f2d.jpg")</f>
        <v>https://i.pinimg.com/originals/f9/e6/39/f9e6394668d71df3bc37d6a56b226f2d.jpg</v>
      </c>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t="str">
        <f>IFERROR(__xludf.DUMMYFUNCTION("""COMPUTED_VALUE"""),"Fireflies")</f>
        <v>Fireflies</v>
      </c>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t="str">
        <f>IFERROR(__xludf.DUMMYFUNCTION("""COMPUTED_VALUE"""),"Flamethrower Corpse")</f>
        <v>Flamethrower Corpse</v>
      </c>
      <c r="B93" s="37" t="str">
        <f>IFERROR(__xludf.DUMMYFUNCTION("""COMPUTED_VALUE"""),"https://coolvibe.com/wp-content/uploads/2013/07/2D-Art-Alex-Ruiz-Zombie-Mechs.jpg")</f>
        <v>https://coolvibe.com/wp-content/uploads/2013/07/2D-Art-Alex-Ruiz-Zombie-Mechs.jpg</v>
      </c>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t="str">
        <f>IFERROR(__xludf.DUMMYFUNCTION("""COMPUTED_VALUE"""),"Flaming Behemoth")</f>
        <v>Flaming Behemoth</v>
      </c>
      <c r="B94" s="37" t="str">
        <f>IFERROR(__xludf.DUMMYFUNCTION("""COMPUTED_VALUE"""),"https://encrypted-tbn2.gstatic.com/images?q=tbn:ANd9GcRrZu5ulOuxMRGu42DU8OUvMYDYg6FZQnsy0l806_N_dq9iE_Dy")</f>
        <v>https://encrypted-tbn2.gstatic.com/images?q=tbn:ANd9GcRrZu5ulOuxMRGu42DU8OUvMYDYg6FZQnsy0l806_N_dq9iE_Dy</v>
      </c>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t="str">
        <f>IFERROR(__xludf.DUMMYFUNCTION("""COMPUTED_VALUE"""),"Flaming Buffalo")</f>
        <v>Flaming Buffalo</v>
      </c>
      <c r="B95" s="37" t="str">
        <f>IFERROR(__xludf.DUMMYFUNCTION("""COMPUTED_VALUE"""),"https://i.pinimg.com/originals/90/c1/bd/90c1bd53a5c69f93b2c569dc0476a1e5.jpg")</f>
        <v>https://i.pinimg.com/originals/90/c1/bd/90c1bd53a5c69f93b2c569dc0476a1e5.jpg</v>
      </c>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t="str">
        <f>IFERROR(__xludf.DUMMYFUNCTION("""COMPUTED_VALUE"""),"Flaming Cactus")</f>
        <v>Flaming Cactus</v>
      </c>
      <c r="B96" s="37" t="str">
        <f>IFERROR(__xludf.DUMMYFUNCTION("""COMPUTED_VALUE"""),"https://encrypted-tbn0.gstatic.com/images?q=tbn:ANd9GcS7jjo4Lr8TIji22A2Ks90YaQlSLB07BDqP3l_y-EyT4BR5D_0p")</f>
        <v>https://encrypted-tbn0.gstatic.com/images?q=tbn:ANd9GcS7jjo4Lr8TIji22A2Ks90YaQlSLB07BDqP3l_y-EyT4BR5D_0p</v>
      </c>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t="str">
        <f>IFERROR(__xludf.DUMMYFUNCTION("""COMPUTED_VALUE"""),"Flaming Dragon Knight")</f>
        <v>Flaming Dragon Knight</v>
      </c>
      <c r="B97" s="37" t="str">
        <f>IFERROR(__xludf.DUMMYFUNCTION("""COMPUTED_VALUE"""),"https://rare-gallery.com/uploads/posts/1080747-fantasy-art-dragon-mythology-flame-screenshot-computer-wallpaper.jpg")</f>
        <v>https://rare-gallery.com/uploads/posts/1080747-fantasy-art-dragon-mythology-flame-screenshot-computer-wallpaper.jpg</v>
      </c>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t="str">
        <f>IFERROR(__xludf.DUMMYFUNCTION("""COMPUTED_VALUE"""),"Flaming Duck")</f>
        <v>Flaming Duck</v>
      </c>
      <c r="B98" s="37" t="str">
        <f>IFERROR(__xludf.DUMMYFUNCTION("""COMPUTED_VALUE"""),"https://encrypted-tbn1.gstatic.com/images?q=tbn:ANd9GcRmkhrVSE0ndC7wq1Est2dcvcxtEk5kFZPgC7maSuLm5yLX4fC1")</f>
        <v>https://encrypted-tbn1.gstatic.com/images?q=tbn:ANd9GcRmkhrVSE0ndC7wq1Est2dcvcxtEk5kFZPgC7maSuLm5yLX4fC1</v>
      </c>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t="str">
        <f>IFERROR(__xludf.DUMMYFUNCTION("""COMPUTED_VALUE"""),"Flaming King Duck")</f>
        <v>Flaming King Duck</v>
      </c>
      <c r="B99" s="37"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t="str">
        <f>IFERROR(__xludf.DUMMYFUNCTION("""COMPUTED_VALUE"""),"Flaming Monkey")</f>
        <v>Flaming Monkey</v>
      </c>
      <c r="B100" s="37"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t="str">
        <f>IFERROR(__xludf.DUMMYFUNCTION("""COMPUTED_VALUE"""),"Flaming Yak")</f>
        <v>Flaming Yak</v>
      </c>
      <c r="B101" s="37" t="str">
        <f>IFERROR(__xludf.DUMMYFUNCTION("""COMPUTED_VALUE"""),"https://i.pinimg.com/originals/a3/3f/9e/a33f9e833f6a279403d18f8690624c85.jpg")</f>
        <v>https://i.pinimg.com/originals/a3/3f/9e/a33f9e833f6a279403d18f8690624c85.jpg</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t="str">
        <f>IFERROR(__xludf.DUMMYFUNCTION("""COMPUTED_VALUE"""),"Floating Skull")</f>
        <v>Floating Skull</v>
      </c>
      <c r="B102" s="37" t="str">
        <f>IFERROR(__xludf.DUMMYFUNCTION("""COMPUTED_VALUE"""),"https://c4.wallpaperflare.com/wallpaper/207/631/680/fantasy-art-skull-planet-dirt-road-wallpaper-preview.jpg")</f>
        <v>https://c4.wallpaperflare.com/wallpaper/207/631/680/fantasy-art-skull-planet-dirt-road-wallpaper-preview.jpg</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t="str">
        <f>IFERROR(__xludf.DUMMYFUNCTION("""COMPUTED_VALUE"""),"Forest Dragon")</f>
        <v>Forest Dragon</v>
      </c>
      <c r="B103" s="37" t="str">
        <f>IFERROR(__xludf.DUMMYFUNCTION("""COMPUTED_VALUE"""),"https://prod-cdn-07.storenvy.com/product_photos/74369319/file_2f98e1e112_original.jpg")</f>
        <v>https://prod-cdn-07.storenvy.com/product_photos/74369319/file_2f98e1e112_original.jpg</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t="str">
        <f>IFERROR(__xludf.DUMMYFUNCTION("""COMPUTED_VALUE"""),"Forest Elf")</f>
        <v>Forest Elf</v>
      </c>
      <c r="B104" s="37" t="str">
        <f>IFERROR(__xludf.DUMMYFUNCTION("""COMPUTED_VALUE"""),"https://i.pinimg.com/originals/43/43/74/434374486a019c2d8ba70b2bdaea33fa.jpg")</f>
        <v>https://i.pinimg.com/originals/43/43/74/434374486a019c2d8ba70b2bdaea33fa.jpg</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t="str">
        <f>IFERROR(__xludf.DUMMYFUNCTION("""COMPUTED_VALUE"""),"Forest Guardian")</f>
        <v>Forest Guardian</v>
      </c>
      <c r="B105" s="37" t="str">
        <f>IFERROR(__xludf.DUMMYFUNCTION("""COMPUTED_VALUE"""),"https://i.pinimg.com/236x/64/f5/08/64f5089aafb59bb8a41a586e38c4dc96.jpg")</f>
        <v>https://i.pinimg.com/236x/64/f5/08/64f5089aafb59bb8a41a586e38c4dc96.jpg</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t="str">
        <f>IFERROR(__xludf.DUMMYFUNCTION("""COMPUTED_VALUE"""),"Frost Dragon")</f>
        <v>Frost Dragon</v>
      </c>
      <c r="B106" s="37"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t="str">
        <f>IFERROR(__xludf.DUMMYFUNCTION("""COMPUTED_VALUE"""),"Frost Knight")</f>
        <v>Frost Knight</v>
      </c>
      <c r="B107" s="37" t="str">
        <f>IFERROR(__xludf.DUMMYFUNCTION("""COMPUTED_VALUE"""),"https://i.etsystatic.com/40196720/r/il/378a95/4559458180/il_fullxfull.4559458180_bcc1.jpg")</f>
        <v>https://i.etsystatic.com/40196720/r/il/378a95/4559458180/il_fullxfull.4559458180_bcc1.jpg</v>
      </c>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t="str">
        <f>IFERROR(__xludf.DUMMYFUNCTION("""COMPUTED_VALUE"""),"Giant")</f>
        <v>Giant</v>
      </c>
      <c r="B108" s="37" t="str">
        <f>IFERROR(__xludf.DUMMYFUNCTION("""COMPUTED_VALUE"""),"https://i.pinimg.com/736x/17/b9/c9/17b9c98c3f7c6aac98f013554ce4b554.jpg")</f>
        <v>https://i.pinimg.com/736x/17/b9/c9/17b9c98c3f7c6aac98f013554ce4b554.jpg</v>
      </c>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t="str">
        <f>IFERROR(__xludf.DUMMYFUNCTION("""COMPUTED_VALUE"""),"Giant Alligator (WD)")</f>
        <v>Giant Alligator (WD)</v>
      </c>
      <c r="B109" s="37" t="str">
        <f>IFERROR(__xludf.DUMMYFUNCTION("""COMPUTED_VALUE"""),"https://imagedelivery.net/9sCnq8t6WEGNay0RAQNdvQ/UUID-cl90h8kht4179199tqy512xqooa/public")</f>
        <v>https://imagedelivery.net/9sCnq8t6WEGNay0RAQNdvQ/UUID-cl90h8kht4179199tqy512xqooa/public</v>
      </c>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t="str">
        <f>IFERROR(__xludf.DUMMYFUNCTION("""COMPUTED_VALUE"""),"Giant Alligator (WD) (Enhanced)")</f>
        <v>Giant Alligator (WD) (Enhanced)</v>
      </c>
      <c r="B110" s="37" t="str">
        <f>IFERROR(__xludf.DUMMYFUNCTION("""COMPUTED_VALUE"""),"https://imagedelivery.net/9sCnq8t6WEGNay0RAQNdvQ/UUID-cl90h8kht4179199tqy512xqooa/public")</f>
        <v>https://imagedelivery.net/9sCnq8t6WEGNay0RAQNdvQ/UUID-cl90h8kht4179199tqy512xqooa/public</v>
      </c>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t="str">
        <f>IFERROR(__xludf.DUMMYFUNCTION("""COMPUTED_VALUE"""),"Giant Ancient Frost Troll")</f>
        <v>Giant Ancient Frost Troll</v>
      </c>
      <c r="B111" s="37"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t="str">
        <f>IFERROR(__xludf.DUMMYFUNCTION("""COMPUTED_VALUE"""),"Giant Chaotic Shadow Spider")</f>
        <v>Giant Chaotic Shadow Spider</v>
      </c>
      <c r="B112" s="37" t="str">
        <f>IFERROR(__xludf.DUMMYFUNCTION("""COMPUTED_VALUE"""),"https://drive.google.com/uc?export=view&amp;id=1yfmLihf5KYgKBttnv4FWTTxyhVPqdyGc")</f>
        <v>https://drive.google.com/uc?export=view&amp;id=1yfmLihf5KYgKBttnv4FWTTxyhVPqdyGc</v>
      </c>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t="str">
        <f>IFERROR(__xludf.DUMMYFUNCTION("""COMPUTED_VALUE"""),"Giant Eagle")</f>
        <v>Giant Eagle</v>
      </c>
      <c r="B113" s="37" t="str">
        <f>IFERROR(__xludf.DUMMYFUNCTION("""COMPUTED_VALUE"""),"https://i.pinimg.com/originals/9e/74/b8/9e74b811e98511a0496ee216e86bf378.jpg")</f>
        <v>https://i.pinimg.com/originals/9e/74/b8/9e74b811e98511a0496ee216e86bf378.jpg</v>
      </c>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t="str">
        <f>IFERROR(__xludf.DUMMYFUNCTION("""COMPUTED_VALUE"""),"Giant Lava Frog ")</f>
        <v>Giant Lava Frog </v>
      </c>
      <c r="B114" s="37" t="str">
        <f>IFERROR(__xludf.DUMMYFUNCTION("""COMPUTED_VALUE"""),"https://encrypted-tbn3.gstatic.com/images?q=tbn:ANd9GcQ4heNtRxRBjv9yUypQ5wHNNw7bEaW6Lzu0pMnYbRkfa5KKC31s")</f>
        <v>https://encrypted-tbn3.gstatic.com/images?q=tbn:ANd9GcQ4heNtRxRBjv9yUypQ5wHNNw7bEaW6Lzu0pMnYbRkfa5KKC31s</v>
      </c>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t="str">
        <f>IFERROR(__xludf.DUMMYFUNCTION("""COMPUTED_VALUE"""),"Giant Mutated Eel Shark")</f>
        <v>Giant Mutated Eel Shark</v>
      </c>
      <c r="B115" s="37" t="str">
        <f>IFERROR(__xludf.DUMMYFUNCTION("""COMPUTED_VALUE"""),"https://assets.mycast.io/actor_images/actor-frilled-shark-246285_large.jpg?1627045515")</f>
        <v>https://assets.mycast.io/actor_images/actor-frilled-shark-246285_large.jpg?1627045515</v>
      </c>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t="str">
        <f>IFERROR(__xludf.DUMMYFUNCTION("""COMPUTED_VALUE"""),"Giant Scorpion")</f>
        <v>Giant Scorpion</v>
      </c>
      <c r="B116" s="37" t="str">
        <f>IFERROR(__xludf.DUMMYFUNCTION("""COMPUTED_VALUE"""),"https://i.pinimg.com/originals/8e/3f/d0/8e3fd06c588c0106dab622da9e62b46c.jpg")</f>
        <v>https://i.pinimg.com/originals/8e/3f/d0/8e3fd06c588c0106dab622da9e62b46c.jpg</v>
      </c>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t="str">
        <f>IFERROR(__xludf.DUMMYFUNCTION("""COMPUTED_VALUE"""),"Giant Snow Spider")</f>
        <v>Giant Snow Spider</v>
      </c>
      <c r="B117" s="37" t="str">
        <f>IFERROR(__xludf.DUMMYFUNCTION("""COMPUTED_VALUE"""),"https://imagedelivery.net/9sCnq8t6WEGNay0RAQNdvQ/UUID-cl9i62h4h3847q0ovfu9k5k7s/public")</f>
        <v>https://imagedelivery.net/9sCnq8t6WEGNay0RAQNdvQ/UUID-cl9i62h4h3847q0ovfu9k5k7s/public</v>
      </c>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t="str">
        <f>IFERROR(__xludf.DUMMYFUNCTION("""COMPUTED_VALUE"""),"Giant Spider")</f>
        <v>Giant Spider</v>
      </c>
      <c r="B118" s="37" t="str">
        <f>IFERROR(__xludf.DUMMYFUNCTION("""COMPUTED_VALUE"""),"https://i.pinimg.com/originals/c9/43/55/c94355ff752085af5bcb05038ff3aae3.jpg")</f>
        <v>https://i.pinimg.com/originals/c9/43/55/c94355ff752085af5bcb05038ff3aae3.jpg</v>
      </c>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t="str">
        <f>IFERROR(__xludf.DUMMYFUNCTION("""COMPUTED_VALUE"""),"Giant Volcanic Spider")</f>
        <v>Giant Volcanic Spider</v>
      </c>
      <c r="B119" s="37" t="str">
        <f>IFERROR(__xludf.DUMMYFUNCTION("""COMPUTED_VALUE"""),"https://imagedelivery.net/9sCnq8t6WEGNay0RAQNdvQ/UUID-cl90hmdeh2275209tqyi5xv5rdl/public")</f>
        <v>https://imagedelivery.net/9sCnq8t6WEGNay0RAQNdvQ/UUID-cl90hmdeh2275209tqyi5xv5rdl/public</v>
      </c>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t="str">
        <f>IFERROR(__xludf.DUMMYFUNCTION("""COMPUTED_VALUE"""),"Girl of The Crow")</f>
        <v>Girl of The Crow</v>
      </c>
      <c r="B120" s="37"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t="str">
        <f>IFERROR(__xludf.DUMMYFUNCTION("""COMPUTED_VALUE"""),"Goblin")</f>
        <v>Goblin</v>
      </c>
      <c r="B121" s="37" t="str">
        <f>IFERROR(__xludf.DUMMYFUNCTION("""COMPUTED_VALUE"""),"https://i.pinimg.com/736x/e2/bb/03/e2bb030be6ae3f5bb2530990754b2f12--fantasy-kreaturen-fantasy-monster.jpg")</f>
        <v>https://i.pinimg.com/736x/e2/bb/03/e2bb030be6ae3f5bb2530990754b2f12--fantasy-kreaturen-fantasy-monster.jpg</v>
      </c>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t="str">
        <f>IFERROR(__xludf.DUMMYFUNCTION("""COMPUTED_VALUE"""),"Grand Dark &amp; Fire Mage")</f>
        <v>Grand Dark &amp; Fire Mage</v>
      </c>
      <c r="B122" s="37" t="str">
        <f>IFERROR(__xludf.DUMMYFUNCTION("""COMPUTED_VALUE"""),"https://t1.gstatic.com/images?q=tbn:ANd9GcSwiYLwxXUP_uDUBWCS49M_ddK7cnjqQGjbr78gRLHoLkLLsix9")</f>
        <v>https://t1.gstatic.com/images?q=tbn:ANd9GcSwiYLwxXUP_uDUBWCS49M_ddK7cnjqQGjbr78gRLHoLkLLsix9</v>
      </c>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t="str">
        <f>IFERROR(__xludf.DUMMYFUNCTION("""COMPUTED_VALUE"""),"Grand Fire Elemental")</f>
        <v>Grand Fire Elemental</v>
      </c>
      <c r="B123" s="37" t="str">
        <f>IFERROR(__xludf.DUMMYFUNCTION("""COMPUTED_VALUE"""),"https://cdnb.artstation.com/p/assets/images/images/026/424/619/large/peter-lee-w4rebirth-of-ragnaros03.jpg?1588749009")</f>
        <v>https://cdnb.artstation.com/p/assets/images/images/026/424/619/large/peter-lee-w4rebirth-of-ragnaros03.jpg?1588749009</v>
      </c>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t="str">
        <f>IFERROR(__xludf.DUMMYFUNCTION("""COMPUTED_VALUE"""),"Gray Soul")</f>
        <v>Gray Soul</v>
      </c>
      <c r="B124" s="37" t="str">
        <f>IFERROR(__xludf.DUMMYFUNCTION("""COMPUTED_VALUE"""),"https://encrypted-tbn3.gstatic.com/images?q=tbn:ANd9GcRAKoAaDlOjoY3Cz52HGIn_UFpa5Uvi7ZjnnhxaIgH-zdXIgJhZ")</f>
        <v>https://encrypted-tbn3.gstatic.com/images?q=tbn:ANd9GcRAKoAaDlOjoY3Cz52HGIn_UFpa5Uvi7ZjnnhxaIgH-zdXIgJhZ</v>
      </c>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t="str">
        <f>IFERROR(__xludf.DUMMYFUNCTION("""COMPUTED_VALUE"""),"Green Soul")</f>
        <v>Green Soul</v>
      </c>
      <c r="B125" s="37" t="str">
        <f>IFERROR(__xludf.DUMMYFUNCTION("""COMPUTED_VALUE"""),"https://encrypted-tbn1.gstatic.com/images?q=tbn:ANd9GcRy5XnZq6gmTJ9FANa8tQds4JY04Zj1yDDqkBCeEskkm4sZ5bhb")</f>
        <v>https://encrypted-tbn1.gstatic.com/images?q=tbn:ANd9GcRy5XnZq6gmTJ9FANa8tQds4JY04Zj1yDDqkBCeEskkm4sZ5bhb</v>
      </c>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t="str">
        <f>IFERROR(__xludf.DUMMYFUNCTION("""COMPUTED_VALUE"""),"Griffin")</f>
        <v>Griffin</v>
      </c>
      <c r="B126" s="37" t="str">
        <f>IFERROR(__xludf.DUMMYFUNCTION("""COMPUTED_VALUE"""),"https://i.pinimg.com/550x/fa/d7/b3/fad7b3b7a453720aabe317882480ec70.jpg")</f>
        <v>https://i.pinimg.com/550x/fa/d7/b3/fad7b3b7a453720aabe317882480ec70.jpg</v>
      </c>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t="str">
        <f>IFERROR(__xludf.DUMMYFUNCTION("""COMPUTED_VALUE"""),"Ground Tiger")</f>
        <v>Ground Tiger</v>
      </c>
      <c r="B127" s="37" t="str">
        <f>IFERROR(__xludf.DUMMYFUNCTION("""COMPUTED_VALUE"""),"https://c4.wallpaperflare.com/wallpaper/279/554/406/tiger-art-mystic-tiger-raph04art-wallpaper-thumb.jpg")</f>
        <v>https://c4.wallpaperflare.com/wallpaper/279/554/406/tiger-art-mystic-tiger-raph04art-wallpaper-thumb.jpg</v>
      </c>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t="str">
        <f>IFERROR(__xludf.DUMMYFUNCTION("""COMPUTED_VALUE"""),"Guard Tier III")</f>
        <v>Guard Tier III</v>
      </c>
      <c r="B128" s="37" t="str">
        <f>IFERROR(__xludf.DUMMYFUNCTION("""COMPUTED_VALUE"""),"https://i.pinimg.com/736x/e8/d8/c6/e8d8c66e656d256e1daa3247af82bc87.jpg")</f>
        <v>https://i.pinimg.com/736x/e8/d8/c6/e8d8c66e656d256e1daa3247af82bc87.jpg</v>
      </c>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t="str">
        <f>IFERROR(__xludf.DUMMYFUNCTION("""COMPUTED_VALUE"""),"Guard Tier II")</f>
        <v>Guard Tier II</v>
      </c>
      <c r="B129" s="37" t="str">
        <f>IFERROR(__xludf.DUMMYFUNCTION("""COMPUTED_VALUE"""),"https://i.pinimg.com/736x/f4/d3/b0/f4d3b05fb82f46dbe64773ae1267cd5d.jpg")</f>
        <v>https://i.pinimg.com/736x/f4/d3/b0/f4d3b05fb82f46dbe64773ae1267cd5d.jpg</v>
      </c>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t="str">
        <f>IFERROR(__xludf.DUMMYFUNCTION("""COMPUTED_VALUE"""),"Guard Tier I")</f>
        <v>Guard Tier I</v>
      </c>
      <c r="B130" s="37" t="str">
        <f>IFERROR(__xludf.DUMMYFUNCTION("""COMPUTED_VALUE"""),"https://i.pinimg.com/736x/7a/a5/b8/7aa5b834145585c30006b3a284a1332a.jpg")</f>
        <v>https://i.pinimg.com/736x/7a/a5/b8/7aa5b834145585c30006b3a284a1332a.jpg</v>
      </c>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t="str">
        <f>IFERROR(__xludf.DUMMYFUNCTION("""COMPUTED_VALUE"""),"The Ambrosian Paladins")</f>
        <v>The Ambrosian Paladins</v>
      </c>
      <c r="B131" s="37" t="str">
        <f>IFERROR(__xludf.DUMMYFUNCTION("""COMPUTED_VALUE"""),"https://i.pinimg.com/564x/79/27/d9/7927d9dc14ed652be5ca00bcd2c03f1b.jpg")</f>
        <v>https://i.pinimg.com/564x/79/27/d9/7927d9dc14ed652be5ca00bcd2c03f1b.jpg</v>
      </c>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t="str">
        <f>IFERROR(__xludf.DUMMYFUNCTION("""COMPUTED_VALUE"""),"Wave Rider Paladins")</f>
        <v>Wave Rider Paladins</v>
      </c>
      <c r="B132" s="37" t="str">
        <f>IFERROR(__xludf.DUMMYFUNCTION("""COMPUTED_VALUE"""),"https://i.pinimg.com/736x/c6/8d/ec/c68decfd887e7ae81bdea8869f79c72d--surfing-images-surfing-pictures.jpg")</f>
        <v>https://i.pinimg.com/736x/c6/8d/ec/c68decfd887e7ae81bdea8869f79c72d--surfing-images-surfing-pictures.jpg</v>
      </c>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t="str">
        <f>IFERROR(__xludf.DUMMYFUNCTION("""COMPUTED_VALUE"""),"Urchin Swiffer Paladins")</f>
        <v>Urchin Swiffer Paladins</v>
      </c>
      <c r="B133" s="37" t="str">
        <f>IFERROR(__xludf.DUMMYFUNCTION("""COMPUTED_VALUE"""),"https://cdna.artstation.com/p/assets/images/images/021/080/248/large/vladimir-lemajic-sea-uchain222.jpg?1570317644")</f>
        <v>https://cdna.artstation.com/p/assets/images/images/021/080/248/large/vladimir-lemajic-sea-uchain222.jpg?1570317644</v>
      </c>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t="str">
        <f>IFERROR(__xludf.DUMMYFUNCTION("""COMPUTED_VALUE"""),"Ninja Trainee (Dragonscale)")</f>
        <v>Ninja Trainee (Dragonscale)</v>
      </c>
      <c r="B134" s="37" t="str">
        <f>IFERROR(__xludf.DUMMYFUNCTION("""COMPUTED_VALUE"""),"https://i.pinimg.com/236x/02/4f/15/024f159105b552e078583e5c9126d1cc.jpg")</f>
        <v>https://i.pinimg.com/236x/02/4f/15/024f159105b552e078583e5c9126d1cc.jpg</v>
      </c>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t="str">
        <f>IFERROR(__xludf.DUMMYFUNCTION("""COMPUTED_VALUE"""),"Ninja Ambusher (Dragonscale)")</f>
        <v>Ninja Ambusher (Dragonscale)</v>
      </c>
      <c r="B135" s="37" t="str">
        <f>IFERROR(__xludf.DUMMYFUNCTION("""COMPUTED_VALUE"""),"https://i.pinimg.com/564x/8c/8a/fd/8c8afd4fe5a452149e0781dc44d13899.jpg")</f>
        <v>https://i.pinimg.com/564x/8c/8a/fd/8c8afd4fe5a452149e0781dc44d13899.jpg</v>
      </c>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t="str">
        <f>IFERROR(__xludf.DUMMYFUNCTION("""COMPUTED_VALUE"""),"Ninja Poison Master (Dragonscale)")</f>
        <v>Ninja Poison Master (Dragonscale)</v>
      </c>
      <c r="B136" s="37" t="str">
        <f>IFERROR(__xludf.DUMMYFUNCTION("""COMPUTED_VALUE"""),"https://ih1.redbubble.net/image.5066507321.2762/flat,750x,075,f-pad,750x1000,f8f8f8.jpg")</f>
        <v>https://ih1.redbubble.net/image.5066507321.2762/flat,750x,075,f-pad,750x1000,f8f8f8.jpg</v>
      </c>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t="str">
        <f>IFERROR(__xludf.DUMMYFUNCTION("""COMPUTED_VALUE"""),"Ninja Master (Dragonscale)")</f>
        <v>Ninja Master (Dragonscale)</v>
      </c>
      <c r="B137" s="37" t="str">
        <f>IFERROR(__xludf.DUMMYFUNCTION("""COMPUTED_VALUE"""),"https://ih1.redbubble.net/image.5030669503.9011/bg,f8f8f8-flat,750x,075,f-pad,750x1000,f8f8f8.jpg")</f>
        <v>https://ih1.redbubble.net/image.5030669503.9011/bg,f8f8f8-flat,750x,075,f-pad,750x1000,f8f8f8.jpg</v>
      </c>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t="str">
        <f>IFERROR(__xludf.DUMMYFUNCTION("""COMPUTED_VALUE"""),"Master Inugima of the Amphibuki")</f>
        <v>Master Inugima of the Amphibuki</v>
      </c>
      <c r="B138" s="37" t="str">
        <f>IFERROR(__xludf.DUMMYFUNCTION("""COMPUTED_VALUE"""),"https://i.pinimg.com/236x/b3/44/8c/b3448c43e89ad1f9c217cc75296e01f2.jpg")</f>
        <v>https://i.pinimg.com/236x/b3/44/8c/b3448c43e89ad1f9c217cc75296e01f2.jpg</v>
      </c>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t="str">
        <f>IFERROR(__xludf.DUMMYFUNCTION("""COMPUTED_VALUE"""),"Imphigenia, Betrayed Goddess Of The Moon")</f>
        <v>Imphigenia, Betrayed Goddess Of The Moon</v>
      </c>
      <c r="B139" s="37" t="str">
        <f>IFERROR(__xludf.DUMMYFUNCTION("""COMPUTED_VALUE"""),"https://i.pinimg.com/236x/ee/7c/42/ee7c428df2ac1e05dccacba4b6956604.jpg")</f>
        <v>https://i.pinimg.com/236x/ee/7c/42/ee7c428df2ac1e05dccacba4b6956604.jpg</v>
      </c>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t="str">
        <f>IFERROR(__xludf.DUMMYFUNCTION("""COMPUTED_VALUE"""),"Imphigenia, Harbinger of Revenge")</f>
        <v>Imphigenia, Harbinger of Revenge</v>
      </c>
      <c r="B140" s="37" t="str">
        <f>IFERROR(__xludf.DUMMYFUNCTION("""COMPUTED_VALUE"""),"https://i.pinimg.com/236x/90/0d/1b/900d1b82b06fde186a460d82293a1b52.jpg")</f>
        <v>https://i.pinimg.com/236x/90/0d/1b/900d1b82b06fde186a460d82293a1b52.jpg</v>
      </c>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t="str">
        <f>IFERROR(__xludf.DUMMYFUNCTION("""COMPUTED_VALUE"""),"The Harbingers of The Voidwoken (Spira)")</f>
        <v>The Harbingers of The Voidwoken (Spira)</v>
      </c>
      <c r="B141" s="37"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t="str">
        <f>IFERROR(__xludf.DUMMYFUNCTION("""COMPUTED_VALUE"""),"The Harbingers of The Voidwoken (DragonScale)")</f>
        <v>The Harbingers of The Voidwoken (DragonScale)</v>
      </c>
      <c r="B142" s="37"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t="str">
        <f>IFERROR(__xludf.DUMMYFUNCTION("""COMPUTED_VALUE"""),"The Harbingers of The Voidwoken (Abstara)")</f>
        <v>The Harbingers of The Voidwoken (Abstara)</v>
      </c>
      <c r="B143" s="37"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t="str">
        <f>IFERROR(__xludf.DUMMYFUNCTION("""COMPUTED_VALUE"""),"The Harbingers of The Voidwoken (Solreach)")</f>
        <v>The Harbingers of The Voidwoken (Solreach)</v>
      </c>
      <c r="B144" s="37"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t="str">
        <f>IFERROR(__xludf.DUMMYFUNCTION("""COMPUTED_VALUE"""),"Beast of Gévaudan")</f>
        <v>Beast of Gévaudan</v>
      </c>
      <c r="B145" s="37" t="str">
        <f>IFERROR(__xludf.DUMMYFUNCTION("""COMPUTED_VALUE"""),"https://i.pinimg.com/236x/47/4c/5c/474c5ce7d6431d4155ad6e548ca40888.jpg")</f>
        <v>https://i.pinimg.com/236x/47/4c/5c/474c5ce7d6431d4155ad6e548ca40888.jpg</v>
      </c>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t="str">
        <f>IFERROR(__xludf.DUMMYFUNCTION("""COMPUTED_VALUE"""),"Salamander, King of the Fire Elementals")</f>
        <v>Salamander, King of the Fire Elementals</v>
      </c>
      <c r="B146" s="37"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t="str">
        <f>IFERROR(__xludf.DUMMYFUNCTION("""COMPUTED_VALUE"""),"Imp")</f>
        <v>Imp</v>
      </c>
      <c r="B147" s="37" t="str">
        <f>IFERROR(__xludf.DUMMYFUNCTION("""COMPUTED_VALUE"""),"https://i.pinimg.com/236x/ce/ad/86/cead86b05ba305cdb07d8e70def211c9.jpg")</f>
        <v>https://i.pinimg.com/236x/ce/ad/86/cead86b05ba305cdb07d8e70def211c9.jpg</v>
      </c>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t="str">
        <f>IFERROR(__xludf.DUMMYFUNCTION("""COMPUTED_VALUE"""),"Lunarion, Faithful Hound of Imphigenia")</f>
        <v>Lunarion, Faithful Hound of Imphigenia</v>
      </c>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t="str">
        <f>IFERROR(__xludf.DUMMYFUNCTION("""COMPUTED_VALUE"""),"Water Wyrm")</f>
        <v>Water Wyrm</v>
      </c>
      <c r="B149" s="37" t="str">
        <f>IFERROR(__xludf.DUMMYFUNCTION("""COMPUTED_VALUE"""),"https://cdna.artstation.com/p/assets/images/images/012/370/394/large/_dak-liber-_-img-3350.jpg?1534438494")</f>
        <v>https://cdna.artstation.com/p/assets/images/images/012/370/394/large/_dak-liber-_-img-3350.jpg?1534438494</v>
      </c>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t="str">
        <f>IFERROR(__xludf.DUMMYFUNCTION("""COMPUTED_VALUE"""),"Fire Wyrm")</f>
        <v>Fire Wyrm</v>
      </c>
      <c r="B150" s="37" t="str">
        <f>IFERROR(__xludf.DUMMYFUNCTION("""COMPUTED_VALUE"""),"https://i.pinimg.com/236x/59/8b/ff/598bffe03feeac4c9cac851462fd2718.jpg")</f>
        <v>https://i.pinimg.com/236x/59/8b/ff/598bffe03feeac4c9cac851462fd2718.jpg</v>
      </c>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t="str">
        <f>IFERROR(__xludf.DUMMYFUNCTION("""COMPUTED_VALUE"""),"Storm Wyrm")</f>
        <v>Storm Wyrm</v>
      </c>
      <c r="B151" s="37" t="str">
        <f>IFERROR(__xludf.DUMMYFUNCTION("""COMPUTED_VALUE"""),"https://i.pinimg.com/236x/29/55/2b/29552ba748a4442210c323d0732a3835.jpg")</f>
        <v>https://i.pinimg.com/236x/29/55/2b/29552ba748a4442210c323d0732a3835.jpg</v>
      </c>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t="str">
        <f>IFERROR(__xludf.DUMMYFUNCTION("""COMPUTED_VALUE"""),"Gytras: The Lord Of Jellyfish")</f>
        <v>Gytras: The Lord Of Jellyfish</v>
      </c>
      <c r="B152" s="37"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t="str">
        <f>IFERROR(__xludf.DUMMYFUNCTION("""COMPUTED_VALUE"""),"Haunted Scarecrow")</f>
        <v>Haunted Scarecrow</v>
      </c>
      <c r="B153" s="37" t="str">
        <f>IFERROR(__xludf.DUMMYFUNCTION("""COMPUTED_VALUE"""),"https://e0.pxfuel.com/wallpapers/831/360/desktop-wallpaper-creepy-crow-halloween-moon-scary-scarecrow-space-moons-thumbnail.jpg")</f>
        <v>https://e0.pxfuel.com/wallpapers/831/360/desktop-wallpaper-creepy-crow-halloween-moon-scary-scarecrow-space-moons-thumbnail.jpg</v>
      </c>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t="str">
        <f>IFERROR(__xludf.DUMMYFUNCTION("""COMPUTED_VALUE"""),"Headless Horseman ")</f>
        <v>Headless Horseman </v>
      </c>
      <c r="B154" s="37" t="str">
        <f>IFERROR(__xludf.DUMMYFUNCTION("""COMPUTED_VALUE"""),"https://i.pinimg.com/originals/0b/24/3a/0b243a477fd3257de4b036b2c7e4e52b.jpg")</f>
        <v>https://i.pinimg.com/originals/0b/24/3a/0b243a477fd3257de4b036b2c7e4e52b.jpg</v>
      </c>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t="str">
        <f>IFERROR(__xludf.DUMMYFUNCTION("""COMPUTED_VALUE"""),"Heatmore Flame Golem")</f>
        <v>Heatmore Flame Golem</v>
      </c>
      <c r="B155" s="37" t="str">
        <f>IFERROR(__xludf.DUMMYFUNCTION("""COMPUTED_VALUE"""),"https://i.pinimg.com/originals/72/a4/4d/72a44d7156a216ef0e14eee66149be1b.jpg")</f>
        <v>https://i.pinimg.com/originals/72/a4/4d/72a44d7156a216ef0e14eee66149be1b.jpg</v>
      </c>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t="str">
        <f>IFERROR(__xludf.DUMMYFUNCTION("""COMPUTED_VALUE"""),"Heatmore Royal Keeper")</f>
        <v>Heatmore Royal Keeper</v>
      </c>
      <c r="B156" s="37" t="str">
        <f>IFERROR(__xludf.DUMMYFUNCTION("""COMPUTED_VALUE"""),"https://encrypted-tbn0.gstatic.com/images?q=tbn:ANd9GcTwFPj5Qf79hT7h3Tg7H5G0twUjQTw1-Qdsl7y_YsSCg1PwWM9B")</f>
        <v>https://encrypted-tbn0.gstatic.com/images?q=tbn:ANd9GcTwFPj5Qf79hT7h3Tg7H5G0twUjQTw1-Qdsl7y_YsSCg1PwWM9B</v>
      </c>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t="str">
        <f>IFERROR(__xludf.DUMMYFUNCTION("""COMPUTED_VALUE"""),"Heatmore Underling")</f>
        <v>Heatmore Underling</v>
      </c>
      <c r="B157" s="37" t="str">
        <f>IFERROR(__xludf.DUMMYFUNCTION("""COMPUTED_VALUE"""),"https://encrypted-tbn3.gstatic.com/images?q=tbn:ANd9GcR5b5C0-UAZ4qAF5Pq8oGk3fyfAdrB5GqEnuq-HdJvnvbfV1CIl")</f>
        <v>https://encrypted-tbn3.gstatic.com/images?q=tbn:ANd9GcR5b5C0-UAZ4qAF5Pq8oGk3fyfAdrB5GqEnuq-HdJvnvbfV1CIl</v>
      </c>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t="str">
        <f>IFERROR(__xludf.DUMMYFUNCTION("""COMPUTED_VALUE"""),"Hellmore The Soul Keeper")</f>
        <v>Hellmore The Soul Keeper</v>
      </c>
      <c r="B158" s="37" t="str">
        <f>IFERROR(__xludf.DUMMYFUNCTION("""COMPUTED_VALUE"""),"https://t2.gstatic.com/images?q=tbn:ANd9GcTum8eoZK8yHj3xaiTXYFwalZNhRuduum538UxODAugSBNJxCF5")</f>
        <v>https://t2.gstatic.com/images?q=tbn:ANd9GcTum8eoZK8yHj3xaiTXYFwalZNhRuduum538UxODAugSBNJxCF5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t="str">
        <f>IFERROR(__xludf.DUMMYFUNCTION("""COMPUTED_VALUE"""),"Hydra Cobra")</f>
        <v>Hydra Cobra</v>
      </c>
      <c r="B159" s="37" t="str">
        <f>IFERROR(__xludf.DUMMYFUNCTION("""COMPUTED_VALUE"""),"https://encrypted-tbn0.gstatic.com/images?q=tbn:ANd9GcTdSWye7I4v2a7yCWivanpbXAxeMD-T7ZjnULpenLjfAGMBBUja")</f>
        <v>https://encrypted-tbn0.gstatic.com/images?q=tbn:ANd9GcTdSWye7I4v2a7yCWivanpbXAxeMD-T7ZjnULpenLjfAGMBBUja</v>
      </c>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t="str">
        <f>IFERROR(__xludf.DUMMYFUNCTION("""COMPUTED_VALUE"""),"Hyena")</f>
        <v>Hyena</v>
      </c>
      <c r="B160" s="37" t="str">
        <f>IFERROR(__xludf.DUMMYFUNCTION("""COMPUTED_VALUE"""),"https://i.pinimg.com/originals/55/72/50/5572503c3f83cbff738960f2695ea055.jpg")</f>
        <v>https://i.pinimg.com/originals/55/72/50/5572503c3f83cbff738960f2695ea055.jpg</v>
      </c>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t="str">
        <f>IFERROR(__xludf.DUMMYFUNCTION("""COMPUTED_VALUE"""),"Ice Golem")</f>
        <v>Ice Golem</v>
      </c>
      <c r="B161" s="37"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t="str">
        <f>IFERROR(__xludf.DUMMYFUNCTION("""COMPUTED_VALUE"""),"Ice Slime")</f>
        <v>Ice Slime</v>
      </c>
      <c r="B162" s="37" t="str">
        <f>IFERROR(__xludf.DUMMYFUNCTION("""COMPUTED_VALUE"""),"https://img6.arthub.ai/64c0d9b7-dd89.webp")</f>
        <v>https://img6.arthub.ai/64c0d9b7-dd89.webp</v>
      </c>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t="str">
        <f>IFERROR(__xludf.DUMMYFUNCTION("""COMPUTED_VALUE"""),"Ice Yak")</f>
        <v>Ice Yak</v>
      </c>
      <c r="B163" s="37"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t="str">
        <f>IFERROR(__xludf.DUMMYFUNCTION("""COMPUTED_VALUE"""),"Imperial Judge")</f>
        <v>Imperial Judge</v>
      </c>
      <c r="B164" s="37"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t="str">
        <f>IFERROR(__xludf.DUMMYFUNCTION("""COMPUTED_VALUE"""),"Inferno Tree Walker")</f>
        <v>Inferno Tree Walker</v>
      </c>
      <c r="B165" s="37" t="str">
        <f>IFERROR(__xludf.DUMMYFUNCTION("""COMPUTED_VALUE"""),"https://encrypted-tbn2.gstatic.com/images?q=tbn:ANd9GcR1qDMvOw6tVHYOa48L_usHbWoKak0IghupoLLvLcSc_716AHLE")</f>
        <v>https://encrypted-tbn2.gstatic.com/images?q=tbn:ANd9GcR1qDMvOw6tVHYOa48L_usHbWoKak0IghupoLLvLcSc_716AHLE</v>
      </c>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t="str">
        <f>IFERROR(__xludf.DUMMYFUNCTION("""COMPUTED_VALUE"""),"Inferno Vulture")</f>
        <v>Inferno Vulture</v>
      </c>
      <c r="B166" s="37" t="str">
        <f>IFERROR(__xludf.DUMMYFUNCTION("""COMPUTED_VALUE"""),"https://encrypted-tbn2.gstatic.com/images?q=tbn:ANd9GcS-avwU25-3S0Zi27C3hKMrgStjfm-z8E78icgpSqqGDYCR74Sw")</f>
        <v>https://encrypted-tbn2.gstatic.com/images?q=tbn:ANd9GcS-avwU25-3S0Zi27C3hKMrgStjfm-z8E78icgpSqqGDYCR74Sw</v>
      </c>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t="str">
        <f>IFERROR(__xludf.DUMMYFUNCTION("""COMPUTED_VALUE"""),"Jack Haggerson")</f>
        <v>Jack Haggerson</v>
      </c>
      <c r="B167" s="37" t="str">
        <f>IFERROR(__xludf.DUMMYFUNCTION("""COMPUTED_VALUE"""),"https://i.pinimg.com/236x/9c/31/a8/9c31a8234bfa3f69ceb2ec4224d01201--chinese-fantasy-creatures.jpg")</f>
        <v>https://i.pinimg.com/236x/9c/31/a8/9c31a8234bfa3f69ceb2ec4224d01201--chinese-fantasy-creatures.jpg</v>
      </c>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t="str">
        <f>IFERROR(__xludf.DUMMYFUNCTION("""COMPUTED_VALUE"""),"Jelly Fish (WD)")</f>
        <v>Jelly Fish (WD)</v>
      </c>
      <c r="B168" s="37" t="str">
        <f>IFERROR(__xludf.DUMMYFUNCTION("""COMPUTED_VALUE"""),"https://i.pinimg.com/originals/91/9f/36/919f366fd540a53a94194b97e7a611c7.jpg")</f>
        <v>https://i.pinimg.com/originals/91/9f/36/919f366fd540a53a94194b97e7a611c7.jpg</v>
      </c>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t="str">
        <f>IFERROR(__xludf.DUMMYFUNCTION("""COMPUTED_VALUE"""),"Jelly Fish (WD) (Enhanced)")</f>
        <v>Jelly Fish (WD) (Enhanced)</v>
      </c>
      <c r="B169" s="37" t="str">
        <f>IFERROR(__xludf.DUMMYFUNCTION("""COMPUTED_VALUE"""),"https://i.pinimg.com/originals/91/9f/36/919f366fd540a53a94194b97e7a611c7.jpg")</f>
        <v>https://i.pinimg.com/originals/91/9f/36/919f366fd540a53a94194b97e7a611c7.jpg</v>
      </c>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t="str">
        <f>IFERROR(__xludf.DUMMYFUNCTION("""COMPUTED_VALUE"""),"King Goose")</f>
        <v>King Goose</v>
      </c>
      <c r="B170" s="37"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t="str">
        <f>IFERROR(__xludf.DUMMYFUNCTION("""COMPUTED_VALUE"""),"King Of Mekana (Robotic Guardian of the 5th, No. 5)")</f>
        <v>King Of Mekana (Robotic Guardian of the 5th, No. 5)</v>
      </c>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t="str">
        <f>IFERROR(__xludf.DUMMYFUNCTION("""COMPUTED_VALUE"""),"Knight Of Chaotic Shadows")</f>
        <v>Knight Of Chaotic Shadows</v>
      </c>
      <c r="B172" s="37" t="str">
        <f>IFERROR(__xludf.DUMMYFUNCTION("""COMPUTED_VALUE"""),"https://drive.google.com/uc?export=view&amp;id=1kScZuAtrDaqmvLeHte4Nd_WRRxY9W5SS")</f>
        <v>https://drive.google.com/uc?export=view&amp;id=1kScZuAtrDaqmvLeHte4Nd_WRRxY9W5SS</v>
      </c>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t="str">
        <f>IFERROR(__xludf.DUMMYFUNCTION("""COMPUTED_VALUE"""),"Lamia ")</f>
        <v>Lamia </v>
      </c>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t="str">
        <f>IFERROR(__xludf.DUMMYFUNCTION("""COMPUTED_VALUE"""),"Lava Kraken")</f>
        <v>Lava Kraken</v>
      </c>
      <c r="B174" s="37"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t="str">
        <f>IFERROR(__xludf.DUMMYFUNCTION("""COMPUTED_VALUE"""),"Lava Lizard")</f>
        <v>Lava Lizard</v>
      </c>
      <c r="B175" s="37" t="str">
        <f>IFERROR(__xludf.DUMMYFUNCTION("""COMPUTED_VALUE"""),"https://cdna.artstation.com/p/assets/images/images/044/292/652/large/jiri-kus-lizard-temple-final-33.jpg?1639593446")</f>
        <v>https://cdna.artstation.com/p/assets/images/images/044/292/652/large/jiri-kus-lizard-temple-final-33.jpg?1639593446</v>
      </c>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t="str">
        <f>IFERROR(__xludf.DUMMYFUNCTION("""COMPUTED_VALUE"""),"Lava Moth")</f>
        <v>Lava Moth</v>
      </c>
      <c r="B176" s="37"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t="str">
        <f>IFERROR(__xludf.DUMMYFUNCTION("""COMPUTED_VALUE"""),"Lava Panther")</f>
        <v>Lava Panther</v>
      </c>
      <c r="B177" s="37" t="str">
        <f>IFERROR(__xludf.DUMMYFUNCTION("""COMPUTED_VALUE"""),"https://encrypted-tbn1.gstatic.com/images?q=tbn:ANd9GcR5bJI7LWMzGx5KtKRBqghxV-HfQKqLgxxucllCpYmmplXn1spW")</f>
        <v>https://encrypted-tbn1.gstatic.com/images?q=tbn:ANd9GcR5bJI7LWMzGx5KtKRBqghxV-HfQKqLgxxucllCpYmmplXn1spW</v>
      </c>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t="str">
        <f>IFERROR(__xludf.DUMMYFUNCTION("""COMPUTED_VALUE"""),"Lava Rat")</f>
        <v>Lava Rat</v>
      </c>
      <c r="B178" s="37" t="str">
        <f>IFERROR(__xludf.DUMMYFUNCTION("""COMPUTED_VALUE"""),"https://encrypted-tbn1.gstatic.com/images?q=tbn:ANd9GcREPo8ZEspRFJOUiE4t_3hABJkEiai_ai9ulV2m1YR5DvTOeV_t")</f>
        <v>https://encrypted-tbn1.gstatic.com/images?q=tbn:ANd9GcREPo8ZEspRFJOUiE4t_3hABJkEiai_ai9ulV2m1YR5DvTOeV_t</v>
      </c>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t="str">
        <f>IFERROR(__xludf.DUMMYFUNCTION("""COMPUTED_VALUE"""),"Rat King")</f>
        <v>Rat King</v>
      </c>
      <c r="B179" s="37" t="str">
        <f>IFERROR(__xludf.DUMMYFUNCTION("""COMPUTED_VALUE"""),"https://encrypted-tbn3.gstatic.com/images?q=tbn:ANd9GcTn7VBx8RLpMb6EhACIJiWaR2z9Li30s3NNXV16z58DQI5mDUI8")</f>
        <v>https://encrypted-tbn3.gstatic.com/images?q=tbn:ANd9GcTn7VBx8RLpMb6EhACIJiWaR2z9Li30s3NNXV16z58DQI5mDUI8</v>
      </c>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t="str">
        <f>IFERROR(__xludf.DUMMYFUNCTION("""COMPUTED_VALUE"""),"Lava Tiger")</f>
        <v>Lava Tiger</v>
      </c>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t="str">
        <f>IFERROR(__xludf.DUMMYFUNCTION("""COMPUTED_VALUE"""),"Legendary Treant")</f>
        <v>Legendary Treant</v>
      </c>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t="str">
        <f>IFERROR(__xludf.DUMMYFUNCTION("""COMPUTED_VALUE"""),"Locust Swarm")</f>
        <v>Locust Swarm</v>
      </c>
      <c r="B182" s="37" t="str">
        <f>IFERROR(__xludf.DUMMYFUNCTION("""COMPUTED_VALUE"""),"https://i.pinimg.com/originals/ad/dd/4a/addd4a47e48681e325c11806119767b1.png")</f>
        <v>https://i.pinimg.com/originals/ad/dd/4a/addd4a47e48681e325c11806119767b1.png</v>
      </c>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t="str">
        <f>IFERROR(__xludf.DUMMYFUNCTION("""COMPUTED_VALUE"""),"Lord Dreadful (Form 1)")</f>
        <v>Lord Dreadful (Form 1)</v>
      </c>
      <c r="B183" s="37" t="str">
        <f>IFERROR(__xludf.DUMMYFUNCTION("""COMPUTED_VALUE"""),"https://drive.google.com/uc?export=view&amp;id=1CKwmhguRycejQrbEniQu2pMSlRMkcoOK")</f>
        <v>https://drive.google.com/uc?export=view&amp;id=1CKwmhguRycejQrbEniQu2pMSlRMkcoOK</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t="str">
        <f>IFERROR(__xludf.DUMMYFUNCTION("""COMPUTED_VALUE"""),"Lord Dreadful (Lord Zude) (Form 2)")</f>
        <v>Lord Dreadful (Lord Zude) (Form 2)</v>
      </c>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t="str">
        <f>IFERROR(__xludf.DUMMYFUNCTION("""COMPUTED_VALUE"""),"Lord Goose")</f>
        <v>Lord Goose</v>
      </c>
      <c r="B185" s="37"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t="str">
        <f>IFERROR(__xludf.DUMMYFUNCTION("""COMPUTED_VALUE"""),"Lord Of The Bandits")</f>
        <v>Lord Of The Bandits</v>
      </c>
      <c r="B186" s="37" t="str">
        <f>IFERROR(__xludf.DUMMYFUNCTION("""COMPUTED_VALUE"""),"https://i.pinimg.com/736x/9d/12/b3/9d12b3b6041fb20f5ead6ace6e3c1e98.jpg")</f>
        <v>https://i.pinimg.com/736x/9d/12/b3/9d12b3b6041fb20f5ead6ace6e3c1e98.jpg</v>
      </c>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t="str">
        <f>IFERROR(__xludf.DUMMYFUNCTION("""COMPUTED_VALUE"""),"Chaotic Shadow Servant")</f>
        <v>Chaotic Shadow Servant</v>
      </c>
      <c r="B187" s="37" t="str">
        <f>IFERROR(__xludf.DUMMYFUNCTION("""COMPUTED_VALUE"""),"https://cdn.openart.ai/stable_diffusion/8e80c1fef0eaa97bcba857c34cbb47f5f6bdf20c_2000x2000.webp")</f>
        <v>https://cdn.openart.ai/stable_diffusion/8e80c1fef0eaa97bcba857c34cbb47f5f6bdf20c_2000x2000.webp</v>
      </c>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t="str">
        <f>IFERROR(__xludf.DUMMYFUNCTION("""COMPUTED_VALUE"""),"Lugh")</f>
        <v>Lugh</v>
      </c>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t="str">
        <f>IFERROR(__xludf.DUMMYFUNCTION("""COMPUTED_VALUE"""),"Madem Hagbottom")</f>
        <v>Madem Hagbottom</v>
      </c>
      <c r="B189" s="37" t="str">
        <f>IFERROR(__xludf.DUMMYFUNCTION("""COMPUTED_VALUE"""),"https://i.pinimg.com/originals/91/f7/be/91f7be85b0a266bfe5bfc05d0789e8f7.png")</f>
        <v>https://i.pinimg.com/originals/91/f7/be/91f7be85b0a266bfe5bfc05d0789e8f7.png</v>
      </c>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t="str">
        <f>IFERROR(__xludf.DUMMYFUNCTION("""COMPUTED_VALUE"""),"Magma Bear")</f>
        <v>Magma Bear</v>
      </c>
      <c r="B190" s="37" t="str">
        <f>IFERROR(__xludf.DUMMYFUNCTION("""COMPUTED_VALUE"""),"https://t2.gstatic.com/images?q=tbn:ANd9GcQk8tHtkzvLCSedNrERIUXAPqwp_cCh_e-gM7m-aa5rFZt5-g8h")</f>
        <v>https://t2.gstatic.com/images?q=tbn:ANd9GcQk8tHtkzvLCSedNrERIUXAPqwp_cCh_e-gM7m-aa5rFZt5-g8h</v>
      </c>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t="str">
        <f>IFERROR(__xludf.DUMMYFUNCTION("""COMPUTED_VALUE"""),"Magma Slime")</f>
        <v>Magma Slime</v>
      </c>
      <c r="B191" s="37" t="str">
        <f>IFERROR(__xludf.DUMMYFUNCTION("""COMPUTED_VALUE"""),"https://imagedelivery.net/9sCnq8t6WEGNay0RAQNdvQ/UUID-cl9dsxoys4935qqouxkaq9oca/public")</f>
        <v>https://imagedelivery.net/9sCnq8t6WEGNay0RAQNdvQ/UUID-cl9dsxoys4935qqouxkaq9oca/public</v>
      </c>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t="str">
        <f>IFERROR(__xludf.DUMMYFUNCTION("""COMPUTED_VALUE"""),"Manticore")</f>
        <v>Manticore</v>
      </c>
      <c r="B192" s="37" t="str">
        <f>IFERROR(__xludf.DUMMYFUNCTION("""COMPUTED_VALUE"""),"https://t3.ftcdn.net/jpg/05/70/65/84/360_F_570658463_Z4c7C4iwKNTjtrT3dohO6mnSeN2YgwtO.jpg")</f>
        <v>https://t3.ftcdn.net/jpg/05/70/65/84/360_F_570658463_Z4c7C4iwKNTjtrT3dohO6mnSeN2YgwtO.jpg</v>
      </c>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t="str">
        <f>IFERROR(__xludf.DUMMYFUNCTION("""COMPUTED_VALUE"""),"Master Monk Warrior")</f>
        <v>Master Monk Warrior</v>
      </c>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t="str">
        <f>IFERROR(__xludf.DUMMYFUNCTION("""COMPUTED_VALUE"""),"Master Sawoogo")</f>
        <v>Master Sawoogo</v>
      </c>
      <c r="B194" s="37" t="str">
        <f>IFERROR(__xludf.DUMMYFUNCTION("""COMPUTED_VALUE"""),"https://cdnb.artstation.com/p/assets/images/images/005/477/891/large/pawel-parol-turtlle-v2.jpg?1491465146")</f>
        <v>https://cdnb.artstation.com/p/assets/images/images/005/477/891/large/pawel-parol-turtlle-v2.jpg?1491465146</v>
      </c>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t="str">
        <f>IFERROR(__xludf.DUMMYFUNCTION("""COMPUTED_VALUE"""),"Megalodon (WD)")</f>
        <v>Megalodon (WD)</v>
      </c>
      <c r="B195" s="37" t="str">
        <f>IFERROR(__xludf.DUMMYFUNCTION("""COMPUTED_VALUE"""),"https://i.pinimg.com/736x/53/77/ca/5377ca2b88198b6f53397f76709e0be2.jpg")</f>
        <v>https://i.pinimg.com/736x/53/77/ca/5377ca2b88198b6f53397f76709e0be2.jpg</v>
      </c>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t="str">
        <f>IFERROR(__xludf.DUMMYFUNCTION("""COMPUTED_VALUE"""),"Megalodon (WD) (Enhanced)")</f>
        <v>Megalodon (WD) (Enhanced)</v>
      </c>
      <c r="B196" s="37" t="str">
        <f>IFERROR(__xludf.DUMMYFUNCTION("""COMPUTED_VALUE"""),"https://i.pinimg.com/736x/53/77/ca/5377ca2b88198b6f53397f76709e0be2.jpg")</f>
        <v>https://i.pinimg.com/736x/53/77/ca/5377ca2b88198b6f53397f76709e0be2.jpg</v>
      </c>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t="str">
        <f>IFERROR(__xludf.DUMMYFUNCTION("""COMPUTED_VALUE"""),"Merk the undying sand Goblin")</f>
        <v>Merk the undying sand Goblin</v>
      </c>
      <c r="B197" s="37" t="str">
        <f>IFERROR(__xludf.DUMMYFUNCTION("""COMPUTED_VALUE"""),"https://i.pinimg.com/originals/c3/95/f9/c395f97dc331057a9ac47d1eab8a9687.jpg")</f>
        <v>https://i.pinimg.com/originals/c3/95/f9/c395f97dc331057a9ac47d1eab8a9687.jpg</v>
      </c>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t="str">
        <f>IFERROR(__xludf.DUMMYFUNCTION("""COMPUTED_VALUE"""),"Mod ""The Evil Seahag From Hagstown""")</f>
        <v>Mod "The Evil Seahag From Hagstown"</v>
      </c>
      <c r="B198" s="37" t="str">
        <f>IFERROR(__xludf.DUMMYFUNCTION("""COMPUTED_VALUE"""),"https://drive.google.com/uc?export=view&amp;id=1t_Wi6o4if-E5y_7ia1w_yWV_i99tysvT")</f>
        <v>https://drive.google.com/uc?export=view&amp;id=1t_Wi6o4if-E5y_7ia1w_yWV_i99tysvT</v>
      </c>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t="str">
        <f>IFERROR(__xludf.DUMMYFUNCTION("""COMPUTED_VALUE"""),"Moonlight Unicorn")</f>
        <v>Moonlight Unicorn</v>
      </c>
      <c r="B199" s="37"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t="str">
        <f>IFERROR(__xludf.DUMMYFUNCTION("""COMPUTED_VALUE"""),"Moonstone Dragon")</f>
        <v>Moonstone Dragon</v>
      </c>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t="str">
        <f>IFERROR(__xludf.DUMMYFUNCTION("""COMPUTED_VALUE"""),"Mournful Mother")</f>
        <v>Mournful Mother</v>
      </c>
      <c r="B201" s="37" t="str">
        <f>IFERROR(__xludf.DUMMYFUNCTION("""COMPUTED_VALUE"""),"https://cdnb.artstation.com/p/assets/images/images/053/880/791/large/digital-forms-banshee-p.jpg?1663241016")</f>
        <v>https://cdnb.artstation.com/p/assets/images/images/053/880/791/large/digital-forms-banshee-p.jpg?1663241016</v>
      </c>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t="str">
        <f>IFERROR(__xludf.DUMMYFUNCTION("""COMPUTED_VALUE"""),"Mr. Skeleton")</f>
        <v>Mr. Skeleton</v>
      </c>
      <c r="B202" s="37" t="str">
        <f>IFERROR(__xludf.DUMMYFUNCTION("""COMPUTED_VALUE"""),"https://t0.gstatic.com/images?q=tbn:ANd9GcTjHlqL8tNfoIt7mOf1nZbH8vPR3PEY_BxvV9173O-py_-GBRon")</f>
        <v>https://t0.gstatic.com/images?q=tbn:ANd9GcTjHlqL8tNfoIt7mOf1nZbH8vPR3PEY_BxvV9173O-py_-GBRon</v>
      </c>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t="str">
        <f>IFERROR(__xludf.DUMMYFUNCTION("""COMPUTED_VALUE"""),"Multi Headed Chaotic Shadow Dragon")</f>
        <v>Multi Headed Chaotic Shadow Dragon</v>
      </c>
      <c r="B203" s="37" t="str">
        <f>IFERROR(__xludf.DUMMYFUNCTION("""COMPUTED_VALUE"""),"https://drive.google.com/uc?export=view&amp;id=1UqAfbYaSOZVec5EKVnCIL4mYX8vnRK7K")</f>
        <v>https://drive.google.com/uc?export=view&amp;id=1UqAfbYaSOZVec5EKVnCIL4mYX8vnRK7K</v>
      </c>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t="str">
        <f>IFERROR(__xludf.DUMMYFUNCTION("""COMPUTED_VALUE"""),"Mummy Guardian")</f>
        <v>Mummy Guardian</v>
      </c>
      <c r="B204" s="37" t="str">
        <f>IFERROR(__xludf.DUMMYFUNCTION("""COMPUTED_VALUE"""),"https://artfiles.alphacoders.com/516/thumb-51601.jpg")</f>
        <v>https://artfiles.alphacoders.com/516/thumb-51601.jpg</v>
      </c>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t="str">
        <f>IFERROR(__xludf.DUMMYFUNCTION("""COMPUTED_VALUE"""),"Mummy King")</f>
        <v>Mummy King</v>
      </c>
      <c r="B205" s="37" t="str">
        <f>IFERROR(__xludf.DUMMYFUNCTION("""COMPUTED_VALUE"""),"https://c4.wallpaperflare.com/wallpaper/165/183/743/pharaoh-fantasy-art-artwork-gun-hd-wallpaper-thumb.jpg")</f>
        <v>https://c4.wallpaperflare.com/wallpaper/165/183/743/pharaoh-fantasy-art-artwork-gun-hd-wallpaper-thumb.jpg</v>
      </c>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t="str">
        <f>IFERROR(__xludf.DUMMYFUNCTION("""COMPUTED_VALUE"""),"Mummy Queen")</f>
        <v>Mummy Queen</v>
      </c>
      <c r="B206" s="37" t="str">
        <f>IFERROR(__xludf.DUMMYFUNCTION("""COMPUTED_VALUE"""),"https://w0.peakpx.com/wallpaper/293/688/HD-wallpaper-mummy-queen-staff-fantasy-queen-skull-mummy.jpg")</f>
        <v>https://w0.peakpx.com/wallpaper/293/688/HD-wallpaper-mummy-queen-staff-fantasy-queen-skull-mummy.jpg</v>
      </c>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t="str">
        <f>IFERROR(__xludf.DUMMYFUNCTION("""COMPUTED_VALUE"""),"Mummy Soldier")</f>
        <v>Mummy Soldier</v>
      </c>
      <c r="B207" s="37" t="str">
        <f>IFERROR(__xludf.DUMMYFUNCTION("""COMPUTED_VALUE"""),"https://s-media-cache-ak0.pinimg.com/originals/53/25/47/532547e8b5d68b66add02249b5a7c571.jpg")</f>
        <v>https://s-media-cache-ak0.pinimg.com/originals/53/25/47/532547e8b5d68b66add02249b5a7c571.jpg</v>
      </c>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t="str">
        <f>IFERROR(__xludf.DUMMYFUNCTION("""COMPUTED_VALUE"""),"Mummy Warrior")</f>
        <v>Mummy Warrior</v>
      </c>
      <c r="B208" s="37" t="str">
        <f>IFERROR(__xludf.DUMMYFUNCTION("""COMPUTED_VALUE"""),"https://i.pinimg.com/originals/40/de/b2/40deb2bbb949d7d67337972d574087ed.jpg")</f>
        <v>https://i.pinimg.com/originals/40/de/b2/40deb2bbb949d7d67337972d574087ed.jpg</v>
      </c>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t="str">
        <f>IFERROR(__xludf.DUMMYFUNCTION("""COMPUTED_VALUE"""),"Octopi (WD)")</f>
        <v>Octopi (WD)</v>
      </c>
      <c r="B209" s="37" t="str">
        <f>IFERROR(__xludf.DUMMYFUNCTION("""COMPUTED_VALUE"""),"https://i.pinimg.com/originals/ab/2e/34/ab2e343cfb3072be204663206e1210b5.jpg")</f>
        <v>https://i.pinimg.com/originals/ab/2e/34/ab2e343cfb3072be204663206e1210b5.jpg</v>
      </c>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t="str">
        <f>IFERROR(__xludf.DUMMYFUNCTION("""COMPUTED_VALUE"""),"Octopi (WD) (Enhanced)")</f>
        <v>Octopi (WD) (Enhanced)</v>
      </c>
      <c r="B210" s="37" t="str">
        <f>IFERROR(__xludf.DUMMYFUNCTION("""COMPUTED_VALUE"""),"https://i.pinimg.com/originals/ab/2e/34/ab2e343cfb3072be204663206e1210b5.jpg")</f>
        <v>https://i.pinimg.com/originals/ab/2e/34/ab2e343cfb3072be204663206e1210b5.jpg</v>
      </c>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t="str">
        <f>IFERROR(__xludf.DUMMYFUNCTION("""COMPUTED_VALUE"""),"Ox")</f>
        <v>Ox</v>
      </c>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t="str">
        <f>IFERROR(__xludf.DUMMYFUNCTION("""COMPUTED_VALUE"""),"Phantom")</f>
        <v>Phantom</v>
      </c>
      <c r="B212" s="37"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t="str">
        <f>IFERROR(__xludf.DUMMYFUNCTION("""COMPUTED_VALUE"""),"Phantom of Lord Dreadful")</f>
        <v>Phantom of Lord Dreadful</v>
      </c>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t="str">
        <f>IFERROR(__xludf.DUMMYFUNCTION("""COMPUTED_VALUE"""),"Piranhas (WD)")</f>
        <v>Piranhas (WD)</v>
      </c>
      <c r="B214" s="37" t="str">
        <f>IFERROR(__xludf.DUMMYFUNCTION("""COMPUTED_VALUE"""),"https://www.mtgnexus.com/img/gallery/1210-moat-piranhas.jpg")</f>
        <v>https://www.mtgnexus.com/img/gallery/1210-moat-piranhas.jpg</v>
      </c>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t="str">
        <f>IFERROR(__xludf.DUMMYFUNCTION("""COMPUTED_VALUE"""),"Piranhas (WD) (Enhanced)")</f>
        <v>Piranhas (WD) (Enhanced)</v>
      </c>
      <c r="B215" s="37" t="str">
        <f>IFERROR(__xludf.DUMMYFUNCTION("""COMPUTED_VALUE"""),"https://www.mtgnexus.com/img/gallery/1210-moat-piranhas.jpg")</f>
        <v>https://www.mtgnexus.com/img/gallery/1210-moat-piranhas.jpg</v>
      </c>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t="str">
        <f>IFERROR(__xludf.DUMMYFUNCTION("""COMPUTED_VALUE"""),"Poison Warrior")</f>
        <v>Poison Warrior</v>
      </c>
      <c r="B216" s="37" t="str">
        <f>IFERROR(__xludf.DUMMYFUNCTION("""COMPUTED_VALUE"""),"https://qph.cf2.quoracdn.net/main-qimg-a52fb4f9abf08ee3abe90b8c818f4cc8-lq")</f>
        <v>https://qph.cf2.quoracdn.net/main-qimg-a52fb4f9abf08ee3abe90b8c818f4cc8-lq</v>
      </c>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t="str">
        <f>IFERROR(__xludf.DUMMYFUNCTION("""COMPUTED_VALUE"""),"Possessed Pumpkin")</f>
        <v>Possessed Pumpkin</v>
      </c>
      <c r="B217" s="37"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t="str">
        <f>IFERROR(__xludf.DUMMYFUNCTION("""COMPUTED_VALUE"""),"Possesed Clown")</f>
        <v>Possesed Clown</v>
      </c>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t="str">
        <f>IFERROR(__xludf.DUMMYFUNCTION("""COMPUTED_VALUE"""),"Pumpkin King")</f>
        <v>Pumpkin King</v>
      </c>
      <c r="B219" s="37" t="str">
        <f>IFERROR(__xludf.DUMMYFUNCTION("""COMPUTED_VALUE"""),"https://rare-gallery.com/uploads/posts/1202012-Halloween-holiday-Jack-O039-Lantern-pumpkin-artwork.jpg")</f>
        <v>https://rare-gallery.com/uploads/posts/1202012-Halloween-holiday-Jack-O039-Lantern-pumpkin-artwork.jpg</v>
      </c>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t="str">
        <f>IFERROR(__xludf.DUMMYFUNCTION("""COMPUTED_VALUE"""),"Pumpkin Lord")</f>
        <v>Pumpkin Lord</v>
      </c>
      <c r="B220" s="37" t="str">
        <f>IFERROR(__xludf.DUMMYFUNCTION("""COMPUTED_VALUE"""),"https://i.pinimg.com/236x/ae/44/c7/ae44c7c0685eb01c0f5f54c956228790--dominique-dose.jpg")</f>
        <v>https://i.pinimg.com/236x/ae/44/c7/ae44c7c0685eb01c0f5f54c956228790--dominique-dose.jpg</v>
      </c>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t="str">
        <f>IFERROR(__xludf.DUMMYFUNCTION("""COMPUTED_VALUE"""),"Puppet")</f>
        <v>Puppet</v>
      </c>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t="str">
        <f>IFERROR(__xludf.DUMMYFUNCTION("""COMPUTED_VALUE"""),"Reaper Of Spira (25% chance of this enemy appearing when you complain about being targeted)")</f>
        <v>Reaper Of Spira (25% chance of this enemy appearing when you complain about being targeted)</v>
      </c>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t="str">
        <f>IFERROR(__xludf.DUMMYFUNCTION("""COMPUTED_VALUE"""),"Red Footed Beast")</f>
        <v>Red Footed Beast</v>
      </c>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t="str">
        <f>IFERROR(__xludf.DUMMYFUNCTION("""COMPUTED_VALUE"""),"Red Soul")</f>
        <v>Red Soul</v>
      </c>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t="str">
        <f>IFERROR(__xludf.DUMMYFUNCTION("""COMPUTED_VALUE"""),"Rhino")</f>
        <v>Rhino</v>
      </c>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t="str">
        <f>IFERROR(__xludf.DUMMYFUNCTION("""COMPUTED_VALUE"""),"Robotic Guardian of the 5th, No. 1")</f>
        <v>Robotic Guardian of the 5th, No. 1</v>
      </c>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t="str">
        <f>IFERROR(__xludf.DUMMYFUNCTION("""COMPUTED_VALUE"""),"Robotic Guardian of the 5th, No. 2")</f>
        <v>Robotic Guardian of the 5th, No. 2</v>
      </c>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t="str">
        <f>IFERROR(__xludf.DUMMYFUNCTION("""COMPUTED_VALUE"""),"Robotic Guardian of the 5th, No. 3")</f>
        <v>Robotic Guardian of the 5th, No. 3</v>
      </c>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t="str">
        <f>IFERROR(__xludf.DUMMYFUNCTION("""COMPUTED_VALUE"""),"Robotic Guardian of the 5th, No. 4")</f>
        <v>Robotic Guardian of the 5th, No. 4</v>
      </c>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t="str">
        <f>IFERROR(__xludf.DUMMYFUNCTION("""COMPUTED_VALUE"""),"Rock Snake")</f>
        <v>Rock Snake</v>
      </c>
      <c r="B230" s="37" t="str">
        <f>IFERROR(__xludf.DUMMYFUNCTION("""COMPUTED_VALUE"""),"https://i.pinimg.com/originals/8f/67/30/8f67307feeef96bce5a62f7b847b02ad.jpg")</f>
        <v>https://i.pinimg.com/originals/8f/67/30/8f67307feeef96bce5a62f7b847b02ad.jpg</v>
      </c>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t="str">
        <f>IFERROR(__xludf.DUMMYFUNCTION("""COMPUTED_VALUE"""),"Rooster")</f>
        <v>Rooster</v>
      </c>
      <c r="B231" s="37" t="str">
        <f>IFERROR(__xludf.DUMMYFUNCTION("""COMPUTED_VALUE"""),"https://cache.desktopnexus.com/thumbseg/2532/2532791-bigthumbnail.jpg")</f>
        <v>https://cache.desktopnexus.com/thumbseg/2532/2532791-bigthumbnail.jpg</v>
      </c>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t="str">
        <f>IFERROR(__xludf.DUMMYFUNCTION("""COMPUTED_VALUE"""),"Rowboat")</f>
        <v>Rowboat</v>
      </c>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t="str">
        <f>IFERROR(__xludf.DUMMYFUNCTION("""COMPUTED_VALUE"""),"Ancient Fire Elemental")</f>
        <v>Ancient Fire Elemental</v>
      </c>
      <c r="B233" s="37" t="str">
        <f>IFERROR(__xludf.DUMMYFUNCTION("""COMPUTED_VALUE"""),"https://i.pinimg.com/474x/35/1e/b6/351eb6ae3d59fbc7b3a2b177fb814e22.jpg")</f>
        <v>https://i.pinimg.com/474x/35/1e/b6/351eb6ae3d59fbc7b3a2b177fb814e22.jpg</v>
      </c>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t="str">
        <f>IFERROR(__xludf.DUMMYFUNCTION("""COMPUTED_VALUE"""),"Saber Toothed Cat")</f>
        <v>Saber Toothed Cat</v>
      </c>
      <c r="B234" s="37" t="str">
        <f>IFERROR(__xludf.DUMMYFUNCTION("""COMPUTED_VALUE"""),"https://static.wikia.nocookie.net/turok/images/0/01/Sabertooth.jpg/revision/latest?cb=20120511065302")</f>
        <v>https://static.wikia.nocookie.net/turok/images/0/01/Sabertooth.jpg/revision/latest?cb=20120511065302</v>
      </c>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t="str">
        <f>IFERROR(__xludf.DUMMYFUNCTION("""COMPUTED_VALUE"""),"Sand Worm")</f>
        <v>Sand Worm</v>
      </c>
      <c r="B235" s="37" t="str">
        <f>IFERROR(__xludf.DUMMYFUNCTION("""COMPUTED_VALUE"""),"https://coolvibe.com/wp-content/uploads/2013/04/Sci-fi-Art-A.J.-Trahan-Sandworms.jpg")</f>
        <v>https://coolvibe.com/wp-content/uploads/2013/04/Sci-fi-Art-A.J.-Trahan-Sandworms.jpg</v>
      </c>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t="str">
        <f>IFERROR(__xludf.DUMMYFUNCTION("""COMPUTED_VALUE"""),"Sandmite")</f>
        <v>Sandmite</v>
      </c>
      <c r="B236" s="37" t="str">
        <f>IFERROR(__xludf.DUMMYFUNCTION("""COMPUTED_VALUE"""),"https://i.redd.it/z78abirorck51.jpg")</f>
        <v>https://i.redd.it/z78abirorck51.jpg</v>
      </c>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t="str">
        <f>IFERROR(__xludf.DUMMYFUNCTION("""COMPUTED_VALUE"""),"Fire Elemental")</f>
        <v>Fire Elemental</v>
      </c>
      <c r="B237" s="37" t="str">
        <f>IFERROR(__xludf.DUMMYFUNCTION("""COMPUTED_VALUE"""),"https://i.pinimg.com/474x/b5/2d/a8/b52da8116dbf43d3a8719952e491f7f6.jpg")</f>
        <v>https://i.pinimg.com/474x/b5/2d/a8/b52da8116dbf43d3a8719952e491f7f6.jpg</v>
      </c>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t="str">
        <f>IFERROR(__xludf.DUMMYFUNCTION("""COMPUTED_VALUE"""),"Sea Serpent (WD)")</f>
        <v>Sea Serpent (WD)</v>
      </c>
      <c r="B238" s="37"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t="str">
        <f>IFERROR(__xludf.DUMMYFUNCTION("""COMPUTED_VALUE"""),"Sea Serpent (WD) (Enhanced)")</f>
        <v>Sea Serpent (WD) (Enhanced)</v>
      </c>
      <c r="B239" s="37"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t="str">
        <f>IFERROR(__xludf.DUMMYFUNCTION("""COMPUTED_VALUE"""),"Sea Worm (WD)")</f>
        <v>Sea Worm (WD)</v>
      </c>
      <c r="B240" s="37" t="str">
        <f>IFERROR(__xludf.DUMMYFUNCTION("""COMPUTED_VALUE"""),"https://res.cloudinary.com/jerrick/image/upload/c_scale,f_jpg,q_auto/ejhogmhegi2iqjcufiar.jpg")</f>
        <v>https://res.cloudinary.com/jerrick/image/upload/c_scale,f_jpg,q_auto/ejhogmhegi2iqjcufiar.jpg</v>
      </c>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t="str">
        <f>IFERROR(__xludf.DUMMYFUNCTION("""COMPUTED_VALUE"""),"Sea Worm (WD) (Enhanced)")</f>
        <v>Sea Worm (WD) (Enhanced)</v>
      </c>
      <c r="B241" s="37" t="str">
        <f>IFERROR(__xludf.DUMMYFUNCTION("""COMPUTED_VALUE"""),"https://res.cloudinary.com/jerrick/image/upload/c_scale,f_jpg,q_auto/ejhogmhegi2iqjcufiar.jpg")</f>
        <v>https://res.cloudinary.com/jerrick/image/upload/c_scale,f_jpg,q_auto/ejhogmhegi2iqjcufiar.jpg</v>
      </c>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t="str">
        <f>IFERROR(__xludf.DUMMYFUNCTION("""COMPUTED_VALUE"""),"Seraph")</f>
        <v>Seraph</v>
      </c>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t="str">
        <f>IFERROR(__xludf.DUMMYFUNCTION("""COMPUTED_VALUE"""),"Shadow King")</f>
        <v>Shadow King</v>
      </c>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t="str">
        <f>IFERROR(__xludf.DUMMYFUNCTION("""COMPUTED_VALUE"""),"Shadow Suit of Armor")</f>
        <v>Shadow Suit of Armor</v>
      </c>
      <c r="B244" s="37" t="str">
        <f>IFERROR(__xludf.DUMMYFUNCTION("""COMPUTED_VALUE"""),"https://i.pinimg.com/474x/ba/82/0d/ba820d2e02a1606fa7b6eff369a69719.jpg")</f>
        <v>https://i.pinimg.com/474x/ba/82/0d/ba820d2e02a1606fa7b6eff369a69719.jpg</v>
      </c>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t="str">
        <f>IFERROR(__xludf.DUMMYFUNCTION("""COMPUTED_VALUE"""),"Shark (WD)")</f>
        <v>Shark (WD)</v>
      </c>
      <c r="B245" s="37" t="str">
        <f>IFERROR(__xludf.DUMMYFUNCTION("""COMPUTED_VALUE"""),"https://i.pinimg.com/474x/7d/40/4c/7d404cc660f103d1db31a7ea28262d52--monster-shark-crabs.jpg")</f>
        <v>https://i.pinimg.com/474x/7d/40/4c/7d404cc660f103d1db31a7ea28262d52--monster-shark-crabs.jpg</v>
      </c>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t="str">
        <f>IFERROR(__xludf.DUMMYFUNCTION("""COMPUTED_VALUE"""),"Shark (WD) (Enhanced0")</f>
        <v>Shark (WD) (Enhanced0</v>
      </c>
      <c r="B246" s="37" t="str">
        <f>IFERROR(__xludf.DUMMYFUNCTION("""COMPUTED_VALUE"""),"https://i.pinimg.com/474x/7d/40/4c/7d404cc660f103d1db31a7ea28262d52--monster-shark-crabs.jpg")</f>
        <v>https://i.pinimg.com/474x/7d/40/4c/7d404cc660f103d1db31a7ea28262d52--monster-shark-crabs.jpg</v>
      </c>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t="str">
        <f>IFERROR(__xludf.DUMMYFUNCTION("""COMPUTED_VALUE"""),"Skeletal Warrior")</f>
        <v>Skeletal Warrior</v>
      </c>
      <c r="B247" s="37" t="str">
        <f>IFERROR(__xludf.DUMMYFUNCTION("""COMPUTED_VALUE"""),"https://w0.peakpx.com/wallpaper/473/31/HD-wallpaper-dark-warrior-fantasy-art-skeleton-dark.jpg")</f>
        <v>https://w0.peakpx.com/wallpaper/473/31/HD-wallpaper-dark-warrior-fantasy-art-skeleton-dark.jpg</v>
      </c>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t="str">
        <f>IFERROR(__xludf.DUMMYFUNCTION("""COMPUTED_VALUE"""),"Skeleton Lord")</f>
        <v>Skeleton Lord</v>
      </c>
      <c r="B248" s="37"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t="str">
        <f>IFERROR(__xludf.DUMMYFUNCTION("""COMPUTED_VALUE"""),"Skilled Robot Soldier (King Of Mekanas Companion)")</f>
        <v>Skilled Robot Soldier (King Of Mekanas Companion)</v>
      </c>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t="str">
        <f>IFERROR(__xludf.DUMMYFUNCTION("""COMPUTED_VALUE"""),"Slime")</f>
        <v>Slime</v>
      </c>
      <c r="B250" s="37" t="str">
        <f>IFERROR(__xludf.DUMMYFUNCTION("""COMPUTED_VALUE"""),"https://i.pinimg.com/originals/90/72/f6/9072f6b4655cc66ce92a54fb3782241c.jpg")</f>
        <v>https://i.pinimg.com/originals/90/72/f6/9072f6b4655cc66ce92a54fb3782241c.jpg</v>
      </c>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t="str">
        <f>IFERROR(__xludf.DUMMYFUNCTION("""COMPUTED_VALUE"""),"Sorana- Demon Of The Cycle")</f>
        <v>Sorana- Demon Of The Cycle</v>
      </c>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t="str">
        <f>IFERROR(__xludf.DUMMYFUNCTION("""COMPUTED_VALUE"""),"Soul Dragon")</f>
        <v>Soul Dragon</v>
      </c>
      <c r="B252" s="37" t="str">
        <f>IFERROR(__xludf.DUMMYFUNCTION("""COMPUTED_VALUE"""),"https://static.wikia.nocookie.net/charm-of-soul-pets-cosp/images/1/1a/C2tu6z8kg4s51.jpg/revision/latest?cb=20210512170831")</f>
        <v>https://static.wikia.nocookie.net/charm-of-soul-pets-cosp/images/1/1a/C2tu6z8kg4s51.jpg/revision/latest?cb=20210512170831</v>
      </c>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t="str">
        <f>IFERROR(__xludf.DUMMYFUNCTION("""COMPUTED_VALUE"""),"Spirit Dragon")</f>
        <v>Spirit Dragon</v>
      </c>
      <c r="B253" s="37" t="str">
        <f>IFERROR(__xludf.DUMMYFUNCTION("""COMPUTED_VALUE"""),"https://www.originalmagicart.store/cdn/shop/products/Swanland_UginSpiritDragon_Print_5000x.jpg?v=1603674292")</f>
        <v>https://www.originalmagicart.store/cdn/shop/products/Swanland_UginSpiritDragon_Print_5000x.jpg?v=1603674292</v>
      </c>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t="str">
        <f>IFERROR(__xludf.DUMMYFUNCTION("""COMPUTED_VALUE"""),"Spirit Warrior")</f>
        <v>Spirit Warrior</v>
      </c>
      <c r="B254" s="37"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t="str">
        <f>IFERROR(__xludf.DUMMYFUNCTION("""COMPUTED_VALUE"""),"Squid (WD)")</f>
        <v>Squid (WD)</v>
      </c>
      <c r="B255" s="37" t="str">
        <f>IFERROR(__xludf.DUMMYFUNCTION("""COMPUTED_VALUE"""),"https://i.pinimg.com/736x/85/61/9e/85619e2e007b6255cc712a165e4a9890.jpg")</f>
        <v>https://i.pinimg.com/736x/85/61/9e/85619e2e007b6255cc712a165e4a9890.jpg</v>
      </c>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t="str">
        <f>IFERROR(__xludf.DUMMYFUNCTION("""COMPUTED_VALUE"""),"Squid (WD) (Enhanced)")</f>
        <v>Squid (WD) (Enhanced)</v>
      </c>
      <c r="B256" s="37" t="str">
        <f>IFERROR(__xludf.DUMMYFUNCTION("""COMPUTED_VALUE"""),"https://i.pinimg.com/736x/85/61/9e/85619e2e007b6255cc712a165e4a9890.jpg")</f>
        <v>https://i.pinimg.com/736x/85/61/9e/85619e2e007b6255cc712a165e4a9890.jpg</v>
      </c>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t="str">
        <f>IFERROR(__xludf.DUMMYFUNCTION("""COMPUTED_VALUE"""),"Stag")</f>
        <v>Stag</v>
      </c>
      <c r="B257" s="37" t="str">
        <f>IFERROR(__xludf.DUMMYFUNCTION("""COMPUTED_VALUE"""),"https://i.pinimg.com/originals/dd/f5/fe/ddf5fec7a9248d9192810e6b7d8aa8d6.jpg")</f>
        <v>https://i.pinimg.com/originals/dd/f5/fe/ddf5fec7a9248d9192810e6b7d8aa8d6.jpg</v>
      </c>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t="str">
        <f>IFERROR(__xludf.DUMMYFUNCTION("""COMPUTED_VALUE"""),"Steed")</f>
        <v>Steed</v>
      </c>
      <c r="B258" s="37" t="str">
        <f>IFERROR(__xludf.DUMMYFUNCTION("""COMPUTED_VALUE"""),"https://i.pinimg.com/564x/46/76/ff/4676fff3892b599f8a4a445b4240c4e1.jpg")</f>
        <v>https://i.pinimg.com/564x/46/76/ff/4676fff3892b599f8a4a445b4240c4e1.jpg</v>
      </c>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t="str">
        <f>IFERROR(__xludf.DUMMYFUNCTION("""COMPUTED_VALUE"""),"Stone Dragon")</f>
        <v>Stone Dragon</v>
      </c>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t="str">
        <f>IFERROR(__xludf.DUMMYFUNCTION("""COMPUTED_VALUE"""),"Volcanic Elemental")</f>
        <v>Volcanic Elemental</v>
      </c>
      <c r="B260" s="37" t="str">
        <f>IFERROR(__xludf.DUMMYFUNCTION("""COMPUTED_VALUE"""),"https://i.pinimg.com/474x/14/e2/1c/14e21c6b9851054135c3e97a9c383bbd.jpg")</f>
        <v>https://i.pinimg.com/474x/14/e2/1c/14e21c6b9851054135c3e97a9c383bbd.jpg</v>
      </c>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t="str">
        <f>IFERROR(__xludf.DUMMYFUNCTION("""COMPUTED_VALUE"""),"Straitzo The Vampire Warrior")</f>
        <v>Straitzo The Vampire Warrior</v>
      </c>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t="str">
        <f>IFERROR(__xludf.DUMMYFUNCTION("""COMPUTED_VALUE"""),"Sunstone Dragon")</f>
        <v>Sunstone Dragon</v>
      </c>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t="str">
        <f>IFERROR(__xludf.DUMMYFUNCTION("""COMPUTED_VALUE"""),"Swamp Portal Guard")</f>
        <v>Swamp Portal Guard</v>
      </c>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t="str">
        <f>IFERROR(__xludf.DUMMYFUNCTION("""COMPUTED_VALUE"""),"The Ancient Colossal Dragon of Spira")</f>
        <v>The Ancient Colossal Dragon of Spira</v>
      </c>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t="str">
        <f>IFERROR(__xludf.DUMMYFUNCTION("""COMPUTED_VALUE"""),"The Black And White Dragon")</f>
        <v>The Black And White Dragon</v>
      </c>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t="str">
        <f>IFERROR(__xludf.DUMMYFUNCTION("""COMPUTED_VALUE"""),"The Black Demon")</f>
        <v>The Black Demon</v>
      </c>
      <c r="B267" s="37" t="str">
        <f>IFERROR(__xludf.DUMMYFUNCTION("""COMPUTED_VALUE"""),"https://e0.pxfuel.com/wallpapers/163/71/desktop-wallpaper-birds-art-dark-demon-ghost.jpg")</f>
        <v>https://e0.pxfuel.com/wallpapers/163/71/desktop-wallpaper-birds-art-dark-demon-ghost.jpg</v>
      </c>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t="str">
        <f>IFERROR(__xludf.DUMMYFUNCTION("""COMPUTED_VALUE"""),"The Clown King")</f>
        <v>The Clown King</v>
      </c>
      <c r="B268" s="37" t="str">
        <f>IFERROR(__xludf.DUMMYFUNCTION("""COMPUTED_VALUE"""),"https://i.pinimg.com/originals/33/ab/9d/33ab9db352b82ec6db31d630b310b237.png")</f>
        <v>https://i.pinimg.com/originals/33/ab/9d/33ab9db352b82ec6db31d630b310b237.png</v>
      </c>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t="str">
        <f>IFERROR(__xludf.DUMMYFUNCTION("""COMPUTED_VALUE"""),"The Cursed Kraken")</f>
        <v>The Cursed Kraken</v>
      </c>
      <c r="B269" s="37" t="str">
        <f>IFERROR(__xludf.DUMMYFUNCTION("""COMPUTED_VALUE"""),"https://cdn.wallpapersafari.com/38/25/W0jrZb.jpg")</f>
        <v>https://cdn.wallpapersafari.com/38/25/W0jrZb.jpg</v>
      </c>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t="str">
        <f>IFERROR(__xludf.DUMMYFUNCTION("""COMPUTED_VALUE"""),"Giant Magma Snail")</f>
        <v>Giant Magma Snail</v>
      </c>
      <c r="B270" s="37"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t="str">
        <f>IFERROR(__xludf.DUMMYFUNCTION("""COMPUTED_VALUE"""),"The God Of Birch")</f>
        <v>The God Of Birch</v>
      </c>
      <c r="B271" s="37" t="str">
        <f>IFERROR(__xludf.DUMMYFUNCTION("""COMPUTED_VALUE"""),"https://i.pinimg.com/236x/9d/0f/0d/9d0f0ddef6ccbb848cabe33b1846f5df.jpg")</f>
        <v>https://i.pinimg.com/236x/9d/0f/0d/9d0f0ddef6ccbb848cabe33b1846f5df.jpg</v>
      </c>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t="str">
        <f>IFERROR(__xludf.DUMMYFUNCTION("""COMPUTED_VALUE"""),"The Grim Reaper")</f>
        <v>The Grim Reaper</v>
      </c>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t="str">
        <f>IFERROR(__xludf.DUMMYFUNCTION("""COMPUTED_VALUE"""),"The Guardian Of Death")</f>
        <v>The Guardian Of Death</v>
      </c>
      <c r="B273" s="37"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t="str">
        <f>IFERROR(__xludf.DUMMYFUNCTION("""COMPUTED_VALUE"""),"The Guardian Of The Mystic Well")</f>
        <v>The Guardian Of The Mystic Well</v>
      </c>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t="str">
        <f>IFERROR(__xludf.DUMMYFUNCTION("""COMPUTED_VALUE"""),"The Horseman Of Lord Dreadful No. 2 This enemy will appear alongside The Horseman Of Lord Dreadful No. 1")</f>
        <v>The Horseman Of Lord Dreadful No. 2 This enemy will appear alongside The Horseman Of Lord Dreadful No. 1</v>
      </c>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t="str">
        <f>IFERROR(__xludf.DUMMYFUNCTION("""COMPUTED_VALUE"""),"The Kraken")</f>
        <v>The Kraken</v>
      </c>
      <c r="B277" s="37" t="str">
        <f>IFERROR(__xludf.DUMMYFUNCTION("""COMPUTED_VALUE"""),"https://i.pinimg.com/736x/fd/6a/8f/fd6a8fcd5238c4d8448b11ecf0f04617--fantasy-creatures-mythical-creatures.jpg")</f>
        <v>https://i.pinimg.com/736x/fd/6a/8f/fd6a8fcd5238c4d8448b11ecf0f04617--fantasy-creatures-mythical-creatures.jpg</v>
      </c>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t="str">
        <f>IFERROR(__xludf.DUMMYFUNCTION("""COMPUTED_VALUE"""),"The Puppet Master")</f>
        <v>The Puppet Master</v>
      </c>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t="str">
        <f>IFERROR(__xludf.DUMMYFUNCTION("""COMPUTED_VALUE"""),"The Purple Necromancer")</f>
        <v>The Purple Necromancer</v>
      </c>
      <c r="B279" s="37" t="str">
        <f>IFERROR(__xludf.DUMMYFUNCTION("""COMPUTED_VALUE"""),"https://encrypted-tbn1.gstatic.com/images?q=tbn:ANd9GcSpobaTNlV5KtLFrfD_PVSK_B_NQ1fQImZIjoz3zGeXaUn8Msdw")</f>
        <v>https://encrypted-tbn1.gstatic.com/images?q=tbn:ANd9GcSpobaTNlV5KtLFrfD_PVSK_B_NQ1fQImZIjoz3zGeXaUn8Msdw</v>
      </c>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t="str">
        <f>IFERROR(__xludf.DUMMYFUNCTION("""COMPUTED_VALUE"""),"The Ring King")</f>
        <v>The Ring King</v>
      </c>
      <c r="B280" s="37" t="str">
        <f>IFERROR(__xludf.DUMMYFUNCTION("""COMPUTED_VALUE"""),"https://i.pinimg.com/1200x/bb/3b/2b/bb3b2b058519d9a38044e2d768c53f93.jpg")</f>
        <v>https://i.pinimg.com/1200x/bb/3b/2b/bb3b2b058519d9a38044e2d768c53f93.jpg</v>
      </c>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t="str">
        <f>IFERROR(__xludf.DUMMYFUNCTION("""COMPUTED_VALUE"""),"The Undead King")</f>
        <v>The Undead King</v>
      </c>
      <c r="B281" s="37" t="str">
        <f>IFERROR(__xludf.DUMMYFUNCTION("""COMPUTED_VALUE"""),"https://i.pinimg.com/736x/7f/60/ff/7f60ff579e6e3e13e99a29ed4ec562a2--warhammer-fantasy-dark-fantasy.jpg")</f>
        <v>https://i.pinimg.com/736x/7f/60/ff/7f60ff579e6e3e13e99a29ed4ec562a2--warhammer-fantasy-dark-fantasy.jpg</v>
      </c>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t="str">
        <f>IFERROR(__xludf.DUMMYFUNCTION("""COMPUTED_VALUE"""),"Titonium The Destroyer")</f>
        <v>Titonium The Destroyer</v>
      </c>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t="str">
        <f>IFERROR(__xludf.DUMMYFUNCTION("""COMPUTED_VALUE"""),"Turkey Hydra")</f>
        <v>Turkey Hydra</v>
      </c>
      <c r="B283" s="37" t="str">
        <f>IFERROR(__xludf.DUMMYFUNCTION("""COMPUTED_VALUE"""),"https://cdna.artstation.com/p/assets/images/images/014/122/308/large/todd-ulrich-turkeyhydra.jpg?1542575910")</f>
        <v>https://cdna.artstation.com/p/assets/images/images/014/122/308/large/todd-ulrich-turkeyhydra.jpg?1542575910</v>
      </c>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t="str">
        <f>IFERROR(__xludf.DUMMYFUNCTION("""COMPUTED_VALUE"""),"Twilight Cultist")</f>
        <v>Twilight Cultist</v>
      </c>
      <c r="B284" s="37" t="str">
        <f>IFERROR(__xludf.DUMMYFUNCTION("""COMPUTED_VALUE"""),"https://i.pinimg.com/originals/b8/58/0f/b8580f986f78c3394c2544b8ef19f795.jpg")</f>
        <v>https://i.pinimg.com/originals/b8/58/0f/b8580f986f78c3394c2544b8ef19f795.jpg</v>
      </c>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t="str">
        <f>IFERROR(__xludf.DUMMYFUNCTION("""COMPUTED_VALUE"""),"Twilight Lord")</f>
        <v>Twilight Lord</v>
      </c>
      <c r="B285" s="37" t="str">
        <f>IFERROR(__xludf.DUMMYFUNCTION("""COMPUTED_VALUE"""),"https://i.pinimg.com/236x/a6/60/26/a6602664130618e7d2905cc1a9aa5524.jpg")</f>
        <v>https://i.pinimg.com/236x/a6/60/26/a6602664130618e7d2905cc1a9aa5524.jpg</v>
      </c>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t="str">
        <f>IFERROR(__xludf.DUMMYFUNCTION("""COMPUTED_VALUE"""),"Twilight Priest")</f>
        <v>Twilight Priest</v>
      </c>
      <c r="B286" s="37" t="str">
        <f>IFERROR(__xludf.DUMMYFUNCTION("""COMPUTED_VALUE"""),"https://i.pinimg.com/1200x/f9/ab/e0/f9abe02e9249c769200dcfd8b6bc9d7f.jpg")</f>
        <v>https://i.pinimg.com/1200x/f9/ab/e0/f9abe02e9249c769200dcfd8b6bc9d7f.jpg</v>
      </c>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t="str">
        <f>IFERROR(__xludf.DUMMYFUNCTION("""COMPUTED_VALUE"""),"Twilight Shadow")</f>
        <v>Twilight Shadow</v>
      </c>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t="str">
        <f>IFERROR(__xludf.DUMMYFUNCTION("""COMPUTED_VALUE"""),"Twilight Soldier")</f>
        <v>Twilight Soldier</v>
      </c>
      <c r="B288" s="37" t="str">
        <f>IFERROR(__xludf.DUMMYFUNCTION("""COMPUTED_VALUE"""),"https://imagedelivery.net/9sCnq8t6WEGNay0RAQNdvQ/UUID-cl90hbh9i7116979tqyhl7jt114/public")</f>
        <v>https://imagedelivery.net/9sCnq8t6WEGNay0RAQNdvQ/UUID-cl90hbh9i7116979tqyhl7jt114/public</v>
      </c>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t="str">
        <f>IFERROR(__xludf.DUMMYFUNCTION("""COMPUTED_VALUE"""),"Undead Dragon")</f>
        <v>Undead Dragon</v>
      </c>
      <c r="B289" s="37" t="str">
        <f>IFERROR(__xludf.DUMMYFUNCTION("""COMPUTED_VALUE"""),"https://i.pinimg.com/736x/1f/b8/0d/1fb80dce083393ee16874fcc04ccf1a5.jpg")</f>
        <v>https://i.pinimg.com/736x/1f/b8/0d/1fb80dce083393ee16874fcc04ccf1a5.jpg</v>
      </c>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t="str">
        <f>IFERROR(__xludf.DUMMYFUNCTION("""COMPUTED_VALUE"""),"Vampire")</f>
        <v>Vampire</v>
      </c>
      <c r="B290" s="37" t="str">
        <f>IFERROR(__xludf.DUMMYFUNCTION("""COMPUTED_VALUE"""),"https://i.pinimg.com/originals/fe/04/c6/fe04c6a7848d56cc3a8b49c6b8ed1321.jpg")</f>
        <v>https://i.pinimg.com/originals/fe/04/c6/fe04c6a7848d56cc3a8b49c6b8ed1321.jpg</v>
      </c>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t="str">
        <f>IFERROR(__xludf.DUMMYFUNCTION("""COMPUTED_VALUE"""),"Vampire King")</f>
        <v>Vampire King</v>
      </c>
      <c r="B291" s="37" t="str">
        <f>IFERROR(__xludf.DUMMYFUNCTION("""COMPUTED_VALUE"""),"https://cdna.artstation.com/p/assets/images/images/010/746/680/large/mady-madnoliet-king-vampire-madnoliet.jpg?1526001189")</f>
        <v>https://cdna.artstation.com/p/assets/images/images/010/746/680/large/mady-madnoliet-king-vampire-madnoliet.jpg?1526001189</v>
      </c>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t="str">
        <f>IFERROR(__xludf.DUMMYFUNCTION("""COMPUTED_VALUE"""),"Vampire Lord")</f>
        <v>Vampire Lord</v>
      </c>
      <c r="B292" s="37" t="str">
        <f>IFERROR(__xludf.DUMMYFUNCTION("""COMPUTED_VALUE"""),"https://i.pinimg.com/1200x/31/ae/39/31ae39c3607ff73113667a0bc2649525.jpg")</f>
        <v>https://i.pinimg.com/1200x/31/ae/39/31ae39c3607ff73113667a0bc2649525.jpg</v>
      </c>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t="str">
        <f>IFERROR(__xludf.DUMMYFUNCTION("""COMPUTED_VALUE"""),"Vampire Soldier")</f>
        <v>Vampire Soldier</v>
      </c>
      <c r="B293" s="37" t="str">
        <f>IFERROR(__xludf.DUMMYFUNCTION("""COMPUTED_VALUE"""),"https://t2.gstatic.com/images?q=tbn:ANd9GcTervEpkuaIqPKLZx6Uyih76TtQT1k1RqRQFEavQcsbLzsd7tgs")</f>
        <v>https://t2.gstatic.com/images?q=tbn:ANd9GcTervEpkuaIqPKLZx6Uyih76TtQT1k1RqRQFEavQcsbLzsd7tgs</v>
      </c>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t="str">
        <f>IFERROR(__xludf.DUMMYFUNCTION("""COMPUTED_VALUE"""),"Volcanic Lava Dragon")</f>
        <v>Volcanic Lava Dragon</v>
      </c>
      <c r="B294" s="37" t="str">
        <f>IFERROR(__xludf.DUMMYFUNCTION("""COMPUTED_VALUE"""),"https://t3.gstatic.com/images?q=tbn:ANd9GcRgeJ0ffNruMUUA4aiZPb8LFAQse26ucnAZm_q3oiEaF-6jKIJ-")</f>
        <v>https://t3.gstatic.com/images?q=tbn:ANd9GcRgeJ0ffNruMUUA4aiZPb8LFAQse26ucnAZm_q3oiEaF-6jKIJ-</v>
      </c>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t="str">
        <f>IFERROR(__xludf.DUMMYFUNCTION("""COMPUTED_VALUE"""),"Volcanic Serpent")</f>
        <v>Volcanic Serpent</v>
      </c>
      <c r="B295" s="37" t="str">
        <f>IFERROR(__xludf.DUMMYFUNCTION("""COMPUTED_VALUE"""),"https://t2.gstatic.com/images?q=tbn:ANd9GcR7aa9ZNyJs1GbKTh3e8z6LvGefqepRldGaocUBtnsqd4yK42wH")</f>
        <v>https://t2.gstatic.com/images?q=tbn:ANd9GcR7aa9ZNyJs1GbKTh3e8z6LvGefqepRldGaocUBtnsqd4yK42wH</v>
      </c>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t="str">
        <f>IFERROR(__xludf.DUMMYFUNCTION("""COMPUTED_VALUE"""),"Volcanic Void Dragon")</f>
        <v>Volcanic Void Dragon</v>
      </c>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t="str">
        <f>IFERROR(__xludf.DUMMYFUNCTION("""COMPUTED_VALUE"""),"Voodoo Shameness")</f>
        <v>Voodoo Shameness</v>
      </c>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t="str">
        <f>IFERROR(__xludf.DUMMYFUNCTION("""COMPUTED_VALUE"""),"Wandering Pumpkin")</f>
        <v>Wandering Pumpkin</v>
      </c>
      <c r="B298" s="37" t="str">
        <f>IFERROR(__xludf.DUMMYFUNCTION("""COMPUTED_VALUE"""),"https://cdna.artstation.com/p/assets/images/images/027/215/736/large/geoffrey-orban-the-wandering-pumpkin.jpg?1590925896")</f>
        <v>https://cdna.artstation.com/p/assets/images/images/027/215/736/large/geoffrey-orban-the-wandering-pumpkin.jpg?1590925896</v>
      </c>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t="str">
        <f>IFERROR(__xludf.DUMMYFUNCTION("""COMPUTED_VALUE"""),"Werewolf")</f>
        <v>Werewolf</v>
      </c>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t="str">
        <f>IFERROR(__xludf.DUMMYFUNCTION("""COMPUTED_VALUE"""),"Werewolf King")</f>
        <v>Werewolf King</v>
      </c>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t="str">
        <f>IFERROR(__xludf.DUMMYFUNCTION("""COMPUTED_VALUE"""),"White Soul")</f>
        <v>White Soul</v>
      </c>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t="str">
        <f>IFERROR(__xludf.DUMMYFUNCTION("""COMPUTED_VALUE"""),"Witch")</f>
        <v>Witch</v>
      </c>
      <c r="B302" s="37" t="str">
        <f>IFERROR(__xludf.DUMMYFUNCTION("""COMPUTED_VALUE"""),"https://i.pinimg.com/originals/96/d0/79/96d079624c3825a228164df27e6fad94.jpg")</f>
        <v>https://i.pinimg.com/originals/96/d0/79/96d079624c3825a228164df27e6fad94.jpg</v>
      </c>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t="str">
        <f>IFERROR(__xludf.DUMMYFUNCTION("""COMPUTED_VALUE"""),"Yellow Soul")</f>
        <v>Yellow Soul</v>
      </c>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t="str">
        <f>IFERROR(__xludf.DUMMYFUNCTION("""COMPUTED_VALUE"""),"Zombie")</f>
        <v>Zombie</v>
      </c>
      <c r="B304" s="37" t="str">
        <f>IFERROR(__xludf.DUMMYFUNCTION("""COMPUTED_VALUE"""),"https://64.media.tumblr.com/20bc48903f3923018943e60751ef3331/tumblr_p3elalf65g1tibuboo1_1280.jpg")</f>
        <v>https://64.media.tumblr.com/20bc48903f3923018943e60751ef3331/tumblr_p3elalf65g1tibuboo1_1280.jpg</v>
      </c>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t="str">
        <f>IFERROR(__xludf.DUMMYFUNCTION("""COMPUTED_VALUE"""),"Zombie Whale Shark")</f>
        <v>Zombie Whale Shark</v>
      </c>
      <c r="B305" s="37" t="str">
        <f>IFERROR(__xludf.DUMMYFUNCTION("""COMPUTED_VALUE"""),"https://cdnb.artstation.com/p/assets/images/images/007/383/319/large/caio-monteiro-pzo9099-zombie-shark-fight.jpg")</f>
        <v>https://cdnb.artstation.com/p/assets/images/images/007/383/319/large/caio-monteiro-pzo9099-zombie-shark-fight.jpg</v>
      </c>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t="str">
        <f>IFERROR(__xludf.DUMMYFUNCTION("""COMPUTED_VALUE"""),"Pirate")</f>
        <v>Pirate</v>
      </c>
      <c r="B306" s="37"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t="str">
        <f>IFERROR(__xludf.DUMMYFUNCTION("""COMPUTED_VALUE"""),"Pirate Captain")</f>
        <v>Pirate Captain</v>
      </c>
      <c r="B307" s="37" t="str">
        <f>IFERROR(__xludf.DUMMYFUNCTION("""COMPUTED_VALUE"""),"https://ih1.redbubble.net/image.4672479412.6233/flat,750x,075,f-pad,750x1000,f8f8f8.jpg")</f>
        <v>https://ih1.redbubble.net/image.4672479412.6233/flat,750x,075,f-pad,750x1000,f8f8f8.jpg</v>
      </c>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t="str">
        <f>IFERROR(__xludf.DUMMYFUNCTION("""COMPUTED_VALUE"""),"The Crystal King")</f>
        <v>The Crystal King</v>
      </c>
      <c r="B308" s="37"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t="str">
        <f>IFERROR(__xludf.DUMMYFUNCTION("""COMPUTED_VALUE"""),"Water Elemental")</f>
        <v>Water Elemental</v>
      </c>
      <c r="B309" s="37" t="str">
        <f>IFERROR(__xludf.DUMMYFUNCTION("""COMPUTED_VALUE"""),"https://i.pinimg.com/originals/d3/ea/57/d3ea5774347adec1db07fc99e3f5beab.jpg")</f>
        <v>https://i.pinimg.com/originals/d3/ea/57/d3ea5774347adec1db07fc99e3f5beab.jpg</v>
      </c>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t="str">
        <f>IFERROR(__xludf.DUMMYFUNCTION("""COMPUTED_VALUE"""),"Armored Car")</f>
        <v>Armored Car</v>
      </c>
      <c r="B310" s="37" t="str">
        <f>IFERROR(__xludf.DUMMYFUNCTION("""COMPUTED_VALUE"""),"https://storage.googleapis.com/pai-images/6bb2782048234a0a9295908b28fc3cca.jpeg")</f>
        <v>https://storage.googleapis.com/pai-images/6bb2782048234a0a9295908b28fc3cca.jpeg</v>
      </c>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t="str">
        <f>IFERROR(__xludf.DUMMYFUNCTION("""COMPUTED_VALUE"""),"Battleship")</f>
        <v>Battleship</v>
      </c>
      <c r="B311" s="37" t="str">
        <f>IFERROR(__xludf.DUMMYFUNCTION("""COMPUTED_VALUE"""),"https://cdna.artstation.com/p/assets/images/images/025/338/878/large/-5-3-11-sea.jpg?1585495316")</f>
        <v>https://cdna.artstation.com/p/assets/images/images/025/338/878/large/-5-3-11-sea.jpg?1585495316</v>
      </c>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t="str">
        <f>IFERROR(__xludf.DUMMYFUNCTION("""COMPUTED_VALUE"""),"Galleon")</f>
        <v>Galleon</v>
      </c>
      <c r="B312" s="37" t="str">
        <f>IFERROR(__xludf.DUMMYFUNCTION("""COMPUTED_VALUE"""),"https://i.pinimg.com/originals/02/76/7d/02767db0f7f06962782b1357d0243d63.jpg")</f>
        <v>https://i.pinimg.com/originals/02/76/7d/02767db0f7f06962782b1357d0243d63.jpg</v>
      </c>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t="str">
        <f>IFERROR(__xludf.DUMMYFUNCTION("""COMPUTED_VALUE"""),"Tank")</f>
        <v>Tank</v>
      </c>
      <c r="B313" s="37" t="str">
        <f>IFERROR(__xludf.DUMMYFUNCTION("""COMPUTED_VALUE"""),"https://pbs.twimg.com/media/EkcGz7gXgAEoR6j.jpg:large")</f>
        <v>https://pbs.twimg.com/media/EkcGz7gXgAEoR6j.jpg:large</v>
      </c>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t="str">
        <f>IFERROR(__xludf.DUMMYFUNCTION("""COMPUTED_VALUE"""),"ATV")</f>
        <v>ATV</v>
      </c>
      <c r="B314" s="37" t="str">
        <f>IFERROR(__xludf.DUMMYFUNCTION("""COMPUTED_VALUE"""),"https://cdnb.artstation.com/p/assets/images/images/031/844/267/large/mikael-eriksson-concept-1.jpg?1604761294")</f>
        <v>https://cdnb.artstation.com/p/assets/images/images/031/844/267/large/mikael-eriksson-concept-1.jpg?1604761294</v>
      </c>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t="str">
        <f>IFERROR(__xludf.DUMMYFUNCTION("""COMPUTED_VALUE"""),"Submarine")</f>
        <v>Submarine</v>
      </c>
      <c r="B315" s="37" t="str">
        <f>IFERROR(__xludf.DUMMYFUNCTION("""COMPUTED_VALUE"""),"https://encrypted-tbn2.gstatic.com/images?q=tbn:ANd9GcTfs-uxwwBY7ENHEo3mLQ1r8UnDSeeH_ioZ1UCSqwL55Uv8q6Lp")</f>
        <v>https://encrypted-tbn2.gstatic.com/images?q=tbn:ANd9GcTfs-uxwwBY7ENHEo3mLQ1r8UnDSeeH_ioZ1UCSqwL55Uv8q6Lp</v>
      </c>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t="str">
        <f>IFERROR(__xludf.DUMMYFUNCTION("""COMPUTED_VALUE"""),"Scarecrow Lord")</f>
        <v>Scarecrow Lord</v>
      </c>
      <c r="B316" s="37" t="str">
        <f>IFERROR(__xludf.DUMMYFUNCTION("""COMPUTED_VALUE"""),"https://i.pinimg.com/736x/b4/ee/2e/b4ee2e9bc28136b9b6c3e98fa062434c.jpg")</f>
        <v>https://i.pinimg.com/736x/b4/ee/2e/b4ee2e9bc28136b9b6c3e98fa062434c.jpg</v>
      </c>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t="str">
        <f>IFERROR(__xludf.DUMMYFUNCTION("""COMPUTED_VALUE"""),"Vermouth The Sea Monkey King")</f>
        <v>Vermouth The Sea Monkey King</v>
      </c>
      <c r="B317" s="37" t="str">
        <f>IFERROR(__xludf.DUMMYFUNCTION("""COMPUTED_VALUE"""),"https://i.pinimg.com/originals/62/19/04/6219046c7bcc34982211521df3eecc7b.jpg")</f>
        <v>https://i.pinimg.com/originals/62/19/04/6219046c7bcc34982211521df3eecc7b.jpg</v>
      </c>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t="str">
        <f>IFERROR(__xludf.DUMMYFUNCTION("""COMPUTED_VALUE"""),"Bashe The Cursed Sepent")</f>
        <v>Bashe The Cursed Sepent</v>
      </c>
      <c r="B318" s="37" t="str">
        <f>IFERROR(__xludf.DUMMYFUNCTION("""COMPUTED_VALUE"""),"https://i.pinimg.com/736x/c7/e6/53/c7e653ef9076c5bf5fc5691799816cab.jpg")</f>
        <v>https://i.pinimg.com/736x/c7/e6/53/c7e653ef9076c5bf5fc5691799816cab.jpg</v>
      </c>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t="str">
        <f>IFERROR(__xludf.DUMMYFUNCTION("""COMPUTED_VALUE"""),"Grash, The Oni of Fiji")</f>
        <v>Grash, The Oni of Fiji</v>
      </c>
      <c r="B319" s="37" t="str">
        <f>IFERROR(__xludf.DUMMYFUNCTION("""COMPUTED_VALUE"""),"https://storage.googleapis.com/pai-images/edf09ada6ec947a5b6723571d13eef2f.jpeg")</f>
        <v>https://storage.googleapis.com/pai-images/edf09ada6ec947a5b6723571d13eef2f.jpeg</v>
      </c>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t="str">
        <f>IFERROR(__xludf.DUMMYFUNCTION("""COMPUTED_VALUE"""),"The Black Tortoise ")</f>
        <v>The Black Tortoise </v>
      </c>
      <c r="B320" s="37" t="str">
        <f>IFERROR(__xludf.DUMMYFUNCTION("""COMPUTED_VALUE"""),"https://i.pinimg.com/originals/4c/d9/48/4cd948266c0fbbadbcc097fc606729b5.png")</f>
        <v>https://i.pinimg.com/originals/4c/d9/48/4cd948266c0fbbadbcc097fc606729b5.png</v>
      </c>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t="str">
        <f>IFERROR(__xludf.DUMMYFUNCTION("""COMPUTED_VALUE"""),"Ninja of Bashe")</f>
        <v>Ninja of Bashe</v>
      </c>
      <c r="B321" s="37" t="str">
        <f>IFERROR(__xludf.DUMMYFUNCTION("""COMPUTED_VALUE"""),"https://images.nightcafe.studio/jobs/j6ZtMxVEc71KjusyG9c7/j6ZtMxVEc71KjusyG9c7--1--pbs6c.jpg?tr=w-1600,c-at_max")</f>
        <v>https://images.nightcafe.studio/jobs/j6ZtMxVEc71KjusyG9c7/j6ZtMxVEc71KjusyG9c7--1--pbs6c.jpg?tr=w-1600,c-at_max</v>
      </c>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t="str">
        <f>IFERROR(__xludf.DUMMYFUNCTION("""COMPUTED_VALUE"""),"PyroShell")</f>
        <v>PyroShell</v>
      </c>
      <c r="B322" s="37" t="str">
        <f>IFERROR(__xludf.DUMMYFUNCTION("""COMPUTED_VALUE"""),"https://static.wikia.nocookie.net/forgottenrealms/images/b/bb/GiantClam-2e.png/revision/latest?cb=20210124191709")</f>
        <v>https://static.wikia.nocookie.net/forgottenrealms/images/b/bb/GiantClam-2e.png/revision/latest?cb=20210124191709</v>
      </c>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t="str">
        <f>IFERROR(__xludf.DUMMYFUNCTION("""COMPUTED_VALUE"""),"Dragonscale Guard (Tier III)")</f>
        <v>Dragonscale Guard (Tier III)</v>
      </c>
      <c r="B323" s="37" t="str">
        <f>IFERROR(__xludf.DUMMYFUNCTION("""COMPUTED_VALUE"""),"https://i.pinimg.com/originals/13/30/47/13304738fa786e503523576be09292f1.jpg")</f>
        <v>https://i.pinimg.com/originals/13/30/47/13304738fa786e503523576be09292f1.jpg</v>
      </c>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t="str">
        <f>IFERROR(__xludf.DUMMYFUNCTION("""COMPUTED_VALUE"""),"Dragonscale Guard (Tier II)")</f>
        <v>Dragonscale Guard (Tier II)</v>
      </c>
      <c r="B324" s="37" t="str">
        <f>IFERROR(__xludf.DUMMYFUNCTION("""COMPUTED_VALUE"""),"https://i.pinimg.com/originals/f3/85/1e/f3851e505cda95727a81dedf90a207e5.jpg")</f>
        <v>https://i.pinimg.com/originals/f3/85/1e/f3851e505cda95727a81dedf90a207e5.jpg</v>
      </c>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t="str">
        <f>IFERROR(__xludf.DUMMYFUNCTION("""COMPUTED_VALUE"""),"Dragonscale Guard (Tier I)")</f>
        <v>Dragonscale Guard (Tier I)</v>
      </c>
      <c r="B325" s="37" t="str">
        <f>IFERROR(__xludf.DUMMYFUNCTION("""COMPUTED_VALUE"""),"https://i.pinimg.com/564x/be/fa/e5/befae52a354f447b522a211ea7eb8172.jpg")</f>
        <v>https://i.pinimg.com/564x/be/fa/e5/befae52a354f447b522a211ea7eb8172.jpg</v>
      </c>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t="str">
        <f>IFERROR(__xludf.DUMMYFUNCTION("""COMPUTED_VALUE"""),"Trap: Pendulum")</f>
        <v>Trap: Pendulum</v>
      </c>
      <c r="B326" s="37" t="str">
        <f>IFERROR(__xludf.DUMMYFUNCTION("""COMPUTED_VALUE"""),"https://wrathofzombie.files.wordpress.com/2017/04/trap-3.jpg?w=640")</f>
        <v>https://wrathofzombie.files.wordpress.com/2017/04/trap-3.jpg?w=640</v>
      </c>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t="str">
        <f>IFERROR(__xludf.DUMMYFUNCTION("""COMPUTED_VALUE"""),"Trap: Moving Saw Blade")</f>
        <v>Trap: Moving Saw Blade</v>
      </c>
      <c r="B327" s="37" t="str">
        <f>IFERROR(__xludf.DUMMYFUNCTION("""COMPUTED_VALUE"""),"https://t3.gstatic.com/images?q=tbn:ANd9GcSqdtU2YXhHrYbRMCsknLxRgcACFvgVXNv7Lza5ph6qt48-6fdw")</f>
        <v>https://t3.gstatic.com/images?q=tbn:ANd9GcSqdtU2YXhHrYbRMCsknLxRgcACFvgVXNv7Lza5ph6qt48-6fdw</v>
      </c>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t="str">
        <f>IFERROR(__xludf.DUMMYFUNCTION("""COMPUTED_VALUE"""),"Trap: Bear Trap")</f>
        <v>Trap: Bear Trap</v>
      </c>
      <c r="B328" s="37" t="str">
        <f>IFERROR(__xludf.DUMMYFUNCTION("""COMPUTED_VALUE"""),"https://i.pinimg.com/originals/c6/01/58/c60158208dcd2a4a60a3a546aa2591f5.png")</f>
        <v>https://i.pinimg.com/originals/c6/01/58/c60158208dcd2a4a60a3a546aa2591f5.png</v>
      </c>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t="str">
        <f>IFERROR(__xludf.DUMMYFUNCTION("""COMPUTED_VALUE"""),"Trap: Pitfall")</f>
        <v>Trap: Pitfall</v>
      </c>
      <c r="B329" s="37"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t="str">
        <f>IFERROR(__xludf.DUMMYFUNCTION("""COMPUTED_VALUE"""),"Trap: Flaming Arrows")</f>
        <v>Trap: Flaming Arrows</v>
      </c>
      <c r="B330" s="37" t="str">
        <f>IFERROR(__xludf.DUMMYFUNCTION("""COMPUTED_VALUE"""),"https://i.pinimg.com/originals/fc/76/eb/fc76eb240fbedf68a06eda0c2cbb6be8.png")</f>
        <v>https://i.pinimg.com/originals/fc/76/eb/fc76eb240fbedf68a06eda0c2cbb6be8.png</v>
      </c>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t="str">
        <f>IFERROR(__xludf.DUMMYFUNCTION("""COMPUTED_VALUE"""),"Trap: Bolder")</f>
        <v>Trap: Bolder</v>
      </c>
      <c r="B331" s="37" t="str">
        <f>IFERROR(__xludf.DUMMYFUNCTION("""COMPUTED_VALUE"""),"https://i.pinimg.com/originals/13/d0/6b/13d06b363b2ea1285f0a3e0b25346da6.jpg")</f>
        <v>https://i.pinimg.com/originals/13/d0/6b/13d06b363b2ea1285f0a3e0b25346da6.jpg</v>
      </c>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t="str">
        <f>IFERROR(__xludf.DUMMYFUNCTION("""COMPUTED_VALUE"""),"Trap: Mimic")</f>
        <v>Trap: Mimic</v>
      </c>
      <c r="B332" s="37"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t="str">
        <f>IFERROR(__xludf.DUMMYFUNCTION("""COMPUTED_VALUE"""),"Mimic (Mob)")</f>
        <v>Mimic (Mob)</v>
      </c>
      <c r="B333" s="37"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t="str">
        <f>IFERROR(__xludf.DUMMYFUNCTION("""COMPUTED_VALUE"""),"Puzzle: Floating Underground Sphere")</f>
        <v>Puzzle: Floating Underground Sphere</v>
      </c>
      <c r="B334" s="37" t="str">
        <f>IFERROR(__xludf.DUMMYFUNCTION("""COMPUTED_VALUE"""),"https://i.pinimg.com/736x/46/5b/bd/465bbd3507f912f82f99fcaebf503be8.jpg")</f>
        <v>https://i.pinimg.com/736x/46/5b/bd/465bbd3507f912f82f99fcaebf503be8.jpg</v>
      </c>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t="str">
        <f>IFERROR(__xludf.DUMMYFUNCTION("""COMPUTED_VALUE"""),"Puzzle: Locked Stone Platform Entrance")</f>
        <v>Puzzle: Locked Stone Platform Entrance</v>
      </c>
      <c r="B335" s="37" t="str">
        <f>IFERROR(__xludf.DUMMYFUNCTION("""COMPUTED_VALUE"""),"https://i.pinimg.com/564x/7a/55/e3/7a55e3a2ab970ecf3b971d8deea3cfef.jpg")</f>
        <v>https://i.pinimg.com/564x/7a/55/e3/7a55e3a2ab970ecf3b971d8deea3cfef.jpg</v>
      </c>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t="str">
        <f>IFERROR(__xludf.DUMMYFUNCTION("""COMPUTED_VALUE"""),"Puzzle: Mysterious Symbol")</f>
        <v>Puzzle: Mysterious Symbol</v>
      </c>
      <c r="B336" s="37" t="str">
        <f>IFERROR(__xludf.DUMMYFUNCTION("""COMPUTED_VALUE"""),"https://storage.googleapis.com/pai-images/f7202533c00d4df08331cee4f5dd4e96.jpeg")</f>
        <v>https://storage.googleapis.com/pai-images/f7202533c00d4df08331cee4f5dd4e96.jpeg</v>
      </c>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t="str">
        <f>IFERROR(__xludf.DUMMYFUNCTION("""COMPUTED_VALUE"""),"Puzzle: Ancient Stone Statue")</f>
        <v>Puzzle: Ancient Stone Statue</v>
      </c>
      <c r="B337" s="37" t="str">
        <f>IFERROR(__xludf.DUMMYFUNCTION("""COMPUTED_VALUE"""),"https://i.pinimg.com/564x/3c/f3/8f/3cf38ffaed451f14de36e5e1c8259794.jpg")</f>
        <v>https://i.pinimg.com/564x/3c/f3/8f/3cf38ffaed451f14de36e5e1c8259794.jpg</v>
      </c>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t="str">
        <f>IFERROR(__xludf.DUMMYFUNCTION("""COMPUTED_VALUE"""),"Puzzle: The Chosen One")</f>
        <v>Puzzle: The Chosen One</v>
      </c>
      <c r="B338" s="37" t="str">
        <f>IFERROR(__xludf.DUMMYFUNCTION("""COMPUTED_VALUE"""),"https://i.pinimg.com/564x/9b/2b/16/9b2b16e0c1ed056ec29603ff6eb0f722.jpg")</f>
        <v>https://i.pinimg.com/564x/9b/2b/16/9b2b16e0c1ed056ec29603ff6eb0f722.jpg</v>
      </c>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t="str">
        <f>IFERROR(__xludf.DUMMYFUNCTION("""COMPUTED_VALUE"""),"Mekanian ")</f>
        <v>Mekanian </v>
      </c>
      <c r="B339" s="37" t="str">
        <f>IFERROR(__xludf.DUMMYFUNCTION("""COMPUTED_VALUE"""),"https://i.pinimg.com/736x/6c/1c/da/6c1cda499d7fb2c1a07555bcffd498a6.jpg")</f>
        <v>https://i.pinimg.com/736x/6c/1c/da/6c1cda499d7fb2c1a07555bcffd498a6.jpg</v>
      </c>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t="str">
        <f>IFERROR(__xludf.DUMMYFUNCTION("""COMPUTED_VALUE"""),"Lesser tengu")</f>
        <v>Lesser tengu</v>
      </c>
      <c r="B340" s="37" t="str">
        <f>IFERROR(__xludf.DUMMYFUNCTION("""COMPUTED_VALUE"""),"https://static.wikia.nocookie.net/typemoon/images/6/6e/FGO_Tengu_sprite.webp/revision/latest?cb=20210308191230")</f>
        <v>https://static.wikia.nocookie.net/typemoon/images/6/6e/FGO_Tengu_sprite.webp/revision/latest?cb=20210308191230</v>
      </c>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t="str">
        <f>IFERROR(__xludf.DUMMYFUNCTION("""COMPUTED_VALUE"""),"Earth Wyrm")</f>
        <v>Earth Wyrm</v>
      </c>
      <c r="B341" s="37" t="str">
        <f>IFERROR(__xludf.DUMMYFUNCTION("""COMPUTED_VALUE"""),"https://mir-s3-cdn-cf.behance.net/project_modules/max_1200/bef8aa12303671.5628ebf194ba4.jpg")</f>
        <v>https://mir-s3-cdn-cf.behance.net/project_modules/max_1200/bef8aa12303671.5628ebf194ba4.jpg</v>
      </c>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t="str">
        <f>IFERROR(__xludf.DUMMYFUNCTION("""COMPUTED_VALUE"""),"Nature Wyrm")</f>
        <v>Nature Wyrm</v>
      </c>
      <c r="B342" s="37" t="str">
        <f>IFERROR(__xludf.DUMMYFUNCTION("""COMPUTED_VALUE"""),"https://i.pinimg.com/236x/b1/86/44/b186446fea6b47d9dac05c64424f28ac.jpg")</f>
        <v>https://i.pinimg.com/236x/b1/86/44/b186446fea6b47d9dac05c64424f28ac.jpg</v>
      </c>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t="str">
        <f>IFERROR(__xludf.DUMMYFUNCTION("""COMPUTED_VALUE"""),"Earth Golem")</f>
        <v>Earth Golem</v>
      </c>
      <c r="B343" s="37" t="str">
        <f>IFERROR(__xludf.DUMMYFUNCTION("""COMPUTED_VALUE"""),"https://i.pinimg.com/564x/ec/54/d4/ec54d43f3d053f1e77d6e1948f826815.jpg")</f>
        <v>https://i.pinimg.com/564x/ec/54/d4/ec54d43f3d053f1e77d6e1948f826815.jpg</v>
      </c>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t="str">
        <f>IFERROR(__xludf.DUMMYFUNCTION("""COMPUTED_VALUE"""),"Plague Doctor, Kaillon")</f>
        <v>Plague Doctor, Kaillon</v>
      </c>
      <c r="B344" s="37"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t="str">
        <f>IFERROR(__xludf.DUMMYFUNCTION("""COMPUTED_VALUE"""),"Abstara Guard (Tier IIl)")</f>
        <v>Abstara Guard (Tier IIl)</v>
      </c>
      <c r="B346" s="37" t="str">
        <f>IFERROR(__xludf.DUMMYFUNCTION("""COMPUTED_VALUE"""),"https://wallpapercave.com/wp/wp3749161.jpg")</f>
        <v>https://wallpapercave.com/wp/wp3749161.jpg</v>
      </c>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t="str">
        <f>IFERROR(__xludf.DUMMYFUNCTION("""COMPUTED_VALUE"""),"Abstara Guard (Tier II)")</f>
        <v>Abstara Guard (Tier II)</v>
      </c>
      <c r="B347" s="37" t="str">
        <f>IFERROR(__xludf.DUMMYFUNCTION("""COMPUTED_VALUE"""),"https://i.pinimg.com/originals/3c/53/6d/3c536dd79738cb71451aa63b34b95b19.jpg")</f>
        <v>https://i.pinimg.com/originals/3c/53/6d/3c536dd79738cb71451aa63b34b95b19.jpg</v>
      </c>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t="str">
        <f>IFERROR(__xludf.DUMMYFUNCTION("""COMPUTED_VALUE"""),"Abstara  Guard (Tier l)")</f>
        <v>Abstara  Guard (Tier l)</v>
      </c>
      <c r="B348" s="37" t="str">
        <f>IFERROR(__xludf.DUMMYFUNCTION("""COMPUTED_VALUE"""),"https://i.pinimg.com/originals/1f/0a/a8/1f0aa89abab988ca17c0312be3c59b69.jpg")</f>
        <v>https://i.pinimg.com/originals/1f/0a/a8/1f0aa89abab988ca17c0312be3c59b69.jpg</v>
      </c>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t="str">
        <f>IFERROR(__xludf.DUMMYFUNCTION("""COMPUTED_VALUE"""),"Wolf")</f>
        <v>Wolf</v>
      </c>
      <c r="B349" s="37"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t="str">
        <f>IFERROR(__xludf.DUMMYFUNCTION("""COMPUTED_VALUE"""),"Nereid")</f>
        <v>Nereid</v>
      </c>
      <c r="B350" s="37" t="str">
        <f>IFERROR(__xludf.DUMMYFUNCTION("""COMPUTED_VALUE"""),"https://i.pinimg.com/474x/4d/40/9e/4d409e459cd0fc809aecbb53aa96545a.jpg")</f>
        <v>https://i.pinimg.com/474x/4d/40/9e/4d409e459cd0fc809aecbb53aa96545a.jpg</v>
      </c>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t="str">
        <f>IFERROR(__xludf.DUMMYFUNCTION("""COMPUTED_VALUE"""),"Ancient Water Elemental")</f>
        <v>Ancient Water Elemental</v>
      </c>
      <c r="B351" s="37" t="str">
        <f>IFERROR(__xludf.DUMMYFUNCTION("""COMPUTED_VALUE"""),"https://i.pinimg.com/474x/9f/ab/d8/9fabd8a4ac75a62f28bed098d17108b0.jpg")</f>
        <v>https://i.pinimg.com/474x/9f/ab/d8/9fabd8a4ac75a62f28bed098d17108b0.jpg</v>
      </c>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t="str">
        <f>IFERROR(__xludf.DUMMYFUNCTION("""COMPUTED_VALUE"""),"Nature Elemental")</f>
        <v>Nature Elemental</v>
      </c>
      <c r="B352" s="37" t="str">
        <f>IFERROR(__xludf.DUMMYFUNCTION("""COMPUTED_VALUE"""),"https://i.pinimg.com/474x/b5/a3/d1/b5a3d1e7e05098c4f6a7cc341f8f153b.jpg")</f>
        <v>https://i.pinimg.com/474x/b5/a3/d1/b5a3d1e7e05098c4f6a7cc341f8f153b.jpg</v>
      </c>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t="str">
        <f>IFERROR(__xludf.DUMMYFUNCTION("""COMPUTED_VALUE"""),"Forest Elemental")</f>
        <v>Forest Elemental</v>
      </c>
      <c r="B353" s="37" t="str">
        <f>IFERROR(__xludf.DUMMYFUNCTION("""COMPUTED_VALUE"""),"https://i.pinimg.com/474x/72/91/b1/7291b1e19ece5715438544cbcfe6f43f.jpg")</f>
        <v>https://i.pinimg.com/474x/72/91/b1/7291b1e19ece5715438544cbcfe6f43f.jpg</v>
      </c>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t="str">
        <f>IFERROR(__xludf.DUMMYFUNCTION("""COMPUTED_VALUE"""),"Ancient Nature Elemental")</f>
        <v>Ancient Nature Elemental</v>
      </c>
      <c r="B354" s="37" t="str">
        <f>IFERROR(__xludf.DUMMYFUNCTION("""COMPUTED_VALUE"""),"https://i.pinimg.com/474x/5f/54/48/5f544872955490c434d50e85c990568c.jpg")</f>
        <v>https://i.pinimg.com/474x/5f/54/48/5f544872955490c434d50e85c990568c.jpg</v>
      </c>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t="str">
        <f>IFERROR(__xludf.DUMMYFUNCTION("""COMPUTED_VALUE"""),"Earth Elemental")</f>
        <v>Earth Elemental</v>
      </c>
      <c r="B355" s="37" t="str">
        <f>IFERROR(__xludf.DUMMYFUNCTION("""COMPUTED_VALUE"""),"https://i.pinimg.com/474x/b2/71/d0/b271d040b37496691d55ec2e506d9d58.jpg")</f>
        <v>https://i.pinimg.com/474x/b2/71/d0/b271d040b37496691d55ec2e506d9d58.jpg</v>
      </c>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t="str">
        <f>IFERROR(__xludf.DUMMYFUNCTION("""COMPUTED_VALUE"""),"Mountain Elemental")</f>
        <v>Mountain Elemental</v>
      </c>
      <c r="B356" s="37" t="str">
        <f>IFERROR(__xludf.DUMMYFUNCTION("""COMPUTED_VALUE"""),"https://i.pinimg.com/474x/c7/72/d0/c772d0ef098d4ba2fe2239568d147661.jpg")</f>
        <v>https://i.pinimg.com/474x/c7/72/d0/c772d0ef098d4ba2fe2239568d147661.jpg</v>
      </c>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t="str">
        <f>IFERROR(__xludf.DUMMYFUNCTION("""COMPUTED_VALUE"""),"Ancient Earth Elemental")</f>
        <v>Ancient Earth Elemental</v>
      </c>
      <c r="B357" s="37" t="str">
        <f>IFERROR(__xludf.DUMMYFUNCTION("""COMPUTED_VALUE"""),"https://i.pinimg.com/474x/02/f5/df/02f5df7b21b2d0c5a6f1d575e6ed22f2.jpg")</f>
        <v>https://i.pinimg.com/474x/02/f5/df/02f5df7b21b2d0c5a6f1d575e6ed22f2.jpg</v>
      </c>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t="str">
        <f>IFERROR(__xludf.DUMMYFUNCTION("""COMPUTED_VALUE"""),"Storm Elemental")</f>
        <v>Storm Elemental</v>
      </c>
      <c r="B358" s="37" t="str">
        <f>IFERROR(__xludf.DUMMYFUNCTION("""COMPUTED_VALUE"""),"https://i.pinimg.com/474x/73/1d/41/731d41d0d8e667bcd892067f8dd905b9.jpg")</f>
        <v>https://i.pinimg.com/474x/73/1d/41/731d41d0d8e667bcd892067f8dd905b9.jpg</v>
      </c>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t="str">
        <f>IFERROR(__xludf.DUMMYFUNCTION("""COMPUTED_VALUE"""),"Lightning Elemental")</f>
        <v>Lightning Elemental</v>
      </c>
      <c r="B359" s="37" t="str">
        <f>IFERROR(__xludf.DUMMYFUNCTION("""COMPUTED_VALUE"""),"https://i.pinimg.com/474x/76/d3/c7/76d3c785f4a94ae72cb28c02bbb8e942.jpg")</f>
        <v>https://i.pinimg.com/474x/76/d3/c7/76d3c785f4a94ae72cb28c02bbb8e942.jpg</v>
      </c>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t="str">
        <f>IFERROR(__xludf.DUMMYFUNCTION("""COMPUTED_VALUE"""),"Ancient Storm Elemental")</f>
        <v>Ancient Storm Elemental</v>
      </c>
      <c r="B360" s="37" t="str">
        <f>IFERROR(__xludf.DUMMYFUNCTION("""COMPUTED_VALUE"""),"https://i.pinimg.com/474x/76/d3/c7/76d3c785f4a94ae72cb28c02bbb8e942.jpg")</f>
        <v>https://i.pinimg.com/474x/76/d3/c7/76d3c785f4a94ae72cb28c02bbb8e942.jpg</v>
      </c>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t="str">
        <f>IFERROR(__xludf.DUMMYFUNCTION("""COMPUTED_VALUE"""),"Lathom, Ancient Penumbral Elemental of Insanity")</f>
        <v>Lathom, Ancient Penumbral Elemental of Insanity</v>
      </c>
      <c r="B361" s="37" t="str">
        <f>IFERROR(__xludf.DUMMYFUNCTION("""COMPUTED_VALUE"""),"https://i.pinimg.com/474x/74/44/64/744464c1596225a4d1e43d0065255a04.jpg")</f>
        <v>https://i.pinimg.com/474x/74/44/64/744464c1596225a4d1e43d0065255a04.jpg</v>
      </c>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t="str">
        <f>IFERROR(__xludf.DUMMYFUNCTION("""COMPUTED_VALUE"""),"Karduk, King of the Earth Elementals")</f>
        <v>Karduk, King of the Earth Elementals</v>
      </c>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t="str">
        <f>IFERROR(__xludf.DUMMYFUNCTION("""COMPUTED_VALUE"""),"Salamander, King of the Fire Elementals")</f>
        <v>Salamander, King of the Fire Elementals</v>
      </c>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t="str">
        <f>IFERROR(__xludf.DUMMYFUNCTION("""COMPUTED_VALUE"""),"Raijin, King of the Storm Elementals")</f>
        <v>Raijin, King of the Storm Elementals</v>
      </c>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t="str">
        <f>IFERROR(__xludf.DUMMYFUNCTION("""COMPUTED_VALUE"""),"Undyne, Queen of the Water Elementals")</f>
        <v>Undyne, Queen of the Water Elementals</v>
      </c>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t="str">
        <f>IFERROR(__xludf.DUMMYFUNCTION("""COMPUTED_VALUE"""),"Sylph, Queen of the Nature Elementals")</f>
        <v>Sylph, Queen of the Nature Elementals</v>
      </c>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t="str">
        <f>IFERROR(__xludf.DUMMYFUNCTION("""COMPUTED_VALUE"""),"Corrupted King Zorgod")</f>
        <v>Corrupted King Zorgod</v>
      </c>
      <c r="B369" s="37" t="str">
        <f>IFERROR(__xludf.DUMMYFUNCTION("""COMPUTED_VALUE"""),"https://cdn.openart.ai/stable_diffusion/688694b323b1c707632346f478810280e647a568_2000x2000.webp")</f>
        <v>https://cdn.openart.ai/stable_diffusion/688694b323b1c707632346f478810280e647a568_2000x2000.webp</v>
      </c>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t="str">
        <f>IFERROR(__xludf.DUMMYFUNCTION("""COMPUTED_VALUE"""),"Crystal Colossus")</f>
        <v>Crystal Colossus</v>
      </c>
      <c r="B370" s="37" t="str">
        <f>IFERROR(__xludf.DUMMYFUNCTION("""COMPUTED_VALUE"""),"https://i.pinimg.com/1200x/6e/7b/fd/6e7bfd9a0c04fcde6b485c056fd2f883.jpg")</f>
        <v>https://i.pinimg.com/1200x/6e/7b/fd/6e7bfd9a0c04fcde6b485c056fd2f883.jpg</v>
      </c>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t="str">
        <f>IFERROR(__xludf.DUMMYFUNCTION("""COMPUTED_VALUE"""),"The Great Storm Kaiju")</f>
        <v>The Great Storm Kaiju</v>
      </c>
      <c r="B371" s="37" t="str">
        <f>IFERROR(__xludf.DUMMYFUNCTION("""COMPUTED_VALUE"""),"https://i.pinimg.com/1200x/f6/20/50/f62050604867e669bcebbeba4deb61d9.jpg")</f>
        <v>https://i.pinimg.com/1200x/f6/20/50/f62050604867e669bcebbeba4deb61d9.jpg</v>
      </c>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t="str">
        <f>IFERROR(__xludf.DUMMYFUNCTION("""COMPUTED_VALUE"""),"Gaia, Goddess of Earth")</f>
        <v>Gaia, Goddess of Earth</v>
      </c>
      <c r="B372" s="37" t="str">
        <f>IFERROR(__xludf.DUMMYFUNCTION("""COMPUTED_VALUE"""),"https://t3.ftcdn.net/jpg/05/76/50/64/360_F_576506478_ubv2s3QyI67WMaGL3pNVRJEasElwqaiM.jpg")</f>
        <v>https://t3.ftcdn.net/jpg/05/76/50/64/360_F_576506478_ubv2s3QyI67WMaGL3pNVRJEasElwqaiM.jpg</v>
      </c>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t="str">
        <f>IFERROR(__xludf.DUMMYFUNCTION("""COMPUTED_VALUE"""),"Bahamut, Beast of the Endless Void (First Phase)")</f>
        <v>Bahamut, Beast of the Endless Void (First Phase)</v>
      </c>
      <c r="B373" s="37"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t="str">
        <f>IFERROR(__xludf.DUMMYFUNCTION("""COMPUTED_VALUE"""),"Orgroth - The Volcanic Guardian of Fire Tiki Mountain")</f>
        <v>Orgroth - The Volcanic Guardian of Fire Tiki Mountain</v>
      </c>
      <c r="B374" s="37" t="str">
        <f>IFERROR(__xludf.DUMMYFUNCTION("""COMPUTED_VALUE"""),"https://cdna.artstation.com/p/assets/images/images/010/372/590/4k/shan-qiao-polished001.jpg?1524074474")</f>
        <v>https://cdna.artstation.com/p/assets/images/images/010/372/590/4k/shan-qiao-polished001.jpg?1524074474</v>
      </c>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t="str">
        <f>IFERROR(__xludf.DUMMYFUNCTION("""COMPUTED_VALUE"""),"Zor - The Volcanic Golem")</f>
        <v>Zor - The Volcanic Golem</v>
      </c>
      <c r="B375" s="37" t="str">
        <f>IFERROR(__xludf.DUMMYFUNCTION("""COMPUTED_VALUE"""),"https://cdnb.artstation.com/p/assets/images/images/004/795/089/large/miyoung-kim-volcano-02s.jpg?1486332907")</f>
        <v>https://cdnb.artstation.com/p/assets/images/images/004/795/089/large/miyoung-kim-volcano-02s.jpg?1486332907</v>
      </c>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t="str">
        <f>IFERROR(__xludf.DUMMYFUNCTION("""COMPUTED_VALUE"""),"Talthos - The Towering Kaiju")</f>
        <v>Talthos - The Towering Kaiju</v>
      </c>
      <c r="B376" s="37" t="str">
        <f>IFERROR(__xludf.DUMMYFUNCTION("""COMPUTED_VALUE"""),"https://cdnb.artstation.com/p/assets/images/images/015/107/375/large/denis-loebner-firewitch.jpg?1547076578")</f>
        <v>https://cdnb.artstation.com/p/assets/images/images/015/107/375/large/denis-loebner-firewitch.jpg?1547076578</v>
      </c>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t="str">
        <f>IFERROR(__xludf.DUMMYFUNCTION("""COMPUTED_VALUE"""),"Cloudius - The Smoke Elemental")</f>
        <v>Cloudius - The Smoke Elemental</v>
      </c>
      <c r="B377" s="37"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t="str">
        <f>IFERROR(__xludf.DUMMYFUNCTION("""COMPUTED_VALUE"""),"Grisaia - The Head Paladin of Gaia")</f>
        <v>Grisaia - The Head Paladin of Gaia</v>
      </c>
      <c r="B378" s="37" t="str">
        <f>IFERROR(__xludf.DUMMYFUNCTION("""COMPUTED_VALUE"""),"https://encrypted-tbn0.gstatic.com/images?q=tbn:ANd9GcT66UJcEZOFZTg4xNxzlZ5TCHOfrfvTGoGINg&amp;usqp=CAU")</f>
        <v>https://encrypted-tbn0.gstatic.com/images?q=tbn:ANd9GcT66UJcEZOFZTg4xNxzlZ5TCHOfrfvTGoGINg&amp;usqp=CAU</v>
      </c>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t="str">
        <f>IFERROR(__xludf.DUMMYFUNCTION("""COMPUTED_VALUE"""),"Gaia's Paladins")</f>
        <v>Gaia's Paladins</v>
      </c>
      <c r="B379" s="37" t="str">
        <f>IFERROR(__xludf.DUMMYFUNCTION("""COMPUTED_VALUE"""),"https://i.pinimg.com/236x/0a/22/72/0a2272b7483aba31469e3544335eb989.jpg")</f>
        <v>https://i.pinimg.com/236x/0a/22/72/0a2272b7483aba31469e3544335eb989.jpg</v>
      </c>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t="str">
        <f>IFERROR(__xludf.DUMMYFUNCTION("""COMPUTED_VALUE"""),"Crystal Spider")</f>
        <v>Crystal Spider</v>
      </c>
      <c r="B380" s="37" t="str">
        <f>IFERROR(__xludf.DUMMYFUNCTION("""COMPUTED_VALUE"""),"https://i.redd.it/sbfm7okwu8241.jpg")</f>
        <v>https://i.redd.it/sbfm7okwu8241.jpg</v>
      </c>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t="str">
        <f>IFERROR(__xludf.DUMMYFUNCTION("""COMPUTED_VALUE"""),"Hephaestus, The God of The Forge")</f>
        <v>Hephaestus, The God of The Forge</v>
      </c>
      <c r="B381" s="37" t="str">
        <f>IFERROR(__xludf.DUMMYFUNCTION("""COMPUTED_VALUE"""),"https://cdn.pixabay.com/photo/2022/12/28/17/45/hephaestus-7683486_1280.jpg")</f>
        <v>https://cdn.pixabay.com/photo/2022/12/28/17/45/hephaestus-7683486_1280.jpg</v>
      </c>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t="str">
        <f>IFERROR(__xludf.DUMMYFUNCTION("""COMPUTED_VALUE"""),"Artemis, Goddess of the Forest (First Phase)")</f>
        <v>Artemis, Goddess of the Forest (First Phase)</v>
      </c>
      <c r="B382" s="37" t="str">
        <f>IFERROR(__xludf.DUMMYFUNCTION("""COMPUTED_VALUE"""),"https://upload.wikimedia.org/wikipedia/commons/thumb/c/c8/Vanad.png/330px-Vanad.png")</f>
        <v>https://upload.wikimedia.org/wikipedia/commons/thumb/c/c8/Vanad.png/330px-Vanad.png</v>
      </c>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t="str">
        <f>IFERROR(__xludf.DUMMYFUNCTION("""COMPUTED_VALUE"""),"Artemis, Nature's Wrathful Avatar (Second Phase)")</f>
        <v>Artemis, Nature's Wrathful Avatar (Second Phase)</v>
      </c>
      <c r="B383" s="37"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t="str">
        <f>IFERROR(__xludf.DUMMYFUNCTION("""COMPUTED_VALUE"""),"The Gods' Quiver")</f>
        <v>The Gods' Quiver</v>
      </c>
      <c r="B384" s="37" t="str">
        <f>IFERROR(__xludf.DUMMYFUNCTION("""COMPUTED_VALUE"""),"https://encrypted-tbn0.gstatic.com/images?q=tbn:ANd9GcTbi6q-R0jDPerz4unQ5719xdv-tdiGPl0g9g&amp;usqp=CAU")</f>
        <v>https://encrypted-tbn0.gstatic.com/images?q=tbn:ANd9GcTbi6q-R0jDPerz4unQ5719xdv-tdiGPl0g9g&amp;usqp=CAU</v>
      </c>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t="str">
        <f>IFERROR(__xludf.DUMMYFUNCTION("""COMPUTED_VALUE"""),"The Forged Ones")</f>
        <v>The Forged Ones</v>
      </c>
      <c r="B385" s="37" t="str">
        <f>IFERROR(__xludf.DUMMYFUNCTION("""COMPUTED_VALUE"""),"https://i.pinimg.com/236x/d7/16/1e/d7161ed9ad08fd2b175352e03f7666e4.jpg")</f>
        <v>https://i.pinimg.com/236x/d7/16/1e/d7161ed9ad08fd2b175352e03f7666e4.jpg</v>
      </c>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t="str">
        <f>IFERROR(__xludf.DUMMYFUNCTION("""COMPUTED_VALUE"""),"Jenos, Head Paladin of Artemis")</f>
        <v>Jenos, Head Paladin of Artemis</v>
      </c>
      <c r="B386" s="37" t="str">
        <f>IFERROR(__xludf.DUMMYFUNCTION("""COMPUTED_VALUE"""),"https://i.pinimg.com/236x/26/cc/0c/26cc0c8c77c2eb4894cb407440ec7037.jpg")</f>
        <v>https://i.pinimg.com/236x/26/cc/0c/26cc0c8c77c2eb4894cb407440ec7037.jpg</v>
      </c>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t="str">
        <f>IFERROR(__xludf.DUMMYFUNCTION("""COMPUTED_VALUE"""),"Monk (Abbot)")</f>
        <v>Monk (Abbot)</v>
      </c>
      <c r="B387" s="37" t="str">
        <f>IFERROR(__xludf.DUMMYFUNCTION("""COMPUTED_VALUE"""),"https://i.pinimg.com/550x/cf/db/25/cfdb2526584acfac3fd8307ac842613b.jpg")</f>
        <v>https://i.pinimg.com/550x/cf/db/25/cfdb2526584acfac3fd8307ac842613b.jpg</v>
      </c>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t="str">
        <f>IFERROR(__xludf.DUMMYFUNCTION("""COMPUTED_VALUE"""),"Master Inugima Clone")</f>
        <v>Master Inugima Clone</v>
      </c>
      <c r="B388" s="37" t="str">
        <f>IFERROR(__xludf.DUMMYFUNCTION("""COMPUTED_VALUE"""),"https://i.pinimg.com/236x/b3/44/8c/b3448c43e89ad1f9c217cc75296e01f2.jpg")</f>
        <v>https://i.pinimg.com/236x/b3/44/8c/b3448c43e89ad1f9c217cc75296e01f2.jpg</v>
      </c>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t="str">
        <f>IFERROR(__xludf.DUMMYFUNCTION("""COMPUTED_VALUE"""),"Cargo Ship")</f>
        <v>Cargo Ship</v>
      </c>
      <c r="B389" s="37" t="str">
        <f>IFERROR(__xludf.DUMMYFUNCTION("""COMPUTED_VALUE"""),"https://storage.googleapis.com/pai-images/6df90f17551c43d4810dd4ae7a5eb831.jpeg")</f>
        <v>https://storage.googleapis.com/pai-images/6df90f17551c43d4810dd4ae7a5eb831.jpeg</v>
      </c>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t="str">
        <f>IFERROR(__xludf.DUMMYFUNCTION("""COMPUTED_VALUE"""),"Ghost Ship")</f>
        <v>Ghost Ship</v>
      </c>
      <c r="B390" s="37" t="str">
        <f>IFERROR(__xludf.DUMMYFUNCTION("""COMPUTED_VALUE"""),"https://encrypted-tbn0.gstatic.com/images?q=tbn:ANd9GcQN7I4As29GDkyX8YBGgni_wGzv_zeIGvBHthF0QcTMN4Mz8CzX")</f>
        <v>https://encrypted-tbn0.gstatic.com/images?q=tbn:ANd9GcQN7I4As29GDkyX8YBGgni_wGzv_zeIGvBHthF0QcTMN4Mz8CzX</v>
      </c>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t="str">
        <f>IFERROR(__xludf.DUMMYFUNCTION("""COMPUTED_VALUE"""),"Brigantine")</f>
        <v>Brigantine</v>
      </c>
      <c r="B391" s="37"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t="str">
        <f>IFERROR(__xludf.DUMMYFUNCTION("""COMPUTED_VALUE"""),"Sloop")</f>
        <v>Sloop</v>
      </c>
      <c r="B392" s="37"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t="str">
        <f>IFERROR(__xludf.DUMMYFUNCTION("""COMPUTED_VALUE"""),"Aircraft Carrier")</f>
        <v>Aircraft Carrier</v>
      </c>
      <c r="B393" s="37" t="str">
        <f>IFERROR(__xludf.DUMMYFUNCTION("""COMPUTED_VALUE"""),"https://encrypted-tbn1.gstatic.com/images?q=tbn:ANd9GcQtZF8kAjEV4yN3Q1WxDxfqH1_4jBJD5mLiwwgblO6Im7zdux7R")</f>
        <v>https://encrypted-tbn1.gstatic.com/images?q=tbn:ANd9GcQtZF8kAjEV4yN3Q1WxDxfqH1_4jBJD5mLiwwgblO6Im7zdux7R</v>
      </c>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t="str">
        <f>IFERROR(__xludf.DUMMYFUNCTION("""COMPUTED_VALUE"""),"Elder Acid Dragon")</f>
        <v>Elder Acid Dragon</v>
      </c>
      <c r="B394" s="37" t="str">
        <f>IFERROR(__xludf.DUMMYFUNCTION("""COMPUTED_VALUE"""),"https://i.pinimg.com/originals/20/02/d3/2002d3214a41bc756183bbb74b1e2084.jpg")</f>
        <v>https://i.pinimg.com/originals/20/02/d3/2002d3214a41bc756183bbb74b1e2084.jpg</v>
      </c>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t="str">
        <f>IFERROR(__xludf.DUMMYFUNCTION("""COMPUTED_VALUE"""),"Elder Water Dragon")</f>
        <v>Elder Water Dragon</v>
      </c>
      <c r="B395" s="37" t="str">
        <f>IFERROR(__xludf.DUMMYFUNCTION("""COMPUTED_VALUE"""),"https://i.pinimg.com/564x/3f/2d/24/3f2d242c6a85ac83be8f8e9c0ce6dfbb.jpg")</f>
        <v>https://i.pinimg.com/564x/3f/2d/24/3f2d242c6a85ac83be8f8e9c0ce6dfbb.jpg</v>
      </c>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t="str">
        <f>IFERROR(__xludf.DUMMYFUNCTION("""COMPUTED_VALUE"""),"Elder Astral Dragon")</f>
        <v>Elder Astral Dragon</v>
      </c>
      <c r="B396" s="37" t="str">
        <f>IFERROR(__xludf.DUMMYFUNCTION("""COMPUTED_VALUE"""),"https://i.redd.it/vl2ec0kys2u51.jpg")</f>
        <v>https://i.redd.it/vl2ec0kys2u51.jpg</v>
      </c>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t="str">
        <f>IFERROR(__xludf.DUMMYFUNCTION("""COMPUTED_VALUE"""),"Elder Celestial Dragon")</f>
        <v>Elder Celestial Dragon</v>
      </c>
      <c r="B397" s="37" t="str">
        <f>IFERROR(__xludf.DUMMYFUNCTION("""COMPUTED_VALUE"""),"https://i.pinimg.com/originals/c1/8e/1a/c18e1a06b0d67090e3e0c20a445952a3.jpg")</f>
        <v>https://i.pinimg.com/originals/c1/8e/1a/c18e1a06b0d67090e3e0c20a445952a3.jpg</v>
      </c>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t="str">
        <f>IFERROR(__xludf.DUMMYFUNCTION("""COMPUTED_VALUE"""),"Elder Chaos Dragon")</f>
        <v>Elder Chaos Dragon</v>
      </c>
      <c r="B398" s="37" t="str">
        <f>IFERROR(__xludf.DUMMYFUNCTION("""COMPUTED_VALUE"""),"https://i.pinimg.com/originals/e8/87/c9/e887c9edf5f5f24e110e1db64f7296a5.jpg")</f>
        <v>https://i.pinimg.com/originals/e8/87/c9/e887c9edf5f5f24e110e1db64f7296a5.jpg</v>
      </c>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t="str">
        <f>IFERROR(__xludf.DUMMYFUNCTION("""COMPUTED_VALUE"""),"Elder Dark Dragon")</f>
        <v>Elder Dark Dragon</v>
      </c>
      <c r="B399" s="37" t="str">
        <f>IFERROR(__xludf.DUMMYFUNCTION("""COMPUTED_VALUE"""),"https://w0.peakpx.com/wallpaper/495/31/HD-wallpaper-dragon-art-fantasy-wings-dark-black-blue.jpg")</f>
        <v>https://w0.peakpx.com/wallpaper/495/31/HD-wallpaper-dragon-art-fantasy-wings-dark-black-blue.jpg</v>
      </c>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t="str">
        <f>IFERROR(__xludf.DUMMYFUNCTION("""COMPUTED_VALUE"""),"Elder Delta Dragon")</f>
        <v>Elder Delta Dragon</v>
      </c>
      <c r="B400" s="37" t="str">
        <f>IFERROR(__xludf.DUMMYFUNCTION("""COMPUTED_VALUE"""),"https://www.wallpaperup.com/uploads/wallpapers/2015/03/30/649871/c57c9388e263a93f386c1242f7f289ad-700.jpg")</f>
        <v>https://www.wallpaperup.com/uploads/wallpapers/2015/03/30/649871/c57c9388e263a93f386c1242f7f289ad-700.jpg</v>
      </c>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t="str">
        <f>IFERROR(__xludf.DUMMYFUNCTION("""COMPUTED_VALUE"""),"Elder Forest Dragon")</f>
        <v>Elder Forest Dragon</v>
      </c>
      <c r="B401" s="37" t="str">
        <f>IFERROR(__xludf.DUMMYFUNCTION("""COMPUTED_VALUE"""),"https://prod-cdn-07.storenvy.com/product_photos/74369319/file_2f98e1e112_original.jpg")</f>
        <v>https://prod-cdn-07.storenvy.com/product_photos/74369319/file_2f98e1e112_original.jpg</v>
      </c>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t="str">
        <f>IFERROR(__xludf.DUMMYFUNCTION("""COMPUTED_VALUE"""),"Elder Frost Dragon")</f>
        <v>Elder Frost Dragon</v>
      </c>
      <c r="B402" s="37"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t="str">
        <f>IFERROR(__xludf.DUMMYFUNCTION("""COMPUTED_VALUE"""),"Elder Soul Dragon")</f>
        <v>Elder Soul Dragon</v>
      </c>
      <c r="B403" s="37" t="str">
        <f>IFERROR(__xludf.DUMMYFUNCTION("""COMPUTED_VALUE"""),"https://static.wikia.nocookie.net/charm-of-soul-pets-cosp/images/1/1a/C2tu6z8kg4s51.jpg/revision/latest?cb=20210512170831")</f>
        <v>https://static.wikia.nocookie.net/charm-of-soul-pets-cosp/images/1/1a/C2tu6z8kg4s51.jpg/revision/latest?cb=20210512170831</v>
      </c>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t="str">
        <f>IFERROR(__xludf.DUMMYFUNCTION("""COMPUTED_VALUE"""),"Elder Spirit Dragon")</f>
        <v>Elder Spirit Dragon</v>
      </c>
      <c r="B404" s="37" t="str">
        <f>IFERROR(__xludf.DUMMYFUNCTION("""COMPUTED_VALUE"""),"https://www.originalmagicart.store/cdn/shop/products/Swanland_UginSpiritDragon_Print_5000x.jpg?v=1603674292")</f>
        <v>https://www.originalmagicart.store/cdn/shop/products/Swanland_UginSpiritDragon_Print_5000x.jpg?v=1603674292</v>
      </c>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t="str">
        <f>IFERROR(__xludf.DUMMYFUNCTION("""COMPUTED_VALUE"""),"Elder Stone Dragon")</f>
        <v>Elder Stone Dragon</v>
      </c>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t="str">
        <f>IFERROR(__xludf.DUMMYFUNCTION("""COMPUTED_VALUE"""),"Elder Fire Dragon")</f>
        <v>Elder Fire Dragon</v>
      </c>
      <c r="B407" s="37"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t="str">
        <f>IFERROR(__xludf.DUMMYFUNCTION("""COMPUTED_VALUE"""),"Elder Undead Dragon")</f>
        <v>Elder Undead Dragon</v>
      </c>
      <c r="B409" s="37" t="str">
        <f>IFERROR(__xludf.DUMMYFUNCTION("""COMPUTED_VALUE"""),"https://i.pinimg.com/736x/1f/b8/0d/1fb80dce083393ee16874fcc04ccf1a5.jpg")</f>
        <v>https://i.pinimg.com/736x/1f/b8/0d/1fb80dce083393ee16874fcc04ccf1a5.jpg</v>
      </c>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t="str">
        <f>IFERROR(__xludf.DUMMYFUNCTION("""COMPUTED_VALUE"""),"Elder Crystal Dragon")</f>
        <v>Elder Crystal Dragon</v>
      </c>
      <c r="B410" s="37" t="str">
        <f>IFERROR(__xludf.DUMMYFUNCTION("""COMPUTED_VALUE"""),"https://i.pinimg.com/originals/c5/c4/f1/c5c4f16c6b756db55373075d9661b3a0.jpg")</f>
        <v>https://i.pinimg.com/originals/c5/c4/f1/c5c4f16c6b756db55373075d9661b3a0.jpg</v>
      </c>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t="str">
        <f>IFERROR(__xludf.DUMMYFUNCTION("""COMPUTED_VALUE"""),"Ancient Acid Dragon")</f>
        <v>Ancient Acid Dragon</v>
      </c>
      <c r="B411" s="37" t="str">
        <f>IFERROR(__xludf.DUMMYFUNCTION("""COMPUTED_VALUE"""),"https://i.pinimg.com/originals/20/02/d3/2002d3214a41bc756183bbb74b1e2084.jpg")</f>
        <v>https://i.pinimg.com/originals/20/02/d3/2002d3214a41bc756183bbb74b1e2084.jpg</v>
      </c>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t="str">
        <f>IFERROR(__xludf.DUMMYFUNCTION("""COMPUTED_VALUE"""),"Ancient Water Dragon")</f>
        <v>Ancient Water Dragon</v>
      </c>
      <c r="B412" s="37" t="str">
        <f>IFERROR(__xludf.DUMMYFUNCTION("""COMPUTED_VALUE"""),"https://i.pinimg.com/564x/3f/2d/24/3f2d242c6a85ac83be8f8e9c0ce6dfbb.jpg")</f>
        <v>https://i.pinimg.com/564x/3f/2d/24/3f2d242c6a85ac83be8f8e9c0ce6dfbb.jpg</v>
      </c>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t="str">
        <f>IFERROR(__xludf.DUMMYFUNCTION("""COMPUTED_VALUE"""),"Ancient Astral Dragon")</f>
        <v>Ancient Astral Dragon</v>
      </c>
      <c r="B413" s="37" t="str">
        <f>IFERROR(__xludf.DUMMYFUNCTION("""COMPUTED_VALUE"""),"https://i.redd.it/vl2ec0kys2u51.jpg")</f>
        <v>https://i.redd.it/vl2ec0kys2u51.jpg</v>
      </c>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t="str">
        <f>IFERROR(__xludf.DUMMYFUNCTION("""COMPUTED_VALUE"""),"Ancient Celestial Dragon")</f>
        <v>Ancient Celestial Dragon</v>
      </c>
      <c r="B414" s="37" t="str">
        <f>IFERROR(__xludf.DUMMYFUNCTION("""COMPUTED_VALUE"""),"https://i.pinimg.com/originals/c1/8e/1a/c18e1a06b0d67090e3e0c20a445952a3.jpg")</f>
        <v>https://i.pinimg.com/originals/c1/8e/1a/c18e1a06b0d67090e3e0c20a445952a3.jpg</v>
      </c>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t="str">
        <f>IFERROR(__xludf.DUMMYFUNCTION("""COMPUTED_VALUE"""),"Ancient Chaos Dragon")</f>
        <v>Ancient Chaos Dragon</v>
      </c>
      <c r="B415" s="37" t="str">
        <f>IFERROR(__xludf.DUMMYFUNCTION("""COMPUTED_VALUE"""),"https://i.pinimg.com/originals/e8/87/c9/e887c9edf5f5f24e110e1db64f7296a5.jpg")</f>
        <v>https://i.pinimg.com/originals/e8/87/c9/e887c9edf5f5f24e110e1db64f7296a5.jpg</v>
      </c>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t="str">
        <f>IFERROR(__xludf.DUMMYFUNCTION("""COMPUTED_VALUE"""),"Ancient Dark Dragon")</f>
        <v>Ancient Dark Dragon</v>
      </c>
      <c r="B416" s="37" t="str">
        <f>IFERROR(__xludf.DUMMYFUNCTION("""COMPUTED_VALUE"""),"https://w0.peakpx.com/wallpaper/495/31/HD-wallpaper-dragon-art-fantasy-wings-dark-black-blue.jpg")</f>
        <v>https://w0.peakpx.com/wallpaper/495/31/HD-wallpaper-dragon-art-fantasy-wings-dark-black-blue.jpg</v>
      </c>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t="str">
        <f>IFERROR(__xludf.DUMMYFUNCTION("""COMPUTED_VALUE"""),"Ancient Delta Dragon")</f>
        <v>Ancient Delta Dragon</v>
      </c>
      <c r="B417" s="37" t="str">
        <f>IFERROR(__xludf.DUMMYFUNCTION("""COMPUTED_VALUE"""),"https://www.wallpaperup.com/uploads/wallpapers/2015/03/30/649871/c57c9388e263a93f386c1242f7f289ad-700.jpg")</f>
        <v>https://www.wallpaperup.com/uploads/wallpapers/2015/03/30/649871/c57c9388e263a93f386c1242f7f289ad-700.jpg</v>
      </c>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t="str">
        <f>IFERROR(__xludf.DUMMYFUNCTION("""COMPUTED_VALUE"""),"Ancient Forest Dragon")</f>
        <v>Ancient Forest Dragon</v>
      </c>
      <c r="B418" s="37" t="str">
        <f>IFERROR(__xludf.DUMMYFUNCTION("""COMPUTED_VALUE"""),"https://prod-cdn-07.storenvy.com/product_photos/74369319/file_2f98e1e112_original.jpg")</f>
        <v>https://prod-cdn-07.storenvy.com/product_photos/74369319/file_2f98e1e112_original.jpg</v>
      </c>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t="str">
        <f>IFERROR(__xludf.DUMMYFUNCTION("""COMPUTED_VALUE"""),"Ancient Frost Dragon")</f>
        <v>Ancient Frost Dragon</v>
      </c>
      <c r="B419" s="37"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t="str">
        <f>IFERROR(__xludf.DUMMYFUNCTION("""COMPUTED_VALUE"""),"Ancient Soul Dragon")</f>
        <v>Ancient Soul Dragon</v>
      </c>
      <c r="B420" s="37" t="str">
        <f>IFERROR(__xludf.DUMMYFUNCTION("""COMPUTED_VALUE"""),"https://static.wikia.nocookie.net/charm-of-soul-pets-cosp/images/1/1a/C2tu6z8kg4s51.jpg/revision/latest?cb=20210512170831")</f>
        <v>https://static.wikia.nocookie.net/charm-of-soul-pets-cosp/images/1/1a/C2tu6z8kg4s51.jpg/revision/latest?cb=20210512170831</v>
      </c>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t="str">
        <f>IFERROR(__xludf.DUMMYFUNCTION("""COMPUTED_VALUE"""),"Ancient Spirit Dragon")</f>
        <v>Ancient Spirit Dragon</v>
      </c>
      <c r="B421" s="37" t="str">
        <f>IFERROR(__xludf.DUMMYFUNCTION("""COMPUTED_VALUE"""),"https://www.originalmagicart.store/cdn/shop/products/Swanland_UginSpiritDragon_Print_5000x.jpg?v=1603674292")</f>
        <v>https://www.originalmagicart.store/cdn/shop/products/Swanland_UginSpiritDragon_Print_5000x.jpg?v=1603674292</v>
      </c>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t="str">
        <f>IFERROR(__xludf.DUMMYFUNCTION("""COMPUTED_VALUE"""),"Ancient Stone Dragon")</f>
        <v>Ancient Stone Dragon</v>
      </c>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t="str">
        <f>IFERROR(__xludf.DUMMYFUNCTION("""COMPUTED_VALUE"""),"Ancient Fire Dragon")</f>
        <v>Ancient Fire Dragon</v>
      </c>
      <c r="B424" s="37"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t="str">
        <f>IFERROR(__xludf.DUMMYFUNCTION("""COMPUTED_VALUE"""),"Ancient Undead Dragon")</f>
        <v>Ancient Undead Dragon</v>
      </c>
      <c r="B426" s="37" t="str">
        <f>IFERROR(__xludf.DUMMYFUNCTION("""COMPUTED_VALUE"""),"https://i.pinimg.com/736x/1f/b8/0d/1fb80dce083393ee16874fcc04ccf1a5.jpg")</f>
        <v>https://i.pinimg.com/736x/1f/b8/0d/1fb80dce083393ee16874fcc04ccf1a5.jpg</v>
      </c>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t="str">
        <f>IFERROR(__xludf.DUMMYFUNCTION("""COMPUTED_VALUE"""),"Ancient Crystal Dragon")</f>
        <v>Ancient Crystal Dragon</v>
      </c>
      <c r="B427" s="37" t="str">
        <f>IFERROR(__xludf.DUMMYFUNCTION("""COMPUTED_VALUE"""),"https://i.pinimg.com/originals/c5/c4/f1/c5c4f16c6b756db55373075d9661b3a0.jpg")</f>
        <v>https://i.pinimg.com/originals/c5/c4/f1/c5c4f16c6b756db55373075d9661b3a0.jpg</v>
      </c>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t="str">
        <f>IFERROR(__xludf.DUMMYFUNCTION("""COMPUTED_VALUE"""),"Divine Acid Dragon")</f>
        <v>Divine Acid Dragon</v>
      </c>
      <c r="B428" s="37" t="str">
        <f>IFERROR(__xludf.DUMMYFUNCTION("""COMPUTED_VALUE"""),"https://i.pinimg.com/originals/20/02/d3/2002d3214a41bc756183bbb74b1e2084.jpg")</f>
        <v>https://i.pinimg.com/originals/20/02/d3/2002d3214a41bc756183bbb74b1e2084.jpg</v>
      </c>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t="str">
        <f>IFERROR(__xludf.DUMMYFUNCTION("""COMPUTED_VALUE"""),"Divine Water Dragon")</f>
        <v>Divine Water Dragon</v>
      </c>
      <c r="B429" s="37" t="str">
        <f>IFERROR(__xludf.DUMMYFUNCTION("""COMPUTED_VALUE"""),"https://i.pinimg.com/564x/3f/2d/24/3f2d242c6a85ac83be8f8e9c0ce6dfbb.jpg")</f>
        <v>https://i.pinimg.com/564x/3f/2d/24/3f2d242c6a85ac83be8f8e9c0ce6dfbb.jpg</v>
      </c>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t="str">
        <f>IFERROR(__xludf.DUMMYFUNCTION("""COMPUTED_VALUE"""),"Divine Astral Dragon")</f>
        <v>Divine Astral Dragon</v>
      </c>
      <c r="B430" s="37" t="str">
        <f>IFERROR(__xludf.DUMMYFUNCTION("""COMPUTED_VALUE"""),"https://i.pinimg.com/originals/20/02/d3/2002d3214a41bc756183bbb74b1e2084.jpg")</f>
        <v>https://i.pinimg.com/originals/20/02/d3/2002d3214a41bc756183bbb74b1e2084.jpg</v>
      </c>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t="str">
        <f>IFERROR(__xludf.DUMMYFUNCTION("""COMPUTED_VALUE"""),"Divine Celestial Dragon")</f>
        <v>Divine Celestial Dragon</v>
      </c>
      <c r="B431" s="37" t="str">
        <f>IFERROR(__xludf.DUMMYFUNCTION("""COMPUTED_VALUE"""),"https://i.pinimg.com/originals/20/02/d3/2002d3214a41bc756183bbb74b1e2084.jpg")</f>
        <v>https://i.pinimg.com/originals/20/02/d3/2002d3214a41bc756183bbb74b1e2084.jpg</v>
      </c>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t="str">
        <f>IFERROR(__xludf.DUMMYFUNCTION("""COMPUTED_VALUE"""),"Divine Chaos Dragon")</f>
        <v>Divine Chaos Dragon</v>
      </c>
      <c r="B432" s="37" t="str">
        <f>IFERROR(__xludf.DUMMYFUNCTION("""COMPUTED_VALUE"""),"https://i.pinimg.com/originals/20/02/d3/2002d3214a41bc756183bbb74b1e2084.jpg")</f>
        <v>https://i.pinimg.com/originals/20/02/d3/2002d3214a41bc756183bbb74b1e2084.jpg</v>
      </c>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t="str">
        <f>IFERROR(__xludf.DUMMYFUNCTION("""COMPUTED_VALUE"""),"Divine Dark Dragon")</f>
        <v>Divine Dark Dragon</v>
      </c>
      <c r="B433" s="37" t="str">
        <f>IFERROR(__xludf.DUMMYFUNCTION("""COMPUTED_VALUE"""),"https://i.pinimg.com/originals/20/02/d3/2002d3214a41bc756183bbb74b1e2084.jpg")</f>
        <v>https://i.pinimg.com/originals/20/02/d3/2002d3214a41bc756183bbb74b1e2084.jpg</v>
      </c>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t="str">
        <f>IFERROR(__xludf.DUMMYFUNCTION("""COMPUTED_VALUE"""),"Divine Delta Dragon")</f>
        <v>Divine Delta Dragon</v>
      </c>
      <c r="B434" s="37" t="str">
        <f>IFERROR(__xludf.DUMMYFUNCTION("""COMPUTED_VALUE"""),"https://i.pinimg.com/originals/20/02/d3/2002d3214a41bc756183bbb74b1e2084.jpg")</f>
        <v>https://i.pinimg.com/originals/20/02/d3/2002d3214a41bc756183bbb74b1e2084.jpg</v>
      </c>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t="str">
        <f>IFERROR(__xludf.DUMMYFUNCTION("""COMPUTED_VALUE"""),"Divine Forest Dragon")</f>
        <v>Divine Forest Dragon</v>
      </c>
      <c r="B435" s="37" t="str">
        <f>IFERROR(__xludf.DUMMYFUNCTION("""COMPUTED_VALUE"""),"https://prod-cdn-07.storenvy.com/product_photos/74369319/file_2f98e1e112_original.jpg")</f>
        <v>https://prod-cdn-07.storenvy.com/product_photos/74369319/file_2f98e1e112_original.jpg</v>
      </c>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t="str">
        <f>IFERROR(__xludf.DUMMYFUNCTION("""COMPUTED_VALUE"""),"Divine Frost Dragon")</f>
        <v>Divine Frost Dragon</v>
      </c>
      <c r="B436" s="37"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t="str">
        <f>IFERROR(__xludf.DUMMYFUNCTION("""COMPUTED_VALUE"""),"Divine Soul Dragon")</f>
        <v>Divine Soul Dragon</v>
      </c>
      <c r="B437" s="37" t="str">
        <f>IFERROR(__xludf.DUMMYFUNCTION("""COMPUTED_VALUE"""),"https://static.wikia.nocookie.net/charm-of-soul-pets-cosp/images/1/1a/C2tu6z8kg4s51.jpg/revision/latest?cb=20210512170831")</f>
        <v>https://static.wikia.nocookie.net/charm-of-soul-pets-cosp/images/1/1a/C2tu6z8kg4s51.jpg/revision/latest?cb=20210512170831</v>
      </c>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t="str">
        <f>IFERROR(__xludf.DUMMYFUNCTION("""COMPUTED_VALUE"""),"Divine Spirit Dragon")</f>
        <v>Divine Spirit Dragon</v>
      </c>
      <c r="B438" s="37" t="str">
        <f>IFERROR(__xludf.DUMMYFUNCTION("""COMPUTED_VALUE"""),"https://www.originalmagicart.store/cdn/shop/products/Swanland_UginSpiritDragon_Print_5000x.jpg?v=1603674292")</f>
        <v>https://www.originalmagicart.store/cdn/shop/products/Swanland_UginSpiritDragon_Print_5000x.jpg?v=1603674292</v>
      </c>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t="str">
        <f>IFERROR(__xludf.DUMMYFUNCTION("""COMPUTED_VALUE"""),"Divine Stone Dragon")</f>
        <v>Divine Stone Dragon</v>
      </c>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t="str">
        <f>IFERROR(__xludf.DUMMYFUNCTION("""COMPUTED_VALUE"""),"Divine Fire Dragon")</f>
        <v>Divine Fire Dragon</v>
      </c>
      <c r="B441" s="37"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t="str">
        <f>IFERROR(__xludf.DUMMYFUNCTION("""COMPUTED_VALUE"""),"Divine Void Dragon")</f>
        <v>Divine Void Dragon</v>
      </c>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t="str">
        <f>IFERROR(__xludf.DUMMYFUNCTION("""COMPUTED_VALUE"""),"Divine Undead Dragon")</f>
        <v>Divine Undead Dragon</v>
      </c>
      <c r="B443" s="37" t="str">
        <f>IFERROR(__xludf.DUMMYFUNCTION("""COMPUTED_VALUE"""),"https://i.pinimg.com/736x/1f/b8/0d/1fb80dce083393ee16874fcc04ccf1a5.jpg")</f>
        <v>https://i.pinimg.com/736x/1f/b8/0d/1fb80dce083393ee16874fcc04ccf1a5.jpg</v>
      </c>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t="str">
        <f>IFERROR(__xludf.DUMMYFUNCTION("""COMPUTED_VALUE"""),"Divine Crystal Dragon")</f>
        <v>Divine Crystal Dragon</v>
      </c>
      <c r="B444" s="37" t="str">
        <f>IFERROR(__xludf.DUMMYFUNCTION("""COMPUTED_VALUE"""),"https://i.pinimg.com/originals/c5/c4/f1/c5c4f16c6b756db55373075d9661b3a0.jpg")</f>
        <v>https://i.pinimg.com/originals/c5/c4/f1/c5c4f16c6b756db55373075d9661b3a0.jpg</v>
      </c>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t="str">
        <f>IFERROR(__xludf.DUMMYFUNCTION("""COMPUTED_VALUE"""),"Acid Wyrm")</f>
        <v>Acid Wyrm</v>
      </c>
      <c r="B445" s="37" t="str">
        <f>IFERROR(__xludf.DUMMYFUNCTION("""COMPUTED_VALUE"""),"https://i.pinimg.com/originals/20/02/d3/2002d3214a41bc756183bbb74b1e2084.jpg")</f>
        <v>https://i.pinimg.com/originals/20/02/d3/2002d3214a41bc756183bbb74b1e2084.jpg</v>
      </c>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t="str">
        <f>IFERROR(__xludf.DUMMYFUNCTION("""COMPUTED_VALUE"""),"Astral Wyrm")</f>
        <v>Astral Wyrm</v>
      </c>
      <c r="B446" s="37" t="str">
        <f>IFERROR(__xludf.DUMMYFUNCTION("""COMPUTED_VALUE"""),"https://i.redd.it/vl2ec0kys2u51.jpg")</f>
        <v>https://i.redd.it/vl2ec0kys2u51.jpg</v>
      </c>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t="str">
        <f>IFERROR(__xludf.DUMMYFUNCTION("""COMPUTED_VALUE"""),"Celestial Wyrm")</f>
        <v>Celestial Wyrm</v>
      </c>
      <c r="B447" s="37" t="str">
        <f>IFERROR(__xludf.DUMMYFUNCTION("""COMPUTED_VALUE"""),"https://i.pinimg.com/originals/c1/8e/1a/c18e1a06b0d67090e3e0c20a445952a3.jpg")</f>
        <v>https://i.pinimg.com/originals/c1/8e/1a/c18e1a06b0d67090e3e0c20a445952a3.jpg</v>
      </c>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t="str">
        <f>IFERROR(__xludf.DUMMYFUNCTION("""COMPUTED_VALUE"""),"Chaos Wyrm")</f>
        <v>Chaos Wyrm</v>
      </c>
      <c r="B448" s="37" t="str">
        <f>IFERROR(__xludf.DUMMYFUNCTION("""COMPUTED_VALUE"""),"https://i.pinimg.com/originals/e8/87/c9/e887c9edf5f5f24e110e1db64f7296a5.jpg")</f>
        <v>https://i.pinimg.com/originals/e8/87/c9/e887c9edf5f5f24e110e1db64f7296a5.jpg</v>
      </c>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t="str">
        <f>IFERROR(__xludf.DUMMYFUNCTION("""COMPUTED_VALUE"""),"Dark Wyrm")</f>
        <v>Dark Wyrm</v>
      </c>
      <c r="B449" s="37" t="str">
        <f>IFERROR(__xludf.DUMMYFUNCTION("""COMPUTED_VALUE"""),"https://w0.peakpx.com/wallpaper/495/31/HD-wallpaper-dragon-art-fantasy-wings-dark-black-blue.jpg")</f>
        <v>https://w0.peakpx.com/wallpaper/495/31/HD-wallpaper-dragon-art-fantasy-wings-dark-black-blue.jpg</v>
      </c>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t="str">
        <f>IFERROR(__xludf.DUMMYFUNCTION("""COMPUTED_VALUE"""),"Delta Wyrm")</f>
        <v>Delta Wyrm</v>
      </c>
      <c r="B450" s="37" t="str">
        <f>IFERROR(__xludf.DUMMYFUNCTION("""COMPUTED_VALUE"""),"https://www.wallpaperup.com/uploads/wallpapers/2015/03/30/649871/c57c9388e263a93f386c1242f7f289ad-700.jpg")</f>
        <v>https://www.wallpaperup.com/uploads/wallpapers/2015/03/30/649871/c57c9388e263a93f386c1242f7f289ad-700.jpg</v>
      </c>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t="str">
        <f>IFERROR(__xludf.DUMMYFUNCTION("""COMPUTED_VALUE"""),"Frost Wyrm")</f>
        <v>Frost Wyrm</v>
      </c>
      <c r="B451" s="37"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t="str">
        <f>IFERROR(__xludf.DUMMYFUNCTION("""COMPUTED_VALUE"""),"Soul Wyrm")</f>
        <v>Soul Wyrm</v>
      </c>
      <c r="B452" s="37" t="str">
        <f>IFERROR(__xludf.DUMMYFUNCTION("""COMPUTED_VALUE"""),"https://static.wikia.nocookie.net/charm-of-soul-pets-cosp/images/1/1a/C2tu6z8kg4s51.jpg/revision/latest?cb=20210512170831")</f>
        <v>https://static.wikia.nocookie.net/charm-of-soul-pets-cosp/images/1/1a/C2tu6z8kg4s51.jpg/revision/latest?cb=20210512170831</v>
      </c>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t="str">
        <f>IFERROR(__xludf.DUMMYFUNCTION("""COMPUTED_VALUE"""),"Spirit Wyrm")</f>
        <v>Spirit Wyrm</v>
      </c>
      <c r="B453" s="37" t="str">
        <f>IFERROR(__xludf.DUMMYFUNCTION("""COMPUTED_VALUE"""),"https://www.originalmagicart.store/cdn/shop/products/Swanland_UginSpiritDragon_Print_5000x.jpg?v=1603674292")</f>
        <v>https://www.originalmagicart.store/cdn/shop/products/Swanland_UginSpiritDragon_Print_5000x.jpg?v=1603674292</v>
      </c>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t="str">
        <f>IFERROR(__xludf.DUMMYFUNCTION("""COMPUTED_VALUE"""),"Komodo Dragon")</f>
        <v>Komodo Dragon</v>
      </c>
      <c r="B454" s="37" t="str">
        <f>IFERROR(__xludf.DUMMYFUNCTION("""COMPUTED_VALUE"""),"https://www.wallpaperup.com/uploads/wallpapers/2015/04/29/674345/11b9f13ecdd67d32f7767d4851153487-700.jpg")</f>
        <v>https://www.wallpaperup.com/uploads/wallpapers/2015/04/29/674345/11b9f13ecdd67d32f7767d4851153487-700.jpg</v>
      </c>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t="str">
        <f>IFERROR(__xludf.DUMMYFUNCTION("""COMPUTED_VALUE"""),"Undead Wyrm")</f>
        <v>Undead Wyrm</v>
      </c>
      <c r="B456" s="37" t="str">
        <f>IFERROR(__xludf.DUMMYFUNCTION("""COMPUTED_VALUE"""),"https://i.pinimg.com/736x/1f/b8/0d/1fb80dce083393ee16874fcc04ccf1a5.jpg")</f>
        <v>https://i.pinimg.com/736x/1f/b8/0d/1fb80dce083393ee16874fcc04ccf1a5.jpg</v>
      </c>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t="str">
        <f>IFERROR(__xludf.DUMMYFUNCTION("""COMPUTED_VALUE"""),"Crystal Wyrm")</f>
        <v>Crystal Wyrm</v>
      </c>
      <c r="B457" s="37" t="str">
        <f>IFERROR(__xludf.DUMMYFUNCTION("""COMPUTED_VALUE"""),"https://i.pinimg.com/originals/c5/c4/f1/c5c4f16c6b756db55373075d9661b3a0.jpg")</f>
        <v>https://i.pinimg.com/originals/c5/c4/f1/c5c4f16c6b756db55373075d9661b3a0.jpg</v>
      </c>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t="str">
        <f>IFERROR(__xludf.DUMMYFUNCTION("""COMPUTED_VALUE"""),"Lizardfolk Wizard")</f>
        <v>Lizardfolk Wizard</v>
      </c>
      <c r="B458" s="37"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t="str">
        <f>IFERROR(__xludf.DUMMYFUNCTION("""COMPUTED_VALUE"""),"Lizardfolk Thief")</f>
        <v>Lizardfolk Thief</v>
      </c>
      <c r="B459" s="37" t="str">
        <f>IFERROR(__xludf.DUMMYFUNCTION("""COMPUTED_VALUE"""),"https://i.pinimg.com/236x/a8/b4/2d/a8b42d6b9f873095670be71c83c19a64.jpg")</f>
        <v>https://i.pinimg.com/236x/a8/b4/2d/a8b42d6b9f873095670be71c83c19a64.jpg</v>
      </c>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t="str">
        <f>IFERROR(__xludf.DUMMYFUNCTION("""COMPUTED_VALUE"""),"Lizardfolk Warrior")</f>
        <v>Lizardfolk Warrior</v>
      </c>
      <c r="B460" s="37" t="str">
        <f>IFERROR(__xludf.DUMMYFUNCTION("""COMPUTED_VALUE"""),"https://i.pinimg.com/236x/72/93/af/7293af721a442b90190d9c41c9bc2502.jpg")</f>
        <v>https://i.pinimg.com/236x/72/93/af/7293af721a442b90190d9c41c9bc2502.jpg</v>
      </c>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t="str">
        <f>IFERROR(__xludf.DUMMYFUNCTION("""COMPUTED_VALUE"""),"Iguanian  Assassin")</f>
        <v>Iguanian  Assassin</v>
      </c>
      <c r="B461" s="37" t="str">
        <f>IFERROR(__xludf.DUMMYFUNCTION("""COMPUTED_VALUE"""),"https://storage.googleapis.com/pai-images/214123d8395b4deaa0285329bc1ddafe.jpeg")</f>
        <v>https://storage.googleapis.com/pai-images/214123d8395b4deaa0285329bc1ddafe.jpeg</v>
      </c>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t="str">
        <f>IFERROR(__xludf.DUMMYFUNCTION("""COMPUTED_VALUE"""),"Iguanian Brawler")</f>
        <v>Iguanian Brawler</v>
      </c>
      <c r="B462" s="37" t="str">
        <f>IFERROR(__xludf.DUMMYFUNCTION("""COMPUTED_VALUE"""),"https://storage.googleapis.com/pai-images/214123d8395b4deaa0285329bc1ddafe.jpeg")</f>
        <v>https://storage.googleapis.com/pai-images/214123d8395b4deaa0285329bc1ddafe.jpeg</v>
      </c>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t="str">
        <f>IFERROR(__xludf.DUMMYFUNCTION("""COMPUTED_VALUE"""),"Iguanian Mage")</f>
        <v>Iguanian Mage</v>
      </c>
      <c r="B463" s="37" t="str">
        <f>IFERROR(__xludf.DUMMYFUNCTION("""COMPUTED_VALUE"""),"https://storage.googleapis.com/pai-images/214123d8395b4deaa0285329bc1ddafe.jpeg")</f>
        <v>https://storage.googleapis.com/pai-images/214123d8395b4deaa0285329bc1ddafe.jpeg</v>
      </c>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t="str">
        <f>IFERROR(__xludf.DUMMYFUNCTION("""COMPUTED_VALUE"""),"Salamandrith Ranger")</f>
        <v>Salamandrith Ranger</v>
      </c>
      <c r="B464" s="37" t="str">
        <f>IFERROR(__xludf.DUMMYFUNCTION("""COMPUTED_VALUE"""),"https://storage.prompt-hunt.workers.dev/clhnvt3xd000bmh08dfcyjrrp_1")</f>
        <v>https://storage.prompt-hunt.workers.dev/clhnvt3xd000bmh08dfcyjrrp_1</v>
      </c>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t="str">
        <f>IFERROR(__xludf.DUMMYFUNCTION("""COMPUTED_VALUE"""),"Salamandrith Cultist")</f>
        <v>Salamandrith Cultist</v>
      </c>
      <c r="B465" s="37" t="str">
        <f>IFERROR(__xludf.DUMMYFUNCTION("""COMPUTED_VALUE"""),"https://storage.prompt-hunt.workers.dev/clhnvt3xd000bmh08dfcyjrrp_1")</f>
        <v>https://storage.prompt-hunt.workers.dev/clhnvt3xd000bmh08dfcyjrrp_1</v>
      </c>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t="str">
        <f>IFERROR(__xludf.DUMMYFUNCTION("""COMPUTED_VALUE"""),"Salamandrith Shaman")</f>
        <v>Salamandrith Shaman</v>
      </c>
      <c r="B466" s="37" t="str">
        <f>IFERROR(__xludf.DUMMYFUNCTION("""COMPUTED_VALUE"""),"https://storage.prompt-hunt.workers.dev/clhnvt3xd000bmh08dfcyjrrp_1")</f>
        <v>https://storage.prompt-hunt.workers.dev/clhnvt3xd000bmh08dfcyjrrp_1</v>
      </c>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t="str">
        <f>IFERROR(__xludf.DUMMYFUNCTION("""COMPUTED_VALUE"""),"Geckorian Wandering Sword")</f>
        <v>Geckorian Wandering Sword</v>
      </c>
      <c r="B467" s="37" t="str">
        <f>IFERROR(__xludf.DUMMYFUNCTION("""COMPUTED_VALUE"""),"https://generations.krea.ai/images/391505a4-1bf9-43cd-af90-25e843be8b49.webp")</f>
        <v>https://generations.krea.ai/images/391505a4-1bf9-43cd-af90-25e843be8b49.webp</v>
      </c>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t="str">
        <f>IFERROR(__xludf.DUMMYFUNCTION("""COMPUTED_VALUE"""),"Geckorian Minstrel")</f>
        <v>Geckorian Minstrel</v>
      </c>
      <c r="B468" s="37" t="str">
        <f>IFERROR(__xludf.DUMMYFUNCTION("""COMPUTED_VALUE"""),"https://generations.krea.ai/images/391505a4-1bf9-43cd-af90-25e843be8b49.webp")</f>
        <v>https://generations.krea.ai/images/391505a4-1bf9-43cd-af90-25e843be8b49.webp</v>
      </c>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t="str">
        <f>IFERROR(__xludf.DUMMYFUNCTION("""COMPUTED_VALUE"""),"Geckorian Warden")</f>
        <v>Geckorian Warden</v>
      </c>
      <c r="B469" s="37" t="str">
        <f>IFERROR(__xludf.DUMMYFUNCTION("""COMPUTED_VALUE"""),"https://generations.krea.ai/images/391505a4-1bf9-43cd-af90-25e843be8b49.webp")</f>
        <v>https://generations.krea.ai/images/391505a4-1bf9-43cd-af90-25e843be8b49.webp</v>
      </c>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t="str">
        <f>IFERROR(__xludf.DUMMYFUNCTION("""COMPUTED_VALUE"""),"Chameldrian Infiltrator")</f>
        <v>Chameldrian Infiltrator</v>
      </c>
      <c r="B470" s="37"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t="str">
        <f>IFERROR(__xludf.DUMMYFUNCTION("""COMPUTED_VALUE"""),"Chameldrian Druid")</f>
        <v>Chameldrian Druid</v>
      </c>
      <c r="B471" s="37"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t="str">
        <f>IFERROR(__xludf.DUMMYFUNCTION("""COMPUTED_VALUE"""),"Chameldrian Berserker")</f>
        <v>Chameldrian Berserker</v>
      </c>
      <c r="B472" s="37"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t="str">
        <f>IFERROR(__xludf.DUMMYFUNCTION("""COMPUTED_VALUE"""),"Ancient Wood Dragon")</f>
        <v>Ancient Wood Dragon</v>
      </c>
      <c r="B473" s="37" t="str">
        <f>IFERROR(__xludf.DUMMYFUNCTION("""COMPUTED_VALUE"""),"https://i.pinimg.com/originals/12/35/55/123555fa1ac0e853ded11b494b3ab0bf.jpg")</f>
        <v>https://i.pinimg.com/originals/12/35/55/123555fa1ac0e853ded11b494b3ab0bf.jpg</v>
      </c>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t="str">
        <f>IFERROR(__xludf.DUMMYFUNCTION("""COMPUTED_VALUE"""),"Sataniel - Keeper of The Banished")</f>
        <v>Sataniel - Keeper of The Banished</v>
      </c>
      <c r="B474" s="37" t="str">
        <f>IFERROR(__xludf.DUMMYFUNCTION("""COMPUTED_VALUE"""),"https://drive.google.com/uc?export=view&amp;id=1annaFAfYLggO4jVBXHeGecRxSdsg2q_i")</f>
        <v>https://drive.google.com/uc?export=view&amp;id=1annaFAfYLggO4jVBXHeGecRxSdsg2q_i</v>
      </c>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t="str">
        <f>IFERROR(__xludf.DUMMYFUNCTION("""COMPUTED_VALUE"""),"The First Dragon Keeper")</f>
        <v>The First Dragon Keeper</v>
      </c>
      <c r="B475" s="37" t="str">
        <f>IFERROR(__xludf.DUMMYFUNCTION("""COMPUTED_VALUE"""),"https://drive.google.com/uc?export=view&amp;id=1uBqFP-9QPpiu8UGDL0qzE4fhwEl1-bWC")</f>
        <v>https://drive.google.com/uc?export=view&amp;id=1uBqFP-9QPpiu8UGDL0qzE4fhwEl1-bWC</v>
      </c>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t="str">
        <f>IFERROR(__xludf.DUMMYFUNCTION("""COMPUTED_VALUE"""),"Aspect of The First Dragon Keeper (Easy)")</f>
        <v>Aspect of The First Dragon Keeper (Easy)</v>
      </c>
      <c r="B476" s="37" t="str">
        <f>IFERROR(__xludf.DUMMYFUNCTION("""COMPUTED_VALUE"""),"https://drive.google.com/uc?export=view&amp;id=1uBqFP-9QPpiu8UGDL0qzE4fhwEl1-bWC")</f>
        <v>https://drive.google.com/uc?export=view&amp;id=1uBqFP-9QPpiu8UGDL0qzE4fhwEl1-bWC</v>
      </c>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t="str">
        <f>IFERROR(__xludf.DUMMYFUNCTION("""COMPUTED_VALUE"""),"Aspect of The First Dragon Keeper (Medium)")</f>
        <v>Aspect of The First Dragon Keeper (Medium)</v>
      </c>
      <c r="B477" s="37" t="str">
        <f>IFERROR(__xludf.DUMMYFUNCTION("""COMPUTED_VALUE"""),"https://drive.google.com/uc?export=view&amp;id=1uBqFP-9QPpiu8UGDL0qzE4fhwEl1-bWC")</f>
        <v>https://drive.google.com/uc?export=view&amp;id=1uBqFP-9QPpiu8UGDL0qzE4fhwEl1-bWC</v>
      </c>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t="str">
        <f>IFERROR(__xludf.DUMMYFUNCTION("""COMPUTED_VALUE"""),"Aspect of The First Dragon Keeper (Hard)")</f>
        <v>Aspect of The First Dragon Keeper (Hard)</v>
      </c>
      <c r="B478" s="37" t="str">
        <f>IFERROR(__xludf.DUMMYFUNCTION("""COMPUTED_VALUE"""),"https://drive.google.com/uc?export=view&amp;id=1uBqFP-9QPpiu8UGDL0qzE4fhwEl1-bWC")</f>
        <v>https://drive.google.com/uc?export=view&amp;id=1uBqFP-9QPpiu8UGDL0qzE4fhwEl1-bWC</v>
      </c>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t="str">
        <f>IFERROR(__xludf.DUMMYFUNCTION("""COMPUTED_VALUE"""),"Aspect of The First Dragon Keeper (Insane)")</f>
        <v>Aspect of The First Dragon Keeper (Insane)</v>
      </c>
      <c r="B479" s="37" t="str">
        <f>IFERROR(__xludf.DUMMYFUNCTION("""COMPUTED_VALUE"""),"https://drive.google.com/uc?export=view&amp;id=1uBqFP-9QPpiu8UGDL0qzE4fhwEl1-bWC")</f>
        <v>https://drive.google.com/uc?export=view&amp;id=1uBqFP-9QPpiu8UGDL0qzE4fhwEl1-bWC</v>
      </c>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t="str">
        <f>IFERROR(__xludf.DUMMYFUNCTION("""COMPUTED_VALUE"""),"Sand Worm Queen")</f>
        <v>Sand Worm Queen</v>
      </c>
      <c r="B480" s="37" t="str">
        <f>IFERROR(__xludf.DUMMYFUNCTION("""COMPUTED_VALUE"""),"https://cdna.artstation.com/p/assets/images/images/002/602/996/large/eric-hu-sand-worms.jpg?1463535906")</f>
        <v>https://cdna.artstation.com/p/assets/images/images/002/602/996/large/eric-hu-sand-worms.jpg?1463535906</v>
      </c>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5"/>
    <col customWidth="1" min="2" max="6" width="12.63"/>
  </cols>
  <sheetData>
    <row r="1">
      <c r="A1" s="5" t="str">
        <f>IFERROR(__xludf.DUMMYFUNCTION("IMPORTRANGE(""https://docs.google.com/spreadsheets/d/1HXoAI5UG3zq1UHqU5n7fPdbQk93qOha2VQb1r7iRi1o"",""Equipment!A:BJ"")"),"Name")</f>
        <v>Name</v>
      </c>
      <c r="B1" s="5" t="str">
        <f>IFERROR(__xludf.DUMMYFUNCTION("""COMPUTED_VALUE"""),"Slot")</f>
        <v>Slot</v>
      </c>
      <c r="C1" s="5" t="str">
        <f>IFERROR(__xludf.DUMMYFUNCTION("""COMPUTED_VALUE"""),"Description")</f>
        <v>Description</v>
      </c>
      <c r="D1" s="4" t="str">
        <f>IFERROR(__xludf.DUMMYFUNCTION("""COMPUTED_VALUE"""),"Type")</f>
        <v>Type</v>
      </c>
      <c r="E1" s="5" t="str">
        <f>IFERROR(__xludf.DUMMYFUNCTION("""COMPUTED_VALUE"""),"LevelReq")</f>
        <v>LevelReq</v>
      </c>
      <c r="F1" s="5" t="str">
        <f>IFERROR(__xludf.DUMMYFUNCTION("""COMPUTED_VALUE"""),"Price")</f>
        <v>Price</v>
      </c>
      <c r="G1" s="5" t="str">
        <f>IFERROR(__xludf.DUMMYFUNCTION("""COMPUTED_VALUE"""),"DefDmg")</f>
        <v>DefDmg</v>
      </c>
      <c r="H1" s="38" t="str">
        <f>IFERROR(__xludf.DUMMYFUNCTION("""COMPUTED_VALUE"""),"Natural")</f>
        <v>Natural</v>
      </c>
      <c r="I1" s="38" t="str">
        <f>IFERROR(__xludf.DUMMYFUNCTION("""COMPUTED_VALUE"""),"Fire")</f>
        <v>Fire</v>
      </c>
      <c r="J1" s="38" t="str">
        <f>IFERROR(__xludf.DUMMYFUNCTION("""COMPUTED_VALUE"""),"Physical")</f>
        <v>Physical</v>
      </c>
      <c r="K1" s="38" t="str">
        <f>IFERROR(__xludf.DUMMYFUNCTION("""COMPUTED_VALUE"""),"Water")</f>
        <v>Water</v>
      </c>
      <c r="L1" s="38" t="str">
        <f>IFERROR(__xludf.DUMMYFUNCTION("""COMPUTED_VALUE"""),"Storm")</f>
        <v>Storm</v>
      </c>
      <c r="M1" s="38" t="str">
        <f>IFERROR(__xludf.DUMMYFUNCTION("""COMPUTED_VALUE"""),"Earth")</f>
        <v>Earth</v>
      </c>
      <c r="N1" s="38" t="str">
        <f>IFERROR(__xludf.DUMMYFUNCTION("""COMPUTED_VALUE"""),"Light")</f>
        <v>Light</v>
      </c>
      <c r="O1" s="38" t="str">
        <f>IFERROR(__xludf.DUMMYFUNCTION("""COMPUTED_VALUE"""),"Dark")</f>
        <v>Dark</v>
      </c>
      <c r="P1" s="38" t="str">
        <f>IFERROR(__xludf.DUMMYFUNCTION("""COMPUTED_VALUE"""),"Spirit")</f>
        <v>Spirit</v>
      </c>
      <c r="Q1" s="38" t="str">
        <f>IFERROR(__xludf.DUMMYFUNCTION("""COMPUTED_VALUE"""),"Order")</f>
        <v>Order</v>
      </c>
      <c r="R1" s="38" t="str">
        <f>IFERROR(__xludf.DUMMYFUNCTION("""COMPUTED_VALUE"""),"Chaos")</f>
        <v>Chaos</v>
      </c>
      <c r="S1" s="38" t="str">
        <f>IFERROR(__xludf.DUMMYFUNCTION("""COMPUTED_VALUE"""),"Nature")</f>
        <v>Nature</v>
      </c>
      <c r="T1" s="38" t="str">
        <f>IFERROR(__xludf.DUMMYFUNCTION("""COMPUTED_VALUE"""),"Melee")</f>
        <v>Melee</v>
      </c>
      <c r="U1" s="38" t="str">
        <f>IFERROR(__xludf.DUMMYFUNCTION("""COMPUTED_VALUE"""),"Ranged")</f>
        <v>Ranged</v>
      </c>
      <c r="V1" s="38" t="str">
        <f>IFERROR(__xludf.DUMMYFUNCTION("""COMPUTED_VALUE"""),"Stasis")</f>
        <v>Stasis</v>
      </c>
      <c r="W1" s="38" t="str">
        <f>IFERROR(__xludf.DUMMYFUNCTION("""COMPUTED_VALUE"""),"Twilight")</f>
        <v>Twilight</v>
      </c>
      <c r="X1" s="38" t="str">
        <f>IFERROR(__xludf.DUMMYFUNCTION("""COMPUTED_VALUE"""),"Voodoo")</f>
        <v>Voodoo</v>
      </c>
      <c r="Y1" s="38" t="str">
        <f>IFERROR(__xludf.DUMMYFUNCTION("""COMPUTED_VALUE"""),"Blood")</f>
        <v>Blood</v>
      </c>
      <c r="Z1" s="38" t="str">
        <f>IFERROR(__xludf.DUMMYFUNCTION("""COMPUTED_VALUE"""),"Delta")</f>
        <v>Delta</v>
      </c>
      <c r="AA1" s="38" t="str">
        <f>IFERROR(__xludf.DUMMYFUNCTION("""COMPUTED_VALUE"""),"Zen")</f>
        <v>Zen</v>
      </c>
      <c r="AB1" s="38" t="str">
        <f>IFERROR(__xludf.DUMMYFUNCTION("""COMPUTED_VALUE"""),"Astral")</f>
        <v>Astral</v>
      </c>
      <c r="AC1" s="38" t="str">
        <f>IFERROR(__xludf.DUMMYFUNCTION("""COMPUTED_VALUE"""),"Celestial")</f>
        <v>Celestial</v>
      </c>
      <c r="AD1" s="39" t="str">
        <f>IFERROR(__xludf.DUMMYFUNCTION("""COMPUTED_VALUE"""),"Time")</f>
        <v>Time</v>
      </c>
      <c r="AE1" s="38" t="str">
        <f>IFERROR(__xludf.DUMMYFUNCTION("""COMPUTED_VALUE"""),"Acoustic")</f>
        <v>Acoustic</v>
      </c>
      <c r="AF1" s="38" t="str">
        <f>IFERROR(__xludf.DUMMYFUNCTION("""COMPUTED_VALUE"""),"OtherAbilities")</f>
        <v>OtherAbilities</v>
      </c>
      <c r="AG1" s="38" t="str">
        <f>IFERROR(__xludf.DUMMYFUNCTION("""COMPUTED_VALUE"""),"EquipLoc")</f>
        <v>EquipLoc</v>
      </c>
      <c r="AH1" s="38" t="str">
        <f>IFERROR(__xludf.DUMMYFUNCTION("""COMPUTED_VALUE"""),"Needs Revising")</f>
        <v>Needs Revising</v>
      </c>
      <c r="AI1" s="38"/>
      <c r="AJ1" s="38"/>
      <c r="AK1" s="38"/>
      <c r="AL1" s="38"/>
      <c r="AM1" s="38"/>
      <c r="AN1" s="38"/>
      <c r="AO1" s="38"/>
      <c r="AP1" s="38"/>
      <c r="AQ1" s="38"/>
      <c r="AR1" s="38"/>
      <c r="AS1" s="38"/>
      <c r="AT1" s="38"/>
      <c r="AU1" s="38"/>
      <c r="AV1" s="38"/>
      <c r="AW1" s="38"/>
      <c r="AX1" s="38"/>
    </row>
    <row r="2">
      <c r="A2" s="5" t="str">
        <f>IFERROR(__xludf.DUMMYFUNCTION("""COMPUTED_VALUE"""),"""Hellfire Club"" Vest of Metal Harmony's")</f>
        <v>"Hellfire Club" Vest of Metal Harmony's</v>
      </c>
      <c r="B2" s="5" t="str">
        <f>IFERROR(__xludf.DUMMYFUNCTION("""COMPUTED_VALUE"""),"Torso")</f>
        <v>Torso</v>
      </c>
      <c r="C2" s="32"/>
      <c r="D2" s="5"/>
      <c r="E2" s="40">
        <f>IFERROR(__xludf.DUMMYFUNCTION("""COMPUTED_VALUE"""),200.0)</f>
        <v>200</v>
      </c>
      <c r="F2" s="40">
        <f>IFERROR(__xludf.DUMMYFUNCTION("""COMPUTED_VALUE"""),1900000.0)</f>
        <v>1900000</v>
      </c>
      <c r="G2" s="5" t="str">
        <f>IFERROR(__xludf.DUMMYFUNCTION("""COMPUTED_VALUE"""),"DEF")</f>
        <v>DEF</v>
      </c>
      <c r="H2" s="41">
        <f>IFERROR(__xludf.DUMMYFUNCTION("""COMPUTED_VALUE"""),10000.0)</f>
        <v>10000</v>
      </c>
      <c r="I2" s="32"/>
      <c r="J2" s="32"/>
      <c r="K2" s="32"/>
      <c r="L2" s="32"/>
      <c r="M2" s="32"/>
      <c r="N2" s="32"/>
      <c r="O2" s="32"/>
      <c r="P2" s="32"/>
      <c r="Q2" s="32"/>
      <c r="R2" s="32"/>
      <c r="S2" s="32"/>
      <c r="T2" s="32"/>
      <c r="U2" s="32"/>
      <c r="V2" s="32"/>
      <c r="W2" s="32"/>
      <c r="X2" s="32"/>
      <c r="Y2" s="32"/>
      <c r="Z2" s="32"/>
      <c r="AA2" s="32"/>
      <c r="AB2" s="32"/>
      <c r="AC2" s="32"/>
      <c r="AD2" s="32"/>
      <c r="AE2" s="32"/>
      <c r="AF2" s="32" t="str">
        <f>IFERROR(__xludf.DUMMYFUNCTION("""COMPUTED_VALUE"""),"++When dealing damage with an instrument you will regain sp equal to the damage you caused.")</f>
        <v>++When dealing damage with an instrument you will regain sp equal to the damage you caused.</v>
      </c>
      <c r="AG2" s="32" t="str">
        <f>IFERROR(__xludf.DUMMYFUNCTION("""COMPUTED_VALUE"""),"Land of Spira")</f>
        <v>Land of Spira</v>
      </c>
      <c r="AH2" s="32" t="b">
        <f>IFERROR(__xludf.DUMMYFUNCTION("""COMPUTED_VALUE"""),FALSE)</f>
        <v>0</v>
      </c>
      <c r="AI2" s="32"/>
      <c r="AJ2" s="32"/>
      <c r="AK2" s="32"/>
      <c r="AL2" s="32"/>
      <c r="AM2" s="32"/>
      <c r="AN2" s="32"/>
      <c r="AO2" s="32"/>
      <c r="AP2" s="32"/>
      <c r="AQ2" s="32"/>
      <c r="AR2" s="32"/>
      <c r="AS2" s="32"/>
      <c r="AT2" s="32"/>
      <c r="AU2" s="32"/>
      <c r="AV2" s="32"/>
      <c r="AW2" s="32"/>
      <c r="AX2" s="32"/>
    </row>
    <row r="3">
      <c r="A3" s="5" t="str">
        <f>IFERROR(__xludf.DUMMYFUNCTION("""COMPUTED_VALUE"""),"""Sweetheart"" Guitar of The Upside Down")</f>
        <v>"Sweetheart" Guitar of The Upside Down</v>
      </c>
      <c r="B3" s="5" t="str">
        <f>IFERROR(__xludf.DUMMYFUNCTION("""COMPUTED_VALUE"""),"Hand")</f>
        <v>Hand</v>
      </c>
      <c r="C3" s="32"/>
      <c r="D3" s="5" t="str">
        <f>IFERROR(__xludf.DUMMYFUNCTION("""COMPUTED_VALUE"""),"Instrument")</f>
        <v>Instrument</v>
      </c>
      <c r="E3" s="40">
        <f>IFERROR(__xludf.DUMMYFUNCTION("""COMPUTED_VALUE"""),200.0)</f>
        <v>200</v>
      </c>
      <c r="F3" s="40">
        <f>IFERROR(__xludf.DUMMYFUNCTION("""COMPUTED_VALUE"""),1900000.0)</f>
        <v>1900000</v>
      </c>
      <c r="G3" s="5" t="str">
        <f>IFERROR(__xludf.DUMMYFUNCTION("""COMPUTED_VALUE"""),"DMG")</f>
        <v>DMG</v>
      </c>
      <c r="H3" s="33">
        <f>IFERROR(__xludf.DUMMYFUNCTION("""COMPUTED_VALUE"""),2500.0)</f>
        <v>2500</v>
      </c>
      <c r="I3" s="33">
        <f>IFERROR(__xludf.DUMMYFUNCTION("""COMPUTED_VALUE"""),2500.0)</f>
        <v>2500</v>
      </c>
      <c r="J3" s="32"/>
      <c r="K3" s="32"/>
      <c r="L3" s="32"/>
      <c r="M3" s="32"/>
      <c r="N3" s="32"/>
      <c r="O3" s="33">
        <f>IFERROR(__xludf.DUMMYFUNCTION("""COMPUTED_VALUE"""),2500.0)</f>
        <v>2500</v>
      </c>
      <c r="P3" s="32"/>
      <c r="Q3" s="32"/>
      <c r="R3" s="33">
        <f>IFERROR(__xludf.DUMMYFUNCTION("""COMPUTED_VALUE"""),2500.0)</f>
        <v>2500</v>
      </c>
      <c r="S3" s="32"/>
      <c r="T3" s="32"/>
      <c r="U3" s="32"/>
      <c r="V3" s="32"/>
      <c r="W3" s="32"/>
      <c r="X3" s="32"/>
      <c r="Y3" s="32"/>
      <c r="Z3" s="32"/>
      <c r="AA3" s="32"/>
      <c r="AB3" s="32"/>
      <c r="AC3" s="32"/>
      <c r="AD3" s="5"/>
      <c r="AE3" s="32"/>
      <c r="AF3" s="32"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32" t="str">
        <f>IFERROR(__xludf.DUMMYFUNCTION("""COMPUTED_VALUE"""),"Land of Spira")</f>
        <v>Land of Spira</v>
      </c>
      <c r="AH3" s="32" t="b">
        <f>IFERROR(__xludf.DUMMYFUNCTION("""COMPUTED_VALUE"""),FALSE)</f>
        <v>0</v>
      </c>
      <c r="AI3" s="32"/>
      <c r="AJ3" s="32"/>
      <c r="AK3" s="32"/>
      <c r="AL3" s="32"/>
      <c r="AM3" s="32"/>
      <c r="AN3" s="32"/>
      <c r="AO3" s="32"/>
      <c r="AP3" s="32"/>
      <c r="AQ3" s="32"/>
      <c r="AR3" s="32"/>
      <c r="AS3" s="32"/>
      <c r="AT3" s="32"/>
      <c r="AU3" s="32"/>
      <c r="AV3" s="32"/>
      <c r="AW3" s="32"/>
      <c r="AX3" s="32"/>
    </row>
    <row r="4">
      <c r="A4" s="5" t="str">
        <f>IFERROR(__xludf.DUMMYFUNCTION("""COMPUTED_VALUE"""),"Alpha Sword")</f>
        <v>Alpha Sword</v>
      </c>
      <c r="B4" s="5" t="str">
        <f>IFERROR(__xludf.DUMMYFUNCTION("""COMPUTED_VALUE"""),"Hand")</f>
        <v>Hand</v>
      </c>
      <c r="C4" s="32"/>
      <c r="D4" s="5" t="str">
        <f>IFERROR(__xludf.DUMMYFUNCTION("""COMPUTED_VALUE"""),"Sword")</f>
        <v>Sword</v>
      </c>
      <c r="E4" s="40">
        <f>IFERROR(__xludf.DUMMYFUNCTION("""COMPUTED_VALUE"""),4000.0)</f>
        <v>4000</v>
      </c>
      <c r="F4" s="40">
        <f>IFERROR(__xludf.DUMMYFUNCTION("""COMPUTED_VALUE"""),7.98E8)</f>
        <v>798000000</v>
      </c>
      <c r="G4" s="5" t="str">
        <f>IFERROR(__xludf.DUMMYFUNCTION("""COMPUTED_VALUE"""),"DMG")</f>
        <v>DMG</v>
      </c>
      <c r="H4" s="33">
        <f>IFERROR(__xludf.DUMMYFUNCTION("""COMPUTED_VALUE"""),100000.0)</f>
        <v>100000</v>
      </c>
      <c r="I4" s="32"/>
      <c r="J4" s="5"/>
      <c r="K4" s="32"/>
      <c r="L4" s="32"/>
      <c r="M4" s="32"/>
      <c r="N4" s="32"/>
      <c r="O4" s="33">
        <f>IFERROR(__xludf.DUMMYFUNCTION("""COMPUTED_VALUE"""),100000.0)</f>
        <v>100000</v>
      </c>
      <c r="P4" s="32"/>
      <c r="Q4" s="32"/>
      <c r="R4" s="32"/>
      <c r="S4" s="32"/>
      <c r="T4" s="32"/>
      <c r="U4" s="32"/>
      <c r="V4" s="32"/>
      <c r="W4" s="32"/>
      <c r="X4" s="32"/>
      <c r="Y4" s="32"/>
      <c r="Z4" s="32"/>
      <c r="AA4" s="32"/>
      <c r="AB4" s="32"/>
      <c r="AC4" s="32"/>
      <c r="AD4" s="5"/>
      <c r="AE4" s="32"/>
      <c r="AF4" s="32"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32" t="str">
        <f>IFERROR(__xludf.DUMMYFUNCTION("""COMPUTED_VALUE"""),"Abstara")</f>
        <v>Abstara</v>
      </c>
      <c r="AH4" s="32" t="b">
        <f>IFERROR(__xludf.DUMMYFUNCTION("""COMPUTED_VALUE"""),FALSE)</f>
        <v>0</v>
      </c>
      <c r="AI4" s="32"/>
      <c r="AJ4" s="32"/>
      <c r="AK4" s="32"/>
      <c r="AL4" s="32"/>
      <c r="AM4" s="32"/>
      <c r="AN4" s="32"/>
      <c r="AO4" s="32"/>
      <c r="AP4" s="32"/>
      <c r="AQ4" s="32"/>
      <c r="AR4" s="32"/>
      <c r="AS4" s="32"/>
      <c r="AT4" s="32"/>
      <c r="AU4" s="32"/>
      <c r="AV4" s="32"/>
      <c r="AW4" s="32"/>
      <c r="AX4" s="32"/>
    </row>
    <row r="5">
      <c r="A5" s="5" t="str">
        <f>IFERROR(__xludf.DUMMYFUNCTION("""COMPUTED_VALUE"""),"Ancient Colossus Forest Hammer")</f>
        <v>Ancient Colossus Forest Hammer</v>
      </c>
      <c r="B5" s="5" t="str">
        <f>IFERROR(__xludf.DUMMYFUNCTION("""COMPUTED_VALUE"""),"Hand")</f>
        <v>Hand</v>
      </c>
      <c r="C5" s="32"/>
      <c r="D5" s="5" t="str">
        <f>IFERROR(__xludf.DUMMYFUNCTION("""COMPUTED_VALUE"""),"Club")</f>
        <v>Club</v>
      </c>
      <c r="E5" s="40">
        <f>IFERROR(__xludf.DUMMYFUNCTION("""COMPUTED_VALUE"""),700.0)</f>
        <v>700</v>
      </c>
      <c r="F5" s="40">
        <f>IFERROR(__xludf.DUMMYFUNCTION("""COMPUTED_VALUE"""),2.415E7)</f>
        <v>24150000</v>
      </c>
      <c r="G5" s="5" t="str">
        <f>IFERROR(__xludf.DUMMYFUNCTION("""COMPUTED_VALUE"""),"DMG")</f>
        <v>DMG</v>
      </c>
      <c r="H5" s="32">
        <f>IFERROR(__xludf.DUMMYFUNCTION("""COMPUTED_VALUE"""),25000.0)</f>
        <v>25000</v>
      </c>
      <c r="I5" s="32"/>
      <c r="J5" s="32"/>
      <c r="K5" s="32"/>
      <c r="L5" s="32"/>
      <c r="M5" s="32"/>
      <c r="N5" s="32"/>
      <c r="O5" s="32"/>
      <c r="P5" s="32"/>
      <c r="Q5" s="32"/>
      <c r="R5" s="32"/>
      <c r="S5" s="32">
        <f>IFERROR(__xludf.DUMMYFUNCTION("""COMPUTED_VALUE"""),10000.0)</f>
        <v>10000</v>
      </c>
      <c r="T5" s="32"/>
      <c r="U5" s="32"/>
      <c r="V5" s="32"/>
      <c r="W5" s="32"/>
      <c r="X5" s="32"/>
      <c r="Y5" s="32"/>
      <c r="Z5" s="32"/>
      <c r="AA5" s="32"/>
      <c r="AB5" s="32"/>
      <c r="AC5" s="32"/>
      <c r="AD5" s="5"/>
      <c r="AE5" s="32"/>
      <c r="AF5" s="32" t="str">
        <f>IFERROR(__xludf.DUMMYFUNCTION("""COMPUTED_VALUE"""),"++When in a Natural environment all attacks with this weapon will roll twice and take the higher number")</f>
        <v>++When in a Natural environment all attacks with this weapon will roll twice and take the higher number</v>
      </c>
      <c r="AG5" s="32" t="str">
        <f>IFERROR(__xludf.DUMMYFUNCTION("""COMPUTED_VALUE"""),"Land of Spira")</f>
        <v>Land of Spira</v>
      </c>
      <c r="AH5" s="32" t="b">
        <f>IFERROR(__xludf.DUMMYFUNCTION("""COMPUTED_VALUE"""),FALSE)</f>
        <v>0</v>
      </c>
      <c r="AI5" s="32"/>
      <c r="AJ5" s="32"/>
      <c r="AK5" s="32"/>
      <c r="AL5" s="32"/>
      <c r="AM5" s="32"/>
      <c r="AN5" s="32"/>
      <c r="AO5" s="32"/>
      <c r="AP5" s="32"/>
      <c r="AQ5" s="32"/>
      <c r="AR5" s="32"/>
      <c r="AS5" s="32"/>
      <c r="AT5" s="32"/>
      <c r="AU5" s="32"/>
      <c r="AV5" s="32"/>
      <c r="AW5" s="32"/>
      <c r="AX5" s="32"/>
    </row>
    <row r="6">
      <c r="A6" s="5" t="str">
        <f>IFERROR(__xludf.DUMMYFUNCTION("""COMPUTED_VALUE"""),"Ancient Samurai Sword")</f>
        <v>Ancient Samurai Sword</v>
      </c>
      <c r="B6" s="5" t="str">
        <f>IFERROR(__xludf.DUMMYFUNCTION("""COMPUTED_VALUE"""),"Hand")</f>
        <v>Hand</v>
      </c>
      <c r="C6" s="32"/>
      <c r="D6" s="5" t="str">
        <f>IFERROR(__xludf.DUMMYFUNCTION("""COMPUTED_VALUE"""),"Sword")</f>
        <v>Sword</v>
      </c>
      <c r="E6" s="40">
        <f>IFERROR(__xludf.DUMMYFUNCTION("""COMPUTED_VALUE"""),800.0)</f>
        <v>800</v>
      </c>
      <c r="F6" s="40">
        <f>IFERROR(__xludf.DUMMYFUNCTION("""COMPUTED_VALUE"""),3.16E7)</f>
        <v>31600000</v>
      </c>
      <c r="G6" s="5" t="str">
        <f>IFERROR(__xludf.DUMMYFUNCTION("""COMPUTED_VALUE"""),"DMG")</f>
        <v>DMG</v>
      </c>
      <c r="H6" s="33">
        <f>IFERROR(__xludf.DUMMYFUNCTION("""COMPUTED_VALUE"""),10000.0)</f>
        <v>10000</v>
      </c>
      <c r="I6" s="33">
        <f>IFERROR(__xludf.DUMMYFUNCTION("""COMPUTED_VALUE"""),10000.0)</f>
        <v>10000</v>
      </c>
      <c r="J6" s="32"/>
      <c r="K6" s="32"/>
      <c r="L6" s="32"/>
      <c r="M6" s="32"/>
      <c r="N6" s="33">
        <f>IFERROR(__xludf.DUMMYFUNCTION("""COMPUTED_VALUE"""),10000.0)</f>
        <v>10000</v>
      </c>
      <c r="O6" s="32"/>
      <c r="P6" s="32"/>
      <c r="Q6" s="33">
        <f>IFERROR(__xludf.DUMMYFUNCTION("""COMPUTED_VALUE"""),10000.0)</f>
        <v>10000</v>
      </c>
      <c r="R6" s="32"/>
      <c r="S6" s="32"/>
      <c r="T6" s="32"/>
      <c r="U6" s="32"/>
      <c r="V6" s="32"/>
      <c r="W6" s="32"/>
      <c r="X6" s="32"/>
      <c r="Y6" s="32"/>
      <c r="Z6" s="32"/>
      <c r="AA6" s="32"/>
      <c r="AB6" s="32"/>
      <c r="AC6" s="32"/>
      <c r="AD6" s="5"/>
      <c r="AE6" s="32"/>
      <c r="AF6" s="32" t="str">
        <f>IFERROR(__xludf.DUMMYFUNCTION("""COMPUTED_VALUE"""),"++Doubles the chance for the Sword ability to activate")</f>
        <v>++Doubles the chance for the Sword ability to activate</v>
      </c>
      <c r="AG6" s="32" t="str">
        <f>IFERROR(__xludf.DUMMYFUNCTION("""COMPUTED_VALUE"""),"Land of Spira")</f>
        <v>Land of Spira</v>
      </c>
      <c r="AH6" s="32" t="b">
        <f>IFERROR(__xludf.DUMMYFUNCTION("""COMPUTED_VALUE"""),FALSE)</f>
        <v>0</v>
      </c>
      <c r="AI6" s="32"/>
      <c r="AJ6" s="32"/>
      <c r="AK6" s="32"/>
      <c r="AL6" s="32"/>
      <c r="AM6" s="32"/>
      <c r="AN6" s="32"/>
      <c r="AO6" s="32"/>
      <c r="AP6" s="32"/>
      <c r="AQ6" s="32"/>
      <c r="AR6" s="32"/>
      <c r="AS6" s="32"/>
      <c r="AT6" s="32"/>
      <c r="AU6" s="32"/>
      <c r="AV6" s="32"/>
      <c r="AW6" s="32"/>
      <c r="AX6" s="32"/>
    </row>
    <row r="7">
      <c r="A7" s="5" t="str">
        <f>IFERROR(__xludf.DUMMYFUNCTION("""COMPUTED_VALUE"""),"Ancient Stone Guardians Sword")</f>
        <v>Ancient Stone Guardians Sword</v>
      </c>
      <c r="B7" s="5" t="str">
        <f>IFERROR(__xludf.DUMMYFUNCTION("""COMPUTED_VALUE"""),"Hand")</f>
        <v>Hand</v>
      </c>
      <c r="C7" s="32"/>
      <c r="D7" s="5" t="str">
        <f>IFERROR(__xludf.DUMMYFUNCTION("""COMPUTED_VALUE"""),"Sword")</f>
        <v>Sword</v>
      </c>
      <c r="E7" s="40">
        <f>IFERROR(__xludf.DUMMYFUNCTION("""COMPUTED_VALUE"""),1200.0)</f>
        <v>1200</v>
      </c>
      <c r="F7" s="40">
        <f>IFERROR(__xludf.DUMMYFUNCTION("""COMPUTED_VALUE"""),7.14E7)</f>
        <v>71400000</v>
      </c>
      <c r="G7" s="32" t="str">
        <f>IFERROR(__xludf.DUMMYFUNCTION("""COMPUTED_VALUE"""),"DMG")</f>
        <v>DMG</v>
      </c>
      <c r="H7" s="33">
        <f>IFERROR(__xludf.DUMMYFUNCTION("""COMPUTED_VALUE"""),20000.0)</f>
        <v>20000</v>
      </c>
      <c r="I7" s="32"/>
      <c r="J7" s="32"/>
      <c r="K7" s="32"/>
      <c r="L7" s="32"/>
      <c r="M7" s="33">
        <f>IFERROR(__xludf.DUMMYFUNCTION("""COMPUTED_VALUE"""),20000.0)</f>
        <v>20000</v>
      </c>
      <c r="N7" s="33">
        <f>IFERROR(__xludf.DUMMYFUNCTION("""COMPUTED_VALUE"""),20000.0)</f>
        <v>20000</v>
      </c>
      <c r="O7" s="32"/>
      <c r="P7" s="32"/>
      <c r="Q7" s="32"/>
      <c r="R7" s="32"/>
      <c r="S7" s="32"/>
      <c r="T7" s="32"/>
      <c r="U7" s="32"/>
      <c r="V7" s="32"/>
      <c r="W7" s="32"/>
      <c r="X7" s="32"/>
      <c r="Y7" s="32"/>
      <c r="Z7" s="32"/>
      <c r="AA7" s="32"/>
      <c r="AB7" s="32"/>
      <c r="AC7" s="32"/>
      <c r="AD7" s="5"/>
      <c r="AE7" s="32"/>
      <c r="AF7" s="32" t="str">
        <f>IFERROR(__xludf.DUMMYFUNCTION("""COMPUTED_VALUE"""),"++X2 Defense for all allies")</f>
        <v>++X2 Defense for all allies</v>
      </c>
      <c r="AG7" s="32" t="str">
        <f>IFERROR(__xludf.DUMMYFUNCTION("""COMPUTED_VALUE"""),"Land of Spira")</f>
        <v>Land of Spira</v>
      </c>
      <c r="AH7" s="32" t="b">
        <f>IFERROR(__xludf.DUMMYFUNCTION("""COMPUTED_VALUE"""),FALSE)</f>
        <v>0</v>
      </c>
      <c r="AI7" s="32"/>
      <c r="AJ7" s="32"/>
      <c r="AK7" s="32"/>
      <c r="AL7" s="32"/>
      <c r="AM7" s="32"/>
      <c r="AN7" s="32"/>
      <c r="AO7" s="32"/>
      <c r="AP7" s="32"/>
      <c r="AQ7" s="32"/>
      <c r="AR7" s="32"/>
      <c r="AS7" s="32"/>
      <c r="AT7" s="32"/>
      <c r="AU7" s="32"/>
      <c r="AV7" s="32"/>
      <c r="AW7" s="32"/>
      <c r="AX7" s="32"/>
    </row>
    <row r="8">
      <c r="A8" s="5" t="str">
        <f>IFERROR(__xludf.DUMMYFUNCTION("""COMPUTED_VALUE"""),"Aqua Robe")</f>
        <v>Aqua Robe</v>
      </c>
      <c r="B8" s="5" t="str">
        <f>IFERROR(__xludf.DUMMYFUNCTION("""COMPUTED_VALUE"""),"Torso")</f>
        <v>Torso</v>
      </c>
      <c r="C8" s="32"/>
      <c r="D8" s="5"/>
      <c r="E8" s="40">
        <f>IFERROR(__xludf.DUMMYFUNCTION("""COMPUTED_VALUE"""),40.0)</f>
        <v>40</v>
      </c>
      <c r="F8" s="40">
        <f>IFERROR(__xludf.DUMMYFUNCTION("""COMPUTED_VALUE"""),60000.0)</f>
        <v>60000</v>
      </c>
      <c r="G8" s="32" t="str">
        <f>IFERROR(__xludf.DUMMYFUNCTION("""COMPUTED_VALUE"""),"DEF")</f>
        <v>DEF</v>
      </c>
      <c r="H8" s="32">
        <f>IFERROR(__xludf.DUMMYFUNCTION("""COMPUTED_VALUE"""),1000.0)</f>
        <v>1000</v>
      </c>
      <c r="I8" s="32"/>
      <c r="J8" s="5"/>
      <c r="K8" s="32">
        <f>IFERROR(__xludf.DUMMYFUNCTION("""COMPUTED_VALUE"""),1000.0)</f>
        <v>1000</v>
      </c>
      <c r="L8" s="32"/>
      <c r="M8" s="32"/>
      <c r="N8" s="32"/>
      <c r="O8" s="32"/>
      <c r="P8" s="32"/>
      <c r="Q8" s="32"/>
      <c r="R8" s="32"/>
      <c r="S8" s="32"/>
      <c r="T8" s="32"/>
      <c r="U8" s="32"/>
      <c r="V8" s="32"/>
      <c r="W8" s="32"/>
      <c r="X8" s="32"/>
      <c r="Y8" s="32"/>
      <c r="Z8" s="32"/>
      <c r="AA8" s="32"/>
      <c r="AB8" s="32"/>
      <c r="AC8" s="32"/>
      <c r="AD8" s="5"/>
      <c r="AE8" s="32"/>
      <c r="AF8" s="32" t="str">
        <f>IFERROR(__xludf.DUMMYFUNCTION("""COMPUTED_VALUE"""),"++X4 damage additional water damage for the user.")</f>
        <v>++X4 damage additional water damage for the user.</v>
      </c>
      <c r="AG8" s="32" t="str">
        <f>IFERROR(__xludf.DUMMYFUNCTION("""COMPUTED_VALUE"""),"Land of Spira")</f>
        <v>Land of Spira</v>
      </c>
      <c r="AH8" s="32" t="b">
        <f>IFERROR(__xludf.DUMMYFUNCTION("""COMPUTED_VALUE"""),FALSE)</f>
        <v>0</v>
      </c>
      <c r="AI8" s="32"/>
      <c r="AJ8" s="32"/>
      <c r="AK8" s="32"/>
      <c r="AL8" s="32"/>
      <c r="AM8" s="32"/>
      <c r="AN8" s="32"/>
      <c r="AO8" s="32"/>
      <c r="AP8" s="32"/>
      <c r="AQ8" s="32"/>
      <c r="AR8" s="32"/>
      <c r="AS8" s="32"/>
      <c r="AT8" s="32"/>
      <c r="AU8" s="32"/>
      <c r="AV8" s="32"/>
      <c r="AW8" s="32"/>
      <c r="AX8" s="32"/>
    </row>
    <row r="9">
      <c r="A9" s="5" t="str">
        <f>IFERROR(__xludf.DUMMYFUNCTION("""COMPUTED_VALUE"""),"Aquatic Boots of Atlantis")</f>
        <v>Aquatic Boots of Atlantis</v>
      </c>
      <c r="B9" s="5" t="str">
        <f>IFERROR(__xludf.DUMMYFUNCTION("""COMPUTED_VALUE"""),"Feet")</f>
        <v>Feet</v>
      </c>
      <c r="C9" s="32"/>
      <c r="D9" s="5"/>
      <c r="E9" s="40">
        <f>IFERROR(__xludf.DUMMYFUNCTION("""COMPUTED_VALUE"""),300.0)</f>
        <v>300</v>
      </c>
      <c r="F9" s="40">
        <f>IFERROR(__xludf.DUMMYFUNCTION("""COMPUTED_VALUE"""),4350000.0)</f>
        <v>4350000</v>
      </c>
      <c r="G9" s="5" t="str">
        <f>IFERROR(__xludf.DUMMYFUNCTION("""COMPUTED_VALUE"""),"DEF")</f>
        <v>DEF</v>
      </c>
      <c r="H9" s="32">
        <f>IFERROR(__xludf.DUMMYFUNCTION("""COMPUTED_VALUE"""),7500.0)</f>
        <v>7500</v>
      </c>
      <c r="I9" s="32"/>
      <c r="J9" s="32"/>
      <c r="K9" s="32">
        <f>IFERROR(__xludf.DUMMYFUNCTION("""COMPUTED_VALUE"""),7500.0)</f>
        <v>7500</v>
      </c>
      <c r="L9" s="32"/>
      <c r="M9" s="32"/>
      <c r="N9" s="32"/>
      <c r="O9" s="32"/>
      <c r="P9" s="32"/>
      <c r="Q9" s="32"/>
      <c r="R9" s="32"/>
      <c r="S9" s="32"/>
      <c r="T9" s="32"/>
      <c r="U9" s="32"/>
      <c r="V9" s="32"/>
      <c r="W9" s="32"/>
      <c r="X9" s="32"/>
      <c r="Y9" s="32"/>
      <c r="Z9" s="32"/>
      <c r="AA9" s="32"/>
      <c r="AB9" s="32"/>
      <c r="AC9" s="32"/>
      <c r="AD9" s="5"/>
      <c r="AE9" s="32"/>
      <c r="AF9" s="32" t="str">
        <f>IFERROR(__xludf.DUMMYFUNCTION("""COMPUTED_VALUE"""),"++X6 additional water damage for self.")</f>
        <v>++X6 additional water damage for self.</v>
      </c>
      <c r="AG9" s="32" t="str">
        <f>IFERROR(__xludf.DUMMYFUNCTION("""COMPUTED_VALUE"""),"Land of Spira")</f>
        <v>Land of Spira</v>
      </c>
      <c r="AH9" s="32" t="b">
        <f>IFERROR(__xludf.DUMMYFUNCTION("""COMPUTED_VALUE"""),FALSE)</f>
        <v>0</v>
      </c>
      <c r="AI9" s="32"/>
      <c r="AJ9" s="32"/>
      <c r="AK9" s="32"/>
      <c r="AL9" s="32"/>
      <c r="AM9" s="32"/>
      <c r="AN9" s="32"/>
      <c r="AO9" s="32"/>
      <c r="AP9" s="32"/>
      <c r="AQ9" s="32"/>
      <c r="AR9" s="32"/>
      <c r="AS9" s="32"/>
      <c r="AT9" s="32"/>
      <c r="AU9" s="32"/>
      <c r="AV9" s="32"/>
      <c r="AW9" s="32"/>
      <c r="AX9" s="32"/>
    </row>
    <row r="10">
      <c r="A10" s="5" t="str">
        <f>IFERROR(__xludf.DUMMYFUNCTION("""COMPUTED_VALUE"""),"Aquatic Chestplate of Atlantis")</f>
        <v>Aquatic Chestplate of Atlantis</v>
      </c>
      <c r="B10" s="5" t="str">
        <f>IFERROR(__xludf.DUMMYFUNCTION("""COMPUTED_VALUE"""),"Torso")</f>
        <v>Torso</v>
      </c>
      <c r="C10" s="32"/>
      <c r="D10" s="5"/>
      <c r="E10" s="40">
        <f>IFERROR(__xludf.DUMMYFUNCTION("""COMPUTED_VALUE"""),600.0)</f>
        <v>600</v>
      </c>
      <c r="F10" s="40">
        <f>IFERROR(__xludf.DUMMYFUNCTION("""COMPUTED_VALUE"""),1.77E7)</f>
        <v>17700000</v>
      </c>
      <c r="G10" s="5" t="str">
        <f>IFERROR(__xludf.DUMMYFUNCTION("""COMPUTED_VALUE"""),"DEF")</f>
        <v>DEF</v>
      </c>
      <c r="H10" s="33">
        <f>IFERROR(__xludf.DUMMYFUNCTION("""COMPUTED_VALUE"""),15000.0)</f>
        <v>15000</v>
      </c>
      <c r="I10" s="32"/>
      <c r="J10" s="32"/>
      <c r="K10" s="33">
        <f>IFERROR(__xludf.DUMMYFUNCTION("""COMPUTED_VALUE"""),15000.0)</f>
        <v>15000</v>
      </c>
      <c r="L10" s="5"/>
      <c r="M10" s="32"/>
      <c r="N10" s="32"/>
      <c r="O10" s="32"/>
      <c r="P10" s="32"/>
      <c r="Q10" s="32"/>
      <c r="R10" s="32"/>
      <c r="S10" s="32"/>
      <c r="T10" s="32"/>
      <c r="U10" s="32"/>
      <c r="V10" s="32"/>
      <c r="W10" s="32"/>
      <c r="X10" s="32"/>
      <c r="Y10" s="32"/>
      <c r="Z10" s="32"/>
      <c r="AA10" s="32"/>
      <c r="AB10" s="32"/>
      <c r="AC10" s="32"/>
      <c r="AD10" s="5"/>
      <c r="AE10" s="32"/>
      <c r="AF10" s="32"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32" t="str">
        <f>IFERROR(__xludf.DUMMYFUNCTION("""COMPUTED_VALUE"""),"Land of Spira")</f>
        <v>Land of Spira</v>
      </c>
      <c r="AH10" s="32" t="b">
        <f>IFERROR(__xludf.DUMMYFUNCTION("""COMPUTED_VALUE"""),FALSE)</f>
        <v>0</v>
      </c>
      <c r="AI10" s="32"/>
      <c r="AJ10" s="32"/>
      <c r="AK10" s="32"/>
      <c r="AL10" s="32"/>
      <c r="AM10" s="32"/>
      <c r="AN10" s="32"/>
      <c r="AO10" s="32"/>
      <c r="AP10" s="32"/>
      <c r="AQ10" s="32"/>
      <c r="AR10" s="32"/>
      <c r="AS10" s="32"/>
      <c r="AT10" s="32"/>
      <c r="AU10" s="32"/>
      <c r="AV10" s="32"/>
      <c r="AW10" s="32"/>
      <c r="AX10" s="32"/>
    </row>
    <row r="11">
      <c r="A11" s="5" t="str">
        <f>IFERROR(__xludf.DUMMYFUNCTION("""COMPUTED_VALUE"""),"Aquatic Greaves of Atlantis")</f>
        <v>Aquatic Greaves of Atlantis</v>
      </c>
      <c r="B11" s="5" t="str">
        <f>IFERROR(__xludf.DUMMYFUNCTION("""COMPUTED_VALUE"""),"Legs")</f>
        <v>Legs</v>
      </c>
      <c r="C11" s="32"/>
      <c r="D11" s="5"/>
      <c r="E11" s="40">
        <f>IFERROR(__xludf.DUMMYFUNCTION("""COMPUTED_VALUE"""),300.0)</f>
        <v>300</v>
      </c>
      <c r="F11" s="40">
        <f>IFERROR(__xludf.DUMMYFUNCTION("""COMPUTED_VALUE"""),4350000.0)</f>
        <v>4350000</v>
      </c>
      <c r="G11" s="5" t="str">
        <f>IFERROR(__xludf.DUMMYFUNCTION("""COMPUTED_VALUE"""),"DEF")</f>
        <v>DEF</v>
      </c>
      <c r="H11" s="32">
        <f>IFERROR(__xludf.DUMMYFUNCTION("""COMPUTED_VALUE"""),7500.0)</f>
        <v>7500</v>
      </c>
      <c r="I11" s="32"/>
      <c r="J11" s="32"/>
      <c r="K11" s="32">
        <f>IFERROR(__xludf.DUMMYFUNCTION("""COMPUTED_VALUE"""),7500.0)</f>
        <v>7500</v>
      </c>
      <c r="L11" s="32"/>
      <c r="M11" s="32"/>
      <c r="N11" s="5"/>
      <c r="O11" s="32"/>
      <c r="P11" s="32"/>
      <c r="Q11" s="32"/>
      <c r="R11" s="32"/>
      <c r="S11" s="32"/>
      <c r="T11" s="32"/>
      <c r="U11" s="32"/>
      <c r="V11" s="32"/>
      <c r="W11" s="32"/>
      <c r="X11" s="32"/>
      <c r="Y11" s="32"/>
      <c r="Z11" s="32"/>
      <c r="AA11" s="32"/>
      <c r="AB11" s="32"/>
      <c r="AC11" s="32"/>
      <c r="AD11" s="42"/>
      <c r="AE11" s="32"/>
      <c r="AF11" s="32" t="str">
        <f>IFERROR(__xludf.DUMMYFUNCTION("""COMPUTED_VALUE"""),"++X6 additional water damage for self.")</f>
        <v>++X6 additional water damage for self.</v>
      </c>
      <c r="AG11" s="32" t="str">
        <f>IFERROR(__xludf.DUMMYFUNCTION("""COMPUTED_VALUE"""),"Land of Spira")</f>
        <v>Land of Spira</v>
      </c>
      <c r="AH11" s="32" t="b">
        <f>IFERROR(__xludf.DUMMYFUNCTION("""COMPUTED_VALUE"""),FALSE)</f>
        <v>0</v>
      </c>
      <c r="AI11" s="32"/>
      <c r="AJ11" s="32"/>
      <c r="AK11" s="32"/>
      <c r="AL11" s="32"/>
      <c r="AM11" s="32"/>
      <c r="AN11" s="32"/>
      <c r="AO11" s="32"/>
      <c r="AP11" s="32"/>
      <c r="AQ11" s="32"/>
      <c r="AR11" s="32"/>
      <c r="AS11" s="32"/>
      <c r="AT11" s="32"/>
      <c r="AU11" s="32"/>
      <c r="AV11" s="32"/>
      <c r="AW11" s="32"/>
      <c r="AX11" s="32"/>
    </row>
    <row r="12">
      <c r="A12" s="5" t="str">
        <f>IFERROR(__xludf.DUMMYFUNCTION("""COMPUTED_VALUE"""),"Aquatic Helmet of Atlantis")</f>
        <v>Aquatic Helmet of Atlantis</v>
      </c>
      <c r="B12" s="5" t="str">
        <f>IFERROR(__xludf.DUMMYFUNCTION("""COMPUTED_VALUE"""),"Head")</f>
        <v>Head</v>
      </c>
      <c r="C12" s="32"/>
      <c r="D12" s="5"/>
      <c r="E12" s="40">
        <f>IFERROR(__xludf.DUMMYFUNCTION("""COMPUTED_VALUE"""),300.0)</f>
        <v>300</v>
      </c>
      <c r="F12" s="40">
        <f>IFERROR(__xludf.DUMMYFUNCTION("""COMPUTED_VALUE"""),4350000.0)</f>
        <v>4350000</v>
      </c>
      <c r="G12" s="5" t="str">
        <f>IFERROR(__xludf.DUMMYFUNCTION("""COMPUTED_VALUE"""),"DEF")</f>
        <v>DEF</v>
      </c>
      <c r="H12" s="5">
        <f>IFERROR(__xludf.DUMMYFUNCTION("""COMPUTED_VALUE"""),7500.0)</f>
        <v>7500</v>
      </c>
      <c r="I12" s="32"/>
      <c r="J12" s="32"/>
      <c r="K12" s="32">
        <f>IFERROR(__xludf.DUMMYFUNCTION("""COMPUTED_VALUE"""),7500.0)</f>
        <v>7500</v>
      </c>
      <c r="L12" s="32"/>
      <c r="M12" s="32"/>
      <c r="N12" s="32"/>
      <c r="O12" s="32"/>
      <c r="P12" s="32"/>
      <c r="Q12" s="32"/>
      <c r="R12" s="32"/>
      <c r="S12" s="32"/>
      <c r="T12" s="32"/>
      <c r="U12" s="32"/>
      <c r="V12" s="32"/>
      <c r="W12" s="32"/>
      <c r="X12" s="32"/>
      <c r="Y12" s="32"/>
      <c r="Z12" s="32"/>
      <c r="AA12" s="32"/>
      <c r="AB12" s="32"/>
      <c r="AC12" s="32"/>
      <c r="AD12" s="32"/>
      <c r="AE12" s="32"/>
      <c r="AF12" s="32" t="str">
        <f>IFERROR(__xludf.DUMMYFUNCTION("""COMPUTED_VALUE"""),"++X6 additional water damage for self.")</f>
        <v>++X6 additional water damage for self.</v>
      </c>
      <c r="AG12" s="32" t="str">
        <f>IFERROR(__xludf.DUMMYFUNCTION("""COMPUTED_VALUE"""),"Land of Spira")</f>
        <v>Land of Spira</v>
      </c>
      <c r="AH12" s="32" t="b">
        <f>IFERROR(__xludf.DUMMYFUNCTION("""COMPUTED_VALUE"""),FALSE)</f>
        <v>0</v>
      </c>
      <c r="AI12" s="32"/>
      <c r="AJ12" s="32"/>
      <c r="AK12" s="32"/>
      <c r="AL12" s="32"/>
      <c r="AM12" s="32"/>
      <c r="AN12" s="32"/>
      <c r="AO12" s="32"/>
      <c r="AP12" s="32"/>
      <c r="AQ12" s="32"/>
      <c r="AR12" s="32"/>
      <c r="AS12" s="32"/>
      <c r="AT12" s="32"/>
      <c r="AU12" s="32"/>
      <c r="AV12" s="32"/>
      <c r="AW12" s="32"/>
      <c r="AX12" s="32"/>
    </row>
    <row r="13">
      <c r="A13" s="5" t="str">
        <f>IFERROR(__xludf.DUMMYFUNCTION("""COMPUTED_VALUE"""),"Aquatic Pauldrons of Atlantis")</f>
        <v>Aquatic Pauldrons of Atlantis</v>
      </c>
      <c r="B13" s="5" t="str">
        <f>IFERROR(__xludf.DUMMYFUNCTION("""COMPUTED_VALUE"""),"Shoulders")</f>
        <v>Shoulders</v>
      </c>
      <c r="C13" s="32"/>
      <c r="D13" s="5"/>
      <c r="E13" s="40">
        <f>IFERROR(__xludf.DUMMYFUNCTION("""COMPUTED_VALUE"""),300.0)</f>
        <v>300</v>
      </c>
      <c r="F13" s="40">
        <f>IFERROR(__xludf.DUMMYFUNCTION("""COMPUTED_VALUE"""),4350000.0)</f>
        <v>4350000</v>
      </c>
      <c r="G13" s="5" t="str">
        <f>IFERROR(__xludf.DUMMYFUNCTION("""COMPUTED_VALUE"""),"DEF")</f>
        <v>DEF</v>
      </c>
      <c r="H13" s="32">
        <f>IFERROR(__xludf.DUMMYFUNCTION("""COMPUTED_VALUE"""),7500.0)</f>
        <v>7500</v>
      </c>
      <c r="I13" s="32"/>
      <c r="J13" s="32"/>
      <c r="K13" s="32">
        <f>IFERROR(__xludf.DUMMYFUNCTION("""COMPUTED_VALUE"""),7500.0)</f>
        <v>7500</v>
      </c>
      <c r="L13" s="5"/>
      <c r="M13" s="32"/>
      <c r="N13" s="5"/>
      <c r="O13" s="32"/>
      <c r="P13" s="32"/>
      <c r="Q13" s="32"/>
      <c r="R13" s="32"/>
      <c r="S13" s="32"/>
      <c r="T13" s="32"/>
      <c r="U13" s="32"/>
      <c r="V13" s="32"/>
      <c r="W13" s="32"/>
      <c r="X13" s="32"/>
      <c r="Y13" s="32"/>
      <c r="Z13" s="32"/>
      <c r="AA13" s="32"/>
      <c r="AB13" s="32"/>
      <c r="AC13" s="32"/>
      <c r="AD13" s="32"/>
      <c r="AE13" s="32"/>
      <c r="AF13" s="32" t="str">
        <f>IFERROR(__xludf.DUMMYFUNCTION("""COMPUTED_VALUE"""),"++X6 additional water damage for self.")</f>
        <v>++X6 additional water damage for self.</v>
      </c>
      <c r="AG13" s="32" t="str">
        <f>IFERROR(__xludf.DUMMYFUNCTION("""COMPUTED_VALUE"""),"Land of Spira")</f>
        <v>Land of Spira</v>
      </c>
      <c r="AH13" s="32" t="b">
        <f>IFERROR(__xludf.DUMMYFUNCTION("""COMPUTED_VALUE"""),FALSE)</f>
        <v>0</v>
      </c>
      <c r="AI13" s="32"/>
      <c r="AJ13" s="32"/>
      <c r="AK13" s="32"/>
      <c r="AL13" s="32"/>
      <c r="AM13" s="32"/>
      <c r="AN13" s="32"/>
      <c r="AO13" s="32"/>
      <c r="AP13" s="32"/>
      <c r="AQ13" s="32"/>
      <c r="AR13" s="32"/>
      <c r="AS13" s="32"/>
      <c r="AT13" s="32"/>
      <c r="AU13" s="32"/>
      <c r="AV13" s="32"/>
      <c r="AW13" s="32"/>
      <c r="AX13" s="32"/>
    </row>
    <row r="14">
      <c r="A14" s="43" t="str">
        <f>IFERROR(__xludf.DUMMYFUNCTION("""COMPUTED_VALUE"""),"Aquatic Sword of Atlantis")</f>
        <v>Aquatic Sword of Atlantis</v>
      </c>
      <c r="B14" s="5" t="str">
        <f>IFERROR(__xludf.DUMMYFUNCTION("""COMPUTED_VALUE"""),"Hand")</f>
        <v>Hand</v>
      </c>
      <c r="C14" s="32"/>
      <c r="D14" s="5" t="str">
        <f>IFERROR(__xludf.DUMMYFUNCTION("""COMPUTED_VALUE"""),"Sword")</f>
        <v>Sword</v>
      </c>
      <c r="E14" s="40">
        <f>IFERROR(__xludf.DUMMYFUNCTION("""COMPUTED_VALUE"""),1200.0)</f>
        <v>1200</v>
      </c>
      <c r="F14" s="40">
        <f>IFERROR(__xludf.DUMMYFUNCTION("""COMPUTED_VALUE"""),7.14E7)</f>
        <v>71400000</v>
      </c>
      <c r="G14" s="5" t="str">
        <f>IFERROR(__xludf.DUMMYFUNCTION("""COMPUTED_VALUE"""),"DMG")</f>
        <v>DMG</v>
      </c>
      <c r="H14" s="33">
        <f>IFERROR(__xludf.DUMMYFUNCTION("""COMPUTED_VALUE"""),30000.0)</f>
        <v>30000</v>
      </c>
      <c r="I14" s="32"/>
      <c r="J14" s="32"/>
      <c r="K14" s="33">
        <f>IFERROR(__xludf.DUMMYFUNCTION("""COMPUTED_VALUE"""),30000.0)</f>
        <v>30000</v>
      </c>
      <c r="L14" s="32"/>
      <c r="M14" s="32"/>
      <c r="N14" s="32"/>
      <c r="O14" s="32"/>
      <c r="P14" s="32"/>
      <c r="Q14" s="32"/>
      <c r="R14" s="32"/>
      <c r="S14" s="32"/>
      <c r="T14" s="32"/>
      <c r="U14" s="32"/>
      <c r="V14" s="32"/>
      <c r="W14" s="32"/>
      <c r="X14" s="32"/>
      <c r="Y14" s="32"/>
      <c r="Z14" s="32"/>
      <c r="AA14" s="32"/>
      <c r="AB14" s="32"/>
      <c r="AC14" s="32"/>
      <c r="AD14" s="42"/>
      <c r="AE14" s="32"/>
      <c r="AF14" s="32"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32" t="str">
        <f>IFERROR(__xludf.DUMMYFUNCTION("""COMPUTED_VALUE"""),"Land of Spira")</f>
        <v>Land of Spira</v>
      </c>
      <c r="AH14" s="32" t="b">
        <f>IFERROR(__xludf.DUMMYFUNCTION("""COMPUTED_VALUE"""),FALSE)</f>
        <v>0</v>
      </c>
      <c r="AI14" s="32"/>
      <c r="AJ14" s="32"/>
      <c r="AK14" s="32"/>
      <c r="AL14" s="32"/>
      <c r="AM14" s="32"/>
      <c r="AN14" s="32"/>
      <c r="AO14" s="32"/>
      <c r="AP14" s="32"/>
      <c r="AQ14" s="32"/>
      <c r="AR14" s="32"/>
      <c r="AS14" s="32"/>
      <c r="AT14" s="32"/>
      <c r="AU14" s="32"/>
      <c r="AV14" s="32"/>
      <c r="AW14" s="32"/>
      <c r="AX14" s="32"/>
    </row>
    <row r="15">
      <c r="A15" s="43" t="str">
        <f>IFERROR(__xludf.DUMMYFUNCTION("""COMPUTED_VALUE"""),"Aquatic Vambraces of Atlantis")</f>
        <v>Aquatic Vambraces of Atlantis</v>
      </c>
      <c r="B15" s="5" t="str">
        <f>IFERROR(__xludf.DUMMYFUNCTION("""COMPUTED_VALUE"""),"Arms")</f>
        <v>Arms</v>
      </c>
      <c r="C15" s="32"/>
      <c r="D15" s="5"/>
      <c r="E15" s="40">
        <f>IFERROR(__xludf.DUMMYFUNCTION("""COMPUTED_VALUE"""),300.0)</f>
        <v>300</v>
      </c>
      <c r="F15" s="40">
        <f>IFERROR(__xludf.DUMMYFUNCTION("""COMPUTED_VALUE"""),4350000.0)</f>
        <v>4350000</v>
      </c>
      <c r="G15" s="5" t="str">
        <f>IFERROR(__xludf.DUMMYFUNCTION("""COMPUTED_VALUE"""),"DEF")</f>
        <v>DEF</v>
      </c>
      <c r="H15" s="32">
        <f>IFERROR(__xludf.DUMMYFUNCTION("""COMPUTED_VALUE"""),7500.0)</f>
        <v>7500</v>
      </c>
      <c r="I15" s="32"/>
      <c r="J15" s="32"/>
      <c r="K15" s="32">
        <f>IFERROR(__xludf.DUMMYFUNCTION("""COMPUTED_VALUE"""),7500.0)</f>
        <v>7500</v>
      </c>
      <c r="L15" s="5"/>
      <c r="M15" s="32"/>
      <c r="N15" s="32"/>
      <c r="O15" s="32"/>
      <c r="P15" s="32"/>
      <c r="Q15" s="32"/>
      <c r="R15" s="5"/>
      <c r="S15" s="32"/>
      <c r="T15" s="32"/>
      <c r="U15" s="32"/>
      <c r="V15" s="32"/>
      <c r="W15" s="32"/>
      <c r="X15" s="32"/>
      <c r="Y15" s="32"/>
      <c r="Z15" s="32"/>
      <c r="AA15" s="32"/>
      <c r="AB15" s="32"/>
      <c r="AC15" s="32"/>
      <c r="AD15" s="32"/>
      <c r="AE15" s="32"/>
      <c r="AF15" s="32" t="str">
        <f>IFERROR(__xludf.DUMMYFUNCTION("""COMPUTED_VALUE"""),"X6 additional water damage for self.")</f>
        <v>X6 additional water damage for self.</v>
      </c>
      <c r="AG15" s="32" t="str">
        <f>IFERROR(__xludf.DUMMYFUNCTION("""COMPUTED_VALUE"""),"Land of Spira")</f>
        <v>Land of Spira</v>
      </c>
      <c r="AH15" s="32" t="b">
        <f>IFERROR(__xludf.DUMMYFUNCTION("""COMPUTED_VALUE"""),FALSE)</f>
        <v>0</v>
      </c>
      <c r="AI15" s="32"/>
      <c r="AJ15" s="32"/>
      <c r="AK15" s="32"/>
      <c r="AL15" s="32"/>
      <c r="AM15" s="32"/>
      <c r="AN15" s="32"/>
      <c r="AO15" s="32"/>
      <c r="AP15" s="32"/>
      <c r="AQ15" s="32"/>
      <c r="AR15" s="32"/>
      <c r="AS15" s="32"/>
      <c r="AT15" s="32"/>
      <c r="AU15" s="32"/>
      <c r="AV15" s="32"/>
      <c r="AW15" s="32"/>
      <c r="AX15" s="32"/>
    </row>
    <row r="16">
      <c r="A16" s="5" t="str">
        <f>IFERROR(__xludf.DUMMYFUNCTION("""COMPUTED_VALUE"""),"Archer’s Cloaked Vest")</f>
        <v>Archer’s Cloaked Vest</v>
      </c>
      <c r="B16" s="5" t="str">
        <f>IFERROR(__xludf.DUMMYFUNCTION("""COMPUTED_VALUE"""),"Torso")</f>
        <v>Torso</v>
      </c>
      <c r="C16" s="32"/>
      <c r="D16" s="5"/>
      <c r="E16" s="40">
        <f>IFERROR(__xludf.DUMMYFUNCTION("""COMPUTED_VALUE"""),20.0)</f>
        <v>20</v>
      </c>
      <c r="F16" s="40">
        <f>IFERROR(__xludf.DUMMYFUNCTION("""COMPUTED_VALUE"""),1000.0)</f>
        <v>1000</v>
      </c>
      <c r="G16" s="5" t="str">
        <f>IFERROR(__xludf.DUMMYFUNCTION("""COMPUTED_VALUE"""),"DEF")</f>
        <v>DEF</v>
      </c>
      <c r="H16" s="32">
        <f>IFERROR(__xludf.DUMMYFUNCTION("""COMPUTED_VALUE"""),800.0)</f>
        <v>800</v>
      </c>
      <c r="I16" s="32"/>
      <c r="J16" s="32"/>
      <c r="K16" s="32"/>
      <c r="L16" s="5"/>
      <c r="M16" s="32"/>
      <c r="N16" s="32"/>
      <c r="O16" s="32"/>
      <c r="P16" s="32"/>
      <c r="Q16" s="32"/>
      <c r="R16" s="5"/>
      <c r="S16" s="32"/>
      <c r="T16" s="32"/>
      <c r="U16" s="32"/>
      <c r="V16" s="32"/>
      <c r="W16" s="32"/>
      <c r="X16" s="32"/>
      <c r="Y16" s="32"/>
      <c r="Z16" s="32"/>
      <c r="AA16" s="32"/>
      <c r="AB16" s="32"/>
      <c r="AC16" s="5"/>
      <c r="AD16" s="32"/>
      <c r="AE16" s="32"/>
      <c r="AF16" s="32"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32" t="str">
        <f>IFERROR(__xludf.DUMMYFUNCTION("""COMPUTED_VALUE"""),"Land of Spira")</f>
        <v>Land of Spira</v>
      </c>
      <c r="AH16" s="32" t="b">
        <f>IFERROR(__xludf.DUMMYFUNCTION("""COMPUTED_VALUE"""),FALSE)</f>
        <v>0</v>
      </c>
      <c r="AI16" s="32"/>
      <c r="AJ16" s="32"/>
      <c r="AK16" s="32"/>
      <c r="AL16" s="32"/>
      <c r="AM16" s="32"/>
      <c r="AN16" s="32"/>
      <c r="AO16" s="32"/>
      <c r="AP16" s="32"/>
      <c r="AQ16" s="32"/>
      <c r="AR16" s="32"/>
      <c r="AS16" s="32"/>
      <c r="AT16" s="32"/>
      <c r="AU16" s="32"/>
      <c r="AV16" s="32"/>
      <c r="AW16" s="32"/>
      <c r="AX16" s="32"/>
    </row>
    <row r="17">
      <c r="A17" s="43" t="str">
        <f>IFERROR(__xludf.DUMMYFUNCTION("""COMPUTED_VALUE"""),"Archers Boots")</f>
        <v>Archers Boots</v>
      </c>
      <c r="B17" s="5" t="str">
        <f>IFERROR(__xludf.DUMMYFUNCTION("""COMPUTED_VALUE"""),"Feet")</f>
        <v>Feet</v>
      </c>
      <c r="C17" s="32"/>
      <c r="D17" s="5"/>
      <c r="E17" s="40">
        <f>IFERROR(__xludf.DUMMYFUNCTION("""COMPUTED_VALUE"""),1.0)</f>
        <v>1</v>
      </c>
      <c r="F17" s="40">
        <f>IFERROR(__xludf.DUMMYFUNCTION("""COMPUTED_VALUE"""),0.0)</f>
        <v>0</v>
      </c>
      <c r="G17" s="5"/>
      <c r="H17" s="32"/>
      <c r="I17" s="32"/>
      <c r="J17" s="32"/>
      <c r="K17" s="32"/>
      <c r="L17" s="32"/>
      <c r="M17" s="32"/>
      <c r="N17" s="5"/>
      <c r="O17" s="5"/>
      <c r="P17" s="32"/>
      <c r="Q17" s="5"/>
      <c r="R17" s="32"/>
      <c r="S17" s="32"/>
      <c r="T17" s="32"/>
      <c r="U17" s="32"/>
      <c r="V17" s="32"/>
      <c r="W17" s="32"/>
      <c r="X17" s="32"/>
      <c r="Y17" s="32"/>
      <c r="Z17" s="32"/>
      <c r="AA17" s="32"/>
      <c r="AB17" s="32"/>
      <c r="AC17" s="32"/>
      <c r="AD17" s="42"/>
      <c r="AE17" s="32"/>
      <c r="AF17" s="32" t="str">
        <f>IFERROR(__xludf.DUMMYFUNCTION("""COMPUTED_VALUE"""),"(Ranger Set) ++5 evasion ++Only archers can equip, +-Cannot be duplicated or forged.")</f>
        <v>(Ranger Set) ++5 evasion ++Only archers can equip, +-Cannot be duplicated or forged.</v>
      </c>
      <c r="AG17" s="32" t="str">
        <f>IFERROR(__xludf.DUMMYFUNCTION("""COMPUTED_VALUE"""),"Land of Spira")</f>
        <v>Land of Spira</v>
      </c>
      <c r="AH17" s="32" t="b">
        <f>IFERROR(__xludf.DUMMYFUNCTION("""COMPUTED_VALUE"""),FALSE)</f>
        <v>0</v>
      </c>
      <c r="AI17" s="32"/>
      <c r="AJ17" s="32"/>
      <c r="AK17" s="32"/>
      <c r="AL17" s="32"/>
      <c r="AM17" s="32"/>
      <c r="AN17" s="32"/>
      <c r="AO17" s="32"/>
      <c r="AP17" s="32"/>
      <c r="AQ17" s="32"/>
      <c r="AR17" s="32"/>
      <c r="AS17" s="32"/>
      <c r="AT17" s="32"/>
      <c r="AU17" s="32"/>
      <c r="AV17" s="32"/>
      <c r="AW17" s="32"/>
      <c r="AX17" s="32"/>
    </row>
    <row r="18">
      <c r="A18" s="43" t="str">
        <f>IFERROR(__xludf.DUMMYFUNCTION("""COMPUTED_VALUE"""),"Archers Cloak")</f>
        <v>Archers Cloak</v>
      </c>
      <c r="B18" s="5" t="str">
        <f>IFERROR(__xludf.DUMMYFUNCTION("""COMPUTED_VALUE"""),"Torso")</f>
        <v>Torso</v>
      </c>
      <c r="C18" s="32"/>
      <c r="D18" s="5"/>
      <c r="E18" s="40">
        <f>IFERROR(__xludf.DUMMYFUNCTION("""COMPUTED_VALUE"""),1.0)</f>
        <v>1</v>
      </c>
      <c r="F18" s="40">
        <f>IFERROR(__xludf.DUMMYFUNCTION("""COMPUTED_VALUE"""),0.0)</f>
        <v>0</v>
      </c>
      <c r="G18" s="5"/>
      <c r="H18" s="32"/>
      <c r="I18" s="32"/>
      <c r="J18" s="5"/>
      <c r="K18" s="32"/>
      <c r="L18" s="32"/>
      <c r="M18" s="32"/>
      <c r="N18" s="32"/>
      <c r="O18" s="32"/>
      <c r="P18" s="32"/>
      <c r="Q18" s="32"/>
      <c r="R18" s="32"/>
      <c r="S18" s="32"/>
      <c r="T18" s="32"/>
      <c r="U18" s="32"/>
      <c r="V18" s="32"/>
      <c r="W18" s="32"/>
      <c r="X18" s="32"/>
      <c r="Y18" s="32"/>
      <c r="Z18" s="32"/>
      <c r="AA18" s="32"/>
      <c r="AB18" s="32"/>
      <c r="AC18" s="32"/>
      <c r="AD18" s="32"/>
      <c r="AE18" s="32"/>
      <c r="AF18" s="32" t="str">
        <f>IFERROR(__xludf.DUMMYFUNCTION("""COMPUTED_VALUE"""),"(Ranger Set) ++Ranged Spells cost half the sp cost ++Only archers can equip")</f>
        <v>(Ranger Set) ++Ranged Spells cost half the sp cost ++Only archers can equip</v>
      </c>
      <c r="AG18" s="32" t="str">
        <f>IFERROR(__xludf.DUMMYFUNCTION("""COMPUTED_VALUE"""),"Land of Spira")</f>
        <v>Land of Spira</v>
      </c>
      <c r="AH18" s="32" t="b">
        <f>IFERROR(__xludf.DUMMYFUNCTION("""COMPUTED_VALUE"""),FALSE)</f>
        <v>0</v>
      </c>
      <c r="AI18" s="32"/>
      <c r="AJ18" s="32"/>
      <c r="AK18" s="32"/>
      <c r="AL18" s="32"/>
      <c r="AM18" s="32"/>
      <c r="AN18" s="32"/>
      <c r="AO18" s="32"/>
      <c r="AP18" s="32"/>
      <c r="AQ18" s="32"/>
      <c r="AR18" s="32"/>
      <c r="AS18" s="32"/>
      <c r="AT18" s="32"/>
      <c r="AU18" s="32"/>
      <c r="AV18" s="32"/>
      <c r="AW18" s="32"/>
      <c r="AX18" s="32"/>
    </row>
    <row r="19">
      <c r="A19" s="43" t="str">
        <f>IFERROR(__xludf.DUMMYFUNCTION("""COMPUTED_VALUE"""),"Armor Of Cthulhu")</f>
        <v>Armor Of Cthulhu</v>
      </c>
      <c r="B19" s="5" t="str">
        <f>IFERROR(__xludf.DUMMYFUNCTION("""COMPUTED_VALUE"""),"Torso")</f>
        <v>Torso</v>
      </c>
      <c r="C19" s="32"/>
      <c r="D19" s="5"/>
      <c r="E19" s="40">
        <f>IFERROR(__xludf.DUMMYFUNCTION("""COMPUTED_VALUE"""),400.0)</f>
        <v>400</v>
      </c>
      <c r="F19" s="40">
        <f>IFERROR(__xludf.DUMMYFUNCTION("""COMPUTED_VALUE"""),7800000.0)</f>
        <v>7800000</v>
      </c>
      <c r="G19" s="5" t="str">
        <f>IFERROR(__xludf.DUMMYFUNCTION("""COMPUTED_VALUE"""),"DEF")</f>
        <v>DEF</v>
      </c>
      <c r="H19" s="32">
        <f>IFERROR(__xludf.DUMMYFUNCTION("""COMPUTED_VALUE"""),20000.0)</f>
        <v>20000</v>
      </c>
      <c r="I19" s="32"/>
      <c r="J19" s="32"/>
      <c r="K19" s="32"/>
      <c r="L19" s="32"/>
      <c r="M19" s="32"/>
      <c r="N19" s="32"/>
      <c r="O19" s="32"/>
      <c r="P19" s="32"/>
      <c r="Q19" s="32"/>
      <c r="R19" s="32"/>
      <c r="S19" s="32"/>
      <c r="T19" s="32"/>
      <c r="U19" s="32"/>
      <c r="V19" s="32"/>
      <c r="W19" s="32"/>
      <c r="X19" s="32"/>
      <c r="Y19" s="32"/>
      <c r="Z19" s="32"/>
      <c r="AA19" s="32"/>
      <c r="AB19" s="32"/>
      <c r="AC19" s="32"/>
      <c r="AD19" s="5"/>
      <c r="AE19" s="32"/>
      <c r="AF19" s="32"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32" t="str">
        <f>IFERROR(__xludf.DUMMYFUNCTION("""COMPUTED_VALUE"""),"Land of Spira")</f>
        <v>Land of Spira</v>
      </c>
      <c r="AH19" s="32" t="b">
        <f>IFERROR(__xludf.DUMMYFUNCTION("""COMPUTED_VALUE"""),FALSE)</f>
        <v>0</v>
      </c>
      <c r="AI19" s="32"/>
      <c r="AJ19" s="32"/>
      <c r="AK19" s="32"/>
      <c r="AL19" s="32"/>
      <c r="AM19" s="32"/>
      <c r="AN19" s="32"/>
      <c r="AO19" s="32"/>
      <c r="AP19" s="32"/>
      <c r="AQ19" s="32"/>
      <c r="AR19" s="32"/>
      <c r="AS19" s="32"/>
      <c r="AT19" s="32"/>
      <c r="AU19" s="32"/>
      <c r="AV19" s="32"/>
      <c r="AW19" s="32"/>
      <c r="AX19" s="32"/>
    </row>
    <row r="20">
      <c r="A20" s="5"/>
      <c r="B20" s="5" t="str">
        <f>IFERROR(__xludf.DUMMYFUNCTION("""COMPUTED_VALUE"""),"Torso")</f>
        <v>Torso</v>
      </c>
      <c r="C20" s="5"/>
      <c r="D20" s="5"/>
      <c r="E20" s="40">
        <f>IFERROR(__xludf.DUMMYFUNCTION("""COMPUTED_VALUE"""),200.0)</f>
        <v>200</v>
      </c>
      <c r="F20" s="40">
        <f>IFERROR(__xludf.DUMMYFUNCTION("""COMPUTED_VALUE"""),1900000.0)</f>
        <v>1900000</v>
      </c>
      <c r="G20" s="5" t="str">
        <f>IFERROR(__xludf.DUMMYFUNCTION("""COMPUTED_VALUE"""),"DEF")</f>
        <v>DEF</v>
      </c>
      <c r="H20" s="33">
        <f>IFERROR(__xludf.DUMMYFUNCTION("""COMPUTED_VALUE"""),10000.0)</f>
        <v>10000</v>
      </c>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t="str">
        <f>IFERROR(__xludf.DUMMYFUNCTION("""COMPUTED_VALUE"""),"Land of Spira")</f>
        <v>Land of Spira</v>
      </c>
      <c r="AH20" s="32" t="b">
        <f>IFERROR(__xludf.DUMMYFUNCTION("""COMPUTED_VALUE"""),FALSE)</f>
        <v>0</v>
      </c>
      <c r="AI20" s="32"/>
      <c r="AJ20" s="32"/>
      <c r="AK20" s="32"/>
      <c r="AL20" s="32"/>
      <c r="AM20" s="32"/>
      <c r="AN20" s="32"/>
      <c r="AO20" s="32"/>
      <c r="AP20" s="32"/>
      <c r="AQ20" s="32"/>
      <c r="AR20" s="32"/>
      <c r="AS20" s="32"/>
      <c r="AT20" s="32"/>
      <c r="AU20" s="32"/>
      <c r="AV20" s="32"/>
      <c r="AW20" s="32"/>
      <c r="AX20" s="32"/>
    </row>
    <row r="21">
      <c r="A21" s="43"/>
      <c r="B21" s="5" t="str">
        <f>IFERROR(__xludf.DUMMYFUNCTION("""COMPUTED_VALUE"""),"Torso")</f>
        <v>Torso</v>
      </c>
      <c r="C21" s="32" t="str">
        <f>IFERROR(__xludf.DUMMYFUNCTION("""COMPUTED_VALUE"""),"Winter Event Exclusive")</f>
        <v>Winter Event Exclusive</v>
      </c>
      <c r="D21" s="5"/>
      <c r="E21" s="40">
        <f>IFERROR(__xludf.DUMMYFUNCTION("""COMPUTED_VALUE"""),800.0)</f>
        <v>800</v>
      </c>
      <c r="F21" s="40">
        <f>IFERROR(__xludf.DUMMYFUNCTION("""COMPUTED_VALUE"""),3.16E7)</f>
        <v>31600000</v>
      </c>
      <c r="G21" s="42"/>
      <c r="H21" s="33">
        <f>IFERROR(__xludf.DUMMYFUNCTION("""COMPUTED_VALUE"""),20000.0)</f>
        <v>20000</v>
      </c>
      <c r="I21" s="33">
        <f>IFERROR(__xludf.DUMMYFUNCTION("""COMPUTED_VALUE"""),20000.0)</f>
        <v>20000</v>
      </c>
      <c r="J21" s="32"/>
      <c r="K21" s="32"/>
      <c r="L21" s="32"/>
      <c r="M21" s="32"/>
      <c r="N21" s="42"/>
      <c r="O21" s="32"/>
      <c r="P21" s="32"/>
      <c r="Q21" s="32"/>
      <c r="R21" s="32"/>
      <c r="S21" s="32"/>
      <c r="T21" s="32"/>
      <c r="U21" s="32"/>
      <c r="V21" s="32"/>
      <c r="W21" s="32"/>
      <c r="X21" s="32"/>
      <c r="Y21" s="32"/>
      <c r="Z21" s="32"/>
      <c r="AA21" s="32"/>
      <c r="AB21" s="32"/>
      <c r="AC21" s="32"/>
      <c r="AD21" s="42"/>
      <c r="AE21" s="32"/>
      <c r="AF21" s="32"/>
      <c r="AG21" s="32" t="str">
        <f>IFERROR(__xludf.DUMMYFUNCTION("""COMPUTED_VALUE"""),"Land of Spira")</f>
        <v>Land of Spira</v>
      </c>
      <c r="AH21" s="32" t="b">
        <f>IFERROR(__xludf.DUMMYFUNCTION("""COMPUTED_VALUE"""),FALSE)</f>
        <v>0</v>
      </c>
      <c r="AI21" s="32"/>
      <c r="AJ21" s="32"/>
      <c r="AK21" s="32"/>
      <c r="AL21" s="32"/>
      <c r="AM21" s="32"/>
      <c r="AN21" s="32"/>
      <c r="AO21" s="32"/>
      <c r="AP21" s="32"/>
      <c r="AQ21" s="32"/>
      <c r="AR21" s="32"/>
      <c r="AS21" s="32"/>
      <c r="AT21" s="32"/>
      <c r="AU21" s="32"/>
      <c r="AV21" s="32"/>
      <c r="AW21" s="32"/>
      <c r="AX21" s="32"/>
    </row>
    <row r="22">
      <c r="A22" s="43" t="str">
        <f>IFERROR(__xludf.DUMMYFUNCTION("""COMPUTED_VALUE"""),"Armor Of Zeldron")</f>
        <v>Armor Of Zeldron</v>
      </c>
      <c r="B22" s="5" t="str">
        <f>IFERROR(__xludf.DUMMYFUNCTION("""COMPUTED_VALUE"""),"Torso")</f>
        <v>Torso</v>
      </c>
      <c r="C22" s="32" t="str">
        <f>IFERROR(__xludf.DUMMYFUNCTION("""COMPUTED_VALUE"""),"Made of gold")</f>
        <v>Made of gold</v>
      </c>
      <c r="D22" s="5"/>
      <c r="E22" s="40">
        <f>IFERROR(__xludf.DUMMYFUNCTION("""COMPUTED_VALUE"""),400.0)</f>
        <v>400</v>
      </c>
      <c r="F22" s="44">
        <f>IFERROR(__xludf.DUMMYFUNCTION("""COMPUTED_VALUE"""),7800000.0)</f>
        <v>7800000</v>
      </c>
      <c r="G22" s="32" t="str">
        <f>IFERROR(__xludf.DUMMYFUNCTION("""COMPUTED_VALUE"""),"DEF")</f>
        <v>DEF</v>
      </c>
      <c r="H22" s="41">
        <f>IFERROR(__xludf.DUMMYFUNCTION("""COMPUTED_VALUE"""),10000.0)</f>
        <v>10000</v>
      </c>
      <c r="I22" s="32"/>
      <c r="J22" s="32"/>
      <c r="K22" s="32"/>
      <c r="L22" s="32"/>
      <c r="M22" s="32"/>
      <c r="N22" s="32"/>
      <c r="O22" s="32"/>
      <c r="P22" s="32"/>
      <c r="Q22" s="33">
        <f>IFERROR(__xludf.DUMMYFUNCTION("""COMPUTED_VALUE"""),10000.0)</f>
        <v>10000</v>
      </c>
      <c r="R22" s="32"/>
      <c r="S22" s="32"/>
      <c r="T22" s="32"/>
      <c r="U22" s="32"/>
      <c r="V22" s="32"/>
      <c r="W22" s="32"/>
      <c r="X22" s="32"/>
      <c r="Y22" s="32"/>
      <c r="Z22" s="32"/>
      <c r="AA22" s="32"/>
      <c r="AB22" s="32"/>
      <c r="AC22" s="32"/>
      <c r="AD22" s="42"/>
      <c r="AE22" s="32"/>
      <c r="AF22" s="32"/>
      <c r="AG22" s="32" t="str">
        <f>IFERROR(__xludf.DUMMYFUNCTION("""COMPUTED_VALUE"""),"Land of Spira")</f>
        <v>Land of Spira</v>
      </c>
      <c r="AH22" s="32" t="b">
        <f>IFERROR(__xludf.DUMMYFUNCTION("""COMPUTED_VALUE"""),TRUE)</f>
        <v>1</v>
      </c>
      <c r="AI22" s="32"/>
      <c r="AJ22" s="32"/>
      <c r="AK22" s="32"/>
      <c r="AL22" s="32"/>
      <c r="AM22" s="32"/>
      <c r="AN22" s="32"/>
      <c r="AO22" s="32"/>
      <c r="AP22" s="32"/>
      <c r="AQ22" s="32"/>
      <c r="AR22" s="32"/>
      <c r="AS22" s="32"/>
      <c r="AT22" s="32"/>
      <c r="AU22" s="32"/>
      <c r="AV22" s="32"/>
      <c r="AW22" s="32"/>
      <c r="AX22" s="32"/>
    </row>
    <row r="23">
      <c r="A23" s="43" t="str">
        <f>IFERROR(__xludf.DUMMYFUNCTION("""COMPUTED_VALUE"""),"Ashen Pole Axe")</f>
        <v>Ashen Pole Axe</v>
      </c>
      <c r="B23" s="5" t="str">
        <f>IFERROR(__xludf.DUMMYFUNCTION("""COMPUTED_VALUE"""),"Hand")</f>
        <v>Hand</v>
      </c>
      <c r="C23" s="32"/>
      <c r="D23" s="5" t="str">
        <f>IFERROR(__xludf.DUMMYFUNCTION("""COMPUTED_VALUE"""),"Axe")</f>
        <v>Axe</v>
      </c>
      <c r="E23" s="40">
        <f>IFERROR(__xludf.DUMMYFUNCTION("""COMPUTED_VALUE"""),20.0)</f>
        <v>20</v>
      </c>
      <c r="F23" s="44">
        <f>IFERROR(__xludf.DUMMYFUNCTION("""COMPUTED_VALUE"""),10000.0)</f>
        <v>10000</v>
      </c>
      <c r="G23" s="32" t="str">
        <f>IFERROR(__xludf.DUMMYFUNCTION("""COMPUTED_VALUE"""),"DMG")</f>
        <v>DMG</v>
      </c>
      <c r="H23" s="32">
        <f>IFERROR(__xludf.DUMMYFUNCTION("""COMPUTED_VALUE"""),500.0)</f>
        <v>500</v>
      </c>
      <c r="I23" s="32">
        <f>IFERROR(__xludf.DUMMYFUNCTION("""COMPUTED_VALUE"""),500.0)</f>
        <v>500</v>
      </c>
      <c r="J23" s="32"/>
      <c r="K23" s="32"/>
      <c r="L23" s="32"/>
      <c r="M23" s="32"/>
      <c r="N23" s="32"/>
      <c r="O23" s="32"/>
      <c r="P23" s="32"/>
      <c r="Q23" s="32"/>
      <c r="R23" s="32"/>
      <c r="S23" s="32"/>
      <c r="T23" s="32"/>
      <c r="U23" s="32"/>
      <c r="V23" s="32"/>
      <c r="W23" s="32"/>
      <c r="X23" s="32"/>
      <c r="Y23" s="32"/>
      <c r="Z23" s="32"/>
      <c r="AA23" s="32"/>
      <c r="AB23" s="32"/>
      <c r="AC23" s="32"/>
      <c r="AD23" s="42"/>
      <c r="AE23" s="32"/>
      <c r="AF23" s="32" t="str">
        <f>IFERROR(__xludf.DUMMYFUNCTION("""COMPUTED_VALUE"""),"++Inflicts Burn 500")</f>
        <v>++Inflicts Burn 500</v>
      </c>
      <c r="AG23" s="32" t="str">
        <f>IFERROR(__xludf.DUMMYFUNCTION("""COMPUTED_VALUE"""),"Land of Spira")</f>
        <v>Land of Spira</v>
      </c>
      <c r="AH23" s="32" t="b">
        <f>IFERROR(__xludf.DUMMYFUNCTION("""COMPUTED_VALUE"""),FALSE)</f>
        <v>0</v>
      </c>
      <c r="AI23" s="32"/>
      <c r="AJ23" s="32"/>
      <c r="AK23" s="32"/>
      <c r="AL23" s="32"/>
      <c r="AM23" s="32"/>
      <c r="AN23" s="32"/>
      <c r="AO23" s="32"/>
      <c r="AP23" s="32"/>
      <c r="AQ23" s="32"/>
      <c r="AR23" s="32"/>
      <c r="AS23" s="32"/>
      <c r="AT23" s="32"/>
      <c r="AU23" s="32"/>
      <c r="AV23" s="32"/>
      <c r="AW23" s="32"/>
      <c r="AX23" s="32"/>
    </row>
    <row r="24">
      <c r="A24" s="43" t="str">
        <f>IFERROR(__xludf.DUMMYFUNCTION("""COMPUTED_VALUE"""),"Bamboo Spear")</f>
        <v>Bamboo Spear</v>
      </c>
      <c r="B24" s="5" t="str">
        <f>IFERROR(__xludf.DUMMYFUNCTION("""COMPUTED_VALUE"""),"Hand")</f>
        <v>Hand</v>
      </c>
      <c r="C24" s="32"/>
      <c r="D24" s="5" t="str">
        <f>IFERROR(__xludf.DUMMYFUNCTION("""COMPUTED_VALUE"""),"Spear")</f>
        <v>Spear</v>
      </c>
      <c r="E24" s="40">
        <f>IFERROR(__xludf.DUMMYFUNCTION("""COMPUTED_VALUE"""),60.0)</f>
        <v>60</v>
      </c>
      <c r="F24" s="40">
        <f>IFERROR(__xludf.DUMMYFUNCTION("""COMPUTED_VALUE"""),150000.0)</f>
        <v>150000</v>
      </c>
      <c r="G24" s="32" t="str">
        <f>IFERROR(__xludf.DUMMYFUNCTION("""COMPUTED_VALUE"""),"DMG")</f>
        <v>DMG</v>
      </c>
      <c r="H24" s="32">
        <f>IFERROR(__xludf.DUMMYFUNCTION("""COMPUTED_VALUE"""),1000.0)</f>
        <v>1000</v>
      </c>
      <c r="I24" s="32"/>
      <c r="J24" s="32"/>
      <c r="K24" s="32"/>
      <c r="L24" s="32"/>
      <c r="M24" s="32"/>
      <c r="N24" s="32"/>
      <c r="O24" s="32"/>
      <c r="P24" s="32"/>
      <c r="Q24" s="5"/>
      <c r="R24" s="32"/>
      <c r="S24" s="32">
        <f>IFERROR(__xludf.DUMMYFUNCTION("""COMPUTED_VALUE"""),1000.0)</f>
        <v>1000</v>
      </c>
      <c r="T24" s="32"/>
      <c r="U24" s="32"/>
      <c r="V24" s="32"/>
      <c r="W24" s="32"/>
      <c r="X24" s="32"/>
      <c r="Y24" s="32">
        <f>IFERROR(__xludf.DUMMYFUNCTION("""COMPUTED_VALUE"""),1000.0)</f>
        <v>1000</v>
      </c>
      <c r="Z24" s="32"/>
      <c r="AA24" s="32"/>
      <c r="AB24" s="32"/>
      <c r="AC24" s="32"/>
      <c r="AD24" s="42"/>
      <c r="AE24" s="32"/>
      <c r="AF24" s="32" t="str">
        <f>IFERROR(__xludf.DUMMYFUNCTION("""COMPUTED_VALUE"""),"++When striking an enemy with this weapon, they X2 additional Nature damage.")</f>
        <v>++When striking an enemy with this weapon, they X2 additional Nature damage.</v>
      </c>
      <c r="AG24" s="32" t="str">
        <f>IFERROR(__xludf.DUMMYFUNCTION("""COMPUTED_VALUE"""),"Land of Spira")</f>
        <v>Land of Spira</v>
      </c>
      <c r="AH24" s="32" t="b">
        <f>IFERROR(__xludf.DUMMYFUNCTION("""COMPUTED_VALUE"""),FALSE)</f>
        <v>0</v>
      </c>
      <c r="AI24" s="32"/>
      <c r="AJ24" s="32"/>
      <c r="AK24" s="32"/>
      <c r="AL24" s="32"/>
      <c r="AM24" s="32"/>
      <c r="AN24" s="32"/>
      <c r="AO24" s="32"/>
      <c r="AP24" s="32"/>
      <c r="AQ24" s="32"/>
      <c r="AR24" s="32"/>
      <c r="AS24" s="32"/>
      <c r="AT24" s="32"/>
      <c r="AU24" s="32"/>
      <c r="AV24" s="32"/>
      <c r="AW24" s="32"/>
      <c r="AX24" s="32"/>
    </row>
    <row r="25">
      <c r="A25" s="5" t="str">
        <f>IFERROR(__xludf.DUMMYFUNCTION("""COMPUTED_VALUE"""),"Baosheng’s Restore Pendant")</f>
        <v>Baosheng’s Restore Pendant</v>
      </c>
      <c r="B25" s="5" t="str">
        <f>IFERROR(__xludf.DUMMYFUNCTION("""COMPUTED_VALUE"""),"Neck")</f>
        <v>Neck</v>
      </c>
      <c r="C25" s="32"/>
      <c r="D25" s="5"/>
      <c r="E25" s="40">
        <f>IFERROR(__xludf.DUMMYFUNCTION("""COMPUTED_VALUE"""),1.0)</f>
        <v>1</v>
      </c>
      <c r="F25" s="40">
        <f>IFERROR(__xludf.DUMMYFUNCTION("""COMPUTED_VALUE"""),0.0)</f>
        <v>0</v>
      </c>
      <c r="G25" s="32"/>
      <c r="H25" s="32"/>
      <c r="I25" s="32"/>
      <c r="J25" s="32"/>
      <c r="K25" s="32"/>
      <c r="L25" s="32"/>
      <c r="M25" s="32"/>
      <c r="N25" s="5"/>
      <c r="O25" s="32"/>
      <c r="P25" s="32"/>
      <c r="Q25" s="5"/>
      <c r="R25" s="32"/>
      <c r="S25" s="32"/>
      <c r="T25" s="32"/>
      <c r="U25" s="32"/>
      <c r="V25" s="32"/>
      <c r="W25" s="32"/>
      <c r="X25" s="32"/>
      <c r="Y25" s="32"/>
      <c r="Z25" s="32"/>
      <c r="AA25" s="32"/>
      <c r="AB25" s="32"/>
      <c r="AC25" s="32"/>
      <c r="AD25" s="32"/>
      <c r="AE25" s="32"/>
      <c r="AF25" s="32" t="str">
        <f>IFERROR(__xludf.DUMMYFUNCTION("""COMPUTED_VALUE"""),"++Restores 100 HP and SP per round during battle.")</f>
        <v>++Restores 100 HP and SP per round during battle.</v>
      </c>
      <c r="AG25" s="32" t="str">
        <f>IFERROR(__xludf.DUMMYFUNCTION("""COMPUTED_VALUE"""),"Land of Spira")</f>
        <v>Land of Spira</v>
      </c>
      <c r="AH25" s="32" t="b">
        <f>IFERROR(__xludf.DUMMYFUNCTION("""COMPUTED_VALUE"""),FALSE)</f>
        <v>0</v>
      </c>
      <c r="AI25" s="32"/>
      <c r="AJ25" s="32"/>
      <c r="AK25" s="32"/>
      <c r="AL25" s="32"/>
      <c r="AM25" s="32"/>
      <c r="AN25" s="32"/>
      <c r="AO25" s="32"/>
      <c r="AP25" s="32"/>
      <c r="AQ25" s="32"/>
      <c r="AR25" s="32"/>
      <c r="AS25" s="32"/>
      <c r="AT25" s="32"/>
      <c r="AU25" s="32"/>
      <c r="AV25" s="32"/>
      <c r="AW25" s="32"/>
      <c r="AX25" s="32"/>
    </row>
    <row r="26">
      <c r="A26" s="5" t="str">
        <f>IFERROR(__xludf.DUMMYFUNCTION("""COMPUTED_VALUE"""),"Basic Cannon")</f>
        <v>Basic Cannon</v>
      </c>
      <c r="B26" s="5" t="str">
        <f>IFERROR(__xludf.DUMMYFUNCTION("""COMPUTED_VALUE"""),"BoatGun")</f>
        <v>BoatGun</v>
      </c>
      <c r="C26" s="32"/>
      <c r="D26" s="5" t="str">
        <f>IFERROR(__xludf.DUMMYFUNCTION("""COMPUTED_VALUE"""),"Firearm")</f>
        <v>Firearm</v>
      </c>
      <c r="E26" s="40">
        <f>IFERROR(__xludf.DUMMYFUNCTION("""COMPUTED_VALUE"""),400.0)</f>
        <v>400</v>
      </c>
      <c r="F26" s="44">
        <f>IFERROR(__xludf.DUMMYFUNCTION("""COMPUTED_VALUE"""),7800000.0)</f>
        <v>7800000</v>
      </c>
      <c r="G26" s="32" t="str">
        <f>IFERROR(__xludf.DUMMYFUNCTION("""COMPUTED_VALUE"""),"DMG")</f>
        <v>DMG</v>
      </c>
      <c r="H26" s="33">
        <f>IFERROR(__xludf.DUMMYFUNCTION("""COMPUTED_VALUE"""),20000.0)</f>
        <v>20000</v>
      </c>
      <c r="I26" s="32"/>
      <c r="J26" s="32"/>
      <c r="K26" s="32"/>
      <c r="L26" s="32"/>
      <c r="M26" s="32"/>
      <c r="N26" s="32"/>
      <c r="O26" s="32"/>
      <c r="P26" s="32"/>
      <c r="Q26" s="32"/>
      <c r="R26" s="32"/>
      <c r="S26" s="32"/>
      <c r="T26" s="32"/>
      <c r="U26" s="32"/>
      <c r="V26" s="32"/>
      <c r="W26" s="32"/>
      <c r="X26" s="32"/>
      <c r="Y26" s="32"/>
      <c r="Z26" s="32"/>
      <c r="AA26" s="32"/>
      <c r="AB26" s="32"/>
      <c r="AC26" s="32"/>
      <c r="AD26" s="5"/>
      <c r="AE26" s="32"/>
      <c r="AF26" s="32"/>
      <c r="AG26" s="32" t="str">
        <f>IFERROR(__xludf.DUMMYFUNCTION("""COMPUTED_VALUE"""),"Land of Spira")</f>
        <v>Land of Spira</v>
      </c>
      <c r="AH26" s="32" t="b">
        <f>IFERROR(__xludf.DUMMYFUNCTION("""COMPUTED_VALUE"""),FALSE)</f>
        <v>0</v>
      </c>
      <c r="AI26" s="32"/>
      <c r="AJ26" s="32"/>
      <c r="AK26" s="32"/>
      <c r="AL26" s="32"/>
      <c r="AM26" s="32"/>
      <c r="AN26" s="32"/>
      <c r="AO26" s="32"/>
      <c r="AP26" s="32"/>
      <c r="AQ26" s="32"/>
      <c r="AR26" s="32"/>
      <c r="AS26" s="32"/>
      <c r="AT26" s="32"/>
      <c r="AU26" s="32"/>
      <c r="AV26" s="32"/>
      <c r="AW26" s="32"/>
      <c r="AX26" s="32"/>
    </row>
    <row r="27">
      <c r="A27" s="5" t="str">
        <f>IFERROR(__xludf.DUMMYFUNCTION("""COMPUTED_VALUE"""),"Beltane Floral crown")</f>
        <v>Beltane Floral crown</v>
      </c>
      <c r="B27" s="5" t="str">
        <f>IFERROR(__xludf.DUMMYFUNCTION("""COMPUTED_VALUE"""),"Head")</f>
        <v>Head</v>
      </c>
      <c r="C27" s="32"/>
      <c r="D27" s="5"/>
      <c r="E27" s="40">
        <f>IFERROR(__xludf.DUMMYFUNCTION("""COMPUTED_VALUE"""),1.0)</f>
        <v>1</v>
      </c>
      <c r="F27" s="40">
        <f>IFERROR(__xludf.DUMMYFUNCTION("""COMPUTED_VALUE"""),0.0)</f>
        <v>0</v>
      </c>
      <c r="G27" s="32"/>
      <c r="H27" s="32"/>
      <c r="I27" s="32"/>
      <c r="J27" s="5"/>
      <c r="K27" s="32"/>
      <c r="L27" s="32"/>
      <c r="M27" s="32"/>
      <c r="N27" s="32"/>
      <c r="O27" s="32"/>
      <c r="P27" s="32"/>
      <c r="Q27" s="32"/>
      <c r="R27" s="32"/>
      <c r="S27" s="32"/>
      <c r="T27" s="32"/>
      <c r="U27" s="32"/>
      <c r="V27" s="32"/>
      <c r="W27" s="32"/>
      <c r="X27" s="32"/>
      <c r="Y27" s="32"/>
      <c r="Z27" s="32"/>
      <c r="AA27" s="32"/>
      <c r="AB27" s="32"/>
      <c r="AC27" s="32"/>
      <c r="AD27" s="5"/>
      <c r="AE27" s="32"/>
      <c r="AF27" s="32" t="str">
        <f>IFERROR(__xludf.DUMMYFUNCTION("""COMPUTED_VALUE"""),"++Grants immunity to Nature.")</f>
        <v>++Grants immunity to Nature.</v>
      </c>
      <c r="AG27" s="32" t="str">
        <f>IFERROR(__xludf.DUMMYFUNCTION("""COMPUTED_VALUE"""),"Land of Spira")</f>
        <v>Land of Spira</v>
      </c>
      <c r="AH27" s="32" t="b">
        <f>IFERROR(__xludf.DUMMYFUNCTION("""COMPUTED_VALUE"""),FALSE)</f>
        <v>0</v>
      </c>
      <c r="AI27" s="32"/>
      <c r="AJ27" s="32"/>
      <c r="AK27" s="32"/>
      <c r="AL27" s="32"/>
      <c r="AM27" s="32"/>
      <c r="AN27" s="32"/>
      <c r="AO27" s="32"/>
      <c r="AP27" s="32"/>
      <c r="AQ27" s="32"/>
      <c r="AR27" s="32"/>
      <c r="AS27" s="32"/>
      <c r="AT27" s="32"/>
      <c r="AU27" s="32"/>
      <c r="AV27" s="32"/>
      <c r="AW27" s="32"/>
      <c r="AX27" s="32"/>
    </row>
    <row r="28">
      <c r="A28" s="5" t="str">
        <f>IFERROR(__xludf.DUMMYFUNCTION("""COMPUTED_VALUE"""),"Beta Sword")</f>
        <v>Beta Sword</v>
      </c>
      <c r="B28" s="5" t="str">
        <f>IFERROR(__xludf.DUMMYFUNCTION("""COMPUTED_VALUE"""),"Hand")</f>
        <v>Hand</v>
      </c>
      <c r="C28" s="32"/>
      <c r="D28" s="5"/>
      <c r="E28" s="40">
        <f>IFERROR(__xludf.DUMMYFUNCTION("""COMPUTED_VALUE"""),3000.0)</f>
        <v>3000</v>
      </c>
      <c r="F28" s="40">
        <f>IFERROR(__xludf.DUMMYFUNCTION("""COMPUTED_VALUE"""),4.485E8)</f>
        <v>448500000</v>
      </c>
      <c r="G28" s="5" t="str">
        <f>IFERROR(__xludf.DUMMYFUNCTION("""COMPUTED_VALUE"""),"DMG")</f>
        <v>DMG</v>
      </c>
      <c r="H28" s="33">
        <f>IFERROR(__xludf.DUMMYFUNCTION("""COMPUTED_VALUE"""),125000.0)</f>
        <v>125000</v>
      </c>
      <c r="I28" s="32"/>
      <c r="J28" s="32"/>
      <c r="K28" s="32"/>
      <c r="L28" s="32"/>
      <c r="M28" s="32"/>
      <c r="N28" s="32"/>
      <c r="O28" s="33">
        <f>IFERROR(__xludf.DUMMYFUNCTION("""COMPUTED_VALUE"""),25000.0)</f>
        <v>25000</v>
      </c>
      <c r="P28" s="32"/>
      <c r="Q28" s="32"/>
      <c r="R28" s="32"/>
      <c r="S28" s="32"/>
      <c r="T28" s="32"/>
      <c r="U28" s="32"/>
      <c r="V28" s="32"/>
      <c r="W28" s="32"/>
      <c r="X28" s="32"/>
      <c r="Y28" s="32"/>
      <c r="Z28" s="32"/>
      <c r="AA28" s="32"/>
      <c r="AB28" s="32"/>
      <c r="AC28" s="32"/>
      <c r="AD28" s="32"/>
      <c r="AE28" s="32"/>
      <c r="AF28" s="32" t="str">
        <f>IFERROR(__xludf.DUMMYFUNCTION("""COMPUTED_VALUE"""),"++Allows you to use another party members companion on your turn as a second action.")</f>
        <v>++Allows you to use another party members companion on your turn as a second action.</v>
      </c>
      <c r="AG28" s="32" t="str">
        <f>IFERROR(__xludf.DUMMYFUNCTION("""COMPUTED_VALUE"""),"Abstara")</f>
        <v>Abstara</v>
      </c>
      <c r="AH28" s="32" t="b">
        <f>IFERROR(__xludf.DUMMYFUNCTION("""COMPUTED_VALUE"""),FALSE)</f>
        <v>0</v>
      </c>
      <c r="AI28" s="32"/>
      <c r="AJ28" s="32"/>
      <c r="AK28" s="32"/>
      <c r="AL28" s="32"/>
      <c r="AM28" s="32"/>
      <c r="AN28" s="32"/>
      <c r="AO28" s="32"/>
      <c r="AP28" s="32"/>
      <c r="AQ28" s="32"/>
      <c r="AR28" s="32"/>
      <c r="AS28" s="32"/>
      <c r="AT28" s="32"/>
      <c r="AU28" s="32"/>
      <c r="AV28" s="32"/>
      <c r="AW28" s="32"/>
      <c r="AX28" s="32"/>
    </row>
    <row r="29">
      <c r="A29" s="5" t="str">
        <f>IFERROR(__xludf.DUMMYFUNCTION("""COMPUTED_VALUE"""),"Black Crystal Necklace of Luck")</f>
        <v>Black Crystal Necklace of Luck</v>
      </c>
      <c r="B29" s="5" t="str">
        <f>IFERROR(__xludf.DUMMYFUNCTION("""COMPUTED_VALUE"""),"Neck")</f>
        <v>Neck</v>
      </c>
      <c r="C29" s="32"/>
      <c r="D29" s="5"/>
      <c r="E29" s="40">
        <f>IFERROR(__xludf.DUMMYFUNCTION("""COMPUTED_VALUE"""),1.0)</f>
        <v>1</v>
      </c>
      <c r="F29" s="40">
        <f>IFERROR(__xludf.DUMMYFUNCTION("""COMPUTED_VALUE"""),0.0)</f>
        <v>0</v>
      </c>
      <c r="G29" s="5"/>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t="str">
        <f>IFERROR(__xludf.DUMMYFUNCTION("""COMPUTED_VALUE"""),"++Plus 2 is added to whatever number you roll on a d20 ++can only wear one, +-Cannot be forged or duplicated.")</f>
        <v>++Plus 2 is added to whatever number you roll on a d20 ++can only wear one, +-Cannot be forged or duplicated.</v>
      </c>
      <c r="AG29" s="32" t="str">
        <f>IFERROR(__xludf.DUMMYFUNCTION("""COMPUTED_VALUE"""),"Land of Spira")</f>
        <v>Land of Spira</v>
      </c>
      <c r="AH29" s="32" t="b">
        <f>IFERROR(__xludf.DUMMYFUNCTION("""COMPUTED_VALUE"""),FALSE)</f>
        <v>0</v>
      </c>
      <c r="AI29" s="32"/>
      <c r="AJ29" s="32"/>
      <c r="AK29" s="32"/>
      <c r="AL29" s="32"/>
      <c r="AM29" s="32"/>
      <c r="AN29" s="32"/>
      <c r="AO29" s="32"/>
      <c r="AP29" s="32"/>
      <c r="AQ29" s="32"/>
      <c r="AR29" s="32"/>
      <c r="AS29" s="32"/>
      <c r="AT29" s="32"/>
      <c r="AU29" s="32"/>
      <c r="AV29" s="32"/>
      <c r="AW29" s="32"/>
      <c r="AX29" s="32"/>
    </row>
    <row r="30">
      <c r="A30" s="5" t="str">
        <f>IFERROR(__xludf.DUMMYFUNCTION("""COMPUTED_VALUE"""),"Black Serpent Dragon Pendant")</f>
        <v>Black Serpent Dragon Pendant</v>
      </c>
      <c r="B30" s="5" t="str">
        <f>IFERROR(__xludf.DUMMYFUNCTION("""COMPUTED_VALUE"""),"Neck")</f>
        <v>Neck</v>
      </c>
      <c r="C30" s="32"/>
      <c r="D30" s="5"/>
      <c r="E30" s="40">
        <f>IFERROR(__xludf.DUMMYFUNCTION("""COMPUTED_VALUE"""),1.0)</f>
        <v>1</v>
      </c>
      <c r="F30" s="40">
        <f>IFERROR(__xludf.DUMMYFUNCTION("""COMPUTED_VALUE"""),0.0)</f>
        <v>0</v>
      </c>
      <c r="G30" s="32"/>
      <c r="H30" s="32"/>
      <c r="I30" s="32"/>
      <c r="J30" s="32"/>
      <c r="K30" s="32"/>
      <c r="L30" s="32"/>
      <c r="M30" s="32"/>
      <c r="N30" s="32"/>
      <c r="O30" s="32"/>
      <c r="P30" s="32"/>
      <c r="Q30" s="5"/>
      <c r="R30" s="32"/>
      <c r="S30" s="32"/>
      <c r="T30" s="32"/>
      <c r="U30" s="32"/>
      <c r="V30" s="32"/>
      <c r="W30" s="32"/>
      <c r="X30" s="32"/>
      <c r="Y30" s="32"/>
      <c r="Z30" s="32"/>
      <c r="AA30" s="32"/>
      <c r="AB30" s="32"/>
      <c r="AC30" s="32"/>
      <c r="AD30" s="32"/>
      <c r="AE30" s="32"/>
      <c r="AF30" s="32" t="str">
        <f>IFERROR(__xludf.DUMMYFUNCTION("""COMPUTED_VALUE"""),"++Immunity to dark and water damage. ++X2 additional dark and water damage for the wearer.")</f>
        <v>++Immunity to dark and water damage. ++X2 additional dark and water damage for the wearer.</v>
      </c>
      <c r="AG30" s="32" t="str">
        <f>IFERROR(__xludf.DUMMYFUNCTION("""COMPUTED_VALUE"""),"Abstara")</f>
        <v>Abstara</v>
      </c>
      <c r="AH30" s="32" t="b">
        <f>IFERROR(__xludf.DUMMYFUNCTION("""COMPUTED_VALUE"""),FALSE)</f>
        <v>0</v>
      </c>
      <c r="AI30" s="32"/>
      <c r="AJ30" s="32"/>
      <c r="AK30" s="32"/>
      <c r="AL30" s="32"/>
      <c r="AM30" s="32"/>
      <c r="AN30" s="32"/>
      <c r="AO30" s="32"/>
      <c r="AP30" s="32"/>
      <c r="AQ30" s="32"/>
      <c r="AR30" s="32"/>
      <c r="AS30" s="32"/>
      <c r="AT30" s="32"/>
      <c r="AU30" s="32"/>
      <c r="AV30" s="32"/>
      <c r="AW30" s="32"/>
      <c r="AX30" s="32"/>
    </row>
    <row r="31">
      <c r="A31" s="5" t="str">
        <f>IFERROR(__xludf.DUMMYFUNCTION("""COMPUTED_VALUE"""),"Blade of Burning Energy")</f>
        <v>Blade of Burning Energy</v>
      </c>
      <c r="B31" s="5" t="str">
        <f>IFERROR(__xludf.DUMMYFUNCTION("""COMPUTED_VALUE"""),"Hand")</f>
        <v>Hand</v>
      </c>
      <c r="C31" s="32"/>
      <c r="D31" s="5" t="str">
        <f>IFERROR(__xludf.DUMMYFUNCTION("""COMPUTED_VALUE"""),"Sword")</f>
        <v>Sword</v>
      </c>
      <c r="E31" s="40">
        <f>IFERROR(__xludf.DUMMYFUNCTION("""COMPUTED_VALUE"""),400.0)</f>
        <v>400</v>
      </c>
      <c r="F31" s="40">
        <f>IFERROR(__xludf.DUMMYFUNCTION("""COMPUTED_VALUE"""),7800000.0)</f>
        <v>7800000</v>
      </c>
      <c r="G31" s="5" t="str">
        <f>IFERROR(__xludf.DUMMYFUNCTION("""COMPUTED_VALUE"""),"DMG")</f>
        <v>DMG</v>
      </c>
      <c r="H31" s="33">
        <f>IFERROR(__xludf.DUMMYFUNCTION("""COMPUTED_VALUE"""),10000.0)</f>
        <v>10000</v>
      </c>
      <c r="I31" s="33">
        <f>IFERROR(__xludf.DUMMYFUNCTION("""COMPUTED_VALUE"""),10000.0)</f>
        <v>10000</v>
      </c>
      <c r="J31" s="32"/>
      <c r="K31" s="32"/>
      <c r="L31" s="32"/>
      <c r="M31" s="32"/>
      <c r="N31" s="32"/>
      <c r="O31" s="32"/>
      <c r="P31" s="32"/>
      <c r="Q31" s="32"/>
      <c r="R31" s="32"/>
      <c r="S31" s="32"/>
      <c r="T31" s="32"/>
      <c r="U31" s="32"/>
      <c r="V31" s="32"/>
      <c r="W31" s="32"/>
      <c r="X31" s="32"/>
      <c r="Y31" s="32"/>
      <c r="Z31" s="32"/>
      <c r="AA31" s="32"/>
      <c r="AB31" s="32"/>
      <c r="AC31" s="32"/>
      <c r="AD31" s="5"/>
      <c r="AE31" s="32"/>
      <c r="AF31" s="32" t="str">
        <f>IFERROR(__xludf.DUMMYFUNCTION("""COMPUTED_VALUE"""),"++Burn 5000")</f>
        <v>++Burn 5000</v>
      </c>
      <c r="AG31" s="32" t="str">
        <f>IFERROR(__xludf.DUMMYFUNCTION("""COMPUTED_VALUE"""),"Land of Spira")</f>
        <v>Land of Spira</v>
      </c>
      <c r="AH31" s="32" t="b">
        <f>IFERROR(__xludf.DUMMYFUNCTION("""COMPUTED_VALUE"""),FALSE)</f>
        <v>0</v>
      </c>
      <c r="AI31" s="32"/>
      <c r="AJ31" s="32"/>
      <c r="AK31" s="32"/>
      <c r="AL31" s="32"/>
      <c r="AM31" s="32"/>
      <c r="AN31" s="32"/>
      <c r="AO31" s="32"/>
      <c r="AP31" s="32"/>
      <c r="AQ31" s="32"/>
      <c r="AR31" s="32"/>
      <c r="AS31" s="32"/>
      <c r="AT31" s="32"/>
      <c r="AU31" s="32"/>
      <c r="AV31" s="32"/>
      <c r="AW31" s="32"/>
      <c r="AX31" s="32"/>
    </row>
    <row r="32">
      <c r="A32" s="5" t="str">
        <f>IFERROR(__xludf.DUMMYFUNCTION("""COMPUTED_VALUE"""),"Blood Katana")</f>
        <v>Blood Katana</v>
      </c>
      <c r="B32" s="5" t="str">
        <f>IFERROR(__xludf.DUMMYFUNCTION("""COMPUTED_VALUE"""),"Hand")</f>
        <v>Hand</v>
      </c>
      <c r="C32" s="32"/>
      <c r="D32" s="5" t="str">
        <f>IFERROR(__xludf.DUMMYFUNCTION("""COMPUTED_VALUE"""),"Sword")</f>
        <v>Sword</v>
      </c>
      <c r="E32" s="40">
        <f>IFERROR(__xludf.DUMMYFUNCTION("""COMPUTED_VALUE"""),400.0)</f>
        <v>400</v>
      </c>
      <c r="F32" s="40">
        <f>IFERROR(__xludf.DUMMYFUNCTION("""COMPUTED_VALUE"""),7800000.0)</f>
        <v>7800000</v>
      </c>
      <c r="G32" s="5" t="str">
        <f>IFERROR(__xludf.DUMMYFUNCTION("""COMPUTED_VALUE"""),"DMG")</f>
        <v>DMG</v>
      </c>
      <c r="H32" s="33">
        <f>IFERROR(__xludf.DUMMYFUNCTION("""COMPUTED_VALUE"""),10000.0)</f>
        <v>10000</v>
      </c>
      <c r="I32" s="32"/>
      <c r="J32" s="32"/>
      <c r="K32" s="32"/>
      <c r="L32" s="32"/>
      <c r="M32" s="32"/>
      <c r="N32" s="32"/>
      <c r="O32" s="32"/>
      <c r="P32" s="32"/>
      <c r="Q32" s="32"/>
      <c r="R32" s="32"/>
      <c r="S32" s="32"/>
      <c r="T32" s="32"/>
      <c r="U32" s="32"/>
      <c r="V32" s="32"/>
      <c r="W32" s="32"/>
      <c r="X32" s="32"/>
      <c r="Y32" s="33">
        <f>IFERROR(__xludf.DUMMYFUNCTION("""COMPUTED_VALUE"""),10000.0)</f>
        <v>10000</v>
      </c>
      <c r="Z32" s="32"/>
      <c r="AA32" s="32"/>
      <c r="AB32" s="32"/>
      <c r="AC32" s="32"/>
      <c r="AD32" s="32"/>
      <c r="AE32" s="32"/>
      <c r="AF32" s="32" t="str">
        <f>IFERROR(__xludf.DUMMYFUNCTION("""COMPUTED_VALUE"""),"++X2 blood damage for spells and weapons. +-Cannot be duplicated.")</f>
        <v>++X2 blood damage for spells and weapons. +-Cannot be duplicated.</v>
      </c>
      <c r="AG32" s="32" t="str">
        <f>IFERROR(__xludf.DUMMYFUNCTION("""COMPUTED_VALUE"""),"Land of Spira")</f>
        <v>Land of Spira</v>
      </c>
      <c r="AH32" s="32" t="b">
        <f>IFERROR(__xludf.DUMMYFUNCTION("""COMPUTED_VALUE"""),FALSE)</f>
        <v>0</v>
      </c>
      <c r="AI32" s="32"/>
      <c r="AJ32" s="32"/>
      <c r="AK32" s="32"/>
      <c r="AL32" s="32"/>
      <c r="AM32" s="32"/>
      <c r="AN32" s="32"/>
      <c r="AO32" s="32"/>
      <c r="AP32" s="32"/>
      <c r="AQ32" s="32"/>
      <c r="AR32" s="32"/>
      <c r="AS32" s="32"/>
      <c r="AT32" s="32"/>
      <c r="AU32" s="32"/>
      <c r="AV32" s="32"/>
      <c r="AW32" s="32"/>
      <c r="AX32" s="32"/>
    </row>
    <row r="33">
      <c r="A33" s="5" t="str">
        <f>IFERROR(__xludf.DUMMYFUNCTION("""COMPUTED_VALUE"""),"Blue Steel Sword")</f>
        <v>Blue Steel Sword</v>
      </c>
      <c r="B33" s="5" t="str">
        <f>IFERROR(__xludf.DUMMYFUNCTION("""COMPUTED_VALUE"""),"Hand")</f>
        <v>Hand</v>
      </c>
      <c r="C33" s="32"/>
      <c r="D33" s="5" t="str">
        <f>IFERROR(__xludf.DUMMYFUNCTION("""COMPUTED_VALUE"""),"Sword")</f>
        <v>Sword</v>
      </c>
      <c r="E33" s="40">
        <f>IFERROR(__xludf.DUMMYFUNCTION("""COMPUTED_VALUE"""),40.0)</f>
        <v>40</v>
      </c>
      <c r="F33" s="40">
        <f>IFERROR(__xludf.DUMMYFUNCTION("""COMPUTED_VALUE"""),60000.0)</f>
        <v>60000</v>
      </c>
      <c r="G33" s="5" t="str">
        <f>IFERROR(__xludf.DUMMYFUNCTION("""COMPUTED_VALUE"""),"DMG")</f>
        <v>DMG</v>
      </c>
      <c r="H33" s="32">
        <f>IFERROR(__xludf.DUMMYFUNCTION("""COMPUTED_VALUE"""),1000.0)</f>
        <v>1000</v>
      </c>
      <c r="I33" s="32"/>
      <c r="J33" s="32"/>
      <c r="K33" s="32">
        <f>IFERROR(__xludf.DUMMYFUNCTION("""COMPUTED_VALUE"""),1000.0)</f>
        <v>1000</v>
      </c>
      <c r="L33" s="32"/>
      <c r="M33" s="32"/>
      <c r="N33" s="32"/>
      <c r="O33" s="32"/>
      <c r="P33" s="32"/>
      <c r="Q33" s="32"/>
      <c r="R33" s="32"/>
      <c r="S33" s="32"/>
      <c r="T33" s="32"/>
      <c r="U33" s="32"/>
      <c r="V33" s="32"/>
      <c r="W33" s="32"/>
      <c r="X33" s="32"/>
      <c r="Y33" s="32"/>
      <c r="Z33" s="32"/>
      <c r="AA33" s="32"/>
      <c r="AB33" s="32"/>
      <c r="AC33" s="32"/>
      <c r="AD33" s="32"/>
      <c r="AE33" s="32"/>
      <c r="AF33" s="32"/>
      <c r="AG33" s="32" t="str">
        <f>IFERROR(__xludf.DUMMYFUNCTION("""COMPUTED_VALUE"""),"Land of Spira")</f>
        <v>Land of Spira</v>
      </c>
      <c r="AH33" s="32" t="b">
        <f>IFERROR(__xludf.DUMMYFUNCTION("""COMPUTED_VALUE"""),FALSE)</f>
        <v>0</v>
      </c>
      <c r="AI33" s="32"/>
      <c r="AJ33" s="32"/>
      <c r="AK33" s="32"/>
      <c r="AL33" s="32"/>
      <c r="AM33" s="32"/>
      <c r="AN33" s="32"/>
      <c r="AO33" s="32"/>
      <c r="AP33" s="32"/>
      <c r="AQ33" s="32"/>
      <c r="AR33" s="32"/>
      <c r="AS33" s="32"/>
      <c r="AT33" s="32"/>
      <c r="AU33" s="32"/>
      <c r="AV33" s="32"/>
      <c r="AW33" s="32"/>
      <c r="AX33" s="32"/>
    </row>
    <row r="34">
      <c r="A34" s="5" t="str">
        <f>IFERROR(__xludf.DUMMYFUNCTION("""COMPUTED_VALUE"""),"Blunderbuss (Exclusive)")</f>
        <v>Blunderbuss (Exclusive)</v>
      </c>
      <c r="B34" s="5" t="str">
        <f>IFERROR(__xludf.DUMMYFUNCTION("""COMPUTED_VALUE"""),"Hand")</f>
        <v>Hand</v>
      </c>
      <c r="C34" s="3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5" t="str">
        <f>IFERROR(__xludf.DUMMYFUNCTION("""COMPUTED_VALUE"""),"Firearm")</f>
        <v>Firearm</v>
      </c>
      <c r="E34" s="40">
        <f>IFERROR(__xludf.DUMMYFUNCTION("""COMPUTED_VALUE"""),200.0)</f>
        <v>200</v>
      </c>
      <c r="F34" s="40">
        <f>IFERROR(__xludf.DUMMYFUNCTION("""COMPUTED_VALUE"""),1.99E8)</f>
        <v>199000000</v>
      </c>
      <c r="G34" s="5"/>
      <c r="H34" s="33">
        <f>IFERROR(__xludf.DUMMYFUNCTION("""COMPUTED_VALUE"""),50000.0)</f>
        <v>50000</v>
      </c>
      <c r="I34" s="32"/>
      <c r="J34" s="32"/>
      <c r="K34" s="32"/>
      <c r="L34" s="32"/>
      <c r="M34" s="32"/>
      <c r="N34" s="32"/>
      <c r="O34" s="32"/>
      <c r="P34" s="32"/>
      <c r="Q34" s="32"/>
      <c r="R34" s="32"/>
      <c r="S34" s="32"/>
      <c r="T34" s="32"/>
      <c r="U34" s="32"/>
      <c r="V34" s="32"/>
      <c r="W34" s="32"/>
      <c r="X34" s="32"/>
      <c r="Y34" s="32"/>
      <c r="Z34" s="32"/>
      <c r="AA34" s="32"/>
      <c r="AB34" s="32"/>
      <c r="AC34" s="33">
        <f>IFERROR(__xludf.DUMMYFUNCTION("""COMPUTED_VALUE"""),50000.0)</f>
        <v>50000</v>
      </c>
      <c r="AD34" s="32"/>
      <c r="AE34" s="32"/>
      <c r="AF34" s="32"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32" t="str">
        <f>IFERROR(__xludf.DUMMYFUNCTION("""COMPUTED_VALUE"""),"Land of Spira")</f>
        <v>Land of Spira</v>
      </c>
      <c r="AH34" s="32" t="b">
        <f>IFERROR(__xludf.DUMMYFUNCTION("""COMPUTED_VALUE"""),FALSE)</f>
        <v>0</v>
      </c>
      <c r="AI34" s="32"/>
      <c r="AJ34" s="32"/>
      <c r="AK34" s="32"/>
      <c r="AL34" s="32"/>
      <c r="AM34" s="32"/>
      <c r="AN34" s="32"/>
      <c r="AO34" s="32"/>
      <c r="AP34" s="32"/>
      <c r="AQ34" s="32"/>
      <c r="AR34" s="32"/>
      <c r="AS34" s="32"/>
      <c r="AT34" s="32"/>
      <c r="AU34" s="32"/>
      <c r="AV34" s="32"/>
      <c r="AW34" s="32"/>
      <c r="AX34" s="32"/>
    </row>
    <row r="35">
      <c r="A35" s="5" t="str">
        <f>IFERROR(__xludf.DUMMYFUNCTION("""COMPUTED_VALUE"""),"Bone Sword ")</f>
        <v>Bone Sword </v>
      </c>
      <c r="B35" s="5" t="str">
        <f>IFERROR(__xludf.DUMMYFUNCTION("""COMPUTED_VALUE"""),"Hand")</f>
        <v>Hand</v>
      </c>
      <c r="C35" s="32"/>
      <c r="D35" s="5" t="str">
        <f>IFERROR(__xludf.DUMMYFUNCTION("""COMPUTED_VALUE"""),"Sword")</f>
        <v>Sword</v>
      </c>
      <c r="E35" s="40">
        <f>IFERROR(__xludf.DUMMYFUNCTION("""COMPUTED_VALUE"""),300.0)</f>
        <v>300</v>
      </c>
      <c r="F35" s="40">
        <f>IFERROR(__xludf.DUMMYFUNCTION("""COMPUTED_VALUE"""),4350000.0)</f>
        <v>4350000</v>
      </c>
      <c r="G35" s="32" t="str">
        <f>IFERROR(__xludf.DUMMYFUNCTION("""COMPUTED_VALUE"""),"DMG")</f>
        <v>DMG</v>
      </c>
      <c r="H35" s="33">
        <f>IFERROR(__xludf.DUMMYFUNCTION("""COMPUTED_VALUE"""),5000.0)</f>
        <v>5000</v>
      </c>
      <c r="I35" s="32"/>
      <c r="J35" s="32"/>
      <c r="K35" s="32"/>
      <c r="L35" s="32"/>
      <c r="M35" s="5">
        <f>IFERROR(__xludf.DUMMYFUNCTION("""COMPUTED_VALUE"""),5000.0)</f>
        <v>5000</v>
      </c>
      <c r="N35" s="32"/>
      <c r="O35" s="32">
        <f>IFERROR(__xludf.DUMMYFUNCTION("""COMPUTED_VALUE"""),5000.0)</f>
        <v>5000</v>
      </c>
      <c r="P35" s="32"/>
      <c r="Q35" s="32"/>
      <c r="R35" s="32"/>
      <c r="S35" s="32"/>
      <c r="T35" s="32"/>
      <c r="U35" s="32"/>
      <c r="V35" s="32"/>
      <c r="W35" s="32"/>
      <c r="X35" s="32"/>
      <c r="Y35" s="32"/>
      <c r="Z35" s="32"/>
      <c r="AA35" s="32"/>
      <c r="AB35" s="32"/>
      <c r="AC35" s="32"/>
      <c r="AD35" s="32"/>
      <c r="AE35" s="32"/>
      <c r="AF35" s="32" t="str">
        <f>IFERROR(__xludf.DUMMYFUNCTION("""COMPUTED_VALUE"""),"++X2 Earth damage. ")</f>
        <v>++X2 Earth damage. </v>
      </c>
      <c r="AG35" s="32" t="str">
        <f>IFERROR(__xludf.DUMMYFUNCTION("""COMPUTED_VALUE"""),"Land of Spira")</f>
        <v>Land of Spira</v>
      </c>
      <c r="AH35" s="32" t="b">
        <f>IFERROR(__xludf.DUMMYFUNCTION("""COMPUTED_VALUE"""),FALSE)</f>
        <v>0</v>
      </c>
      <c r="AI35" s="32"/>
      <c r="AJ35" s="32"/>
      <c r="AK35" s="32"/>
      <c r="AL35" s="32"/>
      <c r="AM35" s="32"/>
      <c r="AN35" s="32"/>
      <c r="AO35" s="32"/>
      <c r="AP35" s="32"/>
      <c r="AQ35" s="32"/>
      <c r="AR35" s="32"/>
      <c r="AS35" s="32"/>
      <c r="AT35" s="32"/>
      <c r="AU35" s="32"/>
      <c r="AV35" s="32"/>
      <c r="AW35" s="32"/>
      <c r="AX35" s="32"/>
    </row>
    <row r="36">
      <c r="A36" s="5" t="str">
        <f>IFERROR(__xludf.DUMMYFUNCTION("""COMPUTED_VALUE"""),"Boots of Waking Waters")</f>
        <v>Boots of Waking Waters</v>
      </c>
      <c r="B36" s="5" t="str">
        <f>IFERROR(__xludf.DUMMYFUNCTION("""COMPUTED_VALUE"""),"Feet")</f>
        <v>Feet</v>
      </c>
      <c r="C36" s="32"/>
      <c r="D36" s="5"/>
      <c r="E36" s="40">
        <f>IFERROR(__xludf.DUMMYFUNCTION("""COMPUTED_VALUE"""),200.0)</f>
        <v>200</v>
      </c>
      <c r="F36" s="40">
        <f>IFERROR(__xludf.DUMMYFUNCTION("""COMPUTED_VALUE"""),1900000.0)</f>
        <v>1900000</v>
      </c>
      <c r="G36" s="5" t="str">
        <f>IFERROR(__xludf.DUMMYFUNCTION("""COMPUTED_VALUE"""),"DEF")</f>
        <v>DEF</v>
      </c>
      <c r="H36" s="32">
        <f>IFERROR(__xludf.DUMMYFUNCTION("""COMPUTED_VALUE"""),5000.0)</f>
        <v>5000</v>
      </c>
      <c r="I36" s="32"/>
      <c r="J36" s="32"/>
      <c r="K36" s="32">
        <f>IFERROR(__xludf.DUMMYFUNCTION("""COMPUTED_VALUE"""),5000.0)</f>
        <v>5000</v>
      </c>
      <c r="L36" s="32"/>
      <c r="M36" s="32"/>
      <c r="N36" s="32"/>
      <c r="O36" s="32"/>
      <c r="P36" s="32"/>
      <c r="Q36" s="32"/>
      <c r="R36" s="32"/>
      <c r="S36" s="32"/>
      <c r="T36" s="32"/>
      <c r="U36" s="32"/>
      <c r="V36" s="32"/>
      <c r="W36" s="32"/>
      <c r="X36" s="32"/>
      <c r="Y36" s="32"/>
      <c r="Z36" s="32"/>
      <c r="AA36" s="32"/>
      <c r="AB36" s="32"/>
      <c r="AC36" s="32"/>
      <c r="AD36" s="32"/>
      <c r="AE36" s="32"/>
      <c r="AF36" s="32" t="str">
        <f>IFERROR(__xludf.DUMMYFUNCTION("""COMPUTED_VALUE"""),"++X4 additional water damage for self.")</f>
        <v>++X4 additional water damage for self.</v>
      </c>
      <c r="AG36" s="32" t="str">
        <f>IFERROR(__xludf.DUMMYFUNCTION("""COMPUTED_VALUE"""),"Land of Spira")</f>
        <v>Land of Spira</v>
      </c>
      <c r="AH36" s="32" t="b">
        <f>IFERROR(__xludf.DUMMYFUNCTION("""COMPUTED_VALUE"""),FALSE)</f>
        <v>0</v>
      </c>
      <c r="AI36" s="32"/>
      <c r="AJ36" s="32"/>
      <c r="AK36" s="32"/>
      <c r="AL36" s="32"/>
      <c r="AM36" s="32"/>
      <c r="AN36" s="32"/>
      <c r="AO36" s="32"/>
      <c r="AP36" s="32"/>
      <c r="AQ36" s="32"/>
      <c r="AR36" s="32"/>
      <c r="AS36" s="32"/>
      <c r="AT36" s="32"/>
      <c r="AU36" s="32"/>
      <c r="AV36" s="32"/>
      <c r="AW36" s="32"/>
      <c r="AX36" s="32"/>
    </row>
    <row r="37">
      <c r="A37" s="5" t="str">
        <f>IFERROR(__xludf.DUMMYFUNCTION("""COMPUTED_VALUE"""),"Bow of Chaotic Darkness")</f>
        <v>Bow of Chaotic Darkness</v>
      </c>
      <c r="B37" s="5" t="str">
        <f>IFERROR(__xludf.DUMMYFUNCTION("""COMPUTED_VALUE"""),"Hand")</f>
        <v>Hand</v>
      </c>
      <c r="C37" s="32"/>
      <c r="D37" s="5" t="str">
        <f>IFERROR(__xludf.DUMMYFUNCTION("""COMPUTED_VALUE"""),"Bow")</f>
        <v>Bow</v>
      </c>
      <c r="E37" s="40">
        <f>IFERROR(__xludf.DUMMYFUNCTION("""COMPUTED_VALUE"""),4400.0)</f>
        <v>4400</v>
      </c>
      <c r="F37" s="40">
        <f>IFERROR(__xludf.DUMMYFUNCTION("""COMPUTED_VALUE"""),9.658E8)</f>
        <v>965800000</v>
      </c>
      <c r="G37" s="5" t="str">
        <f>IFERROR(__xludf.DUMMYFUNCTION("""COMPUTED_VALUE"""),"DMG")</f>
        <v>DMG</v>
      </c>
      <c r="H37" s="33">
        <f>IFERROR(__xludf.DUMMYFUNCTION("""COMPUTED_VALUE"""),140000.0)</f>
        <v>140000</v>
      </c>
      <c r="I37" s="32"/>
      <c r="J37" s="32"/>
      <c r="K37" s="32"/>
      <c r="L37" s="32"/>
      <c r="M37" s="5"/>
      <c r="N37" s="32"/>
      <c r="O37" s="33">
        <f>IFERROR(__xludf.DUMMYFUNCTION("""COMPUTED_VALUE"""),40000.0)</f>
        <v>40000</v>
      </c>
      <c r="P37" s="5"/>
      <c r="Q37" s="32"/>
      <c r="R37" s="33">
        <f>IFERROR(__xludf.DUMMYFUNCTION("""COMPUTED_VALUE"""),40000.0)</f>
        <v>40000</v>
      </c>
      <c r="S37" s="32"/>
      <c r="T37" s="32"/>
      <c r="U37" s="32"/>
      <c r="V37" s="32"/>
      <c r="W37" s="32"/>
      <c r="X37" s="32"/>
      <c r="Y37" s="32"/>
      <c r="Z37" s="32"/>
      <c r="AA37" s="32"/>
      <c r="AB37" s="32"/>
      <c r="AC37" s="32"/>
      <c r="AD37" s="32"/>
      <c r="AE37" s="32"/>
      <c r="AF37" s="32" t="str">
        <f>IFERROR(__xludf.DUMMYFUNCTION("""COMPUTED_VALUE"""),"++You may use up to 4 arrows with this bow.")</f>
        <v>++You may use up to 4 arrows with this bow.</v>
      </c>
      <c r="AG37" s="32" t="str">
        <f>IFERROR(__xludf.DUMMYFUNCTION("""COMPUTED_VALUE"""),"Abstara")</f>
        <v>Abstara</v>
      </c>
      <c r="AH37" s="32" t="b">
        <f>IFERROR(__xludf.DUMMYFUNCTION("""COMPUTED_VALUE"""),FALSE)</f>
        <v>0</v>
      </c>
      <c r="AI37" s="32"/>
      <c r="AJ37" s="32"/>
      <c r="AK37" s="32"/>
      <c r="AL37" s="32"/>
      <c r="AM37" s="32"/>
      <c r="AN37" s="32"/>
      <c r="AO37" s="32"/>
      <c r="AP37" s="32"/>
      <c r="AQ37" s="32"/>
      <c r="AR37" s="32"/>
      <c r="AS37" s="32"/>
      <c r="AT37" s="32"/>
      <c r="AU37" s="32"/>
      <c r="AV37" s="32"/>
      <c r="AW37" s="32"/>
      <c r="AX37" s="32"/>
    </row>
    <row r="38">
      <c r="A38" s="5" t="str">
        <f>IFERROR(__xludf.DUMMYFUNCTION("""COMPUTED_VALUE"""),"Bow of Luck")</f>
        <v>Bow of Luck</v>
      </c>
      <c r="B38" s="5" t="str">
        <f>IFERROR(__xludf.DUMMYFUNCTION("""COMPUTED_VALUE"""),"Hand")</f>
        <v>Hand</v>
      </c>
      <c r="C38" s="32"/>
      <c r="D38" s="5" t="str">
        <f>IFERROR(__xludf.DUMMYFUNCTION("""COMPUTED_VALUE"""),"Bow")</f>
        <v>Bow</v>
      </c>
      <c r="E38" s="40">
        <f>IFERROR(__xludf.DUMMYFUNCTION("""COMPUTED_VALUE"""),3000.0)</f>
        <v>3000</v>
      </c>
      <c r="F38" s="40">
        <f>IFERROR(__xludf.DUMMYFUNCTION("""COMPUTED_VALUE"""),4.485E8)</f>
        <v>448500000</v>
      </c>
      <c r="G38" s="5" t="str">
        <f>IFERROR(__xludf.DUMMYFUNCTION("""COMPUTED_VALUE"""),"DMG")</f>
        <v>DMG</v>
      </c>
      <c r="H38" s="33">
        <f>IFERROR(__xludf.DUMMYFUNCTION("""COMPUTED_VALUE"""),150000.0)</f>
        <v>150000</v>
      </c>
      <c r="I38" s="32"/>
      <c r="J38" s="32"/>
      <c r="K38" s="32"/>
      <c r="L38" s="32"/>
      <c r="M38" s="32"/>
      <c r="N38" s="32"/>
      <c r="O38" s="32"/>
      <c r="P38" s="32"/>
      <c r="Q38" s="32"/>
      <c r="R38" s="32"/>
      <c r="S38" s="32"/>
      <c r="T38" s="32"/>
      <c r="U38" s="32"/>
      <c r="V38" s="32"/>
      <c r="W38" s="32"/>
      <c r="X38" s="32"/>
      <c r="Y38" s="32"/>
      <c r="Z38" s="32"/>
      <c r="AA38" s="32"/>
      <c r="AB38" s="32"/>
      <c r="AC38" s="32"/>
      <c r="AD38" s="32"/>
      <c r="AE38" s="32"/>
      <c r="AF38" s="32" t="str">
        <f>IFERROR(__xludf.DUMMYFUNCTION("""COMPUTED_VALUE"""),"++You may add mobility to your attack rolls as long as you are attacking with a bow. +-Cannot be forged")</f>
        <v>++You may add mobility to your attack rolls as long as you are attacking with a bow. +-Cannot be forged</v>
      </c>
      <c r="AG38" s="32" t="str">
        <f>IFERROR(__xludf.DUMMYFUNCTION("""COMPUTED_VALUE"""),"Abstara")</f>
        <v>Abstara</v>
      </c>
      <c r="AH38" s="32" t="b">
        <f>IFERROR(__xludf.DUMMYFUNCTION("""COMPUTED_VALUE"""),FALSE)</f>
        <v>0</v>
      </c>
      <c r="AI38" s="32"/>
      <c r="AJ38" s="32"/>
      <c r="AK38" s="32"/>
      <c r="AL38" s="32"/>
      <c r="AM38" s="32"/>
      <c r="AN38" s="32"/>
      <c r="AO38" s="32"/>
      <c r="AP38" s="32"/>
      <c r="AQ38" s="32"/>
      <c r="AR38" s="32"/>
      <c r="AS38" s="32"/>
      <c r="AT38" s="32"/>
      <c r="AU38" s="32"/>
      <c r="AV38" s="32"/>
      <c r="AW38" s="32"/>
      <c r="AX38" s="32"/>
    </row>
    <row r="39">
      <c r="A39" s="5" t="str">
        <f>IFERROR(__xludf.DUMMYFUNCTION("""COMPUTED_VALUE"""),"Bow of The Sacred Druids")</f>
        <v>Bow of The Sacred Druids</v>
      </c>
      <c r="B39" s="5" t="str">
        <f>IFERROR(__xludf.DUMMYFUNCTION("""COMPUTED_VALUE"""),"Hand")</f>
        <v>Hand</v>
      </c>
      <c r="C39" s="32"/>
      <c r="D39" s="5" t="str">
        <f>IFERROR(__xludf.DUMMYFUNCTION("""COMPUTED_VALUE"""),"Bow")</f>
        <v>Bow</v>
      </c>
      <c r="E39" s="40">
        <f>IFERROR(__xludf.DUMMYFUNCTION("""COMPUTED_VALUE"""),200.0)</f>
        <v>200</v>
      </c>
      <c r="F39" s="40">
        <f>IFERROR(__xludf.DUMMYFUNCTION("""COMPUTED_VALUE"""),1900000.0)</f>
        <v>1900000</v>
      </c>
      <c r="G39" s="5" t="str">
        <f>IFERROR(__xludf.DUMMYFUNCTION("""COMPUTED_VALUE"""),"DMG")</f>
        <v>DMG</v>
      </c>
      <c r="H39" s="32">
        <f>IFERROR(__xludf.DUMMYFUNCTION("""COMPUTED_VALUE"""),5000.0)</f>
        <v>5000</v>
      </c>
      <c r="I39" s="32"/>
      <c r="J39" s="32"/>
      <c r="K39" s="32"/>
      <c r="L39" s="32"/>
      <c r="M39" s="32"/>
      <c r="N39" s="32"/>
      <c r="O39" s="32"/>
      <c r="P39" s="32"/>
      <c r="Q39" s="32"/>
      <c r="R39" s="32"/>
      <c r="S39" s="32">
        <f>IFERROR(__xludf.DUMMYFUNCTION("""COMPUTED_VALUE"""),5000.0)</f>
        <v>5000</v>
      </c>
      <c r="T39" s="32"/>
      <c r="U39" s="32"/>
      <c r="V39" s="32"/>
      <c r="W39" s="32"/>
      <c r="X39" s="32"/>
      <c r="Y39" s="32"/>
      <c r="Z39" s="32"/>
      <c r="AA39" s="32"/>
      <c r="AB39" s="32"/>
      <c r="AC39" s="32"/>
      <c r="AD39" s="32"/>
      <c r="AE39" s="32"/>
      <c r="AF39" s="32" t="str">
        <f>IFERROR(__xludf.DUMMYFUNCTION("""COMPUTED_VALUE"""),"++Druids Call - X4 additional damage for ranged weapons.")</f>
        <v>++Druids Call - X4 additional damage for ranged weapons.</v>
      </c>
      <c r="AG39" s="32" t="str">
        <f>IFERROR(__xludf.DUMMYFUNCTION("""COMPUTED_VALUE"""),"Land of Spira")</f>
        <v>Land of Spira</v>
      </c>
      <c r="AH39" s="32" t="b">
        <f>IFERROR(__xludf.DUMMYFUNCTION("""COMPUTED_VALUE"""),FALSE)</f>
        <v>0</v>
      </c>
      <c r="AI39" s="32"/>
      <c r="AJ39" s="32"/>
      <c r="AK39" s="32"/>
      <c r="AL39" s="32"/>
      <c r="AM39" s="32"/>
      <c r="AN39" s="32"/>
      <c r="AO39" s="32"/>
      <c r="AP39" s="32"/>
      <c r="AQ39" s="32"/>
      <c r="AR39" s="32"/>
      <c r="AS39" s="32"/>
      <c r="AT39" s="32"/>
      <c r="AU39" s="32"/>
      <c r="AV39" s="32"/>
      <c r="AW39" s="32"/>
      <c r="AX39" s="32"/>
    </row>
    <row r="40">
      <c r="A40" s="5" t="str">
        <f>IFERROR(__xludf.DUMMYFUNCTION("""COMPUTED_VALUE"""),"Bo Staff Of Zhenmay")</f>
        <v>Bo Staff Of Zhenmay</v>
      </c>
      <c r="B40" s="5" t="str">
        <f>IFERROR(__xludf.DUMMYFUNCTION("""COMPUTED_VALUE"""),"Hand")</f>
        <v>Hand</v>
      </c>
      <c r="C40" s="32"/>
      <c r="D40" s="5" t="str">
        <f>IFERROR(__xludf.DUMMYFUNCTION("""COMPUTED_VALUE"""),"Club")</f>
        <v>Club</v>
      </c>
      <c r="E40" s="40">
        <f>IFERROR(__xludf.DUMMYFUNCTION("""COMPUTED_VALUE"""),3000.0)</f>
        <v>3000</v>
      </c>
      <c r="F40" s="40">
        <f>IFERROR(__xludf.DUMMYFUNCTION("""COMPUTED_VALUE"""),4.485E8)</f>
        <v>448500000</v>
      </c>
      <c r="G40" s="5" t="str">
        <f>IFERROR(__xludf.DUMMYFUNCTION("""COMPUTED_VALUE"""),"DMG")</f>
        <v>DMG</v>
      </c>
      <c r="H40" s="33">
        <f>IFERROR(__xludf.DUMMYFUNCTION("""COMPUTED_VALUE"""),100000.0)</f>
        <v>100000</v>
      </c>
      <c r="I40" s="32"/>
      <c r="J40" s="32"/>
      <c r="K40" s="32"/>
      <c r="L40" s="32"/>
      <c r="M40" s="32"/>
      <c r="N40" s="32"/>
      <c r="O40" s="32"/>
      <c r="P40" s="32"/>
      <c r="Q40" s="32"/>
      <c r="R40" s="32"/>
      <c r="S40" s="32"/>
      <c r="T40" s="32"/>
      <c r="U40" s="32"/>
      <c r="V40" s="32"/>
      <c r="W40" s="32"/>
      <c r="X40" s="32"/>
      <c r="Y40" s="32"/>
      <c r="Z40" s="32"/>
      <c r="AA40" s="33">
        <f>IFERROR(__xludf.DUMMYFUNCTION("""COMPUTED_VALUE"""),50000.0)</f>
        <v>50000</v>
      </c>
      <c r="AB40" s="32"/>
      <c r="AC40" s="32"/>
      <c r="AD40" s="5"/>
      <c r="AE40" s="32"/>
      <c r="AF40" s="32" t="str">
        <f>IFERROR(__xludf.DUMMYFUNCTION("""COMPUTED_VALUE"""),"++Blindness 2. ")</f>
        <v>++Blindness 2. </v>
      </c>
      <c r="AG40" s="32" t="str">
        <f>IFERROR(__xludf.DUMMYFUNCTION("""COMPUTED_VALUE"""),"Land of Spira")</f>
        <v>Land of Spira</v>
      </c>
      <c r="AH40" s="32" t="b">
        <f>IFERROR(__xludf.DUMMYFUNCTION("""COMPUTED_VALUE"""),FALSE)</f>
        <v>0</v>
      </c>
      <c r="AI40" s="32"/>
      <c r="AJ40" s="32"/>
      <c r="AK40" s="32"/>
      <c r="AL40" s="32"/>
      <c r="AM40" s="32"/>
      <c r="AN40" s="32"/>
      <c r="AO40" s="32"/>
      <c r="AP40" s="32"/>
      <c r="AQ40" s="32"/>
      <c r="AR40" s="32"/>
      <c r="AS40" s="32"/>
      <c r="AT40" s="32"/>
      <c r="AU40" s="32"/>
      <c r="AV40" s="32"/>
      <c r="AW40" s="32"/>
      <c r="AX40" s="32"/>
    </row>
    <row r="41">
      <c r="A41" s="5" t="str">
        <f>IFERROR(__xludf.DUMMYFUNCTION("""COMPUTED_VALUE"""),"Breezy Clothes")</f>
        <v>Breezy Clothes</v>
      </c>
      <c r="B41" s="5" t="str">
        <f>IFERROR(__xludf.DUMMYFUNCTION("""COMPUTED_VALUE"""),"Torso")</f>
        <v>Torso</v>
      </c>
      <c r="C41" s="32"/>
      <c r="D41" s="5"/>
      <c r="E41" s="40">
        <f>IFERROR(__xludf.DUMMYFUNCTION("""COMPUTED_VALUE"""),1.0)</f>
        <v>1</v>
      </c>
      <c r="F41" s="40">
        <f>IFERROR(__xludf.DUMMYFUNCTION("""COMPUTED_VALUE"""),0.0)</f>
        <v>0</v>
      </c>
      <c r="G41" s="41"/>
      <c r="H41" s="32"/>
      <c r="I41" s="32"/>
      <c r="J41" s="32"/>
      <c r="K41" s="32"/>
      <c r="L41" s="32"/>
      <c r="M41" s="5"/>
      <c r="N41" s="32"/>
      <c r="O41" s="32"/>
      <c r="P41" s="32"/>
      <c r="Q41" s="32"/>
      <c r="R41" s="32"/>
      <c r="S41" s="32"/>
      <c r="T41" s="32"/>
      <c r="U41" s="32"/>
      <c r="V41" s="32"/>
      <c r="W41" s="32"/>
      <c r="X41" s="32"/>
      <c r="Y41" s="32"/>
      <c r="Z41" s="32"/>
      <c r="AA41" s="32"/>
      <c r="AB41" s="32"/>
      <c r="AC41" s="32"/>
      <c r="AD41" s="32"/>
      <c r="AE41" s="32"/>
      <c r="AF41" s="32" t="str">
        <f>IFERROR(__xludf.DUMMYFUNCTION("""COMPUTED_VALUE"""),"++While equipped, Take half damage from fire damage, But decrease water damage you deal by half. ")</f>
        <v>++While equipped, Take half damage from fire damage, But decrease water damage you deal by half. </v>
      </c>
      <c r="AG41" s="32" t="str">
        <f>IFERROR(__xludf.DUMMYFUNCTION("""COMPUTED_VALUE"""),"Land of Spira")</f>
        <v>Land of Spira</v>
      </c>
      <c r="AH41" s="32" t="b">
        <f>IFERROR(__xludf.DUMMYFUNCTION("""COMPUTED_VALUE"""),FALSE)</f>
        <v>0</v>
      </c>
      <c r="AI41" s="32"/>
      <c r="AJ41" s="32"/>
      <c r="AK41" s="32"/>
      <c r="AL41" s="32"/>
      <c r="AM41" s="32"/>
      <c r="AN41" s="32"/>
      <c r="AO41" s="32"/>
      <c r="AP41" s="32"/>
      <c r="AQ41" s="32"/>
      <c r="AR41" s="32"/>
      <c r="AS41" s="32"/>
      <c r="AT41" s="32"/>
      <c r="AU41" s="32"/>
      <c r="AV41" s="32"/>
      <c r="AW41" s="32"/>
      <c r="AX41" s="32"/>
    </row>
    <row r="42">
      <c r="A42" s="5" t="str">
        <f>IFERROR(__xludf.DUMMYFUNCTION("""COMPUTED_VALUE"""),"Bright Flame Sword")</f>
        <v>Bright Flame Sword</v>
      </c>
      <c r="B42" s="5" t="str">
        <f>IFERROR(__xludf.DUMMYFUNCTION("""COMPUTED_VALUE"""),"Hand")</f>
        <v>Hand</v>
      </c>
      <c r="C42" s="32"/>
      <c r="D42" s="5" t="str">
        <f>IFERROR(__xludf.DUMMYFUNCTION("""COMPUTED_VALUE"""),"Sword")</f>
        <v>Sword</v>
      </c>
      <c r="E42" s="40">
        <f>IFERROR(__xludf.DUMMYFUNCTION("""COMPUTED_VALUE"""),300.0)</f>
        <v>300</v>
      </c>
      <c r="F42" s="40">
        <f>IFERROR(__xludf.DUMMYFUNCTION("""COMPUTED_VALUE"""),4350000.0)</f>
        <v>4350000</v>
      </c>
      <c r="G42" s="5" t="str">
        <f>IFERROR(__xludf.DUMMYFUNCTION("""COMPUTED_VALUE"""),"DMG")</f>
        <v>DMG</v>
      </c>
      <c r="H42" s="32">
        <f>IFERROR(__xludf.DUMMYFUNCTION("""COMPUTED_VALUE"""),10000.0)</f>
        <v>10000</v>
      </c>
      <c r="I42" s="32">
        <f>IFERROR(__xludf.DUMMYFUNCTION("""COMPUTED_VALUE"""),5000.0)</f>
        <v>5000</v>
      </c>
      <c r="J42" s="32"/>
      <c r="K42" s="32"/>
      <c r="L42" s="32"/>
      <c r="M42" s="32"/>
      <c r="N42" s="32"/>
      <c r="O42" s="32"/>
      <c r="P42" s="32"/>
      <c r="Q42" s="32"/>
      <c r="R42" s="32"/>
      <c r="S42" s="32"/>
      <c r="T42" s="32"/>
      <c r="U42" s="32"/>
      <c r="V42" s="32"/>
      <c r="W42" s="32"/>
      <c r="X42" s="32"/>
      <c r="Y42" s="32"/>
      <c r="Z42" s="32"/>
      <c r="AA42" s="32"/>
      <c r="AB42" s="32"/>
      <c r="AC42" s="32"/>
      <c r="AD42" s="32"/>
      <c r="AE42" s="32"/>
      <c r="AF42" s="32"/>
      <c r="AG42" s="32" t="str">
        <f>IFERROR(__xludf.DUMMYFUNCTION("""COMPUTED_VALUE"""),"Land of Spira")</f>
        <v>Land of Spira</v>
      </c>
      <c r="AH42" s="32" t="b">
        <f>IFERROR(__xludf.DUMMYFUNCTION("""COMPUTED_VALUE"""),FALSE)</f>
        <v>0</v>
      </c>
      <c r="AI42" s="32"/>
      <c r="AJ42" s="32"/>
      <c r="AK42" s="32"/>
      <c r="AL42" s="32"/>
      <c r="AM42" s="32"/>
      <c r="AN42" s="32"/>
      <c r="AO42" s="32"/>
      <c r="AP42" s="32"/>
      <c r="AQ42" s="32"/>
      <c r="AR42" s="32"/>
      <c r="AS42" s="32"/>
      <c r="AT42" s="32"/>
      <c r="AU42" s="32"/>
      <c r="AV42" s="32"/>
      <c r="AW42" s="32"/>
      <c r="AX42" s="32"/>
    </row>
    <row r="43">
      <c r="A43" s="5" t="str">
        <f>IFERROR(__xludf.DUMMYFUNCTION("""COMPUTED_VALUE"""),"Broken Sword")</f>
        <v>Broken Sword</v>
      </c>
      <c r="B43" s="5" t="str">
        <f>IFERROR(__xludf.DUMMYFUNCTION("""COMPUTED_VALUE"""),"Hand")</f>
        <v>Hand</v>
      </c>
      <c r="C43" s="32"/>
      <c r="D43" s="5" t="str">
        <f>IFERROR(__xludf.DUMMYFUNCTION("""COMPUTED_VALUE"""),"Knife")</f>
        <v>Knife</v>
      </c>
      <c r="E43" s="40">
        <f>IFERROR(__xludf.DUMMYFUNCTION("""COMPUTED_VALUE"""),1.0)</f>
        <v>1</v>
      </c>
      <c r="F43" s="40">
        <f>IFERROR(__xludf.DUMMYFUNCTION("""COMPUTED_VALUE"""),0.0)</f>
        <v>0</v>
      </c>
      <c r="G43" s="5" t="str">
        <f>IFERROR(__xludf.DUMMYFUNCTION("""COMPUTED_VALUE"""),"DMG")</f>
        <v>DMG</v>
      </c>
      <c r="H43" s="32">
        <f>IFERROR(__xludf.DUMMYFUNCTION("""COMPUTED_VALUE"""),1.0)</f>
        <v>1</v>
      </c>
      <c r="I43" s="32"/>
      <c r="J43" s="32"/>
      <c r="K43" s="32"/>
      <c r="L43" s="32"/>
      <c r="M43" s="32"/>
      <c r="N43" s="32"/>
      <c r="O43" s="32"/>
      <c r="P43" s="32"/>
      <c r="Q43" s="32"/>
      <c r="R43" s="32"/>
      <c r="S43" s="32"/>
      <c r="T43" s="32"/>
      <c r="U43" s="32"/>
      <c r="V43" s="32"/>
      <c r="W43" s="32"/>
      <c r="X43" s="32"/>
      <c r="Y43" s="32"/>
      <c r="Z43" s="32"/>
      <c r="AA43" s="32"/>
      <c r="AB43" s="32"/>
      <c r="AC43" s="32"/>
      <c r="AD43" s="32"/>
      <c r="AE43" s="32"/>
      <c r="AF43" s="32" t="str">
        <f>IFERROR(__xludf.DUMMYFUNCTION("""COMPUTED_VALUE"""),"++ -1 evasion")</f>
        <v>++ -1 evasion</v>
      </c>
      <c r="AG43" s="32" t="str">
        <f>IFERROR(__xludf.DUMMYFUNCTION("""COMPUTED_VALUE"""),"Land of Spira")</f>
        <v>Land of Spira</v>
      </c>
      <c r="AH43" s="32" t="b">
        <f>IFERROR(__xludf.DUMMYFUNCTION("""COMPUTED_VALUE"""),FALSE)</f>
        <v>0</v>
      </c>
      <c r="AI43" s="32"/>
      <c r="AJ43" s="32"/>
      <c r="AK43" s="32"/>
      <c r="AL43" s="32"/>
      <c r="AM43" s="32"/>
      <c r="AN43" s="32"/>
      <c r="AO43" s="32"/>
      <c r="AP43" s="32"/>
      <c r="AQ43" s="32"/>
      <c r="AR43" s="32"/>
      <c r="AS43" s="32"/>
      <c r="AT43" s="32"/>
      <c r="AU43" s="32"/>
      <c r="AV43" s="32"/>
      <c r="AW43" s="32"/>
      <c r="AX43" s="32"/>
    </row>
    <row r="44">
      <c r="A44" s="5" t="str">
        <f>IFERROR(__xludf.DUMMYFUNCTION("""COMPUTED_VALUE"""),"Burning Broadsword")</f>
        <v>Burning Broadsword</v>
      </c>
      <c r="B44" s="5" t="str">
        <f>IFERROR(__xludf.DUMMYFUNCTION("""COMPUTED_VALUE"""),"Hand")</f>
        <v>Hand</v>
      </c>
      <c r="C44" s="32"/>
      <c r="D44" s="5" t="str">
        <f>IFERROR(__xludf.DUMMYFUNCTION("""COMPUTED_VALUE"""),"Sword")</f>
        <v>Sword</v>
      </c>
      <c r="E44" s="40">
        <f>IFERROR(__xludf.DUMMYFUNCTION("""COMPUTED_VALUE"""),200.0)</f>
        <v>200</v>
      </c>
      <c r="F44" s="40">
        <f>IFERROR(__xludf.DUMMYFUNCTION("""COMPUTED_VALUE"""),1900000.0)</f>
        <v>1900000</v>
      </c>
      <c r="G44" s="5" t="str">
        <f>IFERROR(__xludf.DUMMYFUNCTION("""COMPUTED_VALUE"""),"DMG")</f>
        <v>DMG</v>
      </c>
      <c r="H44" s="32">
        <f>IFERROR(__xludf.DUMMYFUNCTION("""COMPUTED_VALUE"""),5000.0)</f>
        <v>5000</v>
      </c>
      <c r="I44" s="32">
        <f>IFERROR(__xludf.DUMMYFUNCTION("""COMPUTED_VALUE"""),5000.0)</f>
        <v>5000</v>
      </c>
      <c r="J44" s="32"/>
      <c r="K44" s="32"/>
      <c r="L44" s="32"/>
      <c r="M44" s="32"/>
      <c r="N44" s="32"/>
      <c r="O44" s="32"/>
      <c r="P44" s="32"/>
      <c r="Q44" s="32"/>
      <c r="R44" s="32"/>
      <c r="S44" s="32"/>
      <c r="T44" s="32"/>
      <c r="U44" s="32"/>
      <c r="V44" s="32"/>
      <c r="W44" s="32"/>
      <c r="X44" s="32"/>
      <c r="Y44" s="32"/>
      <c r="Z44" s="32"/>
      <c r="AA44" s="32"/>
      <c r="AB44" s="32"/>
      <c r="AC44" s="32"/>
      <c r="AD44" s="32"/>
      <c r="AE44" s="32"/>
      <c r="AF44" s="32" t="str">
        <f>IFERROR(__xludf.DUMMYFUNCTION("""COMPUTED_VALUE"""),"++10,000 fire damage per round for 3 rounds.")</f>
        <v>++10,000 fire damage per round for 3 rounds.</v>
      </c>
      <c r="AG44" s="32" t="str">
        <f>IFERROR(__xludf.DUMMYFUNCTION("""COMPUTED_VALUE"""),"Land of Spira")</f>
        <v>Land of Spira</v>
      </c>
      <c r="AH44" s="32" t="b">
        <f>IFERROR(__xludf.DUMMYFUNCTION("""COMPUTED_VALUE"""),FALSE)</f>
        <v>0</v>
      </c>
      <c r="AI44" s="32"/>
      <c r="AJ44" s="32"/>
      <c r="AK44" s="32"/>
      <c r="AL44" s="32"/>
      <c r="AM44" s="32"/>
      <c r="AN44" s="32"/>
      <c r="AO44" s="32"/>
      <c r="AP44" s="32"/>
      <c r="AQ44" s="32"/>
      <c r="AR44" s="32"/>
      <c r="AS44" s="32"/>
      <c r="AT44" s="32"/>
      <c r="AU44" s="32"/>
      <c r="AV44" s="32"/>
      <c r="AW44" s="32"/>
      <c r="AX44" s="32"/>
    </row>
    <row r="45">
      <c r="A45" s="5" t="str">
        <f>IFERROR(__xludf.DUMMYFUNCTION("""COMPUTED_VALUE"""),"Candy Corn Necklace")</f>
        <v>Candy Corn Necklace</v>
      </c>
      <c r="B45" s="5" t="str">
        <f>IFERROR(__xludf.DUMMYFUNCTION("""COMPUTED_VALUE"""),"Neck")</f>
        <v>Neck</v>
      </c>
      <c r="C45" s="32" t="str">
        <f>IFERROR(__xludf.DUMMYFUNCTION("""COMPUTED_VALUE"""),"Halloween Exclusive")</f>
        <v>Halloween Exclusive</v>
      </c>
      <c r="D45" s="5"/>
      <c r="E45" s="40">
        <f>IFERROR(__xludf.DUMMYFUNCTION("""COMPUTED_VALUE"""),1.0)</f>
        <v>1</v>
      </c>
      <c r="F45" s="40">
        <f>IFERROR(__xludf.DUMMYFUNCTION("""COMPUTED_VALUE"""),0.0)</f>
        <v>0</v>
      </c>
      <c r="G45" s="41"/>
      <c r="H45" s="32"/>
      <c r="I45" s="32"/>
      <c r="J45" s="32"/>
      <c r="K45" s="32"/>
      <c r="L45" s="32"/>
      <c r="M45" s="32"/>
      <c r="N45" s="32"/>
      <c r="O45" s="32"/>
      <c r="P45" s="32"/>
      <c r="Q45" s="32"/>
      <c r="R45" s="32"/>
      <c r="S45" s="32"/>
      <c r="T45" s="32"/>
      <c r="U45" s="32"/>
      <c r="V45" s="32"/>
      <c r="W45" s="32"/>
      <c r="X45" s="32"/>
      <c r="Y45" s="32"/>
      <c r="Z45" s="32"/>
      <c r="AA45" s="32"/>
      <c r="AB45" s="32"/>
      <c r="AC45" s="32"/>
      <c r="AD45" s="5"/>
      <c r="AE45" s="32"/>
      <c r="AF45" s="32" t="str">
        <f>IFERROR(__xludf.DUMMYFUNCTION("""COMPUTED_VALUE"""),"++Gives Immunity to Dark and Chaos Damage, ++ +2 Intimidation.")</f>
        <v>++Gives Immunity to Dark and Chaos Damage, ++ +2 Intimidation.</v>
      </c>
      <c r="AG45" s="32" t="str">
        <f>IFERROR(__xludf.DUMMYFUNCTION("""COMPUTED_VALUE"""),"Halloween Kingdom")</f>
        <v>Halloween Kingdom</v>
      </c>
      <c r="AH45" s="32" t="b">
        <f>IFERROR(__xludf.DUMMYFUNCTION("""COMPUTED_VALUE"""),FALSE)</f>
        <v>0</v>
      </c>
      <c r="AI45" s="32"/>
      <c r="AJ45" s="32"/>
      <c r="AK45" s="32"/>
      <c r="AL45" s="32"/>
      <c r="AM45" s="32"/>
      <c r="AN45" s="32"/>
      <c r="AO45" s="32"/>
      <c r="AP45" s="32"/>
      <c r="AQ45" s="32"/>
      <c r="AR45" s="32"/>
      <c r="AS45" s="32"/>
      <c r="AT45" s="32"/>
      <c r="AU45" s="32"/>
      <c r="AV45" s="32"/>
      <c r="AW45" s="32"/>
      <c r="AX45" s="32"/>
    </row>
    <row r="46">
      <c r="A46" s="5" t="str">
        <f>IFERROR(__xludf.DUMMYFUNCTION("""COMPUTED_VALUE"""),"Candy Corn Rifle")</f>
        <v>Candy Corn Rifle</v>
      </c>
      <c r="B46" s="5" t="str">
        <f>IFERROR(__xludf.DUMMYFUNCTION("""COMPUTED_VALUE"""),"Hand")</f>
        <v>Hand</v>
      </c>
      <c r="C46" s="32" t="str">
        <f>IFERROR(__xludf.DUMMYFUNCTION("""COMPUTED_VALUE"""),"Halloween Exclusive")</f>
        <v>Halloween Exclusive</v>
      </c>
      <c r="D46" s="5" t="str">
        <f>IFERROR(__xludf.DUMMYFUNCTION("""COMPUTED_VALUE"""),"Firearm")</f>
        <v>Firearm</v>
      </c>
      <c r="E46" s="40">
        <f>IFERROR(__xludf.DUMMYFUNCTION("""COMPUTED_VALUE"""),200.0)</f>
        <v>200</v>
      </c>
      <c r="F46" s="40">
        <f>IFERROR(__xludf.DUMMYFUNCTION("""COMPUTED_VALUE"""),1.272E8)</f>
        <v>127200000</v>
      </c>
      <c r="G46" s="5" t="str">
        <f>IFERROR(__xludf.DUMMYFUNCTION("""COMPUTED_VALUE"""),"DMG")</f>
        <v>DMG</v>
      </c>
      <c r="H46" s="33">
        <f>IFERROR(__xludf.DUMMYFUNCTION("""COMPUTED_VALUE"""),10000.0)</f>
        <v>10000</v>
      </c>
      <c r="I46" s="33">
        <f>IFERROR(__xludf.DUMMYFUNCTION("""COMPUTED_VALUE"""),10000.0)</f>
        <v>10000</v>
      </c>
      <c r="J46" s="32"/>
      <c r="K46" s="32"/>
      <c r="L46" s="32"/>
      <c r="M46" s="32"/>
      <c r="N46" s="32"/>
      <c r="O46" s="33">
        <f>IFERROR(__xludf.DUMMYFUNCTION("""COMPUTED_VALUE"""),10000.0)</f>
        <v>10000</v>
      </c>
      <c r="P46" s="33">
        <f>IFERROR(__xludf.DUMMYFUNCTION("""COMPUTED_VALUE"""),10000.0)</f>
        <v>10000</v>
      </c>
      <c r="Q46" s="32"/>
      <c r="R46" s="33">
        <f>IFERROR(__xludf.DUMMYFUNCTION("""COMPUTED_VALUE"""),10000.0)</f>
        <v>10000</v>
      </c>
      <c r="S46" s="32"/>
      <c r="T46" s="32"/>
      <c r="U46" s="32"/>
      <c r="V46" s="32"/>
      <c r="W46" s="32"/>
      <c r="X46" s="33">
        <f>IFERROR(__xludf.DUMMYFUNCTION("""COMPUTED_VALUE"""),10000.0)</f>
        <v>10000</v>
      </c>
      <c r="Y46" s="33">
        <f>IFERROR(__xludf.DUMMYFUNCTION("""COMPUTED_VALUE"""),10000.0)</f>
        <v>10000</v>
      </c>
      <c r="Z46" s="32"/>
      <c r="AA46" s="32"/>
      <c r="AB46" s="32"/>
      <c r="AC46" s="33">
        <f>IFERROR(__xludf.DUMMYFUNCTION("""COMPUTED_VALUE"""),10000.0)</f>
        <v>10000</v>
      </c>
      <c r="AD46" s="5"/>
      <c r="AE46" s="32"/>
      <c r="AF46" s="32"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32" t="str">
        <f>IFERROR(__xludf.DUMMYFUNCTION("""COMPUTED_VALUE"""),"Halloween Kingdom")</f>
        <v>Halloween Kingdom</v>
      </c>
      <c r="AH46" s="32" t="b">
        <f>IFERROR(__xludf.DUMMYFUNCTION("""COMPUTED_VALUE"""),FALSE)</f>
        <v>0</v>
      </c>
      <c r="AI46" s="32"/>
      <c r="AJ46" s="32"/>
      <c r="AK46" s="32"/>
      <c r="AL46" s="32"/>
      <c r="AM46" s="32"/>
      <c r="AN46" s="32"/>
      <c r="AO46" s="32"/>
      <c r="AP46" s="32"/>
      <c r="AQ46" s="32"/>
      <c r="AR46" s="32"/>
      <c r="AS46" s="32"/>
      <c r="AT46" s="32"/>
      <c r="AU46" s="32"/>
      <c r="AV46" s="32"/>
      <c r="AW46" s="32"/>
      <c r="AX46" s="32"/>
    </row>
    <row r="47">
      <c r="A47" s="5" t="str">
        <f>IFERROR(__xludf.DUMMYFUNCTION("""COMPUTED_VALUE"""),"Cap of Metal Harmony's")</f>
        <v>Cap of Metal Harmony's</v>
      </c>
      <c r="B47" s="5" t="str">
        <f>IFERROR(__xludf.DUMMYFUNCTION("""COMPUTED_VALUE"""),"Head")</f>
        <v>Head</v>
      </c>
      <c r="C47" s="32"/>
      <c r="D47" s="5"/>
      <c r="E47" s="40">
        <f>IFERROR(__xludf.DUMMYFUNCTION("""COMPUTED_VALUE"""),200.0)</f>
        <v>200</v>
      </c>
      <c r="F47" s="40">
        <f>IFERROR(__xludf.DUMMYFUNCTION("""COMPUTED_VALUE"""),1900000.0)</f>
        <v>1900000</v>
      </c>
      <c r="G47" s="41" t="str">
        <f>IFERROR(__xludf.DUMMYFUNCTION("""COMPUTED_VALUE"""),"DEF")</f>
        <v>DEF</v>
      </c>
      <c r="H47" s="33">
        <f>IFERROR(__xludf.DUMMYFUNCTION("""COMPUTED_VALUE"""),10000.0)</f>
        <v>10000</v>
      </c>
      <c r="I47" s="32"/>
      <c r="J47" s="32"/>
      <c r="K47" s="32"/>
      <c r="L47" s="32"/>
      <c r="M47" s="32"/>
      <c r="N47" s="32"/>
      <c r="O47" s="32"/>
      <c r="P47" s="32"/>
      <c r="Q47" s="32"/>
      <c r="R47" s="32"/>
      <c r="S47" s="32"/>
      <c r="T47" s="32"/>
      <c r="U47" s="32"/>
      <c r="V47" s="32"/>
      <c r="W47" s="32"/>
      <c r="X47" s="32"/>
      <c r="Y47" s="32"/>
      <c r="Z47" s="32"/>
      <c r="AA47" s="32"/>
      <c r="AB47" s="32"/>
      <c r="AC47" s="41"/>
      <c r="AD47" s="5"/>
      <c r="AE47" s="32"/>
      <c r="AF47" s="32" t="str">
        <f>IFERROR(__xludf.DUMMYFUNCTION("""COMPUTED_VALUE"""),"++Half the SP cost for Fire, Water, Storm, Earth, and Nature spells.")</f>
        <v>++Half the SP cost for Fire, Water, Storm, Earth, and Nature spells.</v>
      </c>
      <c r="AG47" s="32" t="str">
        <f>IFERROR(__xludf.DUMMYFUNCTION("""COMPUTED_VALUE"""),"Land of Spira")</f>
        <v>Land of Spira</v>
      </c>
      <c r="AH47" s="32" t="b">
        <f>IFERROR(__xludf.DUMMYFUNCTION("""COMPUTED_VALUE"""),FALSE)</f>
        <v>0</v>
      </c>
      <c r="AI47" s="32"/>
      <c r="AJ47" s="32"/>
      <c r="AK47" s="32"/>
      <c r="AL47" s="32"/>
      <c r="AM47" s="32"/>
      <c r="AN47" s="32"/>
      <c r="AO47" s="32"/>
      <c r="AP47" s="32"/>
      <c r="AQ47" s="32"/>
      <c r="AR47" s="32"/>
      <c r="AS47" s="32"/>
      <c r="AT47" s="32"/>
      <c r="AU47" s="32"/>
      <c r="AV47" s="32"/>
      <c r="AW47" s="32"/>
      <c r="AX47" s="32"/>
    </row>
    <row r="48">
      <c r="A48" s="5" t="str">
        <f>IFERROR(__xludf.DUMMYFUNCTION("""COMPUTED_VALUE"""),"Celestian Royal Shield")</f>
        <v>Celestian Royal Shield</v>
      </c>
      <c r="B48" s="5" t="str">
        <f>IFERROR(__xludf.DUMMYFUNCTION("""COMPUTED_VALUE"""),"Hand")</f>
        <v>Hand</v>
      </c>
      <c r="C48" s="32" t="str">
        <f>IFERROR(__xludf.DUMMYFUNCTION("""COMPUTED_VALUE"""),"Quest Item")</f>
        <v>Quest Item</v>
      </c>
      <c r="D48" s="5" t="str">
        <f>IFERROR(__xludf.DUMMYFUNCTION("""COMPUTED_VALUE"""),"Towershield")</f>
        <v>Towershield</v>
      </c>
      <c r="E48" s="40">
        <f>IFERROR(__xludf.DUMMYFUNCTION("""COMPUTED_VALUE"""),200.0)</f>
        <v>200</v>
      </c>
      <c r="F48" s="40">
        <f>IFERROR(__xludf.DUMMYFUNCTION("""COMPUTED_VALUE"""),3.196E9)</f>
        <v>3196000000</v>
      </c>
      <c r="G48" s="5" t="str">
        <f>IFERROR(__xludf.DUMMYFUNCTION("""COMPUTED_VALUE"""),"DEF")</f>
        <v>DEF</v>
      </c>
      <c r="H48" s="33">
        <f>IFERROR(__xludf.DUMMYFUNCTION("""COMPUTED_VALUE"""),100000.0)</f>
        <v>100000</v>
      </c>
      <c r="I48" s="32"/>
      <c r="J48" s="32"/>
      <c r="K48" s="32"/>
      <c r="L48" s="32"/>
      <c r="M48" s="32"/>
      <c r="N48" s="33">
        <f>IFERROR(__xludf.DUMMYFUNCTION("""COMPUTED_VALUE"""),100000.0)</f>
        <v>100000</v>
      </c>
      <c r="O48" s="33">
        <f>IFERROR(__xludf.DUMMYFUNCTION("""COMPUTED_VALUE"""),100000.0)</f>
        <v>100000</v>
      </c>
      <c r="P48" s="32"/>
      <c r="Q48" s="32"/>
      <c r="R48" s="32"/>
      <c r="S48" s="32"/>
      <c r="T48" s="32"/>
      <c r="U48" s="32"/>
      <c r="V48" s="32"/>
      <c r="W48" s="32"/>
      <c r="X48" s="32"/>
      <c r="Y48" s="32"/>
      <c r="Z48" s="32"/>
      <c r="AA48" s="32"/>
      <c r="AB48" s="32"/>
      <c r="AC48" s="33">
        <f>IFERROR(__xludf.DUMMYFUNCTION("""COMPUTED_VALUE"""),100000.0)</f>
        <v>100000</v>
      </c>
      <c r="AD48" s="32"/>
      <c r="AE48" s="32"/>
      <c r="AF48" s="32" t="str">
        <f>IFERROR(__xludf.DUMMYFUNCTION("""COMPUTED_VALUE"""),"++Royal Protection: Immunity to Celestial. +-Cannot be forged or duplicated.")</f>
        <v>++Royal Protection: Immunity to Celestial. +-Cannot be forged or duplicated.</v>
      </c>
      <c r="AG48" s="32" t="str">
        <f>IFERROR(__xludf.DUMMYFUNCTION("""COMPUTED_VALUE"""),"Land of Spira")</f>
        <v>Land of Spira</v>
      </c>
      <c r="AH48" s="32" t="b">
        <f>IFERROR(__xludf.DUMMYFUNCTION("""COMPUTED_VALUE"""),FALSE)</f>
        <v>0</v>
      </c>
      <c r="AI48" s="32"/>
      <c r="AJ48" s="32"/>
      <c r="AK48" s="32"/>
      <c r="AL48" s="32"/>
      <c r="AM48" s="32"/>
      <c r="AN48" s="32"/>
      <c r="AO48" s="32"/>
      <c r="AP48" s="32"/>
      <c r="AQ48" s="32"/>
      <c r="AR48" s="32"/>
      <c r="AS48" s="32"/>
      <c r="AT48" s="32"/>
      <c r="AU48" s="32"/>
      <c r="AV48" s="32"/>
      <c r="AW48" s="32"/>
      <c r="AX48" s="32"/>
    </row>
    <row r="49">
      <c r="A49" s="5" t="str">
        <f>IFERROR(__xludf.DUMMYFUNCTION("""COMPUTED_VALUE"""),"Celestian Royal Sword")</f>
        <v>Celestian Royal Sword</v>
      </c>
      <c r="B49" s="5" t="str">
        <f>IFERROR(__xludf.DUMMYFUNCTION("""COMPUTED_VALUE"""),"Hand")</f>
        <v>Hand</v>
      </c>
      <c r="C49" s="32" t="str">
        <f>IFERROR(__xludf.DUMMYFUNCTION("""COMPUTED_VALUE"""),"Quest Item")</f>
        <v>Quest Item</v>
      </c>
      <c r="D49" s="5" t="str">
        <f>IFERROR(__xludf.DUMMYFUNCTION("""COMPUTED_VALUE"""),"Sword")</f>
        <v>Sword</v>
      </c>
      <c r="E49" s="40">
        <f>IFERROR(__xludf.DUMMYFUNCTION("""COMPUTED_VALUE"""),200.0)</f>
        <v>200</v>
      </c>
      <c r="F49" s="40">
        <f>IFERROR(__xludf.DUMMYFUNCTION("""COMPUTED_VALUE"""),3.196E9)</f>
        <v>3196000000</v>
      </c>
      <c r="G49" s="5" t="str">
        <f>IFERROR(__xludf.DUMMYFUNCTION("""COMPUTED_VALUE"""),"DMG")</f>
        <v>DMG</v>
      </c>
      <c r="H49" s="33">
        <f>IFERROR(__xludf.DUMMYFUNCTION("""COMPUTED_VALUE"""),100000.0)</f>
        <v>100000</v>
      </c>
      <c r="I49" s="32"/>
      <c r="J49" s="32"/>
      <c r="K49" s="32"/>
      <c r="L49" s="32"/>
      <c r="M49" s="32"/>
      <c r="N49" s="33">
        <f>IFERROR(__xludf.DUMMYFUNCTION("""COMPUTED_VALUE"""),100000.0)</f>
        <v>100000</v>
      </c>
      <c r="O49" s="33">
        <f>IFERROR(__xludf.DUMMYFUNCTION("""COMPUTED_VALUE"""),100000.0)</f>
        <v>100000</v>
      </c>
      <c r="P49" s="32"/>
      <c r="Q49" s="32"/>
      <c r="R49" s="32"/>
      <c r="S49" s="32"/>
      <c r="T49" s="32"/>
      <c r="U49" s="32"/>
      <c r="V49" s="32"/>
      <c r="W49" s="32"/>
      <c r="X49" s="32"/>
      <c r="Y49" s="32"/>
      <c r="Z49" s="32"/>
      <c r="AA49" s="32"/>
      <c r="AB49" s="32"/>
      <c r="AC49" s="33">
        <f>IFERROR(__xludf.DUMMYFUNCTION("""COMPUTED_VALUE"""),100000.0)</f>
        <v>100000</v>
      </c>
      <c r="AD49" s="32"/>
      <c r="AE49" s="32"/>
      <c r="AF49" s="32" t="str">
        <f>IFERROR(__xludf.DUMMYFUNCTION("""COMPUTED_VALUE"""),"++X8 Celestial Damage. +-Cannot be forged or duplicated.")</f>
        <v>++X8 Celestial Damage. +-Cannot be forged or duplicated.</v>
      </c>
      <c r="AG49" s="32" t="str">
        <f>IFERROR(__xludf.DUMMYFUNCTION("""COMPUTED_VALUE"""),"Land of Spira")</f>
        <v>Land of Spira</v>
      </c>
      <c r="AH49" s="32" t="b">
        <f>IFERROR(__xludf.DUMMYFUNCTION("""COMPUTED_VALUE"""),FALSE)</f>
        <v>0</v>
      </c>
      <c r="AI49" s="32"/>
      <c r="AJ49" s="32"/>
      <c r="AK49" s="32"/>
      <c r="AL49" s="32"/>
      <c r="AM49" s="32"/>
      <c r="AN49" s="32"/>
      <c r="AO49" s="32"/>
      <c r="AP49" s="32"/>
      <c r="AQ49" s="32"/>
      <c r="AR49" s="32"/>
      <c r="AS49" s="32"/>
      <c r="AT49" s="32"/>
      <c r="AU49" s="32"/>
      <c r="AV49" s="32"/>
      <c r="AW49" s="32"/>
      <c r="AX49" s="32"/>
    </row>
    <row r="50">
      <c r="A50" s="42" t="str">
        <f>IFERROR(__xludf.DUMMYFUNCTION("""COMPUTED_VALUE"""),"Chain Link Armor")</f>
        <v>Chain Link Armor</v>
      </c>
      <c r="B50" s="5" t="str">
        <f>IFERROR(__xludf.DUMMYFUNCTION("""COMPUTED_VALUE"""),"Torso")</f>
        <v>Torso</v>
      </c>
      <c r="C50" s="32"/>
      <c r="D50" s="5"/>
      <c r="E50" s="40">
        <f>IFERROR(__xludf.DUMMYFUNCTION("""COMPUTED_VALUE"""),40.0)</f>
        <v>40</v>
      </c>
      <c r="F50" s="40">
        <f>IFERROR(__xludf.DUMMYFUNCTION("""COMPUTED_VALUE"""),60000.0)</f>
        <v>60000</v>
      </c>
      <c r="G50" s="5" t="str">
        <f>IFERROR(__xludf.DUMMYFUNCTION("""COMPUTED_VALUE"""),"DEF")</f>
        <v>DEF</v>
      </c>
      <c r="H50" s="32">
        <f>IFERROR(__xludf.DUMMYFUNCTION("""COMPUTED_VALUE"""),2000.0)</f>
        <v>2000</v>
      </c>
      <c r="I50" s="32"/>
      <c r="J50" s="32"/>
      <c r="K50" s="32"/>
      <c r="L50" s="32"/>
      <c r="M50" s="32"/>
      <c r="N50" s="5"/>
      <c r="O50" s="32"/>
      <c r="P50" s="32"/>
      <c r="Q50" s="5"/>
      <c r="R50" s="32"/>
      <c r="S50" s="32"/>
      <c r="T50" s="32"/>
      <c r="U50" s="32"/>
      <c r="V50" s="32"/>
      <c r="W50" s="32"/>
      <c r="X50" s="32"/>
      <c r="Y50" s="32"/>
      <c r="Z50" s="32"/>
      <c r="AA50" s="32"/>
      <c r="AB50" s="32"/>
      <c r="AC50" s="32"/>
      <c r="AD50" s="32"/>
      <c r="AE50" s="32"/>
      <c r="AF50" s="32" t="str">
        <f>IFERROR(__xludf.DUMMYFUNCTION("""COMPUTED_VALUE"""),"++Wrapped in Chains - When the wearer is attacked with a weapon; 25% chance to make the attacker drop it's weapon.")</f>
        <v>++Wrapped in Chains - When the wearer is attacked with a weapon; 25% chance to make the attacker drop it's weapon.</v>
      </c>
      <c r="AG50" s="32" t="str">
        <f>IFERROR(__xludf.DUMMYFUNCTION("""COMPUTED_VALUE"""),"Land of Spira")</f>
        <v>Land of Spira</v>
      </c>
      <c r="AH50" s="32" t="b">
        <f>IFERROR(__xludf.DUMMYFUNCTION("""COMPUTED_VALUE"""),FALSE)</f>
        <v>0</v>
      </c>
      <c r="AI50" s="32"/>
      <c r="AJ50" s="32"/>
      <c r="AK50" s="32"/>
      <c r="AL50" s="32"/>
      <c r="AM50" s="32"/>
      <c r="AN50" s="32"/>
      <c r="AO50" s="32"/>
      <c r="AP50" s="32"/>
      <c r="AQ50" s="32"/>
      <c r="AR50" s="32"/>
      <c r="AS50" s="32"/>
      <c r="AT50" s="32"/>
      <c r="AU50" s="32"/>
      <c r="AV50" s="32"/>
      <c r="AW50" s="32"/>
      <c r="AX50" s="32"/>
    </row>
    <row r="51">
      <c r="A51" s="42" t="str">
        <f>IFERROR(__xludf.DUMMYFUNCTION("""COMPUTED_VALUE"""),"Chaos Sword")</f>
        <v>Chaos Sword</v>
      </c>
      <c r="B51" s="5" t="str">
        <f>IFERROR(__xludf.DUMMYFUNCTION("""COMPUTED_VALUE"""),"Hand")</f>
        <v>Hand</v>
      </c>
      <c r="C51" s="32"/>
      <c r="D51" s="5" t="str">
        <f>IFERROR(__xludf.DUMMYFUNCTION("""COMPUTED_VALUE"""),"Sword")</f>
        <v>Sword</v>
      </c>
      <c r="E51" s="40">
        <f>IFERROR(__xludf.DUMMYFUNCTION("""COMPUTED_VALUE"""),90.0)</f>
        <v>90</v>
      </c>
      <c r="F51" s="40">
        <f>IFERROR(__xludf.DUMMYFUNCTION("""COMPUTED_VALUE"""),360000.0)</f>
        <v>360000</v>
      </c>
      <c r="G51" s="5" t="str">
        <f>IFERROR(__xludf.DUMMYFUNCTION("""COMPUTED_VALUE"""),"DMG")</f>
        <v>DMG</v>
      </c>
      <c r="H51" s="32">
        <f>IFERROR(__xludf.DUMMYFUNCTION("""COMPUTED_VALUE"""),2500.0)</f>
        <v>2500</v>
      </c>
      <c r="I51" s="32"/>
      <c r="J51" s="32"/>
      <c r="K51" s="32"/>
      <c r="L51" s="5"/>
      <c r="M51" s="32"/>
      <c r="N51" s="32"/>
      <c r="O51" s="32"/>
      <c r="P51" s="32"/>
      <c r="Q51" s="32"/>
      <c r="R51" s="32">
        <f>IFERROR(__xludf.DUMMYFUNCTION("""COMPUTED_VALUE"""),2000.0)</f>
        <v>2000</v>
      </c>
      <c r="S51" s="32"/>
      <c r="T51" s="32"/>
      <c r="U51" s="32"/>
      <c r="V51" s="32"/>
      <c r="W51" s="32"/>
      <c r="X51" s="32"/>
      <c r="Y51" s="32"/>
      <c r="Z51" s="32"/>
      <c r="AA51" s="32"/>
      <c r="AB51" s="32"/>
      <c r="AC51" s="32"/>
      <c r="AD51" s="32"/>
      <c r="AE51" s="32"/>
      <c r="AF51" s="32" t="str">
        <f>IFERROR(__xludf.DUMMYFUNCTION("""COMPUTED_VALUE"""),"++ +2 Intimidation. +-Cannot be duplicated. +-Can only equip one.")</f>
        <v>++ +2 Intimidation. +-Cannot be duplicated. +-Can only equip one.</v>
      </c>
      <c r="AG51" s="32" t="str">
        <f>IFERROR(__xludf.DUMMYFUNCTION("""COMPUTED_VALUE"""),"Land of Spira")</f>
        <v>Land of Spira</v>
      </c>
      <c r="AH51" s="32" t="b">
        <f>IFERROR(__xludf.DUMMYFUNCTION("""COMPUTED_VALUE"""),FALSE)</f>
        <v>0</v>
      </c>
      <c r="AI51" s="32"/>
      <c r="AJ51" s="32"/>
      <c r="AK51" s="32"/>
      <c r="AL51" s="32"/>
      <c r="AM51" s="32"/>
      <c r="AN51" s="32"/>
      <c r="AO51" s="32"/>
      <c r="AP51" s="32"/>
      <c r="AQ51" s="32"/>
      <c r="AR51" s="32"/>
      <c r="AS51" s="32"/>
      <c r="AT51" s="32"/>
      <c r="AU51" s="32"/>
      <c r="AV51" s="32"/>
      <c r="AW51" s="32"/>
      <c r="AX51" s="32"/>
    </row>
    <row r="52">
      <c r="A52" s="42" t="str">
        <f>IFERROR(__xludf.DUMMYFUNCTION("""COMPUTED_VALUE"""),"Chaotic Amulet")</f>
        <v>Chaotic Amulet</v>
      </c>
      <c r="B52" s="5" t="str">
        <f>IFERROR(__xludf.DUMMYFUNCTION("""COMPUTED_VALUE"""),"Neck")</f>
        <v>Neck</v>
      </c>
      <c r="C52" s="32"/>
      <c r="D52" s="5"/>
      <c r="E52" s="40">
        <f>IFERROR(__xludf.DUMMYFUNCTION("""COMPUTED_VALUE"""),1.0)</f>
        <v>1</v>
      </c>
      <c r="F52" s="40">
        <f>IFERROR(__xludf.DUMMYFUNCTION("""COMPUTED_VALUE"""),0.0)</f>
        <v>0</v>
      </c>
      <c r="G52" s="5"/>
      <c r="H52" s="32"/>
      <c r="I52" s="32"/>
      <c r="J52" s="32"/>
      <c r="K52" s="32"/>
      <c r="L52" s="5"/>
      <c r="M52" s="32"/>
      <c r="N52" s="32"/>
      <c r="O52" s="32"/>
      <c r="P52" s="32"/>
      <c r="Q52" s="32"/>
      <c r="R52" s="32"/>
      <c r="S52" s="32"/>
      <c r="T52" s="32"/>
      <c r="U52" s="32"/>
      <c r="V52" s="32"/>
      <c r="W52" s="32"/>
      <c r="X52" s="32"/>
      <c r="Y52" s="32"/>
      <c r="Z52" s="32"/>
      <c r="AA52" s="32"/>
      <c r="AB52" s="32"/>
      <c r="AC52" s="32"/>
      <c r="AD52" s="32"/>
      <c r="AE52" s="32"/>
      <c r="AF52" s="32" t="str">
        <f>IFERROR(__xludf.DUMMYFUNCTION("""COMPUTED_VALUE"""),"++Immunity to all Chaos Dmg, ++Deal 2x more Chaos Dmg.")</f>
        <v>++Immunity to all Chaos Dmg, ++Deal 2x more Chaos Dmg.</v>
      </c>
      <c r="AG52" s="32" t="str">
        <f>IFERROR(__xludf.DUMMYFUNCTION("""COMPUTED_VALUE"""),"Land of The Forgotten")</f>
        <v>Land of The Forgotten</v>
      </c>
      <c r="AH52" s="32" t="b">
        <f>IFERROR(__xludf.DUMMYFUNCTION("""COMPUTED_VALUE"""),FALSE)</f>
        <v>0</v>
      </c>
      <c r="AI52" s="32"/>
      <c r="AJ52" s="32"/>
      <c r="AK52" s="32"/>
      <c r="AL52" s="32"/>
      <c r="AM52" s="32"/>
      <c r="AN52" s="32"/>
      <c r="AO52" s="32"/>
      <c r="AP52" s="32"/>
      <c r="AQ52" s="32"/>
      <c r="AR52" s="32"/>
      <c r="AS52" s="32"/>
      <c r="AT52" s="32"/>
      <c r="AU52" s="32"/>
      <c r="AV52" s="32"/>
      <c r="AW52" s="32"/>
      <c r="AX52" s="32"/>
    </row>
    <row r="53">
      <c r="A53" s="5" t="str">
        <f>IFERROR(__xludf.DUMMYFUNCTION("""COMPUTED_VALUE"""),"Ring")</f>
        <v>Ring</v>
      </c>
      <c r="B53" s="5" t="str">
        <f>IFERROR(__xludf.DUMMYFUNCTION("""COMPUTED_VALUE"""),"Ring")</f>
        <v>Ring</v>
      </c>
      <c r="C53" s="32"/>
      <c r="D53" s="5"/>
      <c r="E53" s="40">
        <f>IFERROR(__xludf.DUMMYFUNCTION("""COMPUTED_VALUE"""),1.0)</f>
        <v>1</v>
      </c>
      <c r="F53" s="40">
        <f>IFERROR(__xludf.DUMMYFUNCTION("""COMPUTED_VALUE"""),0.0)</f>
        <v>0</v>
      </c>
      <c r="G53" s="5" t="str">
        <f>IFERROR(__xludf.DUMMYFUNCTION("""COMPUTED_VALUE"""),"DMG")</f>
        <v>DMG</v>
      </c>
      <c r="H53" s="32"/>
      <c r="I53" s="32"/>
      <c r="J53" s="32"/>
      <c r="K53" s="32"/>
      <c r="L53" s="32"/>
      <c r="M53" s="32"/>
      <c r="N53" s="32"/>
      <c r="O53" s="32"/>
      <c r="P53" s="32"/>
      <c r="Q53" s="32"/>
      <c r="R53" s="32"/>
      <c r="S53" s="32"/>
      <c r="T53" s="32"/>
      <c r="U53" s="32"/>
      <c r="V53" s="32"/>
      <c r="W53" s="32"/>
      <c r="X53" s="32"/>
      <c r="Y53" s="32"/>
      <c r="Z53" s="32"/>
      <c r="AA53" s="32"/>
      <c r="AB53" s="32"/>
      <c r="AC53" s="32"/>
      <c r="AD53" s="5"/>
      <c r="AE53" s="32"/>
      <c r="AF53" s="32" t="str">
        <f>IFERROR(__xludf.DUMMYFUNCTION("""COMPUTED_VALUE"""),"++X2 additional Chaos and Blood damage")</f>
        <v>++X2 additional Chaos and Blood damage</v>
      </c>
      <c r="AG53" s="32" t="str">
        <f>IFERROR(__xludf.DUMMYFUNCTION("""COMPUTED_VALUE"""),"Land of Spira")</f>
        <v>Land of Spira</v>
      </c>
      <c r="AH53" s="32" t="b">
        <f>IFERROR(__xludf.DUMMYFUNCTION("""COMPUTED_VALUE"""),FALSE)</f>
        <v>0</v>
      </c>
      <c r="AI53" s="32"/>
      <c r="AJ53" s="32"/>
      <c r="AK53" s="32"/>
      <c r="AL53" s="32"/>
      <c r="AM53" s="32"/>
      <c r="AN53" s="32"/>
      <c r="AO53" s="32"/>
      <c r="AP53" s="32"/>
      <c r="AQ53" s="32"/>
      <c r="AR53" s="32"/>
      <c r="AS53" s="32"/>
      <c r="AT53" s="32"/>
      <c r="AU53" s="32"/>
      <c r="AV53" s="32"/>
      <c r="AW53" s="32"/>
      <c r="AX53" s="32"/>
    </row>
    <row r="54">
      <c r="A54" s="5" t="str">
        <f>IFERROR(__xludf.DUMMYFUNCTION("""COMPUTED_VALUE"""),"Chaotic Shadow Life Orb")</f>
        <v>Chaotic Shadow Life Orb</v>
      </c>
      <c r="B54" s="5" t="str">
        <f>IFERROR(__xludf.DUMMYFUNCTION("""COMPUTED_VALUE"""),"Hand")</f>
        <v>Hand</v>
      </c>
      <c r="C54" s="32"/>
      <c r="D54" s="5"/>
      <c r="E54" s="40">
        <f>IFERROR(__xludf.DUMMYFUNCTION("""COMPUTED_VALUE"""),1.0)</f>
        <v>1</v>
      </c>
      <c r="F54" s="40">
        <f>IFERROR(__xludf.DUMMYFUNCTION("""COMPUTED_VALUE"""),0.0)</f>
        <v>0</v>
      </c>
      <c r="G54" s="5"/>
      <c r="H54" s="32"/>
      <c r="I54" s="32"/>
      <c r="J54" s="32"/>
      <c r="K54" s="32"/>
      <c r="L54" s="32"/>
      <c r="M54" s="32"/>
      <c r="N54" s="32"/>
      <c r="O54" s="32"/>
      <c r="P54" s="32"/>
      <c r="Q54" s="32"/>
      <c r="R54" s="32"/>
      <c r="S54" s="32"/>
      <c r="T54" s="32"/>
      <c r="U54" s="32"/>
      <c r="V54" s="32"/>
      <c r="W54" s="32"/>
      <c r="X54" s="32"/>
      <c r="Y54" s="32"/>
      <c r="Z54" s="32"/>
      <c r="AA54" s="32"/>
      <c r="AB54" s="32"/>
      <c r="AC54" s="32"/>
      <c r="AD54" s="5"/>
      <c r="AE54" s="32"/>
      <c r="AF54" s="32"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32" t="str">
        <f>IFERROR(__xludf.DUMMYFUNCTION("""COMPUTED_VALUE"""),"Land of Spira")</f>
        <v>Land of Spira</v>
      </c>
      <c r="AH54" s="32" t="b">
        <f>IFERROR(__xludf.DUMMYFUNCTION("""COMPUTED_VALUE"""),FALSE)</f>
        <v>0</v>
      </c>
      <c r="AI54" s="32"/>
      <c r="AJ54" s="32"/>
      <c r="AK54" s="32"/>
      <c r="AL54" s="32"/>
      <c r="AM54" s="32"/>
      <c r="AN54" s="32"/>
      <c r="AO54" s="32"/>
      <c r="AP54" s="32"/>
      <c r="AQ54" s="32"/>
      <c r="AR54" s="32"/>
      <c r="AS54" s="32"/>
      <c r="AT54" s="32"/>
      <c r="AU54" s="32"/>
      <c r="AV54" s="32"/>
      <c r="AW54" s="32"/>
      <c r="AX54" s="32"/>
    </row>
    <row r="55">
      <c r="A55" s="5" t="str">
        <f>IFERROR(__xludf.DUMMYFUNCTION("""COMPUTED_VALUE"""),"Charm of Awaken")</f>
        <v>Charm of Awaken</v>
      </c>
      <c r="B55" s="5" t="str">
        <f>IFERROR(__xludf.DUMMYFUNCTION("""COMPUTED_VALUE"""),"Neck")</f>
        <v>Neck</v>
      </c>
      <c r="C55" s="32"/>
      <c r="D55" s="5"/>
      <c r="E55" s="40">
        <f>IFERROR(__xludf.DUMMYFUNCTION("""COMPUTED_VALUE"""),1.0)</f>
        <v>1</v>
      </c>
      <c r="F55" s="40">
        <f>IFERROR(__xludf.DUMMYFUNCTION("""COMPUTED_VALUE"""),0.0)</f>
        <v>0</v>
      </c>
      <c r="G55" s="5" t="str">
        <f>IFERROR(__xludf.DUMMYFUNCTION("""COMPUTED_VALUE"""),"DMG")</f>
        <v>DMG</v>
      </c>
      <c r="H55" s="5"/>
      <c r="I55" s="32"/>
      <c r="J55" s="32"/>
      <c r="K55" s="32"/>
      <c r="L55" s="32"/>
      <c r="M55" s="32"/>
      <c r="N55" s="32"/>
      <c r="O55" s="32"/>
      <c r="P55" s="32"/>
      <c r="Q55" s="32"/>
      <c r="R55" s="5"/>
      <c r="S55" s="32"/>
      <c r="T55" s="32"/>
      <c r="U55" s="32"/>
      <c r="V55" s="32"/>
      <c r="W55" s="32"/>
      <c r="X55" s="32"/>
      <c r="Y55" s="32"/>
      <c r="Z55" s="32"/>
      <c r="AA55" s="32"/>
      <c r="AB55" s="32"/>
      <c r="AC55" s="32"/>
      <c r="AD55" s="5"/>
      <c r="AE55" s="32"/>
      <c r="AF55" s="32" t="str">
        <f>IFERROR(__xludf.DUMMYFUNCTION("""COMPUTED_VALUE"""),"++Immunity to sleep.")</f>
        <v>++Immunity to sleep.</v>
      </c>
      <c r="AG55" s="32" t="str">
        <f>IFERROR(__xludf.DUMMYFUNCTION("""COMPUTED_VALUE"""),"Abstara")</f>
        <v>Abstara</v>
      </c>
      <c r="AH55" s="32" t="b">
        <f>IFERROR(__xludf.DUMMYFUNCTION("""COMPUTED_VALUE"""),FALSE)</f>
        <v>0</v>
      </c>
      <c r="AI55" s="32"/>
      <c r="AJ55" s="32"/>
      <c r="AK55" s="32"/>
      <c r="AL55" s="32"/>
      <c r="AM55" s="32"/>
      <c r="AN55" s="32"/>
      <c r="AO55" s="32"/>
      <c r="AP55" s="32"/>
      <c r="AQ55" s="32"/>
      <c r="AR55" s="32"/>
      <c r="AS55" s="32"/>
      <c r="AT55" s="32"/>
      <c r="AU55" s="32"/>
      <c r="AV55" s="32"/>
      <c r="AW55" s="32"/>
      <c r="AX55" s="32"/>
    </row>
    <row r="56">
      <c r="A56" s="5" t="str">
        <f>IFERROR(__xludf.DUMMYFUNCTION("""COMPUTED_VALUE"""),"Chestplate of Foul Night")</f>
        <v>Chestplate of Foul Night</v>
      </c>
      <c r="B56" s="5" t="str">
        <f>IFERROR(__xludf.DUMMYFUNCTION("""COMPUTED_VALUE"""),"Torso")</f>
        <v>Torso</v>
      </c>
      <c r="C56" s="32"/>
      <c r="D56" s="5"/>
      <c r="E56" s="40">
        <f>IFERROR(__xludf.DUMMYFUNCTION("""COMPUTED_VALUE"""),200.0)</f>
        <v>200</v>
      </c>
      <c r="F56" s="40">
        <f>IFERROR(__xludf.DUMMYFUNCTION("""COMPUTED_VALUE"""),1900000.0)</f>
        <v>1900000</v>
      </c>
      <c r="G56" s="5" t="str">
        <f>IFERROR(__xludf.DUMMYFUNCTION("""COMPUTED_VALUE"""),"DEF")</f>
        <v>DEF</v>
      </c>
      <c r="H56" s="32">
        <f>IFERROR(__xludf.DUMMYFUNCTION("""COMPUTED_VALUE"""),5000.0)</f>
        <v>5000</v>
      </c>
      <c r="I56" s="32"/>
      <c r="J56" s="32"/>
      <c r="K56" s="32"/>
      <c r="L56" s="32"/>
      <c r="M56" s="32"/>
      <c r="N56" s="32"/>
      <c r="O56" s="32"/>
      <c r="P56" s="32"/>
      <c r="Q56" s="32"/>
      <c r="R56" s="32"/>
      <c r="S56" s="32">
        <f>IFERROR(__xludf.DUMMYFUNCTION("""COMPUTED_VALUE"""),5000.0)</f>
        <v>5000</v>
      </c>
      <c r="T56" s="32"/>
      <c r="U56" s="32"/>
      <c r="V56" s="5"/>
      <c r="W56" s="32"/>
      <c r="X56" s="32"/>
      <c r="Y56" s="32"/>
      <c r="Z56" s="32"/>
      <c r="AA56" s="32"/>
      <c r="AB56" s="32"/>
      <c r="AC56" s="32"/>
      <c r="AD56" s="32"/>
      <c r="AE56" s="32"/>
      <c r="AF56" s="32" t="str">
        <f>IFERROR(__xludf.DUMMYFUNCTION("""COMPUTED_VALUE"""),"(Foul Night Set) ++X2 Nature and Poison damage, ++Poison Immunity.")</f>
        <v>(Foul Night Set) ++X2 Nature and Poison damage, ++Poison Immunity.</v>
      </c>
      <c r="AG56" s="32" t="str">
        <f>IFERROR(__xludf.DUMMYFUNCTION("""COMPUTED_VALUE"""),"Land of Spira")</f>
        <v>Land of Spira</v>
      </c>
      <c r="AH56" s="32" t="b">
        <f>IFERROR(__xludf.DUMMYFUNCTION("""COMPUTED_VALUE"""),FALSE)</f>
        <v>0</v>
      </c>
      <c r="AI56" s="32"/>
      <c r="AJ56" s="32"/>
      <c r="AK56" s="32"/>
      <c r="AL56" s="32"/>
      <c r="AM56" s="32"/>
      <c r="AN56" s="32"/>
      <c r="AO56" s="32"/>
      <c r="AP56" s="32"/>
      <c r="AQ56" s="32"/>
      <c r="AR56" s="32"/>
      <c r="AS56" s="32"/>
      <c r="AT56" s="32"/>
      <c r="AU56" s="32"/>
      <c r="AV56" s="32"/>
      <c r="AW56" s="32"/>
      <c r="AX56" s="32"/>
    </row>
    <row r="57">
      <c r="A57" s="5" t="str">
        <f>IFERROR(__xludf.DUMMYFUNCTION("""COMPUTED_VALUE"""),"Chestplate of Waking Waters")</f>
        <v>Chestplate of Waking Waters</v>
      </c>
      <c r="B57" s="5" t="str">
        <f>IFERROR(__xludf.DUMMYFUNCTION("""COMPUTED_VALUE"""),"Torso")</f>
        <v>Torso</v>
      </c>
      <c r="C57" s="32"/>
      <c r="D57" s="5"/>
      <c r="E57" s="40">
        <f>IFERROR(__xludf.DUMMYFUNCTION("""COMPUTED_VALUE"""),400.0)</f>
        <v>400</v>
      </c>
      <c r="F57" s="40">
        <f>IFERROR(__xludf.DUMMYFUNCTION("""COMPUTED_VALUE"""),7800000.0)</f>
        <v>7800000</v>
      </c>
      <c r="G57" s="5" t="str">
        <f>IFERROR(__xludf.DUMMYFUNCTION("""COMPUTED_VALUE"""),"DEF")</f>
        <v>DEF</v>
      </c>
      <c r="H57" s="33">
        <f>IFERROR(__xludf.DUMMYFUNCTION("""COMPUTED_VALUE"""),10000.0)</f>
        <v>10000</v>
      </c>
      <c r="I57" s="32"/>
      <c r="J57" s="32"/>
      <c r="K57" s="33">
        <f>IFERROR(__xludf.DUMMYFUNCTION("""COMPUTED_VALUE"""),10000.0)</f>
        <v>10000</v>
      </c>
      <c r="L57" s="32"/>
      <c r="M57" s="32"/>
      <c r="N57" s="32"/>
      <c r="O57" s="32"/>
      <c r="P57" s="32"/>
      <c r="Q57" s="32"/>
      <c r="R57" s="32"/>
      <c r="S57" s="32"/>
      <c r="T57" s="32"/>
      <c r="U57" s="32"/>
      <c r="V57" s="32"/>
      <c r="W57" s="32"/>
      <c r="X57" s="32"/>
      <c r="Y57" s="32"/>
      <c r="Z57" s="32"/>
      <c r="AA57" s="32"/>
      <c r="AB57" s="32"/>
      <c r="AC57" s="32"/>
      <c r="AD57" s="32"/>
      <c r="AE57" s="32"/>
      <c r="AF57" s="32" t="str">
        <f>IFERROR(__xludf.DUMMYFUNCTION("""COMPUTED_VALUE"""),"++X4 additional water damage for self.")</f>
        <v>++X4 additional water damage for self.</v>
      </c>
      <c r="AG57" s="32" t="str">
        <f>IFERROR(__xludf.DUMMYFUNCTION("""COMPUTED_VALUE"""),"Land of Spira")</f>
        <v>Land of Spira</v>
      </c>
      <c r="AH57" s="32" t="b">
        <f>IFERROR(__xludf.DUMMYFUNCTION("""COMPUTED_VALUE"""),FALSE)</f>
        <v>0</v>
      </c>
      <c r="AI57" s="32"/>
      <c r="AJ57" s="32"/>
      <c r="AK57" s="32"/>
      <c r="AL57" s="32"/>
      <c r="AM57" s="32"/>
      <c r="AN57" s="32"/>
      <c r="AO57" s="32"/>
      <c r="AP57" s="32"/>
      <c r="AQ57" s="32"/>
      <c r="AR57" s="32"/>
      <c r="AS57" s="32"/>
      <c r="AT57" s="32"/>
      <c r="AU57" s="32"/>
      <c r="AV57" s="32"/>
      <c r="AW57" s="32"/>
      <c r="AX57" s="32"/>
    </row>
    <row r="58">
      <c r="A58" s="42" t="str">
        <f>IFERROR(__xludf.DUMMYFUNCTION("""COMPUTED_VALUE"""),"Cloth Cap")</f>
        <v>Cloth Cap</v>
      </c>
      <c r="B58" s="5" t="str">
        <f>IFERROR(__xludf.DUMMYFUNCTION("""COMPUTED_VALUE"""),"Head")</f>
        <v>Head</v>
      </c>
      <c r="C58" s="32"/>
      <c r="D58" s="5"/>
      <c r="E58" s="40">
        <f>IFERROR(__xludf.DUMMYFUNCTION("""COMPUTED_VALUE"""),50.0)</f>
        <v>50</v>
      </c>
      <c r="F58" s="40">
        <f>IFERROR(__xludf.DUMMYFUNCTION("""COMPUTED_VALUE"""),100000.0)</f>
        <v>100000</v>
      </c>
      <c r="G58" s="5" t="str">
        <f>IFERROR(__xludf.DUMMYFUNCTION("""COMPUTED_VALUE"""),"DEF")</f>
        <v>DEF</v>
      </c>
      <c r="H58" s="32">
        <f>IFERROR(__xludf.DUMMYFUNCTION("""COMPUTED_VALUE"""),2500.0)</f>
        <v>2500</v>
      </c>
      <c r="I58" s="32"/>
      <c r="J58" s="32"/>
      <c r="K58" s="32"/>
      <c r="L58" s="32"/>
      <c r="M58" s="32"/>
      <c r="N58" s="32"/>
      <c r="O58" s="32"/>
      <c r="P58" s="32"/>
      <c r="Q58" s="32"/>
      <c r="R58" s="5"/>
      <c r="S58" s="32"/>
      <c r="T58" s="32"/>
      <c r="U58" s="32"/>
      <c r="V58" s="32"/>
      <c r="W58" s="32"/>
      <c r="X58" s="32"/>
      <c r="Y58" s="32"/>
      <c r="Z58" s="32"/>
      <c r="AA58" s="32"/>
      <c r="AB58" s="32"/>
      <c r="AC58" s="32"/>
      <c r="AD58" s="32"/>
      <c r="AE58" s="32"/>
      <c r="AF58" s="32"/>
      <c r="AG58" s="32" t="str">
        <f>IFERROR(__xludf.DUMMYFUNCTION("""COMPUTED_VALUE"""),"Land of Spira")</f>
        <v>Land of Spira</v>
      </c>
      <c r="AH58" s="32" t="b">
        <f>IFERROR(__xludf.DUMMYFUNCTION("""COMPUTED_VALUE"""),FALSE)</f>
        <v>0</v>
      </c>
      <c r="AI58" s="32"/>
      <c r="AJ58" s="32"/>
      <c r="AK58" s="32"/>
      <c r="AL58" s="32"/>
      <c r="AM58" s="32"/>
      <c r="AN58" s="32"/>
      <c r="AO58" s="32"/>
      <c r="AP58" s="32"/>
      <c r="AQ58" s="32"/>
      <c r="AR58" s="32"/>
      <c r="AS58" s="32"/>
      <c r="AT58" s="32"/>
      <c r="AU58" s="32"/>
      <c r="AV58" s="32"/>
      <c r="AW58" s="32"/>
      <c r="AX58" s="32"/>
    </row>
    <row r="59">
      <c r="A59" s="42" t="str">
        <f>IFERROR(__xludf.DUMMYFUNCTION("""COMPUTED_VALUE"""),"Colossus Bone Sword")</f>
        <v>Colossus Bone Sword</v>
      </c>
      <c r="B59" s="5" t="str">
        <f>IFERROR(__xludf.DUMMYFUNCTION("""COMPUTED_VALUE"""),"Hand")</f>
        <v>Hand</v>
      </c>
      <c r="C59" s="32" t="str">
        <f>IFERROR(__xludf.DUMMYFUNCTION("""COMPUTED_VALUE"""),"Mob Exclusive")</f>
        <v>Mob Exclusive</v>
      </c>
      <c r="D59" s="5" t="str">
        <f>IFERROR(__xludf.DUMMYFUNCTION("""COMPUTED_VALUE"""),"Sword")</f>
        <v>Sword</v>
      </c>
      <c r="E59" s="40">
        <f>IFERROR(__xludf.DUMMYFUNCTION("""COMPUTED_VALUE"""),1500.0)</f>
        <v>1500</v>
      </c>
      <c r="F59" s="40">
        <f>IFERROR(__xludf.DUMMYFUNCTION("""COMPUTED_VALUE"""),1.1175E8)</f>
        <v>111750000</v>
      </c>
      <c r="G59" s="5" t="str">
        <f>IFERROR(__xludf.DUMMYFUNCTION("""COMPUTED_VALUE"""),"DMG")</f>
        <v>DMG</v>
      </c>
      <c r="H59" s="32">
        <f>IFERROR(__xludf.DUMMYFUNCTION("""COMPUTED_VALUE"""),25000.0)</f>
        <v>25000</v>
      </c>
      <c r="I59" s="32"/>
      <c r="J59" s="32"/>
      <c r="K59" s="32"/>
      <c r="L59" s="32"/>
      <c r="M59" s="33">
        <f>IFERROR(__xludf.DUMMYFUNCTION("""COMPUTED_VALUE"""),25000.0)</f>
        <v>25000</v>
      </c>
      <c r="N59" s="5"/>
      <c r="O59" s="33">
        <f>IFERROR(__xludf.DUMMYFUNCTION("""COMPUTED_VALUE"""),25000.0)</f>
        <v>25000</v>
      </c>
      <c r="P59" s="32"/>
      <c r="Q59" s="32"/>
      <c r="R59" s="32"/>
      <c r="S59" s="32"/>
      <c r="T59" s="32"/>
      <c r="U59" s="32"/>
      <c r="V59" s="32"/>
      <c r="W59" s="32"/>
      <c r="X59" s="32"/>
      <c r="Y59" s="32"/>
      <c r="Z59" s="32"/>
      <c r="AA59" s="32"/>
      <c r="AB59" s="32"/>
      <c r="AC59" s="32"/>
      <c r="AD59" s="32"/>
      <c r="AE59" s="32"/>
      <c r="AF59" s="32" t="str">
        <f>IFERROR(__xludf.DUMMYFUNCTION("""COMPUTED_VALUE"""),"++X2 additional damage for the user.")</f>
        <v>++X2 additional damage for the user.</v>
      </c>
      <c r="AG59" s="32" t="str">
        <f>IFERROR(__xludf.DUMMYFUNCTION("""COMPUTED_VALUE"""),"Land of Spira")</f>
        <v>Land of Spira</v>
      </c>
      <c r="AH59" s="32" t="b">
        <f>IFERROR(__xludf.DUMMYFUNCTION("""COMPUTED_VALUE"""),FALSE)</f>
        <v>0</v>
      </c>
      <c r="AI59" s="32"/>
      <c r="AJ59" s="32"/>
      <c r="AK59" s="32"/>
      <c r="AL59" s="32"/>
      <c r="AM59" s="32"/>
      <c r="AN59" s="32"/>
      <c r="AO59" s="32"/>
      <c r="AP59" s="32"/>
      <c r="AQ59" s="32"/>
      <c r="AR59" s="32"/>
      <c r="AS59" s="32"/>
      <c r="AT59" s="32"/>
      <c r="AU59" s="32"/>
      <c r="AV59" s="32"/>
      <c r="AW59" s="32"/>
      <c r="AX59" s="32"/>
    </row>
    <row r="60">
      <c r="A60" s="42" t="str">
        <f>IFERROR(__xludf.DUMMYFUNCTION("""COMPUTED_VALUE"""),"Coral Hat")</f>
        <v>Coral Hat</v>
      </c>
      <c r="B60" s="5" t="str">
        <f>IFERROR(__xludf.DUMMYFUNCTION("""COMPUTED_VALUE"""),"Head")</f>
        <v>Head</v>
      </c>
      <c r="C60" s="32"/>
      <c r="D60" s="5"/>
      <c r="E60" s="40">
        <f>IFERROR(__xludf.DUMMYFUNCTION("""COMPUTED_VALUE"""),20.0)</f>
        <v>20</v>
      </c>
      <c r="F60" s="40">
        <f>IFERROR(__xludf.DUMMYFUNCTION("""COMPUTED_VALUE"""),1000.0)</f>
        <v>1000</v>
      </c>
      <c r="G60" s="5" t="str">
        <f>IFERROR(__xludf.DUMMYFUNCTION("""COMPUTED_VALUE"""),"DEF")</f>
        <v>DEF</v>
      </c>
      <c r="H60" s="32">
        <f>IFERROR(__xludf.DUMMYFUNCTION("""COMPUTED_VALUE"""),800.0)</f>
        <v>800</v>
      </c>
      <c r="I60" s="32"/>
      <c r="J60" s="32"/>
      <c r="K60" s="32"/>
      <c r="L60" s="32"/>
      <c r="M60" s="32"/>
      <c r="N60" s="32"/>
      <c r="O60" s="32"/>
      <c r="P60" s="32"/>
      <c r="Q60" s="32"/>
      <c r="R60" s="32"/>
      <c r="S60" s="32"/>
      <c r="T60" s="32"/>
      <c r="U60" s="32"/>
      <c r="V60" s="32"/>
      <c r="W60" s="32"/>
      <c r="X60" s="5"/>
      <c r="Y60" s="32"/>
      <c r="Z60" s="32"/>
      <c r="AA60" s="32"/>
      <c r="AB60" s="32"/>
      <c r="AC60" s="32"/>
      <c r="AD60" s="32"/>
      <c r="AE60" s="32"/>
      <c r="AF60" s="32" t="str">
        <f>IFERROR(__xludf.DUMMYFUNCTION("""COMPUTED_VALUE"""),"++Immunity to water damage.")</f>
        <v>++Immunity to water damage.</v>
      </c>
      <c r="AG60" s="32" t="str">
        <f>IFERROR(__xludf.DUMMYFUNCTION("""COMPUTED_VALUE"""),"Land of Spira")</f>
        <v>Land of Spira</v>
      </c>
      <c r="AH60" s="32" t="b">
        <f>IFERROR(__xludf.DUMMYFUNCTION("""COMPUTED_VALUE"""),FALSE)</f>
        <v>0</v>
      </c>
      <c r="AI60" s="32"/>
      <c r="AJ60" s="32"/>
      <c r="AK60" s="32"/>
      <c r="AL60" s="32"/>
      <c r="AM60" s="32"/>
      <c r="AN60" s="32"/>
      <c r="AO60" s="32"/>
      <c r="AP60" s="32"/>
      <c r="AQ60" s="32"/>
      <c r="AR60" s="32"/>
      <c r="AS60" s="32"/>
      <c r="AT60" s="32"/>
      <c r="AU60" s="32"/>
      <c r="AV60" s="32"/>
      <c r="AW60" s="32"/>
      <c r="AX60" s="32"/>
    </row>
    <row r="61">
      <c r="A61" s="42" t="str">
        <f>IFERROR(__xludf.DUMMYFUNCTION("""COMPUTED_VALUE"""),"Critical Vanish Armor")</f>
        <v>Critical Vanish Armor</v>
      </c>
      <c r="B61" s="5" t="str">
        <f>IFERROR(__xludf.DUMMYFUNCTION("""COMPUTED_VALUE"""),"Torso")</f>
        <v>Torso</v>
      </c>
      <c r="C61" s="32"/>
      <c r="D61" s="5"/>
      <c r="E61" s="40">
        <f>IFERROR(__xludf.DUMMYFUNCTION("""COMPUTED_VALUE"""),10.0)</f>
        <v>10</v>
      </c>
      <c r="F61" s="40">
        <f>IFERROR(__xludf.DUMMYFUNCTION("""COMPUTED_VALUE"""),1000.0)</f>
        <v>1000</v>
      </c>
      <c r="G61" s="32" t="str">
        <f>IFERROR(__xludf.DUMMYFUNCTION("""COMPUTED_VALUE"""),"DEF")</f>
        <v>DEF</v>
      </c>
      <c r="H61" s="32">
        <f>IFERROR(__xludf.DUMMYFUNCTION("""COMPUTED_VALUE"""),500.0)</f>
        <v>500</v>
      </c>
      <c r="I61" s="32"/>
      <c r="J61" s="32"/>
      <c r="K61" s="32"/>
      <c r="L61" s="32"/>
      <c r="M61" s="32"/>
      <c r="N61" s="32"/>
      <c r="O61" s="32"/>
      <c r="P61" s="32"/>
      <c r="Q61" s="32"/>
      <c r="R61" s="32"/>
      <c r="S61" s="32"/>
      <c r="T61" s="32"/>
      <c r="U61" s="32"/>
      <c r="V61" s="32"/>
      <c r="W61" s="32"/>
      <c r="X61" s="32"/>
      <c r="Y61" s="32"/>
      <c r="Z61" s="32"/>
      <c r="AA61" s="32"/>
      <c r="AB61" s="32"/>
      <c r="AC61" s="32"/>
      <c r="AD61" s="32"/>
      <c r="AE61" s="32"/>
      <c r="AF61" s="32" t="str">
        <f>IFERROR(__xludf.DUMMYFUNCTION("""COMPUTED_VALUE"""),"++will negate a critical hit to the wearer")</f>
        <v>++will negate a critical hit to the wearer</v>
      </c>
      <c r="AG61" s="32" t="str">
        <f>IFERROR(__xludf.DUMMYFUNCTION("""COMPUTED_VALUE"""),"Land of Spira")</f>
        <v>Land of Spira</v>
      </c>
      <c r="AH61" s="32" t="b">
        <f>IFERROR(__xludf.DUMMYFUNCTION("""COMPUTED_VALUE"""),FALSE)</f>
        <v>0</v>
      </c>
      <c r="AI61" s="32"/>
      <c r="AJ61" s="32"/>
      <c r="AK61" s="32"/>
      <c r="AL61" s="32"/>
      <c r="AM61" s="32"/>
      <c r="AN61" s="32"/>
      <c r="AO61" s="32"/>
      <c r="AP61" s="32"/>
      <c r="AQ61" s="32"/>
      <c r="AR61" s="32"/>
      <c r="AS61" s="32"/>
      <c r="AT61" s="32"/>
      <c r="AU61" s="32"/>
      <c r="AV61" s="32"/>
      <c r="AW61" s="32"/>
      <c r="AX61" s="32"/>
    </row>
    <row r="62">
      <c r="A62" s="42" t="str">
        <f>IFERROR(__xludf.DUMMYFUNCTION("""COMPUTED_VALUE"""),"Crow Staff")</f>
        <v>Crow Staff</v>
      </c>
      <c r="B62" s="5" t="str">
        <f>IFERROR(__xludf.DUMMYFUNCTION("""COMPUTED_VALUE"""),"Hand")</f>
        <v>Hand</v>
      </c>
      <c r="C62" s="32"/>
      <c r="D62" s="5" t="str">
        <f>IFERROR(__xludf.DUMMYFUNCTION("""COMPUTED_VALUE"""),"Staff")</f>
        <v>Staff</v>
      </c>
      <c r="E62" s="40">
        <f>IFERROR(__xludf.DUMMYFUNCTION("""COMPUTED_VALUE"""),400.0)</f>
        <v>400</v>
      </c>
      <c r="F62" s="40">
        <f>IFERROR(__xludf.DUMMYFUNCTION("""COMPUTED_VALUE"""),7800000.0)</f>
        <v>7800000</v>
      </c>
      <c r="G62" s="32" t="str">
        <f>IFERROR(__xludf.DUMMYFUNCTION("""COMPUTED_VALUE"""),"DMG")</f>
        <v>DMG</v>
      </c>
      <c r="H62" s="32">
        <f>IFERROR(__xludf.DUMMYFUNCTION("""COMPUTED_VALUE"""),10000.0)</f>
        <v>10000</v>
      </c>
      <c r="I62" s="32"/>
      <c r="J62" s="32"/>
      <c r="K62" s="32"/>
      <c r="L62" s="32"/>
      <c r="M62" s="32"/>
      <c r="N62" s="32"/>
      <c r="O62" s="32">
        <f>IFERROR(__xludf.DUMMYFUNCTION("""COMPUTED_VALUE"""),10000.0)</f>
        <v>10000</v>
      </c>
      <c r="P62" s="32"/>
      <c r="Q62" s="32"/>
      <c r="R62" s="32"/>
      <c r="S62" s="32"/>
      <c r="T62" s="32"/>
      <c r="U62" s="32"/>
      <c r="V62" s="32"/>
      <c r="W62" s="32"/>
      <c r="X62" s="32"/>
      <c r="Y62" s="32"/>
      <c r="Z62" s="32"/>
      <c r="AA62" s="32"/>
      <c r="AB62" s="32"/>
      <c r="AC62" s="32"/>
      <c r="AD62" s="32"/>
      <c r="AE62" s="32"/>
      <c r="AF62" s="32" t="str">
        <f>IFERROR(__xludf.DUMMYFUNCTION("""COMPUTED_VALUE"""),"++Swarm: inflicts 10000 bleed to all enemies. +- 300SP")</f>
        <v>++Swarm: inflicts 10000 bleed to all enemies. +- 300SP</v>
      </c>
      <c r="AG62" s="32" t="str">
        <f>IFERROR(__xludf.DUMMYFUNCTION("""COMPUTED_VALUE"""),"Land of Spira")</f>
        <v>Land of Spira</v>
      </c>
      <c r="AH62" s="32" t="b">
        <f>IFERROR(__xludf.DUMMYFUNCTION("""COMPUTED_VALUE"""),FALSE)</f>
        <v>0</v>
      </c>
      <c r="AI62" s="32"/>
      <c r="AJ62" s="32"/>
      <c r="AK62" s="32"/>
      <c r="AL62" s="32"/>
      <c r="AM62" s="32"/>
      <c r="AN62" s="32"/>
      <c r="AO62" s="32"/>
      <c r="AP62" s="32"/>
      <c r="AQ62" s="32"/>
      <c r="AR62" s="32"/>
      <c r="AS62" s="32"/>
      <c r="AT62" s="32"/>
      <c r="AU62" s="32"/>
      <c r="AV62" s="32"/>
      <c r="AW62" s="32"/>
      <c r="AX62" s="32"/>
    </row>
    <row r="63">
      <c r="A63" s="27" t="str">
        <f>IFERROR(__xludf.DUMMYFUNCTION("""COMPUTED_VALUE"""),"Crown of Control")</f>
        <v>Crown of Control</v>
      </c>
      <c r="B63" s="5" t="str">
        <f>IFERROR(__xludf.DUMMYFUNCTION("""COMPUTED_VALUE"""),"Head")</f>
        <v>Head</v>
      </c>
      <c r="C63" s="32"/>
      <c r="D63" s="5"/>
      <c r="E63" s="40">
        <f>IFERROR(__xludf.DUMMYFUNCTION("""COMPUTED_VALUE"""),300.0)</f>
        <v>300</v>
      </c>
      <c r="F63" s="44">
        <f>IFERROR(__xludf.DUMMYFUNCTION("""COMPUTED_VALUE"""),4350000.0)</f>
        <v>4350000</v>
      </c>
      <c r="G63" s="33" t="str">
        <f>IFERROR(__xludf.DUMMYFUNCTION("""COMPUTED_VALUE"""),"DEF")</f>
        <v>DEF</v>
      </c>
      <c r="H63" s="33">
        <f>IFERROR(__xludf.DUMMYFUNCTION("""COMPUTED_VALUE"""),15000.0)</f>
        <v>15000</v>
      </c>
      <c r="I63" s="32"/>
      <c r="J63" s="32"/>
      <c r="K63" s="32"/>
      <c r="L63" s="32"/>
      <c r="M63" s="32"/>
      <c r="N63" s="32"/>
      <c r="O63" s="32"/>
      <c r="P63" s="32"/>
      <c r="Q63" s="32"/>
      <c r="R63" s="32"/>
      <c r="S63" s="32"/>
      <c r="T63" s="32"/>
      <c r="U63" s="32"/>
      <c r="V63" s="32"/>
      <c r="W63" s="32"/>
      <c r="X63" s="32"/>
      <c r="Y63" s="32"/>
      <c r="Z63" s="32"/>
      <c r="AA63" s="32"/>
      <c r="AB63" s="32"/>
      <c r="AC63" s="32"/>
      <c r="AD63" s="42"/>
      <c r="AE63" s="32"/>
      <c r="AF63" s="32"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32" t="str">
        <f>IFERROR(__xludf.DUMMYFUNCTION("""COMPUTED_VALUE"""),"Land of The Forgotten")</f>
        <v>Land of The Forgotten</v>
      </c>
      <c r="AH63" s="32" t="b">
        <f>IFERROR(__xludf.DUMMYFUNCTION("""COMPUTED_VALUE"""),FALSE)</f>
        <v>0</v>
      </c>
      <c r="AI63" s="32"/>
      <c r="AJ63" s="32"/>
      <c r="AK63" s="32"/>
      <c r="AL63" s="32"/>
      <c r="AM63" s="32"/>
      <c r="AN63" s="32"/>
      <c r="AO63" s="32"/>
      <c r="AP63" s="32"/>
      <c r="AQ63" s="32"/>
      <c r="AR63" s="32"/>
      <c r="AS63" s="32"/>
      <c r="AT63" s="32"/>
      <c r="AU63" s="32"/>
      <c r="AV63" s="32"/>
      <c r="AW63" s="32"/>
      <c r="AX63" s="32"/>
    </row>
    <row r="64">
      <c r="A64" s="27" t="str">
        <f>IFERROR(__xludf.DUMMYFUNCTION("""COMPUTED_VALUE"""),"Crown of Ice Spears")</f>
        <v>Crown of Ice Spears</v>
      </c>
      <c r="B64" s="5" t="str">
        <f>IFERROR(__xludf.DUMMYFUNCTION("""COMPUTED_VALUE"""),"Head")</f>
        <v>Head</v>
      </c>
      <c r="C64" s="32"/>
      <c r="D64" s="5"/>
      <c r="E64" s="40">
        <f>IFERROR(__xludf.DUMMYFUNCTION("""COMPUTED_VALUE"""),200.0)</f>
        <v>200</v>
      </c>
      <c r="F64" s="44">
        <f>IFERROR(__xludf.DUMMYFUNCTION("""COMPUTED_VALUE"""),1900000.0)</f>
        <v>1900000</v>
      </c>
      <c r="G64" s="32" t="str">
        <f>IFERROR(__xludf.DUMMYFUNCTION("""COMPUTED_VALUE"""),"DEF")</f>
        <v>DEF</v>
      </c>
      <c r="H64" s="33">
        <f>IFERROR(__xludf.DUMMYFUNCTION("""COMPUTED_VALUE"""),10000.0)</f>
        <v>10000</v>
      </c>
      <c r="I64" s="32"/>
      <c r="J64" s="32"/>
      <c r="K64" s="32"/>
      <c r="L64" s="32"/>
      <c r="M64" s="32"/>
      <c r="N64" s="32"/>
      <c r="O64" s="32"/>
      <c r="P64" s="32"/>
      <c r="Q64" s="32"/>
      <c r="R64" s="32"/>
      <c r="S64" s="32"/>
      <c r="T64" s="32"/>
      <c r="U64" s="32"/>
      <c r="V64" s="32"/>
      <c r="W64" s="32"/>
      <c r="X64" s="32"/>
      <c r="Y64" s="32"/>
      <c r="Z64" s="32"/>
      <c r="AA64" s="32"/>
      <c r="AB64" s="32"/>
      <c r="AC64" s="32"/>
      <c r="AD64" s="5"/>
      <c r="AE64" s="32"/>
      <c r="AF64" s="32"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32" t="str">
        <f>IFERROR(__xludf.DUMMYFUNCTION("""COMPUTED_VALUE"""),"Land of Spira")</f>
        <v>Land of Spira</v>
      </c>
      <c r="AH64" s="32" t="b">
        <f>IFERROR(__xludf.DUMMYFUNCTION("""COMPUTED_VALUE"""),FALSE)</f>
        <v>0</v>
      </c>
      <c r="AI64" s="32"/>
      <c r="AJ64" s="32"/>
      <c r="AK64" s="32"/>
      <c r="AL64" s="32"/>
      <c r="AM64" s="32"/>
      <c r="AN64" s="32"/>
      <c r="AO64" s="32"/>
      <c r="AP64" s="32"/>
      <c r="AQ64" s="32"/>
      <c r="AR64" s="32"/>
      <c r="AS64" s="32"/>
      <c r="AT64" s="32"/>
      <c r="AU64" s="32"/>
      <c r="AV64" s="32"/>
      <c r="AW64" s="32"/>
      <c r="AX64" s="32"/>
    </row>
    <row r="65">
      <c r="A65" s="27" t="str">
        <f>IFERROR(__xludf.DUMMYFUNCTION("""COMPUTED_VALUE"""),"Crown of the Forgotten")</f>
        <v>Crown of the Forgotten</v>
      </c>
      <c r="B65" s="5" t="str">
        <f>IFERROR(__xludf.DUMMYFUNCTION("""COMPUTED_VALUE"""),"Head")</f>
        <v>Head</v>
      </c>
      <c r="C65" s="32"/>
      <c r="D65" s="5"/>
      <c r="E65" s="40">
        <f>IFERROR(__xludf.DUMMYFUNCTION("""COMPUTED_VALUE"""),20.0)</f>
        <v>20</v>
      </c>
      <c r="F65" s="44">
        <f>IFERROR(__xludf.DUMMYFUNCTION("""COMPUTED_VALUE"""),10000.0)</f>
        <v>10000</v>
      </c>
      <c r="G65" s="32" t="str">
        <f>IFERROR(__xludf.DUMMYFUNCTION("""COMPUTED_VALUE"""),"DEF")</f>
        <v>DEF</v>
      </c>
      <c r="H65" s="32">
        <f>IFERROR(__xludf.DUMMYFUNCTION("""COMPUTED_VALUE"""),1000.0)</f>
        <v>1000</v>
      </c>
      <c r="I65" s="32"/>
      <c r="J65" s="32"/>
      <c r="K65" s="32"/>
      <c r="L65" s="32"/>
      <c r="M65" s="32"/>
      <c r="N65" s="32"/>
      <c r="O65" s="32"/>
      <c r="P65" s="32"/>
      <c r="Q65" s="32"/>
      <c r="R65" s="32"/>
      <c r="S65" s="32"/>
      <c r="T65" s="32"/>
      <c r="U65" s="32"/>
      <c r="V65" s="32"/>
      <c r="W65" s="32"/>
      <c r="X65" s="32"/>
      <c r="Y65" s="32"/>
      <c r="Z65" s="32"/>
      <c r="AA65" s="32"/>
      <c r="AB65" s="32"/>
      <c r="AC65" s="32"/>
      <c r="AD65" s="5"/>
      <c r="AE65" s="32"/>
      <c r="AF65" s="32"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32" t="str">
        <f>IFERROR(__xludf.DUMMYFUNCTION("""COMPUTED_VALUE"""),"Land of The Forgotten")</f>
        <v>Land of The Forgotten</v>
      </c>
      <c r="AH65" s="32" t="b">
        <f>IFERROR(__xludf.DUMMYFUNCTION("""COMPUTED_VALUE"""),FALSE)</f>
        <v>0</v>
      </c>
      <c r="AI65" s="32"/>
      <c r="AJ65" s="32"/>
      <c r="AK65" s="32"/>
      <c r="AL65" s="32"/>
      <c r="AM65" s="32"/>
      <c r="AN65" s="32"/>
      <c r="AO65" s="32"/>
      <c r="AP65" s="32"/>
      <c r="AQ65" s="32"/>
      <c r="AR65" s="32"/>
      <c r="AS65" s="32"/>
      <c r="AT65" s="32"/>
      <c r="AU65" s="32"/>
      <c r="AV65" s="32"/>
      <c r="AW65" s="32"/>
      <c r="AX65" s="32"/>
    </row>
    <row r="66">
      <c r="A66" s="27" t="str">
        <f>IFERROR(__xludf.DUMMYFUNCTION("""COMPUTED_VALUE"""),"Crown Of The Sea Serpent")</f>
        <v>Crown Of The Sea Serpent</v>
      </c>
      <c r="B66" s="5" t="str">
        <f>IFERROR(__xludf.DUMMYFUNCTION("""COMPUTED_VALUE"""),"Head")</f>
        <v>Head</v>
      </c>
      <c r="C66" s="32"/>
      <c r="D66" s="5"/>
      <c r="E66" s="40">
        <f>IFERROR(__xludf.DUMMYFUNCTION("""COMPUTED_VALUE"""),1.0)</f>
        <v>1</v>
      </c>
      <c r="F66" s="44">
        <f>IFERROR(__xludf.DUMMYFUNCTION("""COMPUTED_VALUE"""),0.0)</f>
        <v>0</v>
      </c>
      <c r="G66" s="32"/>
      <c r="H66" s="32"/>
      <c r="I66" s="32"/>
      <c r="J66" s="32"/>
      <c r="K66" s="32"/>
      <c r="L66" s="32"/>
      <c r="M66" s="32"/>
      <c r="N66" s="32"/>
      <c r="O66" s="32"/>
      <c r="P66" s="32"/>
      <c r="Q66" s="32"/>
      <c r="R66" s="32"/>
      <c r="S66" s="32"/>
      <c r="T66" s="32"/>
      <c r="U66" s="32"/>
      <c r="V66" s="32"/>
      <c r="W66" s="32"/>
      <c r="X66" s="32"/>
      <c r="Y66" s="32"/>
      <c r="Z66" s="32"/>
      <c r="AA66" s="32"/>
      <c r="AB66" s="32"/>
      <c r="AC66" s="32"/>
      <c r="AD66" s="5"/>
      <c r="AE66" s="32"/>
      <c r="AF66" s="32" t="str">
        <f>IFERROR(__xludf.DUMMYFUNCTION("""COMPUTED_VALUE"""),"++X4 additional water damage for the user, ++Water spells cost half sp, +-Cannot be duplicated.")</f>
        <v>++X4 additional water damage for the user, ++Water spells cost half sp, +-Cannot be duplicated.</v>
      </c>
      <c r="AG66" s="32" t="str">
        <f>IFERROR(__xludf.DUMMYFUNCTION("""COMPUTED_VALUE"""),"Land of Spira")</f>
        <v>Land of Spira</v>
      </c>
      <c r="AH66" s="32" t="b">
        <f>IFERROR(__xludf.DUMMYFUNCTION("""COMPUTED_VALUE"""),FALSE)</f>
        <v>0</v>
      </c>
      <c r="AI66" s="32"/>
      <c r="AJ66" s="32"/>
      <c r="AK66" s="32"/>
      <c r="AL66" s="32"/>
      <c r="AM66" s="32"/>
      <c r="AN66" s="32"/>
      <c r="AO66" s="32"/>
      <c r="AP66" s="32"/>
      <c r="AQ66" s="32"/>
      <c r="AR66" s="32"/>
      <c r="AS66" s="32"/>
      <c r="AT66" s="32"/>
      <c r="AU66" s="32"/>
      <c r="AV66" s="32"/>
      <c r="AW66" s="32"/>
      <c r="AX66" s="32"/>
    </row>
    <row r="67">
      <c r="A67" s="27" t="str">
        <f>IFERROR(__xludf.DUMMYFUNCTION("""COMPUTED_VALUE"""),"Crown Of Tritonoch")</f>
        <v>Crown Of Tritonoch</v>
      </c>
      <c r="B67" s="5" t="str">
        <f>IFERROR(__xludf.DUMMYFUNCTION("""COMPUTED_VALUE"""),"Head")</f>
        <v>Head</v>
      </c>
      <c r="C67" s="32"/>
      <c r="D67" s="5"/>
      <c r="E67" s="40">
        <f>IFERROR(__xludf.DUMMYFUNCTION("""COMPUTED_VALUE"""),400.0)</f>
        <v>400</v>
      </c>
      <c r="F67" s="44">
        <f>IFERROR(__xludf.DUMMYFUNCTION("""COMPUTED_VALUE"""),7800000.0)</f>
        <v>7800000</v>
      </c>
      <c r="G67" s="32" t="str">
        <f>IFERROR(__xludf.DUMMYFUNCTION("""COMPUTED_VALUE"""),"DEF")</f>
        <v>DEF</v>
      </c>
      <c r="H67" s="32">
        <f>IFERROR(__xludf.DUMMYFUNCTION("""COMPUTED_VALUE"""),20000.0)</f>
        <v>20000</v>
      </c>
      <c r="I67" s="32"/>
      <c r="J67" s="32"/>
      <c r="K67" s="32"/>
      <c r="L67" s="32"/>
      <c r="M67" s="32"/>
      <c r="N67" s="32"/>
      <c r="O67" s="32"/>
      <c r="P67" s="32"/>
      <c r="Q67" s="32"/>
      <c r="R67" s="32"/>
      <c r="S67" s="32"/>
      <c r="T67" s="32"/>
      <c r="U67" s="32"/>
      <c r="V67" s="32"/>
      <c r="W67" s="32"/>
      <c r="X67" s="32"/>
      <c r="Y67" s="32"/>
      <c r="Z67" s="32"/>
      <c r="AA67" s="32"/>
      <c r="AB67" s="32"/>
      <c r="AC67" s="32"/>
      <c r="AD67" s="5"/>
      <c r="AE67" s="32"/>
      <c r="AF67" s="32" t="str">
        <f>IFERROR(__xludf.DUMMYFUNCTION("""COMPUTED_VALUE"""),"++Waves of Entitlement - x5 additional Water damage")</f>
        <v>++Waves of Entitlement - x5 additional Water damage</v>
      </c>
      <c r="AG67" s="32" t="str">
        <f>IFERROR(__xludf.DUMMYFUNCTION("""COMPUTED_VALUE"""),"Land of Spira")</f>
        <v>Land of Spira</v>
      </c>
      <c r="AH67" s="32" t="b">
        <f>IFERROR(__xludf.DUMMYFUNCTION("""COMPUTED_VALUE"""),FALSE)</f>
        <v>0</v>
      </c>
      <c r="AI67" s="32"/>
      <c r="AJ67" s="32"/>
      <c r="AK67" s="32"/>
      <c r="AL67" s="32"/>
      <c r="AM67" s="32"/>
      <c r="AN67" s="32"/>
      <c r="AO67" s="32"/>
      <c r="AP67" s="32"/>
      <c r="AQ67" s="32"/>
      <c r="AR67" s="32"/>
      <c r="AS67" s="32"/>
      <c r="AT67" s="32"/>
      <c r="AU67" s="32"/>
      <c r="AV67" s="32"/>
      <c r="AW67" s="32"/>
      <c r="AX67" s="32"/>
    </row>
    <row r="68">
      <c r="A68" s="27" t="str">
        <f>IFERROR(__xludf.DUMMYFUNCTION("""COMPUTED_VALUE"""),"Cryogenic Claymore")</f>
        <v>Cryogenic Claymore</v>
      </c>
      <c r="B68" s="5" t="str">
        <f>IFERROR(__xludf.DUMMYFUNCTION("""COMPUTED_VALUE"""),"Hand")</f>
        <v>Hand</v>
      </c>
      <c r="C68" s="32" t="str">
        <f>IFERROR(__xludf.DUMMYFUNCTION("""COMPUTED_VALUE"""),"(The Frozen Blade Master Set)")</f>
        <v>(The Frozen Blade Master Set)</v>
      </c>
      <c r="D68" s="5" t="str">
        <f>IFERROR(__xludf.DUMMYFUNCTION("""COMPUTED_VALUE"""),"Sword")</f>
        <v>Sword</v>
      </c>
      <c r="E68" s="40">
        <f>IFERROR(__xludf.DUMMYFUNCTION("""COMPUTED_VALUE"""),400.0)</f>
        <v>400</v>
      </c>
      <c r="F68" s="44">
        <f>IFERROR(__xludf.DUMMYFUNCTION("""COMPUTED_VALUE"""),7800000.0)</f>
        <v>7800000</v>
      </c>
      <c r="G68" s="32" t="str">
        <f>IFERROR(__xludf.DUMMYFUNCTION("""COMPUTED_VALUE"""),"DMG")</f>
        <v>DMG</v>
      </c>
      <c r="H68" s="33">
        <f>IFERROR(__xludf.DUMMYFUNCTION("""COMPUTED_VALUE"""),10000.0)</f>
        <v>10000</v>
      </c>
      <c r="I68" s="32"/>
      <c r="J68" s="32"/>
      <c r="K68" s="33">
        <f>IFERROR(__xludf.DUMMYFUNCTION("""COMPUTED_VALUE"""),10000.0)</f>
        <v>10000</v>
      </c>
      <c r="L68" s="32"/>
      <c r="M68" s="32"/>
      <c r="N68" s="32"/>
      <c r="O68" s="32"/>
      <c r="P68" s="32"/>
      <c r="Q68" s="32"/>
      <c r="R68" s="32"/>
      <c r="S68" s="32"/>
      <c r="T68" s="32"/>
      <c r="U68" s="32"/>
      <c r="V68" s="32"/>
      <c r="W68" s="32"/>
      <c r="X68" s="32"/>
      <c r="Y68" s="32"/>
      <c r="Z68" s="32"/>
      <c r="AA68" s="32"/>
      <c r="AB68" s="32"/>
      <c r="AC68" s="32"/>
      <c r="AD68" s="5"/>
      <c r="AE68" s="32"/>
      <c r="AF68" s="32" t="str">
        <f>IFERROR(__xludf.DUMMYFUNCTION("""COMPUTED_VALUE"""),"++10% chance to freeze all enemies.")</f>
        <v>++10% chance to freeze all enemies.</v>
      </c>
      <c r="AG68" s="32" t="str">
        <f>IFERROR(__xludf.DUMMYFUNCTION("""COMPUTED_VALUE"""),"Land of Spira")</f>
        <v>Land of Spira</v>
      </c>
      <c r="AH68" s="32" t="b">
        <f>IFERROR(__xludf.DUMMYFUNCTION("""COMPUTED_VALUE"""),FALSE)</f>
        <v>0</v>
      </c>
      <c r="AI68" s="32"/>
      <c r="AJ68" s="32"/>
      <c r="AK68" s="32"/>
      <c r="AL68" s="32"/>
      <c r="AM68" s="32"/>
      <c r="AN68" s="32"/>
      <c r="AO68" s="32"/>
      <c r="AP68" s="32"/>
      <c r="AQ68" s="32"/>
      <c r="AR68" s="32"/>
      <c r="AS68" s="32"/>
      <c r="AT68" s="32"/>
      <c r="AU68" s="32"/>
      <c r="AV68" s="32"/>
      <c r="AW68" s="32"/>
      <c r="AX68" s="32"/>
    </row>
    <row r="69">
      <c r="A69" s="27" t="str">
        <f>IFERROR(__xludf.DUMMYFUNCTION("""COMPUTED_VALUE"""),"Crystal Forged Helmet")</f>
        <v>Crystal Forged Helmet</v>
      </c>
      <c r="B69" s="5" t="str">
        <f>IFERROR(__xludf.DUMMYFUNCTION("""COMPUTED_VALUE"""),"Head")</f>
        <v>Head</v>
      </c>
      <c r="C69" s="32"/>
      <c r="D69" s="5"/>
      <c r="E69" s="40">
        <f>IFERROR(__xludf.DUMMYFUNCTION("""COMPUTED_VALUE"""),200.0)</f>
        <v>200</v>
      </c>
      <c r="F69" s="44">
        <f>IFERROR(__xludf.DUMMYFUNCTION("""COMPUTED_VALUE"""),1900000.0)</f>
        <v>1900000</v>
      </c>
      <c r="G69" s="32" t="str">
        <f>IFERROR(__xludf.DUMMYFUNCTION("""COMPUTED_VALUE"""),"DEF")</f>
        <v>DEF</v>
      </c>
      <c r="H69" s="32">
        <f>IFERROR(__xludf.DUMMYFUNCTION("""COMPUTED_VALUE"""),10000.0)</f>
        <v>10000</v>
      </c>
      <c r="I69" s="32"/>
      <c r="J69" s="32"/>
      <c r="K69" s="32"/>
      <c r="L69" s="32"/>
      <c r="M69" s="32"/>
      <c r="N69" s="32"/>
      <c r="O69" s="32"/>
      <c r="P69" s="32"/>
      <c r="Q69" s="32"/>
      <c r="R69" s="32"/>
      <c r="S69" s="32"/>
      <c r="T69" s="32"/>
      <c r="U69" s="32"/>
      <c r="V69" s="32"/>
      <c r="W69" s="32"/>
      <c r="X69" s="32"/>
      <c r="Y69" s="32"/>
      <c r="Z69" s="32"/>
      <c r="AA69" s="32"/>
      <c r="AB69" s="32"/>
      <c r="AC69" s="32"/>
      <c r="AD69" s="5"/>
      <c r="AE69" s="32"/>
      <c r="AF69" s="32" t="str">
        <f>IFERROR(__xludf.DUMMYFUNCTION("""COMPUTED_VALUE"""),"++When equipped, Gem and Crystal related weapons deal an additional X2 damage for the user.")</f>
        <v>++When equipped, Gem and Crystal related weapons deal an additional X2 damage for the user.</v>
      </c>
      <c r="AG69" s="32" t="str">
        <f>IFERROR(__xludf.DUMMYFUNCTION("""COMPUTED_VALUE"""),"Land of Spira")</f>
        <v>Land of Spira</v>
      </c>
      <c r="AH69" s="32" t="b">
        <f>IFERROR(__xludf.DUMMYFUNCTION("""COMPUTED_VALUE"""),FALSE)</f>
        <v>0</v>
      </c>
      <c r="AI69" s="32"/>
      <c r="AJ69" s="32"/>
      <c r="AK69" s="32"/>
      <c r="AL69" s="32"/>
      <c r="AM69" s="32"/>
      <c r="AN69" s="32"/>
      <c r="AO69" s="32"/>
      <c r="AP69" s="32"/>
      <c r="AQ69" s="32"/>
      <c r="AR69" s="32"/>
      <c r="AS69" s="32"/>
      <c r="AT69" s="32"/>
      <c r="AU69" s="32"/>
      <c r="AV69" s="32"/>
      <c r="AW69" s="32"/>
      <c r="AX69" s="32"/>
    </row>
    <row r="70">
      <c r="A70" s="27" t="str">
        <f>IFERROR(__xludf.DUMMYFUNCTION("""COMPUTED_VALUE"""),"Crystal Forged Axe")</f>
        <v>Crystal Forged Axe</v>
      </c>
      <c r="B70" s="5" t="str">
        <f>IFERROR(__xludf.DUMMYFUNCTION("""COMPUTED_VALUE"""),"Hand")</f>
        <v>Hand</v>
      </c>
      <c r="C70" s="32"/>
      <c r="D70" s="5"/>
      <c r="E70" s="40">
        <f>IFERROR(__xludf.DUMMYFUNCTION("""COMPUTED_VALUE"""),400.0)</f>
        <v>400</v>
      </c>
      <c r="F70" s="44">
        <f>IFERROR(__xludf.DUMMYFUNCTION("""COMPUTED_VALUE"""),7800000.0)</f>
        <v>7800000</v>
      </c>
      <c r="G70" s="32" t="str">
        <f>IFERROR(__xludf.DUMMYFUNCTION("""COMPUTED_VALUE"""),"DMG")</f>
        <v>DMG</v>
      </c>
      <c r="H70" s="33">
        <f>IFERROR(__xludf.DUMMYFUNCTION("""COMPUTED_VALUE"""),10000.0)</f>
        <v>10000</v>
      </c>
      <c r="I70" s="32"/>
      <c r="J70" s="32"/>
      <c r="K70" s="32"/>
      <c r="L70" s="32"/>
      <c r="M70" s="33">
        <f>IFERROR(__xludf.DUMMYFUNCTION("""COMPUTED_VALUE"""),10000.0)</f>
        <v>10000</v>
      </c>
      <c r="N70" s="32"/>
      <c r="O70" s="32"/>
      <c r="P70" s="32"/>
      <c r="Q70" s="32"/>
      <c r="R70" s="32"/>
      <c r="S70" s="32"/>
      <c r="T70" s="32"/>
      <c r="U70" s="32"/>
      <c r="V70" s="32"/>
      <c r="W70" s="32"/>
      <c r="X70" s="32"/>
      <c r="Y70" s="32"/>
      <c r="Z70" s="32"/>
      <c r="AA70" s="32"/>
      <c r="AB70" s="32"/>
      <c r="AC70" s="32"/>
      <c r="AD70" s="5"/>
      <c r="AE70" s="32"/>
      <c r="AF70" s="32" t="str">
        <f>IFERROR(__xludf.DUMMYFUNCTION("""COMPUTED_VALUE"""),"++When equipped, Gem and Crystal related weapons deal an additional X6 damage for the user.")</f>
        <v>++When equipped, Gem and Crystal related weapons deal an additional X6 damage for the user.</v>
      </c>
      <c r="AG70" s="32" t="str">
        <f>IFERROR(__xludf.DUMMYFUNCTION("""COMPUTED_VALUE"""),"Land of Spira")</f>
        <v>Land of Spira</v>
      </c>
      <c r="AH70" s="32" t="b">
        <f>IFERROR(__xludf.DUMMYFUNCTION("""COMPUTED_VALUE"""),FALSE)</f>
        <v>0</v>
      </c>
      <c r="AI70" s="32"/>
      <c r="AJ70" s="32"/>
      <c r="AK70" s="32"/>
      <c r="AL70" s="32"/>
      <c r="AM70" s="32"/>
      <c r="AN70" s="32"/>
      <c r="AO70" s="32"/>
      <c r="AP70" s="32"/>
      <c r="AQ70" s="32"/>
      <c r="AR70" s="32"/>
      <c r="AS70" s="32"/>
      <c r="AT70" s="32"/>
      <c r="AU70" s="32"/>
      <c r="AV70" s="32"/>
      <c r="AW70" s="32"/>
      <c r="AX70" s="32"/>
    </row>
    <row r="71">
      <c r="A71" s="27" t="str">
        <f>IFERROR(__xludf.DUMMYFUNCTION("""COMPUTED_VALUE"""),"Crystal Forged Chestplate")</f>
        <v>Crystal Forged Chestplate</v>
      </c>
      <c r="B71" s="5" t="str">
        <f>IFERROR(__xludf.DUMMYFUNCTION("""COMPUTED_VALUE"""),"Torso")</f>
        <v>Torso</v>
      </c>
      <c r="C71" s="32"/>
      <c r="D71" s="5"/>
      <c r="E71" s="40">
        <f>IFERROR(__xludf.DUMMYFUNCTION("""COMPUTED_VALUE"""),200.0)</f>
        <v>200</v>
      </c>
      <c r="F71" s="44">
        <f>IFERROR(__xludf.DUMMYFUNCTION("""COMPUTED_VALUE"""),1900000.0)</f>
        <v>1900000</v>
      </c>
      <c r="G71" s="32" t="str">
        <f>IFERROR(__xludf.DUMMYFUNCTION("""COMPUTED_VALUE"""),"DEF")</f>
        <v>DEF</v>
      </c>
      <c r="H71" s="33">
        <f>IFERROR(__xludf.DUMMYFUNCTION("""COMPUTED_VALUE"""),5000.0)</f>
        <v>5000</v>
      </c>
      <c r="I71" s="32"/>
      <c r="J71" s="32"/>
      <c r="K71" s="32"/>
      <c r="L71" s="32"/>
      <c r="M71" s="33">
        <f>IFERROR(__xludf.DUMMYFUNCTION("""COMPUTED_VALUE"""),5000.0)</f>
        <v>5000</v>
      </c>
      <c r="N71" s="32"/>
      <c r="O71" s="32"/>
      <c r="P71" s="32"/>
      <c r="Q71" s="32"/>
      <c r="R71" s="32"/>
      <c r="S71" s="32"/>
      <c r="T71" s="32"/>
      <c r="U71" s="32"/>
      <c r="V71" s="32"/>
      <c r="W71" s="32"/>
      <c r="X71" s="32"/>
      <c r="Y71" s="32"/>
      <c r="Z71" s="32"/>
      <c r="AA71" s="32"/>
      <c r="AB71" s="32"/>
      <c r="AC71" s="32"/>
      <c r="AD71" s="42"/>
      <c r="AE71" s="32"/>
      <c r="AF71" s="32" t="str">
        <f>IFERROR(__xludf.DUMMYFUNCTION("""COMPUTED_VALUE"""),"++When equipped, Gem and Crystal related weapons deal an additional X2 damage for the user.")</f>
        <v>++When equipped, Gem and Crystal related weapons deal an additional X2 damage for the user.</v>
      </c>
      <c r="AG71" s="32" t="str">
        <f>IFERROR(__xludf.DUMMYFUNCTION("""COMPUTED_VALUE"""),"Land of Spira")</f>
        <v>Land of Spira</v>
      </c>
      <c r="AH71" s="32" t="b">
        <f>IFERROR(__xludf.DUMMYFUNCTION("""COMPUTED_VALUE"""),FALSE)</f>
        <v>0</v>
      </c>
      <c r="AI71" s="32"/>
      <c r="AJ71" s="32"/>
      <c r="AK71" s="32"/>
      <c r="AL71" s="32"/>
      <c r="AM71" s="32"/>
      <c r="AN71" s="32"/>
      <c r="AO71" s="32"/>
      <c r="AP71" s="32"/>
      <c r="AQ71" s="32"/>
      <c r="AR71" s="32"/>
      <c r="AS71" s="32"/>
      <c r="AT71" s="32"/>
      <c r="AU71" s="32"/>
      <c r="AV71" s="32"/>
      <c r="AW71" s="32"/>
      <c r="AX71" s="32"/>
    </row>
    <row r="72">
      <c r="A72" s="27" t="str">
        <f>IFERROR(__xludf.DUMMYFUNCTION("""COMPUTED_VALUE"""),"Crystal Healing Amulet")</f>
        <v>Crystal Healing Amulet</v>
      </c>
      <c r="B72" s="5" t="str">
        <f>IFERROR(__xludf.DUMMYFUNCTION("""COMPUTED_VALUE"""),"Neck")</f>
        <v>Neck</v>
      </c>
      <c r="C72" s="32"/>
      <c r="D72" s="5"/>
      <c r="E72" s="40">
        <f>IFERROR(__xludf.DUMMYFUNCTION("""COMPUTED_VALUE"""),1.0)</f>
        <v>1</v>
      </c>
      <c r="F72" s="44">
        <f>IFERROR(__xludf.DUMMYFUNCTION("""COMPUTED_VALUE"""),0.0)</f>
        <v>0</v>
      </c>
      <c r="G72" s="32"/>
      <c r="H72" s="32"/>
      <c r="I72" s="32"/>
      <c r="J72" s="32"/>
      <c r="K72" s="32"/>
      <c r="L72" s="32"/>
      <c r="M72" s="32"/>
      <c r="N72" s="32"/>
      <c r="O72" s="32"/>
      <c r="P72" s="32"/>
      <c r="Q72" s="32"/>
      <c r="R72" s="32"/>
      <c r="S72" s="32"/>
      <c r="T72" s="32"/>
      <c r="U72" s="32"/>
      <c r="V72" s="32"/>
      <c r="W72" s="32"/>
      <c r="X72" s="32"/>
      <c r="Y72" s="32"/>
      <c r="Z72" s="32"/>
      <c r="AA72" s="32"/>
      <c r="AB72" s="32"/>
      <c r="AC72" s="32"/>
      <c r="AD72" s="42"/>
      <c r="AE72" s="32"/>
      <c r="AF72" s="32"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32" t="str">
        <f>IFERROR(__xludf.DUMMYFUNCTION("""COMPUTED_VALUE"""),"Land of Spira")</f>
        <v>Land of Spira</v>
      </c>
      <c r="AH72" s="32" t="b">
        <f>IFERROR(__xludf.DUMMYFUNCTION("""COMPUTED_VALUE"""),FALSE)</f>
        <v>0</v>
      </c>
      <c r="AI72" s="32"/>
      <c r="AJ72" s="32"/>
      <c r="AK72" s="32"/>
      <c r="AL72" s="32"/>
      <c r="AM72" s="32"/>
      <c r="AN72" s="32"/>
      <c r="AO72" s="32"/>
      <c r="AP72" s="32"/>
      <c r="AQ72" s="32"/>
      <c r="AR72" s="32"/>
      <c r="AS72" s="32"/>
      <c r="AT72" s="32"/>
      <c r="AU72" s="32"/>
      <c r="AV72" s="32"/>
      <c r="AW72" s="32"/>
      <c r="AX72" s="32"/>
    </row>
    <row r="73">
      <c r="A73" s="27" t="str">
        <f>IFERROR(__xludf.DUMMYFUNCTION("""COMPUTED_VALUE"""),"Crystal Longsword")</f>
        <v>Crystal Longsword</v>
      </c>
      <c r="B73" s="5" t="str">
        <f>IFERROR(__xludf.DUMMYFUNCTION("""COMPUTED_VALUE"""),"Hand")</f>
        <v>Hand</v>
      </c>
      <c r="C73" s="32"/>
      <c r="D73" s="5" t="str">
        <f>IFERROR(__xludf.DUMMYFUNCTION("""COMPUTED_VALUE"""),"Sword")</f>
        <v>Sword</v>
      </c>
      <c r="E73" s="40">
        <f>IFERROR(__xludf.DUMMYFUNCTION("""COMPUTED_VALUE"""),200.0)</f>
        <v>200</v>
      </c>
      <c r="F73" s="44">
        <f>IFERROR(__xludf.DUMMYFUNCTION("""COMPUTED_VALUE"""),1900000.0)</f>
        <v>1900000</v>
      </c>
      <c r="G73" s="32" t="str">
        <f>IFERROR(__xludf.DUMMYFUNCTION("""COMPUTED_VALUE"""),"DMG")</f>
        <v>DMG</v>
      </c>
      <c r="H73" s="33">
        <f>IFERROR(__xludf.DUMMYFUNCTION("""COMPUTED_VALUE"""),5000.0)</f>
        <v>5000</v>
      </c>
      <c r="I73" s="32"/>
      <c r="J73" s="32"/>
      <c r="K73" s="32"/>
      <c r="L73" s="32"/>
      <c r="M73" s="33">
        <f>IFERROR(__xludf.DUMMYFUNCTION("""COMPUTED_VALUE"""),5000.0)</f>
        <v>5000</v>
      </c>
      <c r="N73" s="32"/>
      <c r="O73" s="32"/>
      <c r="P73" s="32"/>
      <c r="Q73" s="32"/>
      <c r="R73" s="32"/>
      <c r="S73" s="32"/>
      <c r="T73" s="32"/>
      <c r="U73" s="32"/>
      <c r="V73" s="32"/>
      <c r="W73" s="32"/>
      <c r="X73" s="32"/>
      <c r="Y73" s="32"/>
      <c r="Z73" s="32"/>
      <c r="AA73" s="32"/>
      <c r="AB73" s="32"/>
      <c r="AC73" s="32"/>
      <c r="AD73" s="42"/>
      <c r="AE73" s="32"/>
      <c r="AF73" s="32" t="str">
        <f>IFERROR(__xludf.DUMMYFUNCTION("""COMPUTED_VALUE"""),"++When equipped, Gem and Crystal related weapons deal an additional X4 damage for the user.")</f>
        <v>++When equipped, Gem and Crystal related weapons deal an additional X4 damage for the user.</v>
      </c>
      <c r="AG73" s="32" t="str">
        <f>IFERROR(__xludf.DUMMYFUNCTION("""COMPUTED_VALUE"""),"Land of Spira")</f>
        <v>Land of Spira</v>
      </c>
      <c r="AH73" s="32" t="b">
        <f>IFERROR(__xludf.DUMMYFUNCTION("""COMPUTED_VALUE"""),FALSE)</f>
        <v>0</v>
      </c>
      <c r="AI73" s="32"/>
      <c r="AJ73" s="32"/>
      <c r="AK73" s="32"/>
      <c r="AL73" s="32"/>
      <c r="AM73" s="32"/>
      <c r="AN73" s="32"/>
      <c r="AO73" s="32"/>
      <c r="AP73" s="32"/>
      <c r="AQ73" s="32"/>
      <c r="AR73" s="32"/>
      <c r="AS73" s="32"/>
      <c r="AT73" s="32"/>
      <c r="AU73" s="32"/>
      <c r="AV73" s="32"/>
      <c r="AW73" s="32"/>
      <c r="AX73" s="32"/>
    </row>
    <row r="74">
      <c r="A74" s="27" t="str">
        <f>IFERROR(__xludf.DUMMYFUNCTION("""COMPUTED_VALUE"""),"Crystal Ring")</f>
        <v>Crystal Ring</v>
      </c>
      <c r="B74" s="5" t="str">
        <f>IFERROR(__xludf.DUMMYFUNCTION("""COMPUTED_VALUE"""),"Ring")</f>
        <v>Ring</v>
      </c>
      <c r="C74" s="32"/>
      <c r="D74" s="5"/>
      <c r="E74" s="40">
        <f>IFERROR(__xludf.DUMMYFUNCTION("""COMPUTED_VALUE"""),1.0)</f>
        <v>1</v>
      </c>
      <c r="F74" s="44">
        <f>IFERROR(__xludf.DUMMYFUNCTION("""COMPUTED_VALUE"""),0.0)</f>
        <v>0</v>
      </c>
      <c r="G74" s="32"/>
      <c r="H74" s="32"/>
      <c r="I74" s="32"/>
      <c r="J74" s="32"/>
      <c r="K74" s="32"/>
      <c r="L74" s="32"/>
      <c r="M74" s="32"/>
      <c r="N74" s="32"/>
      <c r="O74" s="32"/>
      <c r="P74" s="32"/>
      <c r="Q74" s="32"/>
      <c r="R74" s="32"/>
      <c r="S74" s="32"/>
      <c r="T74" s="32"/>
      <c r="U74" s="32"/>
      <c r="V74" s="32"/>
      <c r="W74" s="32"/>
      <c r="X74" s="32"/>
      <c r="Y74" s="32"/>
      <c r="Z74" s="32"/>
      <c r="AA74" s="32"/>
      <c r="AB74" s="32"/>
      <c r="AC74" s="32"/>
      <c r="AD74" s="42"/>
      <c r="AE74" s="32"/>
      <c r="AF74" s="32" t="str">
        <f>IFERROR(__xludf.DUMMYFUNCTION("""COMPUTED_VALUE"""),"++When equipped, Gem and Crystal related weapons deal an additional X2 damage for the user.")</f>
        <v>++When equipped, Gem and Crystal related weapons deal an additional X2 damage for the user.</v>
      </c>
      <c r="AG74" s="32" t="str">
        <f>IFERROR(__xludf.DUMMYFUNCTION("""COMPUTED_VALUE"""),"Land of Spira")</f>
        <v>Land of Spira</v>
      </c>
      <c r="AH74" s="32" t="b">
        <f>IFERROR(__xludf.DUMMYFUNCTION("""COMPUTED_VALUE"""),FALSE)</f>
        <v>0</v>
      </c>
      <c r="AI74" s="32"/>
      <c r="AJ74" s="32"/>
      <c r="AK74" s="32"/>
      <c r="AL74" s="32"/>
      <c r="AM74" s="32"/>
      <c r="AN74" s="32"/>
      <c r="AO74" s="32"/>
      <c r="AP74" s="32"/>
      <c r="AQ74" s="32"/>
      <c r="AR74" s="32"/>
      <c r="AS74" s="32"/>
      <c r="AT74" s="32"/>
      <c r="AU74" s="32"/>
      <c r="AV74" s="32"/>
      <c r="AW74" s="32"/>
      <c r="AX74" s="32"/>
    </row>
    <row r="75">
      <c r="A75" s="27" t="str">
        <f>IFERROR(__xludf.DUMMYFUNCTION("""COMPUTED_VALUE"""),"Crystal Shield")</f>
        <v>Crystal Shield</v>
      </c>
      <c r="B75" s="5" t="str">
        <f>IFERROR(__xludf.DUMMYFUNCTION("""COMPUTED_VALUE"""),"Hand")</f>
        <v>Hand</v>
      </c>
      <c r="C75" s="32"/>
      <c r="D75" s="5" t="str">
        <f>IFERROR(__xludf.DUMMYFUNCTION("""COMPUTED_VALUE"""),"Buckler")</f>
        <v>Buckler</v>
      </c>
      <c r="E75" s="40">
        <f>IFERROR(__xludf.DUMMYFUNCTION("""COMPUTED_VALUE"""),200.0)</f>
        <v>200</v>
      </c>
      <c r="F75" s="44">
        <f>IFERROR(__xludf.DUMMYFUNCTION("""COMPUTED_VALUE"""),1900000.0)</f>
        <v>1900000</v>
      </c>
      <c r="G75" s="32" t="str">
        <f>IFERROR(__xludf.DUMMYFUNCTION("""COMPUTED_VALUE"""),"DEF")</f>
        <v>DEF</v>
      </c>
      <c r="H75" s="32">
        <f>IFERROR(__xludf.DUMMYFUNCTION("""COMPUTED_VALUE"""),10000.0)</f>
        <v>10000</v>
      </c>
      <c r="I75" s="32"/>
      <c r="J75" s="32"/>
      <c r="K75" s="32"/>
      <c r="L75" s="32"/>
      <c r="M75" s="32"/>
      <c r="N75" s="32"/>
      <c r="O75" s="32"/>
      <c r="P75" s="32"/>
      <c r="Q75" s="32"/>
      <c r="R75" s="32"/>
      <c r="S75" s="32"/>
      <c r="T75" s="32"/>
      <c r="U75" s="32"/>
      <c r="V75" s="32"/>
      <c r="W75" s="32"/>
      <c r="X75" s="32"/>
      <c r="Y75" s="32"/>
      <c r="Z75" s="32"/>
      <c r="AA75" s="32"/>
      <c r="AB75" s="32"/>
      <c r="AC75" s="32"/>
      <c r="AD75" s="5"/>
      <c r="AE75" s="32"/>
      <c r="AF75" s="32" t="str">
        <f>IFERROR(__xludf.DUMMYFUNCTION("""COMPUTED_VALUE"""),"++Take half damage from Gem and Crystal related weapons.")</f>
        <v>++Take half damage from Gem and Crystal related weapons.</v>
      </c>
      <c r="AG75" s="32" t="str">
        <f>IFERROR(__xludf.DUMMYFUNCTION("""COMPUTED_VALUE"""),"Land of Spira")</f>
        <v>Land of Spira</v>
      </c>
      <c r="AH75" s="32" t="b">
        <f>IFERROR(__xludf.DUMMYFUNCTION("""COMPUTED_VALUE"""),FALSE)</f>
        <v>0</v>
      </c>
      <c r="AI75" s="32"/>
      <c r="AJ75" s="32"/>
      <c r="AK75" s="32"/>
      <c r="AL75" s="32"/>
      <c r="AM75" s="32"/>
      <c r="AN75" s="32"/>
      <c r="AO75" s="32"/>
      <c r="AP75" s="32"/>
      <c r="AQ75" s="32"/>
      <c r="AR75" s="32"/>
      <c r="AS75" s="32"/>
      <c r="AT75" s="32"/>
      <c r="AU75" s="32"/>
      <c r="AV75" s="32"/>
      <c r="AW75" s="32"/>
      <c r="AX75" s="32"/>
    </row>
    <row r="76">
      <c r="A76" s="27" t="str">
        <f>IFERROR(__xludf.DUMMYFUNCTION("""COMPUTED_VALUE"""),"Crystal Staff")</f>
        <v>Crystal Staff</v>
      </c>
      <c r="B76" s="5" t="str">
        <f>IFERROR(__xludf.DUMMYFUNCTION("""COMPUTED_VALUE"""),"Hand")</f>
        <v>Hand</v>
      </c>
      <c r="C76" s="32"/>
      <c r="D76" s="5" t="str">
        <f>IFERROR(__xludf.DUMMYFUNCTION("""COMPUTED_VALUE"""),"Staff")</f>
        <v>Staff</v>
      </c>
      <c r="E76" s="40">
        <f>IFERROR(__xludf.DUMMYFUNCTION("""COMPUTED_VALUE"""),1.0)</f>
        <v>1</v>
      </c>
      <c r="F76" s="44">
        <f>IFERROR(__xludf.DUMMYFUNCTION("""COMPUTED_VALUE"""),0.0)</f>
        <v>0</v>
      </c>
      <c r="G76" s="32"/>
      <c r="H76" s="32"/>
      <c r="I76" s="32"/>
      <c r="J76" s="32"/>
      <c r="K76" s="32"/>
      <c r="L76" s="32"/>
      <c r="M76" s="32"/>
      <c r="N76" s="32"/>
      <c r="O76" s="32"/>
      <c r="P76" s="32"/>
      <c r="Q76" s="32"/>
      <c r="R76" s="32"/>
      <c r="S76" s="32"/>
      <c r="T76" s="32"/>
      <c r="U76" s="32"/>
      <c r="V76" s="32"/>
      <c r="W76" s="32"/>
      <c r="X76" s="32"/>
      <c r="Y76" s="32"/>
      <c r="Z76" s="32"/>
      <c r="AA76" s="32"/>
      <c r="AB76" s="32"/>
      <c r="AC76" s="32"/>
      <c r="AD76" s="42"/>
      <c r="AE76" s="32"/>
      <c r="AF76" s="32"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32" t="str">
        <f>IFERROR(__xludf.DUMMYFUNCTION("""COMPUTED_VALUE"""),"Land of Spira")</f>
        <v>Land of Spira</v>
      </c>
      <c r="AH76" s="32" t="b">
        <f>IFERROR(__xludf.DUMMYFUNCTION("""COMPUTED_VALUE"""),FALSE)</f>
        <v>0</v>
      </c>
      <c r="AI76" s="32"/>
      <c r="AJ76" s="32"/>
      <c r="AK76" s="32"/>
      <c r="AL76" s="32"/>
      <c r="AM76" s="32"/>
      <c r="AN76" s="32"/>
      <c r="AO76" s="32"/>
      <c r="AP76" s="32"/>
      <c r="AQ76" s="32"/>
      <c r="AR76" s="32"/>
      <c r="AS76" s="32"/>
      <c r="AT76" s="32"/>
      <c r="AU76" s="32"/>
      <c r="AV76" s="32"/>
      <c r="AW76" s="32"/>
      <c r="AX76" s="32"/>
    </row>
    <row r="77">
      <c r="A77" s="27" t="str">
        <f>IFERROR(__xludf.DUMMYFUNCTION("""COMPUTED_VALUE"""),"Crystal Sword")</f>
        <v>Crystal Sword</v>
      </c>
      <c r="B77" s="5" t="str">
        <f>IFERROR(__xludf.DUMMYFUNCTION("""COMPUTED_VALUE"""),"Hand")</f>
        <v>Hand</v>
      </c>
      <c r="C77" s="32"/>
      <c r="D77" s="5" t="str">
        <f>IFERROR(__xludf.DUMMYFUNCTION("""COMPUTED_VALUE"""),"Sword")</f>
        <v>Sword</v>
      </c>
      <c r="E77" s="40">
        <f>IFERROR(__xludf.DUMMYFUNCTION("""COMPUTED_VALUE"""),80.0)</f>
        <v>80</v>
      </c>
      <c r="F77" s="45">
        <f>IFERROR(__xludf.DUMMYFUNCTION("""COMPUTED_VALUE"""),280000.0)</f>
        <v>280000</v>
      </c>
      <c r="G77" s="5" t="str">
        <f>IFERROR(__xludf.DUMMYFUNCTION("""COMPUTED_VALUE"""),"DMG")</f>
        <v>DMG</v>
      </c>
      <c r="H77" s="32">
        <f>IFERROR(__xludf.DUMMYFUNCTION("""COMPUTED_VALUE"""),2000.0)</f>
        <v>2000</v>
      </c>
      <c r="I77" s="32"/>
      <c r="J77" s="32"/>
      <c r="K77" s="32"/>
      <c r="L77" s="32"/>
      <c r="M77" s="32">
        <f>IFERROR(__xludf.DUMMYFUNCTION("""COMPUTED_VALUE"""),2000.0)</f>
        <v>2000</v>
      </c>
      <c r="N77" s="32"/>
      <c r="O77" s="32"/>
      <c r="P77" s="32"/>
      <c r="Q77" s="32"/>
      <c r="R77" s="32"/>
      <c r="S77" s="32"/>
      <c r="T77" s="32"/>
      <c r="U77" s="32"/>
      <c r="V77" s="32"/>
      <c r="W77" s="32"/>
      <c r="X77" s="32"/>
      <c r="Y77" s="32"/>
      <c r="Z77" s="32"/>
      <c r="AA77" s="32"/>
      <c r="AB77" s="32"/>
      <c r="AC77" s="32"/>
      <c r="AD77" s="32"/>
      <c r="AE77" s="32"/>
      <c r="AF77" s="32" t="str">
        <f>IFERROR(__xludf.DUMMYFUNCTION("""COMPUTED_VALUE"""),"++When equipped, Gem and Crystal related weapons deal an additional X2 damage for the user.")</f>
        <v>++When equipped, Gem and Crystal related weapons deal an additional X2 damage for the user.</v>
      </c>
      <c r="AG77" s="32" t="str">
        <f>IFERROR(__xludf.DUMMYFUNCTION("""COMPUTED_VALUE"""),"Land of Spira")</f>
        <v>Land of Spira</v>
      </c>
      <c r="AH77" s="32" t="b">
        <f>IFERROR(__xludf.DUMMYFUNCTION("""COMPUTED_VALUE"""),FALSE)</f>
        <v>0</v>
      </c>
      <c r="AI77" s="32"/>
      <c r="AJ77" s="32"/>
      <c r="AK77" s="32"/>
      <c r="AL77" s="32"/>
      <c r="AM77" s="32"/>
      <c r="AN77" s="32"/>
      <c r="AO77" s="32"/>
      <c r="AP77" s="32"/>
      <c r="AQ77" s="32"/>
      <c r="AR77" s="32"/>
      <c r="AS77" s="32"/>
      <c r="AT77" s="32"/>
      <c r="AU77" s="32"/>
      <c r="AV77" s="32"/>
      <c r="AW77" s="32"/>
      <c r="AX77" s="32"/>
    </row>
    <row r="78">
      <c r="A78" s="27" t="str">
        <f>IFERROR(__xludf.DUMMYFUNCTION("""COMPUTED_VALUE"""),"Cursed Blade")</f>
        <v>Cursed Blade</v>
      </c>
      <c r="B78" s="5" t="str">
        <f>IFERROR(__xludf.DUMMYFUNCTION("""COMPUTED_VALUE"""),"Hand")</f>
        <v>Hand</v>
      </c>
      <c r="C78" s="32"/>
      <c r="D78" s="5" t="str">
        <f>IFERROR(__xludf.DUMMYFUNCTION("""COMPUTED_VALUE"""),"Sword")</f>
        <v>Sword</v>
      </c>
      <c r="E78" s="40">
        <f>IFERROR(__xludf.DUMMYFUNCTION("""COMPUTED_VALUE"""),620.0)</f>
        <v>620</v>
      </c>
      <c r="F78" s="45">
        <f>IFERROR(__xludf.DUMMYFUNCTION("""COMPUTED_VALUE"""),1.891E7)</f>
        <v>18910000</v>
      </c>
      <c r="G78" s="5" t="str">
        <f>IFERROR(__xludf.DUMMYFUNCTION("""COMPUTED_VALUE"""),"DMG")</f>
        <v>DMG</v>
      </c>
      <c r="H78" s="41">
        <f>IFERROR(__xludf.DUMMYFUNCTION("""COMPUTED_VALUE"""),30000.0)</f>
        <v>30000</v>
      </c>
      <c r="I78" s="32"/>
      <c r="J78" s="32"/>
      <c r="K78" s="32"/>
      <c r="L78" s="32"/>
      <c r="M78" s="32"/>
      <c r="N78" s="32"/>
      <c r="O78" s="32">
        <f>IFERROR(__xludf.DUMMYFUNCTION("""COMPUTED_VALUE"""),1000.0)</f>
        <v>1000</v>
      </c>
      <c r="P78" s="32"/>
      <c r="Q78" s="32"/>
      <c r="R78" s="32"/>
      <c r="S78" s="32"/>
      <c r="T78" s="32"/>
      <c r="U78" s="32"/>
      <c r="V78" s="32"/>
      <c r="W78" s="32"/>
      <c r="X78" s="32"/>
      <c r="Y78" s="32"/>
      <c r="Z78" s="32"/>
      <c r="AA78" s="32"/>
      <c r="AB78" s="32"/>
      <c r="AC78" s="32"/>
      <c r="AD78" s="32"/>
      <c r="AE78" s="32"/>
      <c r="AF78" s="32" t="str">
        <f>IFERROR(__xludf.DUMMYFUNCTION("""COMPUTED_VALUE"""),"+- -5 evasion and mobility while equipped.")</f>
        <v>+- -5 evasion and mobility while equipped.</v>
      </c>
      <c r="AG78" s="32" t="str">
        <f>IFERROR(__xludf.DUMMYFUNCTION("""COMPUTED_VALUE"""),"Land of Spira")</f>
        <v>Land of Spira</v>
      </c>
      <c r="AH78" s="32" t="b">
        <f>IFERROR(__xludf.DUMMYFUNCTION("""COMPUTED_VALUE"""),FALSE)</f>
        <v>0</v>
      </c>
      <c r="AI78" s="32"/>
      <c r="AJ78" s="32"/>
      <c r="AK78" s="32"/>
      <c r="AL78" s="32"/>
      <c r="AM78" s="32"/>
      <c r="AN78" s="32"/>
      <c r="AO78" s="32"/>
      <c r="AP78" s="32"/>
      <c r="AQ78" s="32"/>
      <c r="AR78" s="32"/>
      <c r="AS78" s="32"/>
      <c r="AT78" s="32"/>
      <c r="AU78" s="32"/>
      <c r="AV78" s="32"/>
      <c r="AW78" s="32"/>
      <c r="AX78" s="32"/>
    </row>
    <row r="79">
      <c r="A79" s="27" t="str">
        <f>IFERROR(__xludf.DUMMYFUNCTION("""COMPUTED_VALUE"""),"Cursed Blade of The Void Realm")</f>
        <v>Cursed Blade of The Void Realm</v>
      </c>
      <c r="B79" s="5" t="str">
        <f>IFERROR(__xludf.DUMMYFUNCTION("""COMPUTED_VALUE"""),"Hand")</f>
        <v>Hand</v>
      </c>
      <c r="C79" s="32"/>
      <c r="D79" s="5" t="str">
        <f>IFERROR(__xludf.DUMMYFUNCTION("""COMPUTED_VALUE"""),"Sword")</f>
        <v>Sword</v>
      </c>
      <c r="E79" s="40">
        <f>IFERROR(__xludf.DUMMYFUNCTION("""COMPUTED_VALUE"""),1.0)</f>
        <v>1</v>
      </c>
      <c r="F79" s="45">
        <f>IFERROR(__xludf.DUMMYFUNCTION("""COMPUTED_VALUE"""),0.0)</f>
        <v>0</v>
      </c>
      <c r="G79" s="5"/>
      <c r="H79" s="32"/>
      <c r="I79" s="32"/>
      <c r="J79" s="32"/>
      <c r="K79" s="32"/>
      <c r="L79" s="32"/>
      <c r="M79" s="32"/>
      <c r="N79" s="32"/>
      <c r="O79" s="32"/>
      <c r="P79" s="32"/>
      <c r="Q79" s="32"/>
      <c r="R79" s="5"/>
      <c r="S79" s="32"/>
      <c r="T79" s="32"/>
      <c r="U79" s="32"/>
      <c r="V79" s="32"/>
      <c r="W79" s="32"/>
      <c r="X79" s="32"/>
      <c r="Y79" s="32"/>
      <c r="Z79" s="32"/>
      <c r="AA79" s="32"/>
      <c r="AB79" s="32"/>
      <c r="AC79" s="32"/>
      <c r="AD79" s="5"/>
      <c r="AE79" s="32"/>
      <c r="AF79" s="32" t="str">
        <f>IFERROR(__xludf.DUMMYFUNCTION("""COMPUTED_VALUE"""),"+-When equipped this item cannot be unequipped for 3 rounds, +-Depletes 1000 SP per round.")</f>
        <v>+-When equipped this item cannot be unequipped for 3 rounds, +-Depletes 1000 SP per round.</v>
      </c>
      <c r="AG79" s="32" t="str">
        <f>IFERROR(__xludf.DUMMYFUNCTION("""COMPUTED_VALUE"""),"Land of Spira")</f>
        <v>Land of Spira</v>
      </c>
      <c r="AH79" s="32" t="b">
        <f>IFERROR(__xludf.DUMMYFUNCTION("""COMPUTED_VALUE"""),FALSE)</f>
        <v>0</v>
      </c>
      <c r="AI79" s="32"/>
      <c r="AJ79" s="32"/>
      <c r="AK79" s="32"/>
      <c r="AL79" s="32"/>
      <c r="AM79" s="32"/>
      <c r="AN79" s="32"/>
      <c r="AO79" s="32"/>
      <c r="AP79" s="32"/>
      <c r="AQ79" s="32"/>
      <c r="AR79" s="32"/>
      <c r="AS79" s="32"/>
      <c r="AT79" s="32"/>
      <c r="AU79" s="32"/>
      <c r="AV79" s="32"/>
      <c r="AW79" s="32"/>
      <c r="AX79" s="32"/>
    </row>
    <row r="80">
      <c r="A80" s="27" t="str">
        <f>IFERROR(__xludf.DUMMYFUNCTION("""COMPUTED_VALUE"""),"Dagger")</f>
        <v>Dagger</v>
      </c>
      <c r="B80" s="5" t="str">
        <f>IFERROR(__xludf.DUMMYFUNCTION("""COMPUTED_VALUE"""),"Hand")</f>
        <v>Hand</v>
      </c>
      <c r="C80" s="32" t="str">
        <f>IFERROR(__xludf.DUMMYFUNCTION("""COMPUTED_VALUE"""),"The first weapon ")</f>
        <v>The first weapon </v>
      </c>
      <c r="D80" s="5" t="str">
        <f>IFERROR(__xludf.DUMMYFUNCTION("""COMPUTED_VALUE"""),"Knife")</f>
        <v>Knife</v>
      </c>
      <c r="E80" s="40">
        <f>IFERROR(__xludf.DUMMYFUNCTION("""COMPUTED_VALUE"""),20.0)</f>
        <v>20</v>
      </c>
      <c r="F80" s="45">
        <f>IFERROR(__xludf.DUMMYFUNCTION("""COMPUTED_VALUE"""),10000.0)</f>
        <v>10000</v>
      </c>
      <c r="G80" s="5" t="str">
        <f>IFERROR(__xludf.DUMMYFUNCTION("""COMPUTED_VALUE"""),"DMG")</f>
        <v>DMG</v>
      </c>
      <c r="H80" s="32">
        <f>IFERROR(__xludf.DUMMYFUNCTION("""COMPUTED_VALUE"""),1000.0)</f>
        <v>1000</v>
      </c>
      <c r="I80" s="32"/>
      <c r="J80" s="32"/>
      <c r="K80" s="32"/>
      <c r="L80" s="32"/>
      <c r="M80" s="32"/>
      <c r="N80" s="32"/>
      <c r="O80" s="32"/>
      <c r="P80" s="32"/>
      <c r="Q80" s="32"/>
      <c r="R80" s="32"/>
      <c r="S80" s="32"/>
      <c r="T80" s="32"/>
      <c r="U80" s="32"/>
      <c r="V80" s="32"/>
      <c r="W80" s="32"/>
      <c r="X80" s="32"/>
      <c r="Y80" s="32"/>
      <c r="Z80" s="32"/>
      <c r="AA80" s="32"/>
      <c r="AB80" s="32"/>
      <c r="AC80" s="32"/>
      <c r="AD80" s="42"/>
      <c r="AE80" s="32"/>
      <c r="AF80" s="32"/>
      <c r="AG80" s="32" t="str">
        <f>IFERROR(__xludf.DUMMYFUNCTION("""COMPUTED_VALUE"""),"Land of Spira")</f>
        <v>Land of Spira</v>
      </c>
      <c r="AH80" s="32" t="b">
        <f>IFERROR(__xludf.DUMMYFUNCTION("""COMPUTED_VALUE"""),FALSE)</f>
        <v>0</v>
      </c>
      <c r="AI80" s="32"/>
      <c r="AJ80" s="32"/>
      <c r="AK80" s="32"/>
      <c r="AL80" s="32"/>
      <c r="AM80" s="32"/>
      <c r="AN80" s="32"/>
      <c r="AO80" s="32"/>
      <c r="AP80" s="32"/>
      <c r="AQ80" s="32"/>
      <c r="AR80" s="32"/>
      <c r="AS80" s="32"/>
      <c r="AT80" s="32"/>
      <c r="AU80" s="32"/>
      <c r="AV80" s="32"/>
      <c r="AW80" s="32"/>
      <c r="AX80" s="32"/>
    </row>
    <row r="81">
      <c r="A81" s="27" t="str">
        <f>IFERROR(__xludf.DUMMYFUNCTION("""COMPUTED_VALUE"""),"Dagger of Flowers")</f>
        <v>Dagger of Flowers</v>
      </c>
      <c r="B81" s="5" t="str">
        <f>IFERROR(__xludf.DUMMYFUNCTION("""COMPUTED_VALUE"""),"Hand")</f>
        <v>Hand</v>
      </c>
      <c r="C81" s="32" t="str">
        <f>IFERROR(__xludf.DUMMYFUNCTION("""COMPUTED_VALUE"""),"(Event Exclusive)")</f>
        <v>(Event Exclusive)</v>
      </c>
      <c r="D81" s="5" t="str">
        <f>IFERROR(__xludf.DUMMYFUNCTION("""COMPUTED_VALUE"""),"Knife")</f>
        <v>Knife</v>
      </c>
      <c r="E81" s="40">
        <f>IFERROR(__xludf.DUMMYFUNCTION("""COMPUTED_VALUE"""),90.0)</f>
        <v>90</v>
      </c>
      <c r="F81" s="45">
        <f>IFERROR(__xludf.DUMMYFUNCTION("""COMPUTED_VALUE"""),360000.0)</f>
        <v>360000</v>
      </c>
      <c r="G81" s="5" t="str">
        <f>IFERROR(__xludf.DUMMYFUNCTION("""COMPUTED_VALUE"""),"DMG")</f>
        <v>DMG</v>
      </c>
      <c r="H81" s="32">
        <f>IFERROR(__xludf.DUMMYFUNCTION("""COMPUTED_VALUE"""),3000.0)</f>
        <v>3000</v>
      </c>
      <c r="I81" s="32"/>
      <c r="J81" s="32"/>
      <c r="K81" s="32"/>
      <c r="L81" s="32"/>
      <c r="M81" s="32"/>
      <c r="N81" s="32"/>
      <c r="O81" s="32"/>
      <c r="P81" s="32"/>
      <c r="Q81" s="32"/>
      <c r="R81" s="32"/>
      <c r="S81" s="32">
        <f>IFERROR(__xludf.DUMMYFUNCTION("""COMPUTED_VALUE"""),1500.0)</f>
        <v>1500</v>
      </c>
      <c r="T81" s="32"/>
      <c r="U81" s="32"/>
      <c r="V81" s="32"/>
      <c r="W81" s="32"/>
      <c r="X81" s="32"/>
      <c r="Y81" s="32"/>
      <c r="Z81" s="32"/>
      <c r="AA81" s="32"/>
      <c r="AB81" s="32"/>
      <c r="AC81" s="32"/>
      <c r="AD81" s="32"/>
      <c r="AE81" s="32"/>
      <c r="AF81" s="32"/>
      <c r="AG81" s="32" t="str">
        <f>IFERROR(__xludf.DUMMYFUNCTION("""COMPUTED_VALUE"""),"Land of Spira")</f>
        <v>Land of Spira</v>
      </c>
      <c r="AH81" s="32" t="b">
        <f>IFERROR(__xludf.DUMMYFUNCTION("""COMPUTED_VALUE"""),TRUE)</f>
        <v>1</v>
      </c>
      <c r="AI81" s="32"/>
      <c r="AJ81" s="32"/>
      <c r="AK81" s="32"/>
      <c r="AL81" s="32"/>
      <c r="AM81" s="32"/>
      <c r="AN81" s="32"/>
      <c r="AO81" s="32"/>
      <c r="AP81" s="32"/>
      <c r="AQ81" s="32"/>
      <c r="AR81" s="32"/>
      <c r="AS81" s="32"/>
      <c r="AT81" s="32"/>
      <c r="AU81" s="32"/>
      <c r="AV81" s="32"/>
      <c r="AW81" s="32"/>
      <c r="AX81" s="32"/>
    </row>
    <row r="82">
      <c r="A82" s="27" t="str">
        <f>IFERROR(__xludf.DUMMYFUNCTION("""COMPUTED_VALUE"""),"Dagger of The Cultist")</f>
        <v>Dagger of The Cultist</v>
      </c>
      <c r="B82" s="5" t="str">
        <f>IFERROR(__xludf.DUMMYFUNCTION("""COMPUTED_VALUE"""),"Hand")</f>
        <v>Hand</v>
      </c>
      <c r="C82" s="32"/>
      <c r="D82" s="5" t="str">
        <f>IFERROR(__xludf.DUMMYFUNCTION("""COMPUTED_VALUE"""),"Knife")</f>
        <v>Knife</v>
      </c>
      <c r="E82" s="40">
        <f>IFERROR(__xludf.DUMMYFUNCTION("""COMPUTED_VALUE"""),120.0)</f>
        <v>120</v>
      </c>
      <c r="F82" s="45">
        <f>IFERROR(__xludf.DUMMYFUNCTION("""COMPUTED_VALUE"""),660000.0)</f>
        <v>660000</v>
      </c>
      <c r="G82" s="32" t="str">
        <f>IFERROR(__xludf.DUMMYFUNCTION("""COMPUTED_VALUE"""),"DMG")</f>
        <v>DMG</v>
      </c>
      <c r="H82" s="32">
        <f>IFERROR(__xludf.DUMMYFUNCTION("""COMPUTED_VALUE"""),2000.0)</f>
        <v>2000</v>
      </c>
      <c r="I82" s="32"/>
      <c r="J82" s="32"/>
      <c r="K82" s="32"/>
      <c r="L82" s="32"/>
      <c r="M82" s="32"/>
      <c r="N82" s="32"/>
      <c r="O82" s="32">
        <f>IFERROR(__xludf.DUMMYFUNCTION("""COMPUTED_VALUE"""),2000.0)</f>
        <v>2000</v>
      </c>
      <c r="P82" s="32"/>
      <c r="Q82" s="32"/>
      <c r="R82" s="32">
        <f>IFERROR(__xludf.DUMMYFUNCTION("""COMPUTED_VALUE"""),2000.0)</f>
        <v>2000</v>
      </c>
      <c r="S82" s="32"/>
      <c r="T82" s="32"/>
      <c r="U82" s="32"/>
      <c r="V82" s="32"/>
      <c r="W82" s="32"/>
      <c r="X82" s="32"/>
      <c r="Y82" s="32"/>
      <c r="Z82" s="32"/>
      <c r="AA82" s="32"/>
      <c r="AB82" s="32"/>
      <c r="AC82" s="32"/>
      <c r="AD82" s="42"/>
      <c r="AE82" s="32"/>
      <c r="AF82" s="32" t="str">
        <f>IFERROR(__xludf.DUMMYFUNCTION("""COMPUTED_VALUE"""),"(Cultist Set) ++25% chance of instant death to the target.")</f>
        <v>(Cultist Set) ++25% chance of instant death to the target.</v>
      </c>
      <c r="AG82" s="32" t="str">
        <f>IFERROR(__xludf.DUMMYFUNCTION("""COMPUTED_VALUE"""),"Land of Spira")</f>
        <v>Land of Spira</v>
      </c>
      <c r="AH82" s="32" t="b">
        <f>IFERROR(__xludf.DUMMYFUNCTION("""COMPUTED_VALUE"""),FALSE)</f>
        <v>0</v>
      </c>
      <c r="AI82" s="32"/>
      <c r="AJ82" s="32"/>
      <c r="AK82" s="32"/>
      <c r="AL82" s="32"/>
      <c r="AM82" s="32"/>
      <c r="AN82" s="32"/>
      <c r="AO82" s="32"/>
      <c r="AP82" s="32"/>
      <c r="AQ82" s="32"/>
      <c r="AR82" s="32"/>
      <c r="AS82" s="32"/>
      <c r="AT82" s="32"/>
      <c r="AU82" s="32"/>
      <c r="AV82" s="32"/>
      <c r="AW82" s="32"/>
      <c r="AX82" s="32"/>
    </row>
    <row r="83">
      <c r="A83" s="27" t="str">
        <f>IFERROR(__xludf.DUMMYFUNCTION("""COMPUTED_VALUE"""),"Dark Ice Sword")</f>
        <v>Dark Ice Sword</v>
      </c>
      <c r="B83" s="5" t="str">
        <f>IFERROR(__xludf.DUMMYFUNCTION("""COMPUTED_VALUE"""),"Hand")</f>
        <v>Hand</v>
      </c>
      <c r="C83" s="32"/>
      <c r="D83" s="5" t="str">
        <f>IFERROR(__xludf.DUMMYFUNCTION("""COMPUTED_VALUE"""),"Sword")</f>
        <v>Sword</v>
      </c>
      <c r="E83" s="40">
        <f>IFERROR(__xludf.DUMMYFUNCTION("""COMPUTED_VALUE"""),20.0)</f>
        <v>20</v>
      </c>
      <c r="F83" s="45">
        <f>IFERROR(__xludf.DUMMYFUNCTION("""COMPUTED_VALUE"""),1000.0)</f>
        <v>1000</v>
      </c>
      <c r="G83" s="32" t="str">
        <f>IFERROR(__xludf.DUMMYFUNCTION("""COMPUTED_VALUE"""),"DMG")</f>
        <v>DMG</v>
      </c>
      <c r="H83" s="32">
        <f>IFERROR(__xludf.DUMMYFUNCTION("""COMPUTED_VALUE"""),600.0)</f>
        <v>600</v>
      </c>
      <c r="I83" s="32"/>
      <c r="J83" s="32"/>
      <c r="K83" s="32"/>
      <c r="L83" s="32"/>
      <c r="M83" s="32"/>
      <c r="N83" s="32"/>
      <c r="O83" s="32"/>
      <c r="P83" s="32"/>
      <c r="Q83" s="32"/>
      <c r="R83" s="32"/>
      <c r="S83" s="32"/>
      <c r="T83" s="32"/>
      <c r="U83" s="32"/>
      <c r="V83" s="32"/>
      <c r="W83" s="32"/>
      <c r="X83" s="32"/>
      <c r="Y83" s="32"/>
      <c r="Z83" s="32"/>
      <c r="AA83" s="32"/>
      <c r="AB83" s="32"/>
      <c r="AC83" s="32"/>
      <c r="AD83" s="42"/>
      <c r="AE83" s="32"/>
      <c r="AF83" s="32" t="str">
        <f>IFERROR(__xludf.DUMMYFUNCTION("""COMPUTED_VALUE"""),"++25% Chance to freeze target.")</f>
        <v>++25% Chance to freeze target.</v>
      </c>
      <c r="AG83" s="32" t="str">
        <f>IFERROR(__xludf.DUMMYFUNCTION("""COMPUTED_VALUE"""),"Land of Spira")</f>
        <v>Land of Spira</v>
      </c>
      <c r="AH83" s="32" t="b">
        <f>IFERROR(__xludf.DUMMYFUNCTION("""COMPUTED_VALUE"""),FALSE)</f>
        <v>0</v>
      </c>
      <c r="AI83" s="32"/>
      <c r="AJ83" s="32"/>
      <c r="AK83" s="32"/>
      <c r="AL83" s="32"/>
      <c r="AM83" s="32"/>
      <c r="AN83" s="32"/>
      <c r="AO83" s="32"/>
      <c r="AP83" s="32"/>
      <c r="AQ83" s="32"/>
      <c r="AR83" s="32"/>
      <c r="AS83" s="32"/>
      <c r="AT83" s="32"/>
      <c r="AU83" s="32"/>
      <c r="AV83" s="32"/>
      <c r="AW83" s="32"/>
      <c r="AX83" s="32"/>
    </row>
    <row r="84">
      <c r="A84" s="27" t="str">
        <f>IFERROR(__xludf.DUMMYFUNCTION("""COMPUTED_VALUE"""),"Dark Knight Helm")</f>
        <v>Dark Knight Helm</v>
      </c>
      <c r="B84" s="5" t="str">
        <f>IFERROR(__xludf.DUMMYFUNCTION("""COMPUTED_VALUE"""),"Head")</f>
        <v>Head</v>
      </c>
      <c r="C84" s="32"/>
      <c r="D84" s="5"/>
      <c r="E84" s="40">
        <f>IFERROR(__xludf.DUMMYFUNCTION("""COMPUTED_VALUE"""),10.0)</f>
        <v>10</v>
      </c>
      <c r="F84" s="44">
        <f>IFERROR(__xludf.DUMMYFUNCTION("""COMPUTED_VALUE"""),1000.0)</f>
        <v>1000</v>
      </c>
      <c r="G84" s="32" t="str">
        <f>IFERROR(__xludf.DUMMYFUNCTION("""COMPUTED_VALUE"""),"DEF")</f>
        <v>DEF</v>
      </c>
      <c r="H84" s="32">
        <f>IFERROR(__xludf.DUMMYFUNCTION("""COMPUTED_VALUE"""),500.0)</f>
        <v>500</v>
      </c>
      <c r="I84" s="32"/>
      <c r="J84" s="32"/>
      <c r="K84" s="32"/>
      <c r="L84" s="32"/>
      <c r="M84" s="32"/>
      <c r="N84" s="32"/>
      <c r="O84" s="32"/>
      <c r="P84" s="32"/>
      <c r="Q84" s="32"/>
      <c r="R84" s="32"/>
      <c r="S84" s="32"/>
      <c r="T84" s="32"/>
      <c r="U84" s="32"/>
      <c r="V84" s="32"/>
      <c r="W84" s="32"/>
      <c r="X84" s="32"/>
      <c r="Y84" s="32"/>
      <c r="Z84" s="32"/>
      <c r="AA84" s="32"/>
      <c r="AB84" s="32"/>
      <c r="AC84" s="32"/>
      <c r="AD84" s="42"/>
      <c r="AE84" s="32"/>
      <c r="AF84" s="32" t="str">
        <f>IFERROR(__xludf.DUMMYFUNCTION("""COMPUTED_VALUE"""),"++Immune to dark damage")</f>
        <v>++Immune to dark damage</v>
      </c>
      <c r="AG84" s="32" t="str">
        <f>IFERROR(__xludf.DUMMYFUNCTION("""COMPUTED_VALUE"""),"Land of Spira")</f>
        <v>Land of Spira</v>
      </c>
      <c r="AH84" s="32" t="b">
        <f>IFERROR(__xludf.DUMMYFUNCTION("""COMPUTED_VALUE"""),FALSE)</f>
        <v>0</v>
      </c>
      <c r="AI84" s="32"/>
      <c r="AJ84" s="32"/>
      <c r="AK84" s="32"/>
      <c r="AL84" s="32"/>
      <c r="AM84" s="32"/>
      <c r="AN84" s="32"/>
      <c r="AO84" s="32"/>
      <c r="AP84" s="32"/>
      <c r="AQ84" s="32"/>
      <c r="AR84" s="32"/>
      <c r="AS84" s="32"/>
      <c r="AT84" s="32"/>
      <c r="AU84" s="32"/>
      <c r="AV84" s="32"/>
      <c r="AW84" s="32"/>
      <c r="AX84" s="32"/>
    </row>
    <row r="85">
      <c r="A85" s="27" t="str">
        <f>IFERROR(__xludf.DUMMYFUNCTION("""COMPUTED_VALUE"""),"Dark Wand")</f>
        <v>Dark Wand</v>
      </c>
      <c r="B85" s="5" t="str">
        <f>IFERROR(__xludf.DUMMYFUNCTION("""COMPUTED_VALUE"""),"Hand")</f>
        <v>Hand</v>
      </c>
      <c r="C85" s="32"/>
      <c r="D85" s="5" t="str">
        <f>IFERROR(__xludf.DUMMYFUNCTION("""COMPUTED_VALUE"""),"Wand")</f>
        <v>Wand</v>
      </c>
      <c r="E85" s="40">
        <f>IFERROR(__xludf.DUMMYFUNCTION("""COMPUTED_VALUE"""),1.0)</f>
        <v>1</v>
      </c>
      <c r="F85" s="44">
        <f>IFERROR(__xludf.DUMMYFUNCTION("""COMPUTED_VALUE"""),0.0)</f>
        <v>0</v>
      </c>
      <c r="G85" s="32"/>
      <c r="H85" s="32"/>
      <c r="I85" s="32"/>
      <c r="J85" s="32"/>
      <c r="K85" s="32"/>
      <c r="L85" s="32"/>
      <c r="M85" s="32"/>
      <c r="N85" s="32"/>
      <c r="O85" s="32"/>
      <c r="P85" s="32"/>
      <c r="Q85" s="32"/>
      <c r="R85" s="32"/>
      <c r="S85" s="32"/>
      <c r="T85" s="32"/>
      <c r="U85" s="32"/>
      <c r="V85" s="32"/>
      <c r="W85" s="32"/>
      <c r="X85" s="32"/>
      <c r="Y85" s="32"/>
      <c r="Z85" s="32"/>
      <c r="AA85" s="32"/>
      <c r="AB85" s="32"/>
      <c r="AC85" s="32"/>
      <c r="AD85" s="5"/>
      <c r="AE85" s="32"/>
      <c r="AF85" s="32" t="str">
        <f>IFERROR(__xludf.DUMMYFUNCTION("""COMPUTED_VALUE"""),"++Half the SP cost of dark spells")</f>
        <v>++Half the SP cost of dark spells</v>
      </c>
      <c r="AG85" s="32" t="str">
        <f>IFERROR(__xludf.DUMMYFUNCTION("""COMPUTED_VALUE"""),"Land of Spira")</f>
        <v>Land of Spira</v>
      </c>
      <c r="AH85" s="32" t="b">
        <f>IFERROR(__xludf.DUMMYFUNCTION("""COMPUTED_VALUE"""),FALSE)</f>
        <v>0</v>
      </c>
      <c r="AI85" s="32"/>
      <c r="AJ85" s="32"/>
      <c r="AK85" s="32"/>
      <c r="AL85" s="32"/>
      <c r="AM85" s="32"/>
      <c r="AN85" s="32"/>
      <c r="AO85" s="32"/>
      <c r="AP85" s="32"/>
      <c r="AQ85" s="32"/>
      <c r="AR85" s="32"/>
      <c r="AS85" s="32"/>
      <c r="AT85" s="32"/>
      <c r="AU85" s="32"/>
      <c r="AV85" s="32"/>
      <c r="AW85" s="32"/>
      <c r="AX85" s="32"/>
    </row>
    <row r="86">
      <c r="A86" s="27" t="str">
        <f>IFERROR(__xludf.DUMMYFUNCTION("""COMPUTED_VALUE"""),"Dead Forest Blade")</f>
        <v>Dead Forest Blade</v>
      </c>
      <c r="B86" s="5" t="str">
        <f>IFERROR(__xludf.DUMMYFUNCTION("""COMPUTED_VALUE"""),"Hand")</f>
        <v>Hand</v>
      </c>
      <c r="C86" s="32"/>
      <c r="D86" s="5" t="str">
        <f>IFERROR(__xludf.DUMMYFUNCTION("""COMPUTED_VALUE"""),"Sword")</f>
        <v>Sword</v>
      </c>
      <c r="E86" s="40">
        <f>IFERROR(__xludf.DUMMYFUNCTION("""COMPUTED_VALUE"""),180.0)</f>
        <v>180</v>
      </c>
      <c r="F86" s="40">
        <f>IFERROR(__xludf.DUMMYFUNCTION("""COMPUTED_VALUE"""),1530000.0)</f>
        <v>1530000</v>
      </c>
      <c r="G86" s="5" t="str">
        <f>IFERROR(__xludf.DUMMYFUNCTION("""COMPUTED_VALUE"""),"DMG")</f>
        <v>DMG</v>
      </c>
      <c r="H86" s="5">
        <f>IFERROR(__xludf.DUMMYFUNCTION("""COMPUTED_VALUE"""),5000.0)</f>
        <v>5000</v>
      </c>
      <c r="I86" s="32"/>
      <c r="J86" s="32"/>
      <c r="K86" s="32"/>
      <c r="L86" s="32"/>
      <c r="M86" s="32"/>
      <c r="N86" s="32"/>
      <c r="O86" s="32">
        <f>IFERROR(__xludf.DUMMYFUNCTION("""COMPUTED_VALUE"""),4000.0)</f>
        <v>4000</v>
      </c>
      <c r="P86" s="32"/>
      <c r="Q86" s="32"/>
      <c r="R86" s="32"/>
      <c r="S86" s="32"/>
      <c r="T86" s="32"/>
      <c r="U86" s="32"/>
      <c r="V86" s="32"/>
      <c r="W86" s="32"/>
      <c r="X86" s="32"/>
      <c r="Y86" s="32"/>
      <c r="Z86" s="32"/>
      <c r="AA86" s="32"/>
      <c r="AB86" s="32"/>
      <c r="AC86" s="32"/>
      <c r="AD86" s="42"/>
      <c r="AE86" s="32"/>
      <c r="AF86" s="32"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32" t="str">
        <f>IFERROR(__xludf.DUMMYFUNCTION("""COMPUTED_VALUE"""),"Land of Spira")</f>
        <v>Land of Spira</v>
      </c>
      <c r="AH86" s="32" t="b">
        <f>IFERROR(__xludf.DUMMYFUNCTION("""COMPUTED_VALUE"""),FALSE)</f>
        <v>0</v>
      </c>
      <c r="AI86" s="32"/>
      <c r="AJ86" s="32"/>
      <c r="AK86" s="32"/>
      <c r="AL86" s="32"/>
      <c r="AM86" s="32"/>
      <c r="AN86" s="32"/>
      <c r="AO86" s="32"/>
      <c r="AP86" s="32"/>
      <c r="AQ86" s="32"/>
      <c r="AR86" s="32"/>
      <c r="AS86" s="32"/>
      <c r="AT86" s="32"/>
      <c r="AU86" s="32"/>
      <c r="AV86" s="32"/>
      <c r="AW86" s="32"/>
      <c r="AX86" s="32"/>
    </row>
    <row r="87">
      <c r="A87" s="27" t="str">
        <f>IFERROR(__xludf.DUMMYFUNCTION("""COMPUTED_VALUE"""),"Dead Forest Branch")</f>
        <v>Dead Forest Branch</v>
      </c>
      <c r="B87" s="5" t="str">
        <f>IFERROR(__xludf.DUMMYFUNCTION("""COMPUTED_VALUE"""),"Hand")</f>
        <v>Hand</v>
      </c>
      <c r="C87" s="32"/>
      <c r="D87" s="5" t="str">
        <f>IFERROR(__xludf.DUMMYFUNCTION("""COMPUTED_VALUE"""),"Club")</f>
        <v>Club</v>
      </c>
      <c r="E87" s="40">
        <f>IFERROR(__xludf.DUMMYFUNCTION("""COMPUTED_VALUE"""),200.0)</f>
        <v>200</v>
      </c>
      <c r="F87" s="44">
        <f>IFERROR(__xludf.DUMMYFUNCTION("""COMPUTED_VALUE"""),2.8788E10)</f>
        <v>28788000000</v>
      </c>
      <c r="G87" s="32" t="str">
        <f>IFERROR(__xludf.DUMMYFUNCTION("""COMPUTED_VALUE"""),"DMG")</f>
        <v>DMG</v>
      </c>
      <c r="H87" s="32"/>
      <c r="I87" s="32"/>
      <c r="J87" s="32"/>
      <c r="K87" s="32"/>
      <c r="L87" s="32"/>
      <c r="M87" s="32"/>
      <c r="N87" s="32"/>
      <c r="O87" s="32"/>
      <c r="P87" s="32"/>
      <c r="Q87" s="32"/>
      <c r="R87" s="32"/>
      <c r="S87" s="32"/>
      <c r="T87" s="32"/>
      <c r="U87" s="32"/>
      <c r="V87" s="32"/>
      <c r="W87" s="32"/>
      <c r="X87" s="32"/>
      <c r="Y87" s="32"/>
      <c r="Z87" s="32"/>
      <c r="AA87" s="32"/>
      <c r="AB87" s="32"/>
      <c r="AC87" s="33">
        <f>IFERROR(__xludf.DUMMYFUNCTION("""COMPUTED_VALUE"""),1.0E7)</f>
        <v>10000000</v>
      </c>
      <c r="AD87" s="42"/>
      <c r="AE87" s="32"/>
      <c r="AF87" s="32" t="str">
        <f>IFERROR(__xludf.DUMMYFUNCTION("""COMPUTED_VALUE"""),"++This Branch will deal 10,000,000 celestial damage but it has a 95% chance to break")</f>
        <v>++This Branch will deal 10,000,000 celestial damage but it has a 95% chance to break</v>
      </c>
      <c r="AG87" s="32" t="str">
        <f>IFERROR(__xludf.DUMMYFUNCTION("""COMPUTED_VALUE"""),"Land of Spira")</f>
        <v>Land of Spira</v>
      </c>
      <c r="AH87" s="32" t="b">
        <f>IFERROR(__xludf.DUMMYFUNCTION("""COMPUTED_VALUE"""),FALSE)</f>
        <v>0</v>
      </c>
      <c r="AI87" s="32"/>
      <c r="AJ87" s="32"/>
      <c r="AK87" s="32"/>
      <c r="AL87" s="32"/>
      <c r="AM87" s="32"/>
      <c r="AN87" s="32"/>
      <c r="AO87" s="32"/>
      <c r="AP87" s="32"/>
      <c r="AQ87" s="32"/>
      <c r="AR87" s="32"/>
      <c r="AS87" s="32"/>
      <c r="AT87" s="32"/>
      <c r="AU87" s="32"/>
      <c r="AV87" s="32"/>
      <c r="AW87" s="32"/>
      <c r="AX87" s="32"/>
    </row>
    <row r="88">
      <c r="A88" s="27" t="str">
        <f>IFERROR(__xludf.DUMMYFUNCTION("""COMPUTED_VALUE"""),"Death's Scythe")</f>
        <v>Death's Scythe</v>
      </c>
      <c r="B88" s="5" t="str">
        <f>IFERROR(__xludf.DUMMYFUNCTION("""COMPUTED_VALUE"""),"Hand")</f>
        <v>Hand</v>
      </c>
      <c r="C88" s="32"/>
      <c r="D88" s="5" t="str">
        <f>IFERROR(__xludf.DUMMYFUNCTION("""COMPUTED_VALUE"""),"Scythe")</f>
        <v>Scythe</v>
      </c>
      <c r="E88" s="40">
        <f>IFERROR(__xludf.DUMMYFUNCTION("""COMPUTED_VALUE"""),600.0)</f>
        <v>600</v>
      </c>
      <c r="F88" s="40">
        <f>IFERROR(__xludf.DUMMYFUNCTION("""COMPUTED_VALUE"""),1.77E7)</f>
        <v>17700000</v>
      </c>
      <c r="G88" s="32" t="str">
        <f>IFERROR(__xludf.DUMMYFUNCTION("""COMPUTED_VALUE"""),"DMG")</f>
        <v>DMG</v>
      </c>
      <c r="H88" s="33">
        <f>IFERROR(__xludf.DUMMYFUNCTION("""COMPUTED_VALUE"""),10000.0)</f>
        <v>10000</v>
      </c>
      <c r="I88" s="32"/>
      <c r="J88" s="32"/>
      <c r="K88" s="32"/>
      <c r="L88" s="32"/>
      <c r="M88" s="32"/>
      <c r="N88" s="32"/>
      <c r="O88" s="33">
        <f>IFERROR(__xludf.DUMMYFUNCTION("""COMPUTED_VALUE"""),10000.0)</f>
        <v>10000</v>
      </c>
      <c r="P88" s="32"/>
      <c r="Q88" s="32"/>
      <c r="R88" s="33">
        <f>IFERROR(__xludf.DUMMYFUNCTION("""COMPUTED_VALUE"""),10000.0)</f>
        <v>10000</v>
      </c>
      <c r="S88" s="32"/>
      <c r="T88" s="32"/>
      <c r="U88" s="32"/>
      <c r="V88" s="32"/>
      <c r="W88" s="32"/>
      <c r="X88" s="32"/>
      <c r="Y88" s="32"/>
      <c r="Z88" s="32"/>
      <c r="AA88" s="32"/>
      <c r="AB88" s="32"/>
      <c r="AC88" s="32"/>
      <c r="AD88" s="42"/>
      <c r="AE88" s="32"/>
      <c r="AF88" s="32" t="str">
        <f>IFERROR(__xludf.DUMMYFUNCTION("""COMPUTED_VALUE"""),"++ +2 Intimidation, ++ +2 Wisdom when rolling a wisdom check for traps. +-Cannot be duplicated, +-Can only equip one.")</f>
        <v>++ +2 Intimidation, ++ +2 Wisdom when rolling a wisdom check for traps. +-Cannot be duplicated, +-Can only equip one.</v>
      </c>
      <c r="AG88" s="32" t="str">
        <f>IFERROR(__xludf.DUMMYFUNCTION("""COMPUTED_VALUE"""),"Land of Spira")</f>
        <v>Land of Spira</v>
      </c>
      <c r="AH88" s="32" t="b">
        <f>IFERROR(__xludf.DUMMYFUNCTION("""COMPUTED_VALUE"""),FALSE)</f>
        <v>0</v>
      </c>
      <c r="AI88" s="32"/>
      <c r="AJ88" s="32"/>
      <c r="AK88" s="32"/>
      <c r="AL88" s="32"/>
      <c r="AM88" s="32"/>
      <c r="AN88" s="32"/>
      <c r="AO88" s="32"/>
      <c r="AP88" s="32"/>
      <c r="AQ88" s="32"/>
      <c r="AR88" s="32"/>
      <c r="AS88" s="32"/>
      <c r="AT88" s="32"/>
      <c r="AU88" s="32"/>
      <c r="AV88" s="32"/>
      <c r="AW88" s="32"/>
      <c r="AX88" s="32"/>
    </row>
    <row r="89">
      <c r="A89" s="27" t="str">
        <f>IFERROR(__xludf.DUMMYFUNCTION("""COMPUTED_VALUE"""),"Demonic Scythe of Chaos ")</f>
        <v>Demonic Scythe of Chaos </v>
      </c>
      <c r="B89" s="5" t="str">
        <f>IFERROR(__xludf.DUMMYFUNCTION("""COMPUTED_VALUE"""),"Hand")</f>
        <v>Hand</v>
      </c>
      <c r="C89" s="32"/>
      <c r="D89" s="5" t="str">
        <f>IFERROR(__xludf.DUMMYFUNCTION("""COMPUTED_VALUE"""),"Scythe")</f>
        <v>Scythe</v>
      </c>
      <c r="E89" s="40">
        <f>IFERROR(__xludf.DUMMYFUNCTION("""COMPUTED_VALUE"""),3000.0)</f>
        <v>3000</v>
      </c>
      <c r="F89" s="44">
        <f>IFERROR(__xludf.DUMMYFUNCTION("""COMPUTED_VALUE"""),4.485E8)</f>
        <v>448500000</v>
      </c>
      <c r="G89" s="32" t="str">
        <f>IFERROR(__xludf.DUMMYFUNCTION("""COMPUTED_VALUE"""),"DMG")</f>
        <v>DMG</v>
      </c>
      <c r="H89" s="33">
        <f>IFERROR(__xludf.DUMMYFUNCTION("""COMPUTED_VALUE"""),50000.0)</f>
        <v>50000</v>
      </c>
      <c r="I89" s="33">
        <f>IFERROR(__xludf.DUMMYFUNCTION("""COMPUTED_VALUE"""),50000.0)</f>
        <v>50000</v>
      </c>
      <c r="J89" s="32"/>
      <c r="K89" s="32"/>
      <c r="L89" s="32"/>
      <c r="M89" s="32"/>
      <c r="N89" s="32"/>
      <c r="O89" s="32"/>
      <c r="P89" s="32"/>
      <c r="Q89" s="32"/>
      <c r="R89" s="33">
        <f>IFERROR(__xludf.DUMMYFUNCTION("""COMPUTED_VALUE"""),50000.0)</f>
        <v>50000</v>
      </c>
      <c r="S89" s="32"/>
      <c r="T89" s="32"/>
      <c r="U89" s="32"/>
      <c r="V89" s="32"/>
      <c r="W89" s="32"/>
      <c r="X89" s="32"/>
      <c r="Y89" s="32"/>
      <c r="Z89" s="32"/>
      <c r="AA89" s="32"/>
      <c r="AB89" s="32"/>
      <c r="AC89" s="32"/>
      <c r="AD89" s="42"/>
      <c r="AE89" s="32"/>
      <c r="AF89" s="32" t="str">
        <f>IFERROR(__xludf.DUMMYFUNCTION("""COMPUTED_VALUE"""),"++X2  Additional Fire and Chaos damage. +-Cannot be duplicated.")</f>
        <v>++X2  Additional Fire and Chaos damage. +-Cannot be duplicated.</v>
      </c>
      <c r="AG89" s="32" t="str">
        <f>IFERROR(__xludf.DUMMYFUNCTION("""COMPUTED_VALUE"""),"Abstara")</f>
        <v>Abstara</v>
      </c>
      <c r="AH89" s="32" t="b">
        <f>IFERROR(__xludf.DUMMYFUNCTION("""COMPUTED_VALUE"""),FALSE)</f>
        <v>0</v>
      </c>
      <c r="AI89" s="32"/>
      <c r="AJ89" s="32"/>
      <c r="AK89" s="32"/>
      <c r="AL89" s="32"/>
      <c r="AM89" s="32"/>
      <c r="AN89" s="32"/>
      <c r="AO89" s="32"/>
      <c r="AP89" s="32"/>
      <c r="AQ89" s="32"/>
      <c r="AR89" s="32"/>
      <c r="AS89" s="32"/>
      <c r="AT89" s="32"/>
      <c r="AU89" s="32"/>
      <c r="AV89" s="32"/>
      <c r="AW89" s="32"/>
      <c r="AX89" s="32"/>
    </row>
    <row r="90">
      <c r="A90" s="27" t="str">
        <f>IFERROR(__xludf.DUMMYFUNCTION("""COMPUTED_VALUE"""),"Demonic Sword of The King")</f>
        <v>Demonic Sword of The King</v>
      </c>
      <c r="B90" s="5" t="str">
        <f>IFERROR(__xludf.DUMMYFUNCTION("""COMPUTED_VALUE"""),"Hand")</f>
        <v>Hand</v>
      </c>
      <c r="C90" s="32"/>
      <c r="D90" s="5" t="str">
        <f>IFERROR(__xludf.DUMMYFUNCTION("""COMPUTED_VALUE"""),"Sword")</f>
        <v>Sword</v>
      </c>
      <c r="E90" s="40">
        <f>IFERROR(__xludf.DUMMYFUNCTION("""COMPUTED_VALUE"""),200.0)</f>
        <v>200</v>
      </c>
      <c r="F90" s="44">
        <f>IFERROR(__xludf.DUMMYFUNCTION("""COMPUTED_VALUE"""),3.196E9)</f>
        <v>3196000000</v>
      </c>
      <c r="G90" s="32" t="str">
        <f>IFERROR(__xludf.DUMMYFUNCTION("""COMPUTED_VALUE"""),"DMG")</f>
        <v>DMG</v>
      </c>
      <c r="H90" s="33">
        <f>IFERROR(__xludf.DUMMYFUNCTION("""COMPUTED_VALUE"""),100000.0)</f>
        <v>100000</v>
      </c>
      <c r="I90" s="33">
        <f>IFERROR(__xludf.DUMMYFUNCTION("""COMPUTED_VALUE"""),100000.0)</f>
        <v>100000</v>
      </c>
      <c r="J90" s="32"/>
      <c r="K90" s="32"/>
      <c r="L90" s="32"/>
      <c r="M90" s="32"/>
      <c r="N90" s="32"/>
      <c r="O90" s="33">
        <f>IFERROR(__xludf.DUMMYFUNCTION("""COMPUTED_VALUE"""),50000.0)</f>
        <v>50000</v>
      </c>
      <c r="P90" s="32"/>
      <c r="Q90" s="32"/>
      <c r="R90" s="33">
        <f>IFERROR(__xludf.DUMMYFUNCTION("""COMPUTED_VALUE"""),50000.0)</f>
        <v>50000</v>
      </c>
      <c r="S90" s="32"/>
      <c r="T90" s="32"/>
      <c r="U90" s="32"/>
      <c r="V90" s="32"/>
      <c r="W90" s="32"/>
      <c r="X90" s="32"/>
      <c r="Y90" s="33">
        <f>IFERROR(__xludf.DUMMYFUNCTION("""COMPUTED_VALUE"""),50000.0)</f>
        <v>50000</v>
      </c>
      <c r="Z90" s="32"/>
      <c r="AA90" s="32"/>
      <c r="AB90" s="32"/>
      <c r="AC90" s="33">
        <f>IFERROR(__xludf.DUMMYFUNCTION("""COMPUTED_VALUE"""),50000.0)</f>
        <v>50000</v>
      </c>
      <c r="AD90" s="42"/>
      <c r="AE90" s="32"/>
      <c r="AF90" s="32" t="str">
        <f>IFERROR(__xludf.DUMMYFUNCTION("""COMPUTED_VALUE"""),"++When targeted for an attack you can choose a party member to take the damage instead. +-Cannot be duplicated.")</f>
        <v>++When targeted for an attack you can choose a party member to take the damage instead. +-Cannot be duplicated.</v>
      </c>
      <c r="AG90" s="32" t="str">
        <f>IFERROR(__xludf.DUMMYFUNCTION("""COMPUTED_VALUE"""),"Abstara")</f>
        <v>Abstara</v>
      </c>
      <c r="AH90" s="32" t="b">
        <f>IFERROR(__xludf.DUMMYFUNCTION("""COMPUTED_VALUE"""),FALSE)</f>
        <v>0</v>
      </c>
      <c r="AI90" s="32"/>
      <c r="AJ90" s="32"/>
      <c r="AK90" s="32"/>
      <c r="AL90" s="32"/>
      <c r="AM90" s="32"/>
      <c r="AN90" s="32"/>
      <c r="AO90" s="32"/>
      <c r="AP90" s="32"/>
      <c r="AQ90" s="32"/>
      <c r="AR90" s="32"/>
      <c r="AS90" s="32"/>
      <c r="AT90" s="32"/>
      <c r="AU90" s="32"/>
      <c r="AV90" s="32"/>
      <c r="AW90" s="32"/>
      <c r="AX90" s="32"/>
    </row>
    <row r="91">
      <c r="A91" s="27" t="str">
        <f>IFERROR(__xludf.DUMMYFUNCTION("""COMPUTED_VALUE"""),"Dimensional Dagger")</f>
        <v>Dimensional Dagger</v>
      </c>
      <c r="B91" s="5" t="str">
        <f>IFERROR(__xludf.DUMMYFUNCTION("""COMPUTED_VALUE"""),"Hand")</f>
        <v>Hand</v>
      </c>
      <c r="C91" s="32"/>
      <c r="D91" s="5" t="str">
        <f>IFERROR(__xludf.DUMMYFUNCTION("""COMPUTED_VALUE"""),"Knife")</f>
        <v>Knife</v>
      </c>
      <c r="E91" s="40">
        <f>IFERROR(__xludf.DUMMYFUNCTION("""COMPUTED_VALUE"""),200.0)</f>
        <v>200</v>
      </c>
      <c r="F91" s="44">
        <f>IFERROR(__xludf.DUMMYFUNCTION("""COMPUTED_VALUE"""),1900000.0)</f>
        <v>1900000</v>
      </c>
      <c r="G91" s="32" t="str">
        <f>IFERROR(__xludf.DUMMYFUNCTION("""COMPUTED_VALUE"""),"DMG")</f>
        <v>DMG</v>
      </c>
      <c r="H91" s="32">
        <f>IFERROR(__xludf.DUMMYFUNCTION("""COMPUTED_VALUE"""),5000.0)</f>
        <v>5000</v>
      </c>
      <c r="I91" s="32"/>
      <c r="J91" s="32"/>
      <c r="K91" s="32"/>
      <c r="L91" s="32"/>
      <c r="M91" s="32"/>
      <c r="N91" s="32"/>
      <c r="O91" s="32"/>
      <c r="P91" s="32"/>
      <c r="Q91" s="32"/>
      <c r="R91" s="33">
        <f>IFERROR(__xludf.DUMMYFUNCTION("""COMPUTED_VALUE"""),5000.0)</f>
        <v>5000</v>
      </c>
      <c r="S91" s="32"/>
      <c r="T91" s="32"/>
      <c r="U91" s="32"/>
      <c r="V91" s="32"/>
      <c r="W91" s="32"/>
      <c r="X91" s="32"/>
      <c r="Y91" s="32"/>
      <c r="Z91" s="32"/>
      <c r="AA91" s="32"/>
      <c r="AB91" s="32"/>
      <c r="AC91" s="32"/>
      <c r="AD91" s="42"/>
      <c r="AE91" s="32"/>
      <c r="AF91" s="32" t="str">
        <f>IFERROR(__xludf.DUMMYFUNCTION("""COMPUTED_VALUE"""),"++25% chance to teleport the target being attacked to a random location.")</f>
        <v>++25% chance to teleport the target being attacked to a random location.</v>
      </c>
      <c r="AG91" s="32" t="str">
        <f>IFERROR(__xludf.DUMMYFUNCTION("""COMPUTED_VALUE"""),"Land of Spira")</f>
        <v>Land of Spira</v>
      </c>
      <c r="AH91" s="32" t="b">
        <f>IFERROR(__xludf.DUMMYFUNCTION("""COMPUTED_VALUE"""),FALSE)</f>
        <v>0</v>
      </c>
      <c r="AI91" s="32"/>
      <c r="AJ91" s="32"/>
      <c r="AK91" s="32"/>
      <c r="AL91" s="32"/>
      <c r="AM91" s="32"/>
      <c r="AN91" s="32"/>
      <c r="AO91" s="32"/>
      <c r="AP91" s="32"/>
      <c r="AQ91" s="32"/>
      <c r="AR91" s="32"/>
      <c r="AS91" s="32"/>
      <c r="AT91" s="32"/>
      <c r="AU91" s="32"/>
      <c r="AV91" s="32"/>
      <c r="AW91" s="32"/>
      <c r="AX91" s="32"/>
    </row>
    <row r="92">
      <c r="A92" s="27" t="str">
        <f>IFERROR(__xludf.DUMMYFUNCTION("""COMPUTED_VALUE"""),"Draconic Shield")</f>
        <v>Draconic Shield</v>
      </c>
      <c r="B92" s="5" t="str">
        <f>IFERROR(__xludf.DUMMYFUNCTION("""COMPUTED_VALUE"""),"Hand")</f>
        <v>Hand</v>
      </c>
      <c r="C92" s="32"/>
      <c r="D92" s="5" t="str">
        <f>IFERROR(__xludf.DUMMYFUNCTION("""COMPUTED_VALUE"""),"Towershield")</f>
        <v>Towershield</v>
      </c>
      <c r="E92" s="40">
        <f>IFERROR(__xludf.DUMMYFUNCTION("""COMPUTED_VALUE"""),5000.0)</f>
        <v>5000</v>
      </c>
      <c r="F92" s="44">
        <f>IFERROR(__xludf.DUMMYFUNCTION("""COMPUTED_VALUE"""),1.2475E9)</f>
        <v>1247500000</v>
      </c>
      <c r="G92" s="32" t="str">
        <f>IFERROR(__xludf.DUMMYFUNCTION("""COMPUTED_VALUE"""),"DEF")</f>
        <v>DEF</v>
      </c>
      <c r="H92" s="33">
        <f>IFERROR(__xludf.DUMMYFUNCTION("""COMPUTED_VALUE"""),50000.0)</f>
        <v>50000</v>
      </c>
      <c r="I92" s="33">
        <f>IFERROR(__xludf.DUMMYFUNCTION("""COMPUTED_VALUE"""),50000.0)</f>
        <v>50000</v>
      </c>
      <c r="J92" s="32"/>
      <c r="K92" s="32"/>
      <c r="L92" s="32"/>
      <c r="M92" s="32"/>
      <c r="N92" s="32"/>
      <c r="O92" s="33">
        <f>IFERROR(__xludf.DUMMYFUNCTION("""COMPUTED_VALUE"""),50000.0)</f>
        <v>50000</v>
      </c>
      <c r="P92" s="32"/>
      <c r="Q92" s="32"/>
      <c r="R92" s="33">
        <f>IFERROR(__xludf.DUMMYFUNCTION("""COMPUTED_VALUE"""),50000.0)</f>
        <v>50000</v>
      </c>
      <c r="S92" s="32"/>
      <c r="T92" s="32"/>
      <c r="U92" s="32"/>
      <c r="V92" s="32"/>
      <c r="W92" s="32"/>
      <c r="X92" s="32"/>
      <c r="Y92" s="33">
        <f>IFERROR(__xludf.DUMMYFUNCTION("""COMPUTED_VALUE"""),50000.0)</f>
        <v>50000</v>
      </c>
      <c r="Z92" s="32"/>
      <c r="AA92" s="32"/>
      <c r="AB92" s="32"/>
      <c r="AC92" s="32"/>
      <c r="AD92" s="42"/>
      <c r="AE92" s="32"/>
      <c r="AF92" s="32" t="str">
        <f>IFERROR(__xludf.DUMMYFUNCTION("""COMPUTED_VALUE"""),"++Draconic Block - Any damage you take in battle is now reduced to 1 for for the first round of battle.")</f>
        <v>++Draconic Block - Any damage you take in battle is now reduced to 1 for for the first round of battle.</v>
      </c>
      <c r="AG92" s="32" t="str">
        <f>IFERROR(__xludf.DUMMYFUNCTION("""COMPUTED_VALUE"""),"Abstara")</f>
        <v>Abstara</v>
      </c>
      <c r="AH92" s="32" t="b">
        <f>IFERROR(__xludf.DUMMYFUNCTION("""COMPUTED_VALUE"""),FALSE)</f>
        <v>0</v>
      </c>
      <c r="AI92" s="32"/>
      <c r="AJ92" s="32"/>
      <c r="AK92" s="32"/>
      <c r="AL92" s="32"/>
      <c r="AM92" s="32"/>
      <c r="AN92" s="32"/>
      <c r="AO92" s="32"/>
      <c r="AP92" s="32"/>
      <c r="AQ92" s="32"/>
      <c r="AR92" s="32"/>
      <c r="AS92" s="32"/>
      <c r="AT92" s="32"/>
      <c r="AU92" s="32"/>
      <c r="AV92" s="32"/>
      <c r="AW92" s="32"/>
      <c r="AX92" s="32"/>
    </row>
    <row r="93">
      <c r="A93" s="27" t="str">
        <f>IFERROR(__xludf.DUMMYFUNCTION("""COMPUTED_VALUE"""),"Dragon's Skull")</f>
        <v>Dragon's Skull</v>
      </c>
      <c r="B93" s="5" t="str">
        <f>IFERROR(__xludf.DUMMYFUNCTION("""COMPUTED_VALUE"""),"Head")</f>
        <v>Head</v>
      </c>
      <c r="C93" s="32"/>
      <c r="D93" s="5"/>
      <c r="E93" s="40">
        <f>IFERROR(__xludf.DUMMYFUNCTION("""COMPUTED_VALUE"""),200.0)</f>
        <v>200</v>
      </c>
      <c r="F93" s="44">
        <f>IFERROR(__xludf.DUMMYFUNCTION("""COMPUTED_VALUE"""),1900000.0)</f>
        <v>1900000</v>
      </c>
      <c r="G93" s="32" t="str">
        <f>IFERROR(__xludf.DUMMYFUNCTION("""COMPUTED_VALUE"""),"DEF")</f>
        <v>DEF</v>
      </c>
      <c r="H93" s="33">
        <f>IFERROR(__xludf.DUMMYFUNCTION("""COMPUTED_VALUE"""),10000.0)</f>
        <v>10000</v>
      </c>
      <c r="I93" s="32"/>
      <c r="J93" s="32"/>
      <c r="K93" s="32"/>
      <c r="L93" s="32"/>
      <c r="M93" s="32"/>
      <c r="N93" s="32"/>
      <c r="O93" s="32"/>
      <c r="P93" s="32"/>
      <c r="Q93" s="32"/>
      <c r="R93" s="32"/>
      <c r="S93" s="32"/>
      <c r="T93" s="32"/>
      <c r="U93" s="32"/>
      <c r="V93" s="32"/>
      <c r="W93" s="32"/>
      <c r="X93" s="32"/>
      <c r="Y93" s="32"/>
      <c r="Z93" s="32"/>
      <c r="AA93" s="32"/>
      <c r="AB93" s="32"/>
      <c r="AC93" s="32"/>
      <c r="AD93" s="42"/>
      <c r="AE93" s="32"/>
      <c r="AF93" s="32" t="str">
        <f>IFERROR(__xludf.DUMMYFUNCTION("""COMPUTED_VALUE"""),"++Any damage that is dealt to the wearer by a dragon is negated. ++(Dragon Tamers Cannot Wear This)")</f>
        <v>++Any damage that is dealt to the wearer by a dragon is negated. ++(Dragon Tamers Cannot Wear This)</v>
      </c>
      <c r="AG93" s="32" t="str">
        <f>IFERROR(__xludf.DUMMYFUNCTION("""COMPUTED_VALUE"""),"Land of Spira")</f>
        <v>Land of Spira</v>
      </c>
      <c r="AH93" s="32" t="b">
        <f>IFERROR(__xludf.DUMMYFUNCTION("""COMPUTED_VALUE"""),FALSE)</f>
        <v>0</v>
      </c>
      <c r="AI93" s="32"/>
      <c r="AJ93" s="32"/>
      <c r="AK93" s="32"/>
      <c r="AL93" s="32"/>
      <c r="AM93" s="32"/>
      <c r="AN93" s="32"/>
      <c r="AO93" s="32"/>
      <c r="AP93" s="32"/>
      <c r="AQ93" s="32"/>
      <c r="AR93" s="32"/>
      <c r="AS93" s="32"/>
      <c r="AT93" s="32"/>
      <c r="AU93" s="32"/>
      <c r="AV93" s="32"/>
      <c r="AW93" s="32"/>
      <c r="AX93" s="32"/>
    </row>
    <row r="94">
      <c r="A94" s="27" t="str">
        <f>IFERROR(__xludf.DUMMYFUNCTION("""COMPUTED_VALUE"""),"Dragonbone Greatsword")</f>
        <v>Dragonbone Greatsword</v>
      </c>
      <c r="B94" s="5" t="str">
        <f>IFERROR(__xludf.DUMMYFUNCTION("""COMPUTED_VALUE"""),"Hand")</f>
        <v>Hand</v>
      </c>
      <c r="C94" s="32"/>
      <c r="D94" s="5" t="str">
        <f>IFERROR(__xludf.DUMMYFUNCTION("""COMPUTED_VALUE"""),"Sword")</f>
        <v>Sword</v>
      </c>
      <c r="E94" s="40">
        <f>IFERROR(__xludf.DUMMYFUNCTION("""COMPUTED_VALUE"""),200.0)</f>
        <v>200</v>
      </c>
      <c r="F94" s="40">
        <f>IFERROR(__xludf.DUMMYFUNCTION("""COMPUTED_VALUE"""),7.194E9)</f>
        <v>7194000000</v>
      </c>
      <c r="G94" s="5" t="str">
        <f>IFERROR(__xludf.DUMMYFUNCTION("""COMPUTED_VALUE"""),"DMG")</f>
        <v>DMG</v>
      </c>
      <c r="H94" s="33">
        <f>IFERROR(__xludf.DUMMYFUNCTION("""COMPUTED_VALUE"""),100000.0)</f>
        <v>100000</v>
      </c>
      <c r="I94" s="33">
        <f>IFERROR(__xludf.DUMMYFUNCTION("""COMPUTED_VALUE"""),100000.0)</f>
        <v>100000</v>
      </c>
      <c r="J94" s="32"/>
      <c r="K94" s="32"/>
      <c r="L94" s="32"/>
      <c r="M94" s="33">
        <f>IFERROR(__xludf.DUMMYFUNCTION("""COMPUTED_VALUE"""),100000.0)</f>
        <v>100000</v>
      </c>
      <c r="N94" s="32"/>
      <c r="O94" s="33">
        <f>IFERROR(__xludf.DUMMYFUNCTION("""COMPUTED_VALUE"""),100000.0)</f>
        <v>100000</v>
      </c>
      <c r="P94" s="32"/>
      <c r="Q94" s="32"/>
      <c r="R94" s="32"/>
      <c r="S94" s="32"/>
      <c r="T94" s="32"/>
      <c r="U94" s="32"/>
      <c r="V94" s="32"/>
      <c r="W94" s="32"/>
      <c r="X94" s="32"/>
      <c r="Y94" s="33">
        <f>IFERROR(__xludf.DUMMYFUNCTION("""COMPUTED_VALUE"""),100000.0)</f>
        <v>100000</v>
      </c>
      <c r="Z94" s="32"/>
      <c r="AA94" s="32"/>
      <c r="AB94" s="32"/>
      <c r="AC94" s="33">
        <f>IFERROR(__xludf.DUMMYFUNCTION("""COMPUTED_VALUE"""),100000.0)</f>
        <v>100000</v>
      </c>
      <c r="AD94" s="42"/>
      <c r="AE94" s="32"/>
      <c r="AF94" s="32"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32" t="str">
        <f>IFERROR(__xludf.DUMMYFUNCTION("""COMPUTED_VALUE"""),"Abstara")</f>
        <v>Abstara</v>
      </c>
      <c r="AH94" s="32" t="b">
        <f>IFERROR(__xludf.DUMMYFUNCTION("""COMPUTED_VALUE"""),FALSE)</f>
        <v>0</v>
      </c>
      <c r="AI94" s="32"/>
      <c r="AJ94" s="32"/>
      <c r="AK94" s="32"/>
      <c r="AL94" s="32"/>
      <c r="AM94" s="32"/>
      <c r="AN94" s="32"/>
      <c r="AO94" s="32"/>
      <c r="AP94" s="32"/>
      <c r="AQ94" s="32"/>
      <c r="AR94" s="32"/>
      <c r="AS94" s="32"/>
      <c r="AT94" s="32"/>
      <c r="AU94" s="32"/>
      <c r="AV94" s="32"/>
      <c r="AW94" s="32"/>
      <c r="AX94" s="32"/>
    </row>
    <row r="95">
      <c r="A95" s="27" t="str">
        <f>IFERROR(__xludf.DUMMYFUNCTION("""COMPUTED_VALUE"""),"Dreading Wand Of Fire")</f>
        <v>Dreading Wand Of Fire</v>
      </c>
      <c r="B95" s="5" t="str">
        <f>IFERROR(__xludf.DUMMYFUNCTION("""COMPUTED_VALUE"""),"Hand")</f>
        <v>Hand</v>
      </c>
      <c r="C95" s="32"/>
      <c r="D95" s="5" t="str">
        <f>IFERROR(__xludf.DUMMYFUNCTION("""COMPUTED_VALUE"""),"Wand")</f>
        <v>Wand</v>
      </c>
      <c r="E95" s="40">
        <f>IFERROR(__xludf.DUMMYFUNCTION("""COMPUTED_VALUE"""),1.0)</f>
        <v>1</v>
      </c>
      <c r="F95" s="44">
        <f>IFERROR(__xludf.DUMMYFUNCTION("""COMPUTED_VALUE"""),0.0)</f>
        <v>0</v>
      </c>
      <c r="G95" s="32"/>
      <c r="H95" s="32"/>
      <c r="I95" s="32"/>
      <c r="J95" s="32"/>
      <c r="K95" s="32"/>
      <c r="L95" s="32"/>
      <c r="M95" s="32"/>
      <c r="N95" s="32"/>
      <c r="O95" s="32"/>
      <c r="P95" s="32"/>
      <c r="Q95" s="32"/>
      <c r="R95" s="32"/>
      <c r="S95" s="32"/>
      <c r="T95" s="32"/>
      <c r="U95" s="32"/>
      <c r="V95" s="32"/>
      <c r="W95" s="32"/>
      <c r="X95" s="32"/>
      <c r="Y95" s="32"/>
      <c r="Z95" s="32"/>
      <c r="AA95" s="32"/>
      <c r="AB95" s="32"/>
      <c r="AC95" s="32"/>
      <c r="AD95" s="42"/>
      <c r="AE95" s="32"/>
      <c r="AF95" s="32" t="str">
        <f>IFERROR(__xludf.DUMMYFUNCTION("""COMPUTED_VALUE"""),"++Half SP costs for fire spells")</f>
        <v>++Half SP costs for fire spells</v>
      </c>
      <c r="AG95" s="32" t="str">
        <f>IFERROR(__xludf.DUMMYFUNCTION("""COMPUTED_VALUE"""),"Land of Spira")</f>
        <v>Land of Spira</v>
      </c>
      <c r="AH95" s="32" t="b">
        <f>IFERROR(__xludf.DUMMYFUNCTION("""COMPUTED_VALUE"""),FALSE)</f>
        <v>0</v>
      </c>
      <c r="AI95" s="32"/>
      <c r="AJ95" s="32"/>
      <c r="AK95" s="32"/>
      <c r="AL95" s="32"/>
      <c r="AM95" s="32"/>
      <c r="AN95" s="32"/>
      <c r="AO95" s="32"/>
      <c r="AP95" s="32"/>
      <c r="AQ95" s="32"/>
      <c r="AR95" s="32"/>
      <c r="AS95" s="32"/>
      <c r="AT95" s="32"/>
      <c r="AU95" s="32"/>
      <c r="AV95" s="32"/>
      <c r="AW95" s="32"/>
      <c r="AX95" s="32"/>
    </row>
    <row r="96">
      <c r="A96" s="27" t="str">
        <f>IFERROR(__xludf.DUMMYFUNCTION("""COMPUTED_VALUE"""),"Dy Yu’s Plated Armor")</f>
        <v>Dy Yu’s Plated Armor</v>
      </c>
      <c r="B96" s="5" t="str">
        <f>IFERROR(__xludf.DUMMYFUNCTION("""COMPUTED_VALUE"""),"Torso")</f>
        <v>Torso</v>
      </c>
      <c r="C96" s="32"/>
      <c r="D96" s="5"/>
      <c r="E96" s="40">
        <f>IFERROR(__xludf.DUMMYFUNCTION("""COMPUTED_VALUE"""),4000.0)</f>
        <v>4000</v>
      </c>
      <c r="F96" s="44">
        <f>IFERROR(__xludf.DUMMYFUNCTION("""COMPUTED_VALUE"""),7.98E8)</f>
        <v>798000000</v>
      </c>
      <c r="G96" s="32" t="str">
        <f>IFERROR(__xludf.DUMMYFUNCTION("""COMPUTED_VALUE"""),"DEF")</f>
        <v>DEF</v>
      </c>
      <c r="H96" s="33">
        <f>IFERROR(__xludf.DUMMYFUNCTION("""COMPUTED_VALUE"""),50000.0)</f>
        <v>50000</v>
      </c>
      <c r="I96" s="33">
        <f>IFERROR(__xludf.DUMMYFUNCTION("""COMPUTED_VALUE"""),50000.0)</f>
        <v>50000</v>
      </c>
      <c r="J96" s="32"/>
      <c r="K96" s="32"/>
      <c r="L96" s="32"/>
      <c r="M96" s="33">
        <f>IFERROR(__xludf.DUMMYFUNCTION("""COMPUTED_VALUE"""),50000.0)</f>
        <v>50000</v>
      </c>
      <c r="N96" s="32"/>
      <c r="O96" s="32"/>
      <c r="P96" s="33">
        <f>IFERROR(__xludf.DUMMYFUNCTION("""COMPUTED_VALUE"""),50000.0)</f>
        <v>50000</v>
      </c>
      <c r="Q96" s="32"/>
      <c r="R96" s="32"/>
      <c r="S96" s="32"/>
      <c r="T96" s="32"/>
      <c r="U96" s="32"/>
      <c r="V96" s="32"/>
      <c r="W96" s="32"/>
      <c r="X96" s="32"/>
      <c r="Y96" s="32"/>
      <c r="Z96" s="32"/>
      <c r="AA96" s="32"/>
      <c r="AB96" s="32"/>
      <c r="AC96" s="32"/>
      <c r="AD96" s="42"/>
      <c r="AE96" s="32"/>
      <c r="AF96" s="32"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32" t="str">
        <f>IFERROR(__xludf.DUMMYFUNCTION("""COMPUTED_VALUE"""),"Land of Spira")</f>
        <v>Land of Spira</v>
      </c>
      <c r="AH96" s="32" t="b">
        <f>IFERROR(__xludf.DUMMYFUNCTION("""COMPUTED_VALUE"""),FALSE)</f>
        <v>0</v>
      </c>
      <c r="AI96" s="32"/>
      <c r="AJ96" s="32"/>
      <c r="AK96" s="32"/>
      <c r="AL96" s="32"/>
      <c r="AM96" s="32"/>
      <c r="AN96" s="32"/>
      <c r="AO96" s="32"/>
      <c r="AP96" s="32"/>
      <c r="AQ96" s="32"/>
      <c r="AR96" s="32"/>
      <c r="AS96" s="32"/>
      <c r="AT96" s="32"/>
      <c r="AU96" s="32"/>
      <c r="AV96" s="32"/>
      <c r="AW96" s="32"/>
      <c r="AX96" s="32"/>
    </row>
    <row r="97">
      <c r="A97" s="27" t="str">
        <f>IFERROR(__xludf.DUMMYFUNCTION("""COMPUTED_VALUE"""),"Easters Ring (Exclusive)")</f>
        <v>Easters Ring (Exclusive)</v>
      </c>
      <c r="B97" s="5" t="str">
        <f>IFERROR(__xludf.DUMMYFUNCTION("""COMPUTED_VALUE"""),"Ring")</f>
        <v>Ring</v>
      </c>
      <c r="C97" s="32"/>
      <c r="D97" s="5"/>
      <c r="E97" s="40">
        <f>IFERROR(__xludf.DUMMYFUNCTION("""COMPUTED_VALUE"""),1.0)</f>
        <v>1</v>
      </c>
      <c r="F97" s="44">
        <f>IFERROR(__xludf.DUMMYFUNCTION("""COMPUTED_VALUE"""),0.0)</f>
        <v>0</v>
      </c>
      <c r="G97" s="32"/>
      <c r="H97" s="32"/>
      <c r="I97" s="32"/>
      <c r="J97" s="32"/>
      <c r="K97" s="32"/>
      <c r="L97" s="32"/>
      <c r="M97" s="32"/>
      <c r="N97" s="32"/>
      <c r="O97" s="32"/>
      <c r="P97" s="32"/>
      <c r="Q97" s="32"/>
      <c r="R97" s="32"/>
      <c r="S97" s="32"/>
      <c r="T97" s="32"/>
      <c r="U97" s="32"/>
      <c r="V97" s="32"/>
      <c r="W97" s="32"/>
      <c r="X97" s="32"/>
      <c r="Y97" s="32"/>
      <c r="Z97" s="32"/>
      <c r="AA97" s="32"/>
      <c r="AB97" s="32"/>
      <c r="AC97" s="32"/>
      <c r="AD97" s="42"/>
      <c r="AE97" s="32"/>
      <c r="AF97" s="32" t="str">
        <f>IFERROR(__xludf.DUMMYFUNCTION("""COMPUTED_VALUE"""),"++Can turn one bad day of travel into a good day of travel. +-Cannot be forged")</f>
        <v>++Can turn one bad day of travel into a good day of travel. +-Cannot be forged</v>
      </c>
      <c r="AG97" s="32" t="str">
        <f>IFERROR(__xludf.DUMMYFUNCTION("""COMPUTED_VALUE"""),"Land of Spira")</f>
        <v>Land of Spira</v>
      </c>
      <c r="AH97" s="32" t="b">
        <f>IFERROR(__xludf.DUMMYFUNCTION("""COMPUTED_VALUE"""),FALSE)</f>
        <v>0</v>
      </c>
      <c r="AI97" s="32"/>
      <c r="AJ97" s="32"/>
      <c r="AK97" s="32"/>
      <c r="AL97" s="32"/>
      <c r="AM97" s="32"/>
      <c r="AN97" s="32"/>
      <c r="AO97" s="32"/>
      <c r="AP97" s="32"/>
      <c r="AQ97" s="32"/>
      <c r="AR97" s="32"/>
      <c r="AS97" s="32"/>
      <c r="AT97" s="32"/>
      <c r="AU97" s="32"/>
      <c r="AV97" s="32"/>
      <c r="AW97" s="32"/>
      <c r="AX97" s="32"/>
    </row>
    <row r="98">
      <c r="A98" s="27" t="str">
        <f>IFERROR(__xludf.DUMMYFUNCTION("""COMPUTED_VALUE"""),"Enchanted Chestplate of Defense")</f>
        <v>Enchanted Chestplate of Defense</v>
      </c>
      <c r="B98" s="5" t="str">
        <f>IFERROR(__xludf.DUMMYFUNCTION("""COMPUTED_VALUE"""),"Torso")</f>
        <v>Torso</v>
      </c>
      <c r="C98" s="32"/>
      <c r="D98" s="5"/>
      <c r="E98" s="40">
        <f>IFERROR(__xludf.DUMMYFUNCTION("""COMPUTED_VALUE"""),100.0)</f>
        <v>100</v>
      </c>
      <c r="F98" s="44">
        <f>IFERROR(__xludf.DUMMYFUNCTION("""COMPUTED_VALUE"""),450000.0)</f>
        <v>450000</v>
      </c>
      <c r="G98" s="32" t="str">
        <f>IFERROR(__xludf.DUMMYFUNCTION("""COMPUTED_VALUE"""),"DEF")</f>
        <v>DEF</v>
      </c>
      <c r="H98" s="32">
        <f>IFERROR(__xludf.DUMMYFUNCTION("""COMPUTED_VALUE"""),5000.0)</f>
        <v>5000</v>
      </c>
      <c r="I98" s="32"/>
      <c r="J98" s="32"/>
      <c r="K98" s="32"/>
      <c r="L98" s="32"/>
      <c r="M98" s="32"/>
      <c r="N98" s="32"/>
      <c r="O98" s="32"/>
      <c r="P98" s="32"/>
      <c r="Q98" s="32"/>
      <c r="R98" s="32"/>
      <c r="S98" s="32"/>
      <c r="T98" s="32"/>
      <c r="U98" s="32"/>
      <c r="V98" s="32"/>
      <c r="W98" s="32"/>
      <c r="X98" s="32"/>
      <c r="Y98" s="32"/>
      <c r="Z98" s="32"/>
      <c r="AA98" s="32"/>
      <c r="AB98" s="32"/>
      <c r="AC98" s="32"/>
      <c r="AD98" s="42"/>
      <c r="AE98" s="32"/>
      <c r="AF98" s="32" t="str">
        <f>IFERROR(__xludf.DUMMYFUNCTION("""COMPUTED_VALUE"""),"++Damage received by Spells and Weapons are reduced to half when wearing this.")</f>
        <v>++Damage received by Spells and Weapons are reduced to half when wearing this.</v>
      </c>
      <c r="AG98" s="32" t="str">
        <f>IFERROR(__xludf.DUMMYFUNCTION("""COMPUTED_VALUE"""),"Land of Spira")</f>
        <v>Land of Spira</v>
      </c>
      <c r="AH98" s="32" t="b">
        <f>IFERROR(__xludf.DUMMYFUNCTION("""COMPUTED_VALUE"""),FALSE)</f>
        <v>0</v>
      </c>
      <c r="AI98" s="32"/>
      <c r="AJ98" s="32"/>
      <c r="AK98" s="32"/>
      <c r="AL98" s="32"/>
      <c r="AM98" s="32"/>
      <c r="AN98" s="32"/>
      <c r="AO98" s="32"/>
      <c r="AP98" s="32"/>
      <c r="AQ98" s="32"/>
      <c r="AR98" s="32"/>
      <c r="AS98" s="32"/>
      <c r="AT98" s="32"/>
      <c r="AU98" s="32"/>
      <c r="AV98" s="32"/>
      <c r="AW98" s="32"/>
      <c r="AX98" s="32"/>
    </row>
    <row r="99">
      <c r="A99" s="27" t="str">
        <f>IFERROR(__xludf.DUMMYFUNCTION("""COMPUTED_VALUE"""),"Enchanted Dagger")</f>
        <v>Enchanted Dagger</v>
      </c>
      <c r="B99" s="5" t="str">
        <f>IFERROR(__xludf.DUMMYFUNCTION("""COMPUTED_VALUE"""),"Hand")</f>
        <v>Hand</v>
      </c>
      <c r="C99" s="32"/>
      <c r="D99" s="5" t="str">
        <f>IFERROR(__xludf.DUMMYFUNCTION("""COMPUTED_VALUE"""),"Knife")</f>
        <v>Knife</v>
      </c>
      <c r="E99" s="40">
        <f>IFERROR(__xludf.DUMMYFUNCTION("""COMPUTED_VALUE"""),1.0)</f>
        <v>1</v>
      </c>
      <c r="F99" s="44">
        <f>IFERROR(__xludf.DUMMYFUNCTION("""COMPUTED_VALUE"""),0.0)</f>
        <v>0</v>
      </c>
      <c r="G99" s="32"/>
      <c r="H99" s="32">
        <f>IFERROR(__xludf.DUMMYFUNCTION("""COMPUTED_VALUE"""),1.0)</f>
        <v>1</v>
      </c>
      <c r="I99" s="32"/>
      <c r="J99" s="32"/>
      <c r="K99" s="32"/>
      <c r="L99" s="32"/>
      <c r="M99" s="32"/>
      <c r="N99" s="32"/>
      <c r="O99" s="32"/>
      <c r="P99" s="32"/>
      <c r="Q99" s="32"/>
      <c r="R99" s="32"/>
      <c r="S99" s="32"/>
      <c r="T99" s="32"/>
      <c r="U99" s="32"/>
      <c r="V99" s="32"/>
      <c r="W99" s="32"/>
      <c r="X99" s="32"/>
      <c r="Y99" s="32"/>
      <c r="Z99" s="32"/>
      <c r="AA99" s="32"/>
      <c r="AB99" s="32"/>
      <c r="AC99" s="32"/>
      <c r="AD99" s="42"/>
      <c r="AE99" s="32"/>
      <c r="AF99" s="32" t="str">
        <f>IFERROR(__xludf.DUMMYFUNCTION("""COMPUTED_VALUE"""),"++100% of instantly killing the target.")</f>
        <v>++100% of instantly killing the target.</v>
      </c>
      <c r="AG99" s="32" t="str">
        <f>IFERROR(__xludf.DUMMYFUNCTION("""COMPUTED_VALUE"""),"Land of Spira")</f>
        <v>Land of Spira</v>
      </c>
      <c r="AH99" s="32" t="b">
        <f>IFERROR(__xludf.DUMMYFUNCTION("""COMPUTED_VALUE"""),FALSE)</f>
        <v>0</v>
      </c>
      <c r="AI99" s="32"/>
      <c r="AJ99" s="32"/>
      <c r="AK99" s="32"/>
      <c r="AL99" s="32"/>
      <c r="AM99" s="32"/>
      <c r="AN99" s="32"/>
      <c r="AO99" s="32"/>
      <c r="AP99" s="32"/>
      <c r="AQ99" s="32"/>
      <c r="AR99" s="32"/>
      <c r="AS99" s="32"/>
      <c r="AT99" s="32"/>
      <c r="AU99" s="32"/>
      <c r="AV99" s="32"/>
      <c r="AW99" s="32"/>
      <c r="AX99" s="32"/>
    </row>
    <row r="100">
      <c r="A100" s="27" t="str">
        <f>IFERROR(__xludf.DUMMYFUNCTION("""COMPUTED_VALUE"""),"Enchanted Falcon Blade")</f>
        <v>Enchanted Falcon Blade</v>
      </c>
      <c r="B100" s="5" t="str">
        <f>IFERROR(__xludf.DUMMYFUNCTION("""COMPUTED_VALUE"""),"Hand")</f>
        <v>Hand</v>
      </c>
      <c r="C100" s="32"/>
      <c r="D100" s="5" t="str">
        <f>IFERROR(__xludf.DUMMYFUNCTION("""COMPUTED_VALUE"""),"Sword")</f>
        <v>Sword</v>
      </c>
      <c r="E100" s="40">
        <f>IFERROR(__xludf.DUMMYFUNCTION("""COMPUTED_VALUE"""),60.0)</f>
        <v>60</v>
      </c>
      <c r="F100" s="44">
        <f>IFERROR(__xludf.DUMMYFUNCTION("""COMPUTED_VALUE"""),100000.0)</f>
        <v>100000</v>
      </c>
      <c r="G100" s="32" t="str">
        <f>IFERROR(__xludf.DUMMYFUNCTION("""COMPUTED_VALUE"""),"DMG")</f>
        <v>DMG</v>
      </c>
      <c r="H100" s="33">
        <f>IFERROR(__xludf.DUMMYFUNCTION("""COMPUTED_VALUE"""),2000.0)</f>
        <v>2000</v>
      </c>
      <c r="I100" s="32"/>
      <c r="J100" s="32"/>
      <c r="K100" s="32"/>
      <c r="L100" s="32"/>
      <c r="M100" s="32"/>
      <c r="N100" s="32"/>
      <c r="O100" s="32"/>
      <c r="P100" s="32"/>
      <c r="Q100" s="32">
        <f>IFERROR(__xludf.DUMMYFUNCTION("""COMPUTED_VALUE"""),600.0)</f>
        <v>600</v>
      </c>
      <c r="R100" s="32"/>
      <c r="S100" s="32"/>
      <c r="T100" s="32"/>
      <c r="U100" s="32"/>
      <c r="V100" s="32"/>
      <c r="W100" s="32"/>
      <c r="X100" s="32"/>
      <c r="Y100" s="32"/>
      <c r="Z100" s="32"/>
      <c r="AA100" s="32"/>
      <c r="AB100" s="32"/>
      <c r="AC100" s="32"/>
      <c r="AD100" s="42"/>
      <c r="AE100" s="32"/>
      <c r="AF100" s="32"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32" t="str">
        <f>IFERROR(__xludf.DUMMYFUNCTION("""COMPUTED_VALUE"""),"Land of Spira")</f>
        <v>Land of Spira</v>
      </c>
      <c r="AH100" s="32" t="b">
        <f>IFERROR(__xludf.DUMMYFUNCTION("""COMPUTED_VALUE"""),FALSE)</f>
        <v>0</v>
      </c>
      <c r="AI100" s="32"/>
      <c r="AJ100" s="32"/>
      <c r="AK100" s="32"/>
      <c r="AL100" s="32"/>
      <c r="AM100" s="32"/>
      <c r="AN100" s="32"/>
      <c r="AO100" s="32"/>
      <c r="AP100" s="32"/>
      <c r="AQ100" s="32"/>
      <c r="AR100" s="32"/>
      <c r="AS100" s="32"/>
      <c r="AT100" s="32"/>
      <c r="AU100" s="32"/>
      <c r="AV100" s="32"/>
      <c r="AW100" s="32"/>
      <c r="AX100" s="32"/>
    </row>
    <row r="101">
      <c r="A101" s="42" t="str">
        <f>IFERROR(__xludf.DUMMYFUNCTION("""COMPUTED_VALUE"""),"Energy Prong")</f>
        <v>Energy Prong</v>
      </c>
      <c r="B101" s="5" t="str">
        <f>IFERROR(__xludf.DUMMYFUNCTION("""COMPUTED_VALUE"""),"Hand")</f>
        <v>Hand</v>
      </c>
      <c r="C101" s="32"/>
      <c r="D101" s="5" t="str">
        <f>IFERROR(__xludf.DUMMYFUNCTION("""COMPUTED_VALUE"""),"Spear")</f>
        <v>Spear</v>
      </c>
      <c r="E101" s="40">
        <f>IFERROR(__xludf.DUMMYFUNCTION("""COMPUTED_VALUE"""),10.0)</f>
        <v>10</v>
      </c>
      <c r="F101" s="44">
        <f>IFERROR(__xludf.DUMMYFUNCTION("""COMPUTED_VALUE"""),1000.0)</f>
        <v>1000</v>
      </c>
      <c r="G101" s="32" t="str">
        <f>IFERROR(__xludf.DUMMYFUNCTION("""COMPUTED_VALUE"""),"DMG")</f>
        <v>DMG</v>
      </c>
      <c r="H101" s="32">
        <f>IFERROR(__xludf.DUMMYFUNCTION("""COMPUTED_VALUE"""),500.0)</f>
        <v>500</v>
      </c>
      <c r="I101" s="32"/>
      <c r="J101" s="32"/>
      <c r="K101" s="32"/>
      <c r="L101" s="32"/>
      <c r="M101" s="32"/>
      <c r="N101" s="32"/>
      <c r="O101" s="32"/>
      <c r="P101" s="32"/>
      <c r="Q101" s="32"/>
      <c r="R101" s="32"/>
      <c r="S101" s="32"/>
      <c r="T101" s="32"/>
      <c r="U101" s="32"/>
      <c r="V101" s="32"/>
      <c r="W101" s="32"/>
      <c r="X101" s="32"/>
      <c r="Y101" s="32"/>
      <c r="Z101" s="32"/>
      <c r="AA101" s="32"/>
      <c r="AB101" s="32"/>
      <c r="AC101" s="32"/>
      <c r="AD101" s="42"/>
      <c r="AE101" s="32"/>
      <c r="AF101" s="32" t="str">
        <f>IFERROR(__xludf.DUMMYFUNCTION("""COMPUTED_VALUE"""),"++50% chance of stun 3.")</f>
        <v>++50% chance of stun 3.</v>
      </c>
      <c r="AG101" s="32" t="str">
        <f>IFERROR(__xludf.DUMMYFUNCTION("""COMPUTED_VALUE"""),"Land of Spira")</f>
        <v>Land of Spira</v>
      </c>
      <c r="AH101" s="32" t="b">
        <f>IFERROR(__xludf.DUMMYFUNCTION("""COMPUTED_VALUE"""),FALSE)</f>
        <v>0</v>
      </c>
      <c r="AI101" s="32"/>
      <c r="AJ101" s="32"/>
      <c r="AK101" s="32"/>
      <c r="AL101" s="32"/>
      <c r="AM101" s="32"/>
      <c r="AN101" s="32"/>
      <c r="AO101" s="32"/>
      <c r="AP101" s="32"/>
      <c r="AQ101" s="32"/>
      <c r="AR101" s="32"/>
      <c r="AS101" s="32"/>
      <c r="AT101" s="32"/>
      <c r="AU101" s="32"/>
      <c r="AV101" s="32"/>
      <c r="AW101" s="32"/>
      <c r="AX101" s="32"/>
    </row>
    <row r="102">
      <c r="A102" s="27" t="str">
        <f>IFERROR(__xludf.DUMMYFUNCTION("""COMPUTED_VALUE"""),"Faery Kings Sword")</f>
        <v>Faery Kings Sword</v>
      </c>
      <c r="B102" s="5" t="str">
        <f>IFERROR(__xludf.DUMMYFUNCTION("""COMPUTED_VALUE"""),"Hand")</f>
        <v>Hand</v>
      </c>
      <c r="C102" s="32"/>
      <c r="D102" s="5" t="str">
        <f>IFERROR(__xludf.DUMMYFUNCTION("""COMPUTED_VALUE"""),"Sword")</f>
        <v>Sword</v>
      </c>
      <c r="E102" s="40">
        <f>IFERROR(__xludf.DUMMYFUNCTION("""COMPUTED_VALUE"""),200.0)</f>
        <v>200</v>
      </c>
      <c r="F102" s="40">
        <f>IFERROR(__xludf.DUMMYFUNCTION("""COMPUTED_VALUE"""),6.0445E9)</f>
        <v>6044500000</v>
      </c>
      <c r="G102" s="5" t="str">
        <f>IFERROR(__xludf.DUMMYFUNCTION("""COMPUTED_VALUE"""),"DMG")</f>
        <v>DMG</v>
      </c>
      <c r="H102" s="32">
        <f>IFERROR(__xludf.DUMMYFUNCTION("""COMPUTED_VALUE"""),500000.0)</f>
        <v>500000</v>
      </c>
      <c r="I102" s="32"/>
      <c r="J102" s="5"/>
      <c r="K102" s="32"/>
      <c r="L102" s="32"/>
      <c r="M102" s="32"/>
      <c r="N102" s="32"/>
      <c r="O102" s="32"/>
      <c r="P102" s="32"/>
      <c r="Q102" s="32"/>
      <c r="R102" s="32"/>
      <c r="S102" s="32">
        <f>IFERROR(__xludf.DUMMYFUNCTION("""COMPUTED_VALUE"""),25000.0)</f>
        <v>25000</v>
      </c>
      <c r="T102" s="32"/>
      <c r="U102" s="32"/>
      <c r="V102" s="32"/>
      <c r="W102" s="32"/>
      <c r="X102" s="32"/>
      <c r="Y102" s="32"/>
      <c r="Z102" s="32"/>
      <c r="AA102" s="32"/>
      <c r="AB102" s="32"/>
      <c r="AC102" s="32">
        <f>IFERROR(__xludf.DUMMYFUNCTION("""COMPUTED_VALUE"""),25000.0)</f>
        <v>25000</v>
      </c>
      <c r="AD102" s="46"/>
      <c r="AE102" s="32"/>
      <c r="AF102" s="32"/>
      <c r="AG102" s="32" t="str">
        <f>IFERROR(__xludf.DUMMYFUNCTION("""COMPUTED_VALUE"""),"Land of Spira")</f>
        <v>Land of Spira</v>
      </c>
      <c r="AH102" s="32" t="b">
        <f>IFERROR(__xludf.DUMMYFUNCTION("""COMPUTED_VALUE"""),TRUE)</f>
        <v>1</v>
      </c>
      <c r="AI102" s="32"/>
      <c r="AJ102" s="32"/>
      <c r="AK102" s="32"/>
      <c r="AL102" s="32"/>
      <c r="AM102" s="32"/>
      <c r="AN102" s="32"/>
      <c r="AO102" s="32"/>
      <c r="AP102" s="32"/>
      <c r="AQ102" s="32"/>
      <c r="AR102" s="32"/>
      <c r="AS102" s="32"/>
      <c r="AT102" s="32"/>
      <c r="AU102" s="32"/>
      <c r="AV102" s="32"/>
      <c r="AW102" s="32"/>
      <c r="AX102" s="32"/>
    </row>
    <row r="103">
      <c r="A103" s="27" t="str">
        <f>IFERROR(__xludf.DUMMYFUNCTION("""COMPUTED_VALUE"""),"False Helmet")</f>
        <v>False Helmet</v>
      </c>
      <c r="B103" s="5" t="str">
        <f>IFERROR(__xludf.DUMMYFUNCTION("""COMPUTED_VALUE"""),"Head")</f>
        <v>Head</v>
      </c>
      <c r="C103" s="32"/>
      <c r="D103" s="5"/>
      <c r="E103" s="40">
        <f>IFERROR(__xludf.DUMMYFUNCTION("""COMPUTED_VALUE"""),1.0)</f>
        <v>1</v>
      </c>
      <c r="F103" s="44">
        <f>IFERROR(__xludf.DUMMYFUNCTION("""COMPUTED_VALUE"""),0.0)</f>
        <v>0</v>
      </c>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46"/>
      <c r="AE103" s="32"/>
      <c r="AF103" s="32" t="str">
        <f>IFERROR(__xludf.DUMMYFUNCTION("""COMPUTED_VALUE"""),"++ ++5 Intimidation, ++ - 2 Charisma. +-Cannot be forged +-Cannot be duplicated.")</f>
        <v>++ ++5 Intimidation, ++ - 2 Charisma. +-Cannot be forged +-Cannot be duplicated.</v>
      </c>
      <c r="AG103" s="32" t="str">
        <f>IFERROR(__xludf.DUMMYFUNCTION("""COMPUTED_VALUE"""),"Land of Spira")</f>
        <v>Land of Spira</v>
      </c>
      <c r="AH103" s="32" t="b">
        <f>IFERROR(__xludf.DUMMYFUNCTION("""COMPUTED_VALUE"""),FALSE)</f>
        <v>0</v>
      </c>
      <c r="AI103" s="32"/>
      <c r="AJ103" s="32"/>
      <c r="AK103" s="32"/>
      <c r="AL103" s="32"/>
      <c r="AM103" s="32"/>
      <c r="AN103" s="32"/>
      <c r="AO103" s="32"/>
      <c r="AP103" s="32"/>
      <c r="AQ103" s="32"/>
      <c r="AR103" s="32"/>
      <c r="AS103" s="32"/>
      <c r="AT103" s="32"/>
      <c r="AU103" s="32"/>
      <c r="AV103" s="32"/>
      <c r="AW103" s="32"/>
      <c r="AX103" s="32"/>
    </row>
    <row r="104">
      <c r="A104" s="27" t="str">
        <f>IFERROR(__xludf.DUMMYFUNCTION("""COMPUTED_VALUE"""),"Felt Cap")</f>
        <v>Felt Cap</v>
      </c>
      <c r="B104" s="5" t="str">
        <f>IFERROR(__xludf.DUMMYFUNCTION("""COMPUTED_VALUE"""),"Head")</f>
        <v>Head</v>
      </c>
      <c r="C104" s="32"/>
      <c r="D104" s="5"/>
      <c r="E104" s="40">
        <f>IFERROR(__xludf.DUMMYFUNCTION("""COMPUTED_VALUE"""),1.0)</f>
        <v>1</v>
      </c>
      <c r="F104" s="40">
        <f>IFERROR(__xludf.DUMMYFUNCTION("""COMPUTED_VALUE"""),0.0)</f>
        <v>0</v>
      </c>
      <c r="G104" s="5"/>
      <c r="H104" s="32"/>
      <c r="I104" s="32"/>
      <c r="J104" s="32"/>
      <c r="K104" s="32"/>
      <c r="L104" s="32"/>
      <c r="M104" s="32"/>
      <c r="N104" s="32"/>
      <c r="O104" s="32"/>
      <c r="P104" s="32"/>
      <c r="Q104" s="32"/>
      <c r="R104" s="32"/>
      <c r="S104" s="32"/>
      <c r="T104" s="32"/>
      <c r="U104" s="32"/>
      <c r="V104" s="32"/>
      <c r="W104" s="32"/>
      <c r="X104" s="32"/>
      <c r="Y104" s="32"/>
      <c r="Z104" s="32"/>
      <c r="AA104" s="32"/>
      <c r="AB104" s="32"/>
      <c r="AC104" s="32"/>
      <c r="AD104" s="46"/>
      <c r="AE104" s="32"/>
      <c r="AF104" s="32" t="str">
        <f>IFERROR(__xludf.DUMMYFUNCTION("""COMPUTED_VALUE"""),"++ -1 Evasion ++ +2 Intimidation, +-Can only wear one, +-Cannot be duplicated.")</f>
        <v>++ -1 Evasion ++ +2 Intimidation, +-Can only wear one, +-Cannot be duplicated.</v>
      </c>
      <c r="AG104" s="32" t="str">
        <f>IFERROR(__xludf.DUMMYFUNCTION("""COMPUTED_VALUE"""),"Land of Spira")</f>
        <v>Land of Spira</v>
      </c>
      <c r="AH104" s="32" t="b">
        <f>IFERROR(__xludf.DUMMYFUNCTION("""COMPUTED_VALUE"""),FALSE)</f>
        <v>0</v>
      </c>
      <c r="AI104" s="32"/>
      <c r="AJ104" s="32"/>
      <c r="AK104" s="32"/>
      <c r="AL104" s="32"/>
      <c r="AM104" s="32"/>
      <c r="AN104" s="32"/>
      <c r="AO104" s="32"/>
      <c r="AP104" s="32"/>
      <c r="AQ104" s="32"/>
      <c r="AR104" s="32"/>
      <c r="AS104" s="32"/>
      <c r="AT104" s="32"/>
      <c r="AU104" s="32"/>
      <c r="AV104" s="32"/>
      <c r="AW104" s="32"/>
      <c r="AX104" s="32"/>
    </row>
    <row r="105">
      <c r="A105" s="27" t="str">
        <f>IFERROR(__xludf.DUMMYFUNCTION("""COMPUTED_VALUE"""),"Fire Resistant Boots")</f>
        <v>Fire Resistant Boots</v>
      </c>
      <c r="B105" s="5" t="str">
        <f>IFERROR(__xludf.DUMMYFUNCTION("""COMPUTED_VALUE"""),"Feet")</f>
        <v>Feet</v>
      </c>
      <c r="C105" s="32"/>
      <c r="D105" s="5"/>
      <c r="E105" s="40">
        <f>IFERROR(__xludf.DUMMYFUNCTION("""COMPUTED_VALUE"""),200.0)</f>
        <v>200</v>
      </c>
      <c r="F105" s="40">
        <f>IFERROR(__xludf.DUMMYFUNCTION("""COMPUTED_VALUE"""),1900000.0)</f>
        <v>1900000</v>
      </c>
      <c r="G105" s="5" t="str">
        <f>IFERROR(__xludf.DUMMYFUNCTION("""COMPUTED_VALUE"""),"DEF")</f>
        <v>DEF</v>
      </c>
      <c r="H105" s="32"/>
      <c r="I105" s="33">
        <f>IFERROR(__xludf.DUMMYFUNCTION("""COMPUTED_VALUE"""),10000.0)</f>
        <v>10000</v>
      </c>
      <c r="J105" s="32"/>
      <c r="K105" s="32"/>
      <c r="L105" s="32"/>
      <c r="M105" s="32"/>
      <c r="N105" s="32"/>
      <c r="O105" s="32"/>
      <c r="P105" s="32"/>
      <c r="Q105" s="32"/>
      <c r="R105" s="32"/>
      <c r="S105" s="32"/>
      <c r="T105" s="32"/>
      <c r="U105" s="32"/>
      <c r="V105" s="32"/>
      <c r="W105" s="32"/>
      <c r="X105" s="32"/>
      <c r="Y105" s="32"/>
      <c r="Z105" s="32"/>
      <c r="AA105" s="32"/>
      <c r="AB105" s="32"/>
      <c r="AC105" s="32"/>
      <c r="AD105" s="5"/>
      <c r="AE105" s="32"/>
      <c r="AF105" s="32" t="str">
        <f>IFERROR(__xludf.DUMMYFUNCTION("""COMPUTED_VALUE"""),"++Fire Immune, ++X2 Additional fire damage. +-Cannot be duplicated.")</f>
        <v>++Fire Immune, ++X2 Additional fire damage. +-Cannot be duplicated.</v>
      </c>
      <c r="AG105" s="32" t="str">
        <f>IFERROR(__xludf.DUMMYFUNCTION("""COMPUTED_VALUE"""),"Land of Spira")</f>
        <v>Land of Spira</v>
      </c>
      <c r="AH105" s="32" t="b">
        <f>IFERROR(__xludf.DUMMYFUNCTION("""COMPUTED_VALUE"""),FALSE)</f>
        <v>0</v>
      </c>
      <c r="AI105" s="32"/>
      <c r="AJ105" s="32"/>
      <c r="AK105" s="32"/>
      <c r="AL105" s="32"/>
      <c r="AM105" s="32"/>
      <c r="AN105" s="32"/>
      <c r="AO105" s="32"/>
      <c r="AP105" s="32"/>
      <c r="AQ105" s="32"/>
      <c r="AR105" s="32"/>
      <c r="AS105" s="32"/>
      <c r="AT105" s="32"/>
      <c r="AU105" s="32"/>
      <c r="AV105" s="32"/>
      <c r="AW105" s="32"/>
      <c r="AX105" s="32"/>
    </row>
    <row r="106">
      <c r="A106" s="27" t="str">
        <f>IFERROR(__xludf.DUMMYFUNCTION("""COMPUTED_VALUE"""),"Fire Ring")</f>
        <v>Fire Ring</v>
      </c>
      <c r="B106" s="5" t="str">
        <f>IFERROR(__xludf.DUMMYFUNCTION("""COMPUTED_VALUE"""),"Ring")</f>
        <v>Ring</v>
      </c>
      <c r="C106" s="32"/>
      <c r="D106" s="5"/>
      <c r="E106" s="40">
        <f>IFERROR(__xludf.DUMMYFUNCTION("""COMPUTED_VALUE"""),1.0)</f>
        <v>1</v>
      </c>
      <c r="F106" s="44">
        <f>IFERROR(__xludf.DUMMYFUNCTION("""COMPUTED_VALUE"""),0.0)</f>
        <v>0</v>
      </c>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46"/>
      <c r="AE106" s="32"/>
      <c r="AF106" s="32" t="str">
        <f>IFERROR(__xludf.DUMMYFUNCTION("""COMPUTED_VALUE"""),"++Fire Immune, ++X2 Additional fire damage. +-Cannot be duplicated.")</f>
        <v>++Fire Immune, ++X2 Additional fire damage. +-Cannot be duplicated.</v>
      </c>
      <c r="AG106" s="32" t="str">
        <f>IFERROR(__xludf.DUMMYFUNCTION("""COMPUTED_VALUE"""),"Land of Spira")</f>
        <v>Land of Spira</v>
      </c>
      <c r="AH106" s="32" t="b">
        <f>IFERROR(__xludf.DUMMYFUNCTION("""COMPUTED_VALUE"""),FALSE)</f>
        <v>0</v>
      </c>
      <c r="AI106" s="32"/>
      <c r="AJ106" s="32"/>
      <c r="AK106" s="32"/>
      <c r="AL106" s="32"/>
      <c r="AM106" s="32"/>
      <c r="AN106" s="32"/>
      <c r="AO106" s="32"/>
      <c r="AP106" s="32"/>
      <c r="AQ106" s="32"/>
      <c r="AR106" s="32"/>
      <c r="AS106" s="32"/>
      <c r="AT106" s="32"/>
      <c r="AU106" s="32"/>
      <c r="AV106" s="32"/>
      <c r="AW106" s="32"/>
      <c r="AX106" s="32"/>
    </row>
    <row r="107">
      <c r="A107" s="27" t="str">
        <f>IFERROR(__xludf.DUMMYFUNCTION("""COMPUTED_VALUE"""),"Fire Shield")</f>
        <v>Fire Shield</v>
      </c>
      <c r="B107" s="5" t="str">
        <f>IFERROR(__xludf.DUMMYFUNCTION("""COMPUTED_VALUE"""),"Hand")</f>
        <v>Hand</v>
      </c>
      <c r="C107" s="32"/>
      <c r="D107" s="5" t="str">
        <f>IFERROR(__xludf.DUMMYFUNCTION("""COMPUTED_VALUE"""),"Towershield")</f>
        <v>Towershield</v>
      </c>
      <c r="E107" s="40">
        <f>IFERROR(__xludf.DUMMYFUNCTION("""COMPUTED_VALUE"""),200.0)</f>
        <v>200</v>
      </c>
      <c r="F107" s="44">
        <f>IFERROR(__xludf.DUMMYFUNCTION("""COMPUTED_VALUE"""),1900000.0)</f>
        <v>1900000</v>
      </c>
      <c r="G107" s="32" t="str">
        <f>IFERROR(__xludf.DUMMYFUNCTION("""COMPUTED_VALUE"""),"DEF")</f>
        <v>DEF</v>
      </c>
      <c r="H107" s="32">
        <f>IFERROR(__xludf.DUMMYFUNCTION("""COMPUTED_VALUE"""),5000.0)</f>
        <v>5000</v>
      </c>
      <c r="I107" s="32">
        <f>IFERROR(__xludf.DUMMYFUNCTION("""COMPUTED_VALUE"""),5000.0)</f>
        <v>5000</v>
      </c>
      <c r="J107" s="32"/>
      <c r="K107" s="32"/>
      <c r="L107" s="32"/>
      <c r="M107" s="32"/>
      <c r="N107" s="32"/>
      <c r="O107" s="32"/>
      <c r="P107" s="32"/>
      <c r="Q107" s="32"/>
      <c r="R107" s="32"/>
      <c r="S107" s="32"/>
      <c r="T107" s="32"/>
      <c r="U107" s="32"/>
      <c r="V107" s="32"/>
      <c r="W107" s="32"/>
      <c r="X107" s="32"/>
      <c r="Y107" s="32"/>
      <c r="Z107" s="32"/>
      <c r="AA107" s="32"/>
      <c r="AB107" s="32"/>
      <c r="AC107" s="32"/>
      <c r="AD107" s="46"/>
      <c r="AE107" s="32"/>
      <c r="AF107" s="32" t="str">
        <f>IFERROR(__xludf.DUMMYFUNCTION("""COMPUTED_VALUE"""),"++ Immunity to Fire, ++X2 Additional fire resistance. +-Cannot be duplicated.")</f>
        <v>++ Immunity to Fire, ++X2 Additional fire resistance. +-Cannot be duplicated.</v>
      </c>
      <c r="AG107" s="32" t="str">
        <f>IFERROR(__xludf.DUMMYFUNCTION("""COMPUTED_VALUE"""),"Land of Spira")</f>
        <v>Land of Spira</v>
      </c>
      <c r="AH107" s="32" t="b">
        <f>IFERROR(__xludf.DUMMYFUNCTION("""COMPUTED_VALUE"""),FALSE)</f>
        <v>0</v>
      </c>
      <c r="AI107" s="32"/>
      <c r="AJ107" s="32"/>
      <c r="AK107" s="32"/>
      <c r="AL107" s="32"/>
      <c r="AM107" s="32"/>
      <c r="AN107" s="32"/>
      <c r="AO107" s="32"/>
      <c r="AP107" s="32"/>
      <c r="AQ107" s="32"/>
      <c r="AR107" s="32"/>
      <c r="AS107" s="32"/>
      <c r="AT107" s="32"/>
      <c r="AU107" s="32"/>
      <c r="AV107" s="32"/>
      <c r="AW107" s="32"/>
      <c r="AX107" s="32"/>
    </row>
    <row r="108">
      <c r="A108" s="42" t="str">
        <f>IFERROR(__xludf.DUMMYFUNCTION("""COMPUTED_VALUE"""),"Fire Sword")</f>
        <v>Fire Sword</v>
      </c>
      <c r="B108" s="5" t="str">
        <f>IFERROR(__xludf.DUMMYFUNCTION("""COMPUTED_VALUE"""),"Hand")</f>
        <v>Hand</v>
      </c>
      <c r="C108" s="32"/>
      <c r="D108" s="5" t="str">
        <f>IFERROR(__xludf.DUMMYFUNCTION("""COMPUTED_VALUE"""),"Sword")</f>
        <v>Sword</v>
      </c>
      <c r="E108" s="40">
        <f>IFERROR(__xludf.DUMMYFUNCTION("""COMPUTED_VALUE"""),200.0)</f>
        <v>200</v>
      </c>
      <c r="F108" s="40">
        <f>IFERROR(__xludf.DUMMYFUNCTION("""COMPUTED_VALUE"""),1900000.0)</f>
        <v>1900000</v>
      </c>
      <c r="G108" s="5" t="str">
        <f>IFERROR(__xludf.DUMMYFUNCTION("""COMPUTED_VALUE"""),"DMG")</f>
        <v>DMG</v>
      </c>
      <c r="H108" s="32">
        <f>IFERROR(__xludf.DUMMYFUNCTION("""COMPUTED_VALUE"""),5000.0)</f>
        <v>5000</v>
      </c>
      <c r="I108" s="32">
        <f>IFERROR(__xludf.DUMMYFUNCTION("""COMPUTED_VALUE"""),5000.0)</f>
        <v>5000</v>
      </c>
      <c r="J108" s="32"/>
      <c r="K108" s="32"/>
      <c r="L108" s="32"/>
      <c r="M108" s="32"/>
      <c r="N108" s="32"/>
      <c r="O108" s="32"/>
      <c r="P108" s="32"/>
      <c r="Q108" s="32"/>
      <c r="R108" s="32"/>
      <c r="S108" s="32"/>
      <c r="T108" s="32"/>
      <c r="U108" s="32"/>
      <c r="V108" s="32"/>
      <c r="W108" s="32"/>
      <c r="X108" s="32"/>
      <c r="Y108" s="32"/>
      <c r="Z108" s="32"/>
      <c r="AA108" s="32"/>
      <c r="AB108" s="32"/>
      <c r="AC108" s="32"/>
      <c r="AD108" s="47"/>
      <c r="AE108" s="32"/>
      <c r="AF108" s="32" t="str">
        <f>IFERROR(__xludf.DUMMYFUNCTION("""COMPUTED_VALUE"""),"++X2 Additional Fire damage. Burn 2500. Cannot be duplicated.")</f>
        <v>++X2 Additional Fire damage. Burn 2500. Cannot be duplicated.</v>
      </c>
      <c r="AG108" s="32" t="str">
        <f>IFERROR(__xludf.DUMMYFUNCTION("""COMPUTED_VALUE"""),"Land of Spira")</f>
        <v>Land of Spira</v>
      </c>
      <c r="AH108" s="32" t="b">
        <f>IFERROR(__xludf.DUMMYFUNCTION("""COMPUTED_VALUE"""),FALSE)</f>
        <v>0</v>
      </c>
      <c r="AI108" s="32"/>
      <c r="AJ108" s="32"/>
      <c r="AK108" s="32"/>
      <c r="AL108" s="32"/>
      <c r="AM108" s="32"/>
      <c r="AN108" s="32"/>
      <c r="AO108" s="32"/>
      <c r="AP108" s="32"/>
      <c r="AQ108" s="32"/>
      <c r="AR108" s="32"/>
      <c r="AS108" s="32"/>
      <c r="AT108" s="32"/>
      <c r="AU108" s="32"/>
      <c r="AV108" s="32"/>
      <c r="AW108" s="32"/>
      <c r="AX108" s="32"/>
    </row>
    <row r="109">
      <c r="A109" s="27" t="str">
        <f>IFERROR(__xludf.DUMMYFUNCTION("""COMPUTED_VALUE"""),"Fireproof Suit")</f>
        <v>Fireproof Suit</v>
      </c>
      <c r="B109" s="5" t="str">
        <f>IFERROR(__xludf.DUMMYFUNCTION("""COMPUTED_VALUE"""),"Torso")</f>
        <v>Torso</v>
      </c>
      <c r="C109" s="32"/>
      <c r="D109" s="5"/>
      <c r="E109" s="40">
        <f>IFERROR(__xludf.DUMMYFUNCTION("""COMPUTED_VALUE"""),400.0)</f>
        <v>400</v>
      </c>
      <c r="F109" s="40">
        <f>IFERROR(__xludf.DUMMYFUNCTION("""COMPUTED_VALUE"""),7800000.0)</f>
        <v>7800000</v>
      </c>
      <c r="G109" s="5" t="str">
        <f>IFERROR(__xludf.DUMMYFUNCTION("""COMPUTED_VALUE"""),"DEF")</f>
        <v>DEF</v>
      </c>
      <c r="H109" s="32">
        <f>IFERROR(__xludf.DUMMYFUNCTION("""COMPUTED_VALUE"""),5000.0)</f>
        <v>5000</v>
      </c>
      <c r="I109" s="33">
        <f>IFERROR(__xludf.DUMMYFUNCTION("""COMPUTED_VALUE"""),15000.0)</f>
        <v>15000</v>
      </c>
      <c r="J109" s="32"/>
      <c r="K109" s="32"/>
      <c r="L109" s="32"/>
      <c r="M109" s="32"/>
      <c r="N109" s="32"/>
      <c r="O109" s="32"/>
      <c r="P109" s="32"/>
      <c r="Q109" s="32"/>
      <c r="R109" s="32"/>
      <c r="S109" s="32"/>
      <c r="T109" s="32"/>
      <c r="U109" s="32"/>
      <c r="V109" s="32"/>
      <c r="W109" s="32"/>
      <c r="X109" s="32"/>
      <c r="Y109" s="32"/>
      <c r="Z109" s="32"/>
      <c r="AA109" s="32"/>
      <c r="AB109" s="32"/>
      <c r="AC109" s="32"/>
      <c r="AD109" s="42"/>
      <c r="AE109" s="32"/>
      <c r="AF109" s="32" t="str">
        <f>IFERROR(__xludf.DUMMYFUNCTION("""COMPUTED_VALUE"""),"Fire Immune, X2 Additional fire resistance. Cannot be duplicated.")</f>
        <v>Fire Immune, X2 Additional fire resistance. Cannot be duplicated.</v>
      </c>
      <c r="AG109" s="32" t="str">
        <f>IFERROR(__xludf.DUMMYFUNCTION("""COMPUTED_VALUE"""),"Land of Spira")</f>
        <v>Land of Spira</v>
      </c>
      <c r="AH109" s="32" t="b">
        <f>IFERROR(__xludf.DUMMYFUNCTION("""COMPUTED_VALUE"""),FALSE)</f>
        <v>0</v>
      </c>
      <c r="AI109" s="32"/>
      <c r="AJ109" s="32"/>
      <c r="AK109" s="32"/>
      <c r="AL109" s="32"/>
      <c r="AM109" s="32"/>
      <c r="AN109" s="32"/>
      <c r="AO109" s="32"/>
      <c r="AP109" s="32"/>
      <c r="AQ109" s="32"/>
      <c r="AR109" s="32"/>
      <c r="AS109" s="32"/>
      <c r="AT109" s="32"/>
      <c r="AU109" s="32"/>
      <c r="AV109" s="32"/>
      <c r="AW109" s="32"/>
      <c r="AX109" s="32"/>
    </row>
    <row r="110">
      <c r="A110" s="27" t="str">
        <f>IFERROR(__xludf.DUMMYFUNCTION("""COMPUTED_VALUE"""),"Fish Pendant")</f>
        <v>Fish Pendant</v>
      </c>
      <c r="B110" s="5" t="str">
        <f>IFERROR(__xludf.DUMMYFUNCTION("""COMPUTED_VALUE"""),"Neck")</f>
        <v>Neck</v>
      </c>
      <c r="C110" s="32"/>
      <c r="D110" s="5"/>
      <c r="E110" s="40">
        <f>IFERROR(__xludf.DUMMYFUNCTION("""COMPUTED_VALUE"""),1.0)</f>
        <v>1</v>
      </c>
      <c r="F110" s="40">
        <f>IFERROR(__xludf.DUMMYFUNCTION("""COMPUTED_VALUE"""),0.0)</f>
        <v>0</v>
      </c>
      <c r="G110" s="5"/>
      <c r="H110" s="32"/>
      <c r="I110" s="32"/>
      <c r="J110" s="32"/>
      <c r="K110" s="32"/>
      <c r="L110" s="32"/>
      <c r="M110" s="32"/>
      <c r="N110" s="32"/>
      <c r="O110" s="32"/>
      <c r="P110" s="32"/>
      <c r="Q110" s="32"/>
      <c r="R110" s="32"/>
      <c r="S110" s="32"/>
      <c r="T110" s="32"/>
      <c r="U110" s="32"/>
      <c r="V110" s="32"/>
      <c r="W110" s="32"/>
      <c r="X110" s="32"/>
      <c r="Y110" s="32"/>
      <c r="Z110" s="32"/>
      <c r="AA110" s="32"/>
      <c r="AB110" s="32"/>
      <c r="AC110" s="32"/>
      <c r="AD110" s="42"/>
      <c r="AE110" s="32"/>
      <c r="AF110" s="32" t="str">
        <f>IFERROR(__xludf.DUMMYFUNCTION("""COMPUTED_VALUE"""),"++Choose the rarity of the fish when fishing +-Cannot be forged +-Cannot be duplicated +-Can only equip one")</f>
        <v>++Choose the rarity of the fish when fishing +-Cannot be forged +-Cannot be duplicated +-Can only equip one</v>
      </c>
      <c r="AG110" s="32" t="str">
        <f>IFERROR(__xludf.DUMMYFUNCTION("""COMPUTED_VALUE"""),"Land of Spira")</f>
        <v>Land of Spira</v>
      </c>
      <c r="AH110" s="32" t="b">
        <f>IFERROR(__xludf.DUMMYFUNCTION("""COMPUTED_VALUE"""),FALSE)</f>
        <v>0</v>
      </c>
      <c r="AI110" s="32"/>
      <c r="AJ110" s="32"/>
      <c r="AK110" s="32"/>
      <c r="AL110" s="32"/>
      <c r="AM110" s="32"/>
      <c r="AN110" s="32"/>
      <c r="AO110" s="32"/>
      <c r="AP110" s="32"/>
      <c r="AQ110" s="32"/>
      <c r="AR110" s="32"/>
      <c r="AS110" s="32"/>
      <c r="AT110" s="32"/>
      <c r="AU110" s="32"/>
      <c r="AV110" s="32"/>
      <c r="AW110" s="32"/>
      <c r="AX110" s="32"/>
    </row>
    <row r="111">
      <c r="A111" s="27" t="str">
        <f>IFERROR(__xludf.DUMMYFUNCTION("""COMPUTED_VALUE"""),"Flame Band")</f>
        <v>Flame Band</v>
      </c>
      <c r="B111" s="5" t="str">
        <f>IFERROR(__xludf.DUMMYFUNCTION("""COMPUTED_VALUE"""),"Arms")</f>
        <v>Arms</v>
      </c>
      <c r="C111" s="32"/>
      <c r="D111" s="5"/>
      <c r="E111" s="40">
        <f>IFERROR(__xludf.DUMMYFUNCTION("""COMPUTED_VALUE"""),1.0)</f>
        <v>1</v>
      </c>
      <c r="F111" s="40">
        <f>IFERROR(__xludf.DUMMYFUNCTION("""COMPUTED_VALUE"""),0.0)</f>
        <v>0</v>
      </c>
      <c r="G111" s="5" t="str">
        <f>IFERROR(__xludf.DUMMYFUNCTION("""COMPUTED_VALUE"""),"DMG")</f>
        <v>DMG</v>
      </c>
      <c r="H111" s="32"/>
      <c r="I111" s="32"/>
      <c r="J111" s="32"/>
      <c r="K111" s="32"/>
      <c r="L111" s="32"/>
      <c r="M111" s="32"/>
      <c r="N111" s="32"/>
      <c r="O111" s="32"/>
      <c r="P111" s="32"/>
      <c r="Q111" s="32"/>
      <c r="R111" s="32"/>
      <c r="S111" s="32"/>
      <c r="T111" s="32"/>
      <c r="U111" s="32"/>
      <c r="V111" s="32"/>
      <c r="W111" s="32"/>
      <c r="X111" s="32"/>
      <c r="Y111" s="32"/>
      <c r="Z111" s="32"/>
      <c r="AA111" s="32"/>
      <c r="AB111" s="32"/>
      <c r="AC111" s="32"/>
      <c r="AD111" s="46"/>
      <c r="AE111" s="32"/>
      <c r="AF111" s="32" t="str">
        <f>IFERROR(__xludf.DUMMYFUNCTION("""COMPUTED_VALUE"""),"Fire Immune, X2 Additional fire damage. +-Cannot be duplicated")</f>
        <v>Fire Immune, X2 Additional fire damage. +-Cannot be duplicated</v>
      </c>
      <c r="AG111" s="32" t="str">
        <f>IFERROR(__xludf.DUMMYFUNCTION("""COMPUTED_VALUE"""),"Land of Spira")</f>
        <v>Land of Spira</v>
      </c>
      <c r="AH111" s="32" t="b">
        <f>IFERROR(__xludf.DUMMYFUNCTION("""COMPUTED_VALUE"""),FALSE)</f>
        <v>0</v>
      </c>
      <c r="AI111" s="32"/>
      <c r="AJ111" s="32"/>
      <c r="AK111" s="32"/>
      <c r="AL111" s="32"/>
      <c r="AM111" s="32"/>
      <c r="AN111" s="32"/>
      <c r="AO111" s="32"/>
      <c r="AP111" s="32"/>
      <c r="AQ111" s="32"/>
      <c r="AR111" s="32"/>
      <c r="AS111" s="32"/>
      <c r="AT111" s="32"/>
      <c r="AU111" s="32"/>
      <c r="AV111" s="32"/>
      <c r="AW111" s="32"/>
      <c r="AX111" s="32"/>
    </row>
    <row r="112">
      <c r="A112" s="27" t="str">
        <f>IFERROR(__xludf.DUMMYFUNCTION("""COMPUTED_VALUE"""),"Flame Mask")</f>
        <v>Flame Mask</v>
      </c>
      <c r="B112" s="5" t="str">
        <f>IFERROR(__xludf.DUMMYFUNCTION("""COMPUTED_VALUE"""),"Head")</f>
        <v>Head</v>
      </c>
      <c r="C112" s="32"/>
      <c r="D112" s="5"/>
      <c r="E112" s="40">
        <f>IFERROR(__xludf.DUMMYFUNCTION("""COMPUTED_VALUE"""),130.0)</f>
        <v>130</v>
      </c>
      <c r="F112" s="40">
        <f>IFERROR(__xludf.DUMMYFUNCTION("""COMPUTED_VALUE"""),780000.0)</f>
        <v>780000</v>
      </c>
      <c r="G112" s="5" t="str">
        <f>IFERROR(__xludf.DUMMYFUNCTION("""COMPUTED_VALUE"""),"DEF")</f>
        <v>DEF</v>
      </c>
      <c r="H112" s="32">
        <f>IFERROR(__xludf.DUMMYFUNCTION("""COMPUTED_VALUE"""),5000.0)</f>
        <v>5000</v>
      </c>
      <c r="I112" s="33">
        <f>IFERROR(__xludf.DUMMYFUNCTION("""COMPUTED_VALUE"""),1500.0)</f>
        <v>1500</v>
      </c>
      <c r="J112" s="32"/>
      <c r="K112" s="32"/>
      <c r="L112" s="32"/>
      <c r="M112" s="32"/>
      <c r="N112" s="32"/>
      <c r="O112" s="32"/>
      <c r="P112" s="32"/>
      <c r="Q112" s="32"/>
      <c r="R112" s="32"/>
      <c r="S112" s="32"/>
      <c r="T112" s="32"/>
      <c r="U112" s="32"/>
      <c r="V112" s="32"/>
      <c r="W112" s="32"/>
      <c r="X112" s="32"/>
      <c r="Y112" s="32"/>
      <c r="Z112" s="32"/>
      <c r="AA112" s="32"/>
      <c r="AB112" s="32"/>
      <c r="AC112" s="32"/>
      <c r="AD112" s="42"/>
      <c r="AE112" s="32"/>
      <c r="AF112" s="32" t="str">
        <f>IFERROR(__xludf.DUMMYFUNCTION("""COMPUTED_VALUE"""),"++Fire Immunity, ++X2 Additional fire resistance. +-Cannot be duplicated.")</f>
        <v>++Fire Immunity, ++X2 Additional fire resistance. +-Cannot be duplicated.</v>
      </c>
      <c r="AG112" s="32" t="str">
        <f>IFERROR(__xludf.DUMMYFUNCTION("""COMPUTED_VALUE"""),"Land of Spira")</f>
        <v>Land of Spira</v>
      </c>
      <c r="AH112" s="32" t="b">
        <f>IFERROR(__xludf.DUMMYFUNCTION("""COMPUTED_VALUE"""),FALSE)</f>
        <v>0</v>
      </c>
      <c r="AI112" s="32"/>
      <c r="AJ112" s="32"/>
      <c r="AK112" s="32"/>
      <c r="AL112" s="32"/>
      <c r="AM112" s="32"/>
      <c r="AN112" s="32"/>
      <c r="AO112" s="32"/>
      <c r="AP112" s="32"/>
      <c r="AQ112" s="32"/>
      <c r="AR112" s="32"/>
      <c r="AS112" s="32"/>
      <c r="AT112" s="32"/>
      <c r="AU112" s="32"/>
      <c r="AV112" s="32"/>
      <c r="AW112" s="32"/>
      <c r="AX112" s="32"/>
    </row>
    <row r="113">
      <c r="A113" s="27" t="str">
        <f>IFERROR(__xludf.DUMMYFUNCTION("""COMPUTED_VALUE"""),"Flamethrower")</f>
        <v>Flamethrower</v>
      </c>
      <c r="B113" s="5" t="str">
        <f>IFERROR(__xludf.DUMMYFUNCTION("""COMPUTED_VALUE"""),"Hand")</f>
        <v>Hand</v>
      </c>
      <c r="C113" s="32"/>
      <c r="D113" s="5" t="str">
        <f>IFERROR(__xludf.DUMMYFUNCTION("""COMPUTED_VALUE"""),"Firearm")</f>
        <v>Firearm</v>
      </c>
      <c r="E113" s="40">
        <f>IFERROR(__xludf.DUMMYFUNCTION("""COMPUTED_VALUE"""),700.0)</f>
        <v>700</v>
      </c>
      <c r="F113" s="44">
        <f>IFERROR(__xludf.DUMMYFUNCTION("""COMPUTED_VALUE"""),2.415E7)</f>
        <v>24150000</v>
      </c>
      <c r="G113" s="32" t="str">
        <f>IFERROR(__xludf.DUMMYFUNCTION("""COMPUTED_VALUE"""),"DMG")</f>
        <v>DMG</v>
      </c>
      <c r="H113" s="32"/>
      <c r="I113" s="33">
        <f>IFERROR(__xludf.DUMMYFUNCTION("""COMPUTED_VALUE"""),35000.0)</f>
        <v>35000</v>
      </c>
      <c r="J113" s="32"/>
      <c r="K113" s="32"/>
      <c r="L113" s="32"/>
      <c r="M113" s="32"/>
      <c r="N113" s="32"/>
      <c r="O113" s="32"/>
      <c r="P113" s="32"/>
      <c r="Q113" s="32"/>
      <c r="R113" s="32"/>
      <c r="S113" s="32"/>
      <c r="T113" s="32"/>
      <c r="U113" s="32"/>
      <c r="V113" s="32"/>
      <c r="W113" s="32"/>
      <c r="X113" s="32"/>
      <c r="Y113" s="32"/>
      <c r="Z113" s="32"/>
      <c r="AA113" s="32"/>
      <c r="AB113" s="32"/>
      <c r="AC113" s="32"/>
      <c r="AD113" s="47"/>
      <c r="AE113" s="32"/>
      <c r="AF113" s="32" t="str">
        <f>IFERROR(__xludf.DUMMYFUNCTION("""COMPUTED_VALUE"""),"++20% chance of hitting all enemies")</f>
        <v>++20% chance of hitting all enemies</v>
      </c>
      <c r="AG113" s="32" t="str">
        <f>IFERROR(__xludf.DUMMYFUNCTION("""COMPUTED_VALUE"""),"Land of Spira")</f>
        <v>Land of Spira</v>
      </c>
      <c r="AH113" s="32" t="b">
        <f>IFERROR(__xludf.DUMMYFUNCTION("""COMPUTED_VALUE"""),FALSE)</f>
        <v>0</v>
      </c>
      <c r="AI113" s="32"/>
      <c r="AJ113" s="32"/>
      <c r="AK113" s="32"/>
      <c r="AL113" s="32"/>
      <c r="AM113" s="32"/>
      <c r="AN113" s="32"/>
      <c r="AO113" s="32"/>
      <c r="AP113" s="32"/>
      <c r="AQ113" s="32"/>
      <c r="AR113" s="32"/>
      <c r="AS113" s="32"/>
      <c r="AT113" s="32"/>
      <c r="AU113" s="32"/>
      <c r="AV113" s="32"/>
      <c r="AW113" s="32"/>
      <c r="AX113" s="32"/>
    </row>
    <row r="114">
      <c r="A114" s="27" t="str">
        <f>IFERROR(__xludf.DUMMYFUNCTION("""COMPUTED_VALUE"""),"Flaming Sword")</f>
        <v>Flaming Sword</v>
      </c>
      <c r="B114" s="5" t="str">
        <f>IFERROR(__xludf.DUMMYFUNCTION("""COMPUTED_VALUE"""),"Hand")</f>
        <v>Hand</v>
      </c>
      <c r="C114" s="32"/>
      <c r="D114" s="5" t="str">
        <f>IFERROR(__xludf.DUMMYFUNCTION("""COMPUTED_VALUE"""),"Sword")</f>
        <v>Sword</v>
      </c>
      <c r="E114" s="40">
        <f>IFERROR(__xludf.DUMMYFUNCTION("""COMPUTED_VALUE"""),300.0)</f>
        <v>300</v>
      </c>
      <c r="F114" s="44">
        <f>IFERROR(__xludf.DUMMYFUNCTION("""COMPUTED_VALUE"""),4350000.0)</f>
        <v>4350000</v>
      </c>
      <c r="G114" s="32" t="str">
        <f>IFERROR(__xludf.DUMMYFUNCTION("""COMPUTED_VALUE"""),"DMG")</f>
        <v>DMG</v>
      </c>
      <c r="H114" s="32">
        <f>IFERROR(__xludf.DUMMYFUNCTION("""COMPUTED_VALUE"""),5000.0)</f>
        <v>5000</v>
      </c>
      <c r="I114" s="32">
        <f>IFERROR(__xludf.DUMMYFUNCTION("""COMPUTED_VALUE"""),5000.0)</f>
        <v>5000</v>
      </c>
      <c r="J114" s="32"/>
      <c r="K114" s="32"/>
      <c r="L114" s="32"/>
      <c r="M114" s="32"/>
      <c r="N114" s="32"/>
      <c r="O114" s="32"/>
      <c r="P114" s="32"/>
      <c r="Q114" s="32"/>
      <c r="R114" s="32"/>
      <c r="S114" s="32">
        <f>IFERROR(__xludf.DUMMYFUNCTION("""COMPUTED_VALUE"""),5000.0)</f>
        <v>5000</v>
      </c>
      <c r="T114" s="32"/>
      <c r="U114" s="32"/>
      <c r="V114" s="32"/>
      <c r="W114" s="32"/>
      <c r="X114" s="32"/>
      <c r="Y114" s="32"/>
      <c r="Z114" s="32"/>
      <c r="AA114" s="32"/>
      <c r="AB114" s="32"/>
      <c r="AC114" s="32"/>
      <c r="AD114" s="47"/>
      <c r="AE114" s="32"/>
      <c r="AF114" s="32" t="str">
        <f>IFERROR(__xludf.DUMMYFUNCTION("""COMPUTED_VALUE"""),"++Burn 1000")</f>
        <v>++Burn 1000</v>
      </c>
      <c r="AG114" s="32" t="str">
        <f>IFERROR(__xludf.DUMMYFUNCTION("""COMPUTED_VALUE"""),"Land of Spira")</f>
        <v>Land of Spira</v>
      </c>
      <c r="AH114" s="32" t="b">
        <f>IFERROR(__xludf.DUMMYFUNCTION("""COMPUTED_VALUE"""),FALSE)</f>
        <v>0</v>
      </c>
      <c r="AI114" s="32"/>
      <c r="AJ114" s="32"/>
      <c r="AK114" s="32"/>
      <c r="AL114" s="32"/>
      <c r="AM114" s="32"/>
      <c r="AN114" s="32"/>
      <c r="AO114" s="32"/>
      <c r="AP114" s="32"/>
      <c r="AQ114" s="32"/>
      <c r="AR114" s="32"/>
      <c r="AS114" s="32"/>
      <c r="AT114" s="32"/>
      <c r="AU114" s="32"/>
      <c r="AV114" s="32"/>
      <c r="AW114" s="32"/>
      <c r="AX114" s="32"/>
    </row>
    <row r="115">
      <c r="A115" s="5" t="str">
        <f>IFERROR(__xludf.DUMMYFUNCTION("""COMPUTED_VALUE"""),"Foul Night Blade")</f>
        <v>Foul Night Blade</v>
      </c>
      <c r="B115" s="5" t="str">
        <f>IFERROR(__xludf.DUMMYFUNCTION("""COMPUTED_VALUE"""),"Hand")</f>
        <v>Hand</v>
      </c>
      <c r="C115" s="32"/>
      <c r="D115" s="5" t="str">
        <f>IFERROR(__xludf.DUMMYFUNCTION("""COMPUTED_VALUE"""),"Sword")</f>
        <v>Sword</v>
      </c>
      <c r="E115" s="40">
        <f>IFERROR(__xludf.DUMMYFUNCTION("""COMPUTED_VALUE"""),200.0)</f>
        <v>200</v>
      </c>
      <c r="F115" s="40">
        <f>IFERROR(__xludf.DUMMYFUNCTION("""COMPUTED_VALUE"""),1900000.0)</f>
        <v>1900000</v>
      </c>
      <c r="G115" s="5" t="str">
        <f>IFERROR(__xludf.DUMMYFUNCTION("""COMPUTED_VALUE"""),"DMG")</f>
        <v>DMG</v>
      </c>
      <c r="H115" s="32">
        <f>IFERROR(__xludf.DUMMYFUNCTION("""COMPUTED_VALUE"""),5000.0)</f>
        <v>5000</v>
      </c>
      <c r="I115" s="32"/>
      <c r="J115" s="32"/>
      <c r="K115" s="32"/>
      <c r="L115" s="32"/>
      <c r="M115" s="32"/>
      <c r="N115" s="5"/>
      <c r="O115" s="32"/>
      <c r="P115" s="32"/>
      <c r="Q115" s="32"/>
      <c r="R115" s="32"/>
      <c r="S115" s="32">
        <f>IFERROR(__xludf.DUMMYFUNCTION("""COMPUTED_VALUE"""),5000.0)</f>
        <v>5000</v>
      </c>
      <c r="T115" s="32"/>
      <c r="U115" s="32"/>
      <c r="V115" s="32"/>
      <c r="W115" s="32"/>
      <c r="X115" s="32"/>
      <c r="Y115" s="32"/>
      <c r="Z115" s="32"/>
      <c r="AA115" s="32"/>
      <c r="AB115" s="32"/>
      <c r="AC115" s="32"/>
      <c r="AD115" s="32"/>
      <c r="AE115" s="32"/>
      <c r="AF115" s="32"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32" t="str">
        <f>IFERROR(__xludf.DUMMYFUNCTION("""COMPUTED_VALUE"""),"Land of Spira")</f>
        <v>Land of Spira</v>
      </c>
      <c r="AH115" s="32" t="b">
        <f>IFERROR(__xludf.DUMMYFUNCTION("""COMPUTED_VALUE"""),FALSE)</f>
        <v>0</v>
      </c>
      <c r="AI115" s="32"/>
      <c r="AJ115" s="32"/>
      <c r="AK115" s="32"/>
      <c r="AL115" s="32"/>
      <c r="AM115" s="32"/>
      <c r="AN115" s="32"/>
      <c r="AO115" s="32"/>
      <c r="AP115" s="32"/>
      <c r="AQ115" s="32"/>
      <c r="AR115" s="32"/>
      <c r="AS115" s="32"/>
      <c r="AT115" s="32"/>
      <c r="AU115" s="32"/>
      <c r="AV115" s="32"/>
      <c r="AW115" s="32"/>
      <c r="AX115" s="32"/>
    </row>
    <row r="116">
      <c r="A116" s="5" t="str">
        <f>IFERROR(__xludf.DUMMYFUNCTION("""COMPUTED_VALUE"""),"Freezing Chains")</f>
        <v>Freezing Chains</v>
      </c>
      <c r="B116" s="5" t="str">
        <f>IFERROR(__xludf.DUMMYFUNCTION("""COMPUTED_VALUE"""),"Hand")</f>
        <v>Hand</v>
      </c>
      <c r="C116" s="32"/>
      <c r="D116" s="5" t="str">
        <f>IFERROR(__xludf.DUMMYFUNCTION("""COMPUTED_VALUE"""),"Club")</f>
        <v>Club</v>
      </c>
      <c r="E116" s="40">
        <f>IFERROR(__xludf.DUMMYFUNCTION("""COMPUTED_VALUE"""),200.0)</f>
        <v>200</v>
      </c>
      <c r="F116" s="40">
        <f>IFERROR(__xludf.DUMMYFUNCTION("""COMPUTED_VALUE"""),1900000.0)</f>
        <v>1900000</v>
      </c>
      <c r="G116" s="5" t="str">
        <f>IFERROR(__xludf.DUMMYFUNCTION("""COMPUTED_VALUE"""),"DMG")</f>
        <v>DMG</v>
      </c>
      <c r="H116" s="32">
        <f>IFERROR(__xludf.DUMMYFUNCTION("""COMPUTED_VALUE"""),5000.0)</f>
        <v>5000</v>
      </c>
      <c r="I116" s="32"/>
      <c r="J116" s="32"/>
      <c r="K116" s="32">
        <f>IFERROR(__xludf.DUMMYFUNCTION("""COMPUTED_VALUE"""),5000.0)</f>
        <v>5000</v>
      </c>
      <c r="L116" s="32"/>
      <c r="M116" s="32"/>
      <c r="N116" s="32"/>
      <c r="O116" s="32"/>
      <c r="P116" s="32"/>
      <c r="Q116" s="32"/>
      <c r="R116" s="32"/>
      <c r="S116" s="32"/>
      <c r="T116" s="32"/>
      <c r="U116" s="32"/>
      <c r="V116" s="32"/>
      <c r="W116" s="32"/>
      <c r="X116" s="32"/>
      <c r="Y116" s="32"/>
      <c r="Z116" s="32"/>
      <c r="AA116" s="32"/>
      <c r="AB116" s="32"/>
      <c r="AC116" s="32"/>
      <c r="AD116" s="5"/>
      <c r="AE116" s="32"/>
      <c r="AF116" s="32" t="str">
        <f>IFERROR(__xludf.DUMMYFUNCTION("""COMPUTED_VALUE"""),"++Frost Bind- binds the target freezing them until the end of their next turn")</f>
        <v>++Frost Bind- binds the target freezing them until the end of their next turn</v>
      </c>
      <c r="AG116" s="32" t="str">
        <f>IFERROR(__xludf.DUMMYFUNCTION("""COMPUTED_VALUE"""),"Land of Spira")</f>
        <v>Land of Spira</v>
      </c>
      <c r="AH116" s="32" t="b">
        <f>IFERROR(__xludf.DUMMYFUNCTION("""COMPUTED_VALUE"""),FALSE)</f>
        <v>0</v>
      </c>
      <c r="AI116" s="32"/>
      <c r="AJ116" s="32"/>
      <c r="AK116" s="32"/>
      <c r="AL116" s="32"/>
      <c r="AM116" s="32"/>
      <c r="AN116" s="32"/>
      <c r="AO116" s="32"/>
      <c r="AP116" s="32"/>
      <c r="AQ116" s="32"/>
      <c r="AR116" s="32"/>
      <c r="AS116" s="32"/>
      <c r="AT116" s="32"/>
      <c r="AU116" s="32"/>
      <c r="AV116" s="32"/>
      <c r="AW116" s="32"/>
      <c r="AX116" s="32"/>
    </row>
    <row r="117">
      <c r="A117" s="5" t="str">
        <f>IFERROR(__xludf.DUMMYFUNCTION("""COMPUTED_VALUE"""),"Frost Bow")</f>
        <v>Frost Bow</v>
      </c>
      <c r="B117" s="5" t="str">
        <f>IFERROR(__xludf.DUMMYFUNCTION("""COMPUTED_VALUE"""),"Hand")</f>
        <v>Hand</v>
      </c>
      <c r="C117" s="32"/>
      <c r="D117" s="5" t="str">
        <f>IFERROR(__xludf.DUMMYFUNCTION("""COMPUTED_VALUE"""),"Bow")</f>
        <v>Bow</v>
      </c>
      <c r="E117" s="40">
        <f>IFERROR(__xludf.DUMMYFUNCTION("""COMPUTED_VALUE"""),180.0)</f>
        <v>180</v>
      </c>
      <c r="F117" s="44">
        <f>IFERROR(__xludf.DUMMYFUNCTION("""COMPUTED_VALUE"""),1530000.0)</f>
        <v>1530000</v>
      </c>
      <c r="G117" s="32" t="str">
        <f>IFERROR(__xludf.DUMMYFUNCTION("""COMPUTED_VALUE"""),"DMG")</f>
        <v>DMG</v>
      </c>
      <c r="H117" s="32">
        <f>IFERROR(__xludf.DUMMYFUNCTION("""COMPUTED_VALUE"""),5000.0)</f>
        <v>5000</v>
      </c>
      <c r="I117" s="32"/>
      <c r="J117" s="32"/>
      <c r="K117" s="32">
        <f>IFERROR(__xludf.DUMMYFUNCTION("""COMPUTED_VALUE"""),4000.0)</f>
        <v>4000</v>
      </c>
      <c r="L117" s="32"/>
      <c r="M117" s="32"/>
      <c r="N117" s="32"/>
      <c r="O117" s="32"/>
      <c r="P117" s="32"/>
      <c r="Q117" s="32"/>
      <c r="R117" s="32"/>
      <c r="S117" s="32"/>
      <c r="T117" s="32"/>
      <c r="U117" s="32"/>
      <c r="V117" s="32"/>
      <c r="W117" s="32"/>
      <c r="X117" s="32"/>
      <c r="Y117" s="32"/>
      <c r="Z117" s="32"/>
      <c r="AA117" s="32"/>
      <c r="AB117" s="32"/>
      <c r="AC117" s="32"/>
      <c r="AD117" s="42"/>
      <c r="AE117" s="32"/>
      <c r="AF117" s="32" t="str">
        <f>IFERROR(__xludf.DUMMYFUNCTION("""COMPUTED_VALUE"""),"++Arrows Used with this bow have a 50% chance to freeze the target(s)")</f>
        <v>++Arrows Used with this bow have a 50% chance to freeze the target(s)</v>
      </c>
      <c r="AG117" s="32" t="str">
        <f>IFERROR(__xludf.DUMMYFUNCTION("""COMPUTED_VALUE"""),"Land of Spira")</f>
        <v>Land of Spira</v>
      </c>
      <c r="AH117" s="32" t="b">
        <f>IFERROR(__xludf.DUMMYFUNCTION("""COMPUTED_VALUE"""),FALSE)</f>
        <v>0</v>
      </c>
      <c r="AI117" s="32"/>
      <c r="AJ117" s="32"/>
      <c r="AK117" s="32"/>
      <c r="AL117" s="32"/>
      <c r="AM117" s="32"/>
      <c r="AN117" s="32"/>
      <c r="AO117" s="32"/>
      <c r="AP117" s="32"/>
      <c r="AQ117" s="32"/>
      <c r="AR117" s="32"/>
      <c r="AS117" s="32"/>
      <c r="AT117" s="32"/>
      <c r="AU117" s="32"/>
      <c r="AV117" s="32"/>
      <c r="AW117" s="32"/>
      <c r="AX117" s="32"/>
    </row>
    <row r="118">
      <c r="A118" s="5" t="str">
        <f>IFERROR(__xludf.DUMMYFUNCTION("""COMPUTED_VALUE"""),"Frost Cloak")</f>
        <v>Frost Cloak</v>
      </c>
      <c r="B118" s="5" t="str">
        <f>IFERROR(__xludf.DUMMYFUNCTION("""COMPUTED_VALUE"""),"Torso")</f>
        <v>Torso</v>
      </c>
      <c r="C118" s="32"/>
      <c r="D118" s="5"/>
      <c r="E118" s="40">
        <f>IFERROR(__xludf.DUMMYFUNCTION("""COMPUTED_VALUE"""),1.0)</f>
        <v>1</v>
      </c>
      <c r="F118" s="40">
        <f>IFERROR(__xludf.DUMMYFUNCTION("""COMPUTED_VALUE"""),0.0)</f>
        <v>0</v>
      </c>
      <c r="G118" s="5"/>
      <c r="H118" s="32"/>
      <c r="I118" s="32"/>
      <c r="J118" s="32"/>
      <c r="K118" s="32"/>
      <c r="L118" s="32"/>
      <c r="M118" s="32"/>
      <c r="N118" s="32"/>
      <c r="O118" s="32"/>
      <c r="P118" s="32"/>
      <c r="Q118" s="32"/>
      <c r="R118" s="32"/>
      <c r="S118" s="32"/>
      <c r="T118" s="32"/>
      <c r="U118" s="32"/>
      <c r="V118" s="32"/>
      <c r="W118" s="32"/>
      <c r="X118" s="32"/>
      <c r="Y118" s="32"/>
      <c r="Z118" s="32"/>
      <c r="AA118" s="32"/>
      <c r="AB118" s="32"/>
      <c r="AC118" s="32"/>
      <c r="AD118" s="42"/>
      <c r="AE118" s="32"/>
      <c r="AF118" s="32" t="str">
        <f>IFERROR(__xludf.DUMMYFUNCTION("""COMPUTED_VALUE"""),"(Frost Mage Set) ++When caster is hit by an enemy,the enemy is frozen for 5r/s caster,s cloak last for 3 r/s 90 sp")</f>
        <v>(Frost Mage Set) ++When caster is hit by an enemy,the enemy is frozen for 5r/s caster,s cloak last for 3 r/s 90 sp</v>
      </c>
      <c r="AG118" s="32" t="str">
        <f>IFERROR(__xludf.DUMMYFUNCTION("""COMPUTED_VALUE"""),"Land of Spira")</f>
        <v>Land of Spira</v>
      </c>
      <c r="AH118" s="32" t="b">
        <f>IFERROR(__xludf.DUMMYFUNCTION("""COMPUTED_VALUE"""),FALSE)</f>
        <v>0</v>
      </c>
      <c r="AI118" s="32"/>
      <c r="AJ118" s="32"/>
      <c r="AK118" s="32"/>
      <c r="AL118" s="32"/>
      <c r="AM118" s="32"/>
      <c r="AN118" s="32"/>
      <c r="AO118" s="32"/>
      <c r="AP118" s="32"/>
      <c r="AQ118" s="32"/>
      <c r="AR118" s="32"/>
      <c r="AS118" s="32"/>
      <c r="AT118" s="32"/>
      <c r="AU118" s="32"/>
      <c r="AV118" s="32"/>
      <c r="AW118" s="32"/>
      <c r="AX118" s="32"/>
    </row>
    <row r="119">
      <c r="A119" s="5" t="str">
        <f>IFERROR(__xludf.DUMMYFUNCTION("""COMPUTED_VALUE"""),"Frost Spear")</f>
        <v>Frost Spear</v>
      </c>
      <c r="B119" s="5" t="str">
        <f>IFERROR(__xludf.DUMMYFUNCTION("""COMPUTED_VALUE"""),"Hand")</f>
        <v>Hand</v>
      </c>
      <c r="C119" s="32" t="str">
        <f>IFERROR(__xludf.DUMMYFUNCTION("""COMPUTED_VALUE"""),"Event Exclusive")</f>
        <v>Event Exclusive</v>
      </c>
      <c r="D119" s="5" t="str">
        <f>IFERROR(__xludf.DUMMYFUNCTION("""COMPUTED_VALUE"""),"Spear")</f>
        <v>Spear</v>
      </c>
      <c r="E119" s="40">
        <f>IFERROR(__xludf.DUMMYFUNCTION("""COMPUTED_VALUE"""),1000.0)</f>
        <v>1000</v>
      </c>
      <c r="F119" s="40">
        <f>IFERROR(__xludf.DUMMYFUNCTION("""COMPUTED_VALUE"""),4.95E7)</f>
        <v>49500000</v>
      </c>
      <c r="G119" s="5" t="str">
        <f>IFERROR(__xludf.DUMMYFUNCTION("""COMPUTED_VALUE"""),"DMG")</f>
        <v>DMG</v>
      </c>
      <c r="H119" s="32">
        <f>IFERROR(__xludf.DUMMYFUNCTION("""COMPUTED_VALUE"""),25000.0)</f>
        <v>25000</v>
      </c>
      <c r="I119" s="32"/>
      <c r="J119" s="32"/>
      <c r="K119" s="32"/>
      <c r="L119" s="32">
        <f>IFERROR(__xludf.DUMMYFUNCTION("""COMPUTED_VALUE"""),25000.0)</f>
        <v>25000</v>
      </c>
      <c r="M119" s="32"/>
      <c r="N119" s="5"/>
      <c r="O119" s="32"/>
      <c r="P119" s="32"/>
      <c r="Q119" s="5"/>
      <c r="R119" s="32"/>
      <c r="S119" s="32"/>
      <c r="T119" s="32"/>
      <c r="U119" s="32"/>
      <c r="V119" s="32"/>
      <c r="W119" s="32"/>
      <c r="X119" s="32"/>
      <c r="Y119" s="32"/>
      <c r="Z119" s="32"/>
      <c r="AA119" s="32"/>
      <c r="AB119" s="32"/>
      <c r="AC119" s="32"/>
      <c r="AD119" s="32"/>
      <c r="AE119" s="32"/>
      <c r="AF119" s="32" t="str">
        <f>IFERROR(__xludf.DUMMYFUNCTION("""COMPUTED_VALUE"""),"(The Frozen Spear Master Set) ++50% chance to freeze any enemies hit with this weapon")</f>
        <v>(The Frozen Spear Master Set) ++50% chance to freeze any enemies hit with this weapon</v>
      </c>
      <c r="AG119" s="32" t="str">
        <f>IFERROR(__xludf.DUMMYFUNCTION("""COMPUTED_VALUE"""),"Land of Spira")</f>
        <v>Land of Spira</v>
      </c>
      <c r="AH119" s="32" t="b">
        <f>IFERROR(__xludf.DUMMYFUNCTION("""COMPUTED_VALUE"""),TRUE)</f>
        <v>1</v>
      </c>
      <c r="AI119" s="32"/>
      <c r="AJ119" s="32"/>
      <c r="AK119" s="32"/>
      <c r="AL119" s="32"/>
      <c r="AM119" s="32"/>
      <c r="AN119" s="32"/>
      <c r="AO119" s="32"/>
      <c r="AP119" s="32"/>
      <c r="AQ119" s="32"/>
      <c r="AR119" s="32"/>
      <c r="AS119" s="32"/>
      <c r="AT119" s="32"/>
      <c r="AU119" s="32"/>
      <c r="AV119" s="32"/>
      <c r="AW119" s="32"/>
      <c r="AX119" s="32"/>
    </row>
    <row r="120">
      <c r="A120" s="5" t="str">
        <f>IFERROR(__xludf.DUMMYFUNCTION("""COMPUTED_VALUE"""),"Frozen Carrot Dagger")</f>
        <v>Frozen Carrot Dagger</v>
      </c>
      <c r="B120" s="5" t="str">
        <f>IFERROR(__xludf.DUMMYFUNCTION("""COMPUTED_VALUE"""),"Hand")</f>
        <v>Hand</v>
      </c>
      <c r="C120" s="32" t="str">
        <f>IFERROR(__xludf.DUMMYFUNCTION("""COMPUTED_VALUE"""),"Event Exclusive")</f>
        <v>Event Exclusive</v>
      </c>
      <c r="D120" s="5" t="str">
        <f>IFERROR(__xludf.DUMMYFUNCTION("""COMPUTED_VALUE"""),"Knife")</f>
        <v>Knife</v>
      </c>
      <c r="E120" s="40">
        <f>IFERROR(__xludf.DUMMYFUNCTION("""COMPUTED_VALUE"""),200.0)</f>
        <v>200</v>
      </c>
      <c r="F120" s="40">
        <f>IFERROR(__xludf.DUMMYFUNCTION("""COMPUTED_VALUE"""),1900000.0)</f>
        <v>1900000</v>
      </c>
      <c r="G120" s="5" t="str">
        <f>IFERROR(__xludf.DUMMYFUNCTION("""COMPUTED_VALUE"""),"DMG")</f>
        <v>DMG</v>
      </c>
      <c r="H120" s="32">
        <f>IFERROR(__xludf.DUMMYFUNCTION("""COMPUTED_VALUE"""),5000.0)</f>
        <v>5000</v>
      </c>
      <c r="I120" s="32"/>
      <c r="J120" s="32"/>
      <c r="K120" s="32">
        <f>IFERROR(__xludf.DUMMYFUNCTION("""COMPUTED_VALUE"""),5000.0)</f>
        <v>5000</v>
      </c>
      <c r="L120" s="32"/>
      <c r="M120" s="32"/>
      <c r="N120" s="32"/>
      <c r="O120" s="32"/>
      <c r="P120" s="32"/>
      <c r="Q120" s="32"/>
      <c r="R120" s="32"/>
      <c r="S120" s="32"/>
      <c r="T120" s="32"/>
      <c r="U120" s="32"/>
      <c r="V120" s="32"/>
      <c r="W120" s="32"/>
      <c r="X120" s="32"/>
      <c r="Y120" s="32"/>
      <c r="Z120" s="32"/>
      <c r="AA120" s="32"/>
      <c r="AB120" s="32"/>
      <c r="AC120" s="32"/>
      <c r="AD120" s="42"/>
      <c r="AE120" s="32"/>
      <c r="AF120" s="32"/>
      <c r="AG120" s="32" t="str">
        <f>IFERROR(__xludf.DUMMYFUNCTION("""COMPUTED_VALUE"""),"Land of Spira")</f>
        <v>Land of Spira</v>
      </c>
      <c r="AH120" s="32" t="b">
        <f>IFERROR(__xludf.DUMMYFUNCTION("""COMPUTED_VALUE"""),TRUE)</f>
        <v>1</v>
      </c>
      <c r="AI120" s="32"/>
      <c r="AJ120" s="32"/>
      <c r="AK120" s="32"/>
      <c r="AL120" s="32"/>
      <c r="AM120" s="32"/>
      <c r="AN120" s="32"/>
      <c r="AO120" s="32"/>
      <c r="AP120" s="32"/>
      <c r="AQ120" s="32"/>
      <c r="AR120" s="32"/>
      <c r="AS120" s="32"/>
      <c r="AT120" s="32"/>
      <c r="AU120" s="32"/>
      <c r="AV120" s="32"/>
      <c r="AW120" s="32"/>
      <c r="AX120" s="32"/>
    </row>
    <row r="121">
      <c r="A121" s="5" t="str">
        <f>IFERROR(__xludf.DUMMYFUNCTION("""COMPUTED_VALUE"""),"Frozen Falchion")</f>
        <v>Frozen Falchion</v>
      </c>
      <c r="B121" s="5" t="str">
        <f>IFERROR(__xludf.DUMMYFUNCTION("""COMPUTED_VALUE"""),"Hand")</f>
        <v>Hand</v>
      </c>
      <c r="C121" s="32"/>
      <c r="D121" s="5" t="str">
        <f>IFERROR(__xludf.DUMMYFUNCTION("""COMPUTED_VALUE"""),"Sword")</f>
        <v>Sword</v>
      </c>
      <c r="E121" s="40">
        <f>IFERROR(__xludf.DUMMYFUNCTION("""COMPUTED_VALUE"""),400.0)</f>
        <v>400</v>
      </c>
      <c r="F121" s="40">
        <f>IFERROR(__xludf.DUMMYFUNCTION("""COMPUTED_VALUE"""),7800000.0)</f>
        <v>7800000</v>
      </c>
      <c r="G121" s="41" t="str">
        <f>IFERROR(__xludf.DUMMYFUNCTION("""COMPUTED_VALUE"""),"DMG")</f>
        <v>DMG</v>
      </c>
      <c r="H121" s="33">
        <f>IFERROR(__xludf.DUMMYFUNCTION("""COMPUTED_VALUE"""),10000.0)</f>
        <v>10000</v>
      </c>
      <c r="I121" s="32"/>
      <c r="J121" s="32"/>
      <c r="K121" s="33">
        <f>IFERROR(__xludf.DUMMYFUNCTION("""COMPUTED_VALUE"""),10000.0)</f>
        <v>10000</v>
      </c>
      <c r="L121" s="32"/>
      <c r="M121" s="32"/>
      <c r="N121" s="5"/>
      <c r="O121" s="32"/>
      <c r="P121" s="32"/>
      <c r="Q121" s="5"/>
      <c r="R121" s="32"/>
      <c r="S121" s="32"/>
      <c r="T121" s="32"/>
      <c r="U121" s="32"/>
      <c r="V121" s="32"/>
      <c r="W121" s="32"/>
      <c r="X121" s="32"/>
      <c r="Y121" s="32"/>
      <c r="Z121" s="32"/>
      <c r="AA121" s="32"/>
      <c r="AB121" s="32"/>
      <c r="AC121" s="32"/>
      <c r="AD121" s="42"/>
      <c r="AE121" s="32"/>
      <c r="AF121" s="32"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32" t="str">
        <f>IFERROR(__xludf.DUMMYFUNCTION("""COMPUTED_VALUE"""),"Land of Spira")</f>
        <v>Land of Spira</v>
      </c>
      <c r="AH121" s="32" t="b">
        <f>IFERROR(__xludf.DUMMYFUNCTION("""COMPUTED_VALUE"""),FALSE)</f>
        <v>0</v>
      </c>
      <c r="AI121" s="32"/>
      <c r="AJ121" s="32"/>
      <c r="AK121" s="32"/>
      <c r="AL121" s="32"/>
      <c r="AM121" s="32"/>
      <c r="AN121" s="32"/>
      <c r="AO121" s="32"/>
      <c r="AP121" s="32"/>
      <c r="AQ121" s="32"/>
      <c r="AR121" s="32"/>
      <c r="AS121" s="32"/>
      <c r="AT121" s="32"/>
      <c r="AU121" s="32"/>
      <c r="AV121" s="32"/>
      <c r="AW121" s="32"/>
      <c r="AX121" s="32"/>
    </row>
    <row r="122">
      <c r="A122" s="5" t="str">
        <f>IFERROR(__xludf.DUMMYFUNCTION("""COMPUTED_VALUE"""),"Frozen Soul Lantern")</f>
        <v>Frozen Soul Lantern</v>
      </c>
      <c r="B122" s="5" t="str">
        <f>IFERROR(__xludf.DUMMYFUNCTION("""COMPUTED_VALUE"""),"Hand")</f>
        <v>Hand</v>
      </c>
      <c r="C122" s="32"/>
      <c r="D122" s="5" t="str">
        <f>IFERROR(__xludf.DUMMYFUNCTION("""COMPUTED_VALUE"""),"Wand")</f>
        <v>Wand</v>
      </c>
      <c r="E122" s="40">
        <f>IFERROR(__xludf.DUMMYFUNCTION("""COMPUTED_VALUE"""),1.0)</f>
        <v>1</v>
      </c>
      <c r="F122" s="44">
        <f>IFERROR(__xludf.DUMMYFUNCTION("""COMPUTED_VALUE"""),0.0)</f>
        <v>0</v>
      </c>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42"/>
      <c r="AE122" s="32"/>
      <c r="AF122" s="32"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32" t="str">
        <f>IFERROR(__xludf.DUMMYFUNCTION("""COMPUTED_VALUE"""),"Land of Spira")</f>
        <v>Land of Spira</v>
      </c>
      <c r="AH122" s="32" t="b">
        <f>IFERROR(__xludf.DUMMYFUNCTION("""COMPUTED_VALUE"""),FALSE)</f>
        <v>0</v>
      </c>
      <c r="AI122" s="32"/>
      <c r="AJ122" s="32"/>
      <c r="AK122" s="32"/>
      <c r="AL122" s="32"/>
      <c r="AM122" s="32"/>
      <c r="AN122" s="32"/>
      <c r="AO122" s="32"/>
      <c r="AP122" s="32"/>
      <c r="AQ122" s="32"/>
      <c r="AR122" s="32"/>
      <c r="AS122" s="32"/>
      <c r="AT122" s="32"/>
      <c r="AU122" s="32"/>
      <c r="AV122" s="32"/>
      <c r="AW122" s="32"/>
      <c r="AX122" s="32"/>
    </row>
    <row r="123">
      <c r="A123" s="5" t="str">
        <f>IFERROR(__xludf.DUMMYFUNCTION("""COMPUTED_VALUE"""),"Gargoyle War Horn")</f>
        <v>Gargoyle War Horn</v>
      </c>
      <c r="B123" s="5" t="str">
        <f>IFERROR(__xludf.DUMMYFUNCTION("""COMPUTED_VALUE"""),"Hand")</f>
        <v>Hand</v>
      </c>
      <c r="C123" s="32"/>
      <c r="D123" s="5" t="str">
        <f>IFERROR(__xludf.DUMMYFUNCTION("""COMPUTED_VALUE"""),"Wand")</f>
        <v>Wand</v>
      </c>
      <c r="E123" s="40">
        <f>IFERROR(__xludf.DUMMYFUNCTION("""COMPUTED_VALUE"""),1.0)</f>
        <v>1</v>
      </c>
      <c r="F123" s="40">
        <f>IFERROR(__xludf.DUMMYFUNCTION("""COMPUTED_VALUE"""),0.0)</f>
        <v>0</v>
      </c>
      <c r="G123" s="5"/>
      <c r="H123" s="32"/>
      <c r="I123" s="32"/>
      <c r="J123" s="32"/>
      <c r="K123" s="32"/>
      <c r="L123" s="32"/>
      <c r="M123" s="32"/>
      <c r="N123" s="32"/>
      <c r="O123" s="32"/>
      <c r="P123" s="32"/>
      <c r="Q123" s="32"/>
      <c r="R123" s="32"/>
      <c r="S123" s="32"/>
      <c r="T123" s="32"/>
      <c r="U123" s="32"/>
      <c r="V123" s="32"/>
      <c r="W123" s="32"/>
      <c r="X123" s="32"/>
      <c r="Y123" s="32"/>
      <c r="Z123" s="32"/>
      <c r="AA123" s="32"/>
      <c r="AB123" s="32"/>
      <c r="AC123" s="32"/>
      <c r="AD123" s="42"/>
      <c r="AE123" s="32"/>
      <c r="AF123" s="32" t="str">
        <f>IFERROR(__xludf.DUMMYFUNCTION("""COMPUTED_VALUE"""),"++Summons a d2 of Gargoyles to help you in battle. +-Can only be used once per battle.")</f>
        <v>++Summons a d2 of Gargoyles to help you in battle. +-Can only be used once per battle.</v>
      </c>
      <c r="AG123" s="32" t="str">
        <f>IFERROR(__xludf.DUMMYFUNCTION("""COMPUTED_VALUE"""),"Abstara")</f>
        <v>Abstara</v>
      </c>
      <c r="AH123" s="32" t="b">
        <f>IFERROR(__xludf.DUMMYFUNCTION("""COMPUTED_VALUE"""),FALSE)</f>
        <v>0</v>
      </c>
      <c r="AI123" s="32"/>
      <c r="AJ123" s="32"/>
      <c r="AK123" s="32"/>
      <c r="AL123" s="32"/>
      <c r="AM123" s="32"/>
      <c r="AN123" s="32"/>
      <c r="AO123" s="32"/>
      <c r="AP123" s="32"/>
      <c r="AQ123" s="32"/>
      <c r="AR123" s="32"/>
      <c r="AS123" s="32"/>
      <c r="AT123" s="32"/>
      <c r="AU123" s="32"/>
      <c r="AV123" s="32"/>
      <c r="AW123" s="32"/>
      <c r="AX123" s="32"/>
    </row>
    <row r="124">
      <c r="A124" s="5" t="str">
        <f>IFERROR(__xludf.DUMMYFUNCTION("""COMPUTED_VALUE"""),"Gargoyle’s Heavy Enchanted Bow")</f>
        <v>Gargoyle’s Heavy Enchanted Bow</v>
      </c>
      <c r="B124" s="5" t="str">
        <f>IFERROR(__xludf.DUMMYFUNCTION("""COMPUTED_VALUE"""),"Hand")</f>
        <v>Hand</v>
      </c>
      <c r="C124" s="32"/>
      <c r="D124" s="5" t="str">
        <f>IFERROR(__xludf.DUMMYFUNCTION("""COMPUTED_VALUE"""),"Bow")</f>
        <v>Bow</v>
      </c>
      <c r="E124" s="40">
        <f>IFERROR(__xludf.DUMMYFUNCTION("""COMPUTED_VALUE"""),3000.0)</f>
        <v>3000</v>
      </c>
      <c r="F124" s="40">
        <f>IFERROR(__xludf.DUMMYFUNCTION("""COMPUTED_VALUE"""),4.485E8)</f>
        <v>448500000</v>
      </c>
      <c r="G124" s="5" t="str">
        <f>IFERROR(__xludf.DUMMYFUNCTION("""COMPUTED_VALUE"""),"DMG")</f>
        <v>DMG</v>
      </c>
      <c r="H124" s="33">
        <f>IFERROR(__xludf.DUMMYFUNCTION("""COMPUTED_VALUE"""),100000.0)</f>
        <v>100000</v>
      </c>
      <c r="I124" s="32"/>
      <c r="J124" s="32"/>
      <c r="K124" s="32"/>
      <c r="L124" s="32"/>
      <c r="M124" s="33">
        <f>IFERROR(__xludf.DUMMYFUNCTION("""COMPUTED_VALUE"""),50000.0)</f>
        <v>50000</v>
      </c>
      <c r="N124" s="5"/>
      <c r="O124" s="32"/>
      <c r="P124" s="32"/>
      <c r="Q124" s="32"/>
      <c r="R124" s="32"/>
      <c r="S124" s="32"/>
      <c r="T124" s="32"/>
      <c r="U124" s="32"/>
      <c r="V124" s="32"/>
      <c r="W124" s="32"/>
      <c r="X124" s="32"/>
      <c r="Y124" s="32"/>
      <c r="Z124" s="32"/>
      <c r="AA124" s="32"/>
      <c r="AB124" s="32"/>
      <c r="AC124" s="32"/>
      <c r="AD124" s="42"/>
      <c r="AE124" s="32"/>
      <c r="AF124" s="32" t="str">
        <f>IFERROR(__xludf.DUMMYFUNCTION("""COMPUTED_VALUE"""),"++Damage dealt with this bow gives you hp back equal to the damage you dealt. ")</f>
        <v>++Damage dealt with this bow gives you hp back equal to the damage you dealt. </v>
      </c>
      <c r="AG124" s="32" t="str">
        <f>IFERROR(__xludf.DUMMYFUNCTION("""COMPUTED_VALUE"""),"Abstara")</f>
        <v>Abstara</v>
      </c>
      <c r="AH124" s="32" t="b">
        <f>IFERROR(__xludf.DUMMYFUNCTION("""COMPUTED_VALUE"""),FALSE)</f>
        <v>0</v>
      </c>
      <c r="AI124" s="32"/>
      <c r="AJ124" s="32"/>
      <c r="AK124" s="32"/>
      <c r="AL124" s="32"/>
      <c r="AM124" s="32"/>
      <c r="AN124" s="32"/>
      <c r="AO124" s="32"/>
      <c r="AP124" s="32"/>
      <c r="AQ124" s="32"/>
      <c r="AR124" s="32"/>
      <c r="AS124" s="32"/>
      <c r="AT124" s="32"/>
      <c r="AU124" s="32"/>
      <c r="AV124" s="32"/>
      <c r="AW124" s="32"/>
      <c r="AX124" s="32"/>
    </row>
    <row r="125">
      <c r="A125" s="42" t="str">
        <f>IFERROR(__xludf.DUMMYFUNCTION("""COMPUTED_VALUE"""),"Gargoyle’s Necklace of Luck ")</f>
        <v>Gargoyle’s Necklace of Luck </v>
      </c>
      <c r="B125" s="5" t="str">
        <f>IFERROR(__xludf.DUMMYFUNCTION("""COMPUTED_VALUE"""),"Neck")</f>
        <v>Neck</v>
      </c>
      <c r="C125" s="32"/>
      <c r="D125" s="5"/>
      <c r="E125" s="40">
        <f>IFERROR(__xludf.DUMMYFUNCTION("""COMPUTED_VALUE"""),1.0)</f>
        <v>1</v>
      </c>
      <c r="F125" s="40">
        <f>IFERROR(__xludf.DUMMYFUNCTION("""COMPUTED_VALUE"""),0.0)</f>
        <v>0</v>
      </c>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42"/>
      <c r="AE125" s="32"/>
      <c r="AF125" s="32"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32" t="str">
        <f>IFERROR(__xludf.DUMMYFUNCTION("""COMPUTED_VALUE"""),"Abstara")</f>
        <v>Abstara</v>
      </c>
      <c r="AH125" s="32" t="b">
        <f>IFERROR(__xludf.DUMMYFUNCTION("""COMPUTED_VALUE"""),FALSE)</f>
        <v>0</v>
      </c>
      <c r="AI125" s="32"/>
      <c r="AJ125" s="32"/>
      <c r="AK125" s="32"/>
      <c r="AL125" s="32"/>
      <c r="AM125" s="32"/>
      <c r="AN125" s="32"/>
      <c r="AO125" s="32"/>
      <c r="AP125" s="32"/>
      <c r="AQ125" s="32"/>
      <c r="AR125" s="32"/>
      <c r="AS125" s="32"/>
      <c r="AT125" s="32"/>
      <c r="AU125" s="32"/>
      <c r="AV125" s="32"/>
      <c r="AW125" s="32"/>
      <c r="AX125" s="32"/>
    </row>
    <row r="126">
      <c r="A126" s="5" t="str">
        <f>IFERROR(__xludf.DUMMYFUNCTION("""COMPUTED_VALUE"""),"Gargoyle’s Ring")</f>
        <v>Gargoyle’s Ring</v>
      </c>
      <c r="B126" s="5" t="str">
        <f>IFERROR(__xludf.DUMMYFUNCTION("""COMPUTED_VALUE"""),"Ring")</f>
        <v>Ring</v>
      </c>
      <c r="C126" s="32"/>
      <c r="D126" s="5"/>
      <c r="E126" s="40">
        <f>IFERROR(__xludf.DUMMYFUNCTION("""COMPUTED_VALUE"""),1.0)</f>
        <v>1</v>
      </c>
      <c r="F126" s="40">
        <f>IFERROR(__xludf.DUMMYFUNCTION("""COMPUTED_VALUE"""),0.0)</f>
        <v>0</v>
      </c>
      <c r="G126" s="5"/>
      <c r="H126" s="32"/>
      <c r="I126" s="32"/>
      <c r="J126" s="32"/>
      <c r="K126" s="5"/>
      <c r="L126" s="32"/>
      <c r="M126" s="32"/>
      <c r="N126" s="32"/>
      <c r="O126" s="32"/>
      <c r="P126" s="32"/>
      <c r="Q126" s="32"/>
      <c r="R126" s="32"/>
      <c r="S126" s="32"/>
      <c r="T126" s="32"/>
      <c r="U126" s="32"/>
      <c r="V126" s="32"/>
      <c r="W126" s="32"/>
      <c r="X126" s="32"/>
      <c r="Y126" s="32"/>
      <c r="Z126" s="32"/>
      <c r="AA126" s="32"/>
      <c r="AB126" s="32"/>
      <c r="AC126" s="32"/>
      <c r="AD126" s="5"/>
      <c r="AE126" s="32"/>
      <c r="AF126" s="32"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32" t="str">
        <f>IFERROR(__xludf.DUMMYFUNCTION("""COMPUTED_VALUE"""),"Abstara")</f>
        <v>Abstara</v>
      </c>
      <c r="AH126" s="32" t="b">
        <f>IFERROR(__xludf.DUMMYFUNCTION("""COMPUTED_VALUE"""),FALSE)</f>
        <v>0</v>
      </c>
      <c r="AI126" s="32"/>
      <c r="AJ126" s="32"/>
      <c r="AK126" s="32"/>
      <c r="AL126" s="32"/>
      <c r="AM126" s="32"/>
      <c r="AN126" s="32"/>
      <c r="AO126" s="32"/>
      <c r="AP126" s="32"/>
      <c r="AQ126" s="32"/>
      <c r="AR126" s="32"/>
      <c r="AS126" s="32"/>
      <c r="AT126" s="32"/>
      <c r="AU126" s="32"/>
      <c r="AV126" s="32"/>
      <c r="AW126" s="32"/>
      <c r="AX126" s="32"/>
    </row>
    <row r="127">
      <c r="A127" s="5" t="str">
        <f>IFERROR(__xludf.DUMMYFUNCTION("""COMPUTED_VALUE"""),"Giant Spider Leg")</f>
        <v>Giant Spider Leg</v>
      </c>
      <c r="B127" s="5" t="str">
        <f>IFERROR(__xludf.DUMMYFUNCTION("""COMPUTED_VALUE"""),"Hand")</f>
        <v>Hand</v>
      </c>
      <c r="C127" s="32"/>
      <c r="D127" s="5" t="str">
        <f>IFERROR(__xludf.DUMMYFUNCTION("""COMPUTED_VALUE"""),"Knife")</f>
        <v>Knife</v>
      </c>
      <c r="E127" s="40">
        <f>IFERROR(__xludf.DUMMYFUNCTION("""COMPUTED_VALUE"""),200.0)</f>
        <v>200</v>
      </c>
      <c r="F127" s="40">
        <f>IFERROR(__xludf.DUMMYFUNCTION("""COMPUTED_VALUE"""),1900000.0)</f>
        <v>1900000</v>
      </c>
      <c r="G127" s="5" t="str">
        <f>IFERROR(__xludf.DUMMYFUNCTION("""COMPUTED_VALUE"""),"ATK")</f>
        <v>ATK</v>
      </c>
      <c r="H127" s="32">
        <f>IFERROR(__xludf.DUMMYFUNCTION("""COMPUTED_VALUE"""),10000.0)</f>
        <v>10000</v>
      </c>
      <c r="I127" s="32"/>
      <c r="J127" s="5"/>
      <c r="K127" s="32"/>
      <c r="L127" s="32"/>
      <c r="M127" s="32"/>
      <c r="N127" s="32"/>
      <c r="O127" s="32"/>
      <c r="P127" s="32"/>
      <c r="Q127" s="32"/>
      <c r="R127" s="32"/>
      <c r="S127" s="32"/>
      <c r="T127" s="32"/>
      <c r="U127" s="32"/>
      <c r="V127" s="32"/>
      <c r="W127" s="32"/>
      <c r="X127" s="32"/>
      <c r="Y127" s="32"/>
      <c r="Z127" s="32"/>
      <c r="AA127" s="32"/>
      <c r="AB127" s="32"/>
      <c r="AC127" s="32"/>
      <c r="AD127" s="5"/>
      <c r="AE127" s="32"/>
      <c r="AF127" s="32" t="str">
        <f>IFERROR(__xludf.DUMMYFUNCTION("""COMPUTED_VALUE"""),"++When hitting an enemy inflict them with poison 500")</f>
        <v>++When hitting an enemy inflict them with poison 500</v>
      </c>
      <c r="AG127" s="32" t="str">
        <f>IFERROR(__xludf.DUMMYFUNCTION("""COMPUTED_VALUE"""),"Land of Spira")</f>
        <v>Land of Spira</v>
      </c>
      <c r="AH127" s="32" t="b">
        <f>IFERROR(__xludf.DUMMYFUNCTION("""COMPUTED_VALUE"""),FALSE)</f>
        <v>0</v>
      </c>
      <c r="AI127" s="32"/>
      <c r="AJ127" s="32"/>
      <c r="AK127" s="32"/>
      <c r="AL127" s="32"/>
      <c r="AM127" s="32"/>
      <c r="AN127" s="32"/>
      <c r="AO127" s="32"/>
      <c r="AP127" s="32"/>
      <c r="AQ127" s="32"/>
      <c r="AR127" s="32"/>
      <c r="AS127" s="32"/>
      <c r="AT127" s="32"/>
      <c r="AU127" s="32"/>
      <c r="AV127" s="32"/>
      <c r="AW127" s="32"/>
      <c r="AX127" s="32"/>
    </row>
    <row r="128">
      <c r="A128" s="5" t="str">
        <f>IFERROR(__xludf.DUMMYFUNCTION("""COMPUTED_VALUE"""),"Glass Shield")</f>
        <v>Glass Shield</v>
      </c>
      <c r="B128" s="5" t="str">
        <f>IFERROR(__xludf.DUMMYFUNCTION("""COMPUTED_VALUE"""),"Hand")</f>
        <v>Hand</v>
      </c>
      <c r="C128" s="32"/>
      <c r="D128" s="5" t="str">
        <f>IFERROR(__xludf.DUMMYFUNCTION("""COMPUTED_VALUE"""),"Towershield")</f>
        <v>Towershield</v>
      </c>
      <c r="E128" s="40">
        <f>IFERROR(__xludf.DUMMYFUNCTION("""COMPUTED_VALUE"""),1000.0)</f>
        <v>1000</v>
      </c>
      <c r="F128" s="40">
        <f>IFERROR(__xludf.DUMMYFUNCTION("""COMPUTED_VALUE"""),4.95E7)</f>
        <v>49500000</v>
      </c>
      <c r="G128" s="5" t="str">
        <f>IFERROR(__xludf.DUMMYFUNCTION("""COMPUTED_VALUE"""),"DEF")</f>
        <v>DEF</v>
      </c>
      <c r="H128" s="33">
        <f>IFERROR(__xludf.DUMMYFUNCTION("""COMPUTED_VALUE"""),50000.0)</f>
        <v>50000</v>
      </c>
      <c r="I128" s="32"/>
      <c r="J128" s="32"/>
      <c r="K128" s="32"/>
      <c r="L128" s="5"/>
      <c r="M128" s="32"/>
      <c r="N128" s="32"/>
      <c r="O128" s="32"/>
      <c r="P128" s="32"/>
      <c r="Q128" s="32"/>
      <c r="R128" s="32"/>
      <c r="S128" s="32"/>
      <c r="T128" s="32"/>
      <c r="U128" s="32"/>
      <c r="V128" s="32"/>
      <c r="W128" s="32"/>
      <c r="X128" s="32"/>
      <c r="Y128" s="32"/>
      <c r="Z128" s="32"/>
      <c r="AA128" s="32"/>
      <c r="AB128" s="32"/>
      <c r="AC128" s="32"/>
      <c r="AD128" s="32"/>
      <c r="AE128" s="32"/>
      <c r="AF128" s="32" t="str">
        <f>IFERROR(__xludf.DUMMYFUNCTION("""COMPUTED_VALUE"""),"+-has a 50% chance of breaking upon taking damage")</f>
        <v>+-has a 50% chance of breaking upon taking damage</v>
      </c>
      <c r="AG128" s="32" t="str">
        <f>IFERROR(__xludf.DUMMYFUNCTION("""COMPUTED_VALUE"""),"Land of Spira")</f>
        <v>Land of Spira</v>
      </c>
      <c r="AH128" s="32" t="b">
        <f>IFERROR(__xludf.DUMMYFUNCTION("""COMPUTED_VALUE"""),FALSE)</f>
        <v>0</v>
      </c>
      <c r="AI128" s="32"/>
      <c r="AJ128" s="32"/>
      <c r="AK128" s="32"/>
      <c r="AL128" s="32"/>
      <c r="AM128" s="32"/>
      <c r="AN128" s="32"/>
      <c r="AO128" s="32"/>
      <c r="AP128" s="32"/>
      <c r="AQ128" s="32"/>
      <c r="AR128" s="32"/>
      <c r="AS128" s="32"/>
      <c r="AT128" s="32"/>
      <c r="AU128" s="32"/>
      <c r="AV128" s="32"/>
      <c r="AW128" s="32"/>
      <c r="AX128" s="32"/>
    </row>
    <row r="129">
      <c r="A129" s="5" t="str">
        <f>IFERROR(__xludf.DUMMYFUNCTION("""COMPUTED_VALUE"""),"Goose Staff")</f>
        <v>Goose Staff</v>
      </c>
      <c r="B129" s="5" t="str">
        <f>IFERROR(__xludf.DUMMYFUNCTION("""COMPUTED_VALUE"""),"Hand")</f>
        <v>Hand</v>
      </c>
      <c r="C129" s="32"/>
      <c r="D129" s="5" t="str">
        <f>IFERROR(__xludf.DUMMYFUNCTION("""COMPUTED_VALUE"""),"Staff")</f>
        <v>Staff</v>
      </c>
      <c r="E129" s="40">
        <f>IFERROR(__xludf.DUMMYFUNCTION("""COMPUTED_VALUE"""),1.0)</f>
        <v>1</v>
      </c>
      <c r="F129" s="40">
        <f>IFERROR(__xludf.DUMMYFUNCTION("""COMPUTED_VALUE"""),0.0)</f>
        <v>0</v>
      </c>
      <c r="G129" s="5"/>
      <c r="H129" s="32"/>
      <c r="I129" s="32"/>
      <c r="J129" s="5"/>
      <c r="K129" s="32"/>
      <c r="L129" s="32"/>
      <c r="M129" s="32"/>
      <c r="N129" s="32"/>
      <c r="O129" s="32"/>
      <c r="P129" s="32"/>
      <c r="Q129" s="32"/>
      <c r="R129" s="32"/>
      <c r="S129" s="32"/>
      <c r="T129" s="32"/>
      <c r="U129" s="32"/>
      <c r="V129" s="32"/>
      <c r="W129" s="32"/>
      <c r="X129" s="32"/>
      <c r="Y129" s="32"/>
      <c r="Z129" s="32"/>
      <c r="AA129" s="32"/>
      <c r="AB129" s="32"/>
      <c r="AC129" s="32"/>
      <c r="AD129" s="32"/>
      <c r="AE129" s="32"/>
      <c r="AF129" s="32" t="str">
        <f>IFERROR(__xludf.DUMMYFUNCTION("""COMPUTED_VALUE"""),"++Summons Lord Goose to aid you in battle, 1000 SP.")</f>
        <v>++Summons Lord Goose to aid you in battle, 1000 SP.</v>
      </c>
      <c r="AG129" s="32" t="str">
        <f>IFERROR(__xludf.DUMMYFUNCTION("""COMPUTED_VALUE"""),"Land of Spira")</f>
        <v>Land of Spira</v>
      </c>
      <c r="AH129" s="32" t="b">
        <f>IFERROR(__xludf.DUMMYFUNCTION("""COMPUTED_VALUE"""),FALSE)</f>
        <v>0</v>
      </c>
      <c r="AI129" s="32"/>
      <c r="AJ129" s="32"/>
      <c r="AK129" s="32"/>
      <c r="AL129" s="32"/>
      <c r="AM129" s="32"/>
      <c r="AN129" s="32"/>
      <c r="AO129" s="32"/>
      <c r="AP129" s="32"/>
      <c r="AQ129" s="32"/>
      <c r="AR129" s="32"/>
      <c r="AS129" s="32"/>
      <c r="AT129" s="32"/>
      <c r="AU129" s="32"/>
      <c r="AV129" s="32"/>
      <c r="AW129" s="32"/>
      <c r="AX129" s="32"/>
    </row>
    <row r="130">
      <c r="A130" s="5" t="str">
        <f>IFERROR(__xludf.DUMMYFUNCTION("""COMPUTED_VALUE"""),"Grand Hellfire Sword")</f>
        <v>Grand Hellfire Sword</v>
      </c>
      <c r="B130" s="5" t="str">
        <f>IFERROR(__xludf.DUMMYFUNCTION("""COMPUTED_VALUE"""),"Hand")</f>
        <v>Hand</v>
      </c>
      <c r="C130" s="32"/>
      <c r="D130" s="5" t="str">
        <f>IFERROR(__xludf.DUMMYFUNCTION("""COMPUTED_VALUE"""),"Sword")</f>
        <v>Sword</v>
      </c>
      <c r="E130" s="40">
        <f>IFERROR(__xludf.DUMMYFUNCTION("""COMPUTED_VALUE"""),200.0)</f>
        <v>200</v>
      </c>
      <c r="F130" s="40">
        <f>IFERROR(__xludf.DUMMYFUNCTION("""COMPUTED_VALUE"""),1.797E9)</f>
        <v>1797000000</v>
      </c>
      <c r="G130" s="5" t="str">
        <f>IFERROR(__xludf.DUMMYFUNCTION("""COMPUTED_VALUE"""),"DMG")</f>
        <v>DMG</v>
      </c>
      <c r="H130" s="41">
        <f>IFERROR(__xludf.DUMMYFUNCTION("""COMPUTED_VALUE"""),50000.0)</f>
        <v>50000</v>
      </c>
      <c r="I130" s="33">
        <f>IFERROR(__xludf.DUMMYFUNCTION("""COMPUTED_VALUE"""),100000.0)</f>
        <v>100000</v>
      </c>
      <c r="J130" s="32"/>
      <c r="K130" s="32"/>
      <c r="L130" s="32"/>
      <c r="M130" s="32"/>
      <c r="N130" s="32"/>
      <c r="O130" s="33">
        <f>IFERROR(__xludf.DUMMYFUNCTION("""COMPUTED_VALUE"""),50000.0)</f>
        <v>50000</v>
      </c>
      <c r="P130" s="32"/>
      <c r="Q130" s="32"/>
      <c r="R130" s="33">
        <f>IFERROR(__xludf.DUMMYFUNCTION("""COMPUTED_VALUE"""),50000.0)</f>
        <v>50000</v>
      </c>
      <c r="S130" s="32"/>
      <c r="T130" s="32"/>
      <c r="U130" s="32"/>
      <c r="V130" s="32"/>
      <c r="W130" s="32"/>
      <c r="X130" s="32"/>
      <c r="Y130" s="32"/>
      <c r="Z130" s="32"/>
      <c r="AA130" s="32"/>
      <c r="AB130" s="32"/>
      <c r="AC130" s="33">
        <f>IFERROR(__xludf.DUMMYFUNCTION("""COMPUTED_VALUE"""),50000.0)</f>
        <v>50000</v>
      </c>
      <c r="AD130" s="42"/>
      <c r="AE130" s="32"/>
      <c r="AF130" s="32"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32" t="str">
        <f>IFERROR(__xludf.DUMMYFUNCTION("""COMPUTED_VALUE"""),"Abstara")</f>
        <v>Abstara</v>
      </c>
      <c r="AH130" s="32" t="b">
        <f>IFERROR(__xludf.DUMMYFUNCTION("""COMPUTED_VALUE"""),FALSE)</f>
        <v>0</v>
      </c>
      <c r="AI130" s="32"/>
      <c r="AJ130" s="32"/>
      <c r="AK130" s="32"/>
      <c r="AL130" s="32"/>
      <c r="AM130" s="32"/>
      <c r="AN130" s="32"/>
      <c r="AO130" s="32"/>
      <c r="AP130" s="32"/>
      <c r="AQ130" s="32"/>
      <c r="AR130" s="32"/>
      <c r="AS130" s="32"/>
      <c r="AT130" s="32"/>
      <c r="AU130" s="32"/>
      <c r="AV130" s="32"/>
      <c r="AW130" s="32"/>
      <c r="AX130" s="32"/>
    </row>
    <row r="131">
      <c r="A131" s="5" t="str">
        <f>IFERROR(__xludf.DUMMYFUNCTION("""COMPUTED_VALUE"""),"Grand Master Bow")</f>
        <v>Grand Master Bow</v>
      </c>
      <c r="B131" s="5" t="str">
        <f>IFERROR(__xludf.DUMMYFUNCTION("""COMPUTED_VALUE"""),"Hand")</f>
        <v>Hand</v>
      </c>
      <c r="C131" s="32"/>
      <c r="D131" s="5" t="str">
        <f>IFERROR(__xludf.DUMMYFUNCTION("""COMPUTED_VALUE"""),"Bow")</f>
        <v>Bow</v>
      </c>
      <c r="E131" s="40">
        <f>IFERROR(__xludf.DUMMYFUNCTION("""COMPUTED_VALUE"""),20.0)</f>
        <v>20</v>
      </c>
      <c r="F131" s="40">
        <f>IFERROR(__xludf.DUMMYFUNCTION("""COMPUTED_VALUE"""),10000.0)</f>
        <v>10000</v>
      </c>
      <c r="G131" s="5" t="str">
        <f>IFERROR(__xludf.DUMMYFUNCTION("""COMPUTED_VALUE"""),"DMG")</f>
        <v>DMG</v>
      </c>
      <c r="H131" s="5">
        <f>IFERROR(__xludf.DUMMYFUNCTION("""COMPUTED_VALUE"""),1000.0)</f>
        <v>1000</v>
      </c>
      <c r="I131" s="32"/>
      <c r="J131" s="32"/>
      <c r="K131" s="32"/>
      <c r="L131" s="32"/>
      <c r="M131" s="32"/>
      <c r="N131" s="32"/>
      <c r="O131" s="32"/>
      <c r="P131" s="32"/>
      <c r="Q131" s="32"/>
      <c r="R131" s="32"/>
      <c r="S131" s="32"/>
      <c r="T131" s="32"/>
      <c r="U131" s="32"/>
      <c r="V131" s="32"/>
      <c r="W131" s="32"/>
      <c r="X131" s="32"/>
      <c r="Y131" s="32"/>
      <c r="Z131" s="32"/>
      <c r="AA131" s="32"/>
      <c r="AB131" s="32"/>
      <c r="AC131" s="32"/>
      <c r="AD131" s="42"/>
      <c r="AE131" s="32"/>
      <c r="AF131" s="32" t="str">
        <f>IFERROR(__xludf.DUMMYFUNCTION("""COMPUTED_VALUE"""),"++X4 additional damage towards ranged attacks. +-Only Archers can equip. +-Cannot be duplicated. ")</f>
        <v>++X4 additional damage towards ranged attacks. +-Only Archers can equip. +-Cannot be duplicated. </v>
      </c>
      <c r="AG131" s="32" t="str">
        <f>IFERROR(__xludf.DUMMYFUNCTION("""COMPUTED_VALUE"""),"Land of Spira")</f>
        <v>Land of Spira</v>
      </c>
      <c r="AH131" s="32" t="b">
        <f>IFERROR(__xludf.DUMMYFUNCTION("""COMPUTED_VALUE"""),FALSE)</f>
        <v>0</v>
      </c>
      <c r="AI131" s="32"/>
      <c r="AJ131" s="32"/>
      <c r="AK131" s="32"/>
      <c r="AL131" s="32"/>
      <c r="AM131" s="32"/>
      <c r="AN131" s="32"/>
      <c r="AO131" s="32"/>
      <c r="AP131" s="32"/>
      <c r="AQ131" s="32"/>
      <c r="AR131" s="32"/>
      <c r="AS131" s="32"/>
      <c r="AT131" s="32"/>
      <c r="AU131" s="32"/>
      <c r="AV131" s="32"/>
      <c r="AW131" s="32"/>
      <c r="AX131" s="32"/>
    </row>
    <row r="132">
      <c r="A132" s="42" t="str">
        <f>IFERROR(__xludf.DUMMYFUNCTION("""COMPUTED_VALUE"""),"Grass Sword")</f>
        <v>Grass Sword</v>
      </c>
      <c r="B132" s="5" t="str">
        <f>IFERROR(__xludf.DUMMYFUNCTION("""COMPUTED_VALUE"""),"Hand")</f>
        <v>Hand</v>
      </c>
      <c r="C132" s="32" t="str">
        <f>IFERROR(__xludf.DUMMYFUNCTION("""COMPUTED_VALUE"""),"A strong grass entity in the form of a sword")</f>
        <v>A strong grass entity in the form of a sword</v>
      </c>
      <c r="D132" s="5" t="str">
        <f>IFERROR(__xludf.DUMMYFUNCTION("""COMPUTED_VALUE"""),"Sword")</f>
        <v>Sword</v>
      </c>
      <c r="E132" s="40">
        <f>IFERROR(__xludf.DUMMYFUNCTION("""COMPUTED_VALUE"""),1.0)</f>
        <v>1</v>
      </c>
      <c r="F132" s="40">
        <f>IFERROR(__xludf.DUMMYFUNCTION("""COMPUTED_VALUE"""),0.0)</f>
        <v>0</v>
      </c>
      <c r="G132" s="5" t="str">
        <f>IFERROR(__xludf.DUMMYFUNCTION("""COMPUTED_VALUE"""),"DMG")</f>
        <v>DMG</v>
      </c>
      <c r="H132" s="32">
        <f>IFERROR(__xludf.DUMMYFUNCTION("""COMPUTED_VALUE"""),250.0)</f>
        <v>250</v>
      </c>
      <c r="I132" s="32"/>
      <c r="J132" s="32"/>
      <c r="K132" s="32"/>
      <c r="L132" s="32"/>
      <c r="M132" s="32"/>
      <c r="N132" s="32"/>
      <c r="O132" s="32"/>
      <c r="P132" s="32"/>
      <c r="Q132" s="32"/>
      <c r="R132" s="32"/>
      <c r="S132" s="32"/>
      <c r="T132" s="32"/>
      <c r="U132" s="32"/>
      <c r="V132" s="32"/>
      <c r="W132" s="32"/>
      <c r="X132" s="32"/>
      <c r="Y132" s="32"/>
      <c r="Z132" s="32"/>
      <c r="AA132" s="32"/>
      <c r="AB132" s="32"/>
      <c r="AC132" s="32"/>
      <c r="AD132" s="5"/>
      <c r="AE132" s="32"/>
      <c r="AF132" s="32"/>
      <c r="AG132" s="32" t="str">
        <f>IFERROR(__xludf.DUMMYFUNCTION("""COMPUTED_VALUE"""),"Land of Spira")</f>
        <v>Land of Spira</v>
      </c>
      <c r="AH132" s="32" t="b">
        <f>IFERROR(__xludf.DUMMYFUNCTION("""COMPUTED_VALUE"""),FALSE)</f>
        <v>0</v>
      </c>
      <c r="AI132" s="32"/>
      <c r="AJ132" s="32"/>
      <c r="AK132" s="32"/>
      <c r="AL132" s="32"/>
      <c r="AM132" s="32"/>
      <c r="AN132" s="32"/>
      <c r="AO132" s="32"/>
      <c r="AP132" s="32"/>
      <c r="AQ132" s="32"/>
      <c r="AR132" s="32"/>
      <c r="AS132" s="32"/>
      <c r="AT132" s="32"/>
      <c r="AU132" s="32"/>
      <c r="AV132" s="32"/>
      <c r="AW132" s="32"/>
      <c r="AX132" s="32"/>
    </row>
    <row r="133">
      <c r="A133" s="42" t="str">
        <f>IFERROR(__xludf.DUMMYFUNCTION("""COMPUTED_VALUE"""),"Great Stone Gargoyle Sword")</f>
        <v>Great Stone Gargoyle Sword</v>
      </c>
      <c r="B133" s="5" t="str">
        <f>IFERROR(__xludf.DUMMYFUNCTION("""COMPUTED_VALUE"""),"Hand")</f>
        <v>Hand</v>
      </c>
      <c r="C133" s="32"/>
      <c r="D133" s="5" t="str">
        <f>IFERROR(__xludf.DUMMYFUNCTION("""COMPUTED_VALUE"""),"Sword")</f>
        <v>Sword</v>
      </c>
      <c r="E133" s="40">
        <f>IFERROR(__xludf.DUMMYFUNCTION("""COMPUTED_VALUE"""),4000.0)</f>
        <v>4000</v>
      </c>
      <c r="F133" s="40">
        <f>IFERROR(__xludf.DUMMYFUNCTION("""COMPUTED_VALUE"""),7.98E8)</f>
        <v>798000000</v>
      </c>
      <c r="G133" s="5" t="str">
        <f>IFERROR(__xludf.DUMMYFUNCTION("""COMPUTED_VALUE"""),"DMG")</f>
        <v>DMG</v>
      </c>
      <c r="H133" s="41">
        <f>IFERROR(__xludf.DUMMYFUNCTION("""COMPUTED_VALUE"""),100000.0)</f>
        <v>100000</v>
      </c>
      <c r="I133" s="32"/>
      <c r="J133" s="32"/>
      <c r="K133" s="32"/>
      <c r="L133" s="32"/>
      <c r="M133" s="33">
        <f>IFERROR(__xludf.DUMMYFUNCTION("""COMPUTED_VALUE"""),100000.0)</f>
        <v>100000</v>
      </c>
      <c r="N133" s="32"/>
      <c r="O133" s="32"/>
      <c r="P133" s="32"/>
      <c r="Q133" s="32"/>
      <c r="R133" s="32"/>
      <c r="S133" s="32"/>
      <c r="T133" s="32"/>
      <c r="U133" s="32"/>
      <c r="V133" s="32"/>
      <c r="W133" s="32"/>
      <c r="X133" s="32"/>
      <c r="Y133" s="32"/>
      <c r="Z133" s="32"/>
      <c r="AA133" s="32"/>
      <c r="AB133" s="32"/>
      <c r="AC133" s="32"/>
      <c r="AD133" s="42"/>
      <c r="AE133" s="32"/>
      <c r="AF133" s="32" t="str">
        <f>IFERROR(__xludf.DUMMYFUNCTION("""COMPUTED_VALUE"""),"++When this weapon is equipped the wielder gets X2 Attack and Defence, +-Cannot be duplicated.")</f>
        <v>++When this weapon is equipped the wielder gets X2 Attack and Defence, +-Cannot be duplicated.</v>
      </c>
      <c r="AG133" s="32" t="str">
        <f>IFERROR(__xludf.DUMMYFUNCTION("""COMPUTED_VALUE"""),"Abstara")</f>
        <v>Abstara</v>
      </c>
      <c r="AH133" s="32" t="b">
        <f>IFERROR(__xludf.DUMMYFUNCTION("""COMPUTED_VALUE"""),FALSE)</f>
        <v>0</v>
      </c>
      <c r="AI133" s="32"/>
      <c r="AJ133" s="32"/>
      <c r="AK133" s="32"/>
      <c r="AL133" s="32"/>
      <c r="AM133" s="32"/>
      <c r="AN133" s="32"/>
      <c r="AO133" s="32"/>
      <c r="AP133" s="32"/>
      <c r="AQ133" s="32"/>
      <c r="AR133" s="32"/>
      <c r="AS133" s="32"/>
      <c r="AT133" s="32"/>
      <c r="AU133" s="32"/>
      <c r="AV133" s="32"/>
      <c r="AW133" s="32"/>
      <c r="AX133" s="32"/>
    </row>
    <row r="134">
      <c r="A134" s="42" t="str">
        <f>IFERROR(__xludf.DUMMYFUNCTION("""COMPUTED_VALUE"""),"Greaves of The Sea Serpent")</f>
        <v>Greaves of The Sea Serpent</v>
      </c>
      <c r="B134" s="5" t="str">
        <f>IFERROR(__xludf.DUMMYFUNCTION("""COMPUTED_VALUE"""),"Legs")</f>
        <v>Legs</v>
      </c>
      <c r="C134" s="32"/>
      <c r="D134" s="5"/>
      <c r="E134" s="40">
        <f>IFERROR(__xludf.DUMMYFUNCTION("""COMPUTED_VALUE"""),100.0)</f>
        <v>100</v>
      </c>
      <c r="F134" s="40">
        <f>IFERROR(__xludf.DUMMYFUNCTION("""COMPUTED_VALUE"""),450000.0)</f>
        <v>450000</v>
      </c>
      <c r="G134" s="41" t="str">
        <f>IFERROR(__xludf.DUMMYFUNCTION("""COMPUTED_VALUE"""),"DEF")</f>
        <v>DEF</v>
      </c>
      <c r="H134" s="32">
        <f>IFERROR(__xludf.DUMMYFUNCTION("""COMPUTED_VALUE"""),2500.0)</f>
        <v>2500</v>
      </c>
      <c r="I134" s="32"/>
      <c r="J134" s="32"/>
      <c r="K134" s="32">
        <f>IFERROR(__xludf.DUMMYFUNCTION("""COMPUTED_VALUE"""),2500.0)</f>
        <v>2500</v>
      </c>
      <c r="L134" s="32"/>
      <c r="M134" s="32"/>
      <c r="N134" s="32"/>
      <c r="O134" s="32"/>
      <c r="P134" s="32"/>
      <c r="Q134" s="32"/>
      <c r="R134" s="32"/>
      <c r="S134" s="32"/>
      <c r="T134" s="32"/>
      <c r="U134" s="32"/>
      <c r="V134" s="32"/>
      <c r="W134" s="32"/>
      <c r="X134" s="32"/>
      <c r="Y134" s="32"/>
      <c r="Z134" s="32"/>
      <c r="AA134" s="32"/>
      <c r="AB134" s="32"/>
      <c r="AC134" s="32"/>
      <c r="AD134" s="32"/>
      <c r="AE134" s="32"/>
      <c r="AF134" s="32" t="str">
        <f>IFERROR(__xludf.DUMMYFUNCTION("""COMPUTED_VALUE"""),"++X2 additional water damage for self.")</f>
        <v>++X2 additional water damage for self.</v>
      </c>
      <c r="AG134" s="32"/>
      <c r="AH134" s="32" t="b">
        <f>IFERROR(__xludf.DUMMYFUNCTION("""COMPUTED_VALUE"""),FALSE)</f>
        <v>0</v>
      </c>
      <c r="AI134" s="32"/>
      <c r="AJ134" s="32"/>
      <c r="AK134" s="32"/>
      <c r="AL134" s="32"/>
      <c r="AM134" s="32"/>
      <c r="AN134" s="32"/>
      <c r="AO134" s="32"/>
      <c r="AP134" s="32"/>
      <c r="AQ134" s="32"/>
      <c r="AR134" s="32"/>
      <c r="AS134" s="32"/>
      <c r="AT134" s="32"/>
      <c r="AU134" s="32"/>
      <c r="AV134" s="32"/>
      <c r="AW134" s="32"/>
      <c r="AX134" s="32"/>
    </row>
    <row r="135">
      <c r="A135" s="42" t="str">
        <f>IFERROR(__xludf.DUMMYFUNCTION("""COMPUTED_VALUE"""),"Greaves of Waking Waters")</f>
        <v>Greaves of Waking Waters</v>
      </c>
      <c r="B135" s="5" t="str">
        <f>IFERROR(__xludf.DUMMYFUNCTION("""COMPUTED_VALUE"""),"Legs")</f>
        <v>Legs</v>
      </c>
      <c r="C135" s="32"/>
      <c r="D135" s="5"/>
      <c r="E135" s="40">
        <f>IFERROR(__xludf.DUMMYFUNCTION("""COMPUTED_VALUE"""),200.0)</f>
        <v>200</v>
      </c>
      <c r="F135" s="40">
        <f>IFERROR(__xludf.DUMMYFUNCTION("""COMPUTED_VALUE"""),1900000.0)</f>
        <v>1900000</v>
      </c>
      <c r="G135" s="5" t="str">
        <f>IFERROR(__xludf.DUMMYFUNCTION("""COMPUTED_VALUE"""),"DEF")</f>
        <v>DEF</v>
      </c>
      <c r="H135" s="32">
        <f>IFERROR(__xludf.DUMMYFUNCTION("""COMPUTED_VALUE"""),5000.0)</f>
        <v>5000</v>
      </c>
      <c r="I135" s="32"/>
      <c r="J135" s="32"/>
      <c r="K135" s="32">
        <f>IFERROR(__xludf.DUMMYFUNCTION("""COMPUTED_VALUE"""),5000.0)</f>
        <v>5000</v>
      </c>
      <c r="L135" s="32"/>
      <c r="M135" s="32"/>
      <c r="N135" s="32"/>
      <c r="O135" s="32"/>
      <c r="P135" s="32"/>
      <c r="Q135" s="32"/>
      <c r="R135" s="32"/>
      <c r="S135" s="32"/>
      <c r="T135" s="32"/>
      <c r="U135" s="32"/>
      <c r="V135" s="32"/>
      <c r="W135" s="32"/>
      <c r="X135" s="32"/>
      <c r="Y135" s="32"/>
      <c r="Z135" s="32"/>
      <c r="AA135" s="32"/>
      <c r="AB135" s="32"/>
      <c r="AC135" s="32"/>
      <c r="AD135" s="42"/>
      <c r="AE135" s="32"/>
      <c r="AF135" s="32" t="str">
        <f>IFERROR(__xludf.DUMMYFUNCTION("""COMPUTED_VALUE"""),"++X4 additional water damage for self.")</f>
        <v>++X4 additional water damage for self.</v>
      </c>
      <c r="AG135" s="32"/>
      <c r="AH135" s="32" t="b">
        <f>IFERROR(__xludf.DUMMYFUNCTION("""COMPUTED_VALUE"""),FALSE)</f>
        <v>0</v>
      </c>
      <c r="AI135" s="32"/>
      <c r="AJ135" s="32"/>
      <c r="AK135" s="32"/>
      <c r="AL135" s="32"/>
      <c r="AM135" s="32"/>
      <c r="AN135" s="32"/>
      <c r="AO135" s="32"/>
      <c r="AP135" s="32"/>
      <c r="AQ135" s="32"/>
      <c r="AR135" s="32"/>
      <c r="AS135" s="32"/>
      <c r="AT135" s="32"/>
      <c r="AU135" s="32"/>
      <c r="AV135" s="32"/>
      <c r="AW135" s="32"/>
      <c r="AX135" s="32"/>
    </row>
    <row r="136">
      <c r="A136" s="5" t="str">
        <f>IFERROR(__xludf.DUMMYFUNCTION("""COMPUTED_VALUE"""),"Halloween Staff")</f>
        <v>Halloween Staff</v>
      </c>
      <c r="B136" s="5" t="str">
        <f>IFERROR(__xludf.DUMMYFUNCTION("""COMPUTED_VALUE"""),"Hand")</f>
        <v>Hand</v>
      </c>
      <c r="C136" s="32" t="str">
        <f>IFERROR(__xludf.DUMMYFUNCTION("""COMPUTED_VALUE"""),"Halloween exclusive")</f>
        <v>Halloween exclusive</v>
      </c>
      <c r="D136" s="5" t="str">
        <f>IFERROR(__xludf.DUMMYFUNCTION("""COMPUTED_VALUE"""),"Staff")</f>
        <v>Staff</v>
      </c>
      <c r="E136" s="40">
        <f>IFERROR(__xludf.DUMMYFUNCTION("""COMPUTED_VALUE"""),1.0)</f>
        <v>1</v>
      </c>
      <c r="F136" s="40">
        <f>IFERROR(__xludf.DUMMYFUNCTION("""COMPUTED_VALUE"""),0.0)</f>
        <v>0</v>
      </c>
      <c r="G136" s="5"/>
      <c r="H136" s="32"/>
      <c r="I136" s="32"/>
      <c r="J136" s="32"/>
      <c r="K136" s="32"/>
      <c r="L136" s="32"/>
      <c r="M136" s="32"/>
      <c r="N136" s="32"/>
      <c r="O136" s="32"/>
      <c r="P136" s="32"/>
      <c r="Q136" s="32"/>
      <c r="R136" s="32"/>
      <c r="S136" s="32"/>
      <c r="T136" s="32"/>
      <c r="U136" s="32"/>
      <c r="V136" s="32"/>
      <c r="W136" s="32"/>
      <c r="X136" s="32"/>
      <c r="Y136" s="32"/>
      <c r="Z136" s="32"/>
      <c r="AA136" s="32"/>
      <c r="AB136" s="32"/>
      <c r="AC136" s="32"/>
      <c r="AD136" s="5"/>
      <c r="AE136" s="32"/>
      <c r="AF136" s="32" t="str">
        <f>IFERROR(__xludf.DUMMYFUNCTION("""COMPUTED_VALUE"""),"++Transform into the Headless Horseman for 3 rounds.")</f>
        <v>++Transform into the Headless Horseman for 3 rounds.</v>
      </c>
      <c r="AG136" s="32" t="str">
        <f>IFERROR(__xludf.DUMMYFUNCTION("""COMPUTED_VALUE"""),"Halloween Kingdom")</f>
        <v>Halloween Kingdom</v>
      </c>
      <c r="AH136" s="32" t="b">
        <f>IFERROR(__xludf.DUMMYFUNCTION("""COMPUTED_VALUE"""),FALSE)</f>
        <v>0</v>
      </c>
      <c r="AI136" s="32"/>
      <c r="AJ136" s="32"/>
      <c r="AK136" s="32"/>
      <c r="AL136" s="32"/>
      <c r="AM136" s="32"/>
      <c r="AN136" s="32"/>
      <c r="AO136" s="32"/>
      <c r="AP136" s="32"/>
      <c r="AQ136" s="32"/>
      <c r="AR136" s="32"/>
      <c r="AS136" s="32"/>
      <c r="AT136" s="32"/>
      <c r="AU136" s="32"/>
      <c r="AV136" s="32"/>
      <c r="AW136" s="32"/>
      <c r="AX136" s="32"/>
    </row>
    <row r="137">
      <c r="A137" s="5" t="str">
        <f>IFERROR(__xludf.DUMMYFUNCTION("""COMPUTED_VALUE"""),"Hammer of Chaotic Shadows")</f>
        <v>Hammer of Chaotic Shadows</v>
      </c>
      <c r="B137" s="5" t="str">
        <f>IFERROR(__xludf.DUMMYFUNCTION("""COMPUTED_VALUE"""),"Hand")</f>
        <v>Hand</v>
      </c>
      <c r="C137" s="32"/>
      <c r="D137" s="5" t="str">
        <f>IFERROR(__xludf.DUMMYFUNCTION("""COMPUTED_VALUE"""),"Club")</f>
        <v>Club</v>
      </c>
      <c r="E137" s="40">
        <f>IFERROR(__xludf.DUMMYFUNCTION("""COMPUTED_VALUE"""),300.0)</f>
        <v>300</v>
      </c>
      <c r="F137" s="40">
        <f>IFERROR(__xludf.DUMMYFUNCTION("""COMPUTED_VALUE"""),4350000.0)</f>
        <v>4350000</v>
      </c>
      <c r="G137" s="5" t="str">
        <f>IFERROR(__xludf.DUMMYFUNCTION("""COMPUTED_VALUE"""),"DMG")</f>
        <v>DMG</v>
      </c>
      <c r="H137" s="5">
        <f>IFERROR(__xludf.DUMMYFUNCTION("""COMPUTED_VALUE"""),5000.0)</f>
        <v>5000</v>
      </c>
      <c r="I137" s="32"/>
      <c r="J137" s="32"/>
      <c r="K137" s="32"/>
      <c r="L137" s="32"/>
      <c r="M137" s="32"/>
      <c r="N137" s="32"/>
      <c r="O137" s="32">
        <f>IFERROR(__xludf.DUMMYFUNCTION("""COMPUTED_VALUE"""),5000.0)</f>
        <v>5000</v>
      </c>
      <c r="P137" s="32"/>
      <c r="Q137" s="32"/>
      <c r="R137" s="32">
        <f>IFERROR(__xludf.DUMMYFUNCTION("""COMPUTED_VALUE"""),5000.0)</f>
        <v>5000</v>
      </c>
      <c r="S137" s="32"/>
      <c r="T137" s="32"/>
      <c r="U137" s="32"/>
      <c r="V137" s="32"/>
      <c r="W137" s="32"/>
      <c r="X137" s="32"/>
      <c r="Y137" s="32"/>
      <c r="Z137" s="32"/>
      <c r="AA137" s="32"/>
      <c r="AB137" s="32"/>
      <c r="AC137" s="32"/>
      <c r="AD137" s="32"/>
      <c r="AE137" s="32"/>
      <c r="AF137" s="32" t="str">
        <f>IFERROR(__xludf.DUMMYFUNCTION("""COMPUTED_VALUE"""),"++X2 Additional Dark and Chaos Damage. ")</f>
        <v>++X2 Additional Dark and Chaos Damage. </v>
      </c>
      <c r="AG137" s="32" t="str">
        <f>IFERROR(__xludf.DUMMYFUNCTION("""COMPUTED_VALUE"""),"Land of Spira")</f>
        <v>Land of Spira</v>
      </c>
      <c r="AH137" s="32" t="b">
        <f>IFERROR(__xludf.DUMMYFUNCTION("""COMPUTED_VALUE"""),FALSE)</f>
        <v>0</v>
      </c>
      <c r="AI137" s="32"/>
      <c r="AJ137" s="32"/>
      <c r="AK137" s="32"/>
      <c r="AL137" s="32"/>
      <c r="AM137" s="32"/>
      <c r="AN137" s="32"/>
      <c r="AO137" s="32"/>
      <c r="AP137" s="32"/>
      <c r="AQ137" s="32"/>
      <c r="AR137" s="32"/>
      <c r="AS137" s="32"/>
      <c r="AT137" s="32"/>
      <c r="AU137" s="32"/>
      <c r="AV137" s="32"/>
      <c r="AW137" s="32"/>
      <c r="AX137" s="32"/>
    </row>
    <row r="138">
      <c r="A138" s="5" t="str">
        <f>IFERROR(__xludf.DUMMYFUNCTION("""COMPUTED_VALUE"""),"Hardened Ice Sickle")</f>
        <v>Hardened Ice Sickle</v>
      </c>
      <c r="B138" s="5" t="str">
        <f>IFERROR(__xludf.DUMMYFUNCTION("""COMPUTED_VALUE"""),"Hand")</f>
        <v>Hand</v>
      </c>
      <c r="C138" s="32" t="str">
        <f>IFERROR(__xludf.DUMMYFUNCTION("""COMPUTED_VALUE"""),"Event Exclusive")</f>
        <v>Event Exclusive</v>
      </c>
      <c r="D138" s="5" t="str">
        <f>IFERROR(__xludf.DUMMYFUNCTION("""COMPUTED_VALUE"""),"Knife")</f>
        <v>Knife</v>
      </c>
      <c r="E138" s="40">
        <f>IFERROR(__xludf.DUMMYFUNCTION("""COMPUTED_VALUE"""),200.0)</f>
        <v>200</v>
      </c>
      <c r="F138" s="44">
        <f>IFERROR(__xludf.DUMMYFUNCTION("""COMPUTED_VALUE"""),1900000.0)</f>
        <v>1900000</v>
      </c>
      <c r="G138" s="32" t="str">
        <f>IFERROR(__xludf.DUMMYFUNCTION("""COMPUTED_VALUE"""),"DMG")</f>
        <v>DMG</v>
      </c>
      <c r="H138" s="32">
        <f>IFERROR(__xludf.DUMMYFUNCTION("""COMPUTED_VALUE"""),5000.0)</f>
        <v>5000</v>
      </c>
      <c r="I138" s="32"/>
      <c r="J138" s="32"/>
      <c r="K138" s="32">
        <f>IFERROR(__xludf.DUMMYFUNCTION("""COMPUTED_VALUE"""),5000.0)</f>
        <v>5000</v>
      </c>
      <c r="L138" s="32"/>
      <c r="M138" s="32"/>
      <c r="N138" s="32"/>
      <c r="O138" s="32"/>
      <c r="P138" s="32"/>
      <c r="Q138" s="32"/>
      <c r="R138" s="32"/>
      <c r="S138" s="32"/>
      <c r="T138" s="32"/>
      <c r="U138" s="32"/>
      <c r="V138" s="32"/>
      <c r="W138" s="32"/>
      <c r="X138" s="32"/>
      <c r="Y138" s="32"/>
      <c r="Z138" s="32"/>
      <c r="AA138" s="32"/>
      <c r="AB138" s="32"/>
      <c r="AC138" s="32"/>
      <c r="AD138" s="42"/>
      <c r="AE138" s="32"/>
      <c r="AF138" s="32" t="str">
        <f>IFERROR(__xludf.DUMMYFUNCTION("""COMPUTED_VALUE"""),"++75% chance to freeze the target.")</f>
        <v>++75% chance to freeze the target.</v>
      </c>
      <c r="AG138" s="32" t="str">
        <f>IFERROR(__xludf.DUMMYFUNCTION("""COMPUTED_VALUE"""),"Land of Spira")</f>
        <v>Land of Spira</v>
      </c>
      <c r="AH138" s="32" t="b">
        <f>IFERROR(__xludf.DUMMYFUNCTION("""COMPUTED_VALUE"""),TRUE)</f>
        <v>1</v>
      </c>
      <c r="AI138" s="32"/>
      <c r="AJ138" s="32"/>
      <c r="AK138" s="32"/>
      <c r="AL138" s="32"/>
      <c r="AM138" s="32"/>
      <c r="AN138" s="32"/>
      <c r="AO138" s="32"/>
      <c r="AP138" s="32"/>
      <c r="AQ138" s="32"/>
      <c r="AR138" s="32"/>
      <c r="AS138" s="32"/>
      <c r="AT138" s="32"/>
      <c r="AU138" s="32"/>
      <c r="AV138" s="32"/>
      <c r="AW138" s="32"/>
      <c r="AX138" s="32"/>
    </row>
    <row r="139">
      <c r="A139" s="42" t="str">
        <f>IFERROR(__xludf.DUMMYFUNCTION("""COMPUTED_VALUE"""),"Haunted Katana")</f>
        <v>Haunted Katana</v>
      </c>
      <c r="B139" s="5" t="str">
        <f>IFERROR(__xludf.DUMMYFUNCTION("""COMPUTED_VALUE"""),"Hand")</f>
        <v>Hand</v>
      </c>
      <c r="C139" s="32"/>
      <c r="D139" s="5" t="str">
        <f>IFERROR(__xludf.DUMMYFUNCTION("""COMPUTED_VALUE"""),"Sword")</f>
        <v>Sword</v>
      </c>
      <c r="E139" s="40">
        <f>IFERROR(__xludf.DUMMYFUNCTION("""COMPUTED_VALUE"""),600.0)</f>
        <v>600</v>
      </c>
      <c r="F139" s="44">
        <f>IFERROR(__xludf.DUMMYFUNCTION("""COMPUTED_VALUE"""),1.77E7)</f>
        <v>17700000</v>
      </c>
      <c r="G139" s="32" t="str">
        <f>IFERROR(__xludf.DUMMYFUNCTION("""COMPUTED_VALUE"""),"DMG")</f>
        <v>DMG</v>
      </c>
      <c r="H139" s="33">
        <f>IFERROR(__xludf.DUMMYFUNCTION("""COMPUTED_VALUE"""),10000.0)</f>
        <v>10000</v>
      </c>
      <c r="I139" s="32"/>
      <c r="J139" s="32"/>
      <c r="K139" s="32"/>
      <c r="L139" s="32"/>
      <c r="M139" s="32"/>
      <c r="N139" s="32"/>
      <c r="O139" s="33">
        <f>IFERROR(__xludf.DUMMYFUNCTION("""COMPUTED_VALUE"""),10000.0)</f>
        <v>10000</v>
      </c>
      <c r="P139" s="33">
        <f>IFERROR(__xludf.DUMMYFUNCTION("""COMPUTED_VALUE"""),10000.0)</f>
        <v>10000</v>
      </c>
      <c r="Q139" s="32"/>
      <c r="R139" s="32"/>
      <c r="S139" s="32"/>
      <c r="T139" s="32"/>
      <c r="U139" s="32"/>
      <c r="V139" s="32"/>
      <c r="W139" s="32"/>
      <c r="X139" s="32"/>
      <c r="Y139" s="32"/>
      <c r="Z139" s="32"/>
      <c r="AA139" s="32"/>
      <c r="AB139" s="32"/>
      <c r="AC139" s="32"/>
      <c r="AD139" s="42"/>
      <c r="AE139" s="32"/>
      <c r="AF139" s="32" t="str">
        <f>IFERROR(__xludf.DUMMYFUNCTION("""COMPUTED_VALUE"""),"+-You go last during the turn order in battle.. ")</f>
        <v>+-You go last during the turn order in battle.. </v>
      </c>
      <c r="AG139" s="32" t="str">
        <f>IFERROR(__xludf.DUMMYFUNCTION("""COMPUTED_VALUE"""),"Land of Spira")</f>
        <v>Land of Spira</v>
      </c>
      <c r="AH139" s="32" t="b">
        <f>IFERROR(__xludf.DUMMYFUNCTION("""COMPUTED_VALUE"""),FALSE)</f>
        <v>0</v>
      </c>
      <c r="AI139" s="32"/>
      <c r="AJ139" s="32"/>
      <c r="AK139" s="32"/>
      <c r="AL139" s="32"/>
      <c r="AM139" s="32"/>
      <c r="AN139" s="32"/>
      <c r="AO139" s="32"/>
      <c r="AP139" s="32"/>
      <c r="AQ139" s="32"/>
      <c r="AR139" s="32"/>
      <c r="AS139" s="32"/>
      <c r="AT139" s="32"/>
      <c r="AU139" s="32"/>
      <c r="AV139" s="32"/>
      <c r="AW139" s="32"/>
      <c r="AX139" s="32"/>
    </row>
    <row r="140">
      <c r="A140" s="42" t="str">
        <f>IFERROR(__xludf.DUMMYFUNCTION("""COMPUTED_VALUE"""),"Haunted King's Favorite Shield")</f>
        <v>Haunted King's Favorite Shield</v>
      </c>
      <c r="B140" s="5" t="str">
        <f>IFERROR(__xludf.DUMMYFUNCTION("""COMPUTED_VALUE"""),"Hand")</f>
        <v>Hand</v>
      </c>
      <c r="C140" s="32" t="str">
        <f>IFERROR(__xludf.DUMMYFUNCTION("""COMPUTED_VALUE"""),"Halloween exclusive")</f>
        <v>Halloween exclusive</v>
      </c>
      <c r="D140" s="5" t="str">
        <f>IFERROR(__xludf.DUMMYFUNCTION("""COMPUTED_VALUE"""),"Towershield")</f>
        <v>Towershield</v>
      </c>
      <c r="E140" s="40">
        <f>IFERROR(__xludf.DUMMYFUNCTION("""COMPUTED_VALUE"""),20.0)</f>
        <v>20</v>
      </c>
      <c r="F140" s="40">
        <f>IFERROR(__xludf.DUMMYFUNCTION("""COMPUTED_VALUE"""),10000.0)</f>
        <v>10000</v>
      </c>
      <c r="G140" s="41" t="str">
        <f>IFERROR(__xludf.DUMMYFUNCTION("""COMPUTED_VALUE"""),"DEF")</f>
        <v>DEF</v>
      </c>
      <c r="H140" s="32">
        <f>IFERROR(__xludf.DUMMYFUNCTION("""COMPUTED_VALUE"""),1000.0)</f>
        <v>1000</v>
      </c>
      <c r="I140" s="32"/>
      <c r="J140" s="32"/>
      <c r="K140" s="32"/>
      <c r="L140" s="32"/>
      <c r="M140" s="32"/>
      <c r="N140" s="32"/>
      <c r="O140" s="32"/>
      <c r="P140" s="32"/>
      <c r="Q140" s="32"/>
      <c r="R140" s="32"/>
      <c r="S140" s="32"/>
      <c r="T140" s="32"/>
      <c r="U140" s="32"/>
      <c r="V140" s="32"/>
      <c r="W140" s="32"/>
      <c r="X140" s="32"/>
      <c r="Y140" s="32"/>
      <c r="Z140" s="32"/>
      <c r="AA140" s="32"/>
      <c r="AB140" s="32"/>
      <c r="AC140" s="32"/>
      <c r="AD140" s="42"/>
      <c r="AE140" s="32"/>
      <c r="AF140" s="32" t="str">
        <f>IFERROR(__xludf.DUMMYFUNCTION("""COMPUTED_VALUE"""),"++Great Block - When attacked you will take no damage until your next turn, Costs All SP and sets Users HP to 1.")</f>
        <v>++Great Block - When attacked you will take no damage until your next turn, Costs All SP and sets Users HP to 1.</v>
      </c>
      <c r="AG140" s="32" t="str">
        <f>IFERROR(__xludf.DUMMYFUNCTION("""COMPUTED_VALUE"""),"Land of Spira")</f>
        <v>Land of Spira</v>
      </c>
      <c r="AH140" s="32" t="b">
        <f>IFERROR(__xludf.DUMMYFUNCTION("""COMPUTED_VALUE"""),FALSE)</f>
        <v>0</v>
      </c>
      <c r="AI140" s="32"/>
      <c r="AJ140" s="32"/>
      <c r="AK140" s="32"/>
      <c r="AL140" s="32"/>
      <c r="AM140" s="32"/>
      <c r="AN140" s="32"/>
      <c r="AO140" s="32"/>
      <c r="AP140" s="32"/>
      <c r="AQ140" s="32"/>
      <c r="AR140" s="32"/>
      <c r="AS140" s="32"/>
      <c r="AT140" s="32"/>
      <c r="AU140" s="32"/>
      <c r="AV140" s="32"/>
      <c r="AW140" s="32"/>
      <c r="AX140" s="32"/>
    </row>
    <row r="141">
      <c r="A141" s="42" t="str">
        <f>IFERROR(__xludf.DUMMYFUNCTION("""COMPUTED_VALUE"""),"Haunted King's Favorite Sword")</f>
        <v>Haunted King's Favorite Sword</v>
      </c>
      <c r="B141" s="5" t="str">
        <f>IFERROR(__xludf.DUMMYFUNCTION("""COMPUTED_VALUE"""),"Hand")</f>
        <v>Hand</v>
      </c>
      <c r="C141" s="32" t="str">
        <f>IFERROR(__xludf.DUMMYFUNCTION("""COMPUTED_VALUE"""),"Halloween exclusive")</f>
        <v>Halloween exclusive</v>
      </c>
      <c r="D141" s="5" t="str">
        <f>IFERROR(__xludf.DUMMYFUNCTION("""COMPUTED_VALUE"""),"Sword")</f>
        <v>Sword</v>
      </c>
      <c r="E141" s="40">
        <f>IFERROR(__xludf.DUMMYFUNCTION("""COMPUTED_VALUE"""),60.0)</f>
        <v>60</v>
      </c>
      <c r="F141" s="40">
        <f>IFERROR(__xludf.DUMMYFUNCTION("""COMPUTED_VALUE"""),150000.0)</f>
        <v>150000</v>
      </c>
      <c r="G141" s="5" t="str">
        <f>IFERROR(__xludf.DUMMYFUNCTION("""COMPUTED_VALUE"""),"DMG")</f>
        <v>DMG</v>
      </c>
      <c r="H141" s="32">
        <f>IFERROR(__xludf.DUMMYFUNCTION("""COMPUTED_VALUE"""),3000.0)</f>
        <v>3000</v>
      </c>
      <c r="I141" s="32"/>
      <c r="J141" s="32"/>
      <c r="K141" s="32"/>
      <c r="L141" s="32"/>
      <c r="M141" s="32"/>
      <c r="N141" s="32"/>
      <c r="O141" s="32"/>
      <c r="P141" s="32"/>
      <c r="Q141" s="32"/>
      <c r="R141" s="32"/>
      <c r="S141" s="32"/>
      <c r="T141" s="32"/>
      <c r="U141" s="32"/>
      <c r="V141" s="32"/>
      <c r="W141" s="32"/>
      <c r="X141" s="32"/>
      <c r="Y141" s="32"/>
      <c r="Z141" s="32"/>
      <c r="AA141" s="32"/>
      <c r="AB141" s="32"/>
      <c r="AC141" s="32"/>
      <c r="AD141" s="42"/>
      <c r="AE141" s="32"/>
      <c r="AF141" s="32"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32" t="str">
        <f>IFERROR(__xludf.DUMMYFUNCTION("""COMPUTED_VALUE"""),"Land of Spira")</f>
        <v>Land of Spira</v>
      </c>
      <c r="AH141" s="32" t="b">
        <f>IFERROR(__xludf.DUMMYFUNCTION("""COMPUTED_VALUE"""),FALSE)</f>
        <v>0</v>
      </c>
      <c r="AI141" s="32"/>
      <c r="AJ141" s="32"/>
      <c r="AK141" s="32"/>
      <c r="AL141" s="32"/>
      <c r="AM141" s="32"/>
      <c r="AN141" s="32"/>
      <c r="AO141" s="32"/>
      <c r="AP141" s="32"/>
      <c r="AQ141" s="32"/>
      <c r="AR141" s="32"/>
      <c r="AS141" s="32"/>
      <c r="AT141" s="32"/>
      <c r="AU141" s="32"/>
      <c r="AV141" s="32"/>
      <c r="AW141" s="32"/>
      <c r="AX141" s="32"/>
    </row>
    <row r="142">
      <c r="A142" s="5" t="str">
        <f>IFERROR(__xludf.DUMMYFUNCTION("""COMPUTED_VALUE"""),"Heatmore Flame Golem Head")</f>
        <v>Heatmore Flame Golem Head</v>
      </c>
      <c r="B142" s="5" t="str">
        <f>IFERROR(__xludf.DUMMYFUNCTION("""COMPUTED_VALUE"""),"Head")</f>
        <v>Head</v>
      </c>
      <c r="C142" s="32"/>
      <c r="D142" s="5"/>
      <c r="E142" s="40">
        <f>IFERROR(__xludf.DUMMYFUNCTION("""COMPUTED_VALUE"""),300.0)</f>
        <v>300</v>
      </c>
      <c r="F142" s="40">
        <f>IFERROR(__xludf.DUMMYFUNCTION("""COMPUTED_VALUE"""),4350000.0)</f>
        <v>4350000</v>
      </c>
      <c r="G142" s="5" t="str">
        <f>IFERROR(__xludf.DUMMYFUNCTION("""COMPUTED_VALUE"""),"DEF")</f>
        <v>DEF</v>
      </c>
      <c r="H142" s="32">
        <f>IFERROR(__xludf.DUMMYFUNCTION("""COMPUTED_VALUE"""),5000.0)</f>
        <v>5000</v>
      </c>
      <c r="I142" s="32">
        <f>IFERROR(__xludf.DUMMYFUNCTION("""COMPUTED_VALUE"""),5000.0)</f>
        <v>5000</v>
      </c>
      <c r="J142" s="32"/>
      <c r="K142" s="32"/>
      <c r="L142" s="32"/>
      <c r="M142" s="32">
        <f>IFERROR(__xludf.DUMMYFUNCTION("""COMPUTED_VALUE"""),5000.0)</f>
        <v>5000</v>
      </c>
      <c r="N142" s="32"/>
      <c r="O142" s="32"/>
      <c r="P142" s="32"/>
      <c r="Q142" s="32"/>
      <c r="R142" s="32"/>
      <c r="S142" s="32"/>
      <c r="T142" s="32"/>
      <c r="U142" s="32"/>
      <c r="V142" s="32"/>
      <c r="W142" s="32"/>
      <c r="X142" s="32"/>
      <c r="Y142" s="32"/>
      <c r="Z142" s="32"/>
      <c r="AA142" s="32"/>
      <c r="AB142" s="32"/>
      <c r="AC142" s="32"/>
      <c r="AD142" s="42"/>
      <c r="AE142" s="32"/>
      <c r="AF142" s="32" t="str">
        <f>IFERROR(__xludf.DUMMYFUNCTION("""COMPUTED_VALUE"""),"++X2 additional Earth and Fire Resistance.")</f>
        <v>++X2 additional Earth and Fire Resistance.</v>
      </c>
      <c r="AG142" s="32" t="str">
        <f>IFERROR(__xludf.DUMMYFUNCTION("""COMPUTED_VALUE"""),"Land of Spira")</f>
        <v>Land of Spira</v>
      </c>
      <c r="AH142" s="32" t="b">
        <f>IFERROR(__xludf.DUMMYFUNCTION("""COMPUTED_VALUE"""),FALSE)</f>
        <v>0</v>
      </c>
      <c r="AI142" s="32"/>
      <c r="AJ142" s="32"/>
      <c r="AK142" s="32"/>
      <c r="AL142" s="32"/>
      <c r="AM142" s="32"/>
      <c r="AN142" s="32"/>
      <c r="AO142" s="32"/>
      <c r="AP142" s="32"/>
      <c r="AQ142" s="32"/>
      <c r="AR142" s="32"/>
      <c r="AS142" s="32"/>
      <c r="AT142" s="32"/>
      <c r="AU142" s="32"/>
      <c r="AV142" s="32"/>
      <c r="AW142" s="32"/>
      <c r="AX142" s="32"/>
    </row>
    <row r="143">
      <c r="A143" s="5" t="str">
        <f>IFERROR(__xludf.DUMMYFUNCTION("""COMPUTED_VALUE"""),"Helmet of Darkness")</f>
        <v>Helmet of Darkness</v>
      </c>
      <c r="B143" s="5" t="str">
        <f>IFERROR(__xludf.DUMMYFUNCTION("""COMPUTED_VALUE"""),"Head")</f>
        <v>Head</v>
      </c>
      <c r="C143" s="32"/>
      <c r="D143" s="5"/>
      <c r="E143" s="40">
        <f>IFERROR(__xludf.DUMMYFUNCTION("""COMPUTED_VALUE"""),400.0)</f>
        <v>400</v>
      </c>
      <c r="F143" s="40">
        <f>IFERROR(__xludf.DUMMYFUNCTION("""COMPUTED_VALUE"""),7800000.0)</f>
        <v>7800000</v>
      </c>
      <c r="G143" s="5" t="str">
        <f>IFERROR(__xludf.DUMMYFUNCTION("""COMPUTED_VALUE"""),"DEF")</f>
        <v>DEF</v>
      </c>
      <c r="H143" s="33">
        <f>IFERROR(__xludf.DUMMYFUNCTION("""COMPUTED_VALUE"""),10000.0)</f>
        <v>10000</v>
      </c>
      <c r="I143" s="32"/>
      <c r="J143" s="32"/>
      <c r="K143" s="32"/>
      <c r="L143" s="32"/>
      <c r="M143" s="32"/>
      <c r="N143" s="32"/>
      <c r="O143" s="33">
        <f>IFERROR(__xludf.DUMMYFUNCTION("""COMPUTED_VALUE"""),10000.0)</f>
        <v>10000</v>
      </c>
      <c r="P143" s="32"/>
      <c r="Q143" s="32"/>
      <c r="R143" s="32"/>
      <c r="S143" s="32"/>
      <c r="T143" s="32"/>
      <c r="U143" s="32"/>
      <c r="V143" s="32"/>
      <c r="W143" s="32"/>
      <c r="X143" s="32"/>
      <c r="Y143" s="32"/>
      <c r="Z143" s="32"/>
      <c r="AA143" s="32"/>
      <c r="AB143" s="32"/>
      <c r="AC143" s="32"/>
      <c r="AD143" s="42"/>
      <c r="AE143" s="32"/>
      <c r="AF143" s="32" t="str">
        <f>IFERROR(__xludf.DUMMYFUNCTION("""COMPUTED_VALUE"""),"++Immunity to Dark damage.")</f>
        <v>++Immunity to Dark damage.</v>
      </c>
      <c r="AG143" s="32" t="str">
        <f>IFERROR(__xludf.DUMMYFUNCTION("""COMPUTED_VALUE"""),"Land of Spira")</f>
        <v>Land of Spira</v>
      </c>
      <c r="AH143" s="32" t="b">
        <f>IFERROR(__xludf.DUMMYFUNCTION("""COMPUTED_VALUE"""),FALSE)</f>
        <v>0</v>
      </c>
      <c r="AI143" s="32"/>
      <c r="AJ143" s="32"/>
      <c r="AK143" s="32"/>
      <c r="AL143" s="32"/>
      <c r="AM143" s="32"/>
      <c r="AN143" s="32"/>
      <c r="AO143" s="32"/>
      <c r="AP143" s="32"/>
      <c r="AQ143" s="32"/>
      <c r="AR143" s="32"/>
      <c r="AS143" s="32"/>
      <c r="AT143" s="32"/>
      <c r="AU143" s="32"/>
      <c r="AV143" s="32"/>
      <c r="AW143" s="32"/>
      <c r="AX143" s="32"/>
    </row>
    <row r="144">
      <c r="A144" s="5" t="str">
        <f>IFERROR(__xludf.DUMMYFUNCTION("""COMPUTED_VALUE"""),"Helmet of Waking Waters")</f>
        <v>Helmet of Waking Waters</v>
      </c>
      <c r="B144" s="5" t="str">
        <f>IFERROR(__xludf.DUMMYFUNCTION("""COMPUTED_VALUE"""),"Head")</f>
        <v>Head</v>
      </c>
      <c r="C144" s="32"/>
      <c r="D144" s="5"/>
      <c r="E144" s="40">
        <f>IFERROR(__xludf.DUMMYFUNCTION("""COMPUTED_VALUE"""),200.0)</f>
        <v>200</v>
      </c>
      <c r="F144" s="40">
        <f>IFERROR(__xludf.DUMMYFUNCTION("""COMPUTED_VALUE"""),1900000.0)</f>
        <v>1900000</v>
      </c>
      <c r="G144" s="5" t="str">
        <f>IFERROR(__xludf.DUMMYFUNCTION("""COMPUTED_VALUE"""),"DEF")</f>
        <v>DEF</v>
      </c>
      <c r="H144" s="32">
        <f>IFERROR(__xludf.DUMMYFUNCTION("""COMPUTED_VALUE"""),5000.0)</f>
        <v>5000</v>
      </c>
      <c r="I144" s="32"/>
      <c r="J144" s="32"/>
      <c r="K144" s="32">
        <f>IFERROR(__xludf.DUMMYFUNCTION("""COMPUTED_VALUE"""),5000.0)</f>
        <v>5000</v>
      </c>
      <c r="L144" s="32"/>
      <c r="M144" s="32"/>
      <c r="N144" s="32"/>
      <c r="O144" s="32"/>
      <c r="P144" s="32"/>
      <c r="Q144" s="32"/>
      <c r="R144" s="32"/>
      <c r="S144" s="32"/>
      <c r="T144" s="32"/>
      <c r="U144" s="32"/>
      <c r="V144" s="32"/>
      <c r="W144" s="32"/>
      <c r="X144" s="32"/>
      <c r="Y144" s="32"/>
      <c r="Z144" s="32"/>
      <c r="AA144" s="32"/>
      <c r="AB144" s="32"/>
      <c r="AC144" s="32"/>
      <c r="AD144" s="42"/>
      <c r="AE144" s="32"/>
      <c r="AF144" s="32" t="str">
        <f>IFERROR(__xludf.DUMMYFUNCTION("""COMPUTED_VALUE"""),"++X4 additional water damage.")</f>
        <v>++X4 additional water damage.</v>
      </c>
      <c r="AG144" s="32" t="str">
        <f>IFERROR(__xludf.DUMMYFUNCTION("""COMPUTED_VALUE"""),"Land of Spira")</f>
        <v>Land of Spira</v>
      </c>
      <c r="AH144" s="32" t="b">
        <f>IFERROR(__xludf.DUMMYFUNCTION("""COMPUTED_VALUE"""),FALSE)</f>
        <v>0</v>
      </c>
      <c r="AI144" s="32"/>
      <c r="AJ144" s="32"/>
      <c r="AK144" s="32"/>
      <c r="AL144" s="32"/>
      <c r="AM144" s="32"/>
      <c r="AN144" s="32"/>
      <c r="AO144" s="32"/>
      <c r="AP144" s="32"/>
      <c r="AQ144" s="32"/>
      <c r="AR144" s="32"/>
      <c r="AS144" s="32"/>
      <c r="AT144" s="32"/>
      <c r="AU144" s="32"/>
      <c r="AV144" s="32"/>
      <c r="AW144" s="32"/>
      <c r="AX144" s="32"/>
    </row>
    <row r="145">
      <c r="A145" s="5" t="str">
        <f>IFERROR(__xludf.DUMMYFUNCTION("""COMPUTED_VALUE"""),"High Range Bow")</f>
        <v>High Range Bow</v>
      </c>
      <c r="B145" s="5" t="str">
        <f>IFERROR(__xludf.DUMMYFUNCTION("""COMPUTED_VALUE"""),"Hand")</f>
        <v>Hand</v>
      </c>
      <c r="C145" s="32"/>
      <c r="D145" s="5" t="str">
        <f>IFERROR(__xludf.DUMMYFUNCTION("""COMPUTED_VALUE"""),"Bow")</f>
        <v>Bow</v>
      </c>
      <c r="E145" s="40">
        <f>IFERROR(__xludf.DUMMYFUNCTION("""COMPUTED_VALUE"""),10.0)</f>
        <v>10</v>
      </c>
      <c r="F145" s="40">
        <f>IFERROR(__xludf.DUMMYFUNCTION("""COMPUTED_VALUE"""),1000.0)</f>
        <v>1000</v>
      </c>
      <c r="G145" s="5" t="str">
        <f>IFERROR(__xludf.DUMMYFUNCTION("""COMPUTED_VALUE"""),"DMG")</f>
        <v>DMG</v>
      </c>
      <c r="H145" s="32">
        <f>IFERROR(__xludf.DUMMYFUNCTION("""COMPUTED_VALUE"""),500.0)</f>
        <v>500</v>
      </c>
      <c r="I145" s="32"/>
      <c r="J145" s="32"/>
      <c r="K145" s="32"/>
      <c r="L145" s="32"/>
      <c r="M145" s="32"/>
      <c r="N145" s="32"/>
      <c r="O145" s="32"/>
      <c r="P145" s="32"/>
      <c r="Q145" s="32"/>
      <c r="R145" s="32"/>
      <c r="S145" s="32"/>
      <c r="T145" s="32"/>
      <c r="U145" s="32"/>
      <c r="V145" s="32"/>
      <c r="W145" s="32"/>
      <c r="X145" s="32"/>
      <c r="Y145" s="32"/>
      <c r="Z145" s="32"/>
      <c r="AA145" s="32"/>
      <c r="AB145" s="32"/>
      <c r="AC145" s="32"/>
      <c r="AD145" s="42"/>
      <c r="AE145" s="32"/>
      <c r="AF145" s="32" t="str">
        <f>IFERROR(__xludf.DUMMYFUNCTION("""COMPUTED_VALUE"""),"++Hawkeye: X2 more arrow damage and ranged attacks deal half damage that are dealt to the wearer. ")</f>
        <v>++Hawkeye: X2 more arrow damage and ranged attacks deal half damage that are dealt to the wearer. </v>
      </c>
      <c r="AG145" s="32" t="str">
        <f>IFERROR(__xludf.DUMMYFUNCTION("""COMPUTED_VALUE"""),"Land of Spira")</f>
        <v>Land of Spira</v>
      </c>
      <c r="AH145" s="32" t="b">
        <f>IFERROR(__xludf.DUMMYFUNCTION("""COMPUTED_VALUE"""),FALSE)</f>
        <v>0</v>
      </c>
      <c r="AI145" s="32"/>
      <c r="AJ145" s="32"/>
      <c r="AK145" s="32"/>
      <c r="AL145" s="32"/>
      <c r="AM145" s="32"/>
      <c r="AN145" s="32"/>
      <c r="AO145" s="32"/>
      <c r="AP145" s="32"/>
      <c r="AQ145" s="32"/>
      <c r="AR145" s="32"/>
      <c r="AS145" s="32"/>
      <c r="AT145" s="32"/>
      <c r="AU145" s="32"/>
      <c r="AV145" s="32"/>
      <c r="AW145" s="32"/>
      <c r="AX145" s="32"/>
    </row>
    <row r="146">
      <c r="A146" s="5" t="str">
        <f>IFERROR(__xludf.DUMMYFUNCTION("""COMPUTED_VALUE"""),"Horn of The Forgotten")</f>
        <v>Horn of The Forgotten</v>
      </c>
      <c r="B146" s="5" t="str">
        <f>IFERROR(__xludf.DUMMYFUNCTION("""COMPUTED_VALUE"""),"Hand")</f>
        <v>Hand</v>
      </c>
      <c r="C146" s="32"/>
      <c r="D146" s="5" t="str">
        <f>IFERROR(__xludf.DUMMYFUNCTION("""COMPUTED_VALUE"""),"Wand")</f>
        <v>Wand</v>
      </c>
      <c r="E146" s="40">
        <f>IFERROR(__xludf.DUMMYFUNCTION("""COMPUTED_VALUE"""),1.0)</f>
        <v>1</v>
      </c>
      <c r="F146" s="40">
        <f>IFERROR(__xludf.DUMMYFUNCTION("""COMPUTED_VALUE"""),0.0)</f>
        <v>0</v>
      </c>
      <c r="G146" s="5"/>
      <c r="H146" s="32"/>
      <c r="I146" s="32"/>
      <c r="J146" s="32"/>
      <c r="K146" s="32"/>
      <c r="L146" s="32"/>
      <c r="M146" s="32"/>
      <c r="N146" s="32"/>
      <c r="O146" s="32"/>
      <c r="P146" s="32"/>
      <c r="Q146" s="32"/>
      <c r="R146" s="32"/>
      <c r="S146" s="32"/>
      <c r="T146" s="32"/>
      <c r="U146" s="32"/>
      <c r="V146" s="32"/>
      <c r="W146" s="32"/>
      <c r="X146" s="32"/>
      <c r="Y146" s="32"/>
      <c r="Z146" s="32"/>
      <c r="AA146" s="32"/>
      <c r="AB146" s="32"/>
      <c r="AC146" s="32"/>
      <c r="AD146" s="42"/>
      <c r="AE146" s="32"/>
      <c r="AF146" s="32"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32" t="str">
        <f>IFERROR(__xludf.DUMMYFUNCTION("""COMPUTED_VALUE"""),"Abstara")</f>
        <v>Abstara</v>
      </c>
      <c r="AH146" s="32" t="b">
        <f>IFERROR(__xludf.DUMMYFUNCTION("""COMPUTED_VALUE"""),FALSE)</f>
        <v>0</v>
      </c>
      <c r="AI146" s="32"/>
      <c r="AJ146" s="32"/>
      <c r="AK146" s="32"/>
      <c r="AL146" s="32"/>
      <c r="AM146" s="32"/>
      <c r="AN146" s="32"/>
      <c r="AO146" s="32"/>
      <c r="AP146" s="32"/>
      <c r="AQ146" s="32"/>
      <c r="AR146" s="32"/>
      <c r="AS146" s="32"/>
      <c r="AT146" s="32"/>
      <c r="AU146" s="32"/>
      <c r="AV146" s="32"/>
      <c r="AW146" s="32"/>
      <c r="AX146" s="32"/>
    </row>
    <row r="147">
      <c r="A147" s="5" t="str">
        <f>IFERROR(__xludf.DUMMYFUNCTION("""COMPUTED_VALUE"""),"Houyi's Bow")</f>
        <v>Houyi's Bow</v>
      </c>
      <c r="B147" s="5" t="str">
        <f>IFERROR(__xludf.DUMMYFUNCTION("""COMPUTED_VALUE"""),"Hand")</f>
        <v>Hand</v>
      </c>
      <c r="C147" s="32"/>
      <c r="D147" s="5" t="str">
        <f>IFERROR(__xludf.DUMMYFUNCTION("""COMPUTED_VALUE"""),"Bow")</f>
        <v>Bow</v>
      </c>
      <c r="E147" s="40">
        <f>IFERROR(__xludf.DUMMYFUNCTION("""COMPUTED_VALUE"""),400.0)</f>
        <v>400</v>
      </c>
      <c r="F147" s="40">
        <f>IFERROR(__xludf.DUMMYFUNCTION("""COMPUTED_VALUE"""),7800000.0)</f>
        <v>7800000</v>
      </c>
      <c r="G147" s="5" t="str">
        <f>IFERROR(__xludf.DUMMYFUNCTION("""COMPUTED_VALUE"""),"DMG")</f>
        <v>DMG</v>
      </c>
      <c r="H147" s="33">
        <f>IFERROR(__xludf.DUMMYFUNCTION("""COMPUTED_VALUE"""),20000.0)</f>
        <v>20000</v>
      </c>
      <c r="I147" s="32"/>
      <c r="J147" s="32"/>
      <c r="K147" s="32"/>
      <c r="L147" s="32"/>
      <c r="M147" s="32"/>
      <c r="N147" s="32"/>
      <c r="O147" s="32"/>
      <c r="P147" s="32"/>
      <c r="Q147" s="32"/>
      <c r="R147" s="32"/>
      <c r="S147" s="32"/>
      <c r="T147" s="5"/>
      <c r="U147" s="32"/>
      <c r="V147" s="32"/>
      <c r="W147" s="32"/>
      <c r="X147" s="32"/>
      <c r="Y147" s="32"/>
      <c r="Z147" s="32"/>
      <c r="AA147" s="32"/>
      <c r="AB147" s="32"/>
      <c r="AC147" s="32"/>
      <c r="AD147" s="32"/>
      <c r="AE147" s="32"/>
      <c r="AF147" s="32" t="str">
        <f>IFERROR(__xludf.DUMMYFUNCTION("""COMPUTED_VALUE"""),"++Skill Shot - gives the wielder X2 accuracy and X2 damage for bows.")</f>
        <v>++Skill Shot - gives the wielder X2 accuracy and X2 damage for bows.</v>
      </c>
      <c r="AG147" s="32" t="str">
        <f>IFERROR(__xludf.DUMMYFUNCTION("""COMPUTED_VALUE"""),"Land of Spira")</f>
        <v>Land of Spira</v>
      </c>
      <c r="AH147" s="32" t="b">
        <f>IFERROR(__xludf.DUMMYFUNCTION("""COMPUTED_VALUE"""),FALSE)</f>
        <v>0</v>
      </c>
      <c r="AI147" s="32"/>
      <c r="AJ147" s="32"/>
      <c r="AK147" s="32"/>
      <c r="AL147" s="32"/>
      <c r="AM147" s="32"/>
      <c r="AN147" s="32"/>
      <c r="AO147" s="32"/>
      <c r="AP147" s="32"/>
      <c r="AQ147" s="32"/>
      <c r="AR147" s="32"/>
      <c r="AS147" s="32"/>
      <c r="AT147" s="32"/>
      <c r="AU147" s="32"/>
      <c r="AV147" s="32"/>
      <c r="AW147" s="32"/>
      <c r="AX147" s="32"/>
    </row>
    <row r="148">
      <c r="A148" s="5" t="str">
        <f>IFERROR(__xludf.DUMMYFUNCTION("""COMPUTED_VALUE"""),"Ice Blade")</f>
        <v>Ice Blade</v>
      </c>
      <c r="B148" s="5" t="str">
        <f>IFERROR(__xludf.DUMMYFUNCTION("""COMPUTED_VALUE"""),"Hand")</f>
        <v>Hand</v>
      </c>
      <c r="C148" s="32"/>
      <c r="D148" s="5" t="str">
        <f>IFERROR(__xludf.DUMMYFUNCTION("""COMPUTED_VALUE"""),"Sword")</f>
        <v>Sword</v>
      </c>
      <c r="E148" s="40">
        <f>IFERROR(__xludf.DUMMYFUNCTION("""COMPUTED_VALUE"""),100.0)</f>
        <v>100</v>
      </c>
      <c r="F148" s="40">
        <f>IFERROR(__xludf.DUMMYFUNCTION("""COMPUTED_VALUE"""),450000.0)</f>
        <v>450000</v>
      </c>
      <c r="G148" s="5" t="str">
        <f>IFERROR(__xludf.DUMMYFUNCTION("""COMPUTED_VALUE"""),"DMG")</f>
        <v>DMG</v>
      </c>
      <c r="H148" s="32">
        <f>IFERROR(__xludf.DUMMYFUNCTION("""COMPUTED_VALUE"""),2000.0)</f>
        <v>2000</v>
      </c>
      <c r="I148" s="32"/>
      <c r="J148" s="32"/>
      <c r="K148" s="32">
        <f>IFERROR(__xludf.DUMMYFUNCTION("""COMPUTED_VALUE"""),3000.0)</f>
        <v>3000</v>
      </c>
      <c r="L148" s="32"/>
      <c r="M148" s="32"/>
      <c r="N148" s="32"/>
      <c r="O148" s="32"/>
      <c r="P148" s="32"/>
      <c r="Q148" s="32"/>
      <c r="R148" s="32"/>
      <c r="S148" s="32"/>
      <c r="T148" s="32"/>
      <c r="U148" s="32"/>
      <c r="V148" s="32"/>
      <c r="W148" s="32"/>
      <c r="X148" s="32"/>
      <c r="Y148" s="32"/>
      <c r="Z148" s="32"/>
      <c r="AA148" s="32"/>
      <c r="AB148" s="32"/>
      <c r="AC148" s="32"/>
      <c r="AD148" s="32"/>
      <c r="AE148" s="32"/>
      <c r="AF148" s="32" t="str">
        <f>IFERROR(__xludf.DUMMYFUNCTION("""COMPUTED_VALUE"""),"++50% chance to freeze the target.")</f>
        <v>++50% chance to freeze the target.</v>
      </c>
      <c r="AG148" s="32" t="str">
        <f>IFERROR(__xludf.DUMMYFUNCTION("""COMPUTED_VALUE"""),"Land of Spira")</f>
        <v>Land of Spira</v>
      </c>
      <c r="AH148" s="32" t="b">
        <f>IFERROR(__xludf.DUMMYFUNCTION("""COMPUTED_VALUE"""),FALSE)</f>
        <v>0</v>
      </c>
      <c r="AI148" s="32"/>
      <c r="AJ148" s="32"/>
      <c r="AK148" s="32"/>
      <c r="AL148" s="32"/>
      <c r="AM148" s="32"/>
      <c r="AN148" s="32"/>
      <c r="AO148" s="32"/>
      <c r="AP148" s="32"/>
      <c r="AQ148" s="32"/>
      <c r="AR148" s="32"/>
      <c r="AS148" s="32"/>
      <c r="AT148" s="32"/>
      <c r="AU148" s="32"/>
      <c r="AV148" s="32"/>
      <c r="AW148" s="32"/>
      <c r="AX148" s="32"/>
    </row>
    <row r="149">
      <c r="A149" s="5" t="str">
        <f>IFERROR(__xludf.DUMMYFUNCTION("""COMPUTED_VALUE"""),"Inferno Staff")</f>
        <v>Inferno Staff</v>
      </c>
      <c r="B149" s="5" t="str">
        <f>IFERROR(__xludf.DUMMYFUNCTION("""COMPUTED_VALUE"""),"Hand")</f>
        <v>Hand</v>
      </c>
      <c r="C149" s="32"/>
      <c r="D149" s="5" t="str">
        <f>IFERROR(__xludf.DUMMYFUNCTION("""COMPUTED_VALUE"""),"Staff")</f>
        <v>Staff</v>
      </c>
      <c r="E149" s="40">
        <f>IFERROR(__xludf.DUMMYFUNCTION("""COMPUTED_VALUE"""),200.0)</f>
        <v>200</v>
      </c>
      <c r="F149" s="40">
        <f>IFERROR(__xludf.DUMMYFUNCTION("""COMPUTED_VALUE"""),1900000.0)</f>
        <v>1900000</v>
      </c>
      <c r="G149" s="5"/>
      <c r="H149" s="32"/>
      <c r="I149" s="33">
        <f>IFERROR(__xludf.DUMMYFUNCTION("""COMPUTED_VALUE"""),10000.0)</f>
        <v>10000</v>
      </c>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t="str">
        <f>IFERROR(__xludf.DUMMYFUNCTION("""COMPUTED_VALUE"""),"++Burn 10,000 to 1 target for 3 rounds. 100sp.")</f>
        <v>++Burn 10,000 to 1 target for 3 rounds. 100sp.</v>
      </c>
      <c r="AG149" s="32" t="str">
        <f>IFERROR(__xludf.DUMMYFUNCTION("""COMPUTED_VALUE"""),"Land of Spira")</f>
        <v>Land of Spira</v>
      </c>
      <c r="AH149" s="32" t="b">
        <f>IFERROR(__xludf.DUMMYFUNCTION("""COMPUTED_VALUE"""),FALSE)</f>
        <v>0</v>
      </c>
      <c r="AI149" s="32"/>
      <c r="AJ149" s="32"/>
      <c r="AK149" s="32"/>
      <c r="AL149" s="32"/>
      <c r="AM149" s="32"/>
      <c r="AN149" s="32"/>
      <c r="AO149" s="32"/>
      <c r="AP149" s="32"/>
      <c r="AQ149" s="32"/>
      <c r="AR149" s="32"/>
      <c r="AS149" s="32"/>
      <c r="AT149" s="32"/>
      <c r="AU149" s="32"/>
      <c r="AV149" s="32"/>
      <c r="AW149" s="32"/>
      <c r="AX149" s="32"/>
    </row>
    <row r="150">
      <c r="A150" s="5" t="str">
        <f>IFERROR(__xludf.DUMMYFUNCTION("""COMPUTED_VALUE"""),"Jack's Special Archer Robe")</f>
        <v>Jack's Special Archer Robe</v>
      </c>
      <c r="B150" s="5" t="str">
        <f>IFERROR(__xludf.DUMMYFUNCTION("""COMPUTED_VALUE"""),"Torso")</f>
        <v>Torso</v>
      </c>
      <c r="C150" s="32" t="str">
        <f>IFERROR(__xludf.DUMMYFUNCTION("""COMPUTED_VALUE"""),"Halloween exclusive")</f>
        <v>Halloween exclusive</v>
      </c>
      <c r="D150" s="5"/>
      <c r="E150" s="40">
        <f>IFERROR(__xludf.DUMMYFUNCTION("""COMPUTED_VALUE"""),20.0)</f>
        <v>20</v>
      </c>
      <c r="F150" s="40">
        <f>IFERROR(__xludf.DUMMYFUNCTION("""COMPUTED_VALUE"""),1000.0)</f>
        <v>1000</v>
      </c>
      <c r="G150" s="5" t="str">
        <f>IFERROR(__xludf.DUMMYFUNCTION("""COMPUTED_VALUE"""),"DEF")</f>
        <v>DEF</v>
      </c>
      <c r="H150" s="32">
        <f>IFERROR(__xludf.DUMMYFUNCTION("""COMPUTED_VALUE"""),900.0)</f>
        <v>900</v>
      </c>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t="str">
        <f>IFERROR(__xludf.DUMMYFUNCTION("""COMPUTED_VALUE"""),"++Range Spells cost half the SP cost and all damage is doubled for ranged spells +-Archer Class Only")</f>
        <v>++Range Spells cost half the SP cost and all damage is doubled for ranged spells +-Archer Class Only</v>
      </c>
      <c r="AG150" s="32" t="str">
        <f>IFERROR(__xludf.DUMMYFUNCTION("""COMPUTED_VALUE"""),"Halloween Kingdom")</f>
        <v>Halloween Kingdom</v>
      </c>
      <c r="AH150" s="32" t="b">
        <f>IFERROR(__xludf.DUMMYFUNCTION("""COMPUTED_VALUE"""),FALSE)</f>
        <v>0</v>
      </c>
      <c r="AI150" s="32"/>
      <c r="AJ150" s="32"/>
      <c r="AK150" s="32"/>
      <c r="AL150" s="32"/>
      <c r="AM150" s="32"/>
      <c r="AN150" s="32"/>
      <c r="AO150" s="32"/>
      <c r="AP150" s="32"/>
      <c r="AQ150" s="32"/>
      <c r="AR150" s="32"/>
      <c r="AS150" s="32"/>
      <c r="AT150" s="32"/>
      <c r="AU150" s="32"/>
      <c r="AV150" s="32"/>
      <c r="AW150" s="32"/>
      <c r="AX150" s="32"/>
    </row>
    <row r="151">
      <c r="A151" s="5" t="str">
        <f>IFERROR(__xludf.DUMMYFUNCTION("""COMPUTED_VALUE"""),"Jack's Special Ring")</f>
        <v>Jack's Special Ring</v>
      </c>
      <c r="B151" s="5" t="str">
        <f>IFERROR(__xludf.DUMMYFUNCTION("""COMPUTED_VALUE"""),"Ring")</f>
        <v>Ring</v>
      </c>
      <c r="C151" s="32" t="str">
        <f>IFERROR(__xludf.DUMMYFUNCTION("""COMPUTED_VALUE"""),"Halloween exclusive")</f>
        <v>Halloween exclusive</v>
      </c>
      <c r="D151" s="5"/>
      <c r="E151" s="40">
        <f>IFERROR(__xludf.DUMMYFUNCTION("""COMPUTED_VALUE"""),1.0)</f>
        <v>1</v>
      </c>
      <c r="F151" s="40">
        <f>IFERROR(__xludf.DUMMYFUNCTION("""COMPUTED_VALUE"""),0.0)</f>
        <v>0</v>
      </c>
      <c r="G151" s="5"/>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t="str">
        <f>IFERROR(__xludf.DUMMYFUNCTION("""COMPUTED_VALUE"""),"++Increase all types of damage by X2. +-Cannot be forged +-Cannot be duplicated")</f>
        <v>++Increase all types of damage by X2. +-Cannot be forged +-Cannot be duplicated</v>
      </c>
      <c r="AG151" s="32" t="str">
        <f>IFERROR(__xludf.DUMMYFUNCTION("""COMPUTED_VALUE"""),"Halloween Kingdom")</f>
        <v>Halloween Kingdom</v>
      </c>
      <c r="AH151" s="32" t="b">
        <f>IFERROR(__xludf.DUMMYFUNCTION("""COMPUTED_VALUE"""),FALSE)</f>
        <v>0</v>
      </c>
      <c r="AI151" s="32"/>
      <c r="AJ151" s="32"/>
      <c r="AK151" s="32"/>
      <c r="AL151" s="32"/>
      <c r="AM151" s="32"/>
      <c r="AN151" s="32"/>
      <c r="AO151" s="32"/>
      <c r="AP151" s="32"/>
      <c r="AQ151" s="32"/>
      <c r="AR151" s="32"/>
      <c r="AS151" s="32"/>
      <c r="AT151" s="32"/>
      <c r="AU151" s="32"/>
      <c r="AV151" s="32"/>
      <c r="AW151" s="32"/>
      <c r="AX151" s="32"/>
    </row>
    <row r="152">
      <c r="A152" s="5" t="str">
        <f>IFERROR(__xludf.DUMMYFUNCTION("""COMPUTED_VALUE"""),"Jack's Special Sword")</f>
        <v>Jack's Special Sword</v>
      </c>
      <c r="B152" s="5" t="str">
        <f>IFERROR(__xludf.DUMMYFUNCTION("""COMPUTED_VALUE"""),"Hand")</f>
        <v>Hand</v>
      </c>
      <c r="C152" s="32" t="str">
        <f>IFERROR(__xludf.DUMMYFUNCTION("""COMPUTED_VALUE"""),"Halloween exclusive")</f>
        <v>Halloween exclusive</v>
      </c>
      <c r="D152" s="5" t="str">
        <f>IFERROR(__xludf.DUMMYFUNCTION("""COMPUTED_VALUE"""),"Sword")</f>
        <v>Sword</v>
      </c>
      <c r="E152" s="40">
        <f>IFERROR(__xludf.DUMMYFUNCTION("""COMPUTED_VALUE"""),60.0)</f>
        <v>60</v>
      </c>
      <c r="F152" s="40">
        <f>IFERROR(__xludf.DUMMYFUNCTION("""COMPUTED_VALUE"""),150000.0)</f>
        <v>150000</v>
      </c>
      <c r="G152" s="5" t="str">
        <f>IFERROR(__xludf.DUMMYFUNCTION("""COMPUTED_VALUE"""),"DMG")</f>
        <v>DMG</v>
      </c>
      <c r="H152" s="33">
        <f>IFERROR(__xludf.DUMMYFUNCTION("""COMPUTED_VALUE"""),1500.0)</f>
        <v>1500</v>
      </c>
      <c r="I152" s="32"/>
      <c r="J152" s="32"/>
      <c r="K152" s="32"/>
      <c r="L152" s="32"/>
      <c r="M152" s="32"/>
      <c r="N152" s="32"/>
      <c r="O152" s="32">
        <f>IFERROR(__xludf.DUMMYFUNCTION("""COMPUTED_VALUE"""),600.0)</f>
        <v>600</v>
      </c>
      <c r="P152" s="32"/>
      <c r="Q152" s="32"/>
      <c r="R152" s="32">
        <f>IFERROR(__xludf.DUMMYFUNCTION("""COMPUTED_VALUE"""),900.0)</f>
        <v>900</v>
      </c>
      <c r="S152" s="32"/>
      <c r="T152" s="32"/>
      <c r="U152" s="32"/>
      <c r="V152" s="32"/>
      <c r="W152" s="32"/>
      <c r="X152" s="32"/>
      <c r="Y152" s="32"/>
      <c r="Z152" s="32"/>
      <c r="AA152" s="32"/>
      <c r="AB152" s="32"/>
      <c r="AC152" s="32"/>
      <c r="AD152" s="32"/>
      <c r="AE152" s="32"/>
      <c r="AF152" s="32"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32" t="str">
        <f>IFERROR(__xludf.DUMMYFUNCTION("""COMPUTED_VALUE"""),"Halloween Kingdom")</f>
        <v>Halloween Kingdom</v>
      </c>
      <c r="AH152" s="32" t="b">
        <f>IFERROR(__xludf.DUMMYFUNCTION("""COMPUTED_VALUE"""),FALSE)</f>
        <v>0</v>
      </c>
      <c r="AI152" s="32"/>
      <c r="AJ152" s="32"/>
      <c r="AK152" s="32"/>
      <c r="AL152" s="32"/>
      <c r="AM152" s="32"/>
      <c r="AN152" s="32"/>
      <c r="AO152" s="32"/>
      <c r="AP152" s="32"/>
      <c r="AQ152" s="32"/>
      <c r="AR152" s="32"/>
      <c r="AS152" s="32"/>
      <c r="AT152" s="32"/>
      <c r="AU152" s="32"/>
      <c r="AV152" s="32"/>
      <c r="AW152" s="32"/>
      <c r="AX152" s="32"/>
    </row>
    <row r="153">
      <c r="A153" s="5" t="str">
        <f>IFERROR(__xludf.DUMMYFUNCTION("""COMPUTED_VALUE"""),"Jack’o Lantern Helmet of Swampy Hallow")</f>
        <v>Jack’o Lantern Helmet of Swampy Hallow</v>
      </c>
      <c r="B153" s="5" t="str">
        <f>IFERROR(__xludf.DUMMYFUNCTION("""COMPUTED_VALUE"""),"Head")</f>
        <v>Head</v>
      </c>
      <c r="C153" s="32" t="str">
        <f>IFERROR(__xludf.DUMMYFUNCTION("""COMPUTED_VALUE"""),"Halloween exclusive")</f>
        <v>Halloween exclusive</v>
      </c>
      <c r="D153" s="5"/>
      <c r="E153" s="40">
        <f>IFERROR(__xludf.DUMMYFUNCTION("""COMPUTED_VALUE"""),600.0)</f>
        <v>600</v>
      </c>
      <c r="F153" s="40">
        <f>IFERROR(__xludf.DUMMYFUNCTION("""COMPUTED_VALUE"""),1.77E7)</f>
        <v>17700000</v>
      </c>
      <c r="G153" s="5" t="str">
        <f>IFERROR(__xludf.DUMMYFUNCTION("""COMPUTED_VALUE"""),"DEF")</f>
        <v>DEF</v>
      </c>
      <c r="H153" s="32">
        <f>IFERROR(__xludf.DUMMYFUNCTION("""COMPUTED_VALUE"""),5000.0)</f>
        <v>5000</v>
      </c>
      <c r="I153" s="32">
        <f>IFERROR(__xludf.DUMMYFUNCTION("""COMPUTED_VALUE"""),5000.0)</f>
        <v>5000</v>
      </c>
      <c r="J153" s="32"/>
      <c r="K153" s="32"/>
      <c r="L153" s="32"/>
      <c r="M153" s="32"/>
      <c r="N153" s="32"/>
      <c r="O153" s="32">
        <f>IFERROR(__xludf.DUMMYFUNCTION("""COMPUTED_VALUE"""),5000.0)</f>
        <v>5000</v>
      </c>
      <c r="P153" s="32">
        <f>IFERROR(__xludf.DUMMYFUNCTION("""COMPUTED_VALUE"""),5000.0)</f>
        <v>5000</v>
      </c>
      <c r="Q153" s="32"/>
      <c r="R153" s="32">
        <f>IFERROR(__xludf.DUMMYFUNCTION("""COMPUTED_VALUE"""),5000.0)</f>
        <v>5000</v>
      </c>
      <c r="S153" s="32">
        <f>IFERROR(__xludf.DUMMYFUNCTION("""COMPUTED_VALUE"""),5000.0)</f>
        <v>5000</v>
      </c>
      <c r="T153" s="32"/>
      <c r="U153" s="32"/>
      <c r="V153" s="32"/>
      <c r="W153" s="32"/>
      <c r="X153" s="32"/>
      <c r="Y153" s="32"/>
      <c r="Z153" s="32"/>
      <c r="AA153" s="32"/>
      <c r="AB153" s="32"/>
      <c r="AC153" s="32"/>
      <c r="AD153" s="32"/>
      <c r="AE153" s="32"/>
      <c r="AF153" s="32"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32" t="str">
        <f>IFERROR(__xludf.DUMMYFUNCTION("""COMPUTED_VALUE"""),"Halloween Kingdom")</f>
        <v>Halloween Kingdom</v>
      </c>
      <c r="AH153" s="32" t="b">
        <f>IFERROR(__xludf.DUMMYFUNCTION("""COMPUTED_VALUE"""),FALSE)</f>
        <v>0</v>
      </c>
      <c r="AI153" s="32"/>
      <c r="AJ153" s="32"/>
      <c r="AK153" s="32"/>
      <c r="AL153" s="32"/>
      <c r="AM153" s="32"/>
      <c r="AN153" s="32"/>
      <c r="AO153" s="32"/>
      <c r="AP153" s="32"/>
      <c r="AQ153" s="32"/>
      <c r="AR153" s="32"/>
      <c r="AS153" s="32"/>
      <c r="AT153" s="32"/>
      <c r="AU153" s="32"/>
      <c r="AV153" s="32"/>
      <c r="AW153" s="32"/>
      <c r="AX153" s="32"/>
    </row>
    <row r="154">
      <c r="A154" s="5" t="str">
        <f>IFERROR(__xludf.DUMMYFUNCTION("""COMPUTED_VALUE"""),"Katana")</f>
        <v>Katana</v>
      </c>
      <c r="B154" s="5" t="str">
        <f>IFERROR(__xludf.DUMMYFUNCTION("""COMPUTED_VALUE"""),"Hand")</f>
        <v>Hand</v>
      </c>
      <c r="C154" s="32"/>
      <c r="D154" s="5" t="str">
        <f>IFERROR(__xludf.DUMMYFUNCTION("""COMPUTED_VALUE"""),"Sword")</f>
        <v>Sword</v>
      </c>
      <c r="E154" s="40">
        <f>IFERROR(__xludf.DUMMYFUNCTION("""COMPUTED_VALUE"""),10.0)</f>
        <v>10</v>
      </c>
      <c r="F154" s="40">
        <f>IFERROR(__xludf.DUMMYFUNCTION("""COMPUTED_VALUE"""),1000.0)</f>
        <v>1000</v>
      </c>
      <c r="G154" s="41" t="str">
        <f>IFERROR(__xludf.DUMMYFUNCTION("""COMPUTED_VALUE"""),"DMG")</f>
        <v>DMG</v>
      </c>
      <c r="H154" s="32">
        <f>IFERROR(__xludf.DUMMYFUNCTION("""COMPUTED_VALUE"""),500.0)</f>
        <v>500</v>
      </c>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t="str">
        <f>IFERROR(__xludf.DUMMYFUNCTION("""COMPUTED_VALUE"""),"++ +10% chance of the sword ability activating.")</f>
        <v>++ +10% chance of the sword ability activating.</v>
      </c>
      <c r="AG154" s="32" t="str">
        <f>IFERROR(__xludf.DUMMYFUNCTION("""COMPUTED_VALUE"""),"Land of Spira")</f>
        <v>Land of Spira</v>
      </c>
      <c r="AH154" s="32" t="b">
        <f>IFERROR(__xludf.DUMMYFUNCTION("""COMPUTED_VALUE"""),FALSE)</f>
        <v>0</v>
      </c>
      <c r="AI154" s="32"/>
      <c r="AJ154" s="32"/>
      <c r="AK154" s="32"/>
      <c r="AL154" s="32"/>
      <c r="AM154" s="32"/>
      <c r="AN154" s="32"/>
      <c r="AO154" s="32"/>
      <c r="AP154" s="32"/>
      <c r="AQ154" s="32"/>
      <c r="AR154" s="32"/>
      <c r="AS154" s="32"/>
      <c r="AT154" s="32"/>
      <c r="AU154" s="32"/>
      <c r="AV154" s="32"/>
      <c r="AW154" s="32"/>
      <c r="AX154" s="32"/>
    </row>
    <row r="155">
      <c r="A155" s="42" t="str">
        <f>IFERROR(__xludf.DUMMYFUNCTION("""COMPUTED_VALUE"""),"King Of Mekanas Sword")</f>
        <v>King Of Mekanas Sword</v>
      </c>
      <c r="B155" s="5" t="str">
        <f>IFERROR(__xludf.DUMMYFUNCTION("""COMPUTED_VALUE"""),"Hand")</f>
        <v>Hand</v>
      </c>
      <c r="C155" s="32" t="str">
        <f>IFERROR(__xludf.DUMMYFUNCTION("""COMPUTED_VALUE"""),"Mob Exclusive")</f>
        <v>Mob Exclusive</v>
      </c>
      <c r="D155" s="5" t="str">
        <f>IFERROR(__xludf.DUMMYFUNCTION("""COMPUTED_VALUE"""),"Sword")</f>
        <v>Sword</v>
      </c>
      <c r="E155" s="40">
        <f>IFERROR(__xludf.DUMMYFUNCTION("""COMPUTED_VALUE"""),3000.0)</f>
        <v>3000</v>
      </c>
      <c r="F155" s="40">
        <f>IFERROR(__xludf.DUMMYFUNCTION("""COMPUTED_VALUE"""),4.485E8)</f>
        <v>448500000</v>
      </c>
      <c r="G155" s="32" t="str">
        <f>IFERROR(__xludf.DUMMYFUNCTION("""COMPUTED_VALUE"""),"DMG")</f>
        <v>DMG</v>
      </c>
      <c r="H155" s="33">
        <f>IFERROR(__xludf.DUMMYFUNCTION("""COMPUTED_VALUE"""),50000.0)</f>
        <v>50000</v>
      </c>
      <c r="I155" s="33">
        <f>IFERROR(__xludf.DUMMYFUNCTION("""COMPUTED_VALUE"""),50000.0)</f>
        <v>50000</v>
      </c>
      <c r="J155" s="32"/>
      <c r="K155" s="32"/>
      <c r="L155" s="33">
        <f>IFERROR(__xludf.DUMMYFUNCTION("""COMPUTED_VALUE"""),50000.0)</f>
        <v>50000</v>
      </c>
      <c r="M155" s="32"/>
      <c r="N155" s="32"/>
      <c r="O155" s="32"/>
      <c r="P155" s="32"/>
      <c r="Q155" s="41"/>
      <c r="R155" s="32"/>
      <c r="S155" s="32"/>
      <c r="T155" s="32"/>
      <c r="U155" s="32"/>
      <c r="V155" s="32"/>
      <c r="W155" s="32"/>
      <c r="X155" s="32"/>
      <c r="Y155" s="32"/>
      <c r="Z155" s="32"/>
      <c r="AA155" s="32"/>
      <c r="AB155" s="32"/>
      <c r="AC155" s="32"/>
      <c r="AD155" s="32"/>
      <c r="AE155" s="32"/>
      <c r="AF155" s="32" t="str">
        <f>IFERROR(__xludf.DUMMYFUNCTION("""COMPUTED_VALUE"""),"++X8 additional Fire and Storm damage. ")</f>
        <v>++X8 additional Fire and Storm damage. </v>
      </c>
      <c r="AG155" s="32" t="str">
        <f>IFERROR(__xludf.DUMMYFUNCTION("""COMPUTED_VALUE"""),"Land of Spira")</f>
        <v>Land of Spira</v>
      </c>
      <c r="AH155" s="32" t="b">
        <f>IFERROR(__xludf.DUMMYFUNCTION("""COMPUTED_VALUE"""),TRUE)</f>
        <v>1</v>
      </c>
      <c r="AI155" s="32"/>
      <c r="AJ155" s="32"/>
      <c r="AK155" s="32"/>
      <c r="AL155" s="32"/>
      <c r="AM155" s="32"/>
      <c r="AN155" s="32"/>
      <c r="AO155" s="32"/>
      <c r="AP155" s="32"/>
      <c r="AQ155" s="32"/>
      <c r="AR155" s="32"/>
      <c r="AS155" s="32"/>
      <c r="AT155" s="32"/>
      <c r="AU155" s="32"/>
      <c r="AV155" s="32"/>
      <c r="AW155" s="32"/>
      <c r="AX155" s="32"/>
    </row>
    <row r="156">
      <c r="A156" s="42" t="str">
        <f>IFERROR(__xludf.DUMMYFUNCTION("""COMPUTED_VALUE"""),"King's Royal Sword")</f>
        <v>King's Royal Sword</v>
      </c>
      <c r="B156" s="5" t="str">
        <f>IFERROR(__xludf.DUMMYFUNCTION("""COMPUTED_VALUE"""),"Hand")</f>
        <v>Hand</v>
      </c>
      <c r="C156" s="32" t="str">
        <f>IFERROR(__xludf.DUMMYFUNCTION("""COMPUTED_VALUE"""),"Quest Item")</f>
        <v>Quest Item</v>
      </c>
      <c r="D156" s="5" t="str">
        <f>IFERROR(__xludf.DUMMYFUNCTION("""COMPUTED_VALUE"""),"Sword")</f>
        <v>Sword</v>
      </c>
      <c r="E156" s="40">
        <f>IFERROR(__xludf.DUMMYFUNCTION("""COMPUTED_VALUE"""),200.0)</f>
        <v>200</v>
      </c>
      <c r="F156" s="40">
        <f>IFERROR(__xludf.DUMMYFUNCTION("""COMPUTED_VALUE"""),7.98E8)</f>
        <v>798000000</v>
      </c>
      <c r="G156" s="41" t="str">
        <f>IFERROR(__xludf.DUMMYFUNCTION("""COMPUTED_VALUE"""),"DMG")</f>
        <v>DMG</v>
      </c>
      <c r="H156" s="33">
        <f>IFERROR(__xludf.DUMMYFUNCTION("""COMPUTED_VALUE"""),100000.0)</f>
        <v>100000</v>
      </c>
      <c r="I156" s="32"/>
      <c r="J156" s="32"/>
      <c r="K156" s="32"/>
      <c r="L156" s="32"/>
      <c r="M156" s="32"/>
      <c r="N156" s="32"/>
      <c r="O156" s="32"/>
      <c r="P156" s="32"/>
      <c r="Q156" s="32"/>
      <c r="R156" s="41"/>
      <c r="S156" s="32"/>
      <c r="T156" s="32"/>
      <c r="U156" s="32"/>
      <c r="V156" s="32"/>
      <c r="W156" s="32"/>
      <c r="X156" s="32"/>
      <c r="Y156" s="32"/>
      <c r="Z156" s="32"/>
      <c r="AA156" s="32"/>
      <c r="AB156" s="32"/>
      <c r="AC156" s="33">
        <f>IFERROR(__xludf.DUMMYFUNCTION("""COMPUTED_VALUE"""),100000.0)</f>
        <v>100000</v>
      </c>
      <c r="AD156" s="42"/>
      <c r="AE156" s="32"/>
      <c r="AF156" s="32" t="str">
        <f>IFERROR(__xludf.DUMMYFUNCTION("""COMPUTED_VALUE"""),"++ +5 can be added to your d20 rolls. X12 additional Celestial damage. +-Cannot be duplicated")</f>
        <v>++ +5 can be added to your d20 rolls. X12 additional Celestial damage. +-Cannot be duplicated</v>
      </c>
      <c r="AG156" s="32" t="str">
        <f>IFERROR(__xludf.DUMMYFUNCTION("""COMPUTED_VALUE"""),"Land of Spira")</f>
        <v>Land of Spira</v>
      </c>
      <c r="AH156" s="32" t="b">
        <f>IFERROR(__xludf.DUMMYFUNCTION("""COMPUTED_VALUE"""),FALSE)</f>
        <v>0</v>
      </c>
      <c r="AI156" s="32"/>
      <c r="AJ156" s="32"/>
      <c r="AK156" s="32"/>
      <c r="AL156" s="32"/>
      <c r="AM156" s="32"/>
      <c r="AN156" s="32"/>
      <c r="AO156" s="32"/>
      <c r="AP156" s="32"/>
      <c r="AQ156" s="32"/>
      <c r="AR156" s="32"/>
      <c r="AS156" s="32"/>
      <c r="AT156" s="32"/>
      <c r="AU156" s="32"/>
      <c r="AV156" s="32"/>
      <c r="AW156" s="32"/>
      <c r="AX156" s="32"/>
    </row>
    <row r="157">
      <c r="A157" s="5" t="str">
        <f>IFERROR(__xludf.DUMMYFUNCTION("""COMPUTED_VALUE"""),"Knife")</f>
        <v>Knife</v>
      </c>
      <c r="B157" s="5" t="str">
        <f>IFERROR(__xludf.DUMMYFUNCTION("""COMPUTED_VALUE"""),"Hand")</f>
        <v>Hand</v>
      </c>
      <c r="C157" s="32"/>
      <c r="D157" s="5" t="str">
        <f>IFERROR(__xludf.DUMMYFUNCTION("""COMPUTED_VALUE"""),"Knife")</f>
        <v>Knife</v>
      </c>
      <c r="E157" s="40">
        <f>IFERROR(__xludf.DUMMYFUNCTION("""COMPUTED_VALUE"""),20.0)</f>
        <v>20</v>
      </c>
      <c r="F157" s="40">
        <f>IFERROR(__xludf.DUMMYFUNCTION("""COMPUTED_VALUE"""),10000.0)</f>
        <v>10000</v>
      </c>
      <c r="G157" s="41" t="str">
        <f>IFERROR(__xludf.DUMMYFUNCTION("""COMPUTED_VALUE"""),"DMG")</f>
        <v>DMG</v>
      </c>
      <c r="H157" s="32">
        <f>IFERROR(__xludf.DUMMYFUNCTION("""COMPUTED_VALUE"""),1000.0)</f>
        <v>1000</v>
      </c>
      <c r="I157" s="32"/>
      <c r="J157" s="32"/>
      <c r="K157" s="32"/>
      <c r="L157" s="32"/>
      <c r="M157" s="32"/>
      <c r="N157" s="32"/>
      <c r="O157" s="32"/>
      <c r="P157" s="5"/>
      <c r="Q157" s="32"/>
      <c r="R157" s="32"/>
      <c r="S157" s="32"/>
      <c r="T157" s="32"/>
      <c r="U157" s="32"/>
      <c r="V157" s="32"/>
      <c r="W157" s="32"/>
      <c r="X157" s="32"/>
      <c r="Y157" s="32"/>
      <c r="Z157" s="32"/>
      <c r="AA157" s="32"/>
      <c r="AB157" s="32"/>
      <c r="AC157" s="32"/>
      <c r="AD157" s="42"/>
      <c r="AE157" s="32"/>
      <c r="AF157" s="32"/>
      <c r="AG157" s="32" t="str">
        <f>IFERROR(__xludf.DUMMYFUNCTION("""COMPUTED_VALUE"""),"Land of Spira")</f>
        <v>Land of Spira</v>
      </c>
      <c r="AH157" s="32" t="b">
        <f>IFERROR(__xludf.DUMMYFUNCTION("""COMPUTED_VALUE"""),FALSE)</f>
        <v>0</v>
      </c>
      <c r="AI157" s="32"/>
      <c r="AJ157" s="32"/>
      <c r="AK157" s="32"/>
      <c r="AL157" s="32"/>
      <c r="AM157" s="32"/>
      <c r="AN157" s="32"/>
      <c r="AO157" s="32"/>
      <c r="AP157" s="32"/>
      <c r="AQ157" s="32"/>
      <c r="AR157" s="32"/>
      <c r="AS157" s="32"/>
      <c r="AT157" s="32"/>
      <c r="AU157" s="32"/>
      <c r="AV157" s="32"/>
      <c r="AW157" s="32"/>
      <c r="AX157" s="32"/>
    </row>
    <row r="158">
      <c r="A158" s="5" t="str">
        <f>IFERROR(__xludf.DUMMYFUNCTION("""COMPUTED_VALUE"""),"Knife of Jinx")</f>
        <v>Knife of Jinx</v>
      </c>
      <c r="B158" s="5" t="str">
        <f>IFERROR(__xludf.DUMMYFUNCTION("""COMPUTED_VALUE"""),"Hand")</f>
        <v>Hand</v>
      </c>
      <c r="C158" s="32"/>
      <c r="D158" s="5" t="str">
        <f>IFERROR(__xludf.DUMMYFUNCTION("""COMPUTED_VALUE"""),"Knife")</f>
        <v>Knife</v>
      </c>
      <c r="E158" s="40">
        <f>IFERROR(__xludf.DUMMYFUNCTION("""COMPUTED_VALUE"""),1.0)</f>
        <v>1</v>
      </c>
      <c r="F158" s="40">
        <f>IFERROR(__xludf.DUMMYFUNCTION("""COMPUTED_VALUE"""),0.0)</f>
        <v>0</v>
      </c>
      <c r="G158" s="5" t="str">
        <f>IFERROR(__xludf.DUMMYFUNCTION("""COMPUTED_VALUE"""),"DMG")</f>
        <v>DMG</v>
      </c>
      <c r="H158" s="32">
        <f>IFERROR(__xludf.DUMMYFUNCTION("""COMPUTED_VALUE"""),10.0)</f>
        <v>10</v>
      </c>
      <c r="I158" s="32"/>
      <c r="J158" s="32"/>
      <c r="K158" s="32"/>
      <c r="L158" s="32"/>
      <c r="M158" s="32"/>
      <c r="N158" s="32"/>
      <c r="O158" s="32"/>
      <c r="P158" s="32"/>
      <c r="Q158" s="32"/>
      <c r="R158" s="5"/>
      <c r="S158" s="32"/>
      <c r="T158" s="32"/>
      <c r="U158" s="32"/>
      <c r="V158" s="32"/>
      <c r="W158" s="32"/>
      <c r="X158" s="32"/>
      <c r="Y158" s="32"/>
      <c r="Z158" s="32"/>
      <c r="AA158" s="32"/>
      <c r="AB158" s="32"/>
      <c r="AC158" s="32"/>
      <c r="AD158" s="32"/>
      <c r="AE158" s="32"/>
      <c r="AF158" s="32"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32" t="str">
        <f>IFERROR(__xludf.DUMMYFUNCTION("""COMPUTED_VALUE"""),"Land of Spira")</f>
        <v>Land of Spira</v>
      </c>
      <c r="AH158" s="32" t="b">
        <f>IFERROR(__xludf.DUMMYFUNCTION("""COMPUTED_VALUE"""),FALSE)</f>
        <v>0</v>
      </c>
      <c r="AI158" s="32"/>
      <c r="AJ158" s="32"/>
      <c r="AK158" s="32"/>
      <c r="AL158" s="32"/>
      <c r="AM158" s="32"/>
      <c r="AN158" s="32"/>
      <c r="AO158" s="32"/>
      <c r="AP158" s="32"/>
      <c r="AQ158" s="32"/>
      <c r="AR158" s="32"/>
      <c r="AS158" s="32"/>
      <c r="AT158" s="32"/>
      <c r="AU158" s="32"/>
      <c r="AV158" s="32"/>
      <c r="AW158" s="32"/>
      <c r="AX158" s="32"/>
    </row>
    <row r="159">
      <c r="A159" s="5" t="str">
        <f>IFERROR(__xludf.DUMMYFUNCTION("""COMPUTED_VALUE"""),"kraken's power ring")</f>
        <v>kraken's power ring</v>
      </c>
      <c r="B159" s="5" t="str">
        <f>IFERROR(__xludf.DUMMYFUNCTION("""COMPUTED_VALUE"""),"Ring")</f>
        <v>Ring</v>
      </c>
      <c r="C159" s="32"/>
      <c r="D159" s="5"/>
      <c r="E159" s="40">
        <f>IFERROR(__xludf.DUMMYFUNCTION("""COMPUTED_VALUE"""),1.0)</f>
        <v>1</v>
      </c>
      <c r="F159" s="40">
        <f>IFERROR(__xludf.DUMMYFUNCTION("""COMPUTED_VALUE"""),0.0)</f>
        <v>0</v>
      </c>
      <c r="G159" s="5"/>
      <c r="H159" s="32"/>
      <c r="I159" s="32"/>
      <c r="J159" s="32"/>
      <c r="K159" s="32"/>
      <c r="L159" s="32"/>
      <c r="M159" s="32"/>
      <c r="N159" s="32"/>
      <c r="O159" s="32"/>
      <c r="P159" s="32"/>
      <c r="Q159" s="32"/>
      <c r="R159" s="5"/>
      <c r="S159" s="32"/>
      <c r="T159" s="32"/>
      <c r="U159" s="32"/>
      <c r="V159" s="32"/>
      <c r="W159" s="32"/>
      <c r="X159" s="32"/>
      <c r="Y159" s="32"/>
      <c r="Z159" s="32"/>
      <c r="AA159" s="32"/>
      <c r="AB159" s="32"/>
      <c r="AC159" s="32"/>
      <c r="AD159" s="42"/>
      <c r="AE159" s="32"/>
      <c r="AF159" s="32" t="str">
        <f>IFERROR(__xludf.DUMMYFUNCTION("""COMPUTED_VALUE"""),"++water based attacks double in damage. ++sp cost is halved for water spells only")</f>
        <v>++water based attacks double in damage. ++sp cost is halved for water spells only</v>
      </c>
      <c r="AG159" s="32" t="str">
        <f>IFERROR(__xludf.DUMMYFUNCTION("""COMPUTED_VALUE"""),"Land of Spira")</f>
        <v>Land of Spira</v>
      </c>
      <c r="AH159" s="32" t="b">
        <f>IFERROR(__xludf.DUMMYFUNCTION("""COMPUTED_VALUE"""),FALSE)</f>
        <v>0</v>
      </c>
      <c r="AI159" s="32"/>
      <c r="AJ159" s="32"/>
      <c r="AK159" s="32"/>
      <c r="AL159" s="32"/>
      <c r="AM159" s="32"/>
      <c r="AN159" s="32"/>
      <c r="AO159" s="32"/>
      <c r="AP159" s="32"/>
      <c r="AQ159" s="32"/>
      <c r="AR159" s="32"/>
      <c r="AS159" s="32"/>
      <c r="AT159" s="32"/>
      <c r="AU159" s="32"/>
      <c r="AV159" s="32"/>
      <c r="AW159" s="32"/>
      <c r="AX159" s="32"/>
    </row>
    <row r="160">
      <c r="A160" s="42" t="str">
        <f>IFERROR(__xludf.DUMMYFUNCTION("""COMPUTED_VALUE"""),"Krakens Power Ring")</f>
        <v>Krakens Power Ring</v>
      </c>
      <c r="B160" s="5" t="str">
        <f>IFERROR(__xludf.DUMMYFUNCTION("""COMPUTED_VALUE"""),"Ring")</f>
        <v>Ring</v>
      </c>
      <c r="C160" s="32"/>
      <c r="D160" s="5"/>
      <c r="E160" s="40">
        <f>IFERROR(__xludf.DUMMYFUNCTION("""COMPUTED_VALUE"""),1.0)</f>
        <v>1</v>
      </c>
      <c r="F160" s="40">
        <f>IFERROR(__xludf.DUMMYFUNCTION("""COMPUTED_VALUE"""),0.0)</f>
        <v>0</v>
      </c>
      <c r="G160" s="5"/>
      <c r="H160" s="32"/>
      <c r="I160" s="32"/>
      <c r="J160" s="32"/>
      <c r="K160" s="32"/>
      <c r="L160" s="32"/>
      <c r="M160" s="32"/>
      <c r="N160" s="32"/>
      <c r="O160" s="32"/>
      <c r="P160" s="32"/>
      <c r="Q160" s="32"/>
      <c r="R160" s="5"/>
      <c r="S160" s="32"/>
      <c r="T160" s="32"/>
      <c r="U160" s="32"/>
      <c r="V160" s="32"/>
      <c r="W160" s="32"/>
      <c r="X160" s="32"/>
      <c r="Y160" s="32"/>
      <c r="Z160" s="32"/>
      <c r="AA160" s="32"/>
      <c r="AB160" s="32"/>
      <c r="AC160" s="32"/>
      <c r="AD160" s="32"/>
      <c r="AE160" s="32"/>
      <c r="AF160" s="32" t="str">
        <f>IFERROR(__xludf.DUMMYFUNCTION("""COMPUTED_VALUE"""),"++water based attacks deal x2 damage, ++sp is halved for water spells only. +-(one use per battle)")</f>
        <v>++water based attacks deal x2 damage, ++sp is halved for water spells only. +-(one use per battle)</v>
      </c>
      <c r="AG160" s="32" t="str">
        <f>IFERROR(__xludf.DUMMYFUNCTION("""COMPUTED_VALUE"""),"Land of Spira")</f>
        <v>Land of Spira</v>
      </c>
      <c r="AH160" s="32" t="b">
        <f>IFERROR(__xludf.DUMMYFUNCTION("""COMPUTED_VALUE"""),FALSE)</f>
        <v>0</v>
      </c>
      <c r="AI160" s="32"/>
      <c r="AJ160" s="32"/>
      <c r="AK160" s="32"/>
      <c r="AL160" s="32"/>
      <c r="AM160" s="32"/>
      <c r="AN160" s="32"/>
      <c r="AO160" s="32"/>
      <c r="AP160" s="32"/>
      <c r="AQ160" s="32"/>
      <c r="AR160" s="32"/>
      <c r="AS160" s="32"/>
      <c r="AT160" s="32"/>
      <c r="AU160" s="32"/>
      <c r="AV160" s="32"/>
      <c r="AW160" s="32"/>
      <c r="AX160" s="32"/>
    </row>
    <row r="161">
      <c r="A161" s="5" t="str">
        <f>IFERROR(__xludf.DUMMYFUNCTION("""COMPUTED_VALUE"""),"Lava Longsword")</f>
        <v>Lava Longsword</v>
      </c>
      <c r="B161" s="5" t="str">
        <f>IFERROR(__xludf.DUMMYFUNCTION("""COMPUTED_VALUE"""),"Hand")</f>
        <v>Hand</v>
      </c>
      <c r="C161" s="32"/>
      <c r="D161" s="5" t="str">
        <f>IFERROR(__xludf.DUMMYFUNCTION("""COMPUTED_VALUE"""),"Sword")</f>
        <v>Sword</v>
      </c>
      <c r="E161" s="40">
        <f>IFERROR(__xludf.DUMMYFUNCTION("""COMPUTED_VALUE"""),800.0)</f>
        <v>800</v>
      </c>
      <c r="F161" s="40">
        <f>IFERROR(__xludf.DUMMYFUNCTION("""COMPUTED_VALUE"""),3.16E7)</f>
        <v>31600000</v>
      </c>
      <c r="G161" s="5" t="str">
        <f>IFERROR(__xludf.DUMMYFUNCTION("""COMPUTED_VALUE"""),"DMG")</f>
        <v>DMG</v>
      </c>
      <c r="H161" s="33">
        <f>IFERROR(__xludf.DUMMYFUNCTION("""COMPUTED_VALUE"""),20000.0)</f>
        <v>20000</v>
      </c>
      <c r="I161" s="33">
        <f>IFERROR(__xludf.DUMMYFUNCTION("""COMPUTED_VALUE"""),20000.0)</f>
        <v>20000</v>
      </c>
      <c r="J161" s="32"/>
      <c r="K161" s="32"/>
      <c r="L161" s="32"/>
      <c r="M161" s="32"/>
      <c r="N161" s="5"/>
      <c r="O161" s="32"/>
      <c r="P161" s="32"/>
      <c r="Q161" s="32"/>
      <c r="R161" s="5"/>
      <c r="S161" s="32"/>
      <c r="T161" s="32"/>
      <c r="U161" s="32"/>
      <c r="V161" s="32"/>
      <c r="W161" s="32"/>
      <c r="X161" s="32"/>
      <c r="Y161" s="32"/>
      <c r="Z161" s="32"/>
      <c r="AA161" s="32"/>
      <c r="AB161" s="32"/>
      <c r="AC161" s="32"/>
      <c r="AD161" s="5"/>
      <c r="AE161" s="32"/>
      <c r="AF161" s="32" t="str">
        <f>IFERROR(__xludf.DUMMYFUNCTION("""COMPUTED_VALUE"""),"++Burn 10,000 for 3 rounds.")</f>
        <v>++Burn 10,000 for 3 rounds.</v>
      </c>
      <c r="AG161" s="32" t="str">
        <f>IFERROR(__xludf.DUMMYFUNCTION("""COMPUTED_VALUE"""),"Land of Spira")</f>
        <v>Land of Spira</v>
      </c>
      <c r="AH161" s="32" t="b">
        <f>IFERROR(__xludf.DUMMYFUNCTION("""COMPUTED_VALUE"""),FALSE)</f>
        <v>0</v>
      </c>
      <c r="AI161" s="32"/>
      <c r="AJ161" s="32"/>
      <c r="AK161" s="32"/>
      <c r="AL161" s="32"/>
      <c r="AM161" s="32"/>
      <c r="AN161" s="32"/>
      <c r="AO161" s="32"/>
      <c r="AP161" s="32"/>
      <c r="AQ161" s="32"/>
      <c r="AR161" s="32"/>
      <c r="AS161" s="32"/>
      <c r="AT161" s="32"/>
      <c r="AU161" s="32"/>
      <c r="AV161" s="32"/>
      <c r="AW161" s="32"/>
      <c r="AX161" s="32"/>
    </row>
    <row r="162">
      <c r="A162" s="5" t="str">
        <f>IFERROR(__xludf.DUMMYFUNCTION("""COMPUTED_VALUE"""),"Lazer Infused Sword")</f>
        <v>Lazer Infused Sword</v>
      </c>
      <c r="B162" s="5" t="str">
        <f>IFERROR(__xludf.DUMMYFUNCTION("""COMPUTED_VALUE"""),"Hand")</f>
        <v>Hand</v>
      </c>
      <c r="C162" s="32"/>
      <c r="D162" s="5" t="str">
        <f>IFERROR(__xludf.DUMMYFUNCTION("""COMPUTED_VALUE"""),"Sword")</f>
        <v>Sword</v>
      </c>
      <c r="E162" s="40">
        <f>IFERROR(__xludf.DUMMYFUNCTION("""COMPUTED_VALUE"""),600.0)</f>
        <v>600</v>
      </c>
      <c r="F162" s="40">
        <f>IFERROR(__xludf.DUMMYFUNCTION("""COMPUTED_VALUE"""),1.77E7)</f>
        <v>17700000</v>
      </c>
      <c r="G162" s="5" t="str">
        <f>IFERROR(__xludf.DUMMYFUNCTION("""COMPUTED_VALUE"""),"DMG")</f>
        <v>DMG</v>
      </c>
      <c r="H162" s="33">
        <f>IFERROR(__xludf.DUMMYFUNCTION("""COMPUTED_VALUE"""),10000.0)</f>
        <v>10000</v>
      </c>
      <c r="I162" s="33">
        <f>IFERROR(__xludf.DUMMYFUNCTION("""COMPUTED_VALUE"""),10000.0)</f>
        <v>10000</v>
      </c>
      <c r="J162" s="32"/>
      <c r="K162" s="32"/>
      <c r="L162" s="32"/>
      <c r="M162" s="32"/>
      <c r="N162" s="32"/>
      <c r="O162" s="32"/>
      <c r="P162" s="32"/>
      <c r="Q162" s="32"/>
      <c r="R162" s="32"/>
      <c r="S162" s="32"/>
      <c r="T162" s="32"/>
      <c r="U162" s="32"/>
      <c r="V162" s="32"/>
      <c r="W162" s="32"/>
      <c r="X162" s="32"/>
      <c r="Y162" s="33">
        <f>IFERROR(__xludf.DUMMYFUNCTION("""COMPUTED_VALUE"""),10000.0)</f>
        <v>10000</v>
      </c>
      <c r="Z162" s="32"/>
      <c r="AA162" s="32"/>
      <c r="AB162" s="32"/>
      <c r="AC162" s="32"/>
      <c r="AD162" s="42"/>
      <c r="AE162" s="32"/>
      <c r="AF162" s="32" t="str">
        <f>IFERROR(__xludf.DUMMYFUNCTION("""COMPUTED_VALUE"""),"++Ignores Defense. +-Cannot be duplicated.")</f>
        <v>++Ignores Defense. +-Cannot be duplicated.</v>
      </c>
      <c r="AG162" s="32" t="str">
        <f>IFERROR(__xludf.DUMMYFUNCTION("""COMPUTED_VALUE"""),"Land of Spira")</f>
        <v>Land of Spira</v>
      </c>
      <c r="AH162" s="32" t="b">
        <f>IFERROR(__xludf.DUMMYFUNCTION("""COMPUTED_VALUE"""),FALSE)</f>
        <v>0</v>
      </c>
      <c r="AI162" s="32"/>
      <c r="AJ162" s="32"/>
      <c r="AK162" s="32"/>
      <c r="AL162" s="32"/>
      <c r="AM162" s="32"/>
      <c r="AN162" s="32"/>
      <c r="AO162" s="32"/>
      <c r="AP162" s="32"/>
      <c r="AQ162" s="32"/>
      <c r="AR162" s="32"/>
      <c r="AS162" s="32"/>
      <c r="AT162" s="32"/>
      <c r="AU162" s="32"/>
      <c r="AV162" s="32"/>
      <c r="AW162" s="32"/>
      <c r="AX162" s="32"/>
    </row>
    <row r="163">
      <c r="A163" s="5" t="str">
        <f>IFERROR(__xludf.DUMMYFUNCTION("""COMPUTED_VALUE"""),"Legendary Sword of Heatmore")</f>
        <v>Legendary Sword of Heatmore</v>
      </c>
      <c r="B163" s="5" t="str">
        <f>IFERROR(__xludf.DUMMYFUNCTION("""COMPUTED_VALUE"""),"Hand")</f>
        <v>Hand</v>
      </c>
      <c r="C163" s="32"/>
      <c r="D163" s="5" t="str">
        <f>IFERROR(__xludf.DUMMYFUNCTION("""COMPUTED_VALUE"""),"Sword")</f>
        <v>Sword</v>
      </c>
      <c r="E163" s="40">
        <f>IFERROR(__xludf.DUMMYFUNCTION("""COMPUTED_VALUE"""),200.0)</f>
        <v>200</v>
      </c>
      <c r="F163" s="40">
        <f>IFERROR(__xludf.DUMMYFUNCTION("""COMPUTED_VALUE"""),1.272E8)</f>
        <v>127200000</v>
      </c>
      <c r="G163" s="5" t="str">
        <f>IFERROR(__xludf.DUMMYFUNCTION("""COMPUTED_VALUE"""),"DMG")</f>
        <v>DMG</v>
      </c>
      <c r="H163" s="33">
        <f>IFERROR(__xludf.DUMMYFUNCTION("""COMPUTED_VALUE"""),20000.0)</f>
        <v>20000</v>
      </c>
      <c r="I163" s="33">
        <f>IFERROR(__xludf.DUMMYFUNCTION("""COMPUTED_VALUE"""),20000.0)</f>
        <v>20000</v>
      </c>
      <c r="J163" s="32"/>
      <c r="K163" s="33">
        <f>IFERROR(__xludf.DUMMYFUNCTION("""COMPUTED_VALUE"""),20000.0)</f>
        <v>20000</v>
      </c>
      <c r="L163" s="32"/>
      <c r="M163" s="32"/>
      <c r="N163" s="5"/>
      <c r="O163" s="32"/>
      <c r="P163" s="32"/>
      <c r="Q163" s="32"/>
      <c r="R163" s="32"/>
      <c r="S163" s="32"/>
      <c r="T163" s="32"/>
      <c r="U163" s="32"/>
      <c r="V163" s="32"/>
      <c r="W163" s="32"/>
      <c r="X163" s="32"/>
      <c r="Y163" s="32"/>
      <c r="Z163" s="32"/>
      <c r="AA163" s="32"/>
      <c r="AB163" s="32"/>
      <c r="AC163" s="33">
        <f>IFERROR(__xludf.DUMMYFUNCTION("""COMPUTED_VALUE"""),20000.0)</f>
        <v>20000</v>
      </c>
      <c r="AD163" s="32"/>
      <c r="AE163" s="32"/>
      <c r="AF163" s="32" t="str">
        <f>IFERROR(__xludf.DUMMYFUNCTION("""COMPUTED_VALUE"""),"++75% chance of instant death. ++X6 additional Fire damage. ++Burn 10,000. +-Cannot be duplicated")</f>
        <v>++75% chance of instant death. ++X6 additional Fire damage. ++Burn 10,000. +-Cannot be duplicated</v>
      </c>
      <c r="AG163" s="32" t="str">
        <f>IFERROR(__xludf.DUMMYFUNCTION("""COMPUTED_VALUE"""),"Land of Spira")</f>
        <v>Land of Spira</v>
      </c>
      <c r="AH163" s="32" t="b">
        <f>IFERROR(__xludf.DUMMYFUNCTION("""COMPUTED_VALUE"""),FALSE)</f>
        <v>0</v>
      </c>
      <c r="AI163" s="32"/>
      <c r="AJ163" s="32"/>
      <c r="AK163" s="32"/>
      <c r="AL163" s="32"/>
      <c r="AM163" s="32"/>
      <c r="AN163" s="32"/>
      <c r="AO163" s="32"/>
      <c r="AP163" s="32"/>
      <c r="AQ163" s="32"/>
      <c r="AR163" s="32"/>
      <c r="AS163" s="32"/>
      <c r="AT163" s="32"/>
      <c r="AU163" s="32"/>
      <c r="AV163" s="32"/>
      <c r="AW163" s="32"/>
      <c r="AX163" s="32"/>
    </row>
    <row r="164">
      <c r="A164" s="27" t="str">
        <f>IFERROR(__xludf.DUMMYFUNCTION("""COMPUTED_VALUE"""),"Legendary Tree Sword")</f>
        <v>Legendary Tree Sword</v>
      </c>
      <c r="B164" s="5" t="str">
        <f>IFERROR(__xludf.DUMMYFUNCTION("""COMPUTED_VALUE"""),"Hand")</f>
        <v>Hand</v>
      </c>
      <c r="C164" s="32"/>
      <c r="D164" s="5" t="str">
        <f>IFERROR(__xludf.DUMMYFUNCTION("""COMPUTED_VALUE"""),"Sword")</f>
        <v>Sword</v>
      </c>
      <c r="E164" s="40">
        <f>IFERROR(__xludf.DUMMYFUNCTION("""COMPUTED_VALUE"""),200.0)</f>
        <v>200</v>
      </c>
      <c r="F164" s="40">
        <f>IFERROR(__xludf.DUMMYFUNCTION("""COMPUTED_VALUE"""),4.485E8)</f>
        <v>448500000</v>
      </c>
      <c r="G164" s="5" t="str">
        <f>IFERROR(__xludf.DUMMYFUNCTION("""COMPUTED_VALUE"""),"DMG")</f>
        <v>DMG</v>
      </c>
      <c r="H164" s="33">
        <f>IFERROR(__xludf.DUMMYFUNCTION("""COMPUTED_VALUE"""),50000.0)</f>
        <v>50000</v>
      </c>
      <c r="I164" s="32"/>
      <c r="J164" s="32"/>
      <c r="K164" s="32"/>
      <c r="L164" s="32"/>
      <c r="M164" s="32"/>
      <c r="N164" s="32"/>
      <c r="O164" s="32"/>
      <c r="P164" s="32"/>
      <c r="Q164" s="32"/>
      <c r="R164" s="32"/>
      <c r="S164" s="33">
        <f>IFERROR(__xludf.DUMMYFUNCTION("""COMPUTED_VALUE"""),50000.0)</f>
        <v>50000</v>
      </c>
      <c r="T164" s="32"/>
      <c r="U164" s="32"/>
      <c r="V164" s="32"/>
      <c r="W164" s="32"/>
      <c r="X164" s="32"/>
      <c r="Y164" s="32"/>
      <c r="Z164" s="32"/>
      <c r="AA164" s="32"/>
      <c r="AB164" s="32"/>
      <c r="AC164" s="33">
        <f>IFERROR(__xludf.DUMMYFUNCTION("""COMPUTED_VALUE"""),50000.0)</f>
        <v>50000</v>
      </c>
      <c r="AD164" s="5"/>
      <c r="AE164" s="32"/>
      <c r="AF164" s="32" t="str">
        <f>IFERROR(__xludf.DUMMYFUNCTION("""COMPUTED_VALUE"""),"++X6 Additional Nature damage. ++20% chance of Incorporeal 2. +-Cannot be duplicated.")</f>
        <v>++X6 Additional Nature damage. ++20% chance of Incorporeal 2. +-Cannot be duplicated.</v>
      </c>
      <c r="AG164" s="32" t="str">
        <f>IFERROR(__xludf.DUMMYFUNCTION("""COMPUTED_VALUE"""),"Land of Spira")</f>
        <v>Land of Spira</v>
      </c>
      <c r="AH164" s="32" t="b">
        <f>IFERROR(__xludf.DUMMYFUNCTION("""COMPUTED_VALUE"""),FALSE)</f>
        <v>0</v>
      </c>
      <c r="AI164" s="32"/>
      <c r="AJ164" s="32"/>
      <c r="AK164" s="32"/>
      <c r="AL164" s="32"/>
      <c r="AM164" s="32"/>
      <c r="AN164" s="32"/>
      <c r="AO164" s="32"/>
      <c r="AP164" s="32"/>
      <c r="AQ164" s="32"/>
      <c r="AR164" s="32"/>
      <c r="AS164" s="32"/>
      <c r="AT164" s="32"/>
      <c r="AU164" s="32"/>
      <c r="AV164" s="32"/>
      <c r="AW164" s="32"/>
      <c r="AX164" s="32"/>
    </row>
    <row r="165">
      <c r="A165" s="5" t="str">
        <f>IFERROR(__xludf.DUMMYFUNCTION("""COMPUTED_VALUE"""),"Leggings Of Tritonoch")</f>
        <v>Leggings Of Tritonoch</v>
      </c>
      <c r="B165" s="5" t="str">
        <f>IFERROR(__xludf.DUMMYFUNCTION("""COMPUTED_VALUE"""),"Legs")</f>
        <v>Legs</v>
      </c>
      <c r="C165" s="32"/>
      <c r="D165" s="5"/>
      <c r="E165" s="40">
        <f>IFERROR(__xludf.DUMMYFUNCTION("""COMPUTED_VALUE"""),400.0)</f>
        <v>400</v>
      </c>
      <c r="F165" s="40">
        <f>IFERROR(__xludf.DUMMYFUNCTION("""COMPUTED_VALUE"""),7800000.0)</f>
        <v>7800000</v>
      </c>
      <c r="G165" s="5" t="str">
        <f>IFERROR(__xludf.DUMMYFUNCTION("""COMPUTED_VALUE"""),"DEF")</f>
        <v>DEF</v>
      </c>
      <c r="H165" s="32">
        <f>IFERROR(__xludf.DUMMYFUNCTION("""COMPUTED_VALUE"""),20000.0)</f>
        <v>20000</v>
      </c>
      <c r="I165" s="32"/>
      <c r="J165" s="32"/>
      <c r="K165" s="32"/>
      <c r="L165" s="32"/>
      <c r="M165" s="32"/>
      <c r="N165" s="32"/>
      <c r="O165" s="32"/>
      <c r="P165" s="32"/>
      <c r="Q165" s="32"/>
      <c r="R165" s="32"/>
      <c r="S165" s="32"/>
      <c r="T165" s="32"/>
      <c r="U165" s="32"/>
      <c r="V165" s="32"/>
      <c r="W165" s="32"/>
      <c r="X165" s="32"/>
      <c r="Y165" s="32"/>
      <c r="Z165" s="32"/>
      <c r="AA165" s="32"/>
      <c r="AB165" s="32"/>
      <c r="AC165" s="32"/>
      <c r="AD165" s="5"/>
      <c r="AE165" s="32"/>
      <c r="AF165" s="32" t="str">
        <f>IFERROR(__xludf.DUMMYFUNCTION("""COMPUTED_VALUE"""),"++Waves of Entitlement - x5 additional Water damage")</f>
        <v>++Waves of Entitlement - x5 additional Water damage</v>
      </c>
      <c r="AG165" s="32" t="str">
        <f>IFERROR(__xludf.DUMMYFUNCTION("""COMPUTED_VALUE"""),"Land of Spira")</f>
        <v>Land of Spira</v>
      </c>
      <c r="AH165" s="32" t="b">
        <f>IFERROR(__xludf.DUMMYFUNCTION("""COMPUTED_VALUE"""),FALSE)</f>
        <v>0</v>
      </c>
      <c r="AI165" s="32"/>
      <c r="AJ165" s="32"/>
      <c r="AK165" s="32"/>
      <c r="AL165" s="32"/>
      <c r="AM165" s="32"/>
      <c r="AN165" s="32"/>
      <c r="AO165" s="32"/>
      <c r="AP165" s="32"/>
      <c r="AQ165" s="32"/>
      <c r="AR165" s="32"/>
      <c r="AS165" s="32"/>
      <c r="AT165" s="32"/>
      <c r="AU165" s="32"/>
      <c r="AV165" s="32"/>
      <c r="AW165" s="32"/>
      <c r="AX165" s="32"/>
    </row>
    <row r="166">
      <c r="A166" s="5" t="str">
        <f>IFERROR(__xludf.DUMMYFUNCTION("""COMPUTED_VALUE"""),"Lightning Lance")</f>
        <v>Lightning Lance</v>
      </c>
      <c r="B166" s="5" t="str">
        <f>IFERROR(__xludf.DUMMYFUNCTION("""COMPUTED_VALUE"""),"Hand")</f>
        <v>Hand</v>
      </c>
      <c r="C166" s="32"/>
      <c r="D166" s="5" t="str">
        <f>IFERROR(__xludf.DUMMYFUNCTION("""COMPUTED_VALUE"""),"Spear")</f>
        <v>Spear</v>
      </c>
      <c r="E166" s="40">
        <f>IFERROR(__xludf.DUMMYFUNCTION("""COMPUTED_VALUE"""),500.0)</f>
        <v>500</v>
      </c>
      <c r="F166" s="40">
        <f>IFERROR(__xludf.DUMMYFUNCTION("""COMPUTED_VALUE"""),1.225E7)</f>
        <v>12250000</v>
      </c>
      <c r="G166" s="5" t="str">
        <f>IFERROR(__xludf.DUMMYFUNCTION("""COMPUTED_VALUE"""),"DMG")</f>
        <v>DMG</v>
      </c>
      <c r="H166" s="33">
        <f>IFERROR(__xludf.DUMMYFUNCTION("""COMPUTED_VALUE"""),10000.0)</f>
        <v>10000</v>
      </c>
      <c r="I166" s="32"/>
      <c r="J166" s="32"/>
      <c r="K166" s="32"/>
      <c r="L166" s="33">
        <f>IFERROR(__xludf.DUMMYFUNCTION("""COMPUTED_VALUE"""),15000.0)</f>
        <v>15000</v>
      </c>
      <c r="M166" s="32"/>
      <c r="N166" s="32"/>
      <c r="O166" s="32"/>
      <c r="P166" s="32"/>
      <c r="Q166" s="32"/>
      <c r="R166" s="32"/>
      <c r="S166" s="32"/>
      <c r="T166" s="32"/>
      <c r="U166" s="32"/>
      <c r="V166" s="32"/>
      <c r="W166" s="32"/>
      <c r="X166" s="32"/>
      <c r="Y166" s="32"/>
      <c r="Z166" s="32"/>
      <c r="AA166" s="32"/>
      <c r="AB166" s="32"/>
      <c r="AC166" s="32"/>
      <c r="AD166" s="5"/>
      <c r="AE166" s="32"/>
      <c r="AF166" s="32" t="str">
        <f>IFERROR(__xludf.DUMMYFUNCTION("""COMPUTED_VALUE"""),"++Stun 2")</f>
        <v>++Stun 2</v>
      </c>
      <c r="AG166" s="32" t="str">
        <f>IFERROR(__xludf.DUMMYFUNCTION("""COMPUTED_VALUE"""),"Land of Spira")</f>
        <v>Land of Spira</v>
      </c>
      <c r="AH166" s="32" t="b">
        <f>IFERROR(__xludf.DUMMYFUNCTION("""COMPUTED_VALUE"""),FALSE)</f>
        <v>0</v>
      </c>
      <c r="AI166" s="32"/>
      <c r="AJ166" s="32"/>
      <c r="AK166" s="32"/>
      <c r="AL166" s="32"/>
      <c r="AM166" s="32"/>
      <c r="AN166" s="32"/>
      <c r="AO166" s="32"/>
      <c r="AP166" s="32"/>
      <c r="AQ166" s="32"/>
      <c r="AR166" s="32"/>
      <c r="AS166" s="32"/>
      <c r="AT166" s="32"/>
      <c r="AU166" s="32"/>
      <c r="AV166" s="32"/>
      <c r="AW166" s="32"/>
      <c r="AX166" s="32"/>
    </row>
    <row r="167">
      <c r="A167" s="42" t="str">
        <f>IFERROR(__xludf.DUMMYFUNCTION("""COMPUTED_VALUE"""),"Long Spear")</f>
        <v>Long Spear</v>
      </c>
      <c r="B167" s="5" t="str">
        <f>IFERROR(__xludf.DUMMYFUNCTION("""COMPUTED_VALUE"""),"Hand")</f>
        <v>Hand</v>
      </c>
      <c r="C167" s="32"/>
      <c r="D167" s="5" t="str">
        <f>IFERROR(__xludf.DUMMYFUNCTION("""COMPUTED_VALUE"""),"Spear")</f>
        <v>Spear</v>
      </c>
      <c r="E167" s="40">
        <f>IFERROR(__xludf.DUMMYFUNCTION("""COMPUTED_VALUE"""),10.0)</f>
        <v>10</v>
      </c>
      <c r="F167" s="40">
        <f>IFERROR(__xludf.DUMMYFUNCTION("""COMPUTED_VALUE"""),1000.0)</f>
        <v>1000</v>
      </c>
      <c r="G167" s="5" t="str">
        <f>IFERROR(__xludf.DUMMYFUNCTION("""COMPUTED_VALUE"""),"DMG")</f>
        <v>DMG</v>
      </c>
      <c r="H167" s="32">
        <f>IFERROR(__xludf.DUMMYFUNCTION("""COMPUTED_VALUE"""),500.0)</f>
        <v>500</v>
      </c>
      <c r="I167" s="32"/>
      <c r="J167" s="5"/>
      <c r="K167" s="32"/>
      <c r="L167" s="32"/>
      <c r="M167" s="32"/>
      <c r="N167" s="32"/>
      <c r="O167" s="32"/>
      <c r="P167" s="32"/>
      <c r="Q167" s="32"/>
      <c r="R167" s="32"/>
      <c r="S167" s="32"/>
      <c r="T167" s="32"/>
      <c r="U167" s="32"/>
      <c r="V167" s="32"/>
      <c r="W167" s="32"/>
      <c r="X167" s="32"/>
      <c r="Y167" s="32"/>
      <c r="Z167" s="32"/>
      <c r="AA167" s="32"/>
      <c r="AB167" s="32"/>
      <c r="AC167" s="32"/>
      <c r="AD167" s="42"/>
      <c r="AE167" s="32"/>
      <c r="AF167" s="32" t="str">
        <f>IFERROR(__xludf.DUMMYFUNCTION("""COMPUTED_VALUE"""),"++25% chance of instant death. ")</f>
        <v>++25% chance of instant death. </v>
      </c>
      <c r="AG167" s="32" t="str">
        <f>IFERROR(__xludf.DUMMYFUNCTION("""COMPUTED_VALUE"""),"Land of Spira")</f>
        <v>Land of Spira</v>
      </c>
      <c r="AH167" s="32" t="b">
        <f>IFERROR(__xludf.DUMMYFUNCTION("""COMPUTED_VALUE"""),FALSE)</f>
        <v>0</v>
      </c>
      <c r="AI167" s="32"/>
      <c r="AJ167" s="32"/>
      <c r="AK167" s="32"/>
      <c r="AL167" s="32"/>
      <c r="AM167" s="32"/>
      <c r="AN167" s="32"/>
      <c r="AO167" s="32"/>
      <c r="AP167" s="32"/>
      <c r="AQ167" s="32"/>
      <c r="AR167" s="32"/>
      <c r="AS167" s="32"/>
      <c r="AT167" s="32"/>
      <c r="AU167" s="32"/>
      <c r="AV167" s="32"/>
      <c r="AW167" s="32"/>
      <c r="AX167" s="32"/>
    </row>
    <row r="168">
      <c r="A168" s="27" t="str">
        <f>IFERROR(__xludf.DUMMYFUNCTION("""COMPUTED_VALUE"""),"Lord Dreadfuls Sword")</f>
        <v>Lord Dreadfuls Sword</v>
      </c>
      <c r="B168" s="5" t="str">
        <f>IFERROR(__xludf.DUMMYFUNCTION("""COMPUTED_VALUE"""),"Hand")</f>
        <v>Hand</v>
      </c>
      <c r="C168" s="32"/>
      <c r="D168" s="5" t="str">
        <f>IFERROR(__xludf.DUMMYFUNCTION("""COMPUTED_VALUE"""),"Sword")</f>
        <v>Sword</v>
      </c>
      <c r="E168" s="40">
        <f>IFERROR(__xludf.DUMMYFUNCTION("""COMPUTED_VALUE"""),800.0)</f>
        <v>800</v>
      </c>
      <c r="F168" s="40">
        <f>IFERROR(__xludf.DUMMYFUNCTION("""COMPUTED_VALUE"""),3.16E7)</f>
        <v>31600000</v>
      </c>
      <c r="G168" s="41" t="str">
        <f>IFERROR(__xludf.DUMMYFUNCTION("""COMPUTED_VALUE"""),"DMG")</f>
        <v>DMG</v>
      </c>
      <c r="H168" s="32">
        <f>IFERROR(__xludf.DUMMYFUNCTION("""COMPUTED_VALUE"""),20000.0)</f>
        <v>20000</v>
      </c>
      <c r="I168" s="32"/>
      <c r="J168" s="32"/>
      <c r="K168" s="32"/>
      <c r="L168" s="32"/>
      <c r="M168" s="32"/>
      <c r="N168" s="32"/>
      <c r="O168" s="32">
        <f>IFERROR(__xludf.DUMMYFUNCTION("""COMPUTED_VALUE"""),10000.0)</f>
        <v>10000</v>
      </c>
      <c r="P168" s="32"/>
      <c r="Q168" s="32"/>
      <c r="R168" s="32">
        <f>IFERROR(__xludf.DUMMYFUNCTION("""COMPUTED_VALUE"""),10000.0)</f>
        <v>10000</v>
      </c>
      <c r="S168" s="32"/>
      <c r="T168" s="32"/>
      <c r="U168" s="32"/>
      <c r="V168" s="32"/>
      <c r="W168" s="32"/>
      <c r="X168" s="32"/>
      <c r="Y168" s="32"/>
      <c r="Z168" s="32"/>
      <c r="AA168" s="32"/>
      <c r="AB168" s="32"/>
      <c r="AC168" s="32"/>
      <c r="AD168" s="42"/>
      <c r="AE168" s="32"/>
      <c r="AF168" s="32"/>
      <c r="AG168" s="32" t="str">
        <f>IFERROR(__xludf.DUMMYFUNCTION("""COMPUTED_VALUE"""),"Land of Spira")</f>
        <v>Land of Spira</v>
      </c>
      <c r="AH168" s="32" t="b">
        <f>IFERROR(__xludf.DUMMYFUNCTION("""COMPUTED_VALUE"""),TRUE)</f>
        <v>1</v>
      </c>
      <c r="AI168" s="32"/>
      <c r="AJ168" s="32"/>
      <c r="AK168" s="32"/>
      <c r="AL168" s="32"/>
      <c r="AM168" s="32"/>
      <c r="AN168" s="32"/>
      <c r="AO168" s="32"/>
      <c r="AP168" s="32"/>
      <c r="AQ168" s="32"/>
      <c r="AR168" s="32"/>
      <c r="AS168" s="32"/>
      <c r="AT168" s="32"/>
      <c r="AU168" s="32"/>
      <c r="AV168" s="32"/>
      <c r="AW168" s="32"/>
      <c r="AX168" s="32"/>
    </row>
    <row r="169">
      <c r="A169" s="5" t="str">
        <f>IFERROR(__xludf.DUMMYFUNCTION("""COMPUTED_VALUE"""),"Magma Morningstar")</f>
        <v>Magma Morningstar</v>
      </c>
      <c r="B169" s="5" t="str">
        <f>IFERROR(__xludf.DUMMYFUNCTION("""COMPUTED_VALUE"""),"Hand")</f>
        <v>Hand</v>
      </c>
      <c r="C169" s="32"/>
      <c r="D169" s="5" t="str">
        <f>IFERROR(__xludf.DUMMYFUNCTION("""COMPUTED_VALUE"""),"Club")</f>
        <v>Club</v>
      </c>
      <c r="E169" s="40">
        <f>IFERROR(__xludf.DUMMYFUNCTION("""COMPUTED_VALUE"""),20.0)</f>
        <v>20</v>
      </c>
      <c r="F169" s="44">
        <f>IFERROR(__xludf.DUMMYFUNCTION("""COMPUTED_VALUE"""),1000.0)</f>
        <v>1000</v>
      </c>
      <c r="G169" s="32" t="str">
        <f>IFERROR(__xludf.DUMMYFUNCTION("""COMPUTED_VALUE"""),"DMG")</f>
        <v>DMG</v>
      </c>
      <c r="H169" s="32">
        <f>IFERROR(__xludf.DUMMYFUNCTION("""COMPUTED_VALUE"""),500.0)</f>
        <v>500</v>
      </c>
      <c r="I169" s="32">
        <f>IFERROR(__xludf.DUMMYFUNCTION("""COMPUTED_VALUE"""),400.0)</f>
        <v>400</v>
      </c>
      <c r="J169" s="32"/>
      <c r="K169" s="32"/>
      <c r="L169" s="32"/>
      <c r="M169" s="32"/>
      <c r="N169" s="32"/>
      <c r="O169" s="32"/>
      <c r="P169" s="32"/>
      <c r="Q169" s="32"/>
      <c r="R169" s="32"/>
      <c r="S169" s="32"/>
      <c r="T169" s="32"/>
      <c r="U169" s="32"/>
      <c r="V169" s="32"/>
      <c r="W169" s="32"/>
      <c r="X169" s="32"/>
      <c r="Y169" s="32"/>
      <c r="Z169" s="32"/>
      <c r="AA169" s="32"/>
      <c r="AB169" s="32"/>
      <c r="AC169" s="32"/>
      <c r="AD169" s="27"/>
      <c r="AE169" s="32"/>
      <c r="AF169" s="32" t="str">
        <f>IFERROR(__xludf.DUMMYFUNCTION("""COMPUTED_VALUE"""),"++Will return to you each round when thrown")</f>
        <v>++Will return to you each round when thrown</v>
      </c>
      <c r="AG169" s="32" t="str">
        <f>IFERROR(__xludf.DUMMYFUNCTION("""COMPUTED_VALUE"""),"Land of Spira")</f>
        <v>Land of Spira</v>
      </c>
      <c r="AH169" s="32" t="b">
        <f>IFERROR(__xludf.DUMMYFUNCTION("""COMPUTED_VALUE"""),FALSE)</f>
        <v>0</v>
      </c>
      <c r="AI169" s="32"/>
      <c r="AJ169" s="32"/>
      <c r="AK169" s="32"/>
      <c r="AL169" s="32"/>
      <c r="AM169" s="32"/>
      <c r="AN169" s="32"/>
      <c r="AO169" s="32"/>
      <c r="AP169" s="32"/>
      <c r="AQ169" s="32"/>
      <c r="AR169" s="32"/>
      <c r="AS169" s="32"/>
      <c r="AT169" s="32"/>
      <c r="AU169" s="32"/>
      <c r="AV169" s="32"/>
      <c r="AW169" s="32"/>
      <c r="AX169" s="32"/>
    </row>
    <row r="170">
      <c r="A170" s="5" t="str">
        <f>IFERROR(__xludf.DUMMYFUNCTION("""COMPUTED_VALUE"""),"Magma Sword")</f>
        <v>Magma Sword</v>
      </c>
      <c r="B170" s="5" t="str">
        <f>IFERROR(__xludf.DUMMYFUNCTION("""COMPUTED_VALUE"""),"Hand")</f>
        <v>Hand</v>
      </c>
      <c r="C170" s="32" t="str">
        <f>IFERROR(__xludf.DUMMYFUNCTION("""COMPUTED_VALUE"""),"A sword that turned Forest View into Ash View.")</f>
        <v>A sword that turned Forest View into Ash View.</v>
      </c>
      <c r="D170" s="5" t="str">
        <f>IFERROR(__xludf.DUMMYFUNCTION("""COMPUTED_VALUE"""),"Sword")</f>
        <v>Sword</v>
      </c>
      <c r="E170" s="40">
        <f>IFERROR(__xludf.DUMMYFUNCTION("""COMPUTED_VALUE"""),200.0)</f>
        <v>200</v>
      </c>
      <c r="F170" s="40">
        <f>IFERROR(__xludf.DUMMYFUNCTION("""COMPUTED_VALUE"""),4.485E8)</f>
        <v>448500000</v>
      </c>
      <c r="G170" s="5" t="str">
        <f>IFERROR(__xludf.DUMMYFUNCTION("""COMPUTED_VALUE"""),"DMG")</f>
        <v>DMG</v>
      </c>
      <c r="H170" s="41">
        <f>IFERROR(__xludf.DUMMYFUNCTION("""COMPUTED_VALUE"""),50000.0)</f>
        <v>50000</v>
      </c>
      <c r="I170" s="33">
        <f>IFERROR(__xludf.DUMMYFUNCTION("""COMPUTED_VALUE"""),50000.0)</f>
        <v>50000</v>
      </c>
      <c r="J170" s="32"/>
      <c r="K170" s="32"/>
      <c r="L170" s="32"/>
      <c r="M170" s="32"/>
      <c r="N170" s="32"/>
      <c r="O170" s="32"/>
      <c r="P170" s="32"/>
      <c r="Q170" s="32"/>
      <c r="R170" s="32"/>
      <c r="S170" s="32"/>
      <c r="T170" s="32"/>
      <c r="U170" s="32"/>
      <c r="V170" s="32"/>
      <c r="W170" s="32"/>
      <c r="X170" s="32"/>
      <c r="Y170" s="32"/>
      <c r="Z170" s="32"/>
      <c r="AA170" s="32"/>
      <c r="AB170" s="32"/>
      <c r="AC170" s="33">
        <f>IFERROR(__xludf.DUMMYFUNCTION("""COMPUTED_VALUE"""),50000.0)</f>
        <v>50000</v>
      </c>
      <c r="AD170" s="5"/>
      <c r="AE170" s="32"/>
      <c r="AF170" s="32" t="str">
        <f>IFERROR(__xludf.DUMMYFUNCTION("""COMPUTED_VALUE"""),"++X6 additional Fire damage. ++Burn 20,000 for 3 rounds. +-Cannot be duplicated")</f>
        <v>++X6 additional Fire damage. ++Burn 20,000 for 3 rounds. +-Cannot be duplicated</v>
      </c>
      <c r="AG170" s="32" t="str">
        <f>IFERROR(__xludf.DUMMYFUNCTION("""COMPUTED_VALUE"""),"Abstara")</f>
        <v>Abstara</v>
      </c>
      <c r="AH170" s="32" t="b">
        <f>IFERROR(__xludf.DUMMYFUNCTION("""COMPUTED_VALUE"""),FALSE)</f>
        <v>0</v>
      </c>
      <c r="AI170" s="32"/>
      <c r="AJ170" s="32"/>
      <c r="AK170" s="32"/>
      <c r="AL170" s="32"/>
      <c r="AM170" s="32"/>
      <c r="AN170" s="32"/>
      <c r="AO170" s="32"/>
      <c r="AP170" s="32"/>
      <c r="AQ170" s="32"/>
      <c r="AR170" s="32"/>
      <c r="AS170" s="32"/>
      <c r="AT170" s="32"/>
      <c r="AU170" s="32"/>
      <c r="AV170" s="32"/>
      <c r="AW170" s="32"/>
      <c r="AX170" s="32"/>
    </row>
    <row r="171">
      <c r="A171" s="5" t="str">
        <f>IFERROR(__xludf.DUMMYFUNCTION("""COMPUTED_VALUE"""),"Masking Cloak")</f>
        <v>Masking Cloak</v>
      </c>
      <c r="B171" s="5" t="str">
        <f>IFERROR(__xludf.DUMMYFUNCTION("""COMPUTED_VALUE"""),"Torso")</f>
        <v>Torso</v>
      </c>
      <c r="C171" s="32"/>
      <c r="D171" s="5"/>
      <c r="E171" s="40">
        <f>IFERROR(__xludf.DUMMYFUNCTION("""COMPUTED_VALUE"""),1.0)</f>
        <v>1</v>
      </c>
      <c r="F171" s="40">
        <f>IFERROR(__xludf.DUMMYFUNCTION("""COMPUTED_VALUE"""),0.0)</f>
        <v>0</v>
      </c>
      <c r="G171" s="5"/>
      <c r="H171" s="32"/>
      <c r="I171" s="32"/>
      <c r="J171" s="5"/>
      <c r="K171" s="32"/>
      <c r="L171" s="32"/>
      <c r="M171" s="32"/>
      <c r="N171" s="32"/>
      <c r="O171" s="32"/>
      <c r="P171" s="32"/>
      <c r="Q171" s="32"/>
      <c r="R171" s="32"/>
      <c r="S171" s="32"/>
      <c r="T171" s="32"/>
      <c r="U171" s="32"/>
      <c r="V171" s="32"/>
      <c r="W171" s="32"/>
      <c r="X171" s="32"/>
      <c r="Y171" s="32"/>
      <c r="Z171" s="32"/>
      <c r="AA171" s="32"/>
      <c r="AB171" s="32"/>
      <c r="AC171" s="32"/>
      <c r="AD171" s="32"/>
      <c r="AE171" s="32"/>
      <c r="AF171" s="32" t="str">
        <f>IFERROR(__xludf.DUMMYFUNCTION("""COMPUTED_VALUE"""),"++5 Evasion +-(Cannot be duplicated)")</f>
        <v>++5 Evasion +-(Cannot be duplicated)</v>
      </c>
      <c r="AG171" s="32" t="str">
        <f>IFERROR(__xludf.DUMMYFUNCTION("""COMPUTED_VALUE"""),"Land of Spira")</f>
        <v>Land of Spira</v>
      </c>
      <c r="AH171" s="32" t="b">
        <f>IFERROR(__xludf.DUMMYFUNCTION("""COMPUTED_VALUE"""),FALSE)</f>
        <v>0</v>
      </c>
      <c r="AI171" s="32"/>
      <c r="AJ171" s="32"/>
      <c r="AK171" s="32"/>
      <c r="AL171" s="32"/>
      <c r="AM171" s="32"/>
      <c r="AN171" s="32"/>
      <c r="AO171" s="32"/>
      <c r="AP171" s="32"/>
      <c r="AQ171" s="32"/>
      <c r="AR171" s="32"/>
      <c r="AS171" s="32"/>
      <c r="AT171" s="32"/>
      <c r="AU171" s="32"/>
      <c r="AV171" s="32"/>
      <c r="AW171" s="32"/>
      <c r="AX171" s="32"/>
    </row>
    <row r="172">
      <c r="A172" s="5" t="str">
        <f>IFERROR(__xludf.DUMMYFUNCTION("""COMPUTED_VALUE"""),"Mini Lucky Fish in a Bottle")</f>
        <v>Mini Lucky Fish in a Bottle</v>
      </c>
      <c r="B172" s="5" t="str">
        <f>IFERROR(__xludf.DUMMYFUNCTION("""COMPUTED_VALUE"""),"Hand")</f>
        <v>Hand</v>
      </c>
      <c r="C172" s="32"/>
      <c r="D172" s="5" t="str">
        <f>IFERROR(__xludf.DUMMYFUNCTION("""COMPUTED_VALUE"""),"Wand")</f>
        <v>Wand</v>
      </c>
      <c r="E172" s="40">
        <f>IFERROR(__xludf.DUMMYFUNCTION("""COMPUTED_VALUE"""),1.0)</f>
        <v>1</v>
      </c>
      <c r="F172" s="44">
        <f>IFERROR(__xludf.DUMMYFUNCTION("""COMPUTED_VALUE"""),0.0)</f>
        <v>0</v>
      </c>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5"/>
      <c r="AE172" s="32"/>
      <c r="AF172" s="32" t="str">
        <f>IFERROR(__xludf.DUMMYFUNCTION("""COMPUTED_VALUE"""),"++Percentage rolls are now increased by 10% for caster that holds this item. +-Can only equip one")</f>
        <v>++Percentage rolls are now increased by 10% for caster that holds this item. +-Can only equip one</v>
      </c>
      <c r="AG172" s="32" t="str">
        <f>IFERROR(__xludf.DUMMYFUNCTION("""COMPUTED_VALUE"""),"Land of Spira")</f>
        <v>Land of Spira</v>
      </c>
      <c r="AH172" s="32" t="b">
        <f>IFERROR(__xludf.DUMMYFUNCTION("""COMPUTED_VALUE"""),FALSE)</f>
        <v>0</v>
      </c>
      <c r="AI172" s="32"/>
      <c r="AJ172" s="32"/>
      <c r="AK172" s="32"/>
      <c r="AL172" s="32"/>
      <c r="AM172" s="32"/>
      <c r="AN172" s="32"/>
      <c r="AO172" s="32"/>
      <c r="AP172" s="32"/>
      <c r="AQ172" s="32"/>
      <c r="AR172" s="32"/>
      <c r="AS172" s="32"/>
      <c r="AT172" s="32"/>
      <c r="AU172" s="32"/>
      <c r="AV172" s="32"/>
      <c r="AW172" s="32"/>
      <c r="AX172" s="32"/>
    </row>
    <row r="173">
      <c r="A173" s="5" t="str">
        <f>IFERROR(__xludf.DUMMYFUNCTION("""COMPUTED_VALUE"""),"Nature Faery Wand")</f>
        <v>Nature Faery Wand</v>
      </c>
      <c r="B173" s="5" t="str">
        <f>IFERROR(__xludf.DUMMYFUNCTION("""COMPUTED_VALUE"""),"Hand")</f>
        <v>Hand</v>
      </c>
      <c r="C173" s="32"/>
      <c r="D173" s="5" t="str">
        <f>IFERROR(__xludf.DUMMYFUNCTION("""COMPUTED_VALUE"""),"Wand")</f>
        <v>Wand</v>
      </c>
      <c r="E173" s="40">
        <f>IFERROR(__xludf.DUMMYFUNCTION("""COMPUTED_VALUE"""),1.0)</f>
        <v>1</v>
      </c>
      <c r="F173" s="44">
        <f>IFERROR(__xludf.DUMMYFUNCTION("""COMPUTED_VALUE"""),0.0)</f>
        <v>0</v>
      </c>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5"/>
      <c r="AE173" s="32"/>
      <c r="AF173" s="32" t="str">
        <f>IFERROR(__xludf.DUMMYFUNCTION("""COMPUTED_VALUE"""),"++half the sp cost of nature spells")</f>
        <v>++half the sp cost of nature spells</v>
      </c>
      <c r="AG173" s="32" t="str">
        <f>IFERROR(__xludf.DUMMYFUNCTION("""COMPUTED_VALUE"""),"Land of Spira")</f>
        <v>Land of Spira</v>
      </c>
      <c r="AH173" s="32" t="b">
        <f>IFERROR(__xludf.DUMMYFUNCTION("""COMPUTED_VALUE"""),FALSE)</f>
        <v>0</v>
      </c>
      <c r="AI173" s="32"/>
      <c r="AJ173" s="32"/>
      <c r="AK173" s="32"/>
      <c r="AL173" s="32"/>
      <c r="AM173" s="32"/>
      <c r="AN173" s="32"/>
      <c r="AO173" s="32"/>
      <c r="AP173" s="32"/>
      <c r="AQ173" s="32"/>
      <c r="AR173" s="32"/>
      <c r="AS173" s="32"/>
      <c r="AT173" s="32"/>
      <c r="AU173" s="32"/>
      <c r="AV173" s="32"/>
      <c r="AW173" s="32"/>
      <c r="AX173" s="32"/>
    </row>
    <row r="174">
      <c r="A174" s="5" t="str">
        <f>IFERROR(__xludf.DUMMYFUNCTION("""COMPUTED_VALUE"""),"Nature's Sword")</f>
        <v>Nature's Sword</v>
      </c>
      <c r="B174" s="5" t="str">
        <f>IFERROR(__xludf.DUMMYFUNCTION("""COMPUTED_VALUE"""),"Hand")</f>
        <v>Hand</v>
      </c>
      <c r="C174" s="32"/>
      <c r="D174" s="5" t="str">
        <f>IFERROR(__xludf.DUMMYFUNCTION("""COMPUTED_VALUE"""),"Sword")</f>
        <v>Sword</v>
      </c>
      <c r="E174" s="40">
        <f>IFERROR(__xludf.DUMMYFUNCTION("""COMPUTED_VALUE"""),40.0)</f>
        <v>40</v>
      </c>
      <c r="F174" s="44">
        <f>IFERROR(__xludf.DUMMYFUNCTION("""COMPUTED_VALUE"""),30000.0)</f>
        <v>30000</v>
      </c>
      <c r="G174" s="32" t="str">
        <f>IFERROR(__xludf.DUMMYFUNCTION("""COMPUTED_VALUE"""),"DMG")</f>
        <v>DMG</v>
      </c>
      <c r="H174" s="32">
        <f>IFERROR(__xludf.DUMMYFUNCTION("""COMPUTED_VALUE"""),800.0)</f>
        <v>800</v>
      </c>
      <c r="I174" s="32"/>
      <c r="J174" s="32"/>
      <c r="K174" s="32"/>
      <c r="L174" s="32"/>
      <c r="M174" s="32"/>
      <c r="N174" s="32"/>
      <c r="O174" s="32"/>
      <c r="P174" s="32"/>
      <c r="Q174" s="32"/>
      <c r="R174" s="32"/>
      <c r="S174" s="32">
        <f>IFERROR(__xludf.DUMMYFUNCTION("""COMPUTED_VALUE"""),800.0)</f>
        <v>800</v>
      </c>
      <c r="T174" s="32"/>
      <c r="U174" s="32"/>
      <c r="V174" s="32"/>
      <c r="W174" s="32"/>
      <c r="X174" s="32"/>
      <c r="Y174" s="32"/>
      <c r="Z174" s="32"/>
      <c r="AA174" s="32"/>
      <c r="AB174" s="32"/>
      <c r="AC174" s="32"/>
      <c r="AD174" s="5"/>
      <c r="AE174" s="32"/>
      <c r="AF174" s="32" t="str">
        <f>IFERROR(__xludf.DUMMYFUNCTION("""COMPUTED_VALUE"""),"++Upon a successful hit, the next turn you will automatically use the spell Tree Stance.")</f>
        <v>++Upon a successful hit, the next turn you will automatically use the spell Tree Stance.</v>
      </c>
      <c r="AG174" s="32" t="str">
        <f>IFERROR(__xludf.DUMMYFUNCTION("""COMPUTED_VALUE"""),"Land of Spira")</f>
        <v>Land of Spira</v>
      </c>
      <c r="AH174" s="32" t="b">
        <f>IFERROR(__xludf.DUMMYFUNCTION("""COMPUTED_VALUE"""),FALSE)</f>
        <v>0</v>
      </c>
      <c r="AI174" s="32"/>
      <c r="AJ174" s="32"/>
      <c r="AK174" s="32"/>
      <c r="AL174" s="32"/>
      <c r="AM174" s="32"/>
      <c r="AN174" s="32"/>
      <c r="AO174" s="32"/>
      <c r="AP174" s="32"/>
      <c r="AQ174" s="32"/>
      <c r="AR174" s="32"/>
      <c r="AS174" s="32"/>
      <c r="AT174" s="32"/>
      <c r="AU174" s="32"/>
      <c r="AV174" s="32"/>
      <c r="AW174" s="32"/>
      <c r="AX174" s="32"/>
    </row>
    <row r="175">
      <c r="A175" s="5" t="str">
        <f>IFERROR(__xludf.DUMMYFUNCTION("""COMPUTED_VALUE"""),"Necklace o' Lending")</f>
        <v>Necklace o' Lending</v>
      </c>
      <c r="B175" s="5" t="str">
        <f>IFERROR(__xludf.DUMMYFUNCTION("""COMPUTED_VALUE"""),"Neck")</f>
        <v>Neck</v>
      </c>
      <c r="C175" s="32"/>
      <c r="D175" s="5"/>
      <c r="E175" s="40">
        <f>IFERROR(__xludf.DUMMYFUNCTION("""COMPUTED_VALUE"""),1.0)</f>
        <v>1</v>
      </c>
      <c r="F175" s="40">
        <f>IFERROR(__xludf.DUMMYFUNCTION("""COMPUTED_VALUE"""),0.0)</f>
        <v>0</v>
      </c>
      <c r="G175" s="5"/>
      <c r="H175" s="32"/>
      <c r="I175" s="32"/>
      <c r="J175" s="32"/>
      <c r="K175" s="32"/>
      <c r="L175" s="32"/>
      <c r="M175" s="32"/>
      <c r="N175" s="32"/>
      <c r="O175" s="32"/>
      <c r="P175" s="32"/>
      <c r="Q175" s="32"/>
      <c r="R175" s="5"/>
      <c r="S175" s="32"/>
      <c r="T175" s="32"/>
      <c r="U175" s="32"/>
      <c r="V175" s="32"/>
      <c r="W175" s="32"/>
      <c r="X175" s="32"/>
      <c r="Y175" s="32"/>
      <c r="Z175" s="32"/>
      <c r="AA175" s="32"/>
      <c r="AB175" s="32"/>
      <c r="AC175" s="32"/>
      <c r="AD175" s="42"/>
      <c r="AE175" s="32"/>
      <c r="AF175" s="32" t="str">
        <f>IFERROR(__xludf.DUMMYFUNCTION("""COMPUTED_VALUE"""),"++Decrease XHP and XSP from your character sheet and add that amount to another target.")</f>
        <v>++Decrease XHP and XSP from your character sheet and add that amount to another target.</v>
      </c>
      <c r="AG175" s="32" t="str">
        <f>IFERROR(__xludf.DUMMYFUNCTION("""COMPUTED_VALUE"""),"Land of Spira")</f>
        <v>Land of Spira</v>
      </c>
      <c r="AH175" s="32" t="b">
        <f>IFERROR(__xludf.DUMMYFUNCTION("""COMPUTED_VALUE"""),FALSE)</f>
        <v>0</v>
      </c>
      <c r="AI175" s="32"/>
      <c r="AJ175" s="32"/>
      <c r="AK175" s="32"/>
      <c r="AL175" s="32"/>
      <c r="AM175" s="32"/>
      <c r="AN175" s="32"/>
      <c r="AO175" s="32"/>
      <c r="AP175" s="32"/>
      <c r="AQ175" s="32"/>
      <c r="AR175" s="32"/>
      <c r="AS175" s="32"/>
      <c r="AT175" s="32"/>
      <c r="AU175" s="32"/>
      <c r="AV175" s="32"/>
      <c r="AW175" s="32"/>
      <c r="AX175" s="32"/>
    </row>
    <row r="176">
      <c r="A176" s="5" t="str">
        <f>IFERROR(__xludf.DUMMYFUNCTION("""COMPUTED_VALUE"""),"Necklace Of Ancient Mountains")</f>
        <v>Necklace Of Ancient Mountains</v>
      </c>
      <c r="B176" s="5" t="str">
        <f>IFERROR(__xludf.DUMMYFUNCTION("""COMPUTED_VALUE"""),"Neck")</f>
        <v>Neck</v>
      </c>
      <c r="C176" s="32"/>
      <c r="D176" s="5"/>
      <c r="E176" s="40">
        <f>IFERROR(__xludf.DUMMYFUNCTION("""COMPUTED_VALUE"""),1.0)</f>
        <v>1</v>
      </c>
      <c r="F176" s="44">
        <f>IFERROR(__xludf.DUMMYFUNCTION("""COMPUTED_VALUE"""),0.0)</f>
        <v>0</v>
      </c>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42"/>
      <c r="AE176" s="32"/>
      <c r="AF176" s="32"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32" t="str">
        <f>IFERROR(__xludf.DUMMYFUNCTION("""COMPUTED_VALUE"""),"Land of Spira")</f>
        <v>Land of Spira</v>
      </c>
      <c r="AH176" s="32" t="b">
        <f>IFERROR(__xludf.DUMMYFUNCTION("""COMPUTED_VALUE"""),FALSE)</f>
        <v>0</v>
      </c>
      <c r="AI176" s="32"/>
      <c r="AJ176" s="32"/>
      <c r="AK176" s="32"/>
      <c r="AL176" s="32"/>
      <c r="AM176" s="32"/>
      <c r="AN176" s="32"/>
      <c r="AO176" s="32"/>
      <c r="AP176" s="32"/>
      <c r="AQ176" s="32"/>
      <c r="AR176" s="32"/>
      <c r="AS176" s="32"/>
      <c r="AT176" s="32"/>
      <c r="AU176" s="32"/>
      <c r="AV176" s="32"/>
      <c r="AW176" s="32"/>
      <c r="AX176" s="32"/>
    </row>
    <row r="177">
      <c r="A177" s="27" t="str">
        <f>IFERROR(__xludf.DUMMYFUNCTION("""COMPUTED_VALUE"""),"Necklace Of Heatmore")</f>
        <v>Necklace Of Heatmore</v>
      </c>
      <c r="B177" s="5" t="str">
        <f>IFERROR(__xludf.DUMMYFUNCTION("""COMPUTED_VALUE"""),"Neck")</f>
        <v>Neck</v>
      </c>
      <c r="C177" s="32"/>
      <c r="D177" s="5"/>
      <c r="E177" s="40">
        <f>IFERROR(__xludf.DUMMYFUNCTION("""COMPUTED_VALUE"""),1.0)</f>
        <v>1</v>
      </c>
      <c r="F177" s="40">
        <f>IFERROR(__xludf.DUMMYFUNCTION("""COMPUTED_VALUE"""),0.0)</f>
        <v>0</v>
      </c>
      <c r="G177" s="5"/>
      <c r="H177" s="32"/>
      <c r="I177" s="32"/>
      <c r="J177" s="32"/>
      <c r="K177" s="32"/>
      <c r="L177" s="32"/>
      <c r="M177" s="32"/>
      <c r="N177" s="32"/>
      <c r="O177" s="32"/>
      <c r="P177" s="32"/>
      <c r="Q177" s="32"/>
      <c r="R177" s="32"/>
      <c r="S177" s="32"/>
      <c r="T177" s="32"/>
      <c r="U177" s="32"/>
      <c r="V177" s="32"/>
      <c r="W177" s="32"/>
      <c r="X177" s="32"/>
      <c r="Y177" s="32"/>
      <c r="Z177" s="32"/>
      <c r="AA177" s="32"/>
      <c r="AB177" s="32"/>
      <c r="AC177" s="32"/>
      <c r="AD177" s="48"/>
      <c r="AE177" s="32"/>
      <c r="AF177" s="32" t="str">
        <f>IFERROR(__xludf.DUMMYFUNCTION("""COMPUTED_VALUE"""),"++ +2 is added to your d20 roll.")</f>
        <v>++ +2 is added to your d20 roll.</v>
      </c>
      <c r="AG177" s="32" t="str">
        <f>IFERROR(__xludf.DUMMYFUNCTION("""COMPUTED_VALUE"""),"Land of Spira")</f>
        <v>Land of Spira</v>
      </c>
      <c r="AH177" s="32" t="b">
        <f>IFERROR(__xludf.DUMMYFUNCTION("""COMPUTED_VALUE"""),FALSE)</f>
        <v>0</v>
      </c>
      <c r="AI177" s="32"/>
      <c r="AJ177" s="32"/>
      <c r="AK177" s="32"/>
      <c r="AL177" s="32"/>
      <c r="AM177" s="32"/>
      <c r="AN177" s="32"/>
      <c r="AO177" s="32"/>
      <c r="AP177" s="32"/>
      <c r="AQ177" s="32"/>
      <c r="AR177" s="32"/>
      <c r="AS177" s="32"/>
      <c r="AT177" s="32"/>
      <c r="AU177" s="32"/>
      <c r="AV177" s="32"/>
      <c r="AW177" s="32"/>
      <c r="AX177" s="32"/>
    </row>
    <row r="178">
      <c r="A178" s="46" t="str">
        <f>IFERROR(__xludf.DUMMYFUNCTION("""COMPUTED_VALUE"""),"Necklace of Shards")</f>
        <v>Necklace of Shards</v>
      </c>
      <c r="B178" s="5" t="str">
        <f>IFERROR(__xludf.DUMMYFUNCTION("""COMPUTED_VALUE"""),"Neck")</f>
        <v>Neck</v>
      </c>
      <c r="C178" s="32"/>
      <c r="D178" s="5"/>
      <c r="E178" s="40">
        <f>IFERROR(__xludf.DUMMYFUNCTION("""COMPUTED_VALUE"""),1.0)</f>
        <v>1</v>
      </c>
      <c r="F178" s="44">
        <f>IFERROR(__xludf.DUMMYFUNCTION("""COMPUTED_VALUE"""),0.0)</f>
        <v>0</v>
      </c>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27"/>
      <c r="AE178" s="32"/>
      <c r="AF178" s="32" t="str">
        <f>IFERROR(__xludf.DUMMYFUNCTION("""COMPUTED_VALUE"""),"++X6 Chaos and Dark Damage. +-Cannot be duplicated.")</f>
        <v>++X6 Chaos and Dark Damage. +-Cannot be duplicated.</v>
      </c>
      <c r="AG178" s="32" t="str">
        <f>IFERROR(__xludf.DUMMYFUNCTION("""COMPUTED_VALUE"""),"Land of The Forgotten")</f>
        <v>Land of The Forgotten</v>
      </c>
      <c r="AH178" s="32" t="b">
        <f>IFERROR(__xludf.DUMMYFUNCTION("""COMPUTED_VALUE"""),FALSE)</f>
        <v>0</v>
      </c>
      <c r="AI178" s="32"/>
      <c r="AJ178" s="32"/>
      <c r="AK178" s="32"/>
      <c r="AL178" s="32"/>
      <c r="AM178" s="32"/>
      <c r="AN178" s="32"/>
      <c r="AO178" s="32"/>
      <c r="AP178" s="32"/>
      <c r="AQ178" s="32"/>
      <c r="AR178" s="32"/>
      <c r="AS178" s="32"/>
      <c r="AT178" s="32"/>
      <c r="AU178" s="32"/>
      <c r="AV178" s="32"/>
      <c r="AW178" s="32"/>
      <c r="AX178" s="32"/>
    </row>
    <row r="179">
      <c r="A179" s="49" t="str">
        <f>IFERROR(__xludf.DUMMYFUNCTION("""COMPUTED_VALUE"""),"Necklace of The Lost Soul")</f>
        <v>Necklace of The Lost Soul</v>
      </c>
      <c r="B179" s="5" t="str">
        <f>IFERROR(__xludf.DUMMYFUNCTION("""COMPUTED_VALUE"""),"Neck")</f>
        <v>Neck</v>
      </c>
      <c r="C179" s="32"/>
      <c r="D179" s="5"/>
      <c r="E179" s="40">
        <f>IFERROR(__xludf.DUMMYFUNCTION("""COMPUTED_VALUE"""),1.0)</f>
        <v>1</v>
      </c>
      <c r="F179" s="44">
        <f>IFERROR(__xludf.DUMMYFUNCTION("""COMPUTED_VALUE"""),0.0)</f>
        <v>0</v>
      </c>
      <c r="G179" s="32" t="str">
        <f>IFERROR(__xludf.DUMMYFUNCTION("""COMPUTED_VALUE"""),"DEF")</f>
        <v>DEF</v>
      </c>
      <c r="H179" s="32">
        <f>IFERROR(__xludf.DUMMYFUNCTION("""COMPUTED_VALUE"""),100.0)</f>
        <v>100</v>
      </c>
      <c r="I179" s="32"/>
      <c r="J179" s="32"/>
      <c r="K179" s="32"/>
      <c r="L179" s="32"/>
      <c r="M179" s="32"/>
      <c r="N179" s="32"/>
      <c r="O179" s="32"/>
      <c r="P179" s="32"/>
      <c r="Q179" s="32"/>
      <c r="R179" s="32"/>
      <c r="S179" s="32"/>
      <c r="T179" s="32"/>
      <c r="U179" s="32"/>
      <c r="V179" s="32"/>
      <c r="W179" s="32"/>
      <c r="X179" s="32"/>
      <c r="Y179" s="32"/>
      <c r="Z179" s="32"/>
      <c r="AA179" s="32"/>
      <c r="AB179" s="32"/>
      <c r="AC179" s="32"/>
      <c r="AD179" s="50"/>
      <c r="AE179" s="32"/>
      <c r="AF179" s="32"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32" t="str">
        <f>IFERROR(__xludf.DUMMYFUNCTION("""COMPUTED_VALUE"""),"Land of Spira")</f>
        <v>Land of Spira</v>
      </c>
      <c r="AH179" s="32" t="b">
        <f>IFERROR(__xludf.DUMMYFUNCTION("""COMPUTED_VALUE"""),FALSE)</f>
        <v>0</v>
      </c>
      <c r="AI179" s="32"/>
      <c r="AJ179" s="32"/>
      <c r="AK179" s="32"/>
      <c r="AL179" s="32"/>
      <c r="AM179" s="32"/>
      <c r="AN179" s="32"/>
      <c r="AO179" s="32"/>
      <c r="AP179" s="32"/>
      <c r="AQ179" s="32"/>
      <c r="AR179" s="32"/>
      <c r="AS179" s="32"/>
      <c r="AT179" s="32"/>
      <c r="AU179" s="32"/>
      <c r="AV179" s="32"/>
      <c r="AW179" s="32"/>
      <c r="AX179" s="32"/>
    </row>
    <row r="180">
      <c r="A180" s="50" t="str">
        <f>IFERROR(__xludf.DUMMYFUNCTION("""COMPUTED_VALUE"""),"Necklace of the Pumpkin")</f>
        <v>Necklace of the Pumpkin</v>
      </c>
      <c r="B180" s="5" t="str">
        <f>IFERROR(__xludf.DUMMYFUNCTION("""COMPUTED_VALUE"""),"Neck")</f>
        <v>Neck</v>
      </c>
      <c r="C180" s="32"/>
      <c r="D180" s="5"/>
      <c r="E180" s="40">
        <f>IFERROR(__xludf.DUMMYFUNCTION("""COMPUTED_VALUE"""),1.0)</f>
        <v>1</v>
      </c>
      <c r="F180" s="44">
        <f>IFERROR(__xludf.DUMMYFUNCTION("""COMPUTED_VALUE"""),0.0)</f>
        <v>0</v>
      </c>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27"/>
      <c r="AE180" s="32"/>
      <c r="AF180" s="32" t="str">
        <f>IFERROR(__xludf.DUMMYFUNCTION("""COMPUTED_VALUE"""),"++Gives Immunity to Fire, Dark, and Nature damage")</f>
        <v>++Gives Immunity to Fire, Dark, and Nature damage</v>
      </c>
      <c r="AG180" s="32" t="str">
        <f>IFERROR(__xludf.DUMMYFUNCTION("""COMPUTED_VALUE"""),"Land of Spira")</f>
        <v>Land of Spira</v>
      </c>
      <c r="AH180" s="32" t="b">
        <f>IFERROR(__xludf.DUMMYFUNCTION("""COMPUTED_VALUE"""),FALSE)</f>
        <v>0</v>
      </c>
      <c r="AI180" s="32"/>
      <c r="AJ180" s="32"/>
      <c r="AK180" s="32"/>
      <c r="AL180" s="32"/>
      <c r="AM180" s="32"/>
      <c r="AN180" s="32"/>
      <c r="AO180" s="32"/>
      <c r="AP180" s="32"/>
      <c r="AQ180" s="32"/>
      <c r="AR180" s="32"/>
      <c r="AS180" s="32"/>
      <c r="AT180" s="32"/>
      <c r="AU180" s="32"/>
      <c r="AV180" s="32"/>
      <c r="AW180" s="32"/>
      <c r="AX180" s="32"/>
    </row>
    <row r="181">
      <c r="A181" s="50" t="str">
        <f>IFERROR(__xludf.DUMMYFUNCTION("""COMPUTED_VALUE"""),"Necklace Of Tritonoch")</f>
        <v>Necklace Of Tritonoch</v>
      </c>
      <c r="B181" s="5" t="str">
        <f>IFERROR(__xludf.DUMMYFUNCTION("""COMPUTED_VALUE"""),"Neck")</f>
        <v>Neck</v>
      </c>
      <c r="C181" s="32"/>
      <c r="D181" s="5"/>
      <c r="E181" s="40">
        <f>IFERROR(__xludf.DUMMYFUNCTION("""COMPUTED_VALUE"""),1.0)</f>
        <v>1</v>
      </c>
      <c r="F181" s="44">
        <f>IFERROR(__xludf.DUMMYFUNCTION("""COMPUTED_VALUE"""),0.0)</f>
        <v>0</v>
      </c>
      <c r="G181" s="32" t="str">
        <f>IFERROR(__xludf.DUMMYFUNCTION("""COMPUTED_VALUE"""),"DEF")</f>
        <v>DEF</v>
      </c>
      <c r="H181" s="32"/>
      <c r="I181" s="32"/>
      <c r="J181" s="32"/>
      <c r="K181" s="32"/>
      <c r="L181" s="32"/>
      <c r="M181" s="32"/>
      <c r="N181" s="32"/>
      <c r="O181" s="32"/>
      <c r="P181" s="32"/>
      <c r="Q181" s="32"/>
      <c r="R181" s="32"/>
      <c r="S181" s="32"/>
      <c r="T181" s="32"/>
      <c r="U181" s="32"/>
      <c r="V181" s="32"/>
      <c r="W181" s="32"/>
      <c r="X181" s="32"/>
      <c r="Y181" s="32"/>
      <c r="Z181" s="32"/>
      <c r="AA181" s="32"/>
      <c r="AB181" s="32"/>
      <c r="AC181" s="32"/>
      <c r="AD181" s="27"/>
      <c r="AE181" s="32"/>
      <c r="AF181" s="32"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32" t="str">
        <f>IFERROR(__xludf.DUMMYFUNCTION("""COMPUTED_VALUE"""),"Land of Spira")</f>
        <v>Land of Spira</v>
      </c>
      <c r="AH181" s="32" t="b">
        <f>IFERROR(__xludf.DUMMYFUNCTION("""COMPUTED_VALUE"""),FALSE)</f>
        <v>0</v>
      </c>
      <c r="AI181" s="32"/>
      <c r="AJ181" s="32"/>
      <c r="AK181" s="32"/>
      <c r="AL181" s="32"/>
      <c r="AM181" s="32"/>
      <c r="AN181" s="32"/>
      <c r="AO181" s="32"/>
      <c r="AP181" s="32"/>
      <c r="AQ181" s="32"/>
      <c r="AR181" s="32"/>
      <c r="AS181" s="32"/>
      <c r="AT181" s="32"/>
      <c r="AU181" s="32"/>
      <c r="AV181" s="32"/>
      <c r="AW181" s="32"/>
      <c r="AX181" s="32"/>
    </row>
    <row r="182">
      <c r="A182" s="50" t="str">
        <f>IFERROR(__xludf.DUMMYFUNCTION("""COMPUTED_VALUE"""),"Necklace of Waking Waters")</f>
        <v>Necklace of Waking Waters</v>
      </c>
      <c r="B182" s="5" t="str">
        <f>IFERROR(__xludf.DUMMYFUNCTION("""COMPUTED_VALUE"""),"Neck")</f>
        <v>Neck</v>
      </c>
      <c r="C182" s="32"/>
      <c r="D182" s="5"/>
      <c r="E182" s="40">
        <f>IFERROR(__xludf.DUMMYFUNCTION("""COMPUTED_VALUE"""),1.0)</f>
        <v>1</v>
      </c>
      <c r="F182" s="44">
        <f>IFERROR(__xludf.DUMMYFUNCTION("""COMPUTED_VALUE"""),0.0)</f>
        <v>0</v>
      </c>
      <c r="G182" s="32" t="str">
        <f>IFERROR(__xludf.DUMMYFUNCTION("""COMPUTED_VALUE"""),"DEF")</f>
        <v>DEF</v>
      </c>
      <c r="H182" s="32"/>
      <c r="I182" s="32"/>
      <c r="J182" s="32"/>
      <c r="K182" s="32"/>
      <c r="L182" s="32"/>
      <c r="M182" s="32"/>
      <c r="N182" s="32"/>
      <c r="O182" s="32"/>
      <c r="P182" s="32"/>
      <c r="Q182" s="32"/>
      <c r="R182" s="32"/>
      <c r="S182" s="32"/>
      <c r="T182" s="32"/>
      <c r="U182" s="32"/>
      <c r="V182" s="32"/>
      <c r="W182" s="32"/>
      <c r="X182" s="32"/>
      <c r="Y182" s="32"/>
      <c r="Z182" s="32"/>
      <c r="AA182" s="32"/>
      <c r="AB182" s="32"/>
      <c r="AC182" s="32"/>
      <c r="AD182" s="27"/>
      <c r="AE182" s="32"/>
      <c r="AF182" s="32" t="str">
        <f>IFERROR(__xludf.DUMMYFUNCTION("""COMPUTED_VALUE"""),"++Immunity to sleep. ++X4 Water damage.")</f>
        <v>++Immunity to sleep. ++X4 Water damage.</v>
      </c>
      <c r="AG182" s="32" t="str">
        <f>IFERROR(__xludf.DUMMYFUNCTION("""COMPUTED_VALUE"""),"Land of Spira")</f>
        <v>Land of Spira</v>
      </c>
      <c r="AH182" s="32" t="b">
        <f>IFERROR(__xludf.DUMMYFUNCTION("""COMPUTED_VALUE"""),FALSE)</f>
        <v>0</v>
      </c>
      <c r="AI182" s="32"/>
      <c r="AJ182" s="32"/>
      <c r="AK182" s="32"/>
      <c r="AL182" s="32"/>
      <c r="AM182" s="32"/>
      <c r="AN182" s="32"/>
      <c r="AO182" s="32"/>
      <c r="AP182" s="32"/>
      <c r="AQ182" s="32"/>
      <c r="AR182" s="32"/>
      <c r="AS182" s="32"/>
      <c r="AT182" s="32"/>
      <c r="AU182" s="32"/>
      <c r="AV182" s="32"/>
      <c r="AW182" s="32"/>
      <c r="AX182" s="32"/>
    </row>
    <row r="183">
      <c r="A183" s="50" t="str">
        <f>IFERROR(__xludf.DUMMYFUNCTION("""COMPUTED_VALUE"""),"Necklace of Water Breathing")</f>
        <v>Necklace of Water Breathing</v>
      </c>
      <c r="B183" s="5" t="str">
        <f>IFERROR(__xludf.DUMMYFUNCTION("""COMPUTED_VALUE"""),"Neck")</f>
        <v>Neck</v>
      </c>
      <c r="C183" s="32"/>
      <c r="D183" s="5"/>
      <c r="E183" s="40">
        <f>IFERROR(__xludf.DUMMYFUNCTION("""COMPUTED_VALUE"""),1.0)</f>
        <v>1</v>
      </c>
      <c r="F183" s="44">
        <f>IFERROR(__xludf.DUMMYFUNCTION("""COMPUTED_VALUE"""),0.0)</f>
        <v>0</v>
      </c>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27"/>
      <c r="AE183" s="32"/>
      <c r="AF183" s="32" t="str">
        <f>IFERROR(__xludf.DUMMYFUNCTION("""COMPUTED_VALUE"""),"++Allows you to breath underwater.")</f>
        <v>++Allows you to breath underwater.</v>
      </c>
      <c r="AG183" s="32" t="str">
        <f>IFERROR(__xludf.DUMMYFUNCTION("""COMPUTED_VALUE"""),"Land of Spira")</f>
        <v>Land of Spira</v>
      </c>
      <c r="AH183" s="32" t="b">
        <f>IFERROR(__xludf.DUMMYFUNCTION("""COMPUTED_VALUE"""),FALSE)</f>
        <v>0</v>
      </c>
      <c r="AI183" s="32"/>
      <c r="AJ183" s="32"/>
      <c r="AK183" s="32"/>
      <c r="AL183" s="32"/>
      <c r="AM183" s="32"/>
      <c r="AN183" s="32"/>
      <c r="AO183" s="32"/>
      <c r="AP183" s="32"/>
      <c r="AQ183" s="32"/>
      <c r="AR183" s="32"/>
      <c r="AS183" s="32"/>
      <c r="AT183" s="32"/>
      <c r="AU183" s="32"/>
      <c r="AV183" s="32"/>
      <c r="AW183" s="32"/>
      <c r="AX183" s="32"/>
    </row>
    <row r="184">
      <c r="A184" s="50" t="str">
        <f>IFERROR(__xludf.DUMMYFUNCTION("""COMPUTED_VALUE"""),"Obsidian Chestplate")</f>
        <v>Obsidian Chestplate</v>
      </c>
      <c r="B184" s="5" t="str">
        <f>IFERROR(__xludf.DUMMYFUNCTION("""COMPUTED_VALUE"""),"Torso")</f>
        <v>Torso</v>
      </c>
      <c r="C184" s="32" t="str">
        <f>IFERROR(__xludf.DUMMYFUNCTION("""COMPUTED_VALUE"""),"Quest Item")</f>
        <v>Quest Item</v>
      </c>
      <c r="D184" s="5"/>
      <c r="E184" s="40">
        <f>IFERROR(__xludf.DUMMYFUNCTION("""COMPUTED_VALUE"""),4000.0)</f>
        <v>4000</v>
      </c>
      <c r="F184" s="44">
        <f>IFERROR(__xludf.DUMMYFUNCTION("""COMPUTED_VALUE"""),7.98E8)</f>
        <v>798000000</v>
      </c>
      <c r="G184" s="32" t="str">
        <f>IFERROR(__xludf.DUMMYFUNCTION("""COMPUTED_VALUE"""),"DEF")</f>
        <v>DEF</v>
      </c>
      <c r="H184" s="33">
        <f>IFERROR(__xludf.DUMMYFUNCTION("""COMPUTED_VALUE"""),100000.0)</f>
        <v>100000</v>
      </c>
      <c r="I184" s="33">
        <f>IFERROR(__xludf.DUMMYFUNCTION("""COMPUTED_VALUE"""),100000.0)</f>
        <v>100000</v>
      </c>
      <c r="J184" s="32"/>
      <c r="K184" s="32"/>
      <c r="L184" s="32"/>
      <c r="M184" s="32"/>
      <c r="N184" s="32"/>
      <c r="O184" s="32"/>
      <c r="P184" s="32"/>
      <c r="Q184" s="32"/>
      <c r="R184" s="32"/>
      <c r="S184" s="32"/>
      <c r="T184" s="32"/>
      <c r="U184" s="32"/>
      <c r="V184" s="32"/>
      <c r="W184" s="32"/>
      <c r="X184" s="32"/>
      <c r="Y184" s="32"/>
      <c r="Z184" s="32"/>
      <c r="AA184" s="32"/>
      <c r="AB184" s="32"/>
      <c r="AC184" s="32"/>
      <c r="AD184" s="27"/>
      <c r="AE184" s="32"/>
      <c r="AF184" s="32" t="str">
        <f>IFERROR(__xludf.DUMMYFUNCTION("""COMPUTED_VALUE"""),"++Fire Immunity. +-Cannot be duplicated.")</f>
        <v>++Fire Immunity. +-Cannot be duplicated.</v>
      </c>
      <c r="AG184" s="32" t="str">
        <f>IFERROR(__xludf.DUMMYFUNCTION("""COMPUTED_VALUE"""),"Land of Spira")</f>
        <v>Land of Spira</v>
      </c>
      <c r="AH184" s="32" t="b">
        <f>IFERROR(__xludf.DUMMYFUNCTION("""COMPUTED_VALUE"""),FALSE)</f>
        <v>0</v>
      </c>
      <c r="AI184" s="32"/>
      <c r="AJ184" s="32"/>
      <c r="AK184" s="32"/>
      <c r="AL184" s="32"/>
      <c r="AM184" s="32"/>
      <c r="AN184" s="32"/>
      <c r="AO184" s="32"/>
      <c r="AP184" s="32"/>
      <c r="AQ184" s="32"/>
      <c r="AR184" s="32"/>
      <c r="AS184" s="32"/>
      <c r="AT184" s="32"/>
      <c r="AU184" s="32"/>
      <c r="AV184" s="32"/>
      <c r="AW184" s="32"/>
      <c r="AX184" s="32"/>
    </row>
    <row r="185">
      <c r="A185" s="50"/>
      <c r="B185" s="5" t="str">
        <f>IFERROR(__xludf.DUMMYFUNCTION("""COMPUTED_VALUE"""),"Hand")</f>
        <v>Hand</v>
      </c>
      <c r="C185" s="32"/>
      <c r="D185" s="5"/>
      <c r="E185" s="40">
        <f>IFERROR(__xludf.DUMMYFUNCTION("""COMPUTED_VALUE"""),1.0)</f>
        <v>1</v>
      </c>
      <c r="F185" s="44">
        <f>IFERROR(__xludf.DUMMYFUNCTION("""COMPUTED_VALUE"""),0.0)</f>
        <v>0</v>
      </c>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27"/>
      <c r="AE185" s="32"/>
      <c r="AF185" s="32"/>
      <c r="AG185" s="32" t="str">
        <f>IFERROR(__xludf.DUMMYFUNCTION("""COMPUTED_VALUE"""),"Land of Spira")</f>
        <v>Land of Spira</v>
      </c>
      <c r="AH185" s="32" t="b">
        <f>IFERROR(__xludf.DUMMYFUNCTION("""COMPUTED_VALUE"""),FALSE)</f>
        <v>0</v>
      </c>
      <c r="AI185" s="32"/>
      <c r="AJ185" s="32"/>
      <c r="AK185" s="32"/>
      <c r="AL185" s="32"/>
      <c r="AM185" s="32"/>
      <c r="AN185" s="32"/>
      <c r="AO185" s="32"/>
      <c r="AP185" s="32"/>
      <c r="AQ185" s="32"/>
      <c r="AR185" s="32"/>
      <c r="AS185" s="32"/>
      <c r="AT185" s="32"/>
      <c r="AU185" s="32"/>
      <c r="AV185" s="32"/>
      <c r="AW185" s="32"/>
      <c r="AX185" s="32"/>
    </row>
    <row r="186">
      <c r="A186" s="50" t="str">
        <f>IFERROR(__xludf.DUMMYFUNCTION("""COMPUTED_VALUE"""),"Ancient Oni Mask")</f>
        <v>Ancient Oni Mask</v>
      </c>
      <c r="B186" s="5" t="str">
        <f>IFERROR(__xludf.DUMMYFUNCTION("""COMPUTED_VALUE"""),"Head")</f>
        <v>Head</v>
      </c>
      <c r="C186" s="32" t="str">
        <f>IFERROR(__xludf.DUMMYFUNCTION("""COMPUTED_VALUE"""),"An ancient relic to Zhenmay")</f>
        <v>An ancient relic to Zhenmay</v>
      </c>
      <c r="D186" s="5"/>
      <c r="E186" s="40">
        <f>IFERROR(__xludf.DUMMYFUNCTION("""COMPUTED_VALUE"""),200.0)</f>
        <v>200</v>
      </c>
      <c r="F186" s="44">
        <f>IFERROR(__xludf.DUMMYFUNCTION("""COMPUTED_VALUE"""),5.104E8)</f>
        <v>510400000</v>
      </c>
      <c r="G186" s="32" t="str">
        <f>IFERROR(__xludf.DUMMYFUNCTION("""COMPUTED_VALUE"""),"DEF")</f>
        <v>DEF</v>
      </c>
      <c r="H186" s="33">
        <f>IFERROR(__xludf.DUMMYFUNCTION("""COMPUTED_VALUE"""),10000.0)</f>
        <v>10000</v>
      </c>
      <c r="I186" s="33">
        <f>IFERROR(__xludf.DUMMYFUNCTION("""COMPUTED_VALUE"""),10000.0)</f>
        <v>10000</v>
      </c>
      <c r="J186" s="33">
        <f>IFERROR(__xludf.DUMMYFUNCTION("""COMPUTED_VALUE"""),10000.0)</f>
        <v>10000</v>
      </c>
      <c r="K186" s="33">
        <f>IFERROR(__xludf.DUMMYFUNCTION("""COMPUTED_VALUE"""),10000.0)</f>
        <v>10000</v>
      </c>
      <c r="L186" s="33">
        <f>IFERROR(__xludf.DUMMYFUNCTION("""COMPUTED_VALUE"""),10000.0)</f>
        <v>10000</v>
      </c>
      <c r="M186" s="33">
        <f>IFERROR(__xludf.DUMMYFUNCTION("""COMPUTED_VALUE"""),10000.0)</f>
        <v>10000</v>
      </c>
      <c r="N186" s="33">
        <f>IFERROR(__xludf.DUMMYFUNCTION("""COMPUTED_VALUE"""),10000.0)</f>
        <v>10000</v>
      </c>
      <c r="O186" s="33">
        <f>IFERROR(__xludf.DUMMYFUNCTION("""COMPUTED_VALUE"""),10000.0)</f>
        <v>10000</v>
      </c>
      <c r="P186" s="33">
        <f>IFERROR(__xludf.DUMMYFUNCTION("""COMPUTED_VALUE"""),10000.0)</f>
        <v>10000</v>
      </c>
      <c r="Q186" s="33">
        <f>IFERROR(__xludf.DUMMYFUNCTION("""COMPUTED_VALUE"""),10000.0)</f>
        <v>10000</v>
      </c>
      <c r="R186" s="33">
        <f>IFERROR(__xludf.DUMMYFUNCTION("""COMPUTED_VALUE"""),10000.0)</f>
        <v>10000</v>
      </c>
      <c r="S186" s="33">
        <f>IFERROR(__xludf.DUMMYFUNCTION("""COMPUTED_VALUE"""),10000.0)</f>
        <v>10000</v>
      </c>
      <c r="T186" s="32"/>
      <c r="U186" s="32"/>
      <c r="V186" s="32"/>
      <c r="W186" s="32"/>
      <c r="X186" s="33">
        <f>IFERROR(__xludf.DUMMYFUNCTION("""COMPUTED_VALUE"""),10000.0)</f>
        <v>10000</v>
      </c>
      <c r="Y186" s="33">
        <f>IFERROR(__xludf.DUMMYFUNCTION("""COMPUTED_VALUE"""),10000.0)</f>
        <v>10000</v>
      </c>
      <c r="Z186" s="32"/>
      <c r="AA186" s="32"/>
      <c r="AB186" s="33">
        <f>IFERROR(__xludf.DUMMYFUNCTION("""COMPUTED_VALUE"""),10000.0)</f>
        <v>10000</v>
      </c>
      <c r="AC186" s="33">
        <f>IFERROR(__xludf.DUMMYFUNCTION("""COMPUTED_VALUE"""),10000.0)</f>
        <v>10000</v>
      </c>
      <c r="AD186" s="27"/>
      <c r="AE186" s="32"/>
      <c r="AF186" s="32" t="str">
        <f>IFERROR(__xludf.DUMMYFUNCTION("""COMPUTED_VALUE"""),"++X2 damage for all elements. +-Only Samurai's, Monks, and Ninjas can equip. +-Cannot be forged +-Cannot be duplicated")</f>
        <v>++X2 damage for all elements. +-Only Samurai's, Monks, and Ninjas can equip. +-Cannot be forged +-Cannot be duplicated</v>
      </c>
      <c r="AG186" s="32" t="str">
        <f>IFERROR(__xludf.DUMMYFUNCTION("""COMPUTED_VALUE"""),"Land of Spira")</f>
        <v>Land of Spira</v>
      </c>
      <c r="AH186" s="32" t="b">
        <f>IFERROR(__xludf.DUMMYFUNCTION("""COMPUTED_VALUE"""),FALSE)</f>
        <v>0</v>
      </c>
      <c r="AI186" s="32"/>
      <c r="AJ186" s="32"/>
      <c r="AK186" s="32"/>
      <c r="AL186" s="32"/>
      <c r="AM186" s="32"/>
      <c r="AN186" s="32"/>
      <c r="AO186" s="32"/>
      <c r="AP186" s="32"/>
      <c r="AQ186" s="32"/>
      <c r="AR186" s="32"/>
      <c r="AS186" s="32"/>
      <c r="AT186" s="32"/>
      <c r="AU186" s="32"/>
      <c r="AV186" s="32"/>
      <c r="AW186" s="32"/>
      <c r="AX186" s="32"/>
    </row>
    <row r="187">
      <c r="A187" s="49" t="str">
        <f>IFERROR(__xludf.DUMMYFUNCTION("""COMPUTED_VALUE"""),"Pauldrons of Waking Waters")</f>
        <v>Pauldrons of Waking Waters</v>
      </c>
      <c r="B187" s="5" t="str">
        <f>IFERROR(__xludf.DUMMYFUNCTION("""COMPUTED_VALUE"""),"Shoulders")</f>
        <v>Shoulders</v>
      </c>
      <c r="C187" s="32"/>
      <c r="D187" s="5"/>
      <c r="E187" s="40">
        <f>IFERROR(__xludf.DUMMYFUNCTION("""COMPUTED_VALUE"""),200.0)</f>
        <v>200</v>
      </c>
      <c r="F187" s="44">
        <f>IFERROR(__xludf.DUMMYFUNCTION("""COMPUTED_VALUE"""),1900000.0)</f>
        <v>1900000</v>
      </c>
      <c r="G187" s="32" t="str">
        <f>IFERROR(__xludf.DUMMYFUNCTION("""COMPUTED_VALUE"""),"DEF")</f>
        <v>DEF</v>
      </c>
      <c r="H187" s="32">
        <f>IFERROR(__xludf.DUMMYFUNCTION("""COMPUTED_VALUE"""),5000.0)</f>
        <v>5000</v>
      </c>
      <c r="I187" s="32"/>
      <c r="J187" s="32"/>
      <c r="K187" s="32">
        <f>IFERROR(__xludf.DUMMYFUNCTION("""COMPUTED_VALUE"""),5000.0)</f>
        <v>5000</v>
      </c>
      <c r="L187" s="32"/>
      <c r="M187" s="32"/>
      <c r="N187" s="32"/>
      <c r="O187" s="32"/>
      <c r="P187" s="32"/>
      <c r="Q187" s="32"/>
      <c r="R187" s="32"/>
      <c r="S187" s="32"/>
      <c r="T187" s="32"/>
      <c r="U187" s="32"/>
      <c r="V187" s="32"/>
      <c r="W187" s="32"/>
      <c r="X187" s="32"/>
      <c r="Y187" s="32"/>
      <c r="Z187" s="32"/>
      <c r="AA187" s="32"/>
      <c r="AB187" s="32"/>
      <c r="AC187" s="32"/>
      <c r="AD187" s="27"/>
      <c r="AE187" s="32"/>
      <c r="AF187" s="32" t="str">
        <f>IFERROR(__xludf.DUMMYFUNCTION("""COMPUTED_VALUE"""),"++X4 additional water damage for self.")</f>
        <v>++X4 additional water damage for self.</v>
      </c>
      <c r="AG187" s="32" t="str">
        <f>IFERROR(__xludf.DUMMYFUNCTION("""COMPUTED_VALUE"""),"Land of Spira")</f>
        <v>Land of Spira</v>
      </c>
      <c r="AH187" s="32" t="b">
        <f>IFERROR(__xludf.DUMMYFUNCTION("""COMPUTED_VALUE"""),FALSE)</f>
        <v>0</v>
      </c>
      <c r="AI187" s="32"/>
      <c r="AJ187" s="32"/>
      <c r="AK187" s="32"/>
      <c r="AL187" s="32"/>
      <c r="AM187" s="32"/>
      <c r="AN187" s="32"/>
      <c r="AO187" s="32"/>
      <c r="AP187" s="32"/>
      <c r="AQ187" s="32"/>
      <c r="AR187" s="32"/>
      <c r="AS187" s="32"/>
      <c r="AT187" s="32"/>
      <c r="AU187" s="32"/>
      <c r="AV187" s="32"/>
      <c r="AW187" s="32"/>
      <c r="AX187" s="32"/>
    </row>
    <row r="188">
      <c r="A188" s="27" t="str">
        <f>IFERROR(__xludf.DUMMYFUNCTION("""COMPUTED_VALUE"""),"Pendent of the Sea Serpent")</f>
        <v>Pendent of the Sea Serpent</v>
      </c>
      <c r="B188" s="5" t="str">
        <f>IFERROR(__xludf.DUMMYFUNCTION("""COMPUTED_VALUE"""),"Neck")</f>
        <v>Neck</v>
      </c>
      <c r="C188" s="32"/>
      <c r="D188" s="5"/>
      <c r="E188" s="40">
        <f>IFERROR(__xludf.DUMMYFUNCTION("""COMPUTED_VALUE"""),1.0)</f>
        <v>1</v>
      </c>
      <c r="F188" s="44">
        <f>IFERROR(__xludf.DUMMYFUNCTION("""COMPUTED_VALUE"""),0.0)</f>
        <v>0</v>
      </c>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27"/>
      <c r="AE188" s="32"/>
      <c r="AF188" s="32" t="str">
        <f>IFERROR(__xludf.DUMMYFUNCTION("""COMPUTED_VALUE"""),"++X2 Water Resistance.")</f>
        <v>++X2 Water Resistance.</v>
      </c>
      <c r="AG188" s="32" t="str">
        <f>IFERROR(__xludf.DUMMYFUNCTION("""COMPUTED_VALUE"""),"Land of Spira")</f>
        <v>Land of Spira</v>
      </c>
      <c r="AH188" s="32" t="b">
        <f>IFERROR(__xludf.DUMMYFUNCTION("""COMPUTED_VALUE"""),FALSE)</f>
        <v>0</v>
      </c>
      <c r="AI188" s="32"/>
      <c r="AJ188" s="32"/>
      <c r="AK188" s="32"/>
      <c r="AL188" s="32"/>
      <c r="AM188" s="32"/>
      <c r="AN188" s="32"/>
      <c r="AO188" s="32"/>
      <c r="AP188" s="32"/>
      <c r="AQ188" s="32"/>
      <c r="AR188" s="32"/>
      <c r="AS188" s="32"/>
      <c r="AT188" s="32"/>
      <c r="AU188" s="32"/>
      <c r="AV188" s="32"/>
      <c r="AW188" s="32"/>
      <c r="AX188" s="32"/>
    </row>
    <row r="189">
      <c r="A189" s="27" t="str">
        <f>IFERROR(__xludf.DUMMYFUNCTION("""COMPUTED_VALUE"""),"Pendent of Confusion")</f>
        <v>Pendent of Confusion</v>
      </c>
      <c r="B189" s="5" t="str">
        <f>IFERROR(__xludf.DUMMYFUNCTION("""COMPUTED_VALUE"""),"Neck")</f>
        <v>Neck</v>
      </c>
      <c r="C189" s="32"/>
      <c r="D189" s="5"/>
      <c r="E189" s="40">
        <f>IFERROR(__xludf.DUMMYFUNCTION("""COMPUTED_VALUE"""),1.0)</f>
        <v>1</v>
      </c>
      <c r="F189" s="44">
        <f>IFERROR(__xludf.DUMMYFUNCTION("""COMPUTED_VALUE"""),0.0)</f>
        <v>0</v>
      </c>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27"/>
      <c r="AE189" s="32"/>
      <c r="AF189" s="32"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32" t="str">
        <f>IFERROR(__xludf.DUMMYFUNCTION("""COMPUTED_VALUE"""),"Land of Spira")</f>
        <v>Land of Spira</v>
      </c>
      <c r="AH189" s="32" t="b">
        <f>IFERROR(__xludf.DUMMYFUNCTION("""COMPUTED_VALUE"""),FALSE)</f>
        <v>0</v>
      </c>
      <c r="AI189" s="32"/>
      <c r="AJ189" s="32"/>
      <c r="AK189" s="32"/>
      <c r="AL189" s="32"/>
      <c r="AM189" s="32"/>
      <c r="AN189" s="32"/>
      <c r="AO189" s="32"/>
      <c r="AP189" s="32"/>
      <c r="AQ189" s="32"/>
      <c r="AR189" s="32"/>
      <c r="AS189" s="32"/>
      <c r="AT189" s="32"/>
      <c r="AU189" s="32"/>
      <c r="AV189" s="32"/>
      <c r="AW189" s="32"/>
      <c r="AX189" s="32"/>
    </row>
    <row r="190">
      <c r="A190" s="27" t="str">
        <f>IFERROR(__xludf.DUMMYFUNCTION("""COMPUTED_VALUE"""),"Pendent of Luck")</f>
        <v>Pendent of Luck</v>
      </c>
      <c r="B190" s="5" t="str">
        <f>IFERROR(__xludf.DUMMYFUNCTION("""COMPUTED_VALUE"""),"Neck")</f>
        <v>Neck</v>
      </c>
      <c r="C190" s="32"/>
      <c r="D190" s="5"/>
      <c r="E190" s="40">
        <f>IFERROR(__xludf.DUMMYFUNCTION("""COMPUTED_VALUE"""),1.0)</f>
        <v>1</v>
      </c>
      <c r="F190" s="44">
        <f>IFERROR(__xludf.DUMMYFUNCTION("""COMPUTED_VALUE"""),0.0)</f>
        <v>0</v>
      </c>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27"/>
      <c r="AE190" s="32"/>
      <c r="AF190" s="32" t="str">
        <f>IFERROR(__xludf.DUMMYFUNCTION("""COMPUTED_VALUE"""),"++Plus 100 to each base Stat.")</f>
        <v>++Plus 100 to each base Stat.</v>
      </c>
      <c r="AG190" s="32" t="str">
        <f>IFERROR(__xludf.DUMMYFUNCTION("""COMPUTED_VALUE"""),"Land of Spira")</f>
        <v>Land of Spira</v>
      </c>
      <c r="AH190" s="32" t="b">
        <f>IFERROR(__xludf.DUMMYFUNCTION("""COMPUTED_VALUE"""),FALSE)</f>
        <v>0</v>
      </c>
      <c r="AI190" s="32"/>
      <c r="AJ190" s="32"/>
      <c r="AK190" s="32"/>
      <c r="AL190" s="32"/>
      <c r="AM190" s="32"/>
      <c r="AN190" s="32"/>
      <c r="AO190" s="32"/>
      <c r="AP190" s="32"/>
      <c r="AQ190" s="32"/>
      <c r="AR190" s="32"/>
      <c r="AS190" s="32"/>
      <c r="AT190" s="32"/>
      <c r="AU190" s="32"/>
      <c r="AV190" s="32"/>
      <c r="AW190" s="32"/>
      <c r="AX190" s="32"/>
    </row>
    <row r="191">
      <c r="A191" s="27" t="str">
        <f>IFERROR(__xludf.DUMMYFUNCTION("""COMPUTED_VALUE"""),"Pillow of Dreams")</f>
        <v>Pillow of Dreams</v>
      </c>
      <c r="B191" s="5" t="str">
        <f>IFERROR(__xludf.DUMMYFUNCTION("""COMPUTED_VALUE"""),"Hand")</f>
        <v>Hand</v>
      </c>
      <c r="C191" s="32"/>
      <c r="D191" s="5" t="str">
        <f>IFERROR(__xludf.DUMMYFUNCTION("""COMPUTED_VALUE"""),"Towershield")</f>
        <v>Towershield</v>
      </c>
      <c r="E191" s="40">
        <f>IFERROR(__xludf.DUMMYFUNCTION("""COMPUTED_VALUE"""),200.0)</f>
        <v>200</v>
      </c>
      <c r="F191" s="44">
        <f>IFERROR(__xludf.DUMMYFUNCTION("""COMPUTED_VALUE"""),1.2475E9)</f>
        <v>1247500000</v>
      </c>
      <c r="G191" s="32" t="str">
        <f>IFERROR(__xludf.DUMMYFUNCTION("""COMPUTED_VALUE"""),"DEF")</f>
        <v>DEF</v>
      </c>
      <c r="H191" s="33">
        <f>IFERROR(__xludf.DUMMYFUNCTION("""COMPUTED_VALUE"""),100000.0)</f>
        <v>100000</v>
      </c>
      <c r="I191" s="32"/>
      <c r="J191" s="32"/>
      <c r="K191" s="32"/>
      <c r="L191" s="32"/>
      <c r="M191" s="32"/>
      <c r="N191" s="32"/>
      <c r="O191" s="32"/>
      <c r="P191" s="32"/>
      <c r="Q191" s="32"/>
      <c r="R191" s="32"/>
      <c r="S191" s="32"/>
      <c r="T191" s="32"/>
      <c r="U191" s="32"/>
      <c r="V191" s="32"/>
      <c r="W191" s="32"/>
      <c r="X191" s="32"/>
      <c r="Y191" s="32"/>
      <c r="Z191" s="32"/>
      <c r="AA191" s="32"/>
      <c r="AB191" s="33">
        <f>IFERROR(__xludf.DUMMYFUNCTION("""COMPUTED_VALUE"""),100000.0)</f>
        <v>100000</v>
      </c>
      <c r="AC191" s="33">
        <f>IFERROR(__xludf.DUMMYFUNCTION("""COMPUTED_VALUE"""),50000.0)</f>
        <v>50000</v>
      </c>
      <c r="AD191" s="27"/>
      <c r="AE191" s="32"/>
      <c r="AF191" s="32"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32" t="str">
        <f>IFERROR(__xludf.DUMMYFUNCTION("""COMPUTED_VALUE"""),"Abstara")</f>
        <v>Abstara</v>
      </c>
      <c r="AH191" s="32" t="b">
        <f>IFERROR(__xludf.DUMMYFUNCTION("""COMPUTED_VALUE"""),FALSE)</f>
        <v>0</v>
      </c>
      <c r="AI191" s="32"/>
      <c r="AJ191" s="32"/>
      <c r="AK191" s="32"/>
      <c r="AL191" s="32"/>
      <c r="AM191" s="32"/>
      <c r="AN191" s="32"/>
      <c r="AO191" s="32"/>
      <c r="AP191" s="32"/>
      <c r="AQ191" s="32"/>
      <c r="AR191" s="32"/>
      <c r="AS191" s="32"/>
      <c r="AT191" s="32"/>
      <c r="AU191" s="32"/>
      <c r="AV191" s="32"/>
      <c r="AW191" s="32"/>
      <c r="AX191" s="32"/>
    </row>
    <row r="192">
      <c r="A192" s="27" t="str">
        <f>IFERROR(__xludf.DUMMYFUNCTION("""COMPUTED_VALUE"""),"Poison Vine Sword")</f>
        <v>Poison Vine Sword</v>
      </c>
      <c r="B192" s="5" t="str">
        <f>IFERROR(__xludf.DUMMYFUNCTION("""COMPUTED_VALUE"""),"Hand")</f>
        <v>Hand</v>
      </c>
      <c r="C192" s="32"/>
      <c r="D192" s="5" t="str">
        <f>IFERROR(__xludf.DUMMYFUNCTION("""COMPUTED_VALUE"""),"Sword")</f>
        <v>Sword</v>
      </c>
      <c r="E192" s="40">
        <f>IFERROR(__xludf.DUMMYFUNCTION("""COMPUTED_VALUE"""),2000.0)</f>
        <v>2000</v>
      </c>
      <c r="F192" s="44">
        <f>IFERROR(__xludf.DUMMYFUNCTION("""COMPUTED_VALUE"""),1.99E8)</f>
        <v>199000000</v>
      </c>
      <c r="G192" s="32" t="str">
        <f>IFERROR(__xludf.DUMMYFUNCTION("""COMPUTED_VALUE"""),"DMG")</f>
        <v>DMG</v>
      </c>
      <c r="H192" s="33">
        <f>IFERROR(__xludf.DUMMYFUNCTION("""COMPUTED_VALUE"""),50000.0)</f>
        <v>50000</v>
      </c>
      <c r="I192" s="32"/>
      <c r="J192" s="32"/>
      <c r="K192" s="32"/>
      <c r="L192" s="32"/>
      <c r="M192" s="32"/>
      <c r="N192" s="32"/>
      <c r="O192" s="32"/>
      <c r="P192" s="32"/>
      <c r="Q192" s="32"/>
      <c r="R192" s="32"/>
      <c r="S192" s="33">
        <f>IFERROR(__xludf.DUMMYFUNCTION("""COMPUTED_VALUE"""),50000.0)</f>
        <v>50000</v>
      </c>
      <c r="T192" s="32"/>
      <c r="U192" s="32"/>
      <c r="V192" s="32"/>
      <c r="W192" s="32"/>
      <c r="X192" s="32"/>
      <c r="Y192" s="32"/>
      <c r="Z192" s="32"/>
      <c r="AA192" s="32"/>
      <c r="AB192" s="32"/>
      <c r="AC192" s="32"/>
      <c r="AD192" s="27"/>
      <c r="AE192" s="32"/>
      <c r="AF192" s="32" t="str">
        <f>IFERROR(__xludf.DUMMYFUNCTION("""COMPUTED_VALUE"""),"++Poison 25,000")</f>
        <v>++Poison 25,000</v>
      </c>
      <c r="AG192" s="32" t="str">
        <f>IFERROR(__xludf.DUMMYFUNCTION("""COMPUTED_VALUE"""),"Land of Spira")</f>
        <v>Land of Spira</v>
      </c>
      <c r="AH192" s="32" t="b">
        <f>IFERROR(__xludf.DUMMYFUNCTION("""COMPUTED_VALUE"""),FALSE)</f>
        <v>0</v>
      </c>
      <c r="AI192" s="32"/>
      <c r="AJ192" s="32"/>
      <c r="AK192" s="32"/>
      <c r="AL192" s="32"/>
      <c r="AM192" s="32"/>
      <c r="AN192" s="32"/>
      <c r="AO192" s="32"/>
      <c r="AP192" s="32"/>
      <c r="AQ192" s="32"/>
      <c r="AR192" s="32"/>
      <c r="AS192" s="32"/>
      <c r="AT192" s="32"/>
      <c r="AU192" s="32"/>
      <c r="AV192" s="32"/>
      <c r="AW192" s="32"/>
      <c r="AX192" s="32"/>
    </row>
    <row r="193">
      <c r="A193" s="27" t="str">
        <f>IFERROR(__xludf.DUMMYFUNCTION("""COMPUTED_VALUE"""),"Poseidon's Boots")</f>
        <v>Poseidon's Boots</v>
      </c>
      <c r="B193" s="5" t="str">
        <f>IFERROR(__xludf.DUMMYFUNCTION("""COMPUTED_VALUE"""),"Feet")</f>
        <v>Feet</v>
      </c>
      <c r="C193" s="32"/>
      <c r="D193" s="5"/>
      <c r="E193" s="40">
        <f>IFERROR(__xludf.DUMMYFUNCTION("""COMPUTED_VALUE"""),400.0)</f>
        <v>400</v>
      </c>
      <c r="F193" s="44">
        <f>IFERROR(__xludf.DUMMYFUNCTION("""COMPUTED_VALUE"""),7800000.0)</f>
        <v>7800000</v>
      </c>
      <c r="G193" s="32" t="str">
        <f>IFERROR(__xludf.DUMMYFUNCTION("""COMPUTED_VALUE"""),"DEF")</f>
        <v>DEF</v>
      </c>
      <c r="H193" s="33">
        <f>IFERROR(__xludf.DUMMYFUNCTION("""COMPUTED_VALUE"""),10000.0)</f>
        <v>10000</v>
      </c>
      <c r="I193" s="32"/>
      <c r="J193" s="32"/>
      <c r="K193" s="33">
        <f>IFERROR(__xludf.DUMMYFUNCTION("""COMPUTED_VALUE"""),10000.0)</f>
        <v>10000</v>
      </c>
      <c r="L193" s="32"/>
      <c r="M193" s="32"/>
      <c r="N193" s="32"/>
      <c r="O193" s="32"/>
      <c r="P193" s="32"/>
      <c r="Q193" s="32"/>
      <c r="R193" s="32"/>
      <c r="S193" s="32"/>
      <c r="T193" s="32"/>
      <c r="U193" s="32"/>
      <c r="V193" s="32"/>
      <c r="W193" s="32"/>
      <c r="X193" s="32"/>
      <c r="Y193" s="32"/>
      <c r="Z193" s="32"/>
      <c r="AA193" s="32"/>
      <c r="AB193" s="32"/>
      <c r="AC193" s="32"/>
      <c r="AD193" s="27"/>
      <c r="AE193" s="32"/>
      <c r="AF193" s="32" t="str">
        <f>IFERROR(__xludf.DUMMYFUNCTION("""COMPUTED_VALUE"""),"++X8 additional water damage for self.")</f>
        <v>++X8 additional water damage for self.</v>
      </c>
      <c r="AG193" s="32" t="str">
        <f>IFERROR(__xludf.DUMMYFUNCTION("""COMPUTED_VALUE"""),"Land of Spira")</f>
        <v>Land of Spira</v>
      </c>
      <c r="AH193" s="32" t="b">
        <f>IFERROR(__xludf.DUMMYFUNCTION("""COMPUTED_VALUE"""),FALSE)</f>
        <v>0</v>
      </c>
      <c r="AI193" s="32"/>
      <c r="AJ193" s="32"/>
      <c r="AK193" s="32"/>
      <c r="AL193" s="32"/>
      <c r="AM193" s="32"/>
      <c r="AN193" s="32"/>
      <c r="AO193" s="32"/>
      <c r="AP193" s="32"/>
      <c r="AQ193" s="32"/>
      <c r="AR193" s="32"/>
      <c r="AS193" s="32"/>
      <c r="AT193" s="32"/>
      <c r="AU193" s="32"/>
      <c r="AV193" s="32"/>
      <c r="AW193" s="32"/>
      <c r="AX193" s="32"/>
    </row>
    <row r="194">
      <c r="A194" s="27" t="str">
        <f>IFERROR(__xludf.DUMMYFUNCTION("""COMPUTED_VALUE"""),"Poseidon's Chestplate")</f>
        <v>Poseidon's Chestplate</v>
      </c>
      <c r="B194" s="5" t="str">
        <f>IFERROR(__xludf.DUMMYFUNCTION("""COMPUTED_VALUE"""),"Torso")</f>
        <v>Torso</v>
      </c>
      <c r="C194" s="32"/>
      <c r="D194" s="5"/>
      <c r="E194" s="40">
        <f>IFERROR(__xludf.DUMMYFUNCTION("""COMPUTED_VALUE"""),800.0)</f>
        <v>800</v>
      </c>
      <c r="F194" s="44">
        <f>IFERROR(__xludf.DUMMYFUNCTION("""COMPUTED_VALUE"""),3.16E7)</f>
        <v>31600000</v>
      </c>
      <c r="G194" s="32" t="str">
        <f>IFERROR(__xludf.DUMMYFUNCTION("""COMPUTED_VALUE"""),"DEF")</f>
        <v>DEF</v>
      </c>
      <c r="H194" s="33">
        <f>IFERROR(__xludf.DUMMYFUNCTION("""COMPUTED_VALUE"""),20000.0)</f>
        <v>20000</v>
      </c>
      <c r="I194" s="32"/>
      <c r="J194" s="32"/>
      <c r="K194" s="32">
        <f>IFERROR(__xludf.DUMMYFUNCTION("""COMPUTED_VALUE"""),20000.0)</f>
        <v>20000</v>
      </c>
      <c r="L194" s="32"/>
      <c r="M194" s="32"/>
      <c r="N194" s="32"/>
      <c r="O194" s="32"/>
      <c r="P194" s="32"/>
      <c r="Q194" s="32"/>
      <c r="R194" s="32"/>
      <c r="S194" s="32"/>
      <c r="T194" s="32"/>
      <c r="U194" s="32"/>
      <c r="V194" s="32"/>
      <c r="W194" s="32"/>
      <c r="X194" s="32"/>
      <c r="Y194" s="32"/>
      <c r="Z194" s="32"/>
      <c r="AA194" s="32"/>
      <c r="AB194" s="32"/>
      <c r="AC194" s="32"/>
      <c r="AD194" s="27"/>
      <c r="AE194" s="32"/>
      <c r="AF194" s="32"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32" t="str">
        <f>IFERROR(__xludf.DUMMYFUNCTION("""COMPUTED_VALUE"""),"Land of Spira")</f>
        <v>Land of Spira</v>
      </c>
      <c r="AH194" s="32" t="b">
        <f>IFERROR(__xludf.DUMMYFUNCTION("""COMPUTED_VALUE"""),FALSE)</f>
        <v>0</v>
      </c>
      <c r="AI194" s="32"/>
      <c r="AJ194" s="32"/>
      <c r="AK194" s="32"/>
      <c r="AL194" s="32"/>
      <c r="AM194" s="32"/>
      <c r="AN194" s="32"/>
      <c r="AO194" s="32"/>
      <c r="AP194" s="32"/>
      <c r="AQ194" s="32"/>
      <c r="AR194" s="32"/>
      <c r="AS194" s="32"/>
      <c r="AT194" s="32"/>
      <c r="AU194" s="32"/>
      <c r="AV194" s="32"/>
      <c r="AW194" s="32"/>
      <c r="AX194" s="32"/>
    </row>
    <row r="195">
      <c r="A195" s="27" t="str">
        <f>IFERROR(__xludf.DUMMYFUNCTION("""COMPUTED_VALUE"""),"Poseidon's Greaves")</f>
        <v>Poseidon's Greaves</v>
      </c>
      <c r="B195" s="5" t="str">
        <f>IFERROR(__xludf.DUMMYFUNCTION("""COMPUTED_VALUE"""),"Legs")</f>
        <v>Legs</v>
      </c>
      <c r="C195" s="32"/>
      <c r="D195" s="5"/>
      <c r="E195" s="40">
        <f>IFERROR(__xludf.DUMMYFUNCTION("""COMPUTED_VALUE"""),400.0)</f>
        <v>400</v>
      </c>
      <c r="F195" s="44">
        <f>IFERROR(__xludf.DUMMYFUNCTION("""COMPUTED_VALUE"""),7800000.0)</f>
        <v>7800000</v>
      </c>
      <c r="G195" s="32" t="str">
        <f>IFERROR(__xludf.DUMMYFUNCTION("""COMPUTED_VALUE"""),"DEF")</f>
        <v>DEF</v>
      </c>
      <c r="H195" s="33">
        <f>IFERROR(__xludf.DUMMYFUNCTION("""COMPUTED_VALUE"""),10000.0)</f>
        <v>10000</v>
      </c>
      <c r="I195" s="32"/>
      <c r="J195" s="32"/>
      <c r="K195" s="33">
        <f>IFERROR(__xludf.DUMMYFUNCTION("""COMPUTED_VALUE"""),10000.0)</f>
        <v>10000</v>
      </c>
      <c r="L195" s="32"/>
      <c r="M195" s="32"/>
      <c r="N195" s="32"/>
      <c r="O195" s="32"/>
      <c r="P195" s="32"/>
      <c r="Q195" s="32"/>
      <c r="R195" s="32"/>
      <c r="S195" s="32"/>
      <c r="T195" s="32"/>
      <c r="U195" s="32"/>
      <c r="V195" s="32"/>
      <c r="W195" s="32"/>
      <c r="X195" s="32"/>
      <c r="Y195" s="32"/>
      <c r="Z195" s="32"/>
      <c r="AA195" s="32"/>
      <c r="AB195" s="32"/>
      <c r="AC195" s="32"/>
      <c r="AD195" s="27"/>
      <c r="AE195" s="32"/>
      <c r="AF195" s="32" t="str">
        <f>IFERROR(__xludf.DUMMYFUNCTION("""COMPUTED_VALUE"""),"++X8 additional water damage for self.")</f>
        <v>++X8 additional water damage for self.</v>
      </c>
      <c r="AG195" s="32" t="str">
        <f>IFERROR(__xludf.DUMMYFUNCTION("""COMPUTED_VALUE"""),"Land of Spira")</f>
        <v>Land of Spira</v>
      </c>
      <c r="AH195" s="32" t="b">
        <f>IFERROR(__xludf.DUMMYFUNCTION("""COMPUTED_VALUE"""),FALSE)</f>
        <v>0</v>
      </c>
      <c r="AI195" s="32"/>
      <c r="AJ195" s="32"/>
      <c r="AK195" s="32"/>
      <c r="AL195" s="32"/>
      <c r="AM195" s="32"/>
      <c r="AN195" s="32"/>
      <c r="AO195" s="32"/>
      <c r="AP195" s="32"/>
      <c r="AQ195" s="32"/>
      <c r="AR195" s="32"/>
      <c r="AS195" s="32"/>
      <c r="AT195" s="32"/>
      <c r="AU195" s="32"/>
      <c r="AV195" s="32"/>
      <c r="AW195" s="32"/>
      <c r="AX195" s="32"/>
    </row>
    <row r="196">
      <c r="A196" s="27" t="str">
        <f>IFERROR(__xludf.DUMMYFUNCTION("""COMPUTED_VALUE"""),"Poseidon's Helmet")</f>
        <v>Poseidon's Helmet</v>
      </c>
      <c r="B196" s="5" t="str">
        <f>IFERROR(__xludf.DUMMYFUNCTION("""COMPUTED_VALUE"""),"Head")</f>
        <v>Head</v>
      </c>
      <c r="C196" s="32"/>
      <c r="D196" s="5"/>
      <c r="E196" s="40">
        <f>IFERROR(__xludf.DUMMYFUNCTION("""COMPUTED_VALUE"""),400.0)</f>
        <v>400</v>
      </c>
      <c r="F196" s="44">
        <f>IFERROR(__xludf.DUMMYFUNCTION("""COMPUTED_VALUE"""),7800000.0)</f>
        <v>7800000</v>
      </c>
      <c r="G196" s="32" t="str">
        <f>IFERROR(__xludf.DUMMYFUNCTION("""COMPUTED_VALUE"""),"DEF")</f>
        <v>DEF</v>
      </c>
      <c r="H196" s="33">
        <f>IFERROR(__xludf.DUMMYFUNCTION("""COMPUTED_VALUE"""),10000.0)</f>
        <v>10000</v>
      </c>
      <c r="I196" s="32"/>
      <c r="J196" s="32"/>
      <c r="K196" s="33">
        <f>IFERROR(__xludf.DUMMYFUNCTION("""COMPUTED_VALUE"""),10000.0)</f>
        <v>10000</v>
      </c>
      <c r="L196" s="32"/>
      <c r="M196" s="32"/>
      <c r="N196" s="32"/>
      <c r="O196" s="32"/>
      <c r="P196" s="32"/>
      <c r="Q196" s="32"/>
      <c r="R196" s="32"/>
      <c r="S196" s="32"/>
      <c r="T196" s="32"/>
      <c r="U196" s="32"/>
      <c r="V196" s="32"/>
      <c r="W196" s="32"/>
      <c r="X196" s="32"/>
      <c r="Y196" s="32"/>
      <c r="Z196" s="32"/>
      <c r="AA196" s="32"/>
      <c r="AB196" s="32"/>
      <c r="AC196" s="32"/>
      <c r="AD196" s="27"/>
      <c r="AE196" s="32"/>
      <c r="AF196" s="32" t="str">
        <f>IFERROR(__xludf.DUMMYFUNCTION("""COMPUTED_VALUE"""),"++X8 additional water damage for self.")</f>
        <v>++X8 additional water damage for self.</v>
      </c>
      <c r="AG196" s="32" t="str">
        <f>IFERROR(__xludf.DUMMYFUNCTION("""COMPUTED_VALUE"""),"Land of Spira")</f>
        <v>Land of Spira</v>
      </c>
      <c r="AH196" s="32" t="b">
        <f>IFERROR(__xludf.DUMMYFUNCTION("""COMPUTED_VALUE"""),FALSE)</f>
        <v>0</v>
      </c>
      <c r="AI196" s="32"/>
      <c r="AJ196" s="32"/>
      <c r="AK196" s="32"/>
      <c r="AL196" s="32"/>
      <c r="AM196" s="32"/>
      <c r="AN196" s="32"/>
      <c r="AO196" s="32"/>
      <c r="AP196" s="32"/>
      <c r="AQ196" s="32"/>
      <c r="AR196" s="32"/>
      <c r="AS196" s="32"/>
      <c r="AT196" s="32"/>
      <c r="AU196" s="32"/>
      <c r="AV196" s="32"/>
      <c r="AW196" s="32"/>
      <c r="AX196" s="32"/>
    </row>
    <row r="197">
      <c r="A197" s="27" t="str">
        <f>IFERROR(__xludf.DUMMYFUNCTION("""COMPUTED_VALUE"""),"Poseidon's Pauldrons")</f>
        <v>Poseidon's Pauldrons</v>
      </c>
      <c r="B197" s="5" t="str">
        <f>IFERROR(__xludf.DUMMYFUNCTION("""COMPUTED_VALUE"""),"Shoulders")</f>
        <v>Shoulders</v>
      </c>
      <c r="C197" s="32"/>
      <c r="D197" s="5"/>
      <c r="E197" s="40">
        <f>IFERROR(__xludf.DUMMYFUNCTION("""COMPUTED_VALUE"""),400.0)</f>
        <v>400</v>
      </c>
      <c r="F197" s="44">
        <f>IFERROR(__xludf.DUMMYFUNCTION("""COMPUTED_VALUE"""),7800000.0)</f>
        <v>7800000</v>
      </c>
      <c r="G197" s="32" t="str">
        <f>IFERROR(__xludf.DUMMYFUNCTION("""COMPUTED_VALUE"""),"DEF")</f>
        <v>DEF</v>
      </c>
      <c r="H197" s="33">
        <f>IFERROR(__xludf.DUMMYFUNCTION("""COMPUTED_VALUE"""),10000.0)</f>
        <v>10000</v>
      </c>
      <c r="I197" s="32"/>
      <c r="J197" s="32"/>
      <c r="K197" s="33">
        <f>IFERROR(__xludf.DUMMYFUNCTION("""COMPUTED_VALUE"""),10000.0)</f>
        <v>10000</v>
      </c>
      <c r="L197" s="32"/>
      <c r="M197" s="32"/>
      <c r="N197" s="32"/>
      <c r="O197" s="32"/>
      <c r="P197" s="32"/>
      <c r="Q197" s="32"/>
      <c r="R197" s="32"/>
      <c r="S197" s="32"/>
      <c r="T197" s="32"/>
      <c r="U197" s="32"/>
      <c r="V197" s="32"/>
      <c r="W197" s="32"/>
      <c r="X197" s="32"/>
      <c r="Y197" s="32"/>
      <c r="Z197" s="32"/>
      <c r="AA197" s="32"/>
      <c r="AB197" s="32"/>
      <c r="AC197" s="32"/>
      <c r="AD197" s="27"/>
      <c r="AE197" s="32"/>
      <c r="AF197" s="32" t="str">
        <f>IFERROR(__xludf.DUMMYFUNCTION("""COMPUTED_VALUE"""),"++X8 additional water damage for self.")</f>
        <v>++X8 additional water damage for self.</v>
      </c>
      <c r="AG197" s="32" t="str">
        <f>IFERROR(__xludf.DUMMYFUNCTION("""COMPUTED_VALUE"""),"Land of Spira")</f>
        <v>Land of Spira</v>
      </c>
      <c r="AH197" s="32" t="b">
        <f>IFERROR(__xludf.DUMMYFUNCTION("""COMPUTED_VALUE"""),FALSE)</f>
        <v>0</v>
      </c>
      <c r="AI197" s="32"/>
      <c r="AJ197" s="32"/>
      <c r="AK197" s="32"/>
      <c r="AL197" s="32"/>
      <c r="AM197" s="32"/>
      <c r="AN197" s="32"/>
      <c r="AO197" s="32"/>
      <c r="AP197" s="32"/>
      <c r="AQ197" s="32"/>
      <c r="AR197" s="32"/>
      <c r="AS197" s="32"/>
      <c r="AT197" s="32"/>
      <c r="AU197" s="32"/>
      <c r="AV197" s="32"/>
      <c r="AW197" s="32"/>
      <c r="AX197" s="32"/>
    </row>
    <row r="198">
      <c r="A198" s="27" t="str">
        <f>IFERROR(__xludf.DUMMYFUNCTION("""COMPUTED_VALUE"""),"Poseidon's Ring")</f>
        <v>Poseidon's Ring</v>
      </c>
      <c r="B198" s="5" t="str">
        <f>IFERROR(__xludf.DUMMYFUNCTION("""COMPUTED_VALUE"""),"Ring")</f>
        <v>Ring</v>
      </c>
      <c r="C198" s="32"/>
      <c r="D198" s="5"/>
      <c r="E198" s="40">
        <f>IFERROR(__xludf.DUMMYFUNCTION("""COMPUTED_VALUE"""),20.0)</f>
        <v>20</v>
      </c>
      <c r="F198" s="44">
        <f>IFERROR(__xludf.DUMMYFUNCTION("""COMPUTED_VALUE"""),10000.0)</f>
        <v>10000</v>
      </c>
      <c r="G198" s="32" t="str">
        <f>IFERROR(__xludf.DUMMYFUNCTION("""COMPUTED_VALUE"""),"DEF")</f>
        <v>DEF</v>
      </c>
      <c r="H198" s="33">
        <f>IFERROR(__xludf.DUMMYFUNCTION("""COMPUTED_VALUE"""),1000.0)</f>
        <v>1000</v>
      </c>
      <c r="I198" s="32"/>
      <c r="J198" s="32"/>
      <c r="K198" s="32"/>
      <c r="L198" s="32"/>
      <c r="M198" s="32"/>
      <c r="N198" s="32"/>
      <c r="O198" s="32"/>
      <c r="P198" s="32"/>
      <c r="Q198" s="32"/>
      <c r="R198" s="32"/>
      <c r="S198" s="32"/>
      <c r="T198" s="32"/>
      <c r="U198" s="32"/>
      <c r="V198" s="32"/>
      <c r="W198" s="32"/>
      <c r="X198" s="32"/>
      <c r="Y198" s="32"/>
      <c r="Z198" s="32"/>
      <c r="AA198" s="32"/>
      <c r="AB198" s="32"/>
      <c r="AC198" s="32"/>
      <c r="AD198" s="27"/>
      <c r="AE198" s="32"/>
      <c r="AF198" s="32" t="str">
        <f>IFERROR(__xludf.DUMMYFUNCTION("""COMPUTED_VALUE"""),"++X8 additional water damage for self. ")</f>
        <v>++X8 additional water damage for self. </v>
      </c>
      <c r="AG198" s="32" t="str">
        <f>IFERROR(__xludf.DUMMYFUNCTION("""COMPUTED_VALUE"""),"Land of Spira")</f>
        <v>Land of Spira</v>
      </c>
      <c r="AH198" s="32" t="b">
        <f>IFERROR(__xludf.DUMMYFUNCTION("""COMPUTED_VALUE"""),FALSE)</f>
        <v>0</v>
      </c>
      <c r="AI198" s="32"/>
      <c r="AJ198" s="32"/>
      <c r="AK198" s="32"/>
      <c r="AL198" s="32"/>
      <c r="AM198" s="32"/>
      <c r="AN198" s="32"/>
      <c r="AO198" s="32"/>
      <c r="AP198" s="32"/>
      <c r="AQ198" s="32"/>
      <c r="AR198" s="32"/>
      <c r="AS198" s="32"/>
      <c r="AT198" s="32"/>
      <c r="AU198" s="32"/>
      <c r="AV198" s="32"/>
      <c r="AW198" s="32"/>
      <c r="AX198" s="32"/>
    </row>
    <row r="199">
      <c r="A199" s="27" t="str">
        <f>IFERROR(__xludf.DUMMYFUNCTION("""COMPUTED_VALUE"""),"Poseidon's Sword")</f>
        <v>Poseidon's Sword</v>
      </c>
      <c r="B199" s="5" t="str">
        <f>IFERROR(__xludf.DUMMYFUNCTION("""COMPUTED_VALUE"""),"Hand")</f>
        <v>Hand</v>
      </c>
      <c r="C199" s="32"/>
      <c r="D199" s="5" t="str">
        <f>IFERROR(__xludf.DUMMYFUNCTION("""COMPUTED_VALUE"""),"Sword")</f>
        <v>Sword</v>
      </c>
      <c r="E199" s="40">
        <f>IFERROR(__xludf.DUMMYFUNCTION("""COMPUTED_VALUE"""),200.0)</f>
        <v>200</v>
      </c>
      <c r="F199" s="44">
        <f>IFERROR(__xludf.DUMMYFUNCTION("""COMPUTED_VALUE"""),1.99E8)</f>
        <v>199000000</v>
      </c>
      <c r="G199" s="32" t="str">
        <f>IFERROR(__xludf.DUMMYFUNCTION("""COMPUTED_VALUE"""),"DMG")</f>
        <v>DMG</v>
      </c>
      <c r="H199" s="33">
        <f>IFERROR(__xludf.DUMMYFUNCTION("""COMPUTED_VALUE"""),40000.0)</f>
        <v>40000</v>
      </c>
      <c r="I199" s="32"/>
      <c r="J199" s="32"/>
      <c r="K199" s="33">
        <f>IFERROR(__xludf.DUMMYFUNCTION("""COMPUTED_VALUE"""),40000.0)</f>
        <v>40000</v>
      </c>
      <c r="L199" s="32"/>
      <c r="M199" s="32"/>
      <c r="N199" s="32"/>
      <c r="O199" s="32"/>
      <c r="P199" s="32"/>
      <c r="Q199" s="32"/>
      <c r="R199" s="32"/>
      <c r="S199" s="32"/>
      <c r="T199" s="32"/>
      <c r="U199" s="32"/>
      <c r="V199" s="32"/>
      <c r="W199" s="32"/>
      <c r="X199" s="32"/>
      <c r="Y199" s="32"/>
      <c r="Z199" s="32"/>
      <c r="AA199" s="32"/>
      <c r="AB199" s="32"/>
      <c r="AC199" s="33">
        <f>IFERROR(__xludf.DUMMYFUNCTION("""COMPUTED_VALUE"""),20000.0)</f>
        <v>20000</v>
      </c>
      <c r="AD199" s="27"/>
      <c r="AE199" s="32"/>
      <c r="AF199" s="32"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32" t="str">
        <f>IFERROR(__xludf.DUMMYFUNCTION("""COMPUTED_VALUE"""),"Land of Spira")</f>
        <v>Land of Spira</v>
      </c>
      <c r="AH199" s="32" t="b">
        <f>IFERROR(__xludf.DUMMYFUNCTION("""COMPUTED_VALUE"""),FALSE)</f>
        <v>0</v>
      </c>
      <c r="AI199" s="32"/>
      <c r="AJ199" s="32"/>
      <c r="AK199" s="32"/>
      <c r="AL199" s="32"/>
      <c r="AM199" s="32"/>
      <c r="AN199" s="32"/>
      <c r="AO199" s="32"/>
      <c r="AP199" s="32"/>
      <c r="AQ199" s="32"/>
      <c r="AR199" s="32"/>
      <c r="AS199" s="32"/>
      <c r="AT199" s="32"/>
      <c r="AU199" s="32"/>
      <c r="AV199" s="32"/>
      <c r="AW199" s="32"/>
      <c r="AX199" s="32"/>
    </row>
    <row r="200">
      <c r="A200" s="27" t="str">
        <f>IFERROR(__xludf.DUMMYFUNCTION("""COMPUTED_VALUE"""),"Poseidon's Trident")</f>
        <v>Poseidon's Trident</v>
      </c>
      <c r="B200" s="5" t="str">
        <f>IFERROR(__xludf.DUMMYFUNCTION("""COMPUTED_VALUE"""),"Hand")</f>
        <v>Hand</v>
      </c>
      <c r="C200" s="32"/>
      <c r="D200" s="5" t="str">
        <f>IFERROR(__xludf.DUMMYFUNCTION("""COMPUTED_VALUE"""),"Spear")</f>
        <v>Spear</v>
      </c>
      <c r="E200" s="40">
        <f>IFERROR(__xludf.DUMMYFUNCTION("""COMPUTED_VALUE"""),200.0)</f>
        <v>200</v>
      </c>
      <c r="F200" s="40">
        <f>IFERROR(__xludf.DUMMYFUNCTION("""COMPUTED_VALUE"""),3.1125E8)</f>
        <v>311250000</v>
      </c>
      <c r="G200" s="32" t="str">
        <f>IFERROR(__xludf.DUMMYFUNCTION("""COMPUTED_VALUE"""),"DMG")</f>
        <v>DMG</v>
      </c>
      <c r="H200" s="33">
        <f>IFERROR(__xludf.DUMMYFUNCTION("""COMPUTED_VALUE"""),50000.0)</f>
        <v>50000</v>
      </c>
      <c r="I200" s="32"/>
      <c r="J200" s="32"/>
      <c r="K200" s="33">
        <f>IFERROR(__xludf.DUMMYFUNCTION("""COMPUTED_VALUE"""),50000.0)</f>
        <v>50000</v>
      </c>
      <c r="L200" s="32"/>
      <c r="M200" s="32"/>
      <c r="N200" s="32"/>
      <c r="O200" s="32"/>
      <c r="P200" s="32"/>
      <c r="Q200" s="32"/>
      <c r="R200" s="32"/>
      <c r="S200" s="32"/>
      <c r="T200" s="32"/>
      <c r="U200" s="32"/>
      <c r="V200" s="32"/>
      <c r="W200" s="32"/>
      <c r="X200" s="32"/>
      <c r="Y200" s="32"/>
      <c r="Z200" s="32"/>
      <c r="AA200" s="32"/>
      <c r="AB200" s="32"/>
      <c r="AC200" s="33">
        <f>IFERROR(__xludf.DUMMYFUNCTION("""COMPUTED_VALUE"""),25000.0)</f>
        <v>25000</v>
      </c>
      <c r="AD200" s="42"/>
      <c r="AE200" s="32"/>
      <c r="AF200" s="32"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32" t="str">
        <f>IFERROR(__xludf.DUMMYFUNCTION("""COMPUTED_VALUE"""),"Land of Spira")</f>
        <v>Land of Spira</v>
      </c>
      <c r="AH200" s="32" t="b">
        <f>IFERROR(__xludf.DUMMYFUNCTION("""COMPUTED_VALUE"""),FALSE)</f>
        <v>0</v>
      </c>
      <c r="AI200" s="32"/>
      <c r="AJ200" s="32"/>
      <c r="AK200" s="32"/>
      <c r="AL200" s="32"/>
      <c r="AM200" s="32"/>
      <c r="AN200" s="32"/>
      <c r="AO200" s="32"/>
      <c r="AP200" s="32"/>
      <c r="AQ200" s="32"/>
      <c r="AR200" s="32"/>
      <c r="AS200" s="32"/>
      <c r="AT200" s="32"/>
      <c r="AU200" s="32"/>
      <c r="AV200" s="32"/>
      <c r="AW200" s="32"/>
      <c r="AX200" s="32"/>
    </row>
    <row r="201">
      <c r="A201" s="42" t="str">
        <f>IFERROR(__xludf.DUMMYFUNCTION("""COMPUTED_VALUE"""),"Poseidon's Vambraces")</f>
        <v>Poseidon's Vambraces</v>
      </c>
      <c r="B201" s="5" t="str">
        <f>IFERROR(__xludf.DUMMYFUNCTION("""COMPUTED_VALUE"""),"Arms")</f>
        <v>Arms</v>
      </c>
      <c r="C201" s="32"/>
      <c r="D201" s="5"/>
      <c r="E201" s="40">
        <f>IFERROR(__xludf.DUMMYFUNCTION("""COMPUTED_VALUE"""),400.0)</f>
        <v>400</v>
      </c>
      <c r="F201" s="44">
        <f>IFERROR(__xludf.DUMMYFUNCTION("""COMPUTED_VALUE"""),7800000.0)</f>
        <v>7800000</v>
      </c>
      <c r="G201" s="32" t="str">
        <f>IFERROR(__xludf.DUMMYFUNCTION("""COMPUTED_VALUE"""),"DEF")</f>
        <v>DEF</v>
      </c>
      <c r="H201" s="33">
        <f>IFERROR(__xludf.DUMMYFUNCTION("""COMPUTED_VALUE"""),10000.0)</f>
        <v>10000</v>
      </c>
      <c r="I201" s="32"/>
      <c r="J201" s="32"/>
      <c r="K201" s="33">
        <f>IFERROR(__xludf.DUMMYFUNCTION("""COMPUTED_VALUE"""),10000.0)</f>
        <v>10000</v>
      </c>
      <c r="L201" s="32"/>
      <c r="M201" s="32"/>
      <c r="N201" s="32"/>
      <c r="O201" s="32"/>
      <c r="P201" s="32"/>
      <c r="Q201" s="32"/>
      <c r="R201" s="32"/>
      <c r="S201" s="32"/>
      <c r="T201" s="32"/>
      <c r="U201" s="32"/>
      <c r="V201" s="32"/>
      <c r="W201" s="32"/>
      <c r="X201" s="32"/>
      <c r="Y201" s="32"/>
      <c r="Z201" s="32"/>
      <c r="AA201" s="32"/>
      <c r="AB201" s="32"/>
      <c r="AC201" s="32"/>
      <c r="AD201" s="42"/>
      <c r="AE201" s="32"/>
      <c r="AF201" s="32" t="str">
        <f>IFERROR(__xludf.DUMMYFUNCTION("""COMPUTED_VALUE"""),"++X8 additional water damage for self.")</f>
        <v>++X8 additional water damage for self.</v>
      </c>
      <c r="AG201" s="32" t="str">
        <f>IFERROR(__xludf.DUMMYFUNCTION("""COMPUTED_VALUE"""),"Land of Spira")</f>
        <v>Land of Spira</v>
      </c>
      <c r="AH201" s="32" t="b">
        <f>IFERROR(__xludf.DUMMYFUNCTION("""COMPUTED_VALUE"""),FALSE)</f>
        <v>0</v>
      </c>
      <c r="AI201" s="32"/>
      <c r="AJ201" s="32"/>
      <c r="AK201" s="32"/>
      <c r="AL201" s="32"/>
      <c r="AM201" s="32"/>
      <c r="AN201" s="32"/>
      <c r="AO201" s="32"/>
      <c r="AP201" s="32"/>
      <c r="AQ201" s="32"/>
      <c r="AR201" s="32"/>
      <c r="AS201" s="32"/>
      <c r="AT201" s="32"/>
      <c r="AU201" s="32"/>
      <c r="AV201" s="32"/>
      <c r="AW201" s="32"/>
      <c r="AX201" s="32"/>
    </row>
    <row r="202">
      <c r="A202" s="42" t="str">
        <f>IFERROR(__xludf.DUMMYFUNCTION("""COMPUTED_VALUE"""),"Riftblade")</f>
        <v>Riftblade</v>
      </c>
      <c r="B202" s="5" t="str">
        <f>IFERROR(__xludf.DUMMYFUNCTION("""COMPUTED_VALUE"""),"Hand")</f>
        <v>Hand</v>
      </c>
      <c r="C202" s="32" t="str">
        <f>IFERROR(__xludf.DUMMYFUNCTION("""COMPUTED_VALUE"""),"An ancient blade from a forgotten time")</f>
        <v>An ancient blade from a forgotten time</v>
      </c>
      <c r="D202" s="5" t="str">
        <f>IFERROR(__xludf.DUMMYFUNCTION("""COMPUTED_VALUE"""),"Sword")</f>
        <v>Sword</v>
      </c>
      <c r="E202" s="40">
        <f>IFERROR(__xludf.DUMMYFUNCTION("""COMPUTED_VALUE"""),600.0)</f>
        <v>600</v>
      </c>
      <c r="F202" s="40">
        <f>IFERROR(__xludf.DUMMYFUNCTION("""COMPUTED_VALUE"""),1.77E7)</f>
        <v>17700000</v>
      </c>
      <c r="G202" s="41" t="str">
        <f>IFERROR(__xludf.DUMMYFUNCTION("""COMPUTED_VALUE"""),"DMG")</f>
        <v>DMG</v>
      </c>
      <c r="H202" s="33">
        <f>IFERROR(__xludf.DUMMYFUNCTION("""COMPUTED_VALUE"""),10000.0)</f>
        <v>10000</v>
      </c>
      <c r="I202" s="32"/>
      <c r="J202" s="32"/>
      <c r="K202" s="32"/>
      <c r="L202" s="32"/>
      <c r="M202" s="32"/>
      <c r="N202" s="32"/>
      <c r="O202" s="32"/>
      <c r="P202" s="32"/>
      <c r="Q202" s="32"/>
      <c r="R202" s="33">
        <f>IFERROR(__xludf.DUMMYFUNCTION("""COMPUTED_VALUE"""),10000.0)</f>
        <v>10000</v>
      </c>
      <c r="S202" s="33">
        <f>IFERROR(__xludf.DUMMYFUNCTION("""COMPUTED_VALUE"""),10000.0)</f>
        <v>10000</v>
      </c>
      <c r="T202" s="32"/>
      <c r="U202" s="32"/>
      <c r="V202" s="32"/>
      <c r="W202" s="32"/>
      <c r="X202" s="32"/>
      <c r="Y202" s="32"/>
      <c r="Z202" s="32"/>
      <c r="AA202" s="32"/>
      <c r="AB202" s="32"/>
      <c r="AC202" s="32"/>
      <c r="AD202" s="42"/>
      <c r="AE202" s="32"/>
      <c r="AF202" s="32"/>
      <c r="AG202" s="32" t="str">
        <f>IFERROR(__xludf.DUMMYFUNCTION("""COMPUTED_VALUE"""),"Solreach")</f>
        <v>Solreach</v>
      </c>
      <c r="AH202" s="32" t="b">
        <f>IFERROR(__xludf.DUMMYFUNCTION("""COMPUTED_VALUE"""),TRUE)</f>
        <v>1</v>
      </c>
      <c r="AI202" s="32"/>
      <c r="AJ202" s="32"/>
      <c r="AK202" s="32"/>
      <c r="AL202" s="32"/>
      <c r="AM202" s="32"/>
      <c r="AN202" s="32"/>
      <c r="AO202" s="32"/>
      <c r="AP202" s="32"/>
      <c r="AQ202" s="32"/>
      <c r="AR202" s="32"/>
      <c r="AS202" s="32"/>
      <c r="AT202" s="32"/>
      <c r="AU202" s="32"/>
      <c r="AV202" s="32"/>
      <c r="AW202" s="32"/>
      <c r="AX202" s="32"/>
    </row>
    <row r="203">
      <c r="A203" s="42" t="str">
        <f>IFERROR(__xludf.DUMMYFUNCTION("""COMPUTED_VALUE"""),"Ring o’ Luck and Nature")</f>
        <v>Ring o’ Luck and Nature</v>
      </c>
      <c r="B203" s="5" t="str">
        <f>IFERROR(__xludf.DUMMYFUNCTION("""COMPUTED_VALUE"""),"Ring")</f>
        <v>Ring</v>
      </c>
      <c r="C203" s="32"/>
      <c r="D203" s="5"/>
      <c r="E203" s="40">
        <f>IFERROR(__xludf.DUMMYFUNCTION("""COMPUTED_VALUE"""),1.0)</f>
        <v>1</v>
      </c>
      <c r="F203" s="44">
        <f>IFERROR(__xludf.DUMMYFUNCTION("""COMPUTED_VALUE"""),0.0)</f>
        <v>0</v>
      </c>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42"/>
      <c r="AE203" s="32"/>
      <c r="AF203" s="32" t="str">
        <f>IFERROR(__xludf.DUMMYFUNCTION("""COMPUTED_VALUE"""),"++Immunity to nature damage, ++increases the roll of a d20 by 2. +-Can only equip one")</f>
        <v>++Immunity to nature damage, ++increases the roll of a d20 by 2. +-Can only equip one</v>
      </c>
      <c r="AG203" s="32" t="str">
        <f>IFERROR(__xludf.DUMMYFUNCTION("""COMPUTED_VALUE"""),"Land of Spira")</f>
        <v>Land of Spira</v>
      </c>
      <c r="AH203" s="32" t="b">
        <f>IFERROR(__xludf.DUMMYFUNCTION("""COMPUTED_VALUE"""),FALSE)</f>
        <v>0</v>
      </c>
      <c r="AI203" s="32"/>
      <c r="AJ203" s="32"/>
      <c r="AK203" s="32"/>
      <c r="AL203" s="32"/>
      <c r="AM203" s="32"/>
      <c r="AN203" s="32"/>
      <c r="AO203" s="32"/>
      <c r="AP203" s="32"/>
      <c r="AQ203" s="32"/>
      <c r="AR203" s="32"/>
      <c r="AS203" s="32"/>
      <c r="AT203" s="32"/>
      <c r="AU203" s="32"/>
      <c r="AV203" s="32"/>
      <c r="AW203" s="32"/>
      <c r="AX203" s="32"/>
    </row>
    <row r="204">
      <c r="A204" s="42" t="str">
        <f>IFERROR(__xludf.DUMMYFUNCTION("""COMPUTED_VALUE"""),"Ring of Darkness")</f>
        <v>Ring of Darkness</v>
      </c>
      <c r="B204" s="5" t="str">
        <f>IFERROR(__xludf.DUMMYFUNCTION("""COMPUTED_VALUE"""),"Ring")</f>
        <v>Ring</v>
      </c>
      <c r="C204" s="32"/>
      <c r="D204" s="5"/>
      <c r="E204" s="40">
        <f>IFERROR(__xludf.DUMMYFUNCTION("""COMPUTED_VALUE"""),1.0)</f>
        <v>1</v>
      </c>
      <c r="F204" s="44">
        <f>IFERROR(__xludf.DUMMYFUNCTION("""COMPUTED_VALUE"""),0.0)</f>
        <v>0</v>
      </c>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42"/>
      <c r="AE204" s="32"/>
      <c r="AF204" s="32"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32" t="str">
        <f>IFERROR(__xludf.DUMMYFUNCTION("""COMPUTED_VALUE"""),"Land of Spira")</f>
        <v>Land of Spira</v>
      </c>
      <c r="AH204" s="32" t="b">
        <f>IFERROR(__xludf.DUMMYFUNCTION("""COMPUTED_VALUE"""),FALSE)</f>
        <v>0</v>
      </c>
      <c r="AI204" s="32"/>
      <c r="AJ204" s="32"/>
      <c r="AK204" s="32"/>
      <c r="AL204" s="32"/>
      <c r="AM204" s="32"/>
      <c r="AN204" s="32"/>
      <c r="AO204" s="32"/>
      <c r="AP204" s="32"/>
      <c r="AQ204" s="32"/>
      <c r="AR204" s="32"/>
      <c r="AS204" s="32"/>
      <c r="AT204" s="32"/>
      <c r="AU204" s="32"/>
      <c r="AV204" s="32"/>
      <c r="AW204" s="32"/>
      <c r="AX204" s="32"/>
    </row>
    <row r="205">
      <c r="A205" s="5" t="str">
        <f>IFERROR(__xludf.DUMMYFUNCTION("""COMPUTED_VALUE"""),"Ring of Death")</f>
        <v>Ring of Death</v>
      </c>
      <c r="B205" s="5" t="str">
        <f>IFERROR(__xludf.DUMMYFUNCTION("""COMPUTED_VALUE"""),"Ring")</f>
        <v>Ring</v>
      </c>
      <c r="C205" s="32"/>
      <c r="D205" s="5"/>
      <c r="E205" s="40">
        <f>IFERROR(__xludf.DUMMYFUNCTION("""COMPUTED_VALUE"""),1.0)</f>
        <v>1</v>
      </c>
      <c r="F205" s="44">
        <f>IFERROR(__xludf.DUMMYFUNCTION("""COMPUTED_VALUE"""),0.0)</f>
        <v>0</v>
      </c>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42"/>
      <c r="AE205" s="32"/>
      <c r="AF205" s="32" t="str">
        <f>IFERROR(__xludf.DUMMYFUNCTION("""COMPUTED_VALUE"""),"++Causes instant death with a fail/succeed roll.")</f>
        <v>++Causes instant death with a fail/succeed roll.</v>
      </c>
      <c r="AG205" s="32" t="str">
        <f>IFERROR(__xludf.DUMMYFUNCTION("""COMPUTED_VALUE"""),"Land of Spira")</f>
        <v>Land of Spira</v>
      </c>
      <c r="AH205" s="32" t="b">
        <f>IFERROR(__xludf.DUMMYFUNCTION("""COMPUTED_VALUE"""),FALSE)</f>
        <v>0</v>
      </c>
      <c r="AI205" s="32"/>
      <c r="AJ205" s="32"/>
      <c r="AK205" s="32"/>
      <c r="AL205" s="32"/>
      <c r="AM205" s="32"/>
      <c r="AN205" s="32"/>
      <c r="AO205" s="32"/>
      <c r="AP205" s="32"/>
      <c r="AQ205" s="32"/>
      <c r="AR205" s="32"/>
      <c r="AS205" s="32"/>
      <c r="AT205" s="32"/>
      <c r="AU205" s="32"/>
      <c r="AV205" s="32"/>
      <c r="AW205" s="32"/>
      <c r="AX205" s="32"/>
    </row>
    <row r="206">
      <c r="A206" s="42" t="str">
        <f>IFERROR(__xludf.DUMMYFUNCTION("""COMPUTED_VALUE"""),"Ring Of Dwelling Waters")</f>
        <v>Ring Of Dwelling Waters</v>
      </c>
      <c r="B206" s="32" t="str">
        <f>IFERROR(__xludf.DUMMYFUNCTION("""COMPUTED_VALUE"""),"Ring")</f>
        <v>Ring</v>
      </c>
      <c r="C206" s="32"/>
      <c r="D206" s="5"/>
      <c r="E206" s="40">
        <f>IFERROR(__xludf.DUMMYFUNCTION("""COMPUTED_VALUE"""),1.0)</f>
        <v>1</v>
      </c>
      <c r="F206" s="44">
        <f>IFERROR(__xludf.DUMMYFUNCTION("""COMPUTED_VALUE"""),0.0)</f>
        <v>0</v>
      </c>
      <c r="G206" s="32"/>
      <c r="H206" s="32"/>
      <c r="I206" s="32" t="str">
        <f>IFERROR(__xludf.DUMMYFUNCTION("""COMPUTED_VALUE""")," ")</f>
        <v> </v>
      </c>
      <c r="J206" s="32"/>
      <c r="K206" s="32"/>
      <c r="L206" s="32"/>
      <c r="M206" s="32"/>
      <c r="N206" s="32"/>
      <c r="O206" s="32"/>
      <c r="P206" s="32"/>
      <c r="Q206" s="32"/>
      <c r="R206" s="32"/>
      <c r="S206" s="32"/>
      <c r="T206" s="32"/>
      <c r="U206" s="32"/>
      <c r="V206" s="32"/>
      <c r="W206" s="32"/>
      <c r="X206" s="32"/>
      <c r="Y206" s="32"/>
      <c r="Z206" s="32"/>
      <c r="AA206" s="32"/>
      <c r="AB206" s="32"/>
      <c r="AC206" s="32"/>
      <c r="AD206" s="42"/>
      <c r="AE206" s="32"/>
      <c r="AF206" s="32" t="str">
        <f>IFERROR(__xludf.DUMMYFUNCTION("""COMPUTED_VALUE"""),"++X2 Water and Dark damage.")</f>
        <v>++X2 Water and Dark damage.</v>
      </c>
      <c r="AG206" s="32" t="str">
        <f>IFERROR(__xludf.DUMMYFUNCTION("""COMPUTED_VALUE"""),"Land of Spira")</f>
        <v>Land of Spira</v>
      </c>
      <c r="AH206" s="32" t="b">
        <f>IFERROR(__xludf.DUMMYFUNCTION("""COMPUTED_VALUE"""),FALSE)</f>
        <v>0</v>
      </c>
      <c r="AI206" s="32"/>
      <c r="AJ206" s="32"/>
      <c r="AK206" s="32"/>
      <c r="AL206" s="32"/>
      <c r="AM206" s="32"/>
      <c r="AN206" s="32"/>
      <c r="AO206" s="32"/>
      <c r="AP206" s="32"/>
      <c r="AQ206" s="32"/>
      <c r="AR206" s="32"/>
      <c r="AS206" s="32"/>
      <c r="AT206" s="32"/>
      <c r="AU206" s="32"/>
      <c r="AV206" s="32"/>
      <c r="AW206" s="32"/>
      <c r="AX206" s="32"/>
    </row>
    <row r="207">
      <c r="A207" s="5" t="str">
        <f>IFERROR(__xludf.DUMMYFUNCTION("""COMPUTED_VALUE"""),"Ring of Endless Souls")</f>
        <v>Ring of Endless Souls</v>
      </c>
      <c r="B207" s="5" t="str">
        <f>IFERROR(__xludf.DUMMYFUNCTION("""COMPUTED_VALUE"""),"Ring")</f>
        <v>Ring</v>
      </c>
      <c r="C207" s="32"/>
      <c r="D207" s="5"/>
      <c r="E207" s="40">
        <f>IFERROR(__xludf.DUMMYFUNCTION("""COMPUTED_VALUE"""),1.0)</f>
        <v>1</v>
      </c>
      <c r="F207" s="40">
        <f>IFERROR(__xludf.DUMMYFUNCTION("""COMPUTED_VALUE"""),0.0)</f>
        <v>0</v>
      </c>
      <c r="G207" s="5"/>
      <c r="H207" s="32"/>
      <c r="I207" s="32"/>
      <c r="J207" s="5"/>
      <c r="K207" s="32"/>
      <c r="L207" s="32"/>
      <c r="M207" s="32"/>
      <c r="N207" s="32"/>
      <c r="O207" s="32"/>
      <c r="P207" s="32"/>
      <c r="Q207" s="32"/>
      <c r="R207" s="32"/>
      <c r="S207" s="32"/>
      <c r="T207" s="32"/>
      <c r="U207" s="32"/>
      <c r="V207" s="32"/>
      <c r="W207" s="32"/>
      <c r="X207" s="32"/>
      <c r="Y207" s="32"/>
      <c r="Z207" s="32"/>
      <c r="AA207" s="32"/>
      <c r="AB207" s="32"/>
      <c r="AC207" s="32"/>
      <c r="AD207" s="42"/>
      <c r="AE207" s="32"/>
      <c r="AF207" s="32" t="str">
        <f>IFERROR(__xludf.DUMMYFUNCTION("""COMPUTED_VALUE"""),"++0 Def ++Soul Enchanted - Every time you enchant a soul into this item increase the Def of this item by 10. ")</f>
        <v>++0 Def ++Soul Enchanted - Every time you enchant a soul into this item increase the Def of this item by 10. </v>
      </c>
      <c r="AG207" s="32" t="str">
        <f>IFERROR(__xludf.DUMMYFUNCTION("""COMPUTED_VALUE"""),"Land of The Forgotten")</f>
        <v>Land of The Forgotten</v>
      </c>
      <c r="AH207" s="32" t="b">
        <f>IFERROR(__xludf.DUMMYFUNCTION("""COMPUTED_VALUE"""),FALSE)</f>
        <v>0</v>
      </c>
      <c r="AI207" s="32"/>
      <c r="AJ207" s="32"/>
      <c r="AK207" s="32"/>
      <c r="AL207" s="32"/>
      <c r="AM207" s="32"/>
      <c r="AN207" s="32"/>
      <c r="AO207" s="32"/>
      <c r="AP207" s="32"/>
      <c r="AQ207" s="32"/>
      <c r="AR207" s="32"/>
      <c r="AS207" s="32"/>
      <c r="AT207" s="32"/>
      <c r="AU207" s="32"/>
      <c r="AV207" s="32"/>
      <c r="AW207" s="32"/>
      <c r="AX207" s="32"/>
    </row>
    <row r="208">
      <c r="A208" s="5" t="str">
        <f>IFERROR(__xludf.DUMMYFUNCTION("""COMPUTED_VALUE"""),"Ring of Healing")</f>
        <v>Ring of Healing</v>
      </c>
      <c r="B208" s="5" t="str">
        <f>IFERROR(__xludf.DUMMYFUNCTION("""COMPUTED_VALUE"""),"Ring")</f>
        <v>Ring</v>
      </c>
      <c r="C208" s="32"/>
      <c r="D208" s="5"/>
      <c r="E208" s="40">
        <f>IFERROR(__xludf.DUMMYFUNCTION("""COMPUTED_VALUE"""),1.0)</f>
        <v>1</v>
      </c>
      <c r="F208" s="44">
        <f>IFERROR(__xludf.DUMMYFUNCTION("""COMPUTED_VALUE"""),0.0)</f>
        <v>0</v>
      </c>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42"/>
      <c r="AE208" s="32"/>
      <c r="AF208" s="32" t="str">
        <f>IFERROR(__xludf.DUMMYFUNCTION("""COMPUTED_VALUE"""),"++500 hp per round.")</f>
        <v>++500 hp per round.</v>
      </c>
      <c r="AG208" s="32" t="str">
        <f>IFERROR(__xludf.DUMMYFUNCTION("""COMPUTED_VALUE"""),"Land of Spira")</f>
        <v>Land of Spira</v>
      </c>
      <c r="AH208" s="32" t="b">
        <f>IFERROR(__xludf.DUMMYFUNCTION("""COMPUTED_VALUE"""),FALSE)</f>
        <v>0</v>
      </c>
      <c r="AI208" s="32"/>
      <c r="AJ208" s="32"/>
      <c r="AK208" s="32"/>
      <c r="AL208" s="32"/>
      <c r="AM208" s="32"/>
      <c r="AN208" s="32"/>
      <c r="AO208" s="32"/>
      <c r="AP208" s="32"/>
      <c r="AQ208" s="32"/>
      <c r="AR208" s="32"/>
      <c r="AS208" s="32"/>
      <c r="AT208" s="32"/>
      <c r="AU208" s="32"/>
      <c r="AV208" s="32"/>
      <c r="AW208" s="32"/>
      <c r="AX208" s="32"/>
    </row>
    <row r="209">
      <c r="A209" s="5" t="str">
        <f>IFERROR(__xludf.DUMMYFUNCTION("""COMPUTED_VALUE"""),"Ring of Invulnerability ")</f>
        <v>Ring of Invulnerability </v>
      </c>
      <c r="B209" s="5" t="str">
        <f>IFERROR(__xludf.DUMMYFUNCTION("""COMPUTED_VALUE"""),"Ring")</f>
        <v>Ring</v>
      </c>
      <c r="C209" s="32"/>
      <c r="D209" s="5"/>
      <c r="E209" s="40">
        <f>IFERROR(__xludf.DUMMYFUNCTION("""COMPUTED_VALUE"""),1.0)</f>
        <v>1</v>
      </c>
      <c r="F209" s="44">
        <f>IFERROR(__xludf.DUMMYFUNCTION("""COMPUTED_VALUE"""),0.0)</f>
        <v>0</v>
      </c>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42"/>
      <c r="AE209" s="32"/>
      <c r="AF209" s="32"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32" t="str">
        <f>IFERROR(__xludf.DUMMYFUNCTION("""COMPUTED_VALUE"""),"Land of The Forgotten")</f>
        <v>Land of The Forgotten</v>
      </c>
      <c r="AH209" s="32" t="b">
        <f>IFERROR(__xludf.DUMMYFUNCTION("""COMPUTED_VALUE"""),FALSE)</f>
        <v>0</v>
      </c>
      <c r="AI209" s="32"/>
      <c r="AJ209" s="32"/>
      <c r="AK209" s="32"/>
      <c r="AL209" s="32"/>
      <c r="AM209" s="32"/>
      <c r="AN209" s="32"/>
      <c r="AO209" s="32"/>
      <c r="AP209" s="32"/>
      <c r="AQ209" s="32"/>
      <c r="AR209" s="32"/>
      <c r="AS209" s="32"/>
      <c r="AT209" s="32"/>
      <c r="AU209" s="32"/>
      <c r="AV209" s="32"/>
      <c r="AW209" s="32"/>
      <c r="AX209" s="32"/>
    </row>
    <row r="210">
      <c r="A210" s="42" t="str">
        <f>IFERROR(__xludf.DUMMYFUNCTION("""COMPUTED_VALUE"""),"Ring of Pure Chaos")</f>
        <v>Ring of Pure Chaos</v>
      </c>
      <c r="B210" s="5" t="str">
        <f>IFERROR(__xludf.DUMMYFUNCTION("""COMPUTED_VALUE"""),"Ring")</f>
        <v>Ring</v>
      </c>
      <c r="C210" s="32"/>
      <c r="D210" s="5"/>
      <c r="E210" s="40">
        <f>IFERROR(__xludf.DUMMYFUNCTION("""COMPUTED_VALUE"""),1.0)</f>
        <v>1</v>
      </c>
      <c r="F210" s="40">
        <f>IFERROR(__xludf.DUMMYFUNCTION("""COMPUTED_VALUE"""),0.0)</f>
        <v>0</v>
      </c>
      <c r="G210" s="32"/>
      <c r="H210" s="32"/>
      <c r="I210" s="32"/>
      <c r="J210" s="5"/>
      <c r="K210" s="32"/>
      <c r="L210" s="32"/>
      <c r="M210" s="32"/>
      <c r="N210" s="32"/>
      <c r="O210" s="32"/>
      <c r="P210" s="32"/>
      <c r="Q210" s="32"/>
      <c r="R210" s="32"/>
      <c r="S210" s="32"/>
      <c r="T210" s="32"/>
      <c r="U210" s="32"/>
      <c r="V210" s="32"/>
      <c r="W210" s="32"/>
      <c r="X210" s="32"/>
      <c r="Y210" s="32"/>
      <c r="Z210" s="32"/>
      <c r="AA210" s="32"/>
      <c r="AB210" s="32"/>
      <c r="AC210" s="32"/>
      <c r="AD210" s="5"/>
      <c r="AE210" s="32"/>
      <c r="AF210" s="32" t="str">
        <f>IFERROR(__xludf.DUMMYFUNCTION("""COMPUTED_VALUE"""),"++X2 Chaos damage, ++ +5 Charisma and Intimidation. +-Cannot be forged +-Cannot be duplicated +-Can only equip one")</f>
        <v>++X2 Chaos damage, ++ +5 Charisma and Intimidation. +-Cannot be forged +-Cannot be duplicated +-Can only equip one</v>
      </c>
      <c r="AG210" s="32" t="str">
        <f>IFERROR(__xludf.DUMMYFUNCTION("""COMPUTED_VALUE"""),"Abstara")</f>
        <v>Abstara</v>
      </c>
      <c r="AH210" s="32" t="b">
        <f>IFERROR(__xludf.DUMMYFUNCTION("""COMPUTED_VALUE"""),FALSE)</f>
        <v>0</v>
      </c>
      <c r="AI210" s="32"/>
      <c r="AJ210" s="32"/>
      <c r="AK210" s="32"/>
      <c r="AL210" s="32"/>
      <c r="AM210" s="32"/>
      <c r="AN210" s="32"/>
      <c r="AO210" s="32"/>
      <c r="AP210" s="32"/>
      <c r="AQ210" s="32"/>
      <c r="AR210" s="32"/>
      <c r="AS210" s="32"/>
      <c r="AT210" s="32"/>
      <c r="AU210" s="32"/>
      <c r="AV210" s="32"/>
      <c r="AW210" s="32"/>
      <c r="AX210" s="32"/>
    </row>
    <row r="211">
      <c r="A211" s="5" t="str">
        <f>IFERROR(__xludf.DUMMYFUNCTION("""COMPUTED_VALUE"""),"Ring of Pure Defense")</f>
        <v>Ring of Pure Defense</v>
      </c>
      <c r="B211" s="5" t="str">
        <f>IFERROR(__xludf.DUMMYFUNCTION("""COMPUTED_VALUE"""),"Ring")</f>
        <v>Ring</v>
      </c>
      <c r="C211" s="32"/>
      <c r="D211" s="5"/>
      <c r="E211" s="40">
        <f>IFERROR(__xludf.DUMMYFUNCTION("""COMPUTED_VALUE"""),1.0)</f>
        <v>1</v>
      </c>
      <c r="F211" s="44">
        <f>IFERROR(__xludf.DUMMYFUNCTION("""COMPUTED_VALUE"""),0.0)</f>
        <v>0</v>
      </c>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42"/>
      <c r="AE211" s="32"/>
      <c r="AF211" s="32" t="str">
        <f>IFERROR(__xludf.DUMMYFUNCTION("""COMPUTED_VALUE"""),"++Half the damage taken from the next attack 100SP Will Succeed.")</f>
        <v>++Half the damage taken from the next attack 100SP Will Succeed.</v>
      </c>
      <c r="AG211" s="32" t="str">
        <f>IFERROR(__xludf.DUMMYFUNCTION("""COMPUTED_VALUE"""),"Land of Spira")</f>
        <v>Land of Spira</v>
      </c>
      <c r="AH211" s="32" t="b">
        <f>IFERROR(__xludf.DUMMYFUNCTION("""COMPUTED_VALUE"""),FALSE)</f>
        <v>0</v>
      </c>
      <c r="AI211" s="32"/>
      <c r="AJ211" s="32"/>
      <c r="AK211" s="32"/>
      <c r="AL211" s="32"/>
      <c r="AM211" s="32"/>
      <c r="AN211" s="32"/>
      <c r="AO211" s="32"/>
      <c r="AP211" s="32"/>
      <c r="AQ211" s="32"/>
      <c r="AR211" s="32"/>
      <c r="AS211" s="32"/>
      <c r="AT211" s="32"/>
      <c r="AU211" s="32"/>
      <c r="AV211" s="32"/>
      <c r="AW211" s="32"/>
      <c r="AX211" s="32"/>
    </row>
    <row r="212">
      <c r="A212" s="5" t="str">
        <f>IFERROR(__xludf.DUMMYFUNCTION("""COMPUTED_VALUE"""),"Ring of Reflect")</f>
        <v>Ring of Reflect</v>
      </c>
      <c r="B212" s="5" t="str">
        <f>IFERROR(__xludf.DUMMYFUNCTION("""COMPUTED_VALUE"""),"Ring")</f>
        <v>Ring</v>
      </c>
      <c r="C212" s="32"/>
      <c r="D212" s="5"/>
      <c r="E212" s="40">
        <f>IFERROR(__xludf.DUMMYFUNCTION("""COMPUTED_VALUE"""),1.0)</f>
        <v>1</v>
      </c>
      <c r="F212" s="44">
        <f>IFERROR(__xludf.DUMMYFUNCTION("""COMPUTED_VALUE"""),0.0)</f>
        <v>0</v>
      </c>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5"/>
      <c r="AE212" s="32"/>
      <c r="AF212" s="32"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32" t="str">
        <f>IFERROR(__xludf.DUMMYFUNCTION("""COMPUTED_VALUE"""),"Land of Spira")</f>
        <v>Land of Spira</v>
      </c>
      <c r="AH212" s="32" t="b">
        <f>IFERROR(__xludf.DUMMYFUNCTION("""COMPUTED_VALUE"""),FALSE)</f>
        <v>0</v>
      </c>
      <c r="AI212" s="32"/>
      <c r="AJ212" s="32"/>
      <c r="AK212" s="32"/>
      <c r="AL212" s="32"/>
      <c r="AM212" s="32"/>
      <c r="AN212" s="32"/>
      <c r="AO212" s="32"/>
      <c r="AP212" s="32"/>
      <c r="AQ212" s="32"/>
      <c r="AR212" s="32"/>
      <c r="AS212" s="32"/>
      <c r="AT212" s="32"/>
      <c r="AU212" s="32"/>
      <c r="AV212" s="32"/>
      <c r="AW212" s="32"/>
      <c r="AX212" s="32"/>
    </row>
    <row r="213">
      <c r="A213" s="5" t="str">
        <f>IFERROR(__xludf.DUMMYFUNCTION("""COMPUTED_VALUE"""),"Ring of the Bonded Undead")</f>
        <v>Ring of the Bonded Undead</v>
      </c>
      <c r="B213" s="5" t="str">
        <f>IFERROR(__xludf.DUMMYFUNCTION("""COMPUTED_VALUE"""),"Ring")</f>
        <v>Ring</v>
      </c>
      <c r="C213" s="32"/>
      <c r="D213" s="5"/>
      <c r="E213" s="40">
        <f>IFERROR(__xludf.DUMMYFUNCTION("""COMPUTED_VALUE"""),1.0)</f>
        <v>1</v>
      </c>
      <c r="F213" s="40">
        <f>IFERROR(__xludf.DUMMYFUNCTION("""COMPUTED_VALUE"""),0.0)</f>
        <v>0</v>
      </c>
      <c r="G213" s="5"/>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t="str">
        <f>IFERROR(__xludf.DUMMYFUNCTION("""COMPUTED_VALUE"""),"++When you battle with any Undead target you can deal X2 more damage.")</f>
        <v>++When you battle with any Undead target you can deal X2 more damage.</v>
      </c>
      <c r="AG213" s="32" t="str">
        <f>IFERROR(__xludf.DUMMYFUNCTION("""COMPUTED_VALUE"""),"Land of Spira")</f>
        <v>Land of Spira</v>
      </c>
      <c r="AH213" s="32" t="b">
        <f>IFERROR(__xludf.DUMMYFUNCTION("""COMPUTED_VALUE"""),FALSE)</f>
        <v>0</v>
      </c>
      <c r="AI213" s="32"/>
      <c r="AJ213" s="32"/>
      <c r="AK213" s="32"/>
      <c r="AL213" s="32"/>
      <c r="AM213" s="32"/>
      <c r="AN213" s="32"/>
      <c r="AO213" s="32"/>
      <c r="AP213" s="32"/>
      <c r="AQ213" s="32"/>
      <c r="AR213" s="32"/>
      <c r="AS213" s="32"/>
      <c r="AT213" s="32"/>
      <c r="AU213" s="32"/>
      <c r="AV213" s="32"/>
      <c r="AW213" s="32"/>
      <c r="AX213" s="32"/>
    </row>
    <row r="214">
      <c r="A214" s="5" t="str">
        <f>IFERROR(__xludf.DUMMYFUNCTION("""COMPUTED_VALUE"""),"Ring of the Forgotten")</f>
        <v>Ring of the Forgotten</v>
      </c>
      <c r="B214" s="5" t="str">
        <f>IFERROR(__xludf.DUMMYFUNCTION("""COMPUTED_VALUE"""),"Ring")</f>
        <v>Ring</v>
      </c>
      <c r="C214" s="32"/>
      <c r="D214" s="5"/>
      <c r="E214" s="40">
        <f>IFERROR(__xludf.DUMMYFUNCTION("""COMPUTED_VALUE"""),1.0)</f>
        <v>1</v>
      </c>
      <c r="F214" s="40">
        <f>IFERROR(__xludf.DUMMYFUNCTION("""COMPUTED_VALUE"""),0.0)</f>
        <v>0</v>
      </c>
      <c r="G214" s="5"/>
      <c r="H214" s="32"/>
      <c r="I214" s="32"/>
      <c r="J214" s="32"/>
      <c r="K214" s="32"/>
      <c r="L214" s="32"/>
      <c r="M214" s="32"/>
      <c r="N214" s="32"/>
      <c r="O214" s="32"/>
      <c r="P214" s="32"/>
      <c r="Q214" s="32"/>
      <c r="R214" s="32"/>
      <c r="S214" s="32"/>
      <c r="T214" s="32"/>
      <c r="U214" s="32"/>
      <c r="V214" s="32"/>
      <c r="W214" s="32"/>
      <c r="X214" s="32"/>
      <c r="Y214" s="32"/>
      <c r="Z214" s="32"/>
      <c r="AA214" s="32"/>
      <c r="AB214" s="32"/>
      <c r="AC214" s="32"/>
      <c r="AD214" s="5"/>
      <c r="AE214" s="32"/>
      <c r="AF214" s="32" t="str">
        <f>IFERROR(__xludf.DUMMYFUNCTION("""COMPUTED_VALUE"""),"++Make a fail/succeed roll to make a target forget they were fighting you. +-Cannot be duplicated")</f>
        <v>++Make a fail/succeed roll to make a target forget they were fighting you. +-Cannot be duplicated</v>
      </c>
      <c r="AG214" s="32" t="str">
        <f>IFERROR(__xludf.DUMMYFUNCTION("""COMPUTED_VALUE"""),"Land of The Forgotten")</f>
        <v>Land of The Forgotten</v>
      </c>
      <c r="AH214" s="32" t="b">
        <f>IFERROR(__xludf.DUMMYFUNCTION("""COMPUTED_VALUE"""),FALSE)</f>
        <v>0</v>
      </c>
      <c r="AI214" s="32"/>
      <c r="AJ214" s="32"/>
      <c r="AK214" s="32"/>
      <c r="AL214" s="32"/>
      <c r="AM214" s="32"/>
      <c r="AN214" s="32"/>
      <c r="AO214" s="32"/>
      <c r="AP214" s="32"/>
      <c r="AQ214" s="32"/>
      <c r="AR214" s="32"/>
      <c r="AS214" s="32"/>
      <c r="AT214" s="32"/>
      <c r="AU214" s="32"/>
      <c r="AV214" s="32"/>
      <c r="AW214" s="32"/>
      <c r="AX214" s="32"/>
    </row>
    <row r="215">
      <c r="A215" s="42" t="str">
        <f>IFERROR(__xludf.DUMMYFUNCTION("""COMPUTED_VALUE"""),"Ring Of Tritonoch")</f>
        <v>Ring Of Tritonoch</v>
      </c>
      <c r="B215" s="5" t="str">
        <f>IFERROR(__xludf.DUMMYFUNCTION("""COMPUTED_VALUE"""),"Ring")</f>
        <v>Ring</v>
      </c>
      <c r="C215" s="32"/>
      <c r="D215" s="5"/>
      <c r="E215" s="40">
        <f>IFERROR(__xludf.DUMMYFUNCTION("""COMPUTED_VALUE"""),1.0)</f>
        <v>1</v>
      </c>
      <c r="F215" s="40">
        <f>IFERROR(__xludf.DUMMYFUNCTION("""COMPUTED_VALUE"""),0.0)</f>
        <v>0</v>
      </c>
      <c r="G215" s="5"/>
      <c r="H215" s="32"/>
      <c r="I215" s="32"/>
      <c r="J215" s="32"/>
      <c r="K215" s="32"/>
      <c r="L215" s="32"/>
      <c r="M215" s="32"/>
      <c r="N215" s="32"/>
      <c r="O215" s="32"/>
      <c r="P215" s="32"/>
      <c r="Q215" s="32"/>
      <c r="R215" s="32"/>
      <c r="S215" s="32"/>
      <c r="T215" s="32"/>
      <c r="U215" s="32"/>
      <c r="V215" s="32"/>
      <c r="W215" s="32"/>
      <c r="X215" s="32"/>
      <c r="Y215" s="32"/>
      <c r="Z215" s="32"/>
      <c r="AA215" s="32"/>
      <c r="AB215" s="32"/>
      <c r="AC215" s="32"/>
      <c r="AD215" s="42"/>
      <c r="AE215" s="32"/>
      <c r="AF215" s="32" t="str">
        <f>IFERROR(__xludf.DUMMYFUNCTION("""COMPUTED_VALUE"""),"++Waves of Entitlement - x5 additional Water damage")</f>
        <v>++Waves of Entitlement - x5 additional Water damage</v>
      </c>
      <c r="AG215" s="32" t="str">
        <f>IFERROR(__xludf.DUMMYFUNCTION("""COMPUTED_VALUE"""),"Land of Spira")</f>
        <v>Land of Spira</v>
      </c>
      <c r="AH215" s="32" t="b">
        <f>IFERROR(__xludf.DUMMYFUNCTION("""COMPUTED_VALUE"""),FALSE)</f>
        <v>0</v>
      </c>
      <c r="AI215" s="32"/>
      <c r="AJ215" s="32"/>
      <c r="AK215" s="32"/>
      <c r="AL215" s="32"/>
      <c r="AM215" s="32"/>
      <c r="AN215" s="32"/>
      <c r="AO215" s="32"/>
      <c r="AP215" s="32"/>
      <c r="AQ215" s="32"/>
      <c r="AR215" s="32"/>
      <c r="AS215" s="32"/>
      <c r="AT215" s="32"/>
      <c r="AU215" s="32"/>
      <c r="AV215" s="32"/>
      <c r="AW215" s="32"/>
      <c r="AX215" s="32"/>
    </row>
    <row r="216">
      <c r="A216" s="5" t="str">
        <f>IFERROR(__xludf.DUMMYFUNCTION("""COMPUTED_VALUE"""),"Ring of Waking Waters")</f>
        <v>Ring of Waking Waters</v>
      </c>
      <c r="B216" s="5" t="str">
        <f>IFERROR(__xludf.DUMMYFUNCTION("""COMPUTED_VALUE"""),"Ring")</f>
        <v>Ring</v>
      </c>
      <c r="C216" s="5"/>
      <c r="D216" s="5"/>
      <c r="E216" s="40">
        <f>IFERROR(__xludf.DUMMYFUNCTION("""COMPUTED_VALUE"""),100.0)</f>
        <v>100</v>
      </c>
      <c r="F216" s="40">
        <f>IFERROR(__xludf.DUMMYFUNCTION("""COMPUTED_VALUE"""),450000.0)</f>
        <v>450000</v>
      </c>
      <c r="G216" s="5" t="str">
        <f>IFERROR(__xludf.DUMMYFUNCTION("""COMPUTED_VALUE"""),"DEF")</f>
        <v>DEF</v>
      </c>
      <c r="H216" s="32"/>
      <c r="I216" s="32"/>
      <c r="J216" s="32"/>
      <c r="K216" s="32">
        <f>IFERROR(__xludf.DUMMYFUNCTION("""COMPUTED_VALUE"""),5000.0)</f>
        <v>5000</v>
      </c>
      <c r="L216" s="32"/>
      <c r="M216" s="32"/>
      <c r="N216" s="32"/>
      <c r="O216" s="32"/>
      <c r="P216" s="32"/>
      <c r="Q216" s="32"/>
      <c r="R216" s="32"/>
      <c r="S216" s="32"/>
      <c r="T216" s="32"/>
      <c r="U216" s="32"/>
      <c r="V216" s="32"/>
      <c r="W216" s="32"/>
      <c r="X216" s="32"/>
      <c r="Y216" s="32"/>
      <c r="Z216" s="32"/>
      <c r="AA216" s="32"/>
      <c r="AB216" s="32"/>
      <c r="AC216" s="32"/>
      <c r="AD216" s="32"/>
      <c r="AE216" s="32"/>
      <c r="AF216" s="32" t="str">
        <f>IFERROR(__xludf.DUMMYFUNCTION("""COMPUTED_VALUE"""),"++X4 additional water damage for self.")</f>
        <v>++X4 additional water damage for self.</v>
      </c>
      <c r="AG216" s="32" t="str">
        <f>IFERROR(__xludf.DUMMYFUNCTION("""COMPUTED_VALUE"""),"Land of Spira")</f>
        <v>Land of Spira</v>
      </c>
      <c r="AH216" s="32" t="b">
        <f>IFERROR(__xludf.DUMMYFUNCTION("""COMPUTED_VALUE"""),FALSE)</f>
        <v>0</v>
      </c>
      <c r="AI216" s="32"/>
      <c r="AJ216" s="32"/>
      <c r="AK216" s="32"/>
      <c r="AL216" s="32"/>
      <c r="AM216" s="32"/>
      <c r="AN216" s="32"/>
      <c r="AO216" s="32"/>
      <c r="AP216" s="32"/>
      <c r="AQ216" s="32"/>
      <c r="AR216" s="32"/>
      <c r="AS216" s="32"/>
      <c r="AT216" s="32"/>
      <c r="AU216" s="32"/>
      <c r="AV216" s="32"/>
      <c r="AW216" s="32"/>
      <c r="AX216" s="32"/>
    </row>
    <row r="217">
      <c r="A217" s="5" t="str">
        <f>IFERROR(__xludf.DUMMYFUNCTION("""COMPUTED_VALUE"""),"Robe of The Cultist")</f>
        <v>Robe of The Cultist</v>
      </c>
      <c r="B217" s="5" t="str">
        <f>IFERROR(__xludf.DUMMYFUNCTION("""COMPUTED_VALUE"""),"Torso")</f>
        <v>Torso</v>
      </c>
      <c r="C217" s="5"/>
      <c r="D217" s="5"/>
      <c r="E217" s="40">
        <f>IFERROR(__xludf.DUMMYFUNCTION("""COMPUTED_VALUE"""),80.0)</f>
        <v>80</v>
      </c>
      <c r="F217" s="40">
        <f>IFERROR(__xludf.DUMMYFUNCTION("""COMPUTED_VALUE"""),280000.0)</f>
        <v>280000</v>
      </c>
      <c r="G217" s="5" t="str">
        <f>IFERROR(__xludf.DUMMYFUNCTION("""COMPUTED_VALUE"""),"DEF")</f>
        <v>DEF</v>
      </c>
      <c r="H217" s="32">
        <f>IFERROR(__xludf.DUMMYFUNCTION("""COMPUTED_VALUE"""),2000.0)</f>
        <v>2000</v>
      </c>
      <c r="I217" s="32"/>
      <c r="J217" s="32"/>
      <c r="K217" s="32"/>
      <c r="L217" s="32"/>
      <c r="M217" s="32"/>
      <c r="N217" s="32"/>
      <c r="O217" s="32">
        <f>IFERROR(__xludf.DUMMYFUNCTION("""COMPUTED_VALUE"""),2000.0)</f>
        <v>2000</v>
      </c>
      <c r="P217" s="32"/>
      <c r="Q217" s="32"/>
      <c r="R217" s="32"/>
      <c r="S217" s="32"/>
      <c r="T217" s="32"/>
      <c r="U217" s="32"/>
      <c r="V217" s="32"/>
      <c r="W217" s="32"/>
      <c r="X217" s="32"/>
      <c r="Y217" s="32"/>
      <c r="Z217" s="32"/>
      <c r="AA217" s="32"/>
      <c r="AB217" s="32"/>
      <c r="AC217" s="32"/>
      <c r="AD217" s="32"/>
      <c r="AE217" s="32"/>
      <c r="AF217" s="32" t="str">
        <f>IFERROR(__xludf.DUMMYFUNCTION("""COMPUTED_VALUE"""),"++Instant Death Immunity. ++500HP +-Cannot be forged +-Cannot be duplicated")</f>
        <v>++Instant Death Immunity. ++500HP +-Cannot be forged +-Cannot be duplicated</v>
      </c>
      <c r="AG217" s="32" t="str">
        <f>IFERROR(__xludf.DUMMYFUNCTION("""COMPUTED_VALUE"""),"Land of Spira")</f>
        <v>Land of Spira</v>
      </c>
      <c r="AH217" s="32" t="b">
        <f>IFERROR(__xludf.DUMMYFUNCTION("""COMPUTED_VALUE"""),FALSE)</f>
        <v>0</v>
      </c>
      <c r="AI217" s="32"/>
      <c r="AJ217" s="32"/>
      <c r="AK217" s="32"/>
      <c r="AL217" s="32"/>
      <c r="AM217" s="32"/>
      <c r="AN217" s="32"/>
      <c r="AO217" s="32"/>
      <c r="AP217" s="32"/>
      <c r="AQ217" s="32"/>
      <c r="AR217" s="32"/>
      <c r="AS217" s="32"/>
      <c r="AT217" s="32"/>
      <c r="AU217" s="32"/>
      <c r="AV217" s="32"/>
      <c r="AW217" s="32"/>
      <c r="AX217" s="32"/>
    </row>
    <row r="218">
      <c r="A218" s="5" t="str">
        <f>IFERROR(__xludf.DUMMYFUNCTION("""COMPUTED_VALUE"""),"Robe of Vanish")</f>
        <v>Robe of Vanish</v>
      </c>
      <c r="B218" s="5" t="str">
        <f>IFERROR(__xludf.DUMMYFUNCTION("""COMPUTED_VALUE"""),"Torso")</f>
        <v>Torso</v>
      </c>
      <c r="C218" s="32"/>
      <c r="D218" s="5"/>
      <c r="E218" s="40">
        <f>IFERROR(__xludf.DUMMYFUNCTION("""COMPUTED_VALUE"""),20.0)</f>
        <v>20</v>
      </c>
      <c r="F218" s="40">
        <f>IFERROR(__xludf.DUMMYFUNCTION("""COMPUTED_VALUE"""),1000.0)</f>
        <v>1000</v>
      </c>
      <c r="G218" s="5" t="str">
        <f>IFERROR(__xludf.DUMMYFUNCTION("""COMPUTED_VALUE"""),"DEF")</f>
        <v>DEF</v>
      </c>
      <c r="H218" s="32">
        <f>IFERROR(__xludf.DUMMYFUNCTION("""COMPUTED_VALUE"""),900.0)</f>
        <v>900</v>
      </c>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t="str">
        <f>IFERROR(__xludf.DUMMYFUNCTION("""COMPUTED_VALUE"""),"++Shadow Disappear - When Equipped you are invulnerable to all damage for the first round of battle. ")</f>
        <v>++Shadow Disappear - When Equipped you are invulnerable to all damage for the first round of battle. </v>
      </c>
      <c r="AG218" s="32" t="str">
        <f>IFERROR(__xludf.DUMMYFUNCTION("""COMPUTED_VALUE"""),"Land of Spira")</f>
        <v>Land of Spira</v>
      </c>
      <c r="AH218" s="32" t="b">
        <f>IFERROR(__xludf.DUMMYFUNCTION("""COMPUTED_VALUE"""),FALSE)</f>
        <v>0</v>
      </c>
      <c r="AI218" s="32"/>
      <c r="AJ218" s="32"/>
      <c r="AK218" s="32"/>
      <c r="AL218" s="32"/>
      <c r="AM218" s="32"/>
      <c r="AN218" s="32"/>
      <c r="AO218" s="32"/>
      <c r="AP218" s="32"/>
      <c r="AQ218" s="32"/>
      <c r="AR218" s="32"/>
      <c r="AS218" s="32"/>
      <c r="AT218" s="32"/>
      <c r="AU218" s="32"/>
      <c r="AV218" s="32"/>
      <c r="AW218" s="32"/>
      <c r="AX218" s="32"/>
    </row>
    <row r="219">
      <c r="A219" s="5" t="str">
        <f>IFERROR(__xludf.DUMMYFUNCTION("""COMPUTED_VALUE"""),"Robes of a Peaceful Immortal")</f>
        <v>Robes of a Peaceful Immortal</v>
      </c>
      <c r="B219" s="5" t="str">
        <f>IFERROR(__xludf.DUMMYFUNCTION("""COMPUTED_VALUE"""),"Torso")</f>
        <v>Torso</v>
      </c>
      <c r="C219" s="32"/>
      <c r="D219" s="5"/>
      <c r="E219" s="40">
        <f>IFERROR(__xludf.DUMMYFUNCTION("""COMPUTED_VALUE"""),1.0)</f>
        <v>1</v>
      </c>
      <c r="F219" s="40">
        <f>IFERROR(__xludf.DUMMYFUNCTION("""COMPUTED_VALUE"""),0.0)</f>
        <v>0</v>
      </c>
      <c r="G219" s="5"/>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t="str">
        <f>IFERROR(__xludf.DUMMYFUNCTION("""COMPUTED_VALUE"""),"++Peaceful Blessing - Incapable of receiving or dealing damage. +-Cannot be duplicated.")</f>
        <v>++Peaceful Blessing - Incapable of receiving or dealing damage. +-Cannot be duplicated.</v>
      </c>
      <c r="AG219" s="32" t="str">
        <f>IFERROR(__xludf.DUMMYFUNCTION("""COMPUTED_VALUE"""),"Land of Spira")</f>
        <v>Land of Spira</v>
      </c>
      <c r="AH219" s="32" t="b">
        <f>IFERROR(__xludf.DUMMYFUNCTION("""COMPUTED_VALUE"""),FALSE)</f>
        <v>0</v>
      </c>
      <c r="AI219" s="32"/>
      <c r="AJ219" s="32"/>
      <c r="AK219" s="32"/>
      <c r="AL219" s="32"/>
      <c r="AM219" s="32"/>
      <c r="AN219" s="32"/>
      <c r="AO219" s="32"/>
      <c r="AP219" s="32"/>
      <c r="AQ219" s="32"/>
      <c r="AR219" s="32"/>
      <c r="AS219" s="32"/>
      <c r="AT219" s="32"/>
      <c r="AU219" s="32"/>
      <c r="AV219" s="32"/>
      <c r="AW219" s="32"/>
      <c r="AX219" s="32"/>
    </row>
    <row r="220">
      <c r="A220" s="5" t="str">
        <f>IFERROR(__xludf.DUMMYFUNCTION("""COMPUTED_VALUE"""),"Royal Amulet Of Heatmore")</f>
        <v>Royal Amulet Of Heatmore</v>
      </c>
      <c r="B220" s="5" t="str">
        <f>IFERROR(__xludf.DUMMYFUNCTION("""COMPUTED_VALUE"""),"Neck")</f>
        <v>Neck</v>
      </c>
      <c r="C220" s="32"/>
      <c r="D220" s="5"/>
      <c r="E220" s="40">
        <f>IFERROR(__xludf.DUMMYFUNCTION("""COMPUTED_VALUE"""),1.0)</f>
        <v>1</v>
      </c>
      <c r="F220" s="44">
        <f>IFERROR(__xludf.DUMMYFUNCTION("""COMPUTED_VALUE"""),0.0)</f>
        <v>0</v>
      </c>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t="str">
        <f>IFERROR(__xludf.DUMMYFUNCTION("""COMPUTED_VALUE"""),"++ immune to fire dmg")</f>
        <v>++ immune to fire dmg</v>
      </c>
      <c r="AG220" s="32" t="str">
        <f>IFERROR(__xludf.DUMMYFUNCTION("""COMPUTED_VALUE"""),"Land of Spira")</f>
        <v>Land of Spira</v>
      </c>
      <c r="AH220" s="32" t="b">
        <f>IFERROR(__xludf.DUMMYFUNCTION("""COMPUTED_VALUE"""),FALSE)</f>
        <v>0</v>
      </c>
      <c r="AI220" s="32"/>
      <c r="AJ220" s="32"/>
      <c r="AK220" s="32"/>
      <c r="AL220" s="32"/>
      <c r="AM220" s="32"/>
      <c r="AN220" s="32"/>
      <c r="AO220" s="32"/>
      <c r="AP220" s="32"/>
      <c r="AQ220" s="32"/>
      <c r="AR220" s="32"/>
      <c r="AS220" s="32"/>
      <c r="AT220" s="32"/>
      <c r="AU220" s="32"/>
      <c r="AV220" s="32"/>
      <c r="AW220" s="32"/>
      <c r="AX220" s="32"/>
    </row>
    <row r="221">
      <c r="A221" s="5" t="str">
        <f>IFERROR(__xludf.DUMMYFUNCTION("""COMPUTED_VALUE"""),"Royal Guard Axe")</f>
        <v>Royal Guard Axe</v>
      </c>
      <c r="B221" s="5" t="str">
        <f>IFERROR(__xludf.DUMMYFUNCTION("""COMPUTED_VALUE"""),"Hand")</f>
        <v>Hand</v>
      </c>
      <c r="C221" s="42" t="str">
        <f>IFERROR(__xludf.DUMMYFUNCTION("""COMPUTED_VALUE"""),"Quest Item")</f>
        <v>Quest Item</v>
      </c>
      <c r="D221" s="5"/>
      <c r="E221" s="40">
        <f>IFERROR(__xludf.DUMMYFUNCTION("""COMPUTED_VALUE"""),200.0)</f>
        <v>200</v>
      </c>
      <c r="F221" s="40">
        <f>IFERROR(__xludf.DUMMYFUNCTION("""COMPUTED_VALUE"""),4.485E8)</f>
        <v>448500000</v>
      </c>
      <c r="G221" s="32" t="str">
        <f>IFERROR(__xludf.DUMMYFUNCTION("""COMPUTED_VALUE"""),"DMG")</f>
        <v>DMG</v>
      </c>
      <c r="H221" s="33">
        <f>IFERROR(__xludf.DUMMYFUNCTION("""COMPUTED_VALUE"""),50000.0)</f>
        <v>50000</v>
      </c>
      <c r="I221" s="32"/>
      <c r="J221" s="32"/>
      <c r="K221" s="32"/>
      <c r="L221" s="32"/>
      <c r="M221" s="32"/>
      <c r="N221" s="33">
        <f>IFERROR(__xludf.DUMMYFUNCTION("""COMPUTED_VALUE"""),50000.0)</f>
        <v>50000</v>
      </c>
      <c r="O221" s="32"/>
      <c r="P221" s="32"/>
      <c r="Q221" s="5"/>
      <c r="R221" s="32"/>
      <c r="S221" s="32"/>
      <c r="T221" s="32"/>
      <c r="U221" s="32"/>
      <c r="V221" s="32"/>
      <c r="W221" s="32"/>
      <c r="X221" s="32"/>
      <c r="Y221" s="32"/>
      <c r="Z221" s="32"/>
      <c r="AA221" s="32"/>
      <c r="AB221" s="32"/>
      <c r="AC221" s="33">
        <f>IFERROR(__xludf.DUMMYFUNCTION("""COMPUTED_VALUE"""),50000.0)</f>
        <v>50000</v>
      </c>
      <c r="AD221" s="32"/>
      <c r="AE221" s="32"/>
      <c r="AF221" s="32" t="str">
        <f>IFERROR(__xludf.DUMMYFUNCTION("""COMPUTED_VALUE"""),"++X4 additional Weapon Damage. +-Cannot be duplicated.")</f>
        <v>++X4 additional Weapon Damage. +-Cannot be duplicated.</v>
      </c>
      <c r="AG221" s="32" t="str">
        <f>IFERROR(__xludf.DUMMYFUNCTION("""COMPUTED_VALUE"""),"Land of Spira")</f>
        <v>Land of Spira</v>
      </c>
      <c r="AH221" s="32" t="b">
        <f>IFERROR(__xludf.DUMMYFUNCTION("""COMPUTED_VALUE"""),FALSE)</f>
        <v>0</v>
      </c>
      <c r="AI221" s="32"/>
      <c r="AJ221" s="32"/>
      <c r="AK221" s="32"/>
      <c r="AL221" s="32"/>
      <c r="AM221" s="32"/>
      <c r="AN221" s="32"/>
      <c r="AO221" s="32"/>
      <c r="AP221" s="32"/>
      <c r="AQ221" s="32"/>
      <c r="AR221" s="32"/>
      <c r="AS221" s="32"/>
      <c r="AT221" s="32"/>
      <c r="AU221" s="32"/>
      <c r="AV221" s="32"/>
      <c r="AW221" s="32"/>
      <c r="AX221" s="32"/>
    </row>
    <row r="222">
      <c r="A222" s="5" t="str">
        <f>IFERROR(__xludf.DUMMYFUNCTION("""COMPUTED_VALUE"""),"Royal Guard Helmet")</f>
        <v>Royal Guard Helmet</v>
      </c>
      <c r="B222" s="5" t="str">
        <f>IFERROR(__xludf.DUMMYFUNCTION("""COMPUTED_VALUE"""),"Head")</f>
        <v>Head</v>
      </c>
      <c r="C222" s="32" t="str">
        <f>IFERROR(__xludf.DUMMYFUNCTION("""COMPUTED_VALUE"""),"Quest Item")</f>
        <v>Quest Item</v>
      </c>
      <c r="D222" s="5"/>
      <c r="E222" s="40">
        <f>IFERROR(__xludf.DUMMYFUNCTION("""COMPUTED_VALUE"""),200.0)</f>
        <v>200</v>
      </c>
      <c r="F222" s="40">
        <f>IFERROR(__xludf.DUMMYFUNCTION("""COMPUTED_VALUE"""),4.485E8)</f>
        <v>448500000</v>
      </c>
      <c r="G222" s="5" t="str">
        <f>IFERROR(__xludf.DUMMYFUNCTION("""COMPUTED_VALUE"""),"DEF")</f>
        <v>DEF</v>
      </c>
      <c r="H222" s="33">
        <f>IFERROR(__xludf.DUMMYFUNCTION("""COMPUTED_VALUE"""),50000.0)</f>
        <v>50000</v>
      </c>
      <c r="I222" s="32"/>
      <c r="J222" s="32"/>
      <c r="K222" s="32"/>
      <c r="L222" s="32"/>
      <c r="M222" s="32"/>
      <c r="N222" s="33">
        <f>IFERROR(__xludf.DUMMYFUNCTION("""COMPUTED_VALUE"""),50000.0)</f>
        <v>50000</v>
      </c>
      <c r="O222" s="32"/>
      <c r="P222" s="32"/>
      <c r="Q222" s="32"/>
      <c r="R222" s="32"/>
      <c r="S222" s="32"/>
      <c r="T222" s="32"/>
      <c r="U222" s="32"/>
      <c r="V222" s="32"/>
      <c r="W222" s="32"/>
      <c r="X222" s="32"/>
      <c r="Y222" s="32"/>
      <c r="Z222" s="32"/>
      <c r="AA222" s="32"/>
      <c r="AB222" s="32"/>
      <c r="AC222" s="33">
        <f>IFERROR(__xludf.DUMMYFUNCTION("""COMPUTED_VALUE"""),50000.0)</f>
        <v>50000</v>
      </c>
      <c r="AD222" s="32"/>
      <c r="AE222" s="32"/>
      <c r="AF222" s="32" t="str">
        <f>IFERROR(__xludf.DUMMYFUNCTION("""COMPUTED_VALUE"""),"++X4 Additional Weapon damage. ++X2 Additional Defense. +-Cannot be duplicated.")</f>
        <v>++X4 Additional Weapon damage. ++X2 Additional Defense. +-Cannot be duplicated.</v>
      </c>
      <c r="AG222" s="32" t="str">
        <f>IFERROR(__xludf.DUMMYFUNCTION("""COMPUTED_VALUE"""),"Land of Spira")</f>
        <v>Land of Spira</v>
      </c>
      <c r="AH222" s="32" t="b">
        <f>IFERROR(__xludf.DUMMYFUNCTION("""COMPUTED_VALUE"""),FALSE)</f>
        <v>0</v>
      </c>
      <c r="AI222" s="32"/>
      <c r="AJ222" s="32"/>
      <c r="AK222" s="32"/>
      <c r="AL222" s="32"/>
      <c r="AM222" s="32"/>
      <c r="AN222" s="32"/>
      <c r="AO222" s="32"/>
      <c r="AP222" s="32"/>
      <c r="AQ222" s="32"/>
      <c r="AR222" s="32"/>
      <c r="AS222" s="32"/>
      <c r="AT222" s="32"/>
      <c r="AU222" s="32"/>
      <c r="AV222" s="32"/>
      <c r="AW222" s="32"/>
      <c r="AX222" s="32"/>
    </row>
    <row r="223">
      <c r="A223" s="5" t="str">
        <f>IFERROR(__xludf.DUMMYFUNCTION("""COMPUTED_VALUE"""),"Royal Guard Chestplate")</f>
        <v>Royal Guard Chestplate</v>
      </c>
      <c r="B223" s="5" t="str">
        <f>IFERROR(__xludf.DUMMYFUNCTION("""COMPUTED_VALUE"""),"Torso")</f>
        <v>Torso</v>
      </c>
      <c r="C223" s="32" t="str">
        <f>IFERROR(__xludf.DUMMYFUNCTION("""COMPUTED_VALUE"""),"Quest Item")</f>
        <v>Quest Item</v>
      </c>
      <c r="D223" s="5"/>
      <c r="E223" s="40">
        <f>IFERROR(__xludf.DUMMYFUNCTION("""COMPUTED_VALUE"""),200.0)</f>
        <v>200</v>
      </c>
      <c r="F223" s="44">
        <f>IFERROR(__xludf.DUMMYFUNCTION("""COMPUTED_VALUE"""),4.485E8)</f>
        <v>448500000</v>
      </c>
      <c r="G223" s="32" t="str">
        <f>IFERROR(__xludf.DUMMYFUNCTION("""COMPUTED_VALUE"""),"DEF")</f>
        <v>DEF</v>
      </c>
      <c r="H223" s="33">
        <f>IFERROR(__xludf.DUMMYFUNCTION("""COMPUTED_VALUE"""),50000.0)</f>
        <v>50000</v>
      </c>
      <c r="I223" s="32"/>
      <c r="J223" s="32"/>
      <c r="K223" s="32"/>
      <c r="L223" s="32"/>
      <c r="M223" s="32"/>
      <c r="N223" s="33">
        <f>IFERROR(__xludf.DUMMYFUNCTION("""COMPUTED_VALUE"""),50000.0)</f>
        <v>50000</v>
      </c>
      <c r="O223" s="32"/>
      <c r="P223" s="32"/>
      <c r="Q223" s="32"/>
      <c r="R223" s="32"/>
      <c r="S223" s="32"/>
      <c r="T223" s="32"/>
      <c r="U223" s="32"/>
      <c r="V223" s="32"/>
      <c r="W223" s="32"/>
      <c r="X223" s="32"/>
      <c r="Y223" s="32"/>
      <c r="Z223" s="32"/>
      <c r="AA223" s="32"/>
      <c r="AB223" s="32"/>
      <c r="AC223" s="33">
        <f>IFERROR(__xludf.DUMMYFUNCTION("""COMPUTED_VALUE"""),50000.0)</f>
        <v>50000</v>
      </c>
      <c r="AD223" s="27"/>
      <c r="AE223" s="32"/>
      <c r="AF223" s="32" t="str">
        <f>IFERROR(__xludf.DUMMYFUNCTION("""COMPUTED_VALUE"""),"++X4 Additional Weapon damage. ++X2 Additional Defense. +-Cannot be duplicated.")</f>
        <v>++X4 Additional Weapon damage. ++X2 Additional Defense. +-Cannot be duplicated.</v>
      </c>
      <c r="AG223" s="32" t="str">
        <f>IFERROR(__xludf.DUMMYFUNCTION("""COMPUTED_VALUE"""),"Land of Spira")</f>
        <v>Land of Spira</v>
      </c>
      <c r="AH223" s="32" t="b">
        <f>IFERROR(__xludf.DUMMYFUNCTION("""COMPUTED_VALUE"""),FALSE)</f>
        <v>0</v>
      </c>
      <c r="AI223" s="32"/>
      <c r="AJ223" s="32"/>
      <c r="AK223" s="32"/>
      <c r="AL223" s="32"/>
      <c r="AM223" s="32"/>
      <c r="AN223" s="32"/>
      <c r="AO223" s="32"/>
      <c r="AP223" s="32"/>
      <c r="AQ223" s="32"/>
      <c r="AR223" s="32"/>
      <c r="AS223" s="32"/>
      <c r="AT223" s="32"/>
      <c r="AU223" s="32"/>
      <c r="AV223" s="32"/>
      <c r="AW223" s="32"/>
      <c r="AX223" s="32"/>
    </row>
    <row r="224">
      <c r="A224" s="5" t="str">
        <f>IFERROR(__xludf.DUMMYFUNCTION("""COMPUTED_VALUE"""),"Royal Guard Boots")</f>
        <v>Royal Guard Boots</v>
      </c>
      <c r="B224" s="5" t="str">
        <f>IFERROR(__xludf.DUMMYFUNCTION("""COMPUTED_VALUE"""),"Feet")</f>
        <v>Feet</v>
      </c>
      <c r="C224" s="32" t="str">
        <f>IFERROR(__xludf.DUMMYFUNCTION("""COMPUTED_VALUE"""),"Quest Item")</f>
        <v>Quest Item</v>
      </c>
      <c r="D224" s="5"/>
      <c r="E224" s="40">
        <f>IFERROR(__xludf.DUMMYFUNCTION("""COMPUTED_VALUE"""),200.0)</f>
        <v>200</v>
      </c>
      <c r="F224" s="40">
        <f>IFERROR(__xludf.DUMMYFUNCTION("""COMPUTED_VALUE"""),4.485E8)</f>
        <v>448500000</v>
      </c>
      <c r="G224" s="5" t="str">
        <f>IFERROR(__xludf.DUMMYFUNCTION("""COMPUTED_VALUE"""),"DEF")</f>
        <v>DEF</v>
      </c>
      <c r="H224" s="33">
        <f>IFERROR(__xludf.DUMMYFUNCTION("""COMPUTED_VALUE"""),50000.0)</f>
        <v>50000</v>
      </c>
      <c r="I224" s="32"/>
      <c r="J224" s="32"/>
      <c r="K224" s="32"/>
      <c r="L224" s="32"/>
      <c r="M224" s="32"/>
      <c r="N224" s="33">
        <f>IFERROR(__xludf.DUMMYFUNCTION("""COMPUTED_VALUE"""),50000.0)</f>
        <v>50000</v>
      </c>
      <c r="O224" s="32"/>
      <c r="P224" s="32"/>
      <c r="Q224" s="32"/>
      <c r="R224" s="32"/>
      <c r="S224" s="32"/>
      <c r="T224" s="32"/>
      <c r="U224" s="32"/>
      <c r="V224" s="32"/>
      <c r="W224" s="32"/>
      <c r="X224" s="32"/>
      <c r="Y224" s="32"/>
      <c r="Z224" s="32"/>
      <c r="AA224" s="32"/>
      <c r="AB224" s="32"/>
      <c r="AC224" s="33">
        <f>IFERROR(__xludf.DUMMYFUNCTION("""COMPUTED_VALUE"""),50000.0)</f>
        <v>50000</v>
      </c>
      <c r="AD224" s="42"/>
      <c r="AE224" s="32"/>
      <c r="AF224" s="32" t="str">
        <f>IFERROR(__xludf.DUMMYFUNCTION("""COMPUTED_VALUE"""),"++X4 Additional Weapon damage. ++X2 Additional Defense. +-Cannot be duplicated.")</f>
        <v>++X4 Additional Weapon damage. ++X2 Additional Defense. +-Cannot be duplicated.</v>
      </c>
      <c r="AG224" s="32" t="str">
        <f>IFERROR(__xludf.DUMMYFUNCTION("""COMPUTED_VALUE"""),"Land of Spira")</f>
        <v>Land of Spira</v>
      </c>
      <c r="AH224" s="32" t="b">
        <f>IFERROR(__xludf.DUMMYFUNCTION("""COMPUTED_VALUE"""),FALSE)</f>
        <v>0</v>
      </c>
      <c r="AI224" s="32"/>
      <c r="AJ224" s="32"/>
      <c r="AK224" s="32"/>
      <c r="AL224" s="32"/>
      <c r="AM224" s="32"/>
      <c r="AN224" s="32"/>
      <c r="AO224" s="32"/>
      <c r="AP224" s="32"/>
      <c r="AQ224" s="32"/>
      <c r="AR224" s="32"/>
      <c r="AS224" s="32"/>
      <c r="AT224" s="32"/>
      <c r="AU224" s="32"/>
      <c r="AV224" s="32"/>
      <c r="AW224" s="32"/>
      <c r="AX224" s="32"/>
    </row>
    <row r="225">
      <c r="A225" s="5" t="str">
        <f>IFERROR(__xludf.DUMMYFUNCTION("""COMPUTED_VALUE"""),"Royal Guard Greaves")</f>
        <v>Royal Guard Greaves</v>
      </c>
      <c r="B225" s="5" t="str">
        <f>IFERROR(__xludf.DUMMYFUNCTION("""COMPUTED_VALUE"""),"Legs")</f>
        <v>Legs</v>
      </c>
      <c r="C225" s="32" t="str">
        <f>IFERROR(__xludf.DUMMYFUNCTION("""COMPUTED_VALUE"""),"Quest Item")</f>
        <v>Quest Item</v>
      </c>
      <c r="D225" s="5"/>
      <c r="E225" s="40">
        <f>IFERROR(__xludf.DUMMYFUNCTION("""COMPUTED_VALUE"""),200.0)</f>
        <v>200</v>
      </c>
      <c r="F225" s="40">
        <f>IFERROR(__xludf.DUMMYFUNCTION("""COMPUTED_VALUE"""),4.485E8)</f>
        <v>448500000</v>
      </c>
      <c r="G225" s="5" t="str">
        <f>IFERROR(__xludf.DUMMYFUNCTION("""COMPUTED_VALUE"""),"DEF")</f>
        <v>DEF</v>
      </c>
      <c r="H225" s="33">
        <f>IFERROR(__xludf.DUMMYFUNCTION("""COMPUTED_VALUE"""),50000.0)</f>
        <v>50000</v>
      </c>
      <c r="I225" s="32"/>
      <c r="J225" s="32"/>
      <c r="K225" s="32"/>
      <c r="L225" s="32"/>
      <c r="M225" s="32"/>
      <c r="N225" s="33">
        <f>IFERROR(__xludf.DUMMYFUNCTION("""COMPUTED_VALUE"""),50000.0)</f>
        <v>50000</v>
      </c>
      <c r="O225" s="32"/>
      <c r="P225" s="32"/>
      <c r="Q225" s="32"/>
      <c r="R225" s="32"/>
      <c r="S225" s="32"/>
      <c r="T225" s="32"/>
      <c r="U225" s="32"/>
      <c r="V225" s="32"/>
      <c r="W225" s="32"/>
      <c r="X225" s="32"/>
      <c r="Y225" s="32"/>
      <c r="Z225" s="32"/>
      <c r="AA225" s="32"/>
      <c r="AB225" s="32"/>
      <c r="AC225" s="33">
        <f>IFERROR(__xludf.DUMMYFUNCTION("""COMPUTED_VALUE"""),50000.0)</f>
        <v>50000</v>
      </c>
      <c r="AD225" s="32"/>
      <c r="AE225" s="32"/>
      <c r="AF225" s="32" t="str">
        <f>IFERROR(__xludf.DUMMYFUNCTION("""COMPUTED_VALUE"""),"++X4 Additional Weapon damage. ++X2 Additional Defense. +-Cannot be duplicated.")</f>
        <v>++X4 Additional Weapon damage. ++X2 Additional Defense. +-Cannot be duplicated.</v>
      </c>
      <c r="AG225" s="32" t="str">
        <f>IFERROR(__xludf.DUMMYFUNCTION("""COMPUTED_VALUE"""),"Land of Spira")</f>
        <v>Land of Spira</v>
      </c>
      <c r="AH225" s="32" t="b">
        <f>IFERROR(__xludf.DUMMYFUNCTION("""COMPUTED_VALUE"""),FALSE)</f>
        <v>0</v>
      </c>
      <c r="AI225" s="32"/>
      <c r="AJ225" s="32"/>
      <c r="AK225" s="32"/>
      <c r="AL225" s="32"/>
      <c r="AM225" s="32"/>
      <c r="AN225" s="32"/>
      <c r="AO225" s="32"/>
      <c r="AP225" s="32"/>
      <c r="AQ225" s="32"/>
      <c r="AR225" s="32"/>
      <c r="AS225" s="32"/>
      <c r="AT225" s="32"/>
      <c r="AU225" s="32"/>
      <c r="AV225" s="32"/>
      <c r="AW225" s="32"/>
      <c r="AX225" s="32"/>
    </row>
    <row r="226">
      <c r="A226" s="5" t="str">
        <f>IFERROR(__xludf.DUMMYFUNCTION("""COMPUTED_VALUE"""),"Royal Keeper Shield")</f>
        <v>Royal Keeper Shield</v>
      </c>
      <c r="B226" s="5" t="str">
        <f>IFERROR(__xludf.DUMMYFUNCTION("""COMPUTED_VALUE"""),"Hand")</f>
        <v>Hand</v>
      </c>
      <c r="C226" s="32"/>
      <c r="D226" s="5" t="str">
        <f>IFERROR(__xludf.DUMMYFUNCTION("""COMPUTED_VALUE"""),"Towershield")</f>
        <v>Towershield</v>
      </c>
      <c r="E226" s="40">
        <f>IFERROR(__xludf.DUMMYFUNCTION("""COMPUTED_VALUE"""),20.0)</f>
        <v>20</v>
      </c>
      <c r="F226" s="40">
        <f>IFERROR(__xludf.DUMMYFUNCTION("""COMPUTED_VALUE"""),10000.0)</f>
        <v>10000</v>
      </c>
      <c r="G226" s="5" t="str">
        <f>IFERROR(__xludf.DUMMYFUNCTION("""COMPUTED_VALUE"""),"DEF")</f>
        <v>DEF</v>
      </c>
      <c r="H226" s="32">
        <f>IFERROR(__xludf.DUMMYFUNCTION("""COMPUTED_VALUE"""),1000.0)</f>
        <v>1000</v>
      </c>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t="str">
        <f>IFERROR(__xludf.DUMMYFUNCTION("""COMPUTED_VALUE"""),"++Royal Block - Gan invulnerability to all damage for 3 rounds of battle. 5000SP Will Succeed.")</f>
        <v>++Royal Block - Gan invulnerability to all damage for 3 rounds of battle. 5000SP Will Succeed.</v>
      </c>
      <c r="AG226" s="32" t="str">
        <f>IFERROR(__xludf.DUMMYFUNCTION("""COMPUTED_VALUE"""),"Land of Spira")</f>
        <v>Land of Spira</v>
      </c>
      <c r="AH226" s="32" t="b">
        <f>IFERROR(__xludf.DUMMYFUNCTION("""COMPUTED_VALUE"""),FALSE)</f>
        <v>0</v>
      </c>
      <c r="AI226" s="32"/>
      <c r="AJ226" s="32"/>
      <c r="AK226" s="32"/>
      <c r="AL226" s="32"/>
      <c r="AM226" s="32"/>
      <c r="AN226" s="32"/>
      <c r="AO226" s="32"/>
      <c r="AP226" s="32"/>
      <c r="AQ226" s="32"/>
      <c r="AR226" s="32"/>
      <c r="AS226" s="32"/>
      <c r="AT226" s="32"/>
      <c r="AU226" s="32"/>
      <c r="AV226" s="32"/>
      <c r="AW226" s="32"/>
      <c r="AX226" s="32"/>
    </row>
    <row r="227">
      <c r="A227" s="5" t="str">
        <f>IFERROR(__xludf.DUMMYFUNCTION("""COMPUTED_VALUE"""),"Royal Keeper Spear")</f>
        <v>Royal Keeper Spear</v>
      </c>
      <c r="B227" s="5" t="str">
        <f>IFERROR(__xludf.DUMMYFUNCTION("""COMPUTED_VALUE"""),"Hand")</f>
        <v>Hand</v>
      </c>
      <c r="C227" s="32"/>
      <c r="D227" s="5" t="str">
        <f>IFERROR(__xludf.DUMMYFUNCTION("""COMPUTED_VALUE"""),"Spear")</f>
        <v>Spear</v>
      </c>
      <c r="E227" s="40">
        <f>IFERROR(__xludf.DUMMYFUNCTION("""COMPUTED_VALUE"""),400.0)</f>
        <v>400</v>
      </c>
      <c r="F227" s="40">
        <f>IFERROR(__xludf.DUMMYFUNCTION("""COMPUTED_VALUE"""),7800000.0)</f>
        <v>7800000</v>
      </c>
      <c r="G227" s="5" t="str">
        <f>IFERROR(__xludf.DUMMYFUNCTION("""COMPUTED_VALUE"""),"DMG")</f>
        <v>DMG</v>
      </c>
      <c r="H227" s="33">
        <f>IFERROR(__xludf.DUMMYFUNCTION("""COMPUTED_VALUE"""),10000.0)</f>
        <v>10000</v>
      </c>
      <c r="I227" s="33">
        <f>IFERROR(__xludf.DUMMYFUNCTION("""COMPUTED_VALUE"""),10000.0)</f>
        <v>10000</v>
      </c>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t="str">
        <f>IFERROR(__xludf.DUMMYFUNCTION("""COMPUTED_VALUE"""),"++Royal Stance -  Shuttering 1 for the first round of battle.")</f>
        <v>++Royal Stance -  Shuttering 1 for the first round of battle.</v>
      </c>
      <c r="AG227" s="32" t="str">
        <f>IFERROR(__xludf.DUMMYFUNCTION("""COMPUTED_VALUE"""),"Land of Spira")</f>
        <v>Land of Spira</v>
      </c>
      <c r="AH227" s="32" t="b">
        <f>IFERROR(__xludf.DUMMYFUNCTION("""COMPUTED_VALUE"""),FALSE)</f>
        <v>0</v>
      </c>
      <c r="AI227" s="32"/>
      <c r="AJ227" s="32"/>
      <c r="AK227" s="32"/>
      <c r="AL227" s="32"/>
      <c r="AM227" s="32"/>
      <c r="AN227" s="32"/>
      <c r="AO227" s="32"/>
      <c r="AP227" s="32"/>
      <c r="AQ227" s="32"/>
      <c r="AR227" s="32"/>
      <c r="AS227" s="32"/>
      <c r="AT227" s="32"/>
      <c r="AU227" s="32"/>
      <c r="AV227" s="32"/>
      <c r="AW227" s="32"/>
      <c r="AX227" s="32"/>
    </row>
    <row r="228">
      <c r="A228" s="42" t="str">
        <f>IFERROR(__xludf.DUMMYFUNCTION("""COMPUTED_VALUE"""),"Royal Sword of Chaotic Shadows")</f>
        <v>Royal Sword of Chaotic Shadows</v>
      </c>
      <c r="B228" s="5" t="str">
        <f>IFERROR(__xludf.DUMMYFUNCTION("""COMPUTED_VALUE"""),"Hand")</f>
        <v>Hand</v>
      </c>
      <c r="C228" s="32"/>
      <c r="D228" s="5" t="str">
        <f>IFERROR(__xludf.DUMMYFUNCTION("""COMPUTED_VALUE"""),"Sword")</f>
        <v>Sword</v>
      </c>
      <c r="E228" s="40">
        <f>IFERROR(__xludf.DUMMYFUNCTION("""COMPUTED_VALUE"""),900.0)</f>
        <v>900</v>
      </c>
      <c r="F228" s="40">
        <f>IFERROR(__xludf.DUMMYFUNCTION("""COMPUTED_VALUE"""),4.005E7)</f>
        <v>40050000</v>
      </c>
      <c r="G228" s="5" t="str">
        <f>IFERROR(__xludf.DUMMYFUNCTION("""COMPUTED_VALUE"""),"DMG")</f>
        <v>DMG</v>
      </c>
      <c r="H228" s="33">
        <f>IFERROR(__xludf.DUMMYFUNCTION("""COMPUTED_VALUE"""),15000.0)</f>
        <v>15000</v>
      </c>
      <c r="I228" s="32"/>
      <c r="J228" s="32"/>
      <c r="K228" s="32"/>
      <c r="L228" s="32"/>
      <c r="M228" s="32"/>
      <c r="N228" s="32"/>
      <c r="O228" s="33">
        <f>IFERROR(__xludf.DUMMYFUNCTION("""COMPUTED_VALUE"""),15000.0)</f>
        <v>15000</v>
      </c>
      <c r="P228" s="32"/>
      <c r="Q228" s="32"/>
      <c r="R228" s="33">
        <f>IFERROR(__xludf.DUMMYFUNCTION("""COMPUTED_VALUE"""),15000.0)</f>
        <v>15000</v>
      </c>
      <c r="S228" s="32"/>
      <c r="T228" s="32"/>
      <c r="U228" s="32"/>
      <c r="V228" s="32"/>
      <c r="W228" s="32"/>
      <c r="X228" s="32"/>
      <c r="Y228" s="32"/>
      <c r="Z228" s="32"/>
      <c r="AA228" s="32"/>
      <c r="AB228" s="32"/>
      <c r="AC228" s="32"/>
      <c r="AD228" s="32"/>
      <c r="AE228" s="32"/>
      <c r="AF228" s="32"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32" t="str">
        <f>IFERROR(__xludf.DUMMYFUNCTION("""COMPUTED_VALUE"""),"Land of Spira")</f>
        <v>Land of Spira</v>
      </c>
      <c r="AH228" s="32" t="b">
        <f>IFERROR(__xludf.DUMMYFUNCTION("""COMPUTED_VALUE"""),FALSE)</f>
        <v>0</v>
      </c>
      <c r="AI228" s="32"/>
      <c r="AJ228" s="32"/>
      <c r="AK228" s="32"/>
      <c r="AL228" s="32"/>
      <c r="AM228" s="32"/>
      <c r="AN228" s="32"/>
      <c r="AO228" s="32"/>
      <c r="AP228" s="32"/>
      <c r="AQ228" s="32"/>
      <c r="AR228" s="32"/>
      <c r="AS228" s="32"/>
      <c r="AT228" s="32"/>
      <c r="AU228" s="32"/>
      <c r="AV228" s="32"/>
      <c r="AW228" s="32"/>
      <c r="AX228" s="32"/>
    </row>
    <row r="229">
      <c r="A229" s="42" t="str">
        <f>IFERROR(__xludf.DUMMYFUNCTION("""COMPUTED_VALUE"""),"Rusty sword")</f>
        <v>Rusty sword</v>
      </c>
      <c r="B229" s="5" t="str">
        <f>IFERROR(__xludf.DUMMYFUNCTION("""COMPUTED_VALUE"""),"Hand")</f>
        <v>Hand</v>
      </c>
      <c r="C229" s="32"/>
      <c r="D229" s="5" t="str">
        <f>IFERROR(__xludf.DUMMYFUNCTION("""COMPUTED_VALUE"""),"Sword")</f>
        <v>Sword</v>
      </c>
      <c r="E229" s="40">
        <f>IFERROR(__xludf.DUMMYFUNCTION("""COMPUTED_VALUE"""),1.0)</f>
        <v>1</v>
      </c>
      <c r="F229" s="40">
        <f>IFERROR(__xludf.DUMMYFUNCTION("""COMPUTED_VALUE"""),0.0)</f>
        <v>0</v>
      </c>
      <c r="G229" s="41" t="str">
        <f>IFERROR(__xludf.DUMMYFUNCTION("""COMPUTED_VALUE"""),"DMG")</f>
        <v>DMG</v>
      </c>
      <c r="H229" s="32">
        <f>IFERROR(__xludf.DUMMYFUNCTION("""COMPUTED_VALUE"""),60.0)</f>
        <v>60</v>
      </c>
      <c r="I229" s="32"/>
      <c r="J229" s="32"/>
      <c r="K229" s="32"/>
      <c r="L229" s="32"/>
      <c r="M229" s="32"/>
      <c r="N229" s="32"/>
      <c r="O229" s="32"/>
      <c r="P229" s="32"/>
      <c r="Q229" s="32"/>
      <c r="R229" s="32"/>
      <c r="S229" s="32"/>
      <c r="T229" s="32"/>
      <c r="U229" s="32"/>
      <c r="V229" s="32"/>
      <c r="W229" s="32"/>
      <c r="X229" s="32"/>
      <c r="Y229" s="32"/>
      <c r="Z229" s="32"/>
      <c r="AA229" s="32"/>
      <c r="AB229" s="32"/>
      <c r="AC229" s="32"/>
      <c r="AD229" s="42"/>
      <c r="AE229" s="32"/>
      <c r="AF229" s="32" t="str">
        <f>IFERROR(__xludf.DUMMYFUNCTION("""COMPUTED_VALUE"""),"++25% chance to break with each use")</f>
        <v>++25% chance to break with each use</v>
      </c>
      <c r="AG229" s="32" t="str">
        <f>IFERROR(__xludf.DUMMYFUNCTION("""COMPUTED_VALUE"""),"Land of Spira")</f>
        <v>Land of Spira</v>
      </c>
      <c r="AH229" s="32" t="b">
        <f>IFERROR(__xludf.DUMMYFUNCTION("""COMPUTED_VALUE"""),FALSE)</f>
        <v>0</v>
      </c>
      <c r="AI229" s="32"/>
      <c r="AJ229" s="32"/>
      <c r="AK229" s="32"/>
      <c r="AL229" s="32"/>
      <c r="AM229" s="32"/>
      <c r="AN229" s="32"/>
      <c r="AO229" s="32"/>
      <c r="AP229" s="32"/>
      <c r="AQ229" s="32"/>
      <c r="AR229" s="32"/>
      <c r="AS229" s="32"/>
      <c r="AT229" s="32"/>
      <c r="AU229" s="32"/>
      <c r="AV229" s="32"/>
      <c r="AW229" s="32"/>
      <c r="AX229" s="32"/>
    </row>
    <row r="230">
      <c r="A230" s="5" t="str">
        <f>IFERROR(__xludf.DUMMYFUNCTION("""COMPUTED_VALUE"""),"Saber Toothed Sword")</f>
        <v>Saber Toothed Sword</v>
      </c>
      <c r="B230" s="5" t="str">
        <f>IFERROR(__xludf.DUMMYFUNCTION("""COMPUTED_VALUE"""),"Hand")</f>
        <v>Hand</v>
      </c>
      <c r="C230" s="32" t="str">
        <f>IFERROR(__xludf.DUMMYFUNCTION("""COMPUTED_VALUE"""),"A sword crafted from the teeth of a saber toothed cat.")</f>
        <v>A sword crafted from the teeth of a saber toothed cat.</v>
      </c>
      <c r="D230" s="5" t="str">
        <f>IFERROR(__xludf.DUMMYFUNCTION("""COMPUTED_VALUE"""),"Sword")</f>
        <v>Sword</v>
      </c>
      <c r="E230" s="40">
        <f>IFERROR(__xludf.DUMMYFUNCTION("""COMPUTED_VALUE"""),2200.0)</f>
        <v>2200</v>
      </c>
      <c r="F230" s="40">
        <f>IFERROR(__xludf.DUMMYFUNCTION("""COMPUTED_VALUE"""),2.409E8)</f>
        <v>240900000</v>
      </c>
      <c r="G230" s="5" t="str">
        <f>IFERROR(__xludf.DUMMYFUNCTION("""COMPUTED_VALUE"""),"DMG")</f>
        <v>DMG</v>
      </c>
      <c r="H230" s="33">
        <f>IFERROR(__xludf.DUMMYFUNCTION("""COMPUTED_VALUE"""),60000.0)</f>
        <v>60000</v>
      </c>
      <c r="I230" s="32"/>
      <c r="J230" s="32"/>
      <c r="K230" s="32"/>
      <c r="L230" s="32"/>
      <c r="M230" s="32"/>
      <c r="N230" s="32"/>
      <c r="O230" s="32"/>
      <c r="P230" s="32"/>
      <c r="Q230" s="32"/>
      <c r="R230" s="32"/>
      <c r="S230" s="32"/>
      <c r="T230" s="32"/>
      <c r="U230" s="32"/>
      <c r="V230" s="32"/>
      <c r="W230" s="32"/>
      <c r="X230" s="32"/>
      <c r="Y230" s="33">
        <f>IFERROR(__xludf.DUMMYFUNCTION("""COMPUTED_VALUE"""),50000.0)</f>
        <v>50000</v>
      </c>
      <c r="Z230" s="32"/>
      <c r="AA230" s="32"/>
      <c r="AB230" s="32"/>
      <c r="AC230" s="32"/>
      <c r="AD230" s="42"/>
      <c r="AE230" s="32"/>
      <c r="AF230" s="32" t="str">
        <f>IFERROR(__xludf.DUMMYFUNCTION("""COMPUTED_VALUE"""),"++X2 additional blood damage.")</f>
        <v>++X2 additional blood damage.</v>
      </c>
      <c r="AG230" s="32" t="str">
        <f>IFERROR(__xludf.DUMMYFUNCTION("""COMPUTED_VALUE"""),"Abstara")</f>
        <v>Abstara</v>
      </c>
      <c r="AH230" s="32" t="b">
        <f>IFERROR(__xludf.DUMMYFUNCTION("""COMPUTED_VALUE"""),TRUE)</f>
        <v>1</v>
      </c>
      <c r="AI230" s="32"/>
      <c r="AJ230" s="32"/>
      <c r="AK230" s="32"/>
      <c r="AL230" s="32"/>
      <c r="AM230" s="32"/>
      <c r="AN230" s="32"/>
      <c r="AO230" s="32"/>
      <c r="AP230" s="32"/>
      <c r="AQ230" s="32"/>
      <c r="AR230" s="32"/>
      <c r="AS230" s="32"/>
      <c r="AT230" s="32"/>
      <c r="AU230" s="32"/>
      <c r="AV230" s="32"/>
      <c r="AW230" s="32"/>
      <c r="AX230" s="32"/>
    </row>
    <row r="231">
      <c r="A231" s="5" t="str">
        <f>IFERROR(__xludf.DUMMYFUNCTION("""COMPUTED_VALUE"""),"Ancient Oni Chestplate")</f>
        <v>Ancient Oni Chestplate</v>
      </c>
      <c r="B231" s="5" t="str">
        <f>IFERROR(__xludf.DUMMYFUNCTION("""COMPUTED_VALUE"""),"Torso")</f>
        <v>Torso</v>
      </c>
      <c r="C231" s="32" t="str">
        <f>IFERROR(__xludf.DUMMYFUNCTION("""COMPUTED_VALUE"""),"An ancient relic to Zhenmay")</f>
        <v>An ancient relic to Zhenmay</v>
      </c>
      <c r="D231" s="5"/>
      <c r="E231" s="40">
        <f>IFERROR(__xludf.DUMMYFUNCTION("""COMPUTED_VALUE"""),200.0)</f>
        <v>200</v>
      </c>
      <c r="F231" s="40">
        <f>IFERROR(__xludf.DUMMYFUNCTION("""COMPUTED_VALUE"""),5.104E8)</f>
        <v>510400000</v>
      </c>
      <c r="G231" s="5" t="str">
        <f>IFERROR(__xludf.DUMMYFUNCTION("""COMPUTED_VALUE"""),"DEF")</f>
        <v>DEF</v>
      </c>
      <c r="H231" s="33">
        <f>IFERROR(__xludf.DUMMYFUNCTION("""COMPUTED_VALUE"""),10000.0)</f>
        <v>10000</v>
      </c>
      <c r="I231" s="33">
        <f>IFERROR(__xludf.DUMMYFUNCTION("""COMPUTED_VALUE"""),10000.0)</f>
        <v>10000</v>
      </c>
      <c r="J231" s="33">
        <f>IFERROR(__xludf.DUMMYFUNCTION("""COMPUTED_VALUE"""),10000.0)</f>
        <v>10000</v>
      </c>
      <c r="K231" s="33">
        <f>IFERROR(__xludf.DUMMYFUNCTION("""COMPUTED_VALUE"""),10000.0)</f>
        <v>10000</v>
      </c>
      <c r="L231" s="33">
        <f>IFERROR(__xludf.DUMMYFUNCTION("""COMPUTED_VALUE"""),10000.0)</f>
        <v>10000</v>
      </c>
      <c r="M231" s="33">
        <f>IFERROR(__xludf.DUMMYFUNCTION("""COMPUTED_VALUE"""),10000.0)</f>
        <v>10000</v>
      </c>
      <c r="N231" s="33">
        <f>IFERROR(__xludf.DUMMYFUNCTION("""COMPUTED_VALUE"""),10000.0)</f>
        <v>10000</v>
      </c>
      <c r="O231" s="33">
        <f>IFERROR(__xludf.DUMMYFUNCTION("""COMPUTED_VALUE"""),10000.0)</f>
        <v>10000</v>
      </c>
      <c r="P231" s="33">
        <f>IFERROR(__xludf.DUMMYFUNCTION("""COMPUTED_VALUE"""),10000.0)</f>
        <v>10000</v>
      </c>
      <c r="Q231" s="33">
        <f>IFERROR(__xludf.DUMMYFUNCTION("""COMPUTED_VALUE"""),10000.0)</f>
        <v>10000</v>
      </c>
      <c r="R231" s="33">
        <f>IFERROR(__xludf.DUMMYFUNCTION("""COMPUTED_VALUE"""),10000.0)</f>
        <v>10000</v>
      </c>
      <c r="S231" s="33">
        <f>IFERROR(__xludf.DUMMYFUNCTION("""COMPUTED_VALUE"""),10000.0)</f>
        <v>10000</v>
      </c>
      <c r="T231" s="32"/>
      <c r="U231" s="32"/>
      <c r="V231" s="32"/>
      <c r="W231" s="32"/>
      <c r="X231" s="33">
        <f>IFERROR(__xludf.DUMMYFUNCTION("""COMPUTED_VALUE"""),10000.0)</f>
        <v>10000</v>
      </c>
      <c r="Y231" s="33">
        <f>IFERROR(__xludf.DUMMYFUNCTION("""COMPUTED_VALUE"""),10000.0)</f>
        <v>10000</v>
      </c>
      <c r="Z231" s="32"/>
      <c r="AA231" s="32"/>
      <c r="AB231" s="33">
        <f>IFERROR(__xludf.DUMMYFUNCTION("""COMPUTED_VALUE"""),10000.0)</f>
        <v>10000</v>
      </c>
      <c r="AC231" s="33">
        <f>IFERROR(__xludf.DUMMYFUNCTION("""COMPUTED_VALUE"""),10000.0)</f>
        <v>10000</v>
      </c>
      <c r="AD231" s="42"/>
      <c r="AE231" s="32"/>
      <c r="AF231" s="32" t="str">
        <f>IFERROR(__xludf.DUMMYFUNCTION("""COMPUTED_VALUE"""),"++X2 damage for all elements. ++Only Samurai's, Monks, and Ninjas can equip. +-Cannot be duplicated or forged.")</f>
        <v>++X2 damage for all elements. ++Only Samurai's, Monks, and Ninjas can equip. +-Cannot be duplicated or forged.</v>
      </c>
      <c r="AG231" s="32" t="str">
        <f>IFERROR(__xludf.DUMMYFUNCTION("""COMPUTED_VALUE"""),"Land of Spira")</f>
        <v>Land of Spira</v>
      </c>
      <c r="AH231" s="32" t="b">
        <f>IFERROR(__xludf.DUMMYFUNCTION("""COMPUTED_VALUE"""),FALSE)</f>
        <v>0</v>
      </c>
      <c r="AI231" s="32"/>
      <c r="AJ231" s="32"/>
      <c r="AK231" s="32"/>
      <c r="AL231" s="32"/>
      <c r="AM231" s="32"/>
      <c r="AN231" s="32"/>
      <c r="AO231" s="32"/>
      <c r="AP231" s="32"/>
      <c r="AQ231" s="32"/>
      <c r="AR231" s="32"/>
      <c r="AS231" s="32"/>
      <c r="AT231" s="32"/>
      <c r="AU231" s="32"/>
      <c r="AV231" s="32"/>
      <c r="AW231" s="32"/>
      <c r="AX231" s="32"/>
    </row>
    <row r="232">
      <c r="A232" s="42" t="str">
        <f>IFERROR(__xludf.DUMMYFUNCTION("""COMPUTED_VALUE"""),"Scythe of Mischief ")</f>
        <v>Scythe of Mischief </v>
      </c>
      <c r="B232" s="5" t="str">
        <f>IFERROR(__xludf.DUMMYFUNCTION("""COMPUTED_VALUE"""),"Hand")</f>
        <v>Hand</v>
      </c>
      <c r="C232" s="32"/>
      <c r="D232" s="5" t="str">
        <f>IFERROR(__xludf.DUMMYFUNCTION("""COMPUTED_VALUE"""),"Scythe")</f>
        <v>Scythe</v>
      </c>
      <c r="E232" s="40">
        <f>IFERROR(__xludf.DUMMYFUNCTION("""COMPUTED_VALUE"""),200.0)</f>
        <v>200</v>
      </c>
      <c r="F232" s="40">
        <f>IFERROR(__xludf.DUMMYFUNCTION("""COMPUTED_VALUE"""),5.995E7)</f>
        <v>59950000</v>
      </c>
      <c r="G232" s="41" t="str">
        <f>IFERROR(__xludf.DUMMYFUNCTION("""COMPUTED_VALUE"""),"DMG")</f>
        <v>DMG</v>
      </c>
      <c r="H232" s="33">
        <f>IFERROR(__xludf.DUMMYFUNCTION("""COMPUTED_VALUE"""),5000.0)</f>
        <v>5000</v>
      </c>
      <c r="I232" s="33">
        <f>IFERROR(__xludf.DUMMYFUNCTION("""COMPUTED_VALUE"""),5000.0)</f>
        <v>5000</v>
      </c>
      <c r="J232" s="32"/>
      <c r="K232" s="32"/>
      <c r="L232" s="32"/>
      <c r="M232" s="32"/>
      <c r="N232" s="32"/>
      <c r="O232" s="33">
        <f>IFERROR(__xludf.DUMMYFUNCTION("""COMPUTED_VALUE"""),5000.0)</f>
        <v>5000</v>
      </c>
      <c r="P232" s="33">
        <f>IFERROR(__xludf.DUMMYFUNCTION("""COMPUTED_VALUE"""),5000.0)</f>
        <v>5000</v>
      </c>
      <c r="Q232" s="32"/>
      <c r="R232" s="33">
        <f>IFERROR(__xludf.DUMMYFUNCTION("""COMPUTED_VALUE"""),5000.0)</f>
        <v>5000</v>
      </c>
      <c r="S232" s="32"/>
      <c r="T232" s="32"/>
      <c r="U232" s="32"/>
      <c r="V232" s="33">
        <f>IFERROR(__xludf.DUMMYFUNCTION("""COMPUTED_VALUE"""),5000.0)</f>
        <v>5000</v>
      </c>
      <c r="W232" s="33">
        <f>IFERROR(__xludf.DUMMYFUNCTION("""COMPUTED_VALUE"""),5000.0)</f>
        <v>5000</v>
      </c>
      <c r="X232" s="33">
        <f>IFERROR(__xludf.DUMMYFUNCTION("""COMPUTED_VALUE"""),5000.0)</f>
        <v>5000</v>
      </c>
      <c r="Y232" s="33">
        <f>IFERROR(__xludf.DUMMYFUNCTION("""COMPUTED_VALUE"""),5000.0)</f>
        <v>5000</v>
      </c>
      <c r="Z232" s="32"/>
      <c r="AA232" s="32"/>
      <c r="AB232" s="32"/>
      <c r="AC232" s="33">
        <f>IFERROR(__xludf.DUMMYFUNCTION("""COMPUTED_VALUE"""),10000.0)</f>
        <v>10000</v>
      </c>
      <c r="AD232" s="42"/>
      <c r="AE232" s="32"/>
      <c r="AF232" s="32" t="str">
        <f>IFERROR(__xludf.DUMMYFUNCTION("""COMPUTED_VALUE"""),"++Enemies deduct 2 from their rolls when targeting you. +-Cannot be duplicated")</f>
        <v>++Enemies deduct 2 from their rolls when targeting you. +-Cannot be duplicated</v>
      </c>
      <c r="AG232" s="32" t="str">
        <f>IFERROR(__xludf.DUMMYFUNCTION("""COMPUTED_VALUE"""),"Land of Spira")</f>
        <v>Land of Spira</v>
      </c>
      <c r="AH232" s="32" t="b">
        <f>IFERROR(__xludf.DUMMYFUNCTION("""COMPUTED_VALUE"""),FALSE)</f>
        <v>0</v>
      </c>
      <c r="AI232" s="32"/>
      <c r="AJ232" s="32"/>
      <c r="AK232" s="32"/>
      <c r="AL232" s="32"/>
      <c r="AM232" s="32"/>
      <c r="AN232" s="32"/>
      <c r="AO232" s="32"/>
      <c r="AP232" s="32"/>
      <c r="AQ232" s="32"/>
      <c r="AR232" s="32"/>
      <c r="AS232" s="32"/>
      <c r="AT232" s="32"/>
      <c r="AU232" s="32"/>
      <c r="AV232" s="32"/>
      <c r="AW232" s="32"/>
      <c r="AX232" s="32"/>
    </row>
    <row r="233">
      <c r="A233" s="42" t="str">
        <f>IFERROR(__xludf.DUMMYFUNCTION("""COMPUTED_VALUE"""),"Sea Serpent Boots")</f>
        <v>Sea Serpent Boots</v>
      </c>
      <c r="B233" s="5" t="str">
        <f>IFERROR(__xludf.DUMMYFUNCTION("""COMPUTED_VALUE"""),"Feet")</f>
        <v>Feet</v>
      </c>
      <c r="C233" s="32"/>
      <c r="D233" s="5"/>
      <c r="E233" s="40">
        <f>IFERROR(__xludf.DUMMYFUNCTION("""COMPUTED_VALUE"""),100.0)</f>
        <v>100</v>
      </c>
      <c r="F233" s="40">
        <f>IFERROR(__xludf.DUMMYFUNCTION("""COMPUTED_VALUE"""),450000.0)</f>
        <v>450000</v>
      </c>
      <c r="G233" s="41" t="str">
        <f>IFERROR(__xludf.DUMMYFUNCTION("""COMPUTED_VALUE"""),"DEF")</f>
        <v>DEF</v>
      </c>
      <c r="H233" s="32">
        <f>IFERROR(__xludf.DUMMYFUNCTION("""COMPUTED_VALUE"""),2500.0)</f>
        <v>2500</v>
      </c>
      <c r="I233" s="32"/>
      <c r="J233" s="32"/>
      <c r="K233" s="32">
        <f>IFERROR(__xludf.DUMMYFUNCTION("""COMPUTED_VALUE"""),2500.0)</f>
        <v>2500</v>
      </c>
      <c r="L233" s="32"/>
      <c r="M233" s="32"/>
      <c r="N233" s="32"/>
      <c r="O233" s="32"/>
      <c r="P233" s="32"/>
      <c r="Q233" s="32"/>
      <c r="R233" s="32"/>
      <c r="S233" s="32"/>
      <c r="T233" s="32"/>
      <c r="U233" s="32"/>
      <c r="V233" s="32"/>
      <c r="W233" s="32"/>
      <c r="X233" s="32"/>
      <c r="Y233" s="32"/>
      <c r="Z233" s="32"/>
      <c r="AA233" s="32"/>
      <c r="AB233" s="32"/>
      <c r="AC233" s="32"/>
      <c r="AD233" s="5"/>
      <c r="AE233" s="32"/>
      <c r="AF233" s="32" t="str">
        <f>IFERROR(__xludf.DUMMYFUNCTION("""COMPUTED_VALUE"""),"++X2 additional water damage for self.")</f>
        <v>++X2 additional water damage for self.</v>
      </c>
      <c r="AG233" s="32"/>
      <c r="AH233" s="32" t="b">
        <f>IFERROR(__xludf.DUMMYFUNCTION("""COMPUTED_VALUE"""),FALSE)</f>
        <v>0</v>
      </c>
      <c r="AI233" s="32"/>
      <c r="AJ233" s="32"/>
      <c r="AK233" s="32"/>
      <c r="AL233" s="32"/>
      <c r="AM233" s="32"/>
      <c r="AN233" s="32"/>
      <c r="AO233" s="32"/>
      <c r="AP233" s="32"/>
      <c r="AQ233" s="32"/>
      <c r="AR233" s="32"/>
      <c r="AS233" s="32"/>
      <c r="AT233" s="32"/>
      <c r="AU233" s="32"/>
      <c r="AV233" s="32"/>
      <c r="AW233" s="32"/>
      <c r="AX233" s="32"/>
    </row>
    <row r="234">
      <c r="A234" s="42" t="str">
        <f>IFERROR(__xludf.DUMMYFUNCTION("""COMPUTED_VALUE"""),"Sea Serpent Pauldrons")</f>
        <v>Sea Serpent Pauldrons</v>
      </c>
      <c r="B234" s="5" t="str">
        <f>IFERROR(__xludf.DUMMYFUNCTION("""COMPUTED_VALUE"""),"Shoulders")</f>
        <v>Shoulders</v>
      </c>
      <c r="C234" s="32"/>
      <c r="D234" s="5"/>
      <c r="E234" s="40">
        <f>IFERROR(__xludf.DUMMYFUNCTION("""COMPUTED_VALUE"""),100.0)</f>
        <v>100</v>
      </c>
      <c r="F234" s="40">
        <f>IFERROR(__xludf.DUMMYFUNCTION("""COMPUTED_VALUE"""),450000.0)</f>
        <v>450000</v>
      </c>
      <c r="G234" s="5" t="str">
        <f>IFERROR(__xludf.DUMMYFUNCTION("""COMPUTED_VALUE"""),"DEF")</f>
        <v>DEF</v>
      </c>
      <c r="H234" s="32">
        <f>IFERROR(__xludf.DUMMYFUNCTION("""COMPUTED_VALUE"""),2500.0)</f>
        <v>2500</v>
      </c>
      <c r="I234" s="32"/>
      <c r="J234" s="32"/>
      <c r="K234" s="32">
        <f>IFERROR(__xludf.DUMMYFUNCTION("""COMPUTED_VALUE"""),2500.0)</f>
        <v>2500</v>
      </c>
      <c r="L234" s="32"/>
      <c r="M234" s="32"/>
      <c r="N234" s="32"/>
      <c r="O234" s="32"/>
      <c r="P234" s="32"/>
      <c r="Q234" s="32"/>
      <c r="R234" s="32"/>
      <c r="S234" s="32"/>
      <c r="T234" s="32"/>
      <c r="U234" s="32"/>
      <c r="V234" s="32"/>
      <c r="W234" s="32"/>
      <c r="X234" s="32"/>
      <c r="Y234" s="32"/>
      <c r="Z234" s="32"/>
      <c r="AA234" s="32"/>
      <c r="AB234" s="32"/>
      <c r="AC234" s="32"/>
      <c r="AD234" s="42"/>
      <c r="AE234" s="32"/>
      <c r="AF234" s="32" t="str">
        <f>IFERROR(__xludf.DUMMYFUNCTION("""COMPUTED_VALUE"""),"++X2 additional water damage for self.")</f>
        <v>++X2 additional water damage for self.</v>
      </c>
      <c r="AG234" s="32"/>
      <c r="AH234" s="32" t="b">
        <f>IFERROR(__xludf.DUMMYFUNCTION("""COMPUTED_VALUE"""),FALSE)</f>
        <v>0</v>
      </c>
      <c r="AI234" s="32"/>
      <c r="AJ234" s="32"/>
      <c r="AK234" s="32"/>
      <c r="AL234" s="32"/>
      <c r="AM234" s="32"/>
      <c r="AN234" s="32"/>
      <c r="AO234" s="32"/>
      <c r="AP234" s="32"/>
      <c r="AQ234" s="32"/>
      <c r="AR234" s="32"/>
      <c r="AS234" s="32"/>
      <c r="AT234" s="32"/>
      <c r="AU234" s="32"/>
      <c r="AV234" s="32"/>
      <c r="AW234" s="32"/>
      <c r="AX234" s="32"/>
    </row>
    <row r="235">
      <c r="A235" s="5" t="str">
        <f>IFERROR(__xludf.DUMMYFUNCTION("""COMPUTED_VALUE"""),"Sea Serpent Vambrace")</f>
        <v>Sea Serpent Vambrace</v>
      </c>
      <c r="B235" s="5" t="str">
        <f>IFERROR(__xludf.DUMMYFUNCTION("""COMPUTED_VALUE"""),"Arms")</f>
        <v>Arms</v>
      </c>
      <c r="C235" s="32"/>
      <c r="D235" s="5"/>
      <c r="E235" s="40">
        <f>IFERROR(__xludf.DUMMYFUNCTION("""COMPUTED_VALUE"""),100.0)</f>
        <v>100</v>
      </c>
      <c r="F235" s="40">
        <f>IFERROR(__xludf.DUMMYFUNCTION("""COMPUTED_VALUE"""),450000.0)</f>
        <v>450000</v>
      </c>
      <c r="G235" s="41" t="str">
        <f>IFERROR(__xludf.DUMMYFUNCTION("""COMPUTED_VALUE"""),"DEF")</f>
        <v>DEF</v>
      </c>
      <c r="H235" s="32">
        <f>IFERROR(__xludf.DUMMYFUNCTION("""COMPUTED_VALUE"""),2500.0)</f>
        <v>2500</v>
      </c>
      <c r="I235" s="32"/>
      <c r="J235" s="41"/>
      <c r="K235" s="32">
        <f>IFERROR(__xludf.DUMMYFUNCTION("""COMPUTED_VALUE"""),2500.0)</f>
        <v>2500</v>
      </c>
      <c r="L235" s="32"/>
      <c r="M235" s="32"/>
      <c r="N235" s="32"/>
      <c r="O235" s="32"/>
      <c r="P235" s="32"/>
      <c r="Q235" s="32"/>
      <c r="R235" s="32"/>
      <c r="S235" s="32"/>
      <c r="T235" s="32"/>
      <c r="U235" s="32"/>
      <c r="V235" s="32"/>
      <c r="W235" s="32"/>
      <c r="X235" s="32"/>
      <c r="Y235" s="32"/>
      <c r="Z235" s="32"/>
      <c r="AA235" s="32"/>
      <c r="AB235" s="32"/>
      <c r="AC235" s="32"/>
      <c r="AD235" s="42"/>
      <c r="AE235" s="32"/>
      <c r="AF235" s="32" t="str">
        <f>IFERROR(__xludf.DUMMYFUNCTION("""COMPUTED_VALUE"""),"++X2 additional water damage for self.")</f>
        <v>++X2 additional water damage for self.</v>
      </c>
      <c r="AG235" s="32"/>
      <c r="AH235" s="32" t="b">
        <f>IFERROR(__xludf.DUMMYFUNCTION("""COMPUTED_VALUE"""),FALSE)</f>
        <v>0</v>
      </c>
      <c r="AI235" s="32"/>
      <c r="AJ235" s="32"/>
      <c r="AK235" s="32"/>
      <c r="AL235" s="32"/>
      <c r="AM235" s="32"/>
      <c r="AN235" s="32"/>
      <c r="AO235" s="32"/>
      <c r="AP235" s="32"/>
      <c r="AQ235" s="32"/>
      <c r="AR235" s="32"/>
      <c r="AS235" s="32"/>
      <c r="AT235" s="32"/>
      <c r="AU235" s="32"/>
      <c r="AV235" s="32"/>
      <c r="AW235" s="32"/>
      <c r="AX235" s="32"/>
    </row>
    <row r="236">
      <c r="A236" s="42" t="str">
        <f>IFERROR(__xludf.DUMMYFUNCTION("""COMPUTED_VALUE"""),"Sea Serpents Mythical Chestplate")</f>
        <v>Sea Serpents Mythical Chestplate</v>
      </c>
      <c r="B236" s="5" t="str">
        <f>IFERROR(__xludf.DUMMYFUNCTION("""COMPUTED_VALUE"""),"Torso")</f>
        <v>Torso</v>
      </c>
      <c r="C236" s="32"/>
      <c r="D236" s="5"/>
      <c r="E236" s="40">
        <f>IFERROR(__xludf.DUMMYFUNCTION("""COMPUTED_VALUE"""),200.0)</f>
        <v>200</v>
      </c>
      <c r="F236" s="40">
        <f>IFERROR(__xludf.DUMMYFUNCTION("""COMPUTED_VALUE"""),1900000.0)</f>
        <v>1900000</v>
      </c>
      <c r="G236" s="5" t="str">
        <f>IFERROR(__xludf.DUMMYFUNCTION("""COMPUTED_VALUE"""),"DEF")</f>
        <v>DEF</v>
      </c>
      <c r="H236" s="33">
        <f>IFERROR(__xludf.DUMMYFUNCTION("""COMPUTED_VALUE"""),5000.0)</f>
        <v>5000</v>
      </c>
      <c r="I236" s="32"/>
      <c r="J236" s="32"/>
      <c r="K236" s="32">
        <f>IFERROR(__xludf.DUMMYFUNCTION("""COMPUTED_VALUE"""),5000.0)</f>
        <v>5000</v>
      </c>
      <c r="L236" s="32"/>
      <c r="M236" s="32"/>
      <c r="N236" s="32"/>
      <c r="O236" s="32"/>
      <c r="P236" s="32"/>
      <c r="Q236" s="32"/>
      <c r="R236" s="32"/>
      <c r="S236" s="32"/>
      <c r="T236" s="32"/>
      <c r="U236" s="32"/>
      <c r="V236" s="32"/>
      <c r="W236" s="32"/>
      <c r="X236" s="32"/>
      <c r="Y236" s="32"/>
      <c r="Z236" s="32"/>
      <c r="AA236" s="32"/>
      <c r="AB236" s="32"/>
      <c r="AC236" s="32"/>
      <c r="AD236" s="5"/>
      <c r="AE236" s="32"/>
      <c r="AF236" s="32"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32"/>
      <c r="AH236" s="32" t="b">
        <f>IFERROR(__xludf.DUMMYFUNCTION("""COMPUTED_VALUE"""),FALSE)</f>
        <v>0</v>
      </c>
      <c r="AI236" s="32"/>
      <c r="AJ236" s="32"/>
      <c r="AK236" s="32"/>
      <c r="AL236" s="32"/>
      <c r="AM236" s="32"/>
      <c r="AN236" s="32"/>
      <c r="AO236" s="32"/>
      <c r="AP236" s="32"/>
      <c r="AQ236" s="32"/>
      <c r="AR236" s="32"/>
      <c r="AS236" s="32"/>
      <c r="AT236" s="32"/>
      <c r="AU236" s="32"/>
      <c r="AV236" s="32"/>
      <c r="AW236" s="32"/>
      <c r="AX236" s="32"/>
    </row>
    <row r="237">
      <c r="A237" s="42" t="str">
        <f>IFERROR(__xludf.DUMMYFUNCTION("""COMPUTED_VALUE"""),"Shadow Flute")</f>
        <v>Shadow Flute</v>
      </c>
      <c r="B237" s="5" t="str">
        <f>IFERROR(__xludf.DUMMYFUNCTION("""COMPUTED_VALUE"""),"Hand")</f>
        <v>Hand</v>
      </c>
      <c r="C237" s="32"/>
      <c r="D237" s="5"/>
      <c r="E237" s="40">
        <f>IFERROR(__xludf.DUMMYFUNCTION("""COMPUTED_VALUE"""),1.0)</f>
        <v>1</v>
      </c>
      <c r="F237" s="40">
        <f>IFERROR(__xludf.DUMMYFUNCTION("""COMPUTED_VALUE"""),0.0)</f>
        <v>0</v>
      </c>
      <c r="G237" s="5"/>
      <c r="H237" s="32"/>
      <c r="I237" s="32"/>
      <c r="J237" s="32"/>
      <c r="K237" s="32"/>
      <c r="L237" s="32"/>
      <c r="M237" s="32"/>
      <c r="N237" s="32"/>
      <c r="O237" s="32"/>
      <c r="P237" s="32"/>
      <c r="Q237" s="32"/>
      <c r="R237" s="32"/>
      <c r="S237" s="32"/>
      <c r="T237" s="32"/>
      <c r="U237" s="32"/>
      <c r="V237" s="32"/>
      <c r="W237" s="32"/>
      <c r="X237" s="32"/>
      <c r="Y237" s="32"/>
      <c r="Z237" s="32"/>
      <c r="AA237" s="32"/>
      <c r="AB237" s="32"/>
      <c r="AC237" s="32"/>
      <c r="AD237" s="42"/>
      <c r="AE237" s="32"/>
      <c r="AF237" s="32" t="str">
        <f>IFERROR(__xludf.DUMMYFUNCTION("""COMPUTED_VALUE"""),"++Can summon a chaotic shadow gnome to battle.")</f>
        <v>++Can summon a chaotic shadow gnome to battle.</v>
      </c>
      <c r="AG237" s="32" t="str">
        <f>IFERROR(__xludf.DUMMYFUNCTION("""COMPUTED_VALUE"""),"Land of Spira")</f>
        <v>Land of Spira</v>
      </c>
      <c r="AH237" s="32" t="b">
        <f>IFERROR(__xludf.DUMMYFUNCTION("""COMPUTED_VALUE"""),FALSE)</f>
        <v>0</v>
      </c>
      <c r="AI237" s="32"/>
      <c r="AJ237" s="32"/>
      <c r="AK237" s="32"/>
      <c r="AL237" s="32"/>
      <c r="AM237" s="32"/>
      <c r="AN237" s="32"/>
      <c r="AO237" s="32"/>
      <c r="AP237" s="32"/>
      <c r="AQ237" s="32"/>
      <c r="AR237" s="32"/>
      <c r="AS237" s="32"/>
      <c r="AT237" s="32"/>
      <c r="AU237" s="32"/>
      <c r="AV237" s="32"/>
      <c r="AW237" s="32"/>
      <c r="AX237" s="32"/>
    </row>
    <row r="238">
      <c r="A238" s="5" t="str">
        <f>IFERROR(__xludf.DUMMYFUNCTION("""COMPUTED_VALUE"""),"Shadow Kings Sword")</f>
        <v>Shadow Kings Sword</v>
      </c>
      <c r="B238" s="5" t="str">
        <f>IFERROR(__xludf.DUMMYFUNCTION("""COMPUTED_VALUE"""),"Hand")</f>
        <v>Hand</v>
      </c>
      <c r="C238" s="42"/>
      <c r="D238" s="5" t="str">
        <f>IFERROR(__xludf.DUMMYFUNCTION("""COMPUTED_VALUE"""),"Sword")</f>
        <v>Sword</v>
      </c>
      <c r="E238" s="40">
        <f>IFERROR(__xludf.DUMMYFUNCTION("""COMPUTED_VALUE"""),400.0)</f>
        <v>400</v>
      </c>
      <c r="F238" s="40">
        <f>IFERROR(__xludf.DUMMYFUNCTION("""COMPUTED_VALUE"""),7800000.0)</f>
        <v>7800000</v>
      </c>
      <c r="G238" s="5" t="str">
        <f>IFERROR(__xludf.DUMMYFUNCTION("""COMPUTED_VALUE"""),"DMG")</f>
        <v>DMG</v>
      </c>
      <c r="H238" s="32">
        <f>IFERROR(__xludf.DUMMYFUNCTION("""COMPUTED_VALUE"""),10000.0)</f>
        <v>10000</v>
      </c>
      <c r="I238" s="32"/>
      <c r="J238" s="32"/>
      <c r="K238" s="32"/>
      <c r="L238" s="32"/>
      <c r="M238" s="32"/>
      <c r="N238" s="32"/>
      <c r="O238" s="32">
        <f>IFERROR(__xludf.DUMMYFUNCTION("""COMPUTED_VALUE"""),5000.0)</f>
        <v>5000</v>
      </c>
      <c r="P238" s="32"/>
      <c r="Q238" s="32"/>
      <c r="R238" s="32">
        <f>IFERROR(__xludf.DUMMYFUNCTION("""COMPUTED_VALUE"""),5000.0)</f>
        <v>5000</v>
      </c>
      <c r="S238" s="32"/>
      <c r="T238" s="32"/>
      <c r="U238" s="32"/>
      <c r="V238" s="32"/>
      <c r="W238" s="32"/>
      <c r="X238" s="32"/>
      <c r="Y238" s="32"/>
      <c r="Z238" s="32"/>
      <c r="AA238" s="32"/>
      <c r="AB238" s="32"/>
      <c r="AC238" s="32"/>
      <c r="AD238" s="32"/>
      <c r="AE238" s="32"/>
      <c r="AF238" s="32"/>
      <c r="AG238" s="32" t="str">
        <f>IFERROR(__xludf.DUMMYFUNCTION("""COMPUTED_VALUE"""),"Land of Spira")</f>
        <v>Land of Spira</v>
      </c>
      <c r="AH238" s="32" t="b">
        <f>IFERROR(__xludf.DUMMYFUNCTION("""COMPUTED_VALUE"""),TRUE)</f>
        <v>1</v>
      </c>
      <c r="AI238" s="32"/>
      <c r="AJ238" s="32"/>
      <c r="AK238" s="32"/>
      <c r="AL238" s="32"/>
      <c r="AM238" s="32"/>
      <c r="AN238" s="32"/>
      <c r="AO238" s="32"/>
      <c r="AP238" s="32"/>
      <c r="AQ238" s="32"/>
      <c r="AR238" s="32"/>
      <c r="AS238" s="32"/>
      <c r="AT238" s="32"/>
      <c r="AU238" s="32"/>
      <c r="AV238" s="32"/>
      <c r="AW238" s="32"/>
      <c r="AX238" s="32"/>
    </row>
    <row r="239">
      <c r="A239" s="5" t="str">
        <f>IFERROR(__xludf.DUMMYFUNCTION("""COMPUTED_VALUE"""),"Shield of Guarding Smite")</f>
        <v>Shield of Guarding Smite</v>
      </c>
      <c r="B239" s="5" t="str">
        <f>IFERROR(__xludf.DUMMYFUNCTION("""COMPUTED_VALUE"""),"Hand")</f>
        <v>Hand</v>
      </c>
      <c r="C239" s="42"/>
      <c r="D239" s="5" t="str">
        <f>IFERROR(__xludf.DUMMYFUNCTION("""COMPUTED_VALUE"""),"Towershield")</f>
        <v>Towershield</v>
      </c>
      <c r="E239" s="40">
        <f>IFERROR(__xludf.DUMMYFUNCTION("""COMPUTED_VALUE"""),2000.0)</f>
        <v>2000</v>
      </c>
      <c r="F239" s="40">
        <f>IFERROR(__xludf.DUMMYFUNCTION("""COMPUTED_VALUE"""),1.99E8)</f>
        <v>199000000</v>
      </c>
      <c r="G239" s="5" t="str">
        <f>IFERROR(__xludf.DUMMYFUNCTION("""COMPUTED_VALUE"""),"DEF")</f>
        <v>DEF</v>
      </c>
      <c r="H239" s="33">
        <f>IFERROR(__xludf.DUMMYFUNCTION("""COMPUTED_VALUE"""),100000.0)</f>
        <v>100000</v>
      </c>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t="str">
        <f>IFERROR(__xludf.DUMMYFUNCTION("""COMPUTED_VALUE"""),"++75% chance to melt an enemies weapon that dealt damage to you. +-Cannot be duplicated")</f>
        <v>++75% chance to melt an enemies weapon that dealt damage to you. +-Cannot be duplicated</v>
      </c>
      <c r="AG239" s="32" t="str">
        <f>IFERROR(__xludf.DUMMYFUNCTION("""COMPUTED_VALUE"""),"Abstara")</f>
        <v>Abstara</v>
      </c>
      <c r="AH239" s="32" t="b">
        <f>IFERROR(__xludf.DUMMYFUNCTION("""COMPUTED_VALUE"""),TRUE)</f>
        <v>1</v>
      </c>
      <c r="AI239" s="32"/>
      <c r="AJ239" s="32"/>
      <c r="AK239" s="32"/>
      <c r="AL239" s="32"/>
      <c r="AM239" s="32"/>
      <c r="AN239" s="32"/>
      <c r="AO239" s="32"/>
      <c r="AP239" s="32"/>
      <c r="AQ239" s="32"/>
      <c r="AR239" s="32"/>
      <c r="AS239" s="32"/>
      <c r="AT239" s="32"/>
      <c r="AU239" s="32"/>
      <c r="AV239" s="32"/>
      <c r="AW239" s="32"/>
      <c r="AX239" s="32"/>
    </row>
    <row r="240">
      <c r="A240" s="5" t="str">
        <f>IFERROR(__xludf.DUMMYFUNCTION("""COMPUTED_VALUE"""),"Shield of Targeting")</f>
        <v>Shield of Targeting</v>
      </c>
      <c r="B240" s="5" t="str">
        <f>IFERROR(__xludf.DUMMYFUNCTION("""COMPUTED_VALUE"""),"Hand")</f>
        <v>Hand</v>
      </c>
      <c r="C240" s="32"/>
      <c r="D240" s="5" t="str">
        <f>IFERROR(__xludf.DUMMYFUNCTION("""COMPUTED_VALUE"""),"Buckler")</f>
        <v>Buckler</v>
      </c>
      <c r="E240" s="40">
        <f>IFERROR(__xludf.DUMMYFUNCTION("""COMPUTED_VALUE"""),20.0)</f>
        <v>20</v>
      </c>
      <c r="F240" s="40">
        <f>IFERROR(__xludf.DUMMYFUNCTION("""COMPUTED_VALUE"""),10000.0)</f>
        <v>10000</v>
      </c>
      <c r="G240" s="5" t="str">
        <f>IFERROR(__xludf.DUMMYFUNCTION("""COMPUTED_VALUE"""),"DEF")</f>
        <v>DEF</v>
      </c>
      <c r="H240" s="32">
        <f>IFERROR(__xludf.DUMMYFUNCTION("""COMPUTED_VALUE"""),1000.0)</f>
        <v>1000</v>
      </c>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t="str">
        <f>IFERROR(__xludf.DUMMYFUNCTION("""COMPUTED_VALUE"""),"++Target me you B**** - enemies will automatically target you no matter, Use intimidation for this item effect.")</f>
        <v>++Target me you B**** - enemies will automatically target you no matter, Use intimidation for this item effect.</v>
      </c>
      <c r="AG240" s="32" t="str">
        <f>IFERROR(__xludf.DUMMYFUNCTION("""COMPUTED_VALUE"""),"Land of Spira")</f>
        <v>Land of Spira</v>
      </c>
      <c r="AH240" s="32" t="b">
        <f>IFERROR(__xludf.DUMMYFUNCTION("""COMPUTED_VALUE"""),FALSE)</f>
        <v>0</v>
      </c>
      <c r="AI240" s="32"/>
      <c r="AJ240" s="32"/>
      <c r="AK240" s="32"/>
      <c r="AL240" s="32"/>
      <c r="AM240" s="32"/>
      <c r="AN240" s="32"/>
      <c r="AO240" s="32"/>
      <c r="AP240" s="32"/>
      <c r="AQ240" s="32"/>
      <c r="AR240" s="32"/>
      <c r="AS240" s="32"/>
      <c r="AT240" s="32"/>
      <c r="AU240" s="32"/>
      <c r="AV240" s="32"/>
      <c r="AW240" s="32"/>
      <c r="AX240" s="32"/>
    </row>
    <row r="241">
      <c r="A241" s="5" t="str">
        <f>IFERROR(__xludf.DUMMYFUNCTION("""COMPUTED_VALUE"""),"Shining Katana")</f>
        <v>Shining Katana</v>
      </c>
      <c r="B241" s="5" t="str">
        <f>IFERROR(__xludf.DUMMYFUNCTION("""COMPUTED_VALUE"""),"Hand")</f>
        <v>Hand</v>
      </c>
      <c r="C241" s="32"/>
      <c r="D241" s="5"/>
      <c r="E241" s="40">
        <f>IFERROR(__xludf.DUMMYFUNCTION("""COMPUTED_VALUE"""),200.0)</f>
        <v>200</v>
      </c>
      <c r="F241" s="40">
        <f>IFERROR(__xludf.DUMMYFUNCTION("""COMPUTED_VALUE"""),1900000.0)</f>
        <v>1900000</v>
      </c>
      <c r="G241" s="5" t="str">
        <f>IFERROR(__xludf.DUMMYFUNCTION("""COMPUTED_VALUE"""),"DMG")</f>
        <v>DMG</v>
      </c>
      <c r="H241" s="33">
        <f>IFERROR(__xludf.DUMMYFUNCTION("""COMPUTED_VALUE"""),10000.0)</f>
        <v>10000</v>
      </c>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t="str">
        <f>IFERROR(__xludf.DUMMYFUNCTION("""COMPUTED_VALUE"""),"++++500 bleeding damage p/r.")</f>
        <v>++++500 bleeding damage p/r.</v>
      </c>
      <c r="AG241" s="32" t="str">
        <f>IFERROR(__xludf.DUMMYFUNCTION("""COMPUTED_VALUE"""),"Land of Spira")</f>
        <v>Land of Spira</v>
      </c>
      <c r="AH241" s="32" t="b">
        <f>IFERROR(__xludf.DUMMYFUNCTION("""COMPUTED_VALUE"""),FALSE)</f>
        <v>0</v>
      </c>
      <c r="AI241" s="32"/>
      <c r="AJ241" s="32"/>
      <c r="AK241" s="32"/>
      <c r="AL241" s="32"/>
      <c r="AM241" s="32"/>
      <c r="AN241" s="32"/>
      <c r="AO241" s="32"/>
      <c r="AP241" s="32"/>
      <c r="AQ241" s="32"/>
      <c r="AR241" s="32"/>
      <c r="AS241" s="32"/>
      <c r="AT241" s="32"/>
      <c r="AU241" s="32"/>
      <c r="AV241" s="32"/>
      <c r="AW241" s="32"/>
      <c r="AX241" s="32"/>
    </row>
    <row r="242">
      <c r="A242" s="5" t="str">
        <f>IFERROR(__xludf.DUMMYFUNCTION("""COMPUTED_VALUE"""),"Shoes of Metal Harmony's")</f>
        <v>Shoes of Metal Harmony's</v>
      </c>
      <c r="B242" s="5" t="str">
        <f>IFERROR(__xludf.DUMMYFUNCTION("""COMPUTED_VALUE"""),"Feet")</f>
        <v>Feet</v>
      </c>
      <c r="C242" s="32"/>
      <c r="D242" s="5"/>
      <c r="E242" s="40">
        <f>IFERROR(__xludf.DUMMYFUNCTION("""COMPUTED_VALUE"""),200.0)</f>
        <v>200</v>
      </c>
      <c r="F242" s="40">
        <f>IFERROR(__xludf.DUMMYFUNCTION("""COMPUTED_VALUE"""),1900000.0)</f>
        <v>1900000</v>
      </c>
      <c r="G242" s="5" t="str">
        <f>IFERROR(__xludf.DUMMYFUNCTION("""COMPUTED_VALUE"""),"DEF")</f>
        <v>DEF</v>
      </c>
      <c r="H242" s="33">
        <f>IFERROR(__xludf.DUMMYFUNCTION("""COMPUTED_VALUE"""),10000.0)</f>
        <v>10000</v>
      </c>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t="str">
        <f>IFERROR(__xludf.DUMMYFUNCTION("""COMPUTED_VALUE"""),"++When dealing damage with an instrument you will regain hp equal to the damage you caused.")</f>
        <v>++When dealing damage with an instrument you will regain hp equal to the damage you caused.</v>
      </c>
      <c r="AG242" s="32" t="str">
        <f>IFERROR(__xludf.DUMMYFUNCTION("""COMPUTED_VALUE"""),"Land of Spira")</f>
        <v>Land of Spira</v>
      </c>
      <c r="AH242" s="32" t="b">
        <f>IFERROR(__xludf.DUMMYFUNCTION("""COMPUTED_VALUE"""),FALSE)</f>
        <v>0</v>
      </c>
      <c r="AI242" s="32"/>
      <c r="AJ242" s="32"/>
      <c r="AK242" s="32"/>
      <c r="AL242" s="32"/>
      <c r="AM242" s="32"/>
      <c r="AN242" s="32"/>
      <c r="AO242" s="32"/>
      <c r="AP242" s="32"/>
      <c r="AQ242" s="32"/>
      <c r="AR242" s="32"/>
      <c r="AS242" s="32"/>
      <c r="AT242" s="32"/>
      <c r="AU242" s="32"/>
      <c r="AV242" s="32"/>
      <c r="AW242" s="32"/>
      <c r="AX242" s="32"/>
    </row>
    <row r="243">
      <c r="A243" s="5" t="str">
        <f>IFERROR(__xludf.DUMMYFUNCTION("""COMPUTED_VALUE"""),"Shoes of Water Walking")</f>
        <v>Shoes of Water Walking</v>
      </c>
      <c r="B243" s="5" t="str">
        <f>IFERROR(__xludf.DUMMYFUNCTION("""COMPUTED_VALUE"""),"Feet")</f>
        <v>Feet</v>
      </c>
      <c r="C243" s="32"/>
      <c r="D243" s="5"/>
      <c r="E243" s="40">
        <f>IFERROR(__xludf.DUMMYFUNCTION("""COMPUTED_VALUE"""),200.0)</f>
        <v>200</v>
      </c>
      <c r="F243" s="40">
        <f>IFERROR(__xludf.DUMMYFUNCTION("""COMPUTED_VALUE"""),1900000.0)</f>
        <v>1900000</v>
      </c>
      <c r="G243" s="5" t="str">
        <f>IFERROR(__xludf.DUMMYFUNCTION("""COMPUTED_VALUE"""),"DEF")</f>
        <v>DEF</v>
      </c>
      <c r="H243" s="33">
        <f>IFERROR(__xludf.DUMMYFUNCTION("""COMPUTED_VALUE"""),5000.0)</f>
        <v>5000</v>
      </c>
      <c r="I243" s="32"/>
      <c r="J243" s="32"/>
      <c r="K243" s="32">
        <f>IFERROR(__xludf.DUMMYFUNCTION("""COMPUTED_VALUE"""),5000.0)</f>
        <v>5000</v>
      </c>
      <c r="L243" s="32"/>
      <c r="M243" s="32"/>
      <c r="N243" s="32"/>
      <c r="O243" s="32"/>
      <c r="P243" s="32"/>
      <c r="Q243" s="32"/>
      <c r="R243" s="32"/>
      <c r="S243" s="32"/>
      <c r="T243" s="32"/>
      <c r="U243" s="32"/>
      <c r="V243" s="32"/>
      <c r="W243" s="32"/>
      <c r="X243" s="32"/>
      <c r="Y243" s="32"/>
      <c r="Z243" s="32"/>
      <c r="AA243" s="32"/>
      <c r="AB243" s="32"/>
      <c r="AC243" s="32"/>
      <c r="AD243" s="5"/>
      <c r="AE243" s="32"/>
      <c r="AF243" s="32"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32" t="str">
        <f>IFERROR(__xludf.DUMMYFUNCTION("""COMPUTED_VALUE"""),"Land of Spira")</f>
        <v>Land of Spira</v>
      </c>
      <c r="AH243" s="32" t="b">
        <f>IFERROR(__xludf.DUMMYFUNCTION("""COMPUTED_VALUE"""),FALSE)</f>
        <v>0</v>
      </c>
      <c r="AI243" s="32"/>
      <c r="AJ243" s="32"/>
      <c r="AK243" s="32"/>
      <c r="AL243" s="32"/>
      <c r="AM243" s="32"/>
      <c r="AN243" s="32"/>
      <c r="AO243" s="32"/>
      <c r="AP243" s="32"/>
      <c r="AQ243" s="32"/>
      <c r="AR243" s="32"/>
      <c r="AS243" s="32"/>
      <c r="AT243" s="32"/>
      <c r="AU243" s="32"/>
      <c r="AV243" s="32"/>
      <c r="AW243" s="32"/>
      <c r="AX243" s="32"/>
    </row>
    <row r="244">
      <c r="A244" s="5" t="str">
        <f>IFERROR(__xludf.DUMMYFUNCTION("""COMPUTED_VALUE"""),"Short Spear")</f>
        <v>Short Spear</v>
      </c>
      <c r="B244" s="5" t="str">
        <f>IFERROR(__xludf.DUMMYFUNCTION("""COMPUTED_VALUE"""),"Hand")</f>
        <v>Hand</v>
      </c>
      <c r="C244" s="32"/>
      <c r="D244" s="5" t="str">
        <f>IFERROR(__xludf.DUMMYFUNCTION("""COMPUTED_VALUE"""),"Spear")</f>
        <v>Spear</v>
      </c>
      <c r="E244" s="40">
        <f>IFERROR(__xludf.DUMMYFUNCTION("""COMPUTED_VALUE"""),1.0)</f>
        <v>1</v>
      </c>
      <c r="F244" s="40">
        <f>IFERROR(__xludf.DUMMYFUNCTION("""COMPUTED_VALUE"""),0.0)</f>
        <v>0</v>
      </c>
      <c r="G244" s="5" t="str">
        <f>IFERROR(__xludf.DUMMYFUNCTION("""COMPUTED_VALUE"""),"DMG")</f>
        <v>DMG</v>
      </c>
      <c r="H244" s="32">
        <f>IFERROR(__xludf.DUMMYFUNCTION("""COMPUTED_VALUE"""),250.0)</f>
        <v>250</v>
      </c>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t="str">
        <f>IFERROR(__xludf.DUMMYFUNCTION("""COMPUTED_VALUE"""),"Land of Spira")</f>
        <v>Land of Spira</v>
      </c>
      <c r="AH244" s="32" t="b">
        <f>IFERROR(__xludf.DUMMYFUNCTION("""COMPUTED_VALUE"""),TRUE)</f>
        <v>1</v>
      </c>
      <c r="AI244" s="32"/>
      <c r="AJ244" s="32"/>
      <c r="AK244" s="32"/>
      <c r="AL244" s="32"/>
      <c r="AM244" s="32"/>
      <c r="AN244" s="32"/>
      <c r="AO244" s="32"/>
      <c r="AP244" s="32"/>
      <c r="AQ244" s="32"/>
      <c r="AR244" s="32"/>
      <c r="AS244" s="32"/>
      <c r="AT244" s="32"/>
      <c r="AU244" s="32"/>
      <c r="AV244" s="32"/>
      <c r="AW244" s="32"/>
      <c r="AX244" s="32"/>
    </row>
    <row r="245">
      <c r="A245" s="5" t="str">
        <f>IFERROR(__xludf.DUMMYFUNCTION("""COMPUTED_VALUE"""),"Shuriken")</f>
        <v>Shuriken</v>
      </c>
      <c r="B245" s="5" t="str">
        <f>IFERROR(__xludf.DUMMYFUNCTION("""COMPUTED_VALUE"""),"Hand")</f>
        <v>Hand</v>
      </c>
      <c r="C245" s="32"/>
      <c r="D245" s="5" t="str">
        <f>IFERROR(__xludf.DUMMYFUNCTION("""COMPUTED_VALUE"""),"Boomerang")</f>
        <v>Boomerang</v>
      </c>
      <c r="E245" s="40">
        <f>IFERROR(__xludf.DUMMYFUNCTION("""COMPUTED_VALUE"""),200.0)</f>
        <v>200</v>
      </c>
      <c r="F245" s="40">
        <f>IFERROR(__xludf.DUMMYFUNCTION("""COMPUTED_VALUE"""),1900000.0)</f>
        <v>1900000</v>
      </c>
      <c r="G245" s="5" t="str">
        <f>IFERROR(__xludf.DUMMYFUNCTION("""COMPUTED_VALUE"""),"DMG")</f>
        <v>DMG</v>
      </c>
      <c r="H245" s="33">
        <f>IFERROR(__xludf.DUMMYFUNCTION("""COMPUTED_VALUE"""),5000.0)</f>
        <v>5000</v>
      </c>
      <c r="I245" s="32"/>
      <c r="J245" s="32"/>
      <c r="K245" s="32"/>
      <c r="L245" s="32"/>
      <c r="M245" s="32"/>
      <c r="N245" s="32"/>
      <c r="O245" s="32"/>
      <c r="P245" s="32"/>
      <c r="Q245" s="32"/>
      <c r="R245" s="32"/>
      <c r="S245" s="32"/>
      <c r="T245" s="32"/>
      <c r="U245" s="32"/>
      <c r="V245" s="32"/>
      <c r="W245" s="32"/>
      <c r="X245" s="32"/>
      <c r="Y245" s="32">
        <f>IFERROR(__xludf.DUMMYFUNCTION("""COMPUTED_VALUE"""),5000.0)</f>
        <v>5000</v>
      </c>
      <c r="Z245" s="32"/>
      <c r="AA245" s="32"/>
      <c r="AB245" s="32"/>
      <c r="AC245" s="32"/>
      <c r="AD245" s="5"/>
      <c r="AE245" s="32"/>
      <c r="AF245" s="32" t="str">
        <f>IFERROR(__xludf.DUMMYFUNCTION("""COMPUTED_VALUE"""),"++Will return to you when thrown.")</f>
        <v>++Will return to you when thrown.</v>
      </c>
      <c r="AG245" s="32" t="str">
        <f>IFERROR(__xludf.DUMMYFUNCTION("""COMPUTED_VALUE"""),"Land of Spira")</f>
        <v>Land of Spira</v>
      </c>
      <c r="AH245" s="32" t="b">
        <f>IFERROR(__xludf.DUMMYFUNCTION("""COMPUTED_VALUE"""),FALSE)</f>
        <v>0</v>
      </c>
      <c r="AI245" s="32"/>
      <c r="AJ245" s="32"/>
      <c r="AK245" s="32"/>
      <c r="AL245" s="32"/>
      <c r="AM245" s="32"/>
      <c r="AN245" s="32"/>
      <c r="AO245" s="32"/>
      <c r="AP245" s="32"/>
      <c r="AQ245" s="32"/>
      <c r="AR245" s="32"/>
      <c r="AS245" s="32"/>
      <c r="AT245" s="32"/>
      <c r="AU245" s="32"/>
      <c r="AV245" s="32"/>
      <c r="AW245" s="32"/>
      <c r="AX245" s="32"/>
    </row>
    <row r="246">
      <c r="A246" s="5" t="str">
        <f>IFERROR(__xludf.DUMMYFUNCTION("""COMPUTED_VALUE"""),"Shuttering Cloak")</f>
        <v>Shuttering Cloak</v>
      </c>
      <c r="B246" s="5" t="str">
        <f>IFERROR(__xludf.DUMMYFUNCTION("""COMPUTED_VALUE"""),"Torso")</f>
        <v>Torso</v>
      </c>
      <c r="C246" s="5"/>
      <c r="D246" s="5"/>
      <c r="E246" s="40">
        <f>IFERROR(__xludf.DUMMYFUNCTION("""COMPUTED_VALUE"""),1.0)</f>
        <v>1</v>
      </c>
      <c r="F246" s="40">
        <f>IFERROR(__xludf.DUMMYFUNCTION("""COMPUTED_VALUE"""),0.0)</f>
        <v>0</v>
      </c>
      <c r="G246" s="5"/>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t="str">
        <f>IFERROR(__xludf.DUMMYFUNCTION("""COMPUTED_VALUE"""),"++Plus 10 Evasion and Mobility, +-You Cannot be unaffected by spells or attacks. +-Can only equip one")</f>
        <v>++Plus 10 Evasion and Mobility, +-You Cannot be unaffected by spells or attacks. +-Can only equip one</v>
      </c>
      <c r="AG246" s="32" t="str">
        <f>IFERROR(__xludf.DUMMYFUNCTION("""COMPUTED_VALUE"""),"Land of The Forgotten")</f>
        <v>Land of The Forgotten</v>
      </c>
      <c r="AH246" s="32" t="b">
        <f>IFERROR(__xludf.DUMMYFUNCTION("""COMPUTED_VALUE"""),FALSE)</f>
        <v>0</v>
      </c>
      <c r="AI246" s="32"/>
      <c r="AJ246" s="32"/>
      <c r="AK246" s="32"/>
      <c r="AL246" s="32"/>
      <c r="AM246" s="32"/>
      <c r="AN246" s="32"/>
      <c r="AO246" s="32"/>
      <c r="AP246" s="32"/>
      <c r="AQ246" s="32"/>
      <c r="AR246" s="32"/>
      <c r="AS246" s="32"/>
      <c r="AT246" s="32"/>
      <c r="AU246" s="32"/>
      <c r="AV246" s="32"/>
      <c r="AW246" s="32"/>
      <c r="AX246" s="32"/>
    </row>
    <row r="247">
      <c r="A247" s="5" t="str">
        <f>IFERROR(__xludf.DUMMYFUNCTION("""COMPUTED_VALUE"""),"Silver Armor")</f>
        <v>Silver Armor</v>
      </c>
      <c r="B247" s="5" t="str">
        <f>IFERROR(__xludf.DUMMYFUNCTION("""COMPUTED_VALUE"""),"Torso")</f>
        <v>Torso</v>
      </c>
      <c r="C247" s="32"/>
      <c r="D247" s="5"/>
      <c r="E247" s="40">
        <f>IFERROR(__xludf.DUMMYFUNCTION("""COMPUTED_VALUE"""),1.0)</f>
        <v>1</v>
      </c>
      <c r="F247" s="40">
        <f>IFERROR(__xludf.DUMMYFUNCTION("""COMPUTED_VALUE"""),0.0)</f>
        <v>0</v>
      </c>
      <c r="G247" s="5" t="str">
        <f>IFERROR(__xludf.DUMMYFUNCTION("""COMPUTED_VALUE"""),"DEF")</f>
        <v>DEF</v>
      </c>
      <c r="H247" s="32">
        <f>IFERROR(__xludf.DUMMYFUNCTION("""COMPUTED_VALUE"""),30.0)</f>
        <v>30</v>
      </c>
      <c r="I247" s="32"/>
      <c r="J247" s="32"/>
      <c r="K247" s="32"/>
      <c r="L247" s="32"/>
      <c r="M247" s="32"/>
      <c r="N247" s="32"/>
      <c r="O247" s="32"/>
      <c r="P247" s="32"/>
      <c r="Q247" s="32"/>
      <c r="R247" s="32"/>
      <c r="S247" s="32"/>
      <c r="T247" s="32"/>
      <c r="U247" s="32"/>
      <c r="V247" s="32"/>
      <c r="W247" s="32"/>
      <c r="X247" s="32"/>
      <c r="Y247" s="32"/>
      <c r="Z247" s="32"/>
      <c r="AA247" s="32"/>
      <c r="AB247" s="32"/>
      <c r="AC247" s="32"/>
      <c r="AD247" s="5"/>
      <c r="AE247" s="32"/>
      <c r="AF247" s="32"/>
      <c r="AG247" s="32" t="str">
        <f>IFERROR(__xludf.DUMMYFUNCTION("""COMPUTED_VALUE"""),"Land of Spira")</f>
        <v>Land of Spira</v>
      </c>
      <c r="AH247" s="32" t="b">
        <f>IFERROR(__xludf.DUMMYFUNCTION("""COMPUTED_VALUE"""),TRUE)</f>
        <v>1</v>
      </c>
      <c r="AI247" s="32"/>
      <c r="AJ247" s="32"/>
      <c r="AK247" s="32"/>
      <c r="AL247" s="32"/>
      <c r="AM247" s="32"/>
      <c r="AN247" s="32"/>
      <c r="AO247" s="32"/>
      <c r="AP247" s="32"/>
      <c r="AQ247" s="32"/>
      <c r="AR247" s="32"/>
      <c r="AS247" s="32"/>
      <c r="AT247" s="32"/>
      <c r="AU247" s="32"/>
      <c r="AV247" s="32"/>
      <c r="AW247" s="32"/>
      <c r="AX247" s="32"/>
    </row>
    <row r="248">
      <c r="A248" s="5" t="str">
        <f>IFERROR(__xludf.DUMMYFUNCTION("""COMPUTED_VALUE"""),"Silver Katana")</f>
        <v>Silver Katana</v>
      </c>
      <c r="B248" s="5" t="str">
        <f>IFERROR(__xludf.DUMMYFUNCTION("""COMPUTED_VALUE"""),"Hand")</f>
        <v>Hand</v>
      </c>
      <c r="C248" s="32"/>
      <c r="D248" s="5" t="str">
        <f>IFERROR(__xludf.DUMMYFUNCTION("""COMPUTED_VALUE"""),"Sword")</f>
        <v>Sword</v>
      </c>
      <c r="E248" s="40">
        <f>IFERROR(__xludf.DUMMYFUNCTION("""COMPUTED_VALUE"""),200.0)</f>
        <v>200</v>
      </c>
      <c r="F248" s="40">
        <f>IFERROR(__xludf.DUMMYFUNCTION("""COMPUTED_VALUE"""),1900000.0)</f>
        <v>1900000</v>
      </c>
      <c r="G248" s="5" t="str">
        <f>IFERROR(__xludf.DUMMYFUNCTION("""COMPUTED_VALUE"""),"DMG")</f>
        <v>DMG</v>
      </c>
      <c r="H248" s="33">
        <f>IFERROR(__xludf.DUMMYFUNCTION("""COMPUTED_VALUE"""),10000.0)</f>
        <v>10000</v>
      </c>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t="str">
        <f>IFERROR(__xludf.DUMMYFUNCTION("""COMPUTED_VALUE"""),"++Causes Blindness 3")</f>
        <v>++Causes Blindness 3</v>
      </c>
      <c r="AG248" s="32" t="str">
        <f>IFERROR(__xludf.DUMMYFUNCTION("""COMPUTED_VALUE"""),"Land of Spira")</f>
        <v>Land of Spira</v>
      </c>
      <c r="AH248" s="32" t="b">
        <f>IFERROR(__xludf.DUMMYFUNCTION("""COMPUTED_VALUE"""),FALSE)</f>
        <v>0</v>
      </c>
      <c r="AI248" s="32"/>
      <c r="AJ248" s="32"/>
      <c r="AK248" s="32"/>
      <c r="AL248" s="32"/>
      <c r="AM248" s="32"/>
      <c r="AN248" s="32"/>
      <c r="AO248" s="32"/>
      <c r="AP248" s="32"/>
      <c r="AQ248" s="32"/>
      <c r="AR248" s="32"/>
      <c r="AS248" s="32"/>
      <c r="AT248" s="32"/>
      <c r="AU248" s="32"/>
      <c r="AV248" s="32"/>
      <c r="AW248" s="32"/>
      <c r="AX248" s="32"/>
    </row>
    <row r="249">
      <c r="A249" s="5" t="str">
        <f>IFERROR(__xludf.DUMMYFUNCTION("""COMPUTED_VALUE"""),"Silver Knife")</f>
        <v>Silver Knife</v>
      </c>
      <c r="B249" s="5" t="str">
        <f>IFERROR(__xludf.DUMMYFUNCTION("""COMPUTED_VALUE"""),"Hand")</f>
        <v>Hand</v>
      </c>
      <c r="C249" s="32"/>
      <c r="D249" s="5" t="str">
        <f>IFERROR(__xludf.DUMMYFUNCTION("""COMPUTED_VALUE"""),"Knife")</f>
        <v>Knife</v>
      </c>
      <c r="E249" s="40">
        <f>IFERROR(__xludf.DUMMYFUNCTION("""COMPUTED_VALUE"""),200.0)</f>
        <v>200</v>
      </c>
      <c r="F249" s="40">
        <f>IFERROR(__xludf.DUMMYFUNCTION("""COMPUTED_VALUE"""),1900000.0)</f>
        <v>1900000</v>
      </c>
      <c r="G249" s="5" t="str">
        <f>IFERROR(__xludf.DUMMYFUNCTION("""COMPUTED_VALUE"""),"DMG")</f>
        <v>DMG</v>
      </c>
      <c r="H249" s="32">
        <f>IFERROR(__xludf.DUMMYFUNCTION("""COMPUTED_VALUE"""),10000.0)</f>
        <v>10000</v>
      </c>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t="str">
        <f>IFERROR(__xludf.DUMMYFUNCTION("""COMPUTED_VALUE"""),"Land of Spira")</f>
        <v>Land of Spira</v>
      </c>
      <c r="AH249" s="32" t="b">
        <f>IFERROR(__xludf.DUMMYFUNCTION("""COMPUTED_VALUE"""),TRUE)</f>
        <v>1</v>
      </c>
      <c r="AI249" s="32"/>
      <c r="AJ249" s="32"/>
      <c r="AK249" s="32"/>
      <c r="AL249" s="32"/>
      <c r="AM249" s="32"/>
      <c r="AN249" s="32"/>
      <c r="AO249" s="32"/>
      <c r="AP249" s="32"/>
      <c r="AQ249" s="32"/>
      <c r="AR249" s="32"/>
      <c r="AS249" s="32"/>
      <c r="AT249" s="32"/>
      <c r="AU249" s="32"/>
      <c r="AV249" s="32"/>
      <c r="AW249" s="32"/>
      <c r="AX249" s="32"/>
    </row>
    <row r="250">
      <c r="A250" s="5" t="str">
        <f>IFERROR(__xludf.DUMMYFUNCTION("""COMPUTED_VALUE"""),"Skull Cleaver")</f>
        <v>Skull Cleaver</v>
      </c>
      <c r="B250" s="5" t="str">
        <f>IFERROR(__xludf.DUMMYFUNCTION("""COMPUTED_VALUE"""),"Hand")</f>
        <v>Hand</v>
      </c>
      <c r="C250" s="32"/>
      <c r="D250" s="5" t="str">
        <f>IFERROR(__xludf.DUMMYFUNCTION("""COMPUTED_VALUE"""),"Sword")</f>
        <v>Sword</v>
      </c>
      <c r="E250" s="40">
        <f>IFERROR(__xludf.DUMMYFUNCTION("""COMPUTED_VALUE"""),1000.0)</f>
        <v>1000</v>
      </c>
      <c r="F250" s="40">
        <f>IFERROR(__xludf.DUMMYFUNCTION("""COMPUTED_VALUE"""),4.95E7)</f>
        <v>49500000</v>
      </c>
      <c r="G250" s="5" t="str">
        <f>IFERROR(__xludf.DUMMYFUNCTION("""COMPUTED_VALUE"""),"DMG")</f>
        <v>DMG</v>
      </c>
      <c r="H250" s="33">
        <f>IFERROR(__xludf.DUMMYFUNCTION("""COMPUTED_VALUE"""),30000.0)</f>
        <v>30000</v>
      </c>
      <c r="I250" s="32"/>
      <c r="J250" s="32"/>
      <c r="K250" s="32"/>
      <c r="L250" s="32"/>
      <c r="M250" s="32"/>
      <c r="N250" s="32"/>
      <c r="O250" s="33">
        <f>IFERROR(__xludf.DUMMYFUNCTION("""COMPUTED_VALUE"""),20000.0)</f>
        <v>20000</v>
      </c>
      <c r="P250" s="32"/>
      <c r="Q250" s="32"/>
      <c r="R250" s="32"/>
      <c r="S250" s="32"/>
      <c r="T250" s="32"/>
      <c r="U250" s="32"/>
      <c r="V250" s="32"/>
      <c r="W250" s="32"/>
      <c r="X250" s="32"/>
      <c r="Y250" s="32"/>
      <c r="Z250" s="32"/>
      <c r="AA250" s="32"/>
      <c r="AB250" s="32"/>
      <c r="AC250" s="32"/>
      <c r="AD250" s="42"/>
      <c r="AE250" s="32"/>
      <c r="AF250" s="32" t="str">
        <f>IFERROR(__xludf.DUMMYFUNCTION("""COMPUTED_VALUE"""),"++75% Chance of instant death.")</f>
        <v>++75% Chance of instant death.</v>
      </c>
      <c r="AG250" s="32" t="str">
        <f>IFERROR(__xludf.DUMMYFUNCTION("""COMPUTED_VALUE"""),"Abstara")</f>
        <v>Abstara</v>
      </c>
      <c r="AH250" s="32" t="b">
        <f>IFERROR(__xludf.DUMMYFUNCTION("""COMPUTED_VALUE"""),TRUE)</f>
        <v>1</v>
      </c>
      <c r="AI250" s="32"/>
      <c r="AJ250" s="32"/>
      <c r="AK250" s="32"/>
      <c r="AL250" s="32"/>
      <c r="AM250" s="32"/>
      <c r="AN250" s="32"/>
      <c r="AO250" s="32"/>
      <c r="AP250" s="32"/>
      <c r="AQ250" s="32"/>
      <c r="AR250" s="32"/>
      <c r="AS250" s="32"/>
      <c r="AT250" s="32"/>
      <c r="AU250" s="32"/>
      <c r="AV250" s="32"/>
      <c r="AW250" s="32"/>
      <c r="AX250" s="32"/>
    </row>
    <row r="251">
      <c r="A251" s="5" t="str">
        <f>IFERROR(__xludf.DUMMYFUNCTION("""COMPUTED_VALUE"""),"Skull of the many Kings")</f>
        <v>Skull of the many Kings</v>
      </c>
      <c r="B251" s="5" t="str">
        <f>IFERROR(__xludf.DUMMYFUNCTION("""COMPUTED_VALUE"""),"Head")</f>
        <v>Head</v>
      </c>
      <c r="C251" s="32"/>
      <c r="D251" s="5"/>
      <c r="E251" s="40">
        <f>IFERROR(__xludf.DUMMYFUNCTION("""COMPUTED_VALUE"""),1.0)</f>
        <v>1</v>
      </c>
      <c r="F251" s="40">
        <f>IFERROR(__xludf.DUMMYFUNCTION("""COMPUTED_VALUE"""),0.0)</f>
        <v>0</v>
      </c>
      <c r="G251" s="5" t="str">
        <f>IFERROR(__xludf.DUMMYFUNCTION("""COMPUTED_VALUE"""),"DEF")</f>
        <v>DEF</v>
      </c>
      <c r="H251" s="32">
        <f>IFERROR(__xludf.DUMMYFUNCTION("""COMPUTED_VALUE"""),300.0)</f>
        <v>300</v>
      </c>
      <c r="I251" s="32"/>
      <c r="J251" s="32"/>
      <c r="K251" s="32"/>
      <c r="L251" s="32"/>
      <c r="M251" s="32"/>
      <c r="N251" s="32"/>
      <c r="O251" s="32"/>
      <c r="P251" s="32"/>
      <c r="Q251" s="32"/>
      <c r="R251" s="32"/>
      <c r="S251" s="32"/>
      <c r="T251" s="32"/>
      <c r="U251" s="32"/>
      <c r="V251" s="32"/>
      <c r="W251" s="32"/>
      <c r="X251" s="32"/>
      <c r="Y251" s="32"/>
      <c r="Z251" s="32"/>
      <c r="AA251" s="32"/>
      <c r="AB251" s="32"/>
      <c r="AC251" s="32"/>
      <c r="AD251" s="42"/>
      <c r="AE251" s="32"/>
      <c r="AF251" s="32" t="str">
        <f>IFERROR(__xludf.DUMMYFUNCTION("""COMPUTED_VALUE"""),"++Immunity to all dark damage")</f>
        <v>++Immunity to all dark damage</v>
      </c>
      <c r="AG251" s="32" t="str">
        <f>IFERROR(__xludf.DUMMYFUNCTION("""COMPUTED_VALUE"""),"Land of Spira")</f>
        <v>Land of Spira</v>
      </c>
      <c r="AH251" s="32" t="b">
        <f>IFERROR(__xludf.DUMMYFUNCTION("""COMPUTED_VALUE"""),FALSE)</f>
        <v>0</v>
      </c>
      <c r="AI251" s="32"/>
      <c r="AJ251" s="32"/>
      <c r="AK251" s="32"/>
      <c r="AL251" s="32"/>
      <c r="AM251" s="32"/>
      <c r="AN251" s="32"/>
      <c r="AO251" s="32"/>
      <c r="AP251" s="32"/>
      <c r="AQ251" s="32"/>
      <c r="AR251" s="32"/>
      <c r="AS251" s="32"/>
      <c r="AT251" s="32"/>
      <c r="AU251" s="32"/>
      <c r="AV251" s="32"/>
      <c r="AW251" s="32"/>
      <c r="AX251" s="32"/>
    </row>
    <row r="252">
      <c r="A252" s="5" t="str">
        <f>IFERROR(__xludf.DUMMYFUNCTION("""COMPUTED_VALUE"""),"Skull Ring")</f>
        <v>Skull Ring</v>
      </c>
      <c r="B252" s="5" t="str">
        <f>IFERROR(__xludf.DUMMYFUNCTION("""COMPUTED_VALUE"""),"Ring")</f>
        <v>Ring</v>
      </c>
      <c r="C252" s="32"/>
      <c r="D252" s="5"/>
      <c r="E252" s="40">
        <f>IFERROR(__xludf.DUMMYFUNCTION("""COMPUTED_VALUE"""),1.0)</f>
        <v>1</v>
      </c>
      <c r="F252" s="40">
        <f>IFERROR(__xludf.DUMMYFUNCTION("""COMPUTED_VALUE"""),0.0)</f>
        <v>0</v>
      </c>
      <c r="G252" s="41"/>
      <c r="H252" s="32"/>
      <c r="I252" s="32"/>
      <c r="J252" s="32"/>
      <c r="K252" s="32"/>
      <c r="L252" s="32"/>
      <c r="M252" s="32"/>
      <c r="N252" s="32"/>
      <c r="O252" s="32"/>
      <c r="P252" s="32"/>
      <c r="Q252" s="32"/>
      <c r="R252" s="32"/>
      <c r="S252" s="32"/>
      <c r="T252" s="32"/>
      <c r="U252" s="32"/>
      <c r="V252" s="32"/>
      <c r="W252" s="32"/>
      <c r="X252" s="32"/>
      <c r="Y252" s="32"/>
      <c r="Z252" s="32"/>
      <c r="AA252" s="32"/>
      <c r="AB252" s="32"/>
      <c r="AC252" s="32"/>
      <c r="AD252" s="42"/>
      <c r="AE252" s="32"/>
      <c r="AF252" s="32" t="str">
        <f>IFERROR(__xludf.DUMMYFUNCTION("""COMPUTED_VALUE"""),"++Increase damage of all dark spells and weapons by X2")</f>
        <v>++Increase damage of all dark spells and weapons by X2</v>
      </c>
      <c r="AG252" s="32" t="str">
        <f>IFERROR(__xludf.DUMMYFUNCTION("""COMPUTED_VALUE"""),"Land of Spira")</f>
        <v>Land of Spira</v>
      </c>
      <c r="AH252" s="32" t="b">
        <f>IFERROR(__xludf.DUMMYFUNCTION("""COMPUTED_VALUE"""),FALSE)</f>
        <v>0</v>
      </c>
      <c r="AI252" s="32"/>
      <c r="AJ252" s="32"/>
      <c r="AK252" s="32"/>
      <c r="AL252" s="32"/>
      <c r="AM252" s="32"/>
      <c r="AN252" s="32"/>
      <c r="AO252" s="32"/>
      <c r="AP252" s="32"/>
      <c r="AQ252" s="32"/>
      <c r="AR252" s="32"/>
      <c r="AS252" s="32"/>
      <c r="AT252" s="32"/>
      <c r="AU252" s="32"/>
      <c r="AV252" s="32"/>
      <c r="AW252" s="32"/>
      <c r="AX252" s="32"/>
    </row>
    <row r="253">
      <c r="A253" s="5" t="str">
        <f>IFERROR(__xludf.DUMMYFUNCTION("""COMPUTED_VALUE"""),"Spear")</f>
        <v>Spear</v>
      </c>
      <c r="B253" s="5" t="str">
        <f>IFERROR(__xludf.DUMMYFUNCTION("""COMPUTED_VALUE"""),"Hand")</f>
        <v>Hand</v>
      </c>
      <c r="C253" s="32"/>
      <c r="D253" s="5" t="str">
        <f>IFERROR(__xludf.DUMMYFUNCTION("""COMPUTED_VALUE"""),"Spear")</f>
        <v>Spear</v>
      </c>
      <c r="E253" s="40">
        <f>IFERROR(__xludf.DUMMYFUNCTION("""COMPUTED_VALUE"""),1.0)</f>
        <v>1</v>
      </c>
      <c r="F253" s="40">
        <f>IFERROR(__xludf.DUMMYFUNCTION("""COMPUTED_VALUE"""),0.0)</f>
        <v>0</v>
      </c>
      <c r="G253" s="5" t="str">
        <f>IFERROR(__xludf.DUMMYFUNCTION("""COMPUTED_VALUE"""),"DMG")</f>
        <v>DMG</v>
      </c>
      <c r="H253" s="32">
        <f>IFERROR(__xludf.DUMMYFUNCTION("""COMPUTED_VALUE"""),100.0)</f>
        <v>100</v>
      </c>
      <c r="I253" s="32"/>
      <c r="J253" s="32"/>
      <c r="K253" s="32"/>
      <c r="L253" s="32"/>
      <c r="M253" s="32"/>
      <c r="N253" s="32"/>
      <c r="O253" s="32"/>
      <c r="P253" s="32"/>
      <c r="Q253" s="32"/>
      <c r="R253" s="32"/>
      <c r="S253" s="32"/>
      <c r="T253" s="32"/>
      <c r="U253" s="32"/>
      <c r="V253" s="32"/>
      <c r="W253" s="32"/>
      <c r="X253" s="32"/>
      <c r="Y253" s="32"/>
      <c r="Z253" s="32"/>
      <c r="AA253" s="32"/>
      <c r="AB253" s="32"/>
      <c r="AC253" s="32"/>
      <c r="AD253" s="42"/>
      <c r="AE253" s="32"/>
      <c r="AF253" s="32"/>
      <c r="AG253" s="32" t="str">
        <f>IFERROR(__xludf.DUMMYFUNCTION("""COMPUTED_VALUE"""),"Land of Spira")</f>
        <v>Land of Spira</v>
      </c>
      <c r="AH253" s="32" t="b">
        <f>IFERROR(__xludf.DUMMYFUNCTION("""COMPUTED_VALUE"""),TRUE)</f>
        <v>1</v>
      </c>
      <c r="AI253" s="32"/>
      <c r="AJ253" s="32"/>
      <c r="AK253" s="32"/>
      <c r="AL253" s="32"/>
      <c r="AM253" s="32"/>
      <c r="AN253" s="32"/>
      <c r="AO253" s="32"/>
      <c r="AP253" s="32"/>
      <c r="AQ253" s="32"/>
      <c r="AR253" s="32"/>
      <c r="AS253" s="32"/>
      <c r="AT253" s="32"/>
      <c r="AU253" s="32"/>
      <c r="AV253" s="32"/>
      <c r="AW253" s="32"/>
      <c r="AX253" s="32"/>
    </row>
    <row r="254">
      <c r="A254" s="42" t="str">
        <f>IFERROR(__xludf.DUMMYFUNCTION("""COMPUTED_VALUE"""),"Spear Of Assal ")</f>
        <v>Spear Of Assal </v>
      </c>
      <c r="B254" s="5" t="str">
        <f>IFERROR(__xludf.DUMMYFUNCTION("""COMPUTED_VALUE"""),"Hand")</f>
        <v>Hand</v>
      </c>
      <c r="C254" s="3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5" t="str">
        <f>IFERROR(__xludf.DUMMYFUNCTION("""COMPUTED_VALUE"""),"Spear")</f>
        <v>Spear</v>
      </c>
      <c r="E254" s="40">
        <f>IFERROR(__xludf.DUMMYFUNCTION("""COMPUTED_VALUE"""),200.0)</f>
        <v>200</v>
      </c>
      <c r="F254" s="40">
        <f>IFERROR(__xludf.DUMMYFUNCTION("""COMPUTED_VALUE"""),4.485E8)</f>
        <v>448500000</v>
      </c>
      <c r="G254" s="41" t="str">
        <f>IFERROR(__xludf.DUMMYFUNCTION("""COMPUTED_VALUE"""),"DMG")</f>
        <v>DMG</v>
      </c>
      <c r="H254" s="33">
        <f>IFERROR(__xludf.DUMMYFUNCTION("""COMPUTED_VALUE"""),50000.0)</f>
        <v>50000</v>
      </c>
      <c r="I254" s="33">
        <f>IFERROR(__xludf.DUMMYFUNCTION("""COMPUTED_VALUE"""),50000.0)</f>
        <v>50000</v>
      </c>
      <c r="J254" s="32"/>
      <c r="K254" s="32"/>
      <c r="L254" s="32"/>
      <c r="M254" s="32"/>
      <c r="N254" s="32"/>
      <c r="O254" s="32"/>
      <c r="P254" s="32"/>
      <c r="Q254" s="32"/>
      <c r="R254" s="32"/>
      <c r="S254" s="32"/>
      <c r="T254" s="32"/>
      <c r="U254" s="32"/>
      <c r="V254" s="32"/>
      <c r="W254" s="32"/>
      <c r="X254" s="32"/>
      <c r="Y254" s="32"/>
      <c r="Z254" s="32"/>
      <c r="AA254" s="32"/>
      <c r="AB254" s="32"/>
      <c r="AC254" s="33">
        <f>IFERROR(__xludf.DUMMYFUNCTION("""COMPUTED_VALUE"""),50000.0)</f>
        <v>50000</v>
      </c>
      <c r="AD254" s="32"/>
      <c r="AE254" s="32"/>
      <c r="AF254" s="32"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32" t="str">
        <f>IFERROR(__xludf.DUMMYFUNCTION("""COMPUTED_VALUE"""),"Land of Spira")</f>
        <v>Land of Spira</v>
      </c>
      <c r="AH254" s="32" t="b">
        <f>IFERROR(__xludf.DUMMYFUNCTION("""COMPUTED_VALUE"""),FALSE)</f>
        <v>0</v>
      </c>
      <c r="AI254" s="32"/>
      <c r="AJ254" s="32"/>
      <c r="AK254" s="32"/>
      <c r="AL254" s="32"/>
      <c r="AM254" s="32"/>
      <c r="AN254" s="32"/>
      <c r="AO254" s="32"/>
      <c r="AP254" s="32"/>
      <c r="AQ254" s="32"/>
      <c r="AR254" s="32"/>
      <c r="AS254" s="32"/>
      <c r="AT254" s="32"/>
      <c r="AU254" s="32"/>
      <c r="AV254" s="32"/>
      <c r="AW254" s="32"/>
      <c r="AX254" s="32"/>
    </row>
    <row r="255">
      <c r="A255" s="42" t="str">
        <f>IFERROR(__xludf.DUMMYFUNCTION("""COMPUTED_VALUE"""),"Spiked Armor")</f>
        <v>Spiked Armor</v>
      </c>
      <c r="B255" s="5" t="str">
        <f>IFERROR(__xludf.DUMMYFUNCTION("""COMPUTED_VALUE"""),"Torso")</f>
        <v>Torso</v>
      </c>
      <c r="C255" s="32"/>
      <c r="D255" s="5"/>
      <c r="E255" s="40">
        <f>IFERROR(__xludf.DUMMYFUNCTION("""COMPUTED_VALUE"""),1.0)</f>
        <v>1</v>
      </c>
      <c r="F255" s="40">
        <f>IFERROR(__xludf.DUMMYFUNCTION("""COMPUTED_VALUE"""),0.0)</f>
        <v>0</v>
      </c>
      <c r="G255" s="41" t="str">
        <f>IFERROR(__xludf.DUMMYFUNCTION("""COMPUTED_VALUE"""),"DEF")</f>
        <v>DEF</v>
      </c>
      <c r="H255" s="5">
        <f>IFERROR(__xludf.DUMMYFUNCTION("""COMPUTED_VALUE"""),100.0)</f>
        <v>100</v>
      </c>
      <c r="I255" s="32"/>
      <c r="J255" s="32"/>
      <c r="K255" s="32"/>
      <c r="L255" s="32"/>
      <c r="M255" s="32"/>
      <c r="N255" s="32"/>
      <c r="O255" s="32"/>
      <c r="P255" s="32"/>
      <c r="Q255" s="32"/>
      <c r="R255" s="32"/>
      <c r="S255" s="32"/>
      <c r="T255" s="32"/>
      <c r="U255" s="32"/>
      <c r="V255" s="32"/>
      <c r="W255" s="32"/>
      <c r="X255" s="32"/>
      <c r="Y255" s="32"/>
      <c r="Z255" s="32"/>
      <c r="AA255" s="32"/>
      <c r="AB255" s="32"/>
      <c r="AC255" s="32"/>
      <c r="AD255" s="42"/>
      <c r="AE255" s="32"/>
      <c r="AF255" s="32" t="str">
        <f>IFERROR(__xludf.DUMMYFUNCTION("""COMPUTED_VALUE"""),"++Used for both offense and defense. ++Enemies take half the damage they caused, when they attack you.")</f>
        <v>++Used for both offense and defense. ++Enemies take half the damage they caused, when they attack you.</v>
      </c>
      <c r="AG255" s="32" t="str">
        <f>IFERROR(__xludf.DUMMYFUNCTION("""COMPUTED_VALUE"""),"Land of Spira")</f>
        <v>Land of Spira</v>
      </c>
      <c r="AH255" s="32" t="b">
        <f>IFERROR(__xludf.DUMMYFUNCTION("""COMPUTED_VALUE"""),FALSE)</f>
        <v>0</v>
      </c>
      <c r="AI255" s="32"/>
      <c r="AJ255" s="32"/>
      <c r="AK255" s="32"/>
      <c r="AL255" s="32"/>
      <c r="AM255" s="32"/>
      <c r="AN255" s="32"/>
      <c r="AO255" s="32"/>
      <c r="AP255" s="32"/>
      <c r="AQ255" s="32"/>
      <c r="AR255" s="32"/>
      <c r="AS255" s="32"/>
      <c r="AT255" s="32"/>
      <c r="AU255" s="32"/>
      <c r="AV255" s="32"/>
      <c r="AW255" s="32"/>
      <c r="AX255" s="32"/>
    </row>
    <row r="256">
      <c r="A256" s="42" t="str">
        <f>IFERROR(__xludf.DUMMYFUNCTION("""COMPUTED_VALUE"""),"Spiny Shield")</f>
        <v>Spiny Shield</v>
      </c>
      <c r="B256" s="5" t="str">
        <f>IFERROR(__xludf.DUMMYFUNCTION("""COMPUTED_VALUE"""),"Hand")</f>
        <v>Hand</v>
      </c>
      <c r="C256" s="32"/>
      <c r="D256" s="5" t="str">
        <f>IFERROR(__xludf.DUMMYFUNCTION("""COMPUTED_VALUE"""),"Buckler")</f>
        <v>Buckler</v>
      </c>
      <c r="E256" s="40">
        <f>IFERROR(__xludf.DUMMYFUNCTION("""COMPUTED_VALUE"""),1.0)</f>
        <v>1</v>
      </c>
      <c r="F256" s="44">
        <f>IFERROR(__xludf.DUMMYFUNCTION("""COMPUTED_VALUE"""),0.0)</f>
        <v>0</v>
      </c>
      <c r="G256" s="32" t="str">
        <f>IFERROR(__xludf.DUMMYFUNCTION("""COMPUTED_VALUE"""),"DEF")</f>
        <v>DEF</v>
      </c>
      <c r="H256" s="32">
        <f>IFERROR(__xludf.DUMMYFUNCTION("""COMPUTED_VALUE"""),170.0)</f>
        <v>170</v>
      </c>
      <c r="I256" s="32"/>
      <c r="J256" s="32"/>
      <c r="K256" s="32"/>
      <c r="L256" s="32"/>
      <c r="M256" s="32"/>
      <c r="N256" s="32"/>
      <c r="O256" s="32"/>
      <c r="P256" s="32"/>
      <c r="Q256" s="32"/>
      <c r="R256" s="32"/>
      <c r="S256" s="32"/>
      <c r="T256" s="32"/>
      <c r="U256" s="32"/>
      <c r="V256" s="32"/>
      <c r="W256" s="32"/>
      <c r="X256" s="32"/>
      <c r="Y256" s="32"/>
      <c r="Z256" s="32"/>
      <c r="AA256" s="32"/>
      <c r="AB256" s="32"/>
      <c r="AC256" s="32"/>
      <c r="AD256" s="42"/>
      <c r="AE256" s="32"/>
      <c r="AF256" s="32"/>
      <c r="AG256" s="32" t="str">
        <f>IFERROR(__xludf.DUMMYFUNCTION("""COMPUTED_VALUE"""),"Land of Spira")</f>
        <v>Land of Spira</v>
      </c>
      <c r="AH256" s="32" t="b">
        <f>IFERROR(__xludf.DUMMYFUNCTION("""COMPUTED_VALUE"""),FALSE)</f>
        <v>0</v>
      </c>
      <c r="AI256" s="32"/>
      <c r="AJ256" s="32"/>
      <c r="AK256" s="32"/>
      <c r="AL256" s="32"/>
      <c r="AM256" s="32"/>
      <c r="AN256" s="32"/>
      <c r="AO256" s="32"/>
      <c r="AP256" s="32"/>
      <c r="AQ256" s="32"/>
      <c r="AR256" s="32"/>
      <c r="AS256" s="32"/>
      <c r="AT256" s="32"/>
      <c r="AU256" s="32"/>
      <c r="AV256" s="32"/>
      <c r="AW256" s="32"/>
      <c r="AX256" s="32"/>
    </row>
    <row r="257">
      <c r="A257" s="42" t="str">
        <f>IFERROR(__xludf.DUMMYFUNCTION("""COMPUTED_VALUE"""),"Spooky Branch Ring")</f>
        <v>Spooky Branch Ring</v>
      </c>
      <c r="B257" s="5" t="str">
        <f>IFERROR(__xludf.DUMMYFUNCTION("""COMPUTED_VALUE"""),"Ring")</f>
        <v>Ring</v>
      </c>
      <c r="C257" s="32" t="str">
        <f>IFERROR(__xludf.DUMMYFUNCTION("""COMPUTED_VALUE"""),"Halloween Exclusive")</f>
        <v>Halloween Exclusive</v>
      </c>
      <c r="D257" s="5"/>
      <c r="E257" s="40">
        <f>IFERROR(__xludf.DUMMYFUNCTION("""COMPUTED_VALUE"""),1.0)</f>
        <v>1</v>
      </c>
      <c r="F257" s="40">
        <f>IFERROR(__xludf.DUMMYFUNCTION("""COMPUTED_VALUE"""),0.0)</f>
        <v>0</v>
      </c>
      <c r="G257" s="41"/>
      <c r="H257" s="32"/>
      <c r="I257" s="32"/>
      <c r="J257" s="32"/>
      <c r="K257" s="32"/>
      <c r="L257" s="32"/>
      <c r="M257" s="32"/>
      <c r="N257" s="32"/>
      <c r="O257" s="32"/>
      <c r="P257" s="32"/>
      <c r="Q257" s="32"/>
      <c r="R257" s="32"/>
      <c r="S257" s="32"/>
      <c r="T257" s="32"/>
      <c r="U257" s="32"/>
      <c r="V257" s="32"/>
      <c r="W257" s="32"/>
      <c r="X257" s="32"/>
      <c r="Y257" s="32"/>
      <c r="Z257" s="32"/>
      <c r="AA257" s="32"/>
      <c r="AB257" s="32"/>
      <c r="AC257" s="32"/>
      <c r="AD257" s="42"/>
      <c r="AE257" s="32"/>
      <c r="AF257" s="32" t="str">
        <f>IFERROR(__xludf.DUMMYFUNCTION("""COMPUTED_VALUE"""),"++Increase fire and dark damage by X2.")</f>
        <v>++Increase fire and dark damage by X2.</v>
      </c>
      <c r="AG257" s="32" t="str">
        <f>IFERROR(__xludf.DUMMYFUNCTION("""COMPUTED_VALUE"""),"Halloween Kingdom")</f>
        <v>Halloween Kingdom</v>
      </c>
      <c r="AH257" s="32" t="b">
        <f>IFERROR(__xludf.DUMMYFUNCTION("""COMPUTED_VALUE"""),FALSE)</f>
        <v>0</v>
      </c>
      <c r="AI257" s="32"/>
      <c r="AJ257" s="32"/>
      <c r="AK257" s="32"/>
      <c r="AL257" s="32"/>
      <c r="AM257" s="32"/>
      <c r="AN257" s="32"/>
      <c r="AO257" s="32"/>
      <c r="AP257" s="32"/>
      <c r="AQ257" s="32"/>
      <c r="AR257" s="32"/>
      <c r="AS257" s="32"/>
      <c r="AT257" s="32"/>
      <c r="AU257" s="32"/>
      <c r="AV257" s="32"/>
      <c r="AW257" s="32"/>
      <c r="AX257" s="32"/>
    </row>
    <row r="258">
      <c r="A258" s="5" t="str">
        <f>IFERROR(__xludf.DUMMYFUNCTION("""COMPUTED_VALUE"""),"Staff of Chaotic Shadows")</f>
        <v>Staff of Chaotic Shadows</v>
      </c>
      <c r="B258" s="5" t="str">
        <f>IFERROR(__xludf.DUMMYFUNCTION("""COMPUTED_VALUE"""),"Hand")</f>
        <v>Hand</v>
      </c>
      <c r="C258" s="32"/>
      <c r="D258" s="5" t="str">
        <f>IFERROR(__xludf.DUMMYFUNCTION("""COMPUTED_VALUE"""),"Staff")</f>
        <v>Staff</v>
      </c>
      <c r="E258" s="40">
        <f>IFERROR(__xludf.DUMMYFUNCTION("""COMPUTED_VALUE"""),1200.0)</f>
        <v>1200</v>
      </c>
      <c r="F258" s="40">
        <f>IFERROR(__xludf.DUMMYFUNCTION("""COMPUTED_VALUE"""),7.14E7)</f>
        <v>71400000</v>
      </c>
      <c r="G258" s="5" t="str">
        <f>IFERROR(__xludf.DUMMYFUNCTION("""COMPUTED_VALUE"""),"DMG")</f>
        <v>DMG</v>
      </c>
      <c r="H258" s="32"/>
      <c r="I258" s="33">
        <f>IFERROR(__xludf.DUMMYFUNCTION("""COMPUTED_VALUE"""),20000.0)</f>
        <v>20000</v>
      </c>
      <c r="J258" s="32"/>
      <c r="K258" s="32"/>
      <c r="L258" s="32"/>
      <c r="M258" s="32"/>
      <c r="N258" s="32"/>
      <c r="O258" s="32">
        <f>IFERROR(__xludf.DUMMYFUNCTION("""COMPUTED_VALUE"""),20000.0)</f>
        <v>20000</v>
      </c>
      <c r="P258" s="32"/>
      <c r="Q258" s="32"/>
      <c r="R258" s="32">
        <f>IFERROR(__xludf.DUMMYFUNCTION("""COMPUTED_VALUE"""),20000.0)</f>
        <v>20000</v>
      </c>
      <c r="S258" s="32"/>
      <c r="T258" s="32"/>
      <c r="U258" s="32"/>
      <c r="V258" s="32"/>
      <c r="W258" s="32"/>
      <c r="X258" s="32"/>
      <c r="Y258" s="32"/>
      <c r="Z258" s="32"/>
      <c r="AA258" s="32"/>
      <c r="AB258" s="32"/>
      <c r="AC258" s="32"/>
      <c r="AD258" s="42"/>
      <c r="AE258" s="32"/>
      <c r="AF258" s="32" t="str">
        <f>IFERROR(__xludf.DUMMYFUNCTION("""COMPUTED_VALUE"""),"++damages all enemies. +-Cannot be forged.")</f>
        <v>++damages all enemies. +-Cannot be forged.</v>
      </c>
      <c r="AG258" s="32" t="str">
        <f>IFERROR(__xludf.DUMMYFUNCTION("""COMPUTED_VALUE"""),"Land of Spira")</f>
        <v>Land of Spira</v>
      </c>
      <c r="AH258" s="32" t="b">
        <f>IFERROR(__xludf.DUMMYFUNCTION("""COMPUTED_VALUE"""),FALSE)</f>
        <v>0</v>
      </c>
      <c r="AI258" s="32"/>
      <c r="AJ258" s="32"/>
      <c r="AK258" s="32"/>
      <c r="AL258" s="32"/>
      <c r="AM258" s="32"/>
      <c r="AN258" s="32"/>
      <c r="AO258" s="32"/>
      <c r="AP258" s="32"/>
      <c r="AQ258" s="32"/>
      <c r="AR258" s="32"/>
      <c r="AS258" s="32"/>
      <c r="AT258" s="32"/>
      <c r="AU258" s="32"/>
      <c r="AV258" s="32"/>
      <c r="AW258" s="32"/>
      <c r="AX258" s="32"/>
    </row>
    <row r="259">
      <c r="A259" s="5" t="str">
        <f>IFERROR(__xludf.DUMMYFUNCTION("""COMPUTED_VALUE"""),"Staff of Crystals")</f>
        <v>Staff of Crystals</v>
      </c>
      <c r="B259" s="5" t="str">
        <f>IFERROR(__xludf.DUMMYFUNCTION("""COMPUTED_VALUE"""),"Hand")</f>
        <v>Hand</v>
      </c>
      <c r="C259" s="32"/>
      <c r="D259" s="5" t="str">
        <f>IFERROR(__xludf.DUMMYFUNCTION("""COMPUTED_VALUE"""),"Staff")</f>
        <v>Staff</v>
      </c>
      <c r="E259" s="40">
        <f>IFERROR(__xludf.DUMMYFUNCTION("""COMPUTED_VALUE"""),400.0)</f>
        <v>400</v>
      </c>
      <c r="F259" s="40">
        <f>IFERROR(__xludf.DUMMYFUNCTION("""COMPUTED_VALUE"""),7800000.0)</f>
        <v>7800000</v>
      </c>
      <c r="G259" s="5" t="str">
        <f>IFERROR(__xludf.DUMMYFUNCTION("""COMPUTED_VALUE"""),"DMG")</f>
        <v>DMG</v>
      </c>
      <c r="H259" s="32"/>
      <c r="I259" s="32"/>
      <c r="J259" s="32"/>
      <c r="K259" s="32"/>
      <c r="L259" s="32"/>
      <c r="M259" s="32">
        <f>IFERROR(__xludf.DUMMYFUNCTION("""COMPUTED_VALUE"""),20000.0)</f>
        <v>20000</v>
      </c>
      <c r="N259" s="32"/>
      <c r="O259" s="32"/>
      <c r="P259" s="32"/>
      <c r="Q259" s="32"/>
      <c r="R259" s="32"/>
      <c r="S259" s="32"/>
      <c r="T259" s="32"/>
      <c r="U259" s="32"/>
      <c r="V259" s="32"/>
      <c r="W259" s="32"/>
      <c r="X259" s="32"/>
      <c r="Y259" s="32"/>
      <c r="Z259" s="32"/>
      <c r="AA259" s="32"/>
      <c r="AB259" s="32"/>
      <c r="AC259" s="32"/>
      <c r="AD259" s="42"/>
      <c r="AE259" s="32"/>
      <c r="AF259" s="32" t="str">
        <f>IFERROR(__xludf.DUMMYFUNCTION("""COMPUTED_VALUE"""),"++When Equipped any damage dealt by a Crystal or Gem related weapon is X4. +-Cannot be duplicated.")</f>
        <v>++When Equipped any damage dealt by a Crystal or Gem related weapon is X4. +-Cannot be duplicated.</v>
      </c>
      <c r="AG259" s="32" t="str">
        <f>IFERROR(__xludf.DUMMYFUNCTION("""COMPUTED_VALUE"""),"Land of Spira")</f>
        <v>Land of Spira</v>
      </c>
      <c r="AH259" s="32" t="b">
        <f>IFERROR(__xludf.DUMMYFUNCTION("""COMPUTED_VALUE"""),FALSE)</f>
        <v>0</v>
      </c>
      <c r="AI259" s="32"/>
      <c r="AJ259" s="32"/>
      <c r="AK259" s="32"/>
      <c r="AL259" s="32"/>
      <c r="AM259" s="32"/>
      <c r="AN259" s="32"/>
      <c r="AO259" s="32"/>
      <c r="AP259" s="32"/>
      <c r="AQ259" s="32"/>
      <c r="AR259" s="32"/>
      <c r="AS259" s="32"/>
      <c r="AT259" s="32"/>
      <c r="AU259" s="32"/>
      <c r="AV259" s="32"/>
      <c r="AW259" s="32"/>
      <c r="AX259" s="32"/>
    </row>
    <row r="260">
      <c r="A260" s="42" t="str">
        <f>IFERROR(__xludf.DUMMYFUNCTION("""COMPUTED_VALUE"""),"Staff Of Heatmore")</f>
        <v>Staff Of Heatmore</v>
      </c>
      <c r="B260" s="5" t="str">
        <f>IFERROR(__xludf.DUMMYFUNCTION("""COMPUTED_VALUE"""),"Hand")</f>
        <v>Hand</v>
      </c>
      <c r="C260" s="32"/>
      <c r="D260" s="5" t="str">
        <f>IFERROR(__xludf.DUMMYFUNCTION("""COMPUTED_VALUE"""),"Staff")</f>
        <v>Staff</v>
      </c>
      <c r="E260" s="40">
        <f>IFERROR(__xludf.DUMMYFUNCTION("""COMPUTED_VALUE"""),1.0)</f>
        <v>1</v>
      </c>
      <c r="F260" s="40">
        <f>IFERROR(__xludf.DUMMYFUNCTION("""COMPUTED_VALUE"""),0.0)</f>
        <v>0</v>
      </c>
      <c r="G260" s="5" t="str">
        <f>IFERROR(__xludf.DUMMYFUNCTION("""COMPUTED_VALUE"""),"DMG")</f>
        <v>DMG</v>
      </c>
      <c r="H260" s="32"/>
      <c r="I260" s="32"/>
      <c r="J260" s="32"/>
      <c r="K260" s="32"/>
      <c r="L260" s="32"/>
      <c r="M260" s="32"/>
      <c r="N260" s="32"/>
      <c r="O260" s="32"/>
      <c r="P260" s="32"/>
      <c r="Q260" s="32"/>
      <c r="R260" s="32"/>
      <c r="S260" s="32"/>
      <c r="T260" s="32"/>
      <c r="U260" s="32"/>
      <c r="V260" s="32"/>
      <c r="W260" s="32"/>
      <c r="X260" s="32"/>
      <c r="Y260" s="32"/>
      <c r="Z260" s="32"/>
      <c r="AA260" s="32"/>
      <c r="AB260" s="32"/>
      <c r="AC260" s="32"/>
      <c r="AD260" s="42"/>
      <c r="AE260" s="32"/>
      <c r="AF260" s="32" t="str">
        <f>IFERROR(__xludf.DUMMYFUNCTION("""COMPUTED_VALUE"""),"++20,000 fire damage to all enemies, cannot avoid. 10,000sp")</f>
        <v>++20,000 fire damage to all enemies, cannot avoid. 10,000sp</v>
      </c>
      <c r="AG260" s="32" t="str">
        <f>IFERROR(__xludf.DUMMYFUNCTION("""COMPUTED_VALUE"""),"Land of Spira")</f>
        <v>Land of Spira</v>
      </c>
      <c r="AH260" s="32" t="b">
        <f>IFERROR(__xludf.DUMMYFUNCTION("""COMPUTED_VALUE"""),FALSE)</f>
        <v>0</v>
      </c>
      <c r="AI260" s="32"/>
      <c r="AJ260" s="32"/>
      <c r="AK260" s="32"/>
      <c r="AL260" s="32"/>
      <c r="AM260" s="32"/>
      <c r="AN260" s="32"/>
      <c r="AO260" s="32"/>
      <c r="AP260" s="32"/>
      <c r="AQ260" s="32"/>
      <c r="AR260" s="32"/>
      <c r="AS260" s="32"/>
      <c r="AT260" s="32"/>
      <c r="AU260" s="32"/>
      <c r="AV260" s="32"/>
      <c r="AW260" s="32"/>
      <c r="AX260" s="32"/>
    </row>
    <row r="261">
      <c r="A261" s="42" t="str">
        <f>IFERROR(__xludf.DUMMYFUNCTION("""COMPUTED_VALUE"""),"Staff of Shadows")</f>
        <v>Staff of Shadows</v>
      </c>
      <c r="B261" s="5" t="str">
        <f>IFERROR(__xludf.DUMMYFUNCTION("""COMPUTED_VALUE"""),"Hand")</f>
        <v>Hand</v>
      </c>
      <c r="C261" s="32"/>
      <c r="D261" s="5" t="str">
        <f>IFERROR(__xludf.DUMMYFUNCTION("""COMPUTED_VALUE"""),"Staff")</f>
        <v>Staff</v>
      </c>
      <c r="E261" s="40">
        <f>IFERROR(__xludf.DUMMYFUNCTION("""COMPUTED_VALUE"""),1.0)</f>
        <v>1</v>
      </c>
      <c r="F261" s="44">
        <f>IFERROR(__xludf.DUMMYFUNCTION("""COMPUTED_VALUE"""),0.0)</f>
        <v>0</v>
      </c>
      <c r="G261" s="32" t="str">
        <f>IFERROR(__xludf.DUMMYFUNCTION("""COMPUTED_VALUE"""),"DMG")</f>
        <v>DMG</v>
      </c>
      <c r="H261" s="32"/>
      <c r="I261" s="32"/>
      <c r="J261" s="32"/>
      <c r="K261" s="32"/>
      <c r="L261" s="32"/>
      <c r="M261" s="32"/>
      <c r="N261" s="32"/>
      <c r="O261" s="32"/>
      <c r="P261" s="32"/>
      <c r="Q261" s="32"/>
      <c r="R261" s="32"/>
      <c r="S261" s="32"/>
      <c r="T261" s="32"/>
      <c r="U261" s="32"/>
      <c r="V261" s="32"/>
      <c r="W261" s="32"/>
      <c r="X261" s="32"/>
      <c r="Y261" s="32"/>
      <c r="Z261" s="32"/>
      <c r="AA261" s="32"/>
      <c r="AB261" s="32"/>
      <c r="AC261" s="32"/>
      <c r="AD261" s="42"/>
      <c r="AE261" s="32"/>
      <c r="AF261" s="32" t="str">
        <f>IFERROR(__xludf.DUMMYFUNCTION("""COMPUTED_VALUE"""),"++You are invisible and silent so long as you don't attack. You cannot be attacked while invisible. 200SP")</f>
        <v>++You are invisible and silent so long as you don't attack. You cannot be attacked while invisible. 200SP</v>
      </c>
      <c r="AG261" s="32" t="str">
        <f>IFERROR(__xludf.DUMMYFUNCTION("""COMPUTED_VALUE"""),"Land of Spira")</f>
        <v>Land of Spira</v>
      </c>
      <c r="AH261" s="32" t="b">
        <f>IFERROR(__xludf.DUMMYFUNCTION("""COMPUTED_VALUE"""),FALSE)</f>
        <v>0</v>
      </c>
      <c r="AI261" s="32"/>
      <c r="AJ261" s="32"/>
      <c r="AK261" s="32"/>
      <c r="AL261" s="32"/>
      <c r="AM261" s="32"/>
      <c r="AN261" s="32"/>
      <c r="AO261" s="32"/>
      <c r="AP261" s="32"/>
      <c r="AQ261" s="32"/>
      <c r="AR261" s="32"/>
      <c r="AS261" s="32"/>
      <c r="AT261" s="32"/>
      <c r="AU261" s="32"/>
      <c r="AV261" s="32"/>
      <c r="AW261" s="32"/>
      <c r="AX261" s="32"/>
    </row>
    <row r="262">
      <c r="A262" s="42" t="str">
        <f>IFERROR(__xludf.DUMMYFUNCTION("""COMPUTED_VALUE"""),"Staff Of Suffering")</f>
        <v>Staff Of Suffering</v>
      </c>
      <c r="B262" s="5" t="str">
        <f>IFERROR(__xludf.DUMMYFUNCTION("""COMPUTED_VALUE"""),"Hand")</f>
        <v>Hand</v>
      </c>
      <c r="C262" s="32"/>
      <c r="D262" s="5" t="str">
        <f>IFERROR(__xludf.DUMMYFUNCTION("""COMPUTED_VALUE"""),"Staff")</f>
        <v>Staff</v>
      </c>
      <c r="E262" s="40">
        <f>IFERROR(__xludf.DUMMYFUNCTION("""COMPUTED_VALUE"""),1.0)</f>
        <v>1</v>
      </c>
      <c r="F262" s="44">
        <f>IFERROR(__xludf.DUMMYFUNCTION("""COMPUTED_VALUE"""),0.0)</f>
        <v>0</v>
      </c>
      <c r="G262" s="32" t="str">
        <f>IFERROR(__xludf.DUMMYFUNCTION("""COMPUTED_VALUE"""),"DMG")</f>
        <v>DMG</v>
      </c>
      <c r="H262" s="32"/>
      <c r="I262" s="32"/>
      <c r="J262" s="32"/>
      <c r="K262" s="32"/>
      <c r="L262" s="32"/>
      <c r="M262" s="32"/>
      <c r="N262" s="32"/>
      <c r="O262" s="32"/>
      <c r="P262" s="32"/>
      <c r="Q262" s="32"/>
      <c r="R262" s="32"/>
      <c r="S262" s="32"/>
      <c r="T262" s="32"/>
      <c r="U262" s="32"/>
      <c r="V262" s="32"/>
      <c r="W262" s="32"/>
      <c r="X262" s="32"/>
      <c r="Y262" s="32"/>
      <c r="Z262" s="32"/>
      <c r="AA262" s="32"/>
      <c r="AB262" s="32"/>
      <c r="AC262" s="32"/>
      <c r="AD262" s="42"/>
      <c r="AE262" s="32"/>
      <c r="AF262" s="32" t="str">
        <f>IFERROR(__xludf.DUMMYFUNCTION("""COMPUTED_VALUE"""),"++Casts a chaotic aura around 1 target dealing 1000 unblockable damage to them each time they cast a spell.")</f>
        <v>++Casts a chaotic aura around 1 target dealing 1000 unblockable damage to them each time they cast a spell.</v>
      </c>
      <c r="AG262" s="32" t="str">
        <f>IFERROR(__xludf.DUMMYFUNCTION("""COMPUTED_VALUE"""),"Land of Spira")</f>
        <v>Land of Spira</v>
      </c>
      <c r="AH262" s="32" t="b">
        <f>IFERROR(__xludf.DUMMYFUNCTION("""COMPUTED_VALUE"""),FALSE)</f>
        <v>0</v>
      </c>
      <c r="AI262" s="32"/>
      <c r="AJ262" s="32"/>
      <c r="AK262" s="32"/>
      <c r="AL262" s="32"/>
      <c r="AM262" s="32"/>
      <c r="AN262" s="32"/>
      <c r="AO262" s="32"/>
      <c r="AP262" s="32"/>
      <c r="AQ262" s="32"/>
      <c r="AR262" s="32"/>
      <c r="AS262" s="32"/>
      <c r="AT262" s="32"/>
      <c r="AU262" s="32"/>
      <c r="AV262" s="32"/>
      <c r="AW262" s="32"/>
      <c r="AX262" s="32"/>
    </row>
    <row r="263">
      <c r="A263" s="42" t="str">
        <f>IFERROR(__xludf.DUMMYFUNCTION("""COMPUTED_VALUE"""),"Staff of Targeting")</f>
        <v>Staff of Targeting</v>
      </c>
      <c r="B263" s="5" t="str">
        <f>IFERROR(__xludf.DUMMYFUNCTION("""COMPUTED_VALUE"""),"Hand")</f>
        <v>Hand</v>
      </c>
      <c r="C263" s="32"/>
      <c r="D263" s="5" t="str">
        <f>IFERROR(__xludf.DUMMYFUNCTION("""COMPUTED_VALUE"""),"Staff")</f>
        <v>Staff</v>
      </c>
      <c r="E263" s="40">
        <f>IFERROR(__xludf.DUMMYFUNCTION("""COMPUTED_VALUE"""),1.0)</f>
        <v>1</v>
      </c>
      <c r="F263" s="40">
        <f>IFERROR(__xludf.DUMMYFUNCTION("""COMPUTED_VALUE"""),0.0)</f>
        <v>0</v>
      </c>
      <c r="G263" s="5" t="str">
        <f>IFERROR(__xludf.DUMMYFUNCTION("""COMPUTED_VALUE"""),"DMG")</f>
        <v>DMG</v>
      </c>
      <c r="H263" s="5"/>
      <c r="I263" s="32"/>
      <c r="J263" s="32"/>
      <c r="K263" s="32"/>
      <c r="L263" s="32"/>
      <c r="M263" s="32"/>
      <c r="N263" s="5"/>
      <c r="O263" s="32"/>
      <c r="P263" s="32"/>
      <c r="Q263" s="5"/>
      <c r="R263" s="32"/>
      <c r="S263" s="32"/>
      <c r="T263" s="32"/>
      <c r="U263" s="32"/>
      <c r="V263" s="32"/>
      <c r="W263" s="32"/>
      <c r="X263" s="32"/>
      <c r="Y263" s="32"/>
      <c r="Z263" s="32"/>
      <c r="AA263" s="32"/>
      <c r="AB263" s="32"/>
      <c r="AC263" s="32"/>
      <c r="AD263" s="42"/>
      <c r="AE263" s="32"/>
      <c r="AF263" s="32"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32" t="str">
        <f>IFERROR(__xludf.DUMMYFUNCTION("""COMPUTED_VALUE"""),"Land of The Forgotten")</f>
        <v>Land of The Forgotten</v>
      </c>
      <c r="AH263" s="32" t="b">
        <f>IFERROR(__xludf.DUMMYFUNCTION("""COMPUTED_VALUE"""),FALSE)</f>
        <v>0</v>
      </c>
      <c r="AI263" s="32"/>
      <c r="AJ263" s="32"/>
      <c r="AK263" s="32"/>
      <c r="AL263" s="32"/>
      <c r="AM263" s="32"/>
      <c r="AN263" s="32"/>
      <c r="AO263" s="32"/>
      <c r="AP263" s="32"/>
      <c r="AQ263" s="32"/>
      <c r="AR263" s="32"/>
      <c r="AS263" s="32"/>
      <c r="AT263" s="32"/>
      <c r="AU263" s="32"/>
      <c r="AV263" s="32"/>
      <c r="AW263" s="32"/>
      <c r="AX263" s="32"/>
    </row>
    <row r="264">
      <c r="A264" s="5" t="str">
        <f>IFERROR(__xludf.DUMMYFUNCTION("""COMPUTED_VALUE"""),"Staff of Waves")</f>
        <v>Staff of Waves</v>
      </c>
      <c r="B264" s="5" t="str">
        <f>IFERROR(__xludf.DUMMYFUNCTION("""COMPUTED_VALUE"""),"Hand")</f>
        <v>Hand</v>
      </c>
      <c r="C264" s="32"/>
      <c r="D264" s="5" t="str">
        <f>IFERROR(__xludf.DUMMYFUNCTION("""COMPUTED_VALUE"""),"Staff")</f>
        <v>Staff</v>
      </c>
      <c r="E264" s="40">
        <f>IFERROR(__xludf.DUMMYFUNCTION("""COMPUTED_VALUE"""),1.0)</f>
        <v>1</v>
      </c>
      <c r="F264" s="40">
        <f>IFERROR(__xludf.DUMMYFUNCTION("""COMPUTED_VALUE"""),0.0)</f>
        <v>0</v>
      </c>
      <c r="G264" s="5" t="str">
        <f>IFERROR(__xludf.DUMMYFUNCTION("""COMPUTED_VALUE"""),"DMG")</f>
        <v>DMG</v>
      </c>
      <c r="H264" s="32"/>
      <c r="I264" s="32"/>
      <c r="J264" s="32"/>
      <c r="K264" s="32"/>
      <c r="L264" s="32"/>
      <c r="M264" s="32"/>
      <c r="N264" s="5"/>
      <c r="O264" s="32"/>
      <c r="P264" s="32"/>
      <c r="Q264" s="32"/>
      <c r="R264" s="32"/>
      <c r="S264" s="32"/>
      <c r="T264" s="32"/>
      <c r="U264" s="32"/>
      <c r="V264" s="32"/>
      <c r="W264" s="32"/>
      <c r="X264" s="32"/>
      <c r="Y264" s="32"/>
      <c r="Z264" s="32"/>
      <c r="AA264" s="32"/>
      <c r="AB264" s="32"/>
      <c r="AC264" s="32"/>
      <c r="AD264" s="32"/>
      <c r="AE264" s="32"/>
      <c r="AF264" s="32" t="str">
        <f>IFERROR(__xludf.DUMMYFUNCTION("""COMPUTED_VALUE"""),"++Casts the Spell Tsunami as if you would know it.")</f>
        <v>++Casts the Spell Tsunami as if you would know it.</v>
      </c>
      <c r="AG264" s="32" t="str">
        <f>IFERROR(__xludf.DUMMYFUNCTION("""COMPUTED_VALUE"""),"Land of Spira")</f>
        <v>Land of Spira</v>
      </c>
      <c r="AH264" s="32" t="b">
        <f>IFERROR(__xludf.DUMMYFUNCTION("""COMPUTED_VALUE"""),FALSE)</f>
        <v>0</v>
      </c>
      <c r="AI264" s="32"/>
      <c r="AJ264" s="32"/>
      <c r="AK264" s="32"/>
      <c r="AL264" s="32"/>
      <c r="AM264" s="32"/>
      <c r="AN264" s="32"/>
      <c r="AO264" s="32"/>
      <c r="AP264" s="32"/>
      <c r="AQ264" s="32"/>
      <c r="AR264" s="32"/>
      <c r="AS264" s="32"/>
      <c r="AT264" s="32"/>
      <c r="AU264" s="32"/>
      <c r="AV264" s="32"/>
      <c r="AW264" s="32"/>
      <c r="AX264" s="32"/>
    </row>
    <row r="265">
      <c r="A265" s="42" t="str">
        <f>IFERROR(__xludf.DUMMYFUNCTION("""COMPUTED_VALUE"""),"Guard Helmet")</f>
        <v>Guard Helmet</v>
      </c>
      <c r="B265" s="5" t="str">
        <f>IFERROR(__xludf.DUMMYFUNCTION("""COMPUTED_VALUE"""),"Head")</f>
        <v>Head</v>
      </c>
      <c r="C265" s="32" t="str">
        <f>IFERROR(__xludf.DUMMYFUNCTION("""COMPUTED_VALUE"""),"Quest Item")</f>
        <v>Quest Item</v>
      </c>
      <c r="D265" s="5"/>
      <c r="E265" s="40">
        <f>IFERROR(__xludf.DUMMYFUNCTION("""COMPUTED_VALUE"""),200.0)</f>
        <v>200</v>
      </c>
      <c r="F265" s="40">
        <f>IFERROR(__xludf.DUMMYFUNCTION("""COMPUTED_VALUE"""),1.1175E8)</f>
        <v>111750000</v>
      </c>
      <c r="G265" s="5" t="str">
        <f>IFERROR(__xludf.DUMMYFUNCTION("""COMPUTED_VALUE"""),"DEF")</f>
        <v>DEF</v>
      </c>
      <c r="H265" s="33">
        <f>IFERROR(__xludf.DUMMYFUNCTION("""COMPUTED_VALUE"""),25000.0)</f>
        <v>25000</v>
      </c>
      <c r="I265" s="32"/>
      <c r="J265" s="32"/>
      <c r="K265" s="32"/>
      <c r="L265" s="32"/>
      <c r="M265" s="32"/>
      <c r="N265" s="33">
        <f>IFERROR(__xludf.DUMMYFUNCTION("""COMPUTED_VALUE"""),25000.0)</f>
        <v>25000</v>
      </c>
      <c r="O265" s="32"/>
      <c r="P265" s="32"/>
      <c r="Q265" s="32"/>
      <c r="R265" s="32"/>
      <c r="S265" s="32"/>
      <c r="T265" s="32"/>
      <c r="U265" s="32"/>
      <c r="V265" s="32"/>
      <c r="W265" s="32"/>
      <c r="X265" s="32"/>
      <c r="Y265" s="32"/>
      <c r="Z265" s="32"/>
      <c r="AA265" s="32"/>
      <c r="AB265" s="32"/>
      <c r="AC265" s="33">
        <f>IFERROR(__xludf.DUMMYFUNCTION("""COMPUTED_VALUE"""),25000.0)</f>
        <v>25000</v>
      </c>
      <c r="AD265" s="42"/>
      <c r="AE265" s="32"/>
      <c r="AF265" s="32"/>
      <c r="AG265" s="32" t="str">
        <f>IFERROR(__xludf.DUMMYFUNCTION("""COMPUTED_VALUE"""),"Land of Spira")</f>
        <v>Land of Spira</v>
      </c>
      <c r="AH265" s="32" t="b">
        <f>IFERROR(__xludf.DUMMYFUNCTION("""COMPUTED_VALUE"""),TRUE)</f>
        <v>1</v>
      </c>
      <c r="AI265" s="32"/>
      <c r="AJ265" s="32"/>
      <c r="AK265" s="32"/>
      <c r="AL265" s="32"/>
      <c r="AM265" s="32"/>
      <c r="AN265" s="32"/>
      <c r="AO265" s="32"/>
      <c r="AP265" s="32"/>
      <c r="AQ265" s="32"/>
      <c r="AR265" s="32"/>
      <c r="AS265" s="32"/>
      <c r="AT265" s="32"/>
      <c r="AU265" s="32"/>
      <c r="AV265" s="32"/>
      <c r="AW265" s="32"/>
      <c r="AX265" s="32"/>
    </row>
    <row r="266">
      <c r="A266" s="5" t="str">
        <f>IFERROR(__xludf.DUMMYFUNCTION("""COMPUTED_VALUE"""),"Guard Shield")</f>
        <v>Guard Shield</v>
      </c>
      <c r="B266" s="5" t="str">
        <f>IFERROR(__xludf.DUMMYFUNCTION("""COMPUTED_VALUE"""),"Hand")</f>
        <v>Hand</v>
      </c>
      <c r="C266" s="32" t="str">
        <f>IFERROR(__xludf.DUMMYFUNCTION("""COMPUTED_VALUE"""),"Quest Item")</f>
        <v>Quest Item</v>
      </c>
      <c r="D266" s="5" t="str">
        <f>IFERROR(__xludf.DUMMYFUNCTION("""COMPUTED_VALUE"""),"Towershield")</f>
        <v>Towershield</v>
      </c>
      <c r="E266" s="40">
        <f>IFERROR(__xludf.DUMMYFUNCTION("""COMPUTED_VALUE"""),200.0)</f>
        <v>200</v>
      </c>
      <c r="F266" s="44">
        <f>IFERROR(__xludf.DUMMYFUNCTION("""COMPUTED_VALUE"""),1.1175E8)</f>
        <v>111750000</v>
      </c>
      <c r="G266" s="32" t="str">
        <f>IFERROR(__xludf.DUMMYFUNCTION("""COMPUTED_VALUE"""),"DEF")</f>
        <v>DEF</v>
      </c>
      <c r="H266" s="33">
        <f>IFERROR(__xludf.DUMMYFUNCTION("""COMPUTED_VALUE"""),25000.0)</f>
        <v>25000</v>
      </c>
      <c r="I266" s="32"/>
      <c r="J266" s="32"/>
      <c r="K266" s="32"/>
      <c r="L266" s="32"/>
      <c r="M266" s="32"/>
      <c r="N266" s="33">
        <f>IFERROR(__xludf.DUMMYFUNCTION("""COMPUTED_VALUE"""),25000.0)</f>
        <v>25000</v>
      </c>
      <c r="O266" s="32"/>
      <c r="P266" s="32"/>
      <c r="Q266" s="32"/>
      <c r="R266" s="32"/>
      <c r="S266" s="32"/>
      <c r="T266" s="32"/>
      <c r="U266" s="32"/>
      <c r="V266" s="32"/>
      <c r="W266" s="32"/>
      <c r="X266" s="32"/>
      <c r="Y266" s="32"/>
      <c r="Z266" s="32"/>
      <c r="AA266" s="32"/>
      <c r="AB266" s="32"/>
      <c r="AC266" s="33">
        <f>IFERROR(__xludf.DUMMYFUNCTION("""COMPUTED_VALUE"""),25000.0)</f>
        <v>25000</v>
      </c>
      <c r="AD266" s="42"/>
      <c r="AE266" s="32"/>
      <c r="AF266" s="32"/>
      <c r="AG266" s="32" t="str">
        <f>IFERROR(__xludf.DUMMYFUNCTION("""COMPUTED_VALUE"""),"Land of Spira")</f>
        <v>Land of Spira</v>
      </c>
      <c r="AH266" s="32" t="b">
        <f>IFERROR(__xludf.DUMMYFUNCTION("""COMPUTED_VALUE"""),TRUE)</f>
        <v>1</v>
      </c>
      <c r="AI266" s="32"/>
      <c r="AJ266" s="32"/>
      <c r="AK266" s="32"/>
      <c r="AL266" s="32"/>
      <c r="AM266" s="32"/>
      <c r="AN266" s="32"/>
      <c r="AO266" s="32"/>
      <c r="AP266" s="32"/>
      <c r="AQ266" s="32"/>
      <c r="AR266" s="32"/>
      <c r="AS266" s="32"/>
      <c r="AT266" s="32"/>
      <c r="AU266" s="32"/>
      <c r="AV266" s="32"/>
      <c r="AW266" s="32"/>
      <c r="AX266" s="32"/>
    </row>
    <row r="267">
      <c r="A267" s="5" t="str">
        <f>IFERROR(__xludf.DUMMYFUNCTION("""COMPUTED_VALUE"""),"Guard Sword")</f>
        <v>Guard Sword</v>
      </c>
      <c r="B267" s="5" t="str">
        <f>IFERROR(__xludf.DUMMYFUNCTION("""COMPUTED_VALUE"""),"Hand")</f>
        <v>Hand</v>
      </c>
      <c r="C267" s="32" t="str">
        <f>IFERROR(__xludf.DUMMYFUNCTION("""COMPUTED_VALUE"""),"Quest Item")</f>
        <v>Quest Item</v>
      </c>
      <c r="D267" s="5" t="str">
        <f>IFERROR(__xludf.DUMMYFUNCTION("""COMPUTED_VALUE"""),"Sword")</f>
        <v>Sword</v>
      </c>
      <c r="E267" s="40">
        <f>IFERROR(__xludf.DUMMYFUNCTION("""COMPUTED_VALUE"""),200.0)</f>
        <v>200</v>
      </c>
      <c r="F267" s="40">
        <f>IFERROR(__xludf.DUMMYFUNCTION("""COMPUTED_VALUE"""),1.1175E8)</f>
        <v>111750000</v>
      </c>
      <c r="G267" s="5" t="str">
        <f>IFERROR(__xludf.DUMMYFUNCTION("""COMPUTED_VALUE"""),"DMG")</f>
        <v>DMG</v>
      </c>
      <c r="H267" s="33">
        <f>IFERROR(__xludf.DUMMYFUNCTION("""COMPUTED_VALUE"""),25000.0)</f>
        <v>25000</v>
      </c>
      <c r="I267" s="32"/>
      <c r="J267" s="32"/>
      <c r="K267" s="32"/>
      <c r="L267" s="32"/>
      <c r="M267" s="32"/>
      <c r="N267" s="33">
        <f>IFERROR(__xludf.DUMMYFUNCTION("""COMPUTED_VALUE"""),25000.0)</f>
        <v>25000</v>
      </c>
      <c r="O267" s="32"/>
      <c r="P267" s="32"/>
      <c r="Q267" s="32"/>
      <c r="R267" s="32"/>
      <c r="S267" s="32"/>
      <c r="T267" s="32"/>
      <c r="U267" s="32"/>
      <c r="V267" s="32"/>
      <c r="W267" s="32"/>
      <c r="X267" s="32"/>
      <c r="Y267" s="32"/>
      <c r="Z267" s="32"/>
      <c r="AA267" s="32"/>
      <c r="AB267" s="32"/>
      <c r="AC267" s="33">
        <f>IFERROR(__xludf.DUMMYFUNCTION("""COMPUTED_VALUE"""),25000.0)</f>
        <v>25000</v>
      </c>
      <c r="AD267" s="42"/>
      <c r="AE267" s="32"/>
      <c r="AF267" s="32"/>
      <c r="AG267" s="32" t="str">
        <f>IFERROR(__xludf.DUMMYFUNCTION("""COMPUTED_VALUE"""),"Land of Spira")</f>
        <v>Land of Spira</v>
      </c>
      <c r="AH267" s="32" t="b">
        <f>IFERROR(__xludf.DUMMYFUNCTION("""COMPUTED_VALUE"""),TRUE)</f>
        <v>1</v>
      </c>
      <c r="AI267" s="32"/>
      <c r="AJ267" s="32"/>
      <c r="AK267" s="32"/>
      <c r="AL267" s="32"/>
      <c r="AM267" s="32"/>
      <c r="AN267" s="32"/>
      <c r="AO267" s="32"/>
      <c r="AP267" s="32"/>
      <c r="AQ267" s="32"/>
      <c r="AR267" s="32"/>
      <c r="AS267" s="32"/>
      <c r="AT267" s="32"/>
      <c r="AU267" s="32"/>
      <c r="AV267" s="32"/>
      <c r="AW267" s="32"/>
      <c r="AX267" s="32"/>
    </row>
    <row r="268">
      <c r="A268" s="5" t="str">
        <f>IFERROR(__xludf.DUMMYFUNCTION("""COMPUTED_VALUE"""),"Steel Armor")</f>
        <v>Steel Armor</v>
      </c>
      <c r="B268" s="5" t="str">
        <f>IFERROR(__xludf.DUMMYFUNCTION("""COMPUTED_VALUE"""),"Torso")</f>
        <v>Torso</v>
      </c>
      <c r="C268" s="32"/>
      <c r="D268" s="5"/>
      <c r="E268" s="40">
        <f>IFERROR(__xludf.DUMMYFUNCTION("""COMPUTED_VALUE"""),1.0)</f>
        <v>1</v>
      </c>
      <c r="F268" s="40">
        <f>IFERROR(__xludf.DUMMYFUNCTION("""COMPUTED_VALUE"""),0.0)</f>
        <v>0</v>
      </c>
      <c r="G268" s="5" t="str">
        <f>IFERROR(__xludf.DUMMYFUNCTION("""COMPUTED_VALUE"""),"DEF")</f>
        <v>DEF</v>
      </c>
      <c r="H268" s="32">
        <f>IFERROR(__xludf.DUMMYFUNCTION("""COMPUTED_VALUE"""),20.0)</f>
        <v>20</v>
      </c>
      <c r="I268" s="32"/>
      <c r="J268" s="32"/>
      <c r="K268" s="32"/>
      <c r="L268" s="32"/>
      <c r="M268" s="32"/>
      <c r="N268" s="32"/>
      <c r="O268" s="32"/>
      <c r="P268" s="32"/>
      <c r="Q268" s="32"/>
      <c r="R268" s="32"/>
      <c r="S268" s="32"/>
      <c r="T268" s="32"/>
      <c r="U268" s="32"/>
      <c r="V268" s="32"/>
      <c r="W268" s="32"/>
      <c r="X268" s="32"/>
      <c r="Y268" s="32"/>
      <c r="Z268" s="32"/>
      <c r="AA268" s="32"/>
      <c r="AB268" s="32"/>
      <c r="AC268" s="32"/>
      <c r="AD268" s="42"/>
      <c r="AE268" s="32"/>
      <c r="AF268" s="32"/>
      <c r="AG268" s="32" t="str">
        <f>IFERROR(__xludf.DUMMYFUNCTION("""COMPUTED_VALUE"""),"Land of Spira")</f>
        <v>Land of Spira</v>
      </c>
      <c r="AH268" s="32" t="b">
        <f>IFERROR(__xludf.DUMMYFUNCTION("""COMPUTED_VALUE"""),TRUE)</f>
        <v>1</v>
      </c>
      <c r="AI268" s="32"/>
      <c r="AJ268" s="32"/>
      <c r="AK268" s="32"/>
      <c r="AL268" s="32"/>
      <c r="AM268" s="32"/>
      <c r="AN268" s="32"/>
      <c r="AO268" s="32"/>
      <c r="AP268" s="32"/>
      <c r="AQ268" s="32"/>
      <c r="AR268" s="32"/>
      <c r="AS268" s="32"/>
      <c r="AT268" s="32"/>
      <c r="AU268" s="32"/>
      <c r="AV268" s="32"/>
      <c r="AW268" s="32"/>
      <c r="AX268" s="32"/>
    </row>
    <row r="269">
      <c r="A269" s="5" t="str">
        <f>IFERROR(__xludf.DUMMYFUNCTION("""COMPUTED_VALUE"""),"Steel Broadsword")</f>
        <v>Steel Broadsword</v>
      </c>
      <c r="B269" s="5" t="str">
        <f>IFERROR(__xludf.DUMMYFUNCTION("""COMPUTED_VALUE"""),"Hand")</f>
        <v>Hand</v>
      </c>
      <c r="C269" s="32"/>
      <c r="D269" s="5" t="str">
        <f>IFERROR(__xludf.DUMMYFUNCTION("""COMPUTED_VALUE"""),"Sword")</f>
        <v>Sword</v>
      </c>
      <c r="E269" s="40">
        <f>IFERROR(__xludf.DUMMYFUNCTION("""COMPUTED_VALUE"""),40.0)</f>
        <v>40</v>
      </c>
      <c r="F269" s="40">
        <f>IFERROR(__xludf.DUMMYFUNCTION("""COMPUTED_VALUE"""),60000.0)</f>
        <v>60000</v>
      </c>
      <c r="G269" s="5" t="str">
        <f>IFERROR(__xludf.DUMMYFUNCTION("""COMPUTED_VALUE"""),"DMG")</f>
        <v>DMG</v>
      </c>
      <c r="H269" s="32">
        <f>IFERROR(__xludf.DUMMYFUNCTION("""COMPUTED_VALUE"""),2000.0)</f>
        <v>2000</v>
      </c>
      <c r="I269" s="32"/>
      <c r="J269" s="32"/>
      <c r="K269" s="32"/>
      <c r="L269" s="32"/>
      <c r="M269" s="32"/>
      <c r="N269" s="32"/>
      <c r="O269" s="32"/>
      <c r="P269" s="32"/>
      <c r="Q269" s="32"/>
      <c r="R269" s="32"/>
      <c r="S269" s="32"/>
      <c r="T269" s="32"/>
      <c r="U269" s="32"/>
      <c r="V269" s="32"/>
      <c r="W269" s="32"/>
      <c r="X269" s="32"/>
      <c r="Y269" s="32"/>
      <c r="Z269" s="32"/>
      <c r="AA269" s="32"/>
      <c r="AB269" s="32"/>
      <c r="AC269" s="32"/>
      <c r="AD269" s="42"/>
      <c r="AE269" s="32"/>
      <c r="AF269" s="32"/>
      <c r="AG269" s="32" t="str">
        <f>IFERROR(__xludf.DUMMYFUNCTION("""COMPUTED_VALUE"""),"Land of Spira")</f>
        <v>Land of Spira</v>
      </c>
      <c r="AH269" s="32" t="b">
        <f>IFERROR(__xludf.DUMMYFUNCTION("""COMPUTED_VALUE"""),TRUE)</f>
        <v>1</v>
      </c>
      <c r="AI269" s="32"/>
      <c r="AJ269" s="32"/>
      <c r="AK269" s="32"/>
      <c r="AL269" s="32"/>
      <c r="AM269" s="32"/>
      <c r="AN269" s="32"/>
      <c r="AO269" s="32"/>
      <c r="AP269" s="32"/>
      <c r="AQ269" s="32"/>
      <c r="AR269" s="32"/>
      <c r="AS269" s="32"/>
      <c r="AT269" s="32"/>
      <c r="AU269" s="32"/>
      <c r="AV269" s="32"/>
      <c r="AW269" s="32"/>
      <c r="AX269" s="32"/>
    </row>
    <row r="270">
      <c r="A270" s="5" t="str">
        <f>IFERROR(__xludf.DUMMYFUNCTION("""COMPUTED_VALUE"""),"Steel Sword")</f>
        <v>Steel Sword</v>
      </c>
      <c r="B270" s="5" t="str">
        <f>IFERROR(__xludf.DUMMYFUNCTION("""COMPUTED_VALUE"""),"Hand")</f>
        <v>Hand</v>
      </c>
      <c r="C270" s="32"/>
      <c r="D270" s="5" t="str">
        <f>IFERROR(__xludf.DUMMYFUNCTION("""COMPUTED_VALUE"""),"Sword")</f>
        <v>Sword</v>
      </c>
      <c r="E270" s="40">
        <f>IFERROR(__xludf.DUMMYFUNCTION("""COMPUTED_VALUE"""),10.0)</f>
        <v>10</v>
      </c>
      <c r="F270" s="40">
        <f>IFERROR(__xludf.DUMMYFUNCTION("""COMPUTED_VALUE"""),1000.0)</f>
        <v>1000</v>
      </c>
      <c r="G270" s="5" t="str">
        <f>IFERROR(__xludf.DUMMYFUNCTION("""COMPUTED_VALUE"""),"DMG")</f>
        <v>DMG</v>
      </c>
      <c r="H270" s="32">
        <f>IFERROR(__xludf.DUMMYFUNCTION("""COMPUTED_VALUE"""),500.0)</f>
        <v>500</v>
      </c>
      <c r="I270" s="32"/>
      <c r="J270" s="32"/>
      <c r="K270" s="32"/>
      <c r="L270" s="32"/>
      <c r="M270" s="32"/>
      <c r="N270" s="32"/>
      <c r="O270" s="32"/>
      <c r="P270" s="32"/>
      <c r="Q270" s="32"/>
      <c r="R270" s="32"/>
      <c r="S270" s="32"/>
      <c r="T270" s="32"/>
      <c r="U270" s="32"/>
      <c r="V270" s="32"/>
      <c r="W270" s="32"/>
      <c r="X270" s="32"/>
      <c r="Y270" s="32"/>
      <c r="Z270" s="32"/>
      <c r="AA270" s="32"/>
      <c r="AB270" s="32"/>
      <c r="AC270" s="32"/>
      <c r="AD270" s="42"/>
      <c r="AE270" s="32"/>
      <c r="AF270" s="32"/>
      <c r="AG270" s="32" t="str">
        <f>IFERROR(__xludf.DUMMYFUNCTION("""COMPUTED_VALUE"""),"Land of Spira")</f>
        <v>Land of Spira</v>
      </c>
      <c r="AH270" s="32" t="b">
        <f>IFERROR(__xludf.DUMMYFUNCTION("""COMPUTED_VALUE"""),TRUE)</f>
        <v>1</v>
      </c>
      <c r="AI270" s="32"/>
      <c r="AJ270" s="32"/>
      <c r="AK270" s="32"/>
      <c r="AL270" s="32"/>
      <c r="AM270" s="32"/>
      <c r="AN270" s="32"/>
      <c r="AO270" s="32"/>
      <c r="AP270" s="32"/>
      <c r="AQ270" s="32"/>
      <c r="AR270" s="32"/>
      <c r="AS270" s="32"/>
      <c r="AT270" s="32"/>
      <c r="AU270" s="32"/>
      <c r="AV270" s="32"/>
      <c r="AW270" s="32"/>
      <c r="AX270" s="32"/>
    </row>
    <row r="271">
      <c r="A271" s="5" t="str">
        <f>IFERROR(__xludf.DUMMYFUNCTION("""COMPUTED_VALUE"""),"Stick of Mystery ")</f>
        <v>Stick of Mystery </v>
      </c>
      <c r="B271" s="32" t="str">
        <f>IFERROR(__xludf.DUMMYFUNCTION("""COMPUTED_VALUE"""),"Hand")</f>
        <v>Hand</v>
      </c>
      <c r="C271" s="32" t="str">
        <f>IFERROR(__xludf.DUMMYFUNCTION("""COMPUTED_VALUE"""),"Those who doubt the stick's power will suffer the stick's wrath")</f>
        <v>Those who doubt the stick's power will suffer the stick's wrath</v>
      </c>
      <c r="D271" s="5" t="str">
        <f>IFERROR(__xludf.DUMMYFUNCTION("""COMPUTED_VALUE"""),"Wand")</f>
        <v>Wand</v>
      </c>
      <c r="E271" s="40">
        <f>IFERROR(__xludf.DUMMYFUNCTION("""COMPUTED_VALUE"""),1.0)</f>
        <v>1</v>
      </c>
      <c r="F271" s="44">
        <f>IFERROR(__xludf.DUMMYFUNCTION("""COMPUTED_VALUE"""),0.0)</f>
        <v>0</v>
      </c>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42"/>
      <c r="AE271" s="32"/>
      <c r="AF271" s="32" t="str">
        <f>IFERROR(__xludf.DUMMYFUNCTION("""COMPUTED_VALUE"""),"++roll a d20 to see what it does :)")</f>
        <v>++roll a d20 to see what it does :)</v>
      </c>
      <c r="AG271" s="32" t="str">
        <f>IFERROR(__xludf.DUMMYFUNCTION("""COMPUTED_VALUE"""),"Land of Spira")</f>
        <v>Land of Spira</v>
      </c>
      <c r="AH271" s="32" t="b">
        <f>IFERROR(__xludf.DUMMYFUNCTION("""COMPUTED_VALUE"""),FALSE)</f>
        <v>0</v>
      </c>
      <c r="AI271" s="32"/>
      <c r="AJ271" s="32"/>
      <c r="AK271" s="32"/>
      <c r="AL271" s="32"/>
      <c r="AM271" s="32"/>
      <c r="AN271" s="32"/>
      <c r="AO271" s="32"/>
      <c r="AP271" s="32"/>
      <c r="AQ271" s="32"/>
      <c r="AR271" s="32"/>
      <c r="AS271" s="32"/>
      <c r="AT271" s="32"/>
      <c r="AU271" s="32"/>
      <c r="AV271" s="32"/>
      <c r="AW271" s="32"/>
      <c r="AX271" s="32"/>
    </row>
    <row r="272">
      <c r="A272" s="32" t="str">
        <f>IFERROR(__xludf.DUMMYFUNCTION("""COMPUTED_VALUE"""),"Stone Arming Sword")</f>
        <v>Stone Arming Sword</v>
      </c>
      <c r="B272" s="32" t="str">
        <f>IFERROR(__xludf.DUMMYFUNCTION("""COMPUTED_VALUE"""),"Hand")</f>
        <v>Hand</v>
      </c>
      <c r="C272" s="32"/>
      <c r="D272" s="5" t="str">
        <f>IFERROR(__xludf.DUMMYFUNCTION("""COMPUTED_VALUE"""),"Sword")</f>
        <v>Sword</v>
      </c>
      <c r="E272" s="40">
        <f>IFERROR(__xludf.DUMMYFUNCTION("""COMPUTED_VALUE"""),20.0)</f>
        <v>20</v>
      </c>
      <c r="F272" s="44">
        <f>IFERROR(__xludf.DUMMYFUNCTION("""COMPUTED_VALUE"""),1000.0)</f>
        <v>1000</v>
      </c>
      <c r="G272" s="32" t="str">
        <f>IFERROR(__xludf.DUMMYFUNCTION("""COMPUTED_VALUE"""),"DMG")</f>
        <v>DMG</v>
      </c>
      <c r="H272" s="32">
        <f>IFERROR(__xludf.DUMMYFUNCTION("""COMPUTED_VALUE"""),500.0)</f>
        <v>500</v>
      </c>
      <c r="I272" s="32"/>
      <c r="J272" s="32"/>
      <c r="K272" s="32"/>
      <c r="L272" s="32"/>
      <c r="M272" s="32"/>
      <c r="N272" s="32"/>
      <c r="O272" s="32">
        <f>IFERROR(__xludf.DUMMYFUNCTION("""COMPUTED_VALUE"""),200.0)</f>
        <v>200</v>
      </c>
      <c r="P272" s="32"/>
      <c r="Q272" s="32"/>
      <c r="R272" s="32"/>
      <c r="S272" s="32"/>
      <c r="T272" s="32"/>
      <c r="U272" s="32"/>
      <c r="V272" s="32"/>
      <c r="W272" s="32"/>
      <c r="X272" s="32"/>
      <c r="Y272" s="32"/>
      <c r="Z272" s="32"/>
      <c r="AA272" s="32"/>
      <c r="AB272" s="32"/>
      <c r="AC272" s="32"/>
      <c r="AD272" s="32"/>
      <c r="AE272" s="32"/>
      <c r="AF272" s="32"/>
      <c r="AG272" s="32" t="str">
        <f>IFERROR(__xludf.DUMMYFUNCTION("""COMPUTED_VALUE"""),"Land of Spira")</f>
        <v>Land of Spira</v>
      </c>
      <c r="AH272" s="32" t="b">
        <f>IFERROR(__xludf.DUMMYFUNCTION("""COMPUTED_VALUE"""),TRUE)</f>
        <v>1</v>
      </c>
      <c r="AI272" s="32"/>
      <c r="AJ272" s="32"/>
      <c r="AK272" s="32"/>
      <c r="AL272" s="32"/>
      <c r="AM272" s="32"/>
      <c r="AN272" s="32"/>
      <c r="AO272" s="32"/>
      <c r="AP272" s="32"/>
      <c r="AQ272" s="32"/>
      <c r="AR272" s="32"/>
      <c r="AS272" s="32"/>
      <c r="AT272" s="32"/>
      <c r="AU272" s="32"/>
      <c r="AV272" s="32"/>
      <c r="AW272" s="32"/>
      <c r="AX272" s="32"/>
    </row>
    <row r="273">
      <c r="A273" s="32" t="str">
        <f>IFERROR(__xludf.DUMMYFUNCTION("""COMPUTED_VALUE"""),"Stone Sledgehammer")</f>
        <v>Stone Sledgehammer</v>
      </c>
      <c r="B273" s="32" t="str">
        <f>IFERROR(__xludf.DUMMYFUNCTION("""COMPUTED_VALUE"""),"Hand")</f>
        <v>Hand</v>
      </c>
      <c r="C273" s="32"/>
      <c r="D273" s="5" t="str">
        <f>IFERROR(__xludf.DUMMYFUNCTION("""COMPUTED_VALUE"""),"Club")</f>
        <v>Club</v>
      </c>
      <c r="E273" s="40">
        <f>IFERROR(__xludf.DUMMYFUNCTION("""COMPUTED_VALUE"""),20.0)</f>
        <v>20</v>
      </c>
      <c r="F273" s="44">
        <f>IFERROR(__xludf.DUMMYFUNCTION("""COMPUTED_VALUE"""),1000.0)</f>
        <v>1000</v>
      </c>
      <c r="G273" s="32" t="str">
        <f>IFERROR(__xludf.DUMMYFUNCTION("""COMPUTED_VALUE"""),"DMG")</f>
        <v>DMG</v>
      </c>
      <c r="H273" s="32">
        <f>IFERROR(__xludf.DUMMYFUNCTION("""COMPUTED_VALUE"""),400.0)</f>
        <v>400</v>
      </c>
      <c r="I273" s="32"/>
      <c r="J273" s="32"/>
      <c r="K273" s="32"/>
      <c r="L273" s="32"/>
      <c r="M273" s="32">
        <f>IFERROR(__xludf.DUMMYFUNCTION("""COMPUTED_VALUE"""),200.0)</f>
        <v>200</v>
      </c>
      <c r="N273" s="32"/>
      <c r="O273" s="32"/>
      <c r="P273" s="32"/>
      <c r="Q273" s="32"/>
      <c r="R273" s="32"/>
      <c r="S273" s="32"/>
      <c r="T273" s="32"/>
      <c r="U273" s="32"/>
      <c r="V273" s="32"/>
      <c r="W273" s="32"/>
      <c r="X273" s="32"/>
      <c r="Y273" s="32"/>
      <c r="Z273" s="32"/>
      <c r="AA273" s="32"/>
      <c r="AB273" s="32"/>
      <c r="AC273" s="32"/>
      <c r="AD273" s="32"/>
      <c r="AE273" s="32"/>
      <c r="AF273" s="32"/>
      <c r="AG273" s="32" t="str">
        <f>IFERROR(__xludf.DUMMYFUNCTION("""COMPUTED_VALUE"""),"Land of Spira")</f>
        <v>Land of Spira</v>
      </c>
      <c r="AH273" s="32" t="b">
        <f>IFERROR(__xludf.DUMMYFUNCTION("""COMPUTED_VALUE"""),TRUE)</f>
        <v>1</v>
      </c>
      <c r="AI273" s="32"/>
      <c r="AJ273" s="32"/>
      <c r="AK273" s="32"/>
      <c r="AL273" s="32"/>
      <c r="AM273" s="32"/>
      <c r="AN273" s="32"/>
      <c r="AO273" s="32"/>
      <c r="AP273" s="32"/>
      <c r="AQ273" s="32"/>
      <c r="AR273" s="32"/>
      <c r="AS273" s="32"/>
      <c r="AT273" s="32"/>
      <c r="AU273" s="32"/>
      <c r="AV273" s="32"/>
      <c r="AW273" s="32"/>
      <c r="AX273" s="32"/>
    </row>
    <row r="274">
      <c r="A274" s="32" t="str">
        <f>IFERROR(__xludf.DUMMYFUNCTION("""COMPUTED_VALUE"""),"Stone Small Shield")</f>
        <v>Stone Small Shield</v>
      </c>
      <c r="B274" s="32" t="str">
        <f>IFERROR(__xludf.DUMMYFUNCTION("""COMPUTED_VALUE"""),"Hand")</f>
        <v>Hand</v>
      </c>
      <c r="C274" s="32"/>
      <c r="D274" s="5" t="str">
        <f>IFERROR(__xludf.DUMMYFUNCTION("""COMPUTED_VALUE"""),"Buckler")</f>
        <v>Buckler</v>
      </c>
      <c r="E274" s="40">
        <f>IFERROR(__xludf.DUMMYFUNCTION("""COMPUTED_VALUE"""),1.0)</f>
        <v>1</v>
      </c>
      <c r="F274" s="44">
        <f>IFERROR(__xludf.DUMMYFUNCTION("""COMPUTED_VALUE"""),0.0)</f>
        <v>0</v>
      </c>
      <c r="G274" s="32" t="str">
        <f>IFERROR(__xludf.DUMMYFUNCTION("""COMPUTED_VALUE"""),"DEF")</f>
        <v>DEF</v>
      </c>
      <c r="H274" s="32">
        <f>IFERROR(__xludf.DUMMYFUNCTION("""COMPUTED_VALUE"""),100.0)</f>
        <v>100</v>
      </c>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t="str">
        <f>IFERROR(__xludf.DUMMYFUNCTION("""COMPUTED_VALUE"""),"Land of Spira")</f>
        <v>Land of Spira</v>
      </c>
      <c r="AH274" s="32" t="b">
        <f>IFERROR(__xludf.DUMMYFUNCTION("""COMPUTED_VALUE"""),TRUE)</f>
        <v>1</v>
      </c>
      <c r="AI274" s="32"/>
      <c r="AJ274" s="32"/>
      <c r="AK274" s="32"/>
      <c r="AL274" s="32"/>
      <c r="AM274" s="32"/>
      <c r="AN274" s="32"/>
      <c r="AO274" s="32"/>
      <c r="AP274" s="32"/>
      <c r="AQ274" s="32"/>
      <c r="AR274" s="32"/>
      <c r="AS274" s="32"/>
      <c r="AT274" s="32"/>
      <c r="AU274" s="32"/>
      <c r="AV274" s="32"/>
      <c r="AW274" s="32"/>
      <c r="AX274" s="32"/>
    </row>
    <row r="275">
      <c r="A275" s="32" t="str">
        <f>IFERROR(__xludf.DUMMYFUNCTION("""COMPUTED_VALUE"""),"Stonewall Shield")</f>
        <v>Stonewall Shield</v>
      </c>
      <c r="B275" s="32" t="str">
        <f>IFERROR(__xludf.DUMMYFUNCTION("""COMPUTED_VALUE"""),"Hand")</f>
        <v>Hand</v>
      </c>
      <c r="C275" s="32"/>
      <c r="D275" s="5" t="str">
        <f>IFERROR(__xludf.DUMMYFUNCTION("""COMPUTED_VALUE"""),"Towershield")</f>
        <v>Towershield</v>
      </c>
      <c r="E275" s="40">
        <f>IFERROR(__xludf.DUMMYFUNCTION("""COMPUTED_VALUE"""),10.0)</f>
        <v>10</v>
      </c>
      <c r="F275" s="44">
        <f>IFERROR(__xludf.DUMMYFUNCTION("""COMPUTED_VALUE"""),1000.0)</f>
        <v>1000</v>
      </c>
      <c r="G275" s="32" t="str">
        <f>IFERROR(__xludf.DUMMYFUNCTION("""COMPUTED_VALUE"""),"DEF")</f>
        <v>DEF</v>
      </c>
      <c r="H275" s="32">
        <f>IFERROR(__xludf.DUMMYFUNCTION("""COMPUTED_VALUE"""),500.0)</f>
        <v>500</v>
      </c>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t="str">
        <f>IFERROR(__xludf.DUMMYFUNCTION("""COMPUTED_VALUE"""),"++Immunity to earth")</f>
        <v>++Immunity to earth</v>
      </c>
      <c r="AG275" s="32" t="str">
        <f>IFERROR(__xludf.DUMMYFUNCTION("""COMPUTED_VALUE"""),"Land of Spira")</f>
        <v>Land of Spira</v>
      </c>
      <c r="AH275" s="32" t="b">
        <f>IFERROR(__xludf.DUMMYFUNCTION("""COMPUTED_VALUE"""),TRUE)</f>
        <v>1</v>
      </c>
      <c r="AI275" s="32"/>
      <c r="AJ275" s="32"/>
      <c r="AK275" s="32"/>
      <c r="AL275" s="32"/>
      <c r="AM275" s="32"/>
      <c r="AN275" s="32"/>
      <c r="AO275" s="32"/>
      <c r="AP275" s="32"/>
      <c r="AQ275" s="32"/>
      <c r="AR275" s="32"/>
      <c r="AS275" s="32"/>
      <c r="AT275" s="32"/>
      <c r="AU275" s="32"/>
      <c r="AV275" s="32"/>
      <c r="AW275" s="32"/>
      <c r="AX275" s="32"/>
    </row>
    <row r="276">
      <c r="A276" s="32" t="str">
        <f>IFERROR(__xludf.DUMMYFUNCTION("""COMPUTED_VALUE"""),"Sturdy Wooden Shield")</f>
        <v>Sturdy Wooden Shield</v>
      </c>
      <c r="B276" s="32" t="str">
        <f>IFERROR(__xludf.DUMMYFUNCTION("""COMPUTED_VALUE"""),"Hand")</f>
        <v>Hand</v>
      </c>
      <c r="C276" s="32" t="str">
        <f>IFERROR(__xludf.DUMMYFUNCTION("""COMPUTED_VALUE"""),"A wooden shield")</f>
        <v>A wooden shield</v>
      </c>
      <c r="D276" s="5" t="str">
        <f>IFERROR(__xludf.DUMMYFUNCTION("""COMPUTED_VALUE"""),"Towershield")</f>
        <v>Towershield</v>
      </c>
      <c r="E276" s="40">
        <f>IFERROR(__xludf.DUMMYFUNCTION("""COMPUTED_VALUE"""),1.0)</f>
        <v>1</v>
      </c>
      <c r="F276" s="44">
        <f>IFERROR(__xludf.DUMMYFUNCTION("""COMPUTED_VALUE"""),0.0)</f>
        <v>0</v>
      </c>
      <c r="G276" s="32" t="str">
        <f>IFERROR(__xludf.DUMMYFUNCTION("""COMPUTED_VALUE"""),"DEF")</f>
        <v>DEF</v>
      </c>
      <c r="H276" s="32">
        <f>IFERROR(__xludf.DUMMYFUNCTION("""COMPUTED_VALUE"""),50.0)</f>
        <v>50</v>
      </c>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t="str">
        <f>IFERROR(__xludf.DUMMYFUNCTION("""COMPUTED_VALUE"""),"Land of Spira")</f>
        <v>Land of Spira</v>
      </c>
      <c r="AH276" s="32" t="b">
        <f>IFERROR(__xludf.DUMMYFUNCTION("""COMPUTED_VALUE"""),TRUE)</f>
        <v>1</v>
      </c>
      <c r="AI276" s="32"/>
      <c r="AJ276" s="32"/>
      <c r="AK276" s="32"/>
      <c r="AL276" s="32"/>
      <c r="AM276" s="32"/>
      <c r="AN276" s="32"/>
      <c r="AO276" s="32"/>
      <c r="AP276" s="32"/>
      <c r="AQ276" s="32"/>
      <c r="AR276" s="32"/>
      <c r="AS276" s="32"/>
      <c r="AT276" s="32"/>
      <c r="AU276" s="32"/>
      <c r="AV276" s="32"/>
      <c r="AW276" s="32"/>
      <c r="AX276" s="32"/>
    </row>
    <row r="277">
      <c r="A277" s="32" t="str">
        <f>IFERROR(__xludf.DUMMYFUNCTION("""COMPUTED_VALUE"""),"Swampville Dagger")</f>
        <v>Swampville Dagger</v>
      </c>
      <c r="B277" s="32" t="str">
        <f>IFERROR(__xludf.DUMMYFUNCTION("""COMPUTED_VALUE"""),"Hand")</f>
        <v>Hand</v>
      </c>
      <c r="C277" s="32"/>
      <c r="D277" s="5" t="str">
        <f>IFERROR(__xludf.DUMMYFUNCTION("""COMPUTED_VALUE"""),"Knife")</f>
        <v>Knife</v>
      </c>
      <c r="E277" s="40">
        <f>IFERROR(__xludf.DUMMYFUNCTION("""COMPUTED_VALUE"""),400.0)</f>
        <v>400</v>
      </c>
      <c r="F277" s="44">
        <f>IFERROR(__xludf.DUMMYFUNCTION("""COMPUTED_VALUE"""),7800000.0)</f>
        <v>7800000</v>
      </c>
      <c r="G277" s="32" t="str">
        <f>IFERROR(__xludf.DUMMYFUNCTION("""COMPUTED_VALUE"""),"DMG")</f>
        <v>DMG</v>
      </c>
      <c r="H277" s="33">
        <f>IFERROR(__xludf.DUMMYFUNCTION("""COMPUTED_VALUE"""),10000.0)</f>
        <v>10000</v>
      </c>
      <c r="I277" s="32"/>
      <c r="J277" s="32"/>
      <c r="K277" s="32"/>
      <c r="L277" s="32"/>
      <c r="M277" s="32"/>
      <c r="N277" s="32"/>
      <c r="O277" s="32"/>
      <c r="P277" s="32"/>
      <c r="Q277" s="32"/>
      <c r="R277" s="32"/>
      <c r="S277" s="33">
        <f>IFERROR(__xludf.DUMMYFUNCTION("""COMPUTED_VALUE"""),10000.0)</f>
        <v>10000</v>
      </c>
      <c r="T277" s="32"/>
      <c r="U277" s="32"/>
      <c r="V277" s="32"/>
      <c r="W277" s="32"/>
      <c r="X277" s="32"/>
      <c r="Y277" s="32"/>
      <c r="Z277" s="32"/>
      <c r="AA277" s="32"/>
      <c r="AB277" s="32"/>
      <c r="AC277" s="32"/>
      <c r="AD277" s="32"/>
      <c r="AE277" s="32"/>
      <c r="AF277" s="32" t="str">
        <f>IFERROR(__xludf.DUMMYFUNCTION("""COMPUTED_VALUE"""),"++Poison 5000 for 3 rounds.")</f>
        <v>++Poison 5000 for 3 rounds.</v>
      </c>
      <c r="AG277" s="32" t="str">
        <f>IFERROR(__xludf.DUMMYFUNCTION("""COMPUTED_VALUE"""),"Land of Spira")</f>
        <v>Land of Spira</v>
      </c>
      <c r="AH277" s="32" t="b">
        <f>IFERROR(__xludf.DUMMYFUNCTION("""COMPUTED_VALUE"""),TRUE)</f>
        <v>1</v>
      </c>
      <c r="AI277" s="32"/>
      <c r="AJ277" s="32"/>
      <c r="AK277" s="32"/>
      <c r="AL277" s="32"/>
      <c r="AM277" s="32"/>
      <c r="AN277" s="32"/>
      <c r="AO277" s="32"/>
      <c r="AP277" s="32"/>
      <c r="AQ277" s="32"/>
      <c r="AR277" s="32"/>
      <c r="AS277" s="32"/>
      <c r="AT277" s="32"/>
      <c r="AU277" s="32"/>
      <c r="AV277" s="32"/>
      <c r="AW277" s="32"/>
      <c r="AX277" s="32"/>
    </row>
    <row r="278">
      <c r="A278" s="32" t="str">
        <f>IFERROR(__xludf.DUMMYFUNCTION("""COMPUTED_VALUE"""),"Sword of Bad Luck")</f>
        <v>Sword of Bad Luck</v>
      </c>
      <c r="B278" s="32" t="str">
        <f>IFERROR(__xludf.DUMMYFUNCTION("""COMPUTED_VALUE"""),"Hand")</f>
        <v>Hand</v>
      </c>
      <c r="C278" s="32"/>
      <c r="D278" s="5" t="str">
        <f>IFERROR(__xludf.DUMMYFUNCTION("""COMPUTED_VALUE"""),"Sword")</f>
        <v>Sword</v>
      </c>
      <c r="E278" s="40">
        <f>IFERROR(__xludf.DUMMYFUNCTION("""COMPUTED_VALUE"""),600.0)</f>
        <v>600</v>
      </c>
      <c r="F278" s="44">
        <f>IFERROR(__xludf.DUMMYFUNCTION("""COMPUTED_VALUE"""),1.77E7)</f>
        <v>17700000</v>
      </c>
      <c r="G278" s="32" t="str">
        <f>IFERROR(__xludf.DUMMYFUNCTION("""COMPUTED_VALUE"""),"DMG")</f>
        <v>DMG</v>
      </c>
      <c r="H278" s="33">
        <f>IFERROR(__xludf.DUMMYFUNCTION("""COMPUTED_VALUE"""),30000.0)</f>
        <v>30000</v>
      </c>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t="str">
        <f>IFERROR(__xludf.DUMMYFUNCTION("""COMPUTED_VALUE"""),"++GSteal - Steal X amount of gilders equal to the amount of damage caused with this weapon.")</f>
        <v>++GSteal - Steal X amount of gilders equal to the amount of damage caused with this weapon.</v>
      </c>
      <c r="AG278" s="32" t="str">
        <f>IFERROR(__xludf.DUMMYFUNCTION("""COMPUTED_VALUE"""),"Land of The Forgotten")</f>
        <v>Land of The Forgotten</v>
      </c>
      <c r="AH278" s="32" t="b">
        <f>IFERROR(__xludf.DUMMYFUNCTION("""COMPUTED_VALUE"""),FALSE)</f>
        <v>0</v>
      </c>
      <c r="AI278" s="32"/>
      <c r="AJ278" s="32"/>
      <c r="AK278" s="32"/>
      <c r="AL278" s="32"/>
      <c r="AM278" s="32"/>
      <c r="AN278" s="32"/>
      <c r="AO278" s="32"/>
      <c r="AP278" s="32"/>
      <c r="AQ278" s="32"/>
      <c r="AR278" s="32"/>
      <c r="AS278" s="32"/>
      <c r="AT278" s="32"/>
      <c r="AU278" s="32"/>
      <c r="AV278" s="32"/>
      <c r="AW278" s="32"/>
      <c r="AX278" s="32"/>
    </row>
    <row r="279">
      <c r="A279" s="32" t="str">
        <f>IFERROR(__xludf.DUMMYFUNCTION("""COMPUTED_VALUE"""),"Sword of Chaotic Shadows")</f>
        <v>Sword of Chaotic Shadows</v>
      </c>
      <c r="B279" s="32" t="str">
        <f>IFERROR(__xludf.DUMMYFUNCTION("""COMPUTED_VALUE"""),"Hand")</f>
        <v>Hand</v>
      </c>
      <c r="C279" s="32"/>
      <c r="D279" s="5" t="str">
        <f>IFERROR(__xludf.DUMMYFUNCTION("""COMPUTED_VALUE"""),"Sword")</f>
        <v>Sword</v>
      </c>
      <c r="E279" s="40">
        <f>IFERROR(__xludf.DUMMYFUNCTION("""COMPUTED_VALUE"""),600.0)</f>
        <v>600</v>
      </c>
      <c r="F279" s="44">
        <f>IFERROR(__xludf.DUMMYFUNCTION("""COMPUTED_VALUE"""),1.77E7)</f>
        <v>17700000</v>
      </c>
      <c r="G279" s="32" t="str">
        <f>IFERROR(__xludf.DUMMYFUNCTION("""COMPUTED_VALUE"""),"DMG")</f>
        <v>DMG</v>
      </c>
      <c r="H279" s="33">
        <f>IFERROR(__xludf.DUMMYFUNCTION("""COMPUTED_VALUE"""),10000.0)</f>
        <v>10000</v>
      </c>
      <c r="I279" s="32"/>
      <c r="J279" s="32"/>
      <c r="K279" s="32"/>
      <c r="L279" s="32"/>
      <c r="M279" s="32"/>
      <c r="N279" s="32"/>
      <c r="O279" s="33">
        <f>IFERROR(__xludf.DUMMYFUNCTION("""COMPUTED_VALUE"""),10000.0)</f>
        <v>10000</v>
      </c>
      <c r="P279" s="32"/>
      <c r="Q279" s="32"/>
      <c r="R279" s="33">
        <f>IFERROR(__xludf.DUMMYFUNCTION("""COMPUTED_VALUE"""),10000.0)</f>
        <v>10000</v>
      </c>
      <c r="S279" s="32"/>
      <c r="T279" s="32"/>
      <c r="U279" s="32"/>
      <c r="V279" s="32"/>
      <c r="W279" s="32"/>
      <c r="X279" s="32"/>
      <c r="Y279" s="32"/>
      <c r="Z279" s="32"/>
      <c r="AA279" s="32"/>
      <c r="AB279" s="32"/>
      <c r="AC279" s="32"/>
      <c r="AD279" s="32"/>
      <c r="AE279" s="32"/>
      <c r="AF279" s="32"/>
      <c r="AG279" s="32" t="str">
        <f>IFERROR(__xludf.DUMMYFUNCTION("""COMPUTED_VALUE"""),"Land of Spira")</f>
        <v>Land of Spira</v>
      </c>
      <c r="AH279" s="32" t="b">
        <f>IFERROR(__xludf.DUMMYFUNCTION("""COMPUTED_VALUE"""),TRUE)</f>
        <v>1</v>
      </c>
      <c r="AI279" s="32"/>
      <c r="AJ279" s="32"/>
      <c r="AK279" s="32"/>
      <c r="AL279" s="32"/>
      <c r="AM279" s="32"/>
      <c r="AN279" s="32"/>
      <c r="AO279" s="32"/>
      <c r="AP279" s="32"/>
      <c r="AQ279" s="32"/>
      <c r="AR279" s="32"/>
      <c r="AS279" s="32"/>
      <c r="AT279" s="32"/>
      <c r="AU279" s="32"/>
      <c r="AV279" s="32"/>
      <c r="AW279" s="32"/>
      <c r="AX279" s="32"/>
    </row>
    <row r="280">
      <c r="A280" s="32" t="str">
        <f>IFERROR(__xludf.DUMMYFUNCTION("""COMPUTED_VALUE"""),"Sword Of Darkness")</f>
        <v>Sword Of Darkness</v>
      </c>
      <c r="B280" s="32" t="str">
        <f>IFERROR(__xludf.DUMMYFUNCTION("""COMPUTED_VALUE"""),"Hand")</f>
        <v>Hand</v>
      </c>
      <c r="C280" s="32"/>
      <c r="D280" s="5" t="str">
        <f>IFERROR(__xludf.DUMMYFUNCTION("""COMPUTED_VALUE"""),"Sword")</f>
        <v>Sword</v>
      </c>
      <c r="E280" s="40">
        <f>IFERROR(__xludf.DUMMYFUNCTION("""COMPUTED_VALUE"""),20.0)</f>
        <v>20</v>
      </c>
      <c r="F280" s="44">
        <f>IFERROR(__xludf.DUMMYFUNCTION("""COMPUTED_VALUE"""),1000.0)</f>
        <v>1000</v>
      </c>
      <c r="G280" s="32" t="str">
        <f>IFERROR(__xludf.DUMMYFUNCTION("""COMPUTED_VALUE"""),"DMG")</f>
        <v>DMG</v>
      </c>
      <c r="H280" s="32">
        <f>IFERROR(__xludf.DUMMYFUNCTION("""COMPUTED_VALUE"""),500.0)</f>
        <v>500</v>
      </c>
      <c r="I280" s="32"/>
      <c r="J280" s="32"/>
      <c r="K280" s="32"/>
      <c r="L280" s="32"/>
      <c r="M280" s="32"/>
      <c r="N280" s="32"/>
      <c r="O280" s="32">
        <f>IFERROR(__xludf.DUMMYFUNCTION("""COMPUTED_VALUE"""),200.0)</f>
        <v>200</v>
      </c>
      <c r="P280" s="32"/>
      <c r="Q280" s="32"/>
      <c r="R280" s="32"/>
      <c r="S280" s="32"/>
      <c r="T280" s="32"/>
      <c r="U280" s="32"/>
      <c r="V280" s="32"/>
      <c r="W280" s="32"/>
      <c r="X280" s="32"/>
      <c r="Y280" s="32"/>
      <c r="Z280" s="32"/>
      <c r="AA280" s="32"/>
      <c r="AB280" s="32"/>
      <c r="AC280" s="32"/>
      <c r="AD280" s="32"/>
      <c r="AE280" s="32"/>
      <c r="AF280" s="32"/>
      <c r="AG280" s="32" t="str">
        <f>IFERROR(__xludf.DUMMYFUNCTION("""COMPUTED_VALUE"""),"Land of Spira")</f>
        <v>Land of Spira</v>
      </c>
      <c r="AH280" s="32" t="b">
        <f>IFERROR(__xludf.DUMMYFUNCTION("""COMPUTED_VALUE"""),TRUE)</f>
        <v>1</v>
      </c>
      <c r="AI280" s="32"/>
      <c r="AJ280" s="32"/>
      <c r="AK280" s="32"/>
      <c r="AL280" s="32"/>
      <c r="AM280" s="32"/>
      <c r="AN280" s="32"/>
      <c r="AO280" s="32"/>
      <c r="AP280" s="32"/>
      <c r="AQ280" s="32"/>
      <c r="AR280" s="32"/>
      <c r="AS280" s="32"/>
      <c r="AT280" s="32"/>
      <c r="AU280" s="32"/>
      <c r="AV280" s="32"/>
      <c r="AW280" s="32"/>
      <c r="AX280" s="32"/>
    </row>
    <row r="281">
      <c r="A281" s="32" t="str">
        <f>IFERROR(__xludf.DUMMYFUNCTION("""COMPUTED_VALUE"""),"Sword of Disorder")</f>
        <v>Sword of Disorder</v>
      </c>
      <c r="B281" s="32" t="str">
        <f>IFERROR(__xludf.DUMMYFUNCTION("""COMPUTED_VALUE"""),"Hand")</f>
        <v>Hand</v>
      </c>
      <c r="C281" s="32"/>
      <c r="D281" s="5" t="str">
        <f>IFERROR(__xludf.DUMMYFUNCTION("""COMPUTED_VALUE"""),"Sword")</f>
        <v>Sword</v>
      </c>
      <c r="E281" s="40">
        <f>IFERROR(__xludf.DUMMYFUNCTION("""COMPUTED_VALUE"""),1.0)</f>
        <v>1</v>
      </c>
      <c r="F281" s="44">
        <f>IFERROR(__xludf.DUMMYFUNCTION("""COMPUTED_VALUE"""),0.0)</f>
        <v>0</v>
      </c>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32" t="str">
        <f>IFERROR(__xludf.DUMMYFUNCTION("""COMPUTED_VALUE"""),"Land of Spira")</f>
        <v>Land of Spira</v>
      </c>
      <c r="AH281" s="32" t="b">
        <f>IFERROR(__xludf.DUMMYFUNCTION("""COMPUTED_VALUE"""),FALSE)</f>
        <v>0</v>
      </c>
      <c r="AI281" s="32"/>
      <c r="AJ281" s="32"/>
      <c r="AK281" s="32"/>
      <c r="AL281" s="32"/>
      <c r="AM281" s="32"/>
      <c r="AN281" s="32"/>
      <c r="AO281" s="32"/>
      <c r="AP281" s="32"/>
      <c r="AQ281" s="32"/>
      <c r="AR281" s="32"/>
      <c r="AS281" s="32"/>
      <c r="AT281" s="32"/>
      <c r="AU281" s="32"/>
      <c r="AV281" s="32"/>
      <c r="AW281" s="32"/>
      <c r="AX281" s="32"/>
    </row>
    <row r="282">
      <c r="A282" s="32" t="str">
        <f>IFERROR(__xludf.DUMMYFUNCTION("""COMPUTED_VALUE"""),"Sword Of Divine Flames")</f>
        <v>Sword Of Divine Flames</v>
      </c>
      <c r="B282" s="32" t="str">
        <f>IFERROR(__xludf.DUMMYFUNCTION("""COMPUTED_VALUE"""),"Hand")</f>
        <v>Hand</v>
      </c>
      <c r="C282" s="32"/>
      <c r="D282" s="5" t="str">
        <f>IFERROR(__xludf.DUMMYFUNCTION("""COMPUTED_VALUE"""),"Sword")</f>
        <v>Sword</v>
      </c>
      <c r="E282" s="40">
        <f>IFERROR(__xludf.DUMMYFUNCTION("""COMPUTED_VALUE"""),300.0)</f>
        <v>300</v>
      </c>
      <c r="F282" s="44">
        <f>IFERROR(__xludf.DUMMYFUNCTION("""COMPUTED_VALUE"""),4350000.0)</f>
        <v>4350000</v>
      </c>
      <c r="G282" s="32" t="str">
        <f>IFERROR(__xludf.DUMMYFUNCTION("""COMPUTED_VALUE"""),"DMG")</f>
        <v>DMG</v>
      </c>
      <c r="H282" s="32">
        <f>IFERROR(__xludf.DUMMYFUNCTION("""COMPUTED_VALUE"""),10000.0)</f>
        <v>10000</v>
      </c>
      <c r="I282" s="32">
        <f>IFERROR(__xludf.DUMMYFUNCTION("""COMPUTED_VALUE"""),5000.0)</f>
        <v>5000</v>
      </c>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t="str">
        <f>IFERROR(__xludf.DUMMYFUNCTION("""COMPUTED_VALUE"""),"++Divine Flame - Fire spells and weapons will deal an additional X2 damage while this weapon is equipped")</f>
        <v>++Divine Flame - Fire spells and weapons will deal an additional X2 damage while this weapon is equipped</v>
      </c>
      <c r="AG282" s="32" t="str">
        <f>IFERROR(__xludf.DUMMYFUNCTION("""COMPUTED_VALUE"""),"Land of Spira")</f>
        <v>Land of Spira</v>
      </c>
      <c r="AH282" s="32" t="b">
        <f>IFERROR(__xludf.DUMMYFUNCTION("""COMPUTED_VALUE"""),FALSE)</f>
        <v>0</v>
      </c>
      <c r="AI282" s="32"/>
      <c r="AJ282" s="32"/>
      <c r="AK282" s="32"/>
      <c r="AL282" s="32"/>
      <c r="AM282" s="32"/>
      <c r="AN282" s="32"/>
      <c r="AO282" s="32"/>
      <c r="AP282" s="32"/>
      <c r="AQ282" s="32"/>
      <c r="AR282" s="32"/>
      <c r="AS282" s="32"/>
      <c r="AT282" s="32"/>
      <c r="AU282" s="32"/>
      <c r="AV282" s="32"/>
      <c r="AW282" s="32"/>
      <c r="AX282" s="32"/>
    </row>
    <row r="283">
      <c r="A283" s="32" t="str">
        <f>IFERROR(__xludf.DUMMYFUNCTION("""COMPUTED_VALUE"""),"Sword of Eternal darkness")</f>
        <v>Sword of Eternal darkness</v>
      </c>
      <c r="B283" s="32" t="str">
        <f>IFERROR(__xludf.DUMMYFUNCTION("""COMPUTED_VALUE"""),"Hand")</f>
        <v>Hand</v>
      </c>
      <c r="C283" s="32"/>
      <c r="D283" s="5" t="str">
        <f>IFERROR(__xludf.DUMMYFUNCTION("""COMPUTED_VALUE"""),"Sword")</f>
        <v>Sword</v>
      </c>
      <c r="E283" s="40">
        <f>IFERROR(__xludf.DUMMYFUNCTION("""COMPUTED_VALUE"""),30.0)</f>
        <v>30</v>
      </c>
      <c r="F283" s="44">
        <f>IFERROR(__xludf.DUMMYFUNCTION("""COMPUTED_VALUE"""),10000.0)</f>
        <v>10000</v>
      </c>
      <c r="G283" s="32" t="str">
        <f>IFERROR(__xludf.DUMMYFUNCTION("""COMPUTED_VALUE"""),"DMG")</f>
        <v>DMG</v>
      </c>
      <c r="H283" s="32">
        <f>IFERROR(__xludf.DUMMYFUNCTION("""COMPUTED_VALUE"""),500.0)</f>
        <v>500</v>
      </c>
      <c r="I283" s="32"/>
      <c r="J283" s="32"/>
      <c r="K283" s="32"/>
      <c r="L283" s="32"/>
      <c r="M283" s="32"/>
      <c r="N283" s="32"/>
      <c r="O283" s="32">
        <f>IFERROR(__xludf.DUMMYFUNCTION("""COMPUTED_VALUE"""),600.0)</f>
        <v>600</v>
      </c>
      <c r="P283" s="32"/>
      <c r="Q283" s="32"/>
      <c r="R283" s="32"/>
      <c r="S283" s="32"/>
      <c r="T283" s="32"/>
      <c r="U283" s="32"/>
      <c r="V283" s="32"/>
      <c r="W283" s="32"/>
      <c r="X283" s="32"/>
      <c r="Y283" s="32"/>
      <c r="Z283" s="32"/>
      <c r="AA283" s="32"/>
      <c r="AB283" s="32"/>
      <c r="AC283" s="32"/>
      <c r="AD283" s="32"/>
      <c r="AE283" s="32"/>
      <c r="AF283" s="32"/>
      <c r="AG283" s="32" t="str">
        <f>IFERROR(__xludf.DUMMYFUNCTION("""COMPUTED_VALUE"""),"Land of Spira")</f>
        <v>Land of Spira</v>
      </c>
      <c r="AH283" s="32" t="b">
        <f>IFERROR(__xludf.DUMMYFUNCTION("""COMPUTED_VALUE"""),TRUE)</f>
        <v>1</v>
      </c>
      <c r="AI283" s="32"/>
      <c r="AJ283" s="32"/>
      <c r="AK283" s="32"/>
      <c r="AL283" s="32"/>
      <c r="AM283" s="32"/>
      <c r="AN283" s="32"/>
      <c r="AO283" s="32"/>
      <c r="AP283" s="32"/>
      <c r="AQ283" s="32"/>
      <c r="AR283" s="32"/>
      <c r="AS283" s="32"/>
      <c r="AT283" s="32"/>
      <c r="AU283" s="32"/>
      <c r="AV283" s="32"/>
      <c r="AW283" s="32"/>
      <c r="AX283" s="32"/>
    </row>
    <row r="284">
      <c r="A284" s="32" t="str">
        <f>IFERROR(__xludf.DUMMYFUNCTION("""COMPUTED_VALUE"""),"Hela's Death Scythe")</f>
        <v>Hela's Death Scythe</v>
      </c>
      <c r="B284" s="32" t="str">
        <f>IFERROR(__xludf.DUMMYFUNCTION("""COMPUTED_VALUE"""),"Hand")</f>
        <v>Hand</v>
      </c>
      <c r="C284" s="32"/>
      <c r="D284" s="5" t="str">
        <f>IFERROR(__xludf.DUMMYFUNCTION("""COMPUTED_VALUE"""),"Scythe")</f>
        <v>Scythe</v>
      </c>
      <c r="E284" s="40">
        <f>IFERROR(__xludf.DUMMYFUNCTION("""COMPUTED_VALUE"""),1.0)</f>
        <v>1</v>
      </c>
      <c r="F284" s="44">
        <f>IFERROR(__xludf.DUMMYFUNCTION("""COMPUTED_VALUE"""),0.0)</f>
        <v>0</v>
      </c>
      <c r="G284" s="32" t="str">
        <f>IFERROR(__xludf.DUMMYFUNCTION("""COMPUTED_VALUE"""),"DMG")</f>
        <v>DMG</v>
      </c>
      <c r="H284" s="33">
        <f>IFERROR(__xludf.DUMMYFUNCTION("""COMPUTED_VALUE"""),0.0)</f>
        <v>0</v>
      </c>
      <c r="I284" s="32"/>
      <c r="J284" s="32"/>
      <c r="K284" s="32"/>
      <c r="L284" s="32"/>
      <c r="M284" s="32"/>
      <c r="N284" s="32"/>
      <c r="O284" s="32"/>
      <c r="P284" s="33">
        <f>IFERROR(__xludf.DUMMYFUNCTION("""COMPUTED_VALUE"""),0.0)</f>
        <v>0</v>
      </c>
      <c r="Q284" s="32"/>
      <c r="R284" s="32"/>
      <c r="S284" s="32"/>
      <c r="T284" s="32"/>
      <c r="U284" s="32"/>
      <c r="V284" s="32"/>
      <c r="W284" s="32"/>
      <c r="X284" s="32"/>
      <c r="Y284" s="32"/>
      <c r="Z284" s="32"/>
      <c r="AA284" s="32"/>
      <c r="AB284" s="32"/>
      <c r="AC284" s="32"/>
      <c r="AD284" s="32"/>
      <c r="AE284" s="32"/>
      <c r="AF284" s="32"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32" t="str">
        <f>IFERROR(__xludf.DUMMYFUNCTION("""COMPUTED_VALUE"""),"Abstara")</f>
        <v>Abstara</v>
      </c>
      <c r="AH284" s="32" t="b">
        <f>IFERROR(__xludf.DUMMYFUNCTION("""COMPUTED_VALUE"""),TRUE)</f>
        <v>1</v>
      </c>
      <c r="AI284" s="32"/>
      <c r="AJ284" s="32"/>
      <c r="AK284" s="32"/>
      <c r="AL284" s="32"/>
      <c r="AM284" s="32"/>
      <c r="AN284" s="32"/>
      <c r="AO284" s="32"/>
      <c r="AP284" s="32"/>
      <c r="AQ284" s="32"/>
      <c r="AR284" s="32"/>
      <c r="AS284" s="32"/>
      <c r="AT284" s="32"/>
      <c r="AU284" s="32"/>
      <c r="AV284" s="32"/>
      <c r="AW284" s="32"/>
      <c r="AX284" s="32"/>
    </row>
    <row r="285">
      <c r="A285" s="32" t="str">
        <f>IFERROR(__xludf.DUMMYFUNCTION("""COMPUTED_VALUE"""),"Sword of Nature’s Love")</f>
        <v>Sword of Nature’s Love</v>
      </c>
      <c r="B285" s="32" t="str">
        <f>IFERROR(__xludf.DUMMYFUNCTION("""COMPUTED_VALUE"""),"Hand")</f>
        <v>Hand</v>
      </c>
      <c r="C285" s="32"/>
      <c r="D285" s="5" t="str">
        <f>IFERROR(__xludf.DUMMYFUNCTION("""COMPUTED_VALUE"""),"Sword")</f>
        <v>Sword</v>
      </c>
      <c r="E285" s="40">
        <f>IFERROR(__xludf.DUMMYFUNCTION("""COMPUTED_VALUE"""),160.0)</f>
        <v>160</v>
      </c>
      <c r="F285" s="44">
        <f>IFERROR(__xludf.DUMMYFUNCTION("""COMPUTED_VALUE"""),1200000.0)</f>
        <v>1200000</v>
      </c>
      <c r="G285" s="32" t="str">
        <f>IFERROR(__xludf.DUMMYFUNCTION("""COMPUTED_VALUE"""),"DMG")</f>
        <v>DMG</v>
      </c>
      <c r="H285" s="33">
        <f>IFERROR(__xludf.DUMMYFUNCTION("""COMPUTED_VALUE"""),4000.0)</f>
        <v>4000</v>
      </c>
      <c r="I285" s="32"/>
      <c r="J285" s="32"/>
      <c r="K285" s="32"/>
      <c r="L285" s="32"/>
      <c r="M285" s="32"/>
      <c r="N285" s="32"/>
      <c r="O285" s="32"/>
      <c r="P285" s="32"/>
      <c r="Q285" s="32"/>
      <c r="R285" s="32"/>
      <c r="S285" s="33">
        <f>IFERROR(__xludf.DUMMYFUNCTION("""COMPUTED_VALUE"""),4000.0)</f>
        <v>4000</v>
      </c>
      <c r="T285" s="32"/>
      <c r="U285" s="32"/>
      <c r="V285" s="32"/>
      <c r="W285" s="32"/>
      <c r="X285" s="32"/>
      <c r="Y285" s="32"/>
      <c r="Z285" s="32"/>
      <c r="AA285" s="32"/>
      <c r="AB285" s="32"/>
      <c r="AC285" s="32"/>
      <c r="AD285" s="32"/>
      <c r="AE285" s="32"/>
      <c r="AF285" s="32" t="str">
        <f>IFERROR(__xludf.DUMMYFUNCTION("""COMPUTED_VALUE"""),"++Nature's Power - any damage dealt by this weapon gives HP back to the user equal to the damage dealt.")</f>
        <v>++Nature's Power - any damage dealt by this weapon gives HP back to the user equal to the damage dealt.</v>
      </c>
      <c r="AG285" s="32" t="str">
        <f>IFERROR(__xludf.DUMMYFUNCTION("""COMPUTED_VALUE"""),"Land of Spira")</f>
        <v>Land of Spira</v>
      </c>
      <c r="AH285" s="32" t="b">
        <f>IFERROR(__xludf.DUMMYFUNCTION("""COMPUTED_VALUE"""),FALSE)</f>
        <v>0</v>
      </c>
      <c r="AI285" s="32"/>
      <c r="AJ285" s="32"/>
      <c r="AK285" s="32"/>
      <c r="AL285" s="32"/>
      <c r="AM285" s="32"/>
      <c r="AN285" s="32"/>
      <c r="AO285" s="32"/>
      <c r="AP285" s="32"/>
      <c r="AQ285" s="32"/>
      <c r="AR285" s="32"/>
      <c r="AS285" s="32"/>
      <c r="AT285" s="32"/>
      <c r="AU285" s="32"/>
      <c r="AV285" s="32"/>
      <c r="AW285" s="32"/>
      <c r="AX285" s="32"/>
    </row>
    <row r="286">
      <c r="A286" s="32" t="str">
        <f>IFERROR(__xludf.DUMMYFUNCTION("""COMPUTED_VALUE"""),"Sword of Shadows")</f>
        <v>Sword of Shadows</v>
      </c>
      <c r="B286" s="32" t="str">
        <f>IFERROR(__xludf.DUMMYFUNCTION("""COMPUTED_VALUE"""),"Hand")</f>
        <v>Hand</v>
      </c>
      <c r="C286" s="32"/>
      <c r="D286" s="5" t="str">
        <f>IFERROR(__xludf.DUMMYFUNCTION("""COMPUTED_VALUE"""),"Sword")</f>
        <v>Sword</v>
      </c>
      <c r="E286" s="40">
        <f>IFERROR(__xludf.DUMMYFUNCTION("""COMPUTED_VALUE"""),30.0)</f>
        <v>30</v>
      </c>
      <c r="F286" s="44">
        <f>IFERROR(__xludf.DUMMYFUNCTION("""COMPUTED_VALUE"""),30000.0)</f>
        <v>30000</v>
      </c>
      <c r="G286" s="32" t="str">
        <f>IFERROR(__xludf.DUMMYFUNCTION("""COMPUTED_VALUE"""),"DMG")</f>
        <v>DMG</v>
      </c>
      <c r="H286" s="32">
        <f>IFERROR(__xludf.DUMMYFUNCTION("""COMPUTED_VALUE"""),1000.0)</f>
        <v>1000</v>
      </c>
      <c r="I286" s="32"/>
      <c r="J286" s="32"/>
      <c r="K286" s="32"/>
      <c r="L286" s="32"/>
      <c r="M286" s="32"/>
      <c r="N286" s="32"/>
      <c r="O286" s="32">
        <f>IFERROR(__xludf.DUMMYFUNCTION("""COMPUTED_VALUE"""),500.0)</f>
        <v>500</v>
      </c>
      <c r="P286" s="32"/>
      <c r="Q286" s="32"/>
      <c r="R286" s="32"/>
      <c r="S286" s="32"/>
      <c r="T286" s="32"/>
      <c r="U286" s="32"/>
      <c r="V286" s="32"/>
      <c r="W286" s="32"/>
      <c r="X286" s="32"/>
      <c r="Y286" s="32"/>
      <c r="Z286" s="32"/>
      <c r="AA286" s="32"/>
      <c r="AB286" s="32"/>
      <c r="AC286" s="32"/>
      <c r="AD286" s="32"/>
      <c r="AE286" s="32"/>
      <c r="AF286" s="32"/>
      <c r="AG286" s="32" t="str">
        <f>IFERROR(__xludf.DUMMYFUNCTION("""COMPUTED_VALUE"""),"Land of Spira")</f>
        <v>Land of Spira</v>
      </c>
      <c r="AH286" s="32" t="b">
        <f>IFERROR(__xludf.DUMMYFUNCTION("""COMPUTED_VALUE"""),TRUE)</f>
        <v>1</v>
      </c>
      <c r="AI286" s="32"/>
      <c r="AJ286" s="32"/>
      <c r="AK286" s="32"/>
      <c r="AL286" s="32"/>
      <c r="AM286" s="32"/>
      <c r="AN286" s="32"/>
      <c r="AO286" s="32"/>
      <c r="AP286" s="32"/>
      <c r="AQ286" s="32"/>
      <c r="AR286" s="32"/>
      <c r="AS286" s="32"/>
      <c r="AT286" s="32"/>
      <c r="AU286" s="32"/>
      <c r="AV286" s="32"/>
      <c r="AW286" s="32"/>
      <c r="AX286" s="32"/>
    </row>
    <row r="287">
      <c r="A287" s="32" t="str">
        <f>IFERROR(__xludf.DUMMYFUNCTION("""COMPUTED_VALUE"""),"Sword of Steel")</f>
        <v>Sword of Steel</v>
      </c>
      <c r="B287" s="32" t="str">
        <f>IFERROR(__xludf.DUMMYFUNCTION("""COMPUTED_VALUE"""),"Hand")</f>
        <v>Hand</v>
      </c>
      <c r="C287" s="32"/>
      <c r="D287" s="5" t="str">
        <f>IFERROR(__xludf.DUMMYFUNCTION("""COMPUTED_VALUE"""),"Sword")</f>
        <v>Sword</v>
      </c>
      <c r="E287" s="40">
        <f>IFERROR(__xludf.DUMMYFUNCTION("""COMPUTED_VALUE"""),1.0)</f>
        <v>1</v>
      </c>
      <c r="F287" s="44">
        <f>IFERROR(__xludf.DUMMYFUNCTION("""COMPUTED_VALUE"""),0.0)</f>
        <v>0</v>
      </c>
      <c r="G287" s="32" t="str">
        <f>IFERROR(__xludf.DUMMYFUNCTION("""COMPUTED_VALUE"""),"DMG")</f>
        <v>DMG</v>
      </c>
      <c r="H287" s="32">
        <f>IFERROR(__xludf.DUMMYFUNCTION("""COMPUTED_VALUE"""),300.0)</f>
        <v>300</v>
      </c>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t="str">
        <f>IFERROR(__xludf.DUMMYFUNCTION("""COMPUTED_VALUE"""),"Land of Spira")</f>
        <v>Land of Spira</v>
      </c>
      <c r="AH287" s="32" t="b">
        <f>IFERROR(__xludf.DUMMYFUNCTION("""COMPUTED_VALUE"""),TRUE)</f>
        <v>1</v>
      </c>
      <c r="AI287" s="32"/>
      <c r="AJ287" s="32"/>
      <c r="AK287" s="32"/>
      <c r="AL287" s="32"/>
      <c r="AM287" s="32"/>
      <c r="AN287" s="32"/>
      <c r="AO287" s="32"/>
      <c r="AP287" s="32"/>
      <c r="AQ287" s="32"/>
      <c r="AR287" s="32"/>
      <c r="AS287" s="32"/>
      <c r="AT287" s="32"/>
      <c r="AU287" s="32"/>
      <c r="AV287" s="32"/>
      <c r="AW287" s="32"/>
      <c r="AX287" s="32"/>
    </row>
    <row r="288">
      <c r="A288" s="32" t="str">
        <f>IFERROR(__xludf.DUMMYFUNCTION("""COMPUTED_VALUE"""),"Sword of The Abyss")</f>
        <v>Sword of The Abyss</v>
      </c>
      <c r="B288" s="32" t="str">
        <f>IFERROR(__xludf.DUMMYFUNCTION("""COMPUTED_VALUE"""),"Hand")</f>
        <v>Hand</v>
      </c>
      <c r="C288" s="32"/>
      <c r="D288" s="5" t="str">
        <f>IFERROR(__xludf.DUMMYFUNCTION("""COMPUTED_VALUE"""),"Sword")</f>
        <v>Sword</v>
      </c>
      <c r="E288" s="40">
        <f>IFERROR(__xludf.DUMMYFUNCTION("""COMPUTED_VALUE"""),260.0)</f>
        <v>260</v>
      </c>
      <c r="F288" s="44">
        <f>IFERROR(__xludf.DUMMYFUNCTION("""COMPUTED_VALUE"""),3250000.0)</f>
        <v>3250000</v>
      </c>
      <c r="G288" s="32" t="str">
        <f>IFERROR(__xludf.DUMMYFUNCTION("""COMPUTED_VALUE"""),"DMG")</f>
        <v>DMG</v>
      </c>
      <c r="H288" s="32">
        <f>IFERROR(__xludf.DUMMYFUNCTION("""COMPUTED_VALUE"""),8000.0)</f>
        <v>8000</v>
      </c>
      <c r="I288" s="32"/>
      <c r="J288" s="32"/>
      <c r="K288" s="32"/>
      <c r="L288" s="32"/>
      <c r="M288" s="32"/>
      <c r="N288" s="32"/>
      <c r="O288" s="32">
        <f>IFERROR(__xludf.DUMMYFUNCTION("""COMPUTED_VALUE"""),5000.0)</f>
        <v>5000</v>
      </c>
      <c r="P288" s="32"/>
      <c r="Q288" s="32"/>
      <c r="R288" s="32"/>
      <c r="S288" s="32"/>
      <c r="T288" s="32"/>
      <c r="U288" s="32"/>
      <c r="V288" s="32"/>
      <c r="W288" s="32"/>
      <c r="X288" s="32"/>
      <c r="Y288" s="32"/>
      <c r="Z288" s="32"/>
      <c r="AA288" s="32"/>
      <c r="AB288" s="32"/>
      <c r="AC288" s="32"/>
      <c r="AD288" s="32"/>
      <c r="AE288" s="32"/>
      <c r="AF288" s="32" t="str">
        <f>IFERROR(__xludf.DUMMYFUNCTION("""COMPUTED_VALUE"""),"++Abyss Embodiment - dark damage is increased by X2 for the user.")</f>
        <v>++Abyss Embodiment - dark damage is increased by X2 for the user.</v>
      </c>
      <c r="AG288" s="32" t="str">
        <f>IFERROR(__xludf.DUMMYFUNCTION("""COMPUTED_VALUE"""),"Land of Spira")</f>
        <v>Land of Spira</v>
      </c>
      <c r="AH288" s="32" t="b">
        <f>IFERROR(__xludf.DUMMYFUNCTION("""COMPUTED_VALUE"""),FALSE)</f>
        <v>0</v>
      </c>
      <c r="AI288" s="32"/>
      <c r="AJ288" s="32"/>
      <c r="AK288" s="32"/>
      <c r="AL288" s="32"/>
      <c r="AM288" s="32"/>
      <c r="AN288" s="32"/>
      <c r="AO288" s="32"/>
      <c r="AP288" s="32"/>
      <c r="AQ288" s="32"/>
      <c r="AR288" s="32"/>
      <c r="AS288" s="32"/>
      <c r="AT288" s="32"/>
      <c r="AU288" s="32"/>
      <c r="AV288" s="32"/>
      <c r="AW288" s="32"/>
      <c r="AX288" s="32"/>
    </row>
    <row r="289">
      <c r="A289" s="32" t="str">
        <f>IFERROR(__xludf.DUMMYFUNCTION("""COMPUTED_VALUE"""),"Sword of The Ancient Fire Serpent")</f>
        <v>Sword of The Ancient Fire Serpent</v>
      </c>
      <c r="B289" s="32" t="str">
        <f>IFERROR(__xludf.DUMMYFUNCTION("""COMPUTED_VALUE"""),"Hand")</f>
        <v>Hand</v>
      </c>
      <c r="C289" s="32"/>
      <c r="D289" s="5" t="str">
        <f>IFERROR(__xludf.DUMMYFUNCTION("""COMPUTED_VALUE"""),"Sword")</f>
        <v>Sword</v>
      </c>
      <c r="E289" s="40">
        <f>IFERROR(__xludf.DUMMYFUNCTION("""COMPUTED_VALUE"""),2000.0)</f>
        <v>2000</v>
      </c>
      <c r="F289" s="44">
        <f>IFERROR(__xludf.DUMMYFUNCTION("""COMPUTED_VALUE"""),1.99E8)</f>
        <v>199000000</v>
      </c>
      <c r="G289" s="32" t="str">
        <f>IFERROR(__xludf.DUMMYFUNCTION("""COMPUTED_VALUE"""),"DMG")</f>
        <v>DMG</v>
      </c>
      <c r="H289" s="33">
        <f>IFERROR(__xludf.DUMMYFUNCTION("""COMPUTED_VALUE"""),50000.0)</f>
        <v>50000</v>
      </c>
      <c r="I289" s="33">
        <f>IFERROR(__xludf.DUMMYFUNCTION("""COMPUTED_VALUE"""),50000.0)</f>
        <v>50000</v>
      </c>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t="str">
        <f>IFERROR(__xludf.DUMMYFUNCTION("""COMPUTED_VALUE"""),"++ Burn 50,000. ++Serpents Luck - +5 can be added to the users d20 rolls. +-Cannot be duplicated.")</f>
        <v>++ Burn 50,000. ++Serpents Luck - +5 can be added to the users d20 rolls. +-Cannot be duplicated.</v>
      </c>
      <c r="AG289" s="32" t="str">
        <f>IFERROR(__xludf.DUMMYFUNCTION("""COMPUTED_VALUE"""),"Land of Spira")</f>
        <v>Land of Spira</v>
      </c>
      <c r="AH289" s="32" t="b">
        <f>IFERROR(__xludf.DUMMYFUNCTION("""COMPUTED_VALUE"""),TRUE)</f>
        <v>1</v>
      </c>
      <c r="AI289" s="32"/>
      <c r="AJ289" s="32"/>
      <c r="AK289" s="32"/>
      <c r="AL289" s="32"/>
      <c r="AM289" s="32"/>
      <c r="AN289" s="32"/>
      <c r="AO289" s="32"/>
      <c r="AP289" s="32"/>
      <c r="AQ289" s="32"/>
      <c r="AR289" s="32"/>
      <c r="AS289" s="32"/>
      <c r="AT289" s="32"/>
      <c r="AU289" s="32"/>
      <c r="AV289" s="32"/>
      <c r="AW289" s="32"/>
      <c r="AX289" s="32"/>
    </row>
    <row r="290">
      <c r="A290" s="32" t="str">
        <f>IFERROR(__xludf.DUMMYFUNCTION("""COMPUTED_VALUE"""),"Sword of The Burning Forest")</f>
        <v>Sword of The Burning Forest</v>
      </c>
      <c r="B290" s="32" t="str">
        <f>IFERROR(__xludf.DUMMYFUNCTION("""COMPUTED_VALUE"""),"Hand")</f>
        <v>Hand</v>
      </c>
      <c r="C290" s="32" t="str">
        <f>IFERROR(__xludf.DUMMYFUNCTION("""COMPUTED_VALUE"""),"A sword forged by mekana to obliterate natural environments.")</f>
        <v>A sword forged by mekana to obliterate natural environments.</v>
      </c>
      <c r="D290" s="5" t="str">
        <f>IFERROR(__xludf.DUMMYFUNCTION("""COMPUTED_VALUE"""),"Sword")</f>
        <v>Sword</v>
      </c>
      <c r="E290" s="40">
        <f>IFERROR(__xludf.DUMMYFUNCTION("""COMPUTED_VALUE"""),600.0)</f>
        <v>600</v>
      </c>
      <c r="F290" s="44">
        <f>IFERROR(__xludf.DUMMYFUNCTION("""COMPUTED_VALUE"""),1.77E7)</f>
        <v>17700000</v>
      </c>
      <c r="G290" s="32" t="str">
        <f>IFERROR(__xludf.DUMMYFUNCTION("""COMPUTED_VALUE"""),"DMG")</f>
        <v>DMG</v>
      </c>
      <c r="H290" s="33">
        <f>IFERROR(__xludf.DUMMYFUNCTION("""COMPUTED_VALUE"""),20000.0)</f>
        <v>20000</v>
      </c>
      <c r="I290" s="33">
        <f>IFERROR(__xludf.DUMMYFUNCTION("""COMPUTED_VALUE"""),10000.0)</f>
        <v>10000</v>
      </c>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t="str">
        <f>IFERROR(__xludf.DUMMYFUNCTION("""COMPUTED_VALUE"""),"++Forest Fire- Burn 10,000, x4 fire damage while in a natural environment.")</f>
        <v>++Forest Fire- Burn 10,000, x4 fire damage while in a natural environment.</v>
      </c>
      <c r="AG290" s="32" t="str">
        <f>IFERROR(__xludf.DUMMYFUNCTION("""COMPUTED_VALUE"""),"Land of Spira")</f>
        <v>Land of Spira</v>
      </c>
      <c r="AH290" s="32" t="b">
        <f>IFERROR(__xludf.DUMMYFUNCTION("""COMPUTED_VALUE"""),FALSE)</f>
        <v>0</v>
      </c>
      <c r="AI290" s="32"/>
      <c r="AJ290" s="32"/>
      <c r="AK290" s="32"/>
      <c r="AL290" s="32"/>
      <c r="AM290" s="32"/>
      <c r="AN290" s="32"/>
      <c r="AO290" s="32"/>
      <c r="AP290" s="32"/>
      <c r="AQ290" s="32"/>
      <c r="AR290" s="32"/>
      <c r="AS290" s="32"/>
      <c r="AT290" s="32"/>
      <c r="AU290" s="32"/>
      <c r="AV290" s="32"/>
      <c r="AW290" s="32"/>
      <c r="AX290" s="32"/>
    </row>
    <row r="291">
      <c r="A291" s="32" t="str">
        <f>IFERROR(__xludf.DUMMYFUNCTION("""COMPUTED_VALUE"""),"Sword of The Crystal Chosen")</f>
        <v>Sword of The Crystal Chosen</v>
      </c>
      <c r="B291" s="32" t="str">
        <f>IFERROR(__xludf.DUMMYFUNCTION("""COMPUTED_VALUE"""),"Hand")</f>
        <v>Hand</v>
      </c>
      <c r="C291" s="32"/>
      <c r="D291" s="5" t="str">
        <f>IFERROR(__xludf.DUMMYFUNCTION("""COMPUTED_VALUE"""),"Sword")</f>
        <v>Sword</v>
      </c>
      <c r="E291" s="40">
        <f>IFERROR(__xludf.DUMMYFUNCTION("""COMPUTED_VALUE"""),400.0)</f>
        <v>400</v>
      </c>
      <c r="F291" s="44">
        <f>IFERROR(__xludf.DUMMYFUNCTION("""COMPUTED_VALUE"""),7800000.0)</f>
        <v>7800000</v>
      </c>
      <c r="G291" s="32" t="str">
        <f>IFERROR(__xludf.DUMMYFUNCTION("""COMPUTED_VALUE"""),"DMG")</f>
        <v>DMG</v>
      </c>
      <c r="H291" s="33">
        <f>IFERROR(__xludf.DUMMYFUNCTION("""COMPUTED_VALUE"""),10000.0)</f>
        <v>10000</v>
      </c>
      <c r="I291" s="32"/>
      <c r="J291" s="32"/>
      <c r="K291" s="32"/>
      <c r="L291" s="32"/>
      <c r="M291" s="33">
        <f>IFERROR(__xludf.DUMMYFUNCTION("""COMPUTED_VALUE"""),10000.0)</f>
        <v>10000</v>
      </c>
      <c r="N291" s="32"/>
      <c r="O291" s="32"/>
      <c r="P291" s="32"/>
      <c r="Q291" s="32"/>
      <c r="R291" s="32"/>
      <c r="S291" s="32"/>
      <c r="T291" s="32"/>
      <c r="U291" s="32"/>
      <c r="V291" s="32"/>
      <c r="W291" s="32"/>
      <c r="X291" s="32"/>
      <c r="Y291" s="32"/>
      <c r="Z291" s="32"/>
      <c r="AA291" s="32"/>
      <c r="AB291" s="32"/>
      <c r="AC291" s="32"/>
      <c r="AD291" s="32"/>
      <c r="AE291" s="32"/>
      <c r="AF291" s="32"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32" t="str">
        <f>IFERROR(__xludf.DUMMYFUNCTION("""COMPUTED_VALUE"""),"Land of Spira")</f>
        <v>Land of Spira</v>
      </c>
      <c r="AH291" s="32" t="b">
        <f>IFERROR(__xludf.DUMMYFUNCTION("""COMPUTED_VALUE"""),FALSE)</f>
        <v>0</v>
      </c>
      <c r="AI291" s="32"/>
      <c r="AJ291" s="32"/>
      <c r="AK291" s="32"/>
      <c r="AL291" s="32"/>
      <c r="AM291" s="32"/>
      <c r="AN291" s="32"/>
      <c r="AO291" s="32"/>
      <c r="AP291" s="32"/>
      <c r="AQ291" s="32"/>
      <c r="AR291" s="32"/>
      <c r="AS291" s="32"/>
      <c r="AT291" s="32"/>
      <c r="AU291" s="32"/>
      <c r="AV291" s="32"/>
      <c r="AW291" s="32"/>
      <c r="AX291" s="32"/>
    </row>
    <row r="292">
      <c r="A292" s="32" t="str">
        <f>IFERROR(__xludf.DUMMYFUNCTION("""COMPUTED_VALUE"""),"Sword Of The Cursed Naga")</f>
        <v>Sword Of The Cursed Naga</v>
      </c>
      <c r="B292" s="32" t="str">
        <f>IFERROR(__xludf.DUMMYFUNCTION("""COMPUTED_VALUE"""),"Hand")</f>
        <v>Hand</v>
      </c>
      <c r="C292" s="32"/>
      <c r="D292" s="5" t="str">
        <f>IFERROR(__xludf.DUMMYFUNCTION("""COMPUTED_VALUE"""),"Sword")</f>
        <v>Sword</v>
      </c>
      <c r="E292" s="40">
        <f>IFERROR(__xludf.DUMMYFUNCTION("""COMPUTED_VALUE"""),200.0)</f>
        <v>200</v>
      </c>
      <c r="F292" s="44">
        <f>IFERROR(__xludf.DUMMYFUNCTION("""COMPUTED_VALUE"""),2.868E8)</f>
        <v>286800000</v>
      </c>
      <c r="G292" s="32" t="str">
        <f>IFERROR(__xludf.DUMMYFUNCTION("""COMPUTED_VALUE"""),"DMG")</f>
        <v>DMG</v>
      </c>
      <c r="H292" s="32">
        <f>IFERROR(__xludf.DUMMYFUNCTION("""COMPUTED_VALUE"""),10000.0)</f>
        <v>10000</v>
      </c>
      <c r="I292" s="32"/>
      <c r="J292" s="32"/>
      <c r="K292" s="32"/>
      <c r="L292" s="32"/>
      <c r="M292" s="33">
        <f>IFERROR(__xludf.DUMMYFUNCTION("""COMPUTED_VALUE"""),50000.0)</f>
        <v>50000</v>
      </c>
      <c r="N292" s="32"/>
      <c r="O292" s="32"/>
      <c r="P292" s="32"/>
      <c r="Q292" s="32"/>
      <c r="R292" s="32"/>
      <c r="S292" s="32"/>
      <c r="T292" s="32"/>
      <c r="U292" s="32"/>
      <c r="V292" s="32"/>
      <c r="W292" s="32"/>
      <c r="X292" s="32"/>
      <c r="Y292" s="33">
        <f>IFERROR(__xludf.DUMMYFUNCTION("""COMPUTED_VALUE"""),50000.0)</f>
        <v>50000</v>
      </c>
      <c r="Z292" s="32"/>
      <c r="AA292" s="32"/>
      <c r="AB292" s="32"/>
      <c r="AC292" s="33">
        <f>IFERROR(__xludf.DUMMYFUNCTION("""COMPUTED_VALUE"""),10000.0)</f>
        <v>10000</v>
      </c>
      <c r="AD292" s="32"/>
      <c r="AE292" s="32"/>
      <c r="AF292" s="32"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32" t="str">
        <f>IFERROR(__xludf.DUMMYFUNCTION("""COMPUTED_VALUE"""),"Land of Spira")</f>
        <v>Land of Spira</v>
      </c>
      <c r="AH292" s="32" t="b">
        <f>IFERROR(__xludf.DUMMYFUNCTION("""COMPUTED_VALUE"""),FALSE)</f>
        <v>0</v>
      </c>
      <c r="AI292" s="32"/>
      <c r="AJ292" s="32"/>
      <c r="AK292" s="32"/>
      <c r="AL292" s="32"/>
      <c r="AM292" s="32"/>
      <c r="AN292" s="32"/>
      <c r="AO292" s="32"/>
      <c r="AP292" s="32"/>
      <c r="AQ292" s="32"/>
      <c r="AR292" s="32"/>
      <c r="AS292" s="32"/>
      <c r="AT292" s="32"/>
      <c r="AU292" s="32"/>
      <c r="AV292" s="32"/>
      <c r="AW292" s="32"/>
      <c r="AX292" s="32"/>
    </row>
    <row r="293">
      <c r="A293" s="32" t="str">
        <f>IFERROR(__xludf.DUMMYFUNCTION("""COMPUTED_VALUE"""),"Sword Of The Dragons Blood")</f>
        <v>Sword Of The Dragons Blood</v>
      </c>
      <c r="B293" s="32" t="str">
        <f>IFERROR(__xludf.DUMMYFUNCTION("""COMPUTED_VALUE"""),"Hand")</f>
        <v>Hand</v>
      </c>
      <c r="C293" s="32"/>
      <c r="D293" s="5" t="str">
        <f>IFERROR(__xludf.DUMMYFUNCTION("""COMPUTED_VALUE"""),"Sword")</f>
        <v>Sword</v>
      </c>
      <c r="E293" s="40">
        <f>IFERROR(__xludf.DUMMYFUNCTION("""COMPUTED_VALUE"""),1500.0)</f>
        <v>1500</v>
      </c>
      <c r="F293" s="44">
        <f>IFERROR(__xludf.DUMMYFUNCTION("""COMPUTED_VALUE"""),1.1175E8)</f>
        <v>111750000</v>
      </c>
      <c r="G293" s="32" t="str">
        <f>IFERROR(__xludf.DUMMYFUNCTION("""COMPUTED_VALUE"""),"DMG")</f>
        <v>DMG</v>
      </c>
      <c r="H293" s="32">
        <f>IFERROR(__xludf.DUMMYFUNCTION("""COMPUTED_VALUE"""),50000.0)</f>
        <v>50000</v>
      </c>
      <c r="I293" s="32"/>
      <c r="J293" s="32"/>
      <c r="K293" s="32"/>
      <c r="L293" s="32"/>
      <c r="M293" s="32"/>
      <c r="N293" s="32"/>
      <c r="O293" s="32"/>
      <c r="P293" s="32"/>
      <c r="Q293" s="32"/>
      <c r="R293" s="32"/>
      <c r="S293" s="32"/>
      <c r="T293" s="32"/>
      <c r="U293" s="32"/>
      <c r="V293" s="32"/>
      <c r="W293" s="32"/>
      <c r="X293" s="32"/>
      <c r="Y293" s="32">
        <f>IFERROR(__xludf.DUMMYFUNCTION("""COMPUTED_VALUE"""),25000.0)</f>
        <v>25000</v>
      </c>
      <c r="Z293" s="32"/>
      <c r="AA293" s="32"/>
      <c r="AB293" s="32"/>
      <c r="AC293" s="32"/>
      <c r="AD293" s="32"/>
      <c r="AE293" s="32"/>
      <c r="AF293" s="32" t="str">
        <f>IFERROR(__xludf.DUMMYFUNCTION("""COMPUTED_VALUE"""),"++Burning Blood: Upon a successful hit; 5000 bleed and burn until the enemy dies.")</f>
        <v>++Burning Blood: Upon a successful hit; 5000 bleed and burn until the enemy dies.</v>
      </c>
      <c r="AG293" s="32" t="str">
        <f>IFERROR(__xludf.DUMMYFUNCTION("""COMPUTED_VALUE"""),"Land of Spira")</f>
        <v>Land of Spira</v>
      </c>
      <c r="AH293" s="32" t="b">
        <f>IFERROR(__xludf.DUMMYFUNCTION("""COMPUTED_VALUE"""),TRUE)</f>
        <v>1</v>
      </c>
      <c r="AI293" s="32"/>
      <c r="AJ293" s="32"/>
      <c r="AK293" s="32"/>
      <c r="AL293" s="32"/>
      <c r="AM293" s="32"/>
      <c r="AN293" s="32"/>
      <c r="AO293" s="32"/>
      <c r="AP293" s="32"/>
      <c r="AQ293" s="32"/>
      <c r="AR293" s="32"/>
      <c r="AS293" s="32"/>
      <c r="AT293" s="32"/>
      <c r="AU293" s="32"/>
      <c r="AV293" s="32"/>
      <c r="AW293" s="32"/>
      <c r="AX293" s="32"/>
    </row>
    <row r="294">
      <c r="A294" s="32" t="str">
        <f>IFERROR(__xludf.DUMMYFUNCTION("""COMPUTED_VALUE"""),"Sword of The Haunted Mansion")</f>
        <v>Sword of The Haunted Mansion</v>
      </c>
      <c r="B294" s="32" t="str">
        <f>IFERROR(__xludf.DUMMYFUNCTION("""COMPUTED_VALUE"""),"Hand")</f>
        <v>Hand</v>
      </c>
      <c r="C294" s="32" t="str">
        <f>IFERROR(__xludf.DUMMYFUNCTION("""COMPUTED_VALUE"""),"Halloween exclusive")</f>
        <v>Halloween exclusive</v>
      </c>
      <c r="D294" s="5" t="str">
        <f>IFERROR(__xludf.DUMMYFUNCTION("""COMPUTED_VALUE"""),"Sword")</f>
        <v>Sword</v>
      </c>
      <c r="E294" s="40">
        <f>IFERROR(__xludf.DUMMYFUNCTION("""COMPUTED_VALUE"""),200.0)</f>
        <v>200</v>
      </c>
      <c r="F294" s="44">
        <f>IFERROR(__xludf.DUMMYFUNCTION("""COMPUTED_VALUE"""),1.99E8)</f>
        <v>199000000</v>
      </c>
      <c r="G294" s="32" t="str">
        <f>IFERROR(__xludf.DUMMYFUNCTION("""COMPUTED_VALUE"""),"DMG")</f>
        <v>DMG</v>
      </c>
      <c r="H294" s="33">
        <f>IFERROR(__xludf.DUMMYFUNCTION("""COMPUTED_VALUE"""),20000.0)</f>
        <v>20000</v>
      </c>
      <c r="I294" s="33">
        <f>IFERROR(__xludf.DUMMYFUNCTION("""COMPUTED_VALUE"""),20000.0)</f>
        <v>20000</v>
      </c>
      <c r="J294" s="32"/>
      <c r="K294" s="32"/>
      <c r="L294" s="32"/>
      <c r="M294" s="32"/>
      <c r="N294" s="32"/>
      <c r="O294" s="33">
        <f>IFERROR(__xludf.DUMMYFUNCTION("""COMPUTED_VALUE"""),20000.0)</f>
        <v>20000</v>
      </c>
      <c r="P294" s="32"/>
      <c r="Q294" s="32"/>
      <c r="R294" s="33">
        <f>IFERROR(__xludf.DUMMYFUNCTION("""COMPUTED_VALUE"""),20000.0)</f>
        <v>20000</v>
      </c>
      <c r="S294" s="32"/>
      <c r="T294" s="32"/>
      <c r="U294" s="32"/>
      <c r="V294" s="32"/>
      <c r="W294" s="32"/>
      <c r="X294" s="32"/>
      <c r="Y294" s="32"/>
      <c r="Z294" s="32"/>
      <c r="AA294" s="32"/>
      <c r="AB294" s="32"/>
      <c r="AC294" s="33">
        <f>IFERROR(__xludf.DUMMYFUNCTION("""COMPUTED_VALUE"""),20000.0)</f>
        <v>20000</v>
      </c>
      <c r="AD294" s="32"/>
      <c r="AE294" s="32"/>
      <c r="AF294" s="32"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32" t="str">
        <f>IFERROR(__xludf.DUMMYFUNCTION("""COMPUTED_VALUE"""),"Halloween Kingdom")</f>
        <v>Halloween Kingdom</v>
      </c>
      <c r="AH294" s="32" t="b">
        <f>IFERROR(__xludf.DUMMYFUNCTION("""COMPUTED_VALUE"""),FALSE)</f>
        <v>0</v>
      </c>
      <c r="AI294" s="32"/>
      <c r="AJ294" s="32"/>
      <c r="AK294" s="32"/>
      <c r="AL294" s="32"/>
      <c r="AM294" s="32"/>
      <c r="AN294" s="32"/>
      <c r="AO294" s="32"/>
      <c r="AP294" s="32"/>
      <c r="AQ294" s="32"/>
      <c r="AR294" s="32"/>
      <c r="AS294" s="32"/>
      <c r="AT294" s="32"/>
      <c r="AU294" s="32"/>
      <c r="AV294" s="32"/>
      <c r="AW294" s="32"/>
      <c r="AX294" s="32"/>
    </row>
    <row r="295">
      <c r="A295" s="32" t="str">
        <f>IFERROR(__xludf.DUMMYFUNCTION("""COMPUTED_VALUE"""),"Sword Of The Honorable Samurai")</f>
        <v>Sword Of The Honorable Samurai</v>
      </c>
      <c r="B295" s="32" t="str">
        <f>IFERROR(__xludf.DUMMYFUNCTION("""COMPUTED_VALUE"""),"Hand")</f>
        <v>Hand</v>
      </c>
      <c r="C295" s="32"/>
      <c r="D295" s="5" t="str">
        <f>IFERROR(__xludf.DUMMYFUNCTION("""COMPUTED_VALUE"""),"Sword")</f>
        <v>Sword</v>
      </c>
      <c r="E295" s="40">
        <f>IFERROR(__xludf.DUMMYFUNCTION("""COMPUTED_VALUE"""),400.0)</f>
        <v>400</v>
      </c>
      <c r="F295" s="44">
        <f>IFERROR(__xludf.DUMMYFUNCTION("""COMPUTED_VALUE"""),7800000.0)</f>
        <v>7800000</v>
      </c>
      <c r="G295" s="32" t="str">
        <f>IFERROR(__xludf.DUMMYFUNCTION("""COMPUTED_VALUE"""),"DMG")</f>
        <v>DMG</v>
      </c>
      <c r="H295" s="32">
        <f>IFERROR(__xludf.DUMMYFUNCTION("""COMPUTED_VALUE"""),10000.0)</f>
        <v>10000</v>
      </c>
      <c r="I295" s="32"/>
      <c r="J295" s="32"/>
      <c r="K295" s="32"/>
      <c r="L295" s="32"/>
      <c r="M295" s="32"/>
      <c r="N295" s="32">
        <f>IFERROR(__xludf.DUMMYFUNCTION("""COMPUTED_VALUE"""),5000.0)</f>
        <v>5000</v>
      </c>
      <c r="O295" s="32"/>
      <c r="P295" s="32"/>
      <c r="Q295" s="32">
        <f>IFERROR(__xludf.DUMMYFUNCTION("""COMPUTED_VALUE"""),5000.0)</f>
        <v>5000</v>
      </c>
      <c r="R295" s="32"/>
      <c r="S295" s="32"/>
      <c r="T295" s="32"/>
      <c r="U295" s="32"/>
      <c r="V295" s="32"/>
      <c r="W295" s="32"/>
      <c r="X295" s="32"/>
      <c r="Y295" s="32"/>
      <c r="Z295" s="32"/>
      <c r="AA295" s="32"/>
      <c r="AB295" s="32"/>
      <c r="AC295" s="32"/>
      <c r="AD295" s="32"/>
      <c r="AE295" s="32"/>
      <c r="AF295" s="32"/>
      <c r="AG295" s="32" t="str">
        <f>IFERROR(__xludf.DUMMYFUNCTION("""COMPUTED_VALUE"""),"Land of Spira")</f>
        <v>Land of Spira</v>
      </c>
      <c r="AH295" s="32" t="b">
        <f>IFERROR(__xludf.DUMMYFUNCTION("""COMPUTED_VALUE"""),TRUE)</f>
        <v>1</v>
      </c>
      <c r="AI295" s="32"/>
      <c r="AJ295" s="32"/>
      <c r="AK295" s="32"/>
      <c r="AL295" s="32"/>
      <c r="AM295" s="32"/>
      <c r="AN295" s="32"/>
      <c r="AO295" s="32"/>
      <c r="AP295" s="32"/>
      <c r="AQ295" s="32"/>
      <c r="AR295" s="32"/>
      <c r="AS295" s="32"/>
      <c r="AT295" s="32"/>
      <c r="AU295" s="32"/>
      <c r="AV295" s="32"/>
      <c r="AW295" s="32"/>
      <c r="AX295" s="32"/>
    </row>
    <row r="296">
      <c r="A296" s="32" t="str">
        <f>IFERROR(__xludf.DUMMYFUNCTION("""COMPUTED_VALUE"""),"Sword of The Crystal King")</f>
        <v>Sword of The Crystal King</v>
      </c>
      <c r="B296" s="32" t="str">
        <f>IFERROR(__xludf.DUMMYFUNCTION("""COMPUTED_VALUE"""),"Hand")</f>
        <v>Hand</v>
      </c>
      <c r="C296" s="32"/>
      <c r="D296" s="5" t="str">
        <f>IFERROR(__xludf.DUMMYFUNCTION("""COMPUTED_VALUE"""),"Sword")</f>
        <v>Sword</v>
      </c>
      <c r="E296" s="40">
        <f>IFERROR(__xludf.DUMMYFUNCTION("""COMPUTED_VALUE"""),200.0)</f>
        <v>200</v>
      </c>
      <c r="F296" s="44">
        <f>IFERROR(__xludf.DUMMYFUNCTION("""COMPUTED_VALUE"""),4.95E7)</f>
        <v>49500000</v>
      </c>
      <c r="G296" s="32" t="str">
        <f>IFERROR(__xludf.DUMMYFUNCTION("""COMPUTED_VALUE"""),"DMG")</f>
        <v>DMG</v>
      </c>
      <c r="H296" s="32">
        <f>IFERROR(__xludf.DUMMYFUNCTION("""COMPUTED_VALUE"""),20000.0)</f>
        <v>20000</v>
      </c>
      <c r="I296" s="32"/>
      <c r="J296" s="32"/>
      <c r="K296" s="32"/>
      <c r="L296" s="32"/>
      <c r="M296" s="32">
        <f>IFERROR(__xludf.DUMMYFUNCTION("""COMPUTED_VALUE"""),20000.0)</f>
        <v>20000</v>
      </c>
      <c r="N296" s="32"/>
      <c r="O296" s="32"/>
      <c r="P296" s="32"/>
      <c r="Q296" s="32"/>
      <c r="R296" s="32"/>
      <c r="S296" s="32"/>
      <c r="T296" s="32"/>
      <c r="U296" s="32"/>
      <c r="V296" s="32"/>
      <c r="W296" s="32"/>
      <c r="X296" s="32"/>
      <c r="Y296" s="32"/>
      <c r="Z296" s="32"/>
      <c r="AA296" s="32"/>
      <c r="AB296" s="32"/>
      <c r="AC296" s="32">
        <f>IFERROR(__xludf.DUMMYFUNCTION("""COMPUTED_VALUE"""),10000.0)</f>
        <v>10000</v>
      </c>
      <c r="AD296" s="32"/>
      <c r="AE296" s="32"/>
      <c r="AF296" s="32"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32" t="str">
        <f>IFERROR(__xludf.DUMMYFUNCTION("""COMPUTED_VALUE"""),"Land of Spira")</f>
        <v>Land of Spira</v>
      </c>
      <c r="AH296" s="32" t="b">
        <f>IFERROR(__xludf.DUMMYFUNCTION("""COMPUTED_VALUE"""),FALSE)</f>
        <v>0</v>
      </c>
      <c r="AI296" s="32"/>
      <c r="AJ296" s="32"/>
      <c r="AK296" s="32"/>
      <c r="AL296" s="32"/>
      <c r="AM296" s="32"/>
      <c r="AN296" s="32"/>
      <c r="AO296" s="32"/>
      <c r="AP296" s="32"/>
      <c r="AQ296" s="32"/>
      <c r="AR296" s="32"/>
      <c r="AS296" s="32"/>
      <c r="AT296" s="32"/>
      <c r="AU296" s="32"/>
      <c r="AV296" s="32"/>
      <c r="AW296" s="32"/>
      <c r="AX296" s="32"/>
    </row>
    <row r="297">
      <c r="A297" s="32" t="str">
        <f>IFERROR(__xludf.DUMMYFUNCTION("""COMPUTED_VALUE"""),"Sword of The Many Heroes")</f>
        <v>Sword of The Many Heroes</v>
      </c>
      <c r="B297" s="32" t="str">
        <f>IFERROR(__xludf.DUMMYFUNCTION("""COMPUTED_VALUE"""),"Hand")</f>
        <v>Hand</v>
      </c>
      <c r="C297" s="32"/>
      <c r="D297" s="5" t="str">
        <f>IFERROR(__xludf.DUMMYFUNCTION("""COMPUTED_VALUE"""),"Sword")</f>
        <v>Sword</v>
      </c>
      <c r="E297" s="40">
        <f>IFERROR(__xludf.DUMMYFUNCTION("""COMPUTED_VALUE"""),200.0)</f>
        <v>200</v>
      </c>
      <c r="F297" s="44">
        <f>IFERROR(__xludf.DUMMYFUNCTION("""COMPUTED_VALUE"""),7.194E9)</f>
        <v>7194000000</v>
      </c>
      <c r="G297" s="32" t="str">
        <f>IFERROR(__xludf.DUMMYFUNCTION("""COMPUTED_VALUE"""),"DMG")</f>
        <v>DMG</v>
      </c>
      <c r="H297" s="33">
        <f>IFERROR(__xludf.DUMMYFUNCTION("""COMPUTED_VALUE"""),100000.0)</f>
        <v>100000</v>
      </c>
      <c r="I297" s="32"/>
      <c r="J297" s="32"/>
      <c r="K297" s="32"/>
      <c r="L297" s="32"/>
      <c r="M297" s="32"/>
      <c r="N297" s="32"/>
      <c r="O297" s="32"/>
      <c r="P297" s="32"/>
      <c r="Q297" s="32"/>
      <c r="R297" s="32"/>
      <c r="S297" s="32"/>
      <c r="T297" s="32"/>
      <c r="U297" s="32"/>
      <c r="V297" s="32"/>
      <c r="W297" s="32"/>
      <c r="X297" s="32"/>
      <c r="Y297" s="32"/>
      <c r="Z297" s="32"/>
      <c r="AA297" s="32"/>
      <c r="AB297" s="32"/>
      <c r="AC297" s="33">
        <f>IFERROR(__xludf.DUMMYFUNCTION("""COMPUTED_VALUE"""),500000.0)</f>
        <v>500000</v>
      </c>
      <c r="AD297" s="32"/>
      <c r="AE297" s="32"/>
      <c r="AF297" s="32"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32" t="str">
        <f>IFERROR(__xludf.DUMMYFUNCTION("""COMPUTED_VALUE"""),"Abstara")</f>
        <v>Abstara</v>
      </c>
      <c r="AH297" s="32" t="b">
        <f>IFERROR(__xludf.DUMMYFUNCTION("""COMPUTED_VALUE"""),FALSE)</f>
        <v>0</v>
      </c>
      <c r="AI297" s="32"/>
      <c r="AJ297" s="32"/>
      <c r="AK297" s="32"/>
      <c r="AL297" s="32"/>
      <c r="AM297" s="32"/>
      <c r="AN297" s="32"/>
      <c r="AO297" s="32"/>
      <c r="AP297" s="32"/>
      <c r="AQ297" s="32"/>
      <c r="AR297" s="32"/>
      <c r="AS297" s="32"/>
      <c r="AT297" s="32"/>
      <c r="AU297" s="32"/>
      <c r="AV297" s="32"/>
      <c r="AW297" s="32"/>
      <c r="AX297" s="32"/>
    </row>
    <row r="298">
      <c r="A298" s="32" t="str">
        <f>IFERROR(__xludf.DUMMYFUNCTION("""COMPUTED_VALUE"""),"Sword Of The Reaper")</f>
        <v>Sword Of The Reaper</v>
      </c>
      <c r="B298" s="32" t="str">
        <f>IFERROR(__xludf.DUMMYFUNCTION("""COMPUTED_VALUE"""),"Hand")</f>
        <v>Hand</v>
      </c>
      <c r="C298" s="32"/>
      <c r="D298" s="5" t="str">
        <f>IFERROR(__xludf.DUMMYFUNCTION("""COMPUTED_VALUE"""),"Sword")</f>
        <v>Sword</v>
      </c>
      <c r="E298" s="40">
        <f>IFERROR(__xludf.DUMMYFUNCTION("""COMPUTED_VALUE"""),200.0)</f>
        <v>200</v>
      </c>
      <c r="F298" s="44">
        <f>IFERROR(__xludf.DUMMYFUNCTION("""COMPUTED_VALUE"""),660000.0)</f>
        <v>660000</v>
      </c>
      <c r="G298" s="32" t="str">
        <f>IFERROR(__xludf.DUMMYFUNCTION("""COMPUTED_VALUE"""),"DMG")</f>
        <v>DMG</v>
      </c>
      <c r="H298" s="32">
        <f>IFERROR(__xludf.DUMMYFUNCTION("""COMPUTED_VALUE"""),5000.0)</f>
        <v>5000</v>
      </c>
      <c r="I298" s="32"/>
      <c r="J298" s="32"/>
      <c r="K298" s="32"/>
      <c r="L298" s="32"/>
      <c r="M298" s="32"/>
      <c r="N298" s="32"/>
      <c r="O298" s="32"/>
      <c r="P298" s="32"/>
      <c r="Q298" s="32"/>
      <c r="R298" s="32"/>
      <c r="S298" s="32"/>
      <c r="T298" s="32"/>
      <c r="U298" s="32"/>
      <c r="V298" s="32"/>
      <c r="W298" s="32"/>
      <c r="X298" s="32"/>
      <c r="Y298" s="32"/>
      <c r="Z298" s="32"/>
      <c r="AA298" s="32"/>
      <c r="AB298" s="32"/>
      <c r="AC298" s="32">
        <f>IFERROR(__xludf.DUMMYFUNCTION("""COMPUTED_VALUE"""),1000.0)</f>
        <v>1000</v>
      </c>
      <c r="AD298" s="32"/>
      <c r="AE298" s="32"/>
      <c r="AF298" s="32"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32" t="str">
        <f>IFERROR(__xludf.DUMMYFUNCTION("""COMPUTED_VALUE"""),"Land of Spira")</f>
        <v>Land of Spira</v>
      </c>
      <c r="AH298" s="32" t="b">
        <f>IFERROR(__xludf.DUMMYFUNCTION("""COMPUTED_VALUE"""),FALSE)</f>
        <v>0</v>
      </c>
      <c r="AI298" s="32"/>
      <c r="AJ298" s="32"/>
      <c r="AK298" s="32"/>
      <c r="AL298" s="32"/>
      <c r="AM298" s="32"/>
      <c r="AN298" s="32"/>
      <c r="AO298" s="32"/>
      <c r="AP298" s="32"/>
      <c r="AQ298" s="32"/>
      <c r="AR298" s="32"/>
      <c r="AS298" s="32"/>
      <c r="AT298" s="32"/>
      <c r="AU298" s="32"/>
      <c r="AV298" s="32"/>
      <c r="AW298" s="32"/>
      <c r="AX298" s="32"/>
    </row>
    <row r="299">
      <c r="A299" s="32" t="str">
        <f>IFERROR(__xludf.DUMMYFUNCTION("""COMPUTED_VALUE"""),"Sword of The Sea Serpent")</f>
        <v>Sword of The Sea Serpent</v>
      </c>
      <c r="B299" s="32" t="str">
        <f>IFERROR(__xludf.DUMMYFUNCTION("""COMPUTED_VALUE"""),"Hand")</f>
        <v>Hand</v>
      </c>
      <c r="C299" s="32"/>
      <c r="D299" s="5" t="str">
        <f>IFERROR(__xludf.DUMMYFUNCTION("""COMPUTED_VALUE"""),"Sword")</f>
        <v>Sword</v>
      </c>
      <c r="E299" s="40">
        <f>IFERROR(__xludf.DUMMYFUNCTION("""COMPUTED_VALUE"""),400.0)</f>
        <v>400</v>
      </c>
      <c r="F299" s="44">
        <f>IFERROR(__xludf.DUMMYFUNCTION("""COMPUTED_VALUE"""),7800000.0)</f>
        <v>7800000</v>
      </c>
      <c r="G299" s="32" t="str">
        <f>IFERROR(__xludf.DUMMYFUNCTION("""COMPUTED_VALUE"""),"DMG")</f>
        <v>DMG</v>
      </c>
      <c r="H299" s="33">
        <f>IFERROR(__xludf.DUMMYFUNCTION("""COMPUTED_VALUE"""),10000.0)</f>
        <v>10000</v>
      </c>
      <c r="I299" s="32"/>
      <c r="J299" s="32"/>
      <c r="K299" s="33">
        <f>IFERROR(__xludf.DUMMYFUNCTION("""COMPUTED_VALUE"""),10000.0)</f>
        <v>10000</v>
      </c>
      <c r="L299" s="32"/>
      <c r="M299" s="32"/>
      <c r="N299" s="32"/>
      <c r="O299" s="32"/>
      <c r="P299" s="32"/>
      <c r="Q299" s="32"/>
      <c r="R299" s="32"/>
      <c r="S299" s="32"/>
      <c r="T299" s="32"/>
      <c r="U299" s="32"/>
      <c r="V299" s="32"/>
      <c r="W299" s="32"/>
      <c r="X299" s="32"/>
      <c r="Y299" s="32"/>
      <c r="Z299" s="32"/>
      <c r="AA299" s="32"/>
      <c r="AB299" s="32"/>
      <c r="AC299" s="32"/>
      <c r="AD299" s="32"/>
      <c r="AE299" s="32"/>
      <c r="AF299" s="32"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32" t="str">
        <f>IFERROR(__xludf.DUMMYFUNCTION("""COMPUTED_VALUE"""),"Land of Spira")</f>
        <v>Land of Spira</v>
      </c>
      <c r="AH299" s="32" t="b">
        <f>IFERROR(__xludf.DUMMYFUNCTION("""COMPUTED_VALUE"""),FALSE)</f>
        <v>0</v>
      </c>
      <c r="AI299" s="32"/>
      <c r="AJ299" s="32"/>
      <c r="AK299" s="32"/>
      <c r="AL299" s="32"/>
      <c r="AM299" s="32"/>
      <c r="AN299" s="32"/>
      <c r="AO299" s="32"/>
      <c r="AP299" s="32"/>
      <c r="AQ299" s="32"/>
      <c r="AR299" s="32"/>
      <c r="AS299" s="32"/>
      <c r="AT299" s="32"/>
      <c r="AU299" s="32"/>
      <c r="AV299" s="32"/>
      <c r="AW299" s="32"/>
      <c r="AX299" s="32"/>
    </row>
    <row r="300">
      <c r="A300" s="32" t="str">
        <f>IFERROR(__xludf.DUMMYFUNCTION("""COMPUTED_VALUE"""),"Sword of the Vampire’s Lust")</f>
        <v>Sword of the Vampire’s Lust</v>
      </c>
      <c r="B300" s="32" t="str">
        <f>IFERROR(__xludf.DUMMYFUNCTION("""COMPUTED_VALUE"""),"Hand")</f>
        <v>Hand</v>
      </c>
      <c r="C300" s="32"/>
      <c r="D300" s="5" t="str">
        <f>IFERROR(__xludf.DUMMYFUNCTION("""COMPUTED_VALUE"""),"Sword")</f>
        <v>Sword</v>
      </c>
      <c r="E300" s="40">
        <f>IFERROR(__xludf.DUMMYFUNCTION("""COMPUTED_VALUE"""),800.0)</f>
        <v>800</v>
      </c>
      <c r="F300" s="44">
        <f>IFERROR(__xludf.DUMMYFUNCTION("""COMPUTED_VALUE"""),3.16E7)</f>
        <v>31600000</v>
      </c>
      <c r="G300" s="32" t="str">
        <f>IFERROR(__xludf.DUMMYFUNCTION("""COMPUTED_VALUE"""),"DMG")</f>
        <v>DMG</v>
      </c>
      <c r="H300" s="33">
        <f>IFERROR(__xludf.DUMMYFUNCTION("""COMPUTED_VALUE"""),10000.0)</f>
        <v>10000</v>
      </c>
      <c r="I300" s="33">
        <f>IFERROR(__xludf.DUMMYFUNCTION("""COMPUTED_VALUE"""),10000.0)</f>
        <v>10000</v>
      </c>
      <c r="J300" s="32"/>
      <c r="K300" s="32"/>
      <c r="L300" s="32"/>
      <c r="M300" s="32"/>
      <c r="N300" s="32"/>
      <c r="O300" s="33">
        <f>IFERROR(__xludf.DUMMYFUNCTION("""COMPUTED_VALUE"""),10000.0)</f>
        <v>10000</v>
      </c>
      <c r="P300" s="33">
        <f>IFERROR(__xludf.DUMMYFUNCTION("""COMPUTED_VALUE"""),5000.0)</f>
        <v>5000</v>
      </c>
      <c r="Q300" s="32"/>
      <c r="R300" s="33">
        <f>IFERROR(__xludf.DUMMYFUNCTION("""COMPUTED_VALUE"""),5000.0)</f>
        <v>5000</v>
      </c>
      <c r="S300" s="32"/>
      <c r="T300" s="32"/>
      <c r="U300" s="32"/>
      <c r="V300" s="32"/>
      <c r="W300" s="32"/>
      <c r="X300" s="32"/>
      <c r="Y300" s="32"/>
      <c r="Z300" s="32"/>
      <c r="AA300" s="32"/>
      <c r="AB300" s="32"/>
      <c r="AC300" s="32"/>
      <c r="AD300" s="32"/>
      <c r="AE300" s="32"/>
      <c r="AF300" s="32" t="str">
        <f>IFERROR(__xludf.DUMMYFUNCTION("""COMPUTED_VALUE"""),"++Damage dealt by this weapon gives you hp back equal to the damage you deal")</f>
        <v>++Damage dealt by this weapon gives you hp back equal to the damage you deal</v>
      </c>
      <c r="AG300" s="32" t="str">
        <f>IFERROR(__xludf.DUMMYFUNCTION("""COMPUTED_VALUE"""),"Land of Spira")</f>
        <v>Land of Spira</v>
      </c>
      <c r="AH300" s="32" t="b">
        <f>IFERROR(__xludf.DUMMYFUNCTION("""COMPUTED_VALUE"""),FALSE)</f>
        <v>0</v>
      </c>
      <c r="AI300" s="32"/>
      <c r="AJ300" s="32"/>
      <c r="AK300" s="32"/>
      <c r="AL300" s="32"/>
      <c r="AM300" s="32"/>
      <c r="AN300" s="32"/>
      <c r="AO300" s="32"/>
      <c r="AP300" s="32"/>
      <c r="AQ300" s="32"/>
      <c r="AR300" s="32"/>
      <c r="AS300" s="32"/>
      <c r="AT300" s="32"/>
      <c r="AU300" s="32"/>
      <c r="AV300" s="32"/>
      <c r="AW300" s="32"/>
      <c r="AX300" s="32"/>
    </row>
    <row r="301">
      <c r="A301" s="32" t="str">
        <f>IFERROR(__xludf.DUMMYFUNCTION("""COMPUTED_VALUE"""),"Sword of The Waking Waters")</f>
        <v>Sword of The Waking Waters</v>
      </c>
      <c r="B301" s="32" t="str">
        <f>IFERROR(__xludf.DUMMYFUNCTION("""COMPUTED_VALUE"""),"Hand")</f>
        <v>Hand</v>
      </c>
      <c r="C301" s="32"/>
      <c r="D301" s="5" t="str">
        <f>IFERROR(__xludf.DUMMYFUNCTION("""COMPUTED_VALUE"""),"Sword")</f>
        <v>Sword</v>
      </c>
      <c r="E301" s="40">
        <f>IFERROR(__xludf.DUMMYFUNCTION("""COMPUTED_VALUE"""),800.0)</f>
        <v>800</v>
      </c>
      <c r="F301" s="44">
        <f>IFERROR(__xludf.DUMMYFUNCTION("""COMPUTED_VALUE"""),3.16E7)</f>
        <v>31600000</v>
      </c>
      <c r="G301" s="32" t="str">
        <f>IFERROR(__xludf.DUMMYFUNCTION("""COMPUTED_VALUE"""),"DMG")</f>
        <v>DMG</v>
      </c>
      <c r="H301" s="33">
        <f>IFERROR(__xludf.DUMMYFUNCTION("""COMPUTED_VALUE"""),20000.0)</f>
        <v>20000</v>
      </c>
      <c r="I301" s="32"/>
      <c r="J301" s="32"/>
      <c r="K301" s="33">
        <f>IFERROR(__xludf.DUMMYFUNCTION("""COMPUTED_VALUE"""),20000.0)</f>
        <v>20000</v>
      </c>
      <c r="L301" s="32"/>
      <c r="M301" s="32"/>
      <c r="N301" s="32"/>
      <c r="O301" s="32"/>
      <c r="P301" s="32"/>
      <c r="Q301" s="32"/>
      <c r="R301" s="32"/>
      <c r="S301" s="32"/>
      <c r="T301" s="32"/>
      <c r="U301" s="32"/>
      <c r="V301" s="32"/>
      <c r="W301" s="32"/>
      <c r="X301" s="32"/>
      <c r="Y301" s="32"/>
      <c r="Z301" s="32"/>
      <c r="AA301" s="32"/>
      <c r="AB301" s="32"/>
      <c r="AC301" s="32"/>
      <c r="AD301" s="32"/>
      <c r="AE301" s="32"/>
      <c r="AF301" s="32"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32" t="str">
        <f>IFERROR(__xludf.DUMMYFUNCTION("""COMPUTED_VALUE"""),"Land of Spira")</f>
        <v>Land of Spira</v>
      </c>
      <c r="AH301" s="32" t="b">
        <f>IFERROR(__xludf.DUMMYFUNCTION("""COMPUTED_VALUE"""),FALSE)</f>
        <v>0</v>
      </c>
      <c r="AI301" s="32"/>
      <c r="AJ301" s="32"/>
      <c r="AK301" s="32"/>
      <c r="AL301" s="32"/>
      <c r="AM301" s="32"/>
      <c r="AN301" s="32"/>
      <c r="AO301" s="32"/>
      <c r="AP301" s="32"/>
      <c r="AQ301" s="32"/>
      <c r="AR301" s="32"/>
      <c r="AS301" s="32"/>
      <c r="AT301" s="32"/>
      <c r="AU301" s="32"/>
      <c r="AV301" s="32"/>
      <c r="AW301" s="32"/>
      <c r="AX301" s="32"/>
    </row>
    <row r="302">
      <c r="A302" s="32" t="str">
        <f>IFERROR(__xludf.DUMMYFUNCTION("""COMPUTED_VALUE"""),"Sword of the Wicked")</f>
        <v>Sword of the Wicked</v>
      </c>
      <c r="B302" s="32" t="str">
        <f>IFERROR(__xludf.DUMMYFUNCTION("""COMPUTED_VALUE"""),"Hand")</f>
        <v>Hand</v>
      </c>
      <c r="C302" s="32"/>
      <c r="D302" s="5" t="str">
        <f>IFERROR(__xludf.DUMMYFUNCTION("""COMPUTED_VALUE"""),"Sword")</f>
        <v>Sword</v>
      </c>
      <c r="E302" s="40">
        <f>IFERROR(__xludf.DUMMYFUNCTION("""COMPUTED_VALUE"""),50.0)</f>
        <v>50</v>
      </c>
      <c r="F302" s="44">
        <f>IFERROR(__xludf.DUMMYFUNCTION("""COMPUTED_VALUE"""),100000.0)</f>
        <v>100000</v>
      </c>
      <c r="G302" s="32" t="str">
        <f>IFERROR(__xludf.DUMMYFUNCTION("""COMPUTED_VALUE"""),"DMG")</f>
        <v>DMG</v>
      </c>
      <c r="H302" s="32">
        <f>IFERROR(__xludf.DUMMYFUNCTION("""COMPUTED_VALUE"""),700.0)</f>
        <v>700</v>
      </c>
      <c r="I302" s="32"/>
      <c r="J302" s="32"/>
      <c r="K302" s="32"/>
      <c r="L302" s="32"/>
      <c r="M302" s="32"/>
      <c r="N302" s="32"/>
      <c r="O302" s="32">
        <f>IFERROR(__xludf.DUMMYFUNCTION("""COMPUTED_VALUE"""),900.0)</f>
        <v>900</v>
      </c>
      <c r="P302" s="32"/>
      <c r="Q302" s="32"/>
      <c r="R302" s="32">
        <f>IFERROR(__xludf.DUMMYFUNCTION("""COMPUTED_VALUE"""),900.0)</f>
        <v>900</v>
      </c>
      <c r="S302" s="32"/>
      <c r="T302" s="32"/>
      <c r="U302" s="32"/>
      <c r="V302" s="32"/>
      <c r="W302" s="32"/>
      <c r="X302" s="32"/>
      <c r="Y302" s="32"/>
      <c r="Z302" s="32"/>
      <c r="AA302" s="32"/>
      <c r="AB302" s="32"/>
      <c r="AC302" s="32"/>
      <c r="AD302" s="32"/>
      <c r="AE302" s="32"/>
      <c r="AF302" s="32"/>
      <c r="AG302" s="32" t="str">
        <f>IFERROR(__xludf.DUMMYFUNCTION("""COMPUTED_VALUE"""),"Land of Spira")</f>
        <v>Land of Spira</v>
      </c>
      <c r="AH302" s="32" t="b">
        <f>IFERROR(__xludf.DUMMYFUNCTION("""COMPUTED_VALUE"""),FALSE)</f>
        <v>0</v>
      </c>
      <c r="AI302" s="32"/>
      <c r="AJ302" s="32"/>
      <c r="AK302" s="32"/>
      <c r="AL302" s="32"/>
      <c r="AM302" s="32"/>
      <c r="AN302" s="32"/>
      <c r="AO302" s="32"/>
      <c r="AP302" s="32"/>
      <c r="AQ302" s="32"/>
      <c r="AR302" s="32"/>
      <c r="AS302" s="32"/>
      <c r="AT302" s="32"/>
      <c r="AU302" s="32"/>
      <c r="AV302" s="32"/>
      <c r="AW302" s="32"/>
      <c r="AX302" s="32"/>
    </row>
    <row r="303">
      <c r="A303" s="32" t="str">
        <f>IFERROR(__xludf.DUMMYFUNCTION("""COMPUTED_VALUE"""),"Sword Of Tritonoch")</f>
        <v>Sword Of Tritonoch</v>
      </c>
      <c r="B303" s="32" t="str">
        <f>IFERROR(__xludf.DUMMYFUNCTION("""COMPUTED_VALUE"""),"Hand")</f>
        <v>Hand</v>
      </c>
      <c r="C303" s="32"/>
      <c r="D303" s="5" t="str">
        <f>IFERROR(__xludf.DUMMYFUNCTION("""COMPUTED_VALUE"""),"Sword")</f>
        <v>Sword</v>
      </c>
      <c r="E303" s="40">
        <f>IFERROR(__xludf.DUMMYFUNCTION("""COMPUTED_VALUE"""),800.0)</f>
        <v>800</v>
      </c>
      <c r="F303" s="44">
        <f>IFERROR(__xludf.DUMMYFUNCTION("""COMPUTED_VALUE"""),3.16E7)</f>
        <v>31600000</v>
      </c>
      <c r="G303" s="32" t="str">
        <f>IFERROR(__xludf.DUMMYFUNCTION("""COMPUTED_VALUE"""),"DMG")</f>
        <v>DMG</v>
      </c>
      <c r="H303" s="32">
        <f>IFERROR(__xludf.DUMMYFUNCTION("""COMPUTED_VALUE"""),20000.0)</f>
        <v>20000</v>
      </c>
      <c r="I303" s="32"/>
      <c r="J303" s="32"/>
      <c r="K303" s="32">
        <f>IFERROR(__xludf.DUMMYFUNCTION("""COMPUTED_VALUE"""),20000.0)</f>
        <v>20000</v>
      </c>
      <c r="L303" s="32"/>
      <c r="M303" s="32"/>
      <c r="N303" s="32"/>
      <c r="O303" s="32"/>
      <c r="P303" s="32"/>
      <c r="Q303" s="32"/>
      <c r="R303" s="32"/>
      <c r="S303" s="32"/>
      <c r="T303" s="32"/>
      <c r="U303" s="32"/>
      <c r="V303" s="32"/>
      <c r="W303" s="32"/>
      <c r="X303" s="32"/>
      <c r="Y303" s="32"/>
      <c r="Z303" s="32"/>
      <c r="AA303" s="32"/>
      <c r="AB303" s="32"/>
      <c r="AC303" s="32"/>
      <c r="AD303" s="32"/>
      <c r="AE303" s="32"/>
      <c r="AF303" s="32"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32" t="str">
        <f>IFERROR(__xludf.DUMMYFUNCTION("""COMPUTED_VALUE"""),"Land of Spira")</f>
        <v>Land of Spira</v>
      </c>
      <c r="AH303" s="32" t="b">
        <f>IFERROR(__xludf.DUMMYFUNCTION("""COMPUTED_VALUE"""),FALSE)</f>
        <v>0</v>
      </c>
      <c r="AI303" s="32"/>
      <c r="AJ303" s="32"/>
      <c r="AK303" s="32"/>
      <c r="AL303" s="32"/>
      <c r="AM303" s="32"/>
      <c r="AN303" s="32"/>
      <c r="AO303" s="32"/>
      <c r="AP303" s="32"/>
      <c r="AQ303" s="32"/>
      <c r="AR303" s="32"/>
      <c r="AS303" s="32"/>
      <c r="AT303" s="32"/>
      <c r="AU303" s="32"/>
      <c r="AV303" s="32"/>
      <c r="AW303" s="32"/>
      <c r="AX303" s="32"/>
    </row>
    <row r="304">
      <c r="A304" s="32" t="str">
        <f>IFERROR(__xludf.DUMMYFUNCTION("""COMPUTED_VALUE"""),"Tentacle")</f>
        <v>Tentacle</v>
      </c>
      <c r="B304" s="32" t="str">
        <f>IFERROR(__xludf.DUMMYFUNCTION("""COMPUTED_VALUE"""),"Hand")</f>
        <v>Hand</v>
      </c>
      <c r="C304" s="32"/>
      <c r="D304" s="5" t="str">
        <f>IFERROR(__xludf.DUMMYFUNCTION("""COMPUTED_VALUE"""),"Claw")</f>
        <v>Claw</v>
      </c>
      <c r="E304" s="40">
        <f>IFERROR(__xludf.DUMMYFUNCTION("""COMPUTED_VALUE"""),30.0)</f>
        <v>30</v>
      </c>
      <c r="F304" s="44">
        <f>IFERROR(__xludf.DUMMYFUNCTION("""COMPUTED_VALUE"""),30000.0)</f>
        <v>30000</v>
      </c>
      <c r="G304" s="32" t="str">
        <f>IFERROR(__xludf.DUMMYFUNCTION("""COMPUTED_VALUE"""),"DMG")</f>
        <v>DMG</v>
      </c>
      <c r="H304" s="32">
        <f>IFERROR(__xludf.DUMMYFUNCTION("""COMPUTED_VALUE"""),1000.0)</f>
        <v>1000</v>
      </c>
      <c r="I304" s="32"/>
      <c r="J304" s="32"/>
      <c r="K304" s="32">
        <f>IFERROR(__xludf.DUMMYFUNCTION("""COMPUTED_VALUE"""),500.0)</f>
        <v>500</v>
      </c>
      <c r="L304" s="32"/>
      <c r="M304" s="32"/>
      <c r="N304" s="32"/>
      <c r="O304" s="32"/>
      <c r="P304" s="32"/>
      <c r="Q304" s="32"/>
      <c r="R304" s="32"/>
      <c r="S304" s="32"/>
      <c r="T304" s="32"/>
      <c r="U304" s="32"/>
      <c r="V304" s="32"/>
      <c r="W304" s="32"/>
      <c r="X304" s="32"/>
      <c r="Y304" s="32"/>
      <c r="Z304" s="32"/>
      <c r="AA304" s="32"/>
      <c r="AB304" s="32"/>
      <c r="AC304" s="32"/>
      <c r="AD304" s="32"/>
      <c r="AE304" s="32"/>
      <c r="AF304" s="32" t="str">
        <f>IFERROR(__xludf.DUMMYFUNCTION("""COMPUTED_VALUE"""),"++10% chance to remove target from battle")</f>
        <v>++10% chance to remove target from battle</v>
      </c>
      <c r="AG304" s="32" t="str">
        <f>IFERROR(__xludf.DUMMYFUNCTION("""COMPUTED_VALUE"""),"Land of Spira")</f>
        <v>Land of Spira</v>
      </c>
      <c r="AH304" s="32" t="b">
        <f>IFERROR(__xludf.DUMMYFUNCTION("""COMPUTED_VALUE"""),TRUE)</f>
        <v>1</v>
      </c>
      <c r="AI304" s="32"/>
      <c r="AJ304" s="32"/>
      <c r="AK304" s="32"/>
      <c r="AL304" s="32"/>
      <c r="AM304" s="32"/>
      <c r="AN304" s="32"/>
      <c r="AO304" s="32"/>
      <c r="AP304" s="32"/>
      <c r="AQ304" s="32"/>
      <c r="AR304" s="32"/>
      <c r="AS304" s="32"/>
      <c r="AT304" s="32"/>
      <c r="AU304" s="32"/>
      <c r="AV304" s="32"/>
      <c r="AW304" s="32"/>
      <c r="AX304" s="32"/>
    </row>
    <row r="305">
      <c r="A305" s="32" t="str">
        <f>IFERROR(__xludf.DUMMYFUNCTION("""COMPUTED_VALUE"""),"The Black Hook")</f>
        <v>The Black Hook</v>
      </c>
      <c r="B305" s="32" t="str">
        <f>IFERROR(__xludf.DUMMYFUNCTION("""COMPUTED_VALUE"""),"Hand")</f>
        <v>Hand</v>
      </c>
      <c r="C305" s="32"/>
      <c r="D305" s="5" t="str">
        <f>IFERROR(__xludf.DUMMYFUNCTION("""COMPUTED_VALUE"""),"Claw")</f>
        <v>Claw</v>
      </c>
      <c r="E305" s="40">
        <f>IFERROR(__xludf.DUMMYFUNCTION("""COMPUTED_VALUE"""),2500.0)</f>
        <v>2500</v>
      </c>
      <c r="F305" s="44">
        <f>IFERROR(__xludf.DUMMYFUNCTION("""COMPUTED_VALUE"""),3.1125E8)</f>
        <v>311250000</v>
      </c>
      <c r="G305" s="32" t="str">
        <f>IFERROR(__xludf.DUMMYFUNCTION("""COMPUTED_VALUE"""),"DMG")</f>
        <v>DMG</v>
      </c>
      <c r="H305" s="33">
        <f>IFERROR(__xludf.DUMMYFUNCTION("""COMPUTED_VALUE"""),50000.0)</f>
        <v>50000</v>
      </c>
      <c r="I305" s="32"/>
      <c r="J305" s="32"/>
      <c r="K305" s="32"/>
      <c r="L305" s="32"/>
      <c r="M305" s="32"/>
      <c r="N305" s="32"/>
      <c r="O305" s="33">
        <f>IFERROR(__xludf.DUMMYFUNCTION("""COMPUTED_VALUE"""),50000.0)</f>
        <v>50000</v>
      </c>
      <c r="P305" s="32"/>
      <c r="Q305" s="32"/>
      <c r="R305" s="32"/>
      <c r="S305" s="32"/>
      <c r="T305" s="32"/>
      <c r="U305" s="32"/>
      <c r="V305" s="32"/>
      <c r="W305" s="32"/>
      <c r="X305" s="32"/>
      <c r="Y305" s="33">
        <f>IFERROR(__xludf.DUMMYFUNCTION("""COMPUTED_VALUE"""),25000.0)</f>
        <v>25000</v>
      </c>
      <c r="Z305" s="32"/>
      <c r="AA305" s="32"/>
      <c r="AB305" s="32"/>
      <c r="AC305" s="32"/>
      <c r="AD305" s="32"/>
      <c r="AE305" s="32"/>
      <c r="AF305" s="32"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32" t="str">
        <f>IFERROR(__xludf.DUMMYFUNCTION("""COMPUTED_VALUE"""),"Abstara")</f>
        <v>Abstara</v>
      </c>
      <c r="AH305" s="32" t="b">
        <f>IFERROR(__xludf.DUMMYFUNCTION("""COMPUTED_VALUE"""),TRUE)</f>
        <v>1</v>
      </c>
      <c r="AI305" s="32"/>
      <c r="AJ305" s="32"/>
      <c r="AK305" s="32"/>
      <c r="AL305" s="32"/>
      <c r="AM305" s="32"/>
      <c r="AN305" s="32"/>
      <c r="AO305" s="32"/>
      <c r="AP305" s="32"/>
      <c r="AQ305" s="32"/>
      <c r="AR305" s="32"/>
      <c r="AS305" s="32"/>
      <c r="AT305" s="32"/>
      <c r="AU305" s="32"/>
      <c r="AV305" s="32"/>
      <c r="AW305" s="32"/>
      <c r="AX305" s="32"/>
    </row>
    <row r="306">
      <c r="A306" s="32" t="str">
        <f>IFERROR(__xludf.DUMMYFUNCTION("""COMPUTED_VALUE"""),"The Blade of the Chosen")</f>
        <v>The Blade of the Chosen</v>
      </c>
      <c r="B306" s="32" t="str">
        <f>IFERROR(__xludf.DUMMYFUNCTION("""COMPUTED_VALUE"""),"Hand")</f>
        <v>Hand</v>
      </c>
      <c r="C306" s="32"/>
      <c r="D306" s="5" t="str">
        <f>IFERROR(__xludf.DUMMYFUNCTION("""COMPUTED_VALUE"""),"Sword")</f>
        <v>Sword</v>
      </c>
      <c r="E306" s="40">
        <f>IFERROR(__xludf.DUMMYFUNCTION("""COMPUTED_VALUE"""),1000.0)</f>
        <v>1000</v>
      </c>
      <c r="F306" s="44">
        <f>IFERROR(__xludf.DUMMYFUNCTION("""COMPUTED_VALUE"""),4.95E7)</f>
        <v>49500000</v>
      </c>
      <c r="G306" s="32" t="str">
        <f>IFERROR(__xludf.DUMMYFUNCTION("""COMPUTED_VALUE"""),"DMG")</f>
        <v>DMG</v>
      </c>
      <c r="H306" s="33">
        <f>IFERROR(__xludf.DUMMYFUNCTION("""COMPUTED_VALUE"""),10000.0)</f>
        <v>10000</v>
      </c>
      <c r="I306" s="33">
        <f>IFERROR(__xludf.DUMMYFUNCTION("""COMPUTED_VALUE"""),10000.0)</f>
        <v>10000</v>
      </c>
      <c r="J306" s="32"/>
      <c r="K306" s="32"/>
      <c r="L306" s="32"/>
      <c r="M306" s="32"/>
      <c r="N306" s="32"/>
      <c r="O306" s="32"/>
      <c r="P306" s="32"/>
      <c r="Q306" s="33">
        <f>IFERROR(__xludf.DUMMYFUNCTION("""COMPUTED_VALUE"""),10000.0)</f>
        <v>10000</v>
      </c>
      <c r="R306" s="32"/>
      <c r="S306" s="33">
        <f>IFERROR(__xludf.DUMMYFUNCTION("""COMPUTED_VALUE"""),10000.0)</f>
        <v>10000</v>
      </c>
      <c r="T306" s="32"/>
      <c r="U306" s="32"/>
      <c r="V306" s="32"/>
      <c r="W306" s="32"/>
      <c r="X306" s="32"/>
      <c r="Y306" s="33">
        <f>IFERROR(__xludf.DUMMYFUNCTION("""COMPUTED_VALUE"""),10000.0)</f>
        <v>10000</v>
      </c>
      <c r="Z306" s="32"/>
      <c r="AA306" s="32"/>
      <c r="AB306" s="32"/>
      <c r="AC306" s="32"/>
      <c r="AD306" s="32"/>
      <c r="AE306" s="32"/>
      <c r="AF306" s="32"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32" t="str">
        <f>IFERROR(__xludf.DUMMYFUNCTION("""COMPUTED_VALUE"""),"Land of Spira")</f>
        <v>Land of Spira</v>
      </c>
      <c r="AH306" s="32" t="b">
        <f>IFERROR(__xludf.DUMMYFUNCTION("""COMPUTED_VALUE"""),FALSE)</f>
        <v>0</v>
      </c>
      <c r="AI306" s="32"/>
      <c r="AJ306" s="32"/>
      <c r="AK306" s="32"/>
      <c r="AL306" s="32"/>
      <c r="AM306" s="32"/>
      <c r="AN306" s="32"/>
      <c r="AO306" s="32"/>
      <c r="AP306" s="32"/>
      <c r="AQ306" s="32"/>
      <c r="AR306" s="32"/>
      <c r="AS306" s="32"/>
      <c r="AT306" s="32"/>
      <c r="AU306" s="32"/>
      <c r="AV306" s="32"/>
      <c r="AW306" s="32"/>
      <c r="AX306" s="32"/>
    </row>
    <row r="307">
      <c r="A307" s="32" t="str">
        <f>IFERROR(__xludf.DUMMYFUNCTION("""COMPUTED_VALUE"""),"The Bow of the Fallen Hero")</f>
        <v>The Bow of the Fallen Hero</v>
      </c>
      <c r="B307" s="32" t="str">
        <f>IFERROR(__xludf.DUMMYFUNCTION("""COMPUTED_VALUE"""),"Hand")</f>
        <v>Hand</v>
      </c>
      <c r="C307" s="32"/>
      <c r="D307" s="5" t="str">
        <f>IFERROR(__xludf.DUMMYFUNCTION("""COMPUTED_VALUE"""),"Bow")</f>
        <v>Bow</v>
      </c>
      <c r="E307" s="40">
        <f>IFERROR(__xludf.DUMMYFUNCTION("""COMPUTED_VALUE"""),100.0)</f>
        <v>100</v>
      </c>
      <c r="F307" s="44">
        <f>IFERROR(__xludf.DUMMYFUNCTION("""COMPUTED_VALUE"""),450000.0)</f>
        <v>450000</v>
      </c>
      <c r="G307" s="32" t="str">
        <f>IFERROR(__xludf.DUMMYFUNCTION("""COMPUTED_VALUE"""),"DMG")</f>
        <v>DMG</v>
      </c>
      <c r="H307" s="32">
        <f>IFERROR(__xludf.DUMMYFUNCTION("""COMPUTED_VALUE"""),5000.0)</f>
        <v>5000</v>
      </c>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t="str">
        <f>IFERROR(__xludf.DUMMYFUNCTION("""COMPUTED_VALUE"""),"++Dashing Arrows - You can use up to 6 arrows when attacking with this bow. ")</f>
        <v>++Dashing Arrows - You can use up to 6 arrows when attacking with this bow. </v>
      </c>
      <c r="AG307" s="32" t="str">
        <f>IFERROR(__xludf.DUMMYFUNCTION("""COMPUTED_VALUE"""),"Land of Spira")</f>
        <v>Land of Spira</v>
      </c>
      <c r="AH307" s="32" t="b">
        <f>IFERROR(__xludf.DUMMYFUNCTION("""COMPUTED_VALUE"""),FALSE)</f>
        <v>0</v>
      </c>
      <c r="AI307" s="32"/>
      <c r="AJ307" s="32"/>
      <c r="AK307" s="32"/>
      <c r="AL307" s="32"/>
      <c r="AM307" s="32"/>
      <c r="AN307" s="32"/>
      <c r="AO307" s="32"/>
      <c r="AP307" s="32"/>
      <c r="AQ307" s="32"/>
      <c r="AR307" s="32"/>
      <c r="AS307" s="32"/>
      <c r="AT307" s="32"/>
      <c r="AU307" s="32"/>
      <c r="AV307" s="32"/>
      <c r="AW307" s="32"/>
      <c r="AX307" s="32"/>
    </row>
    <row r="308">
      <c r="A308" s="32" t="str">
        <f>IFERROR(__xludf.DUMMYFUNCTION("""COMPUTED_VALUE"""),"The Bow of the Haunted")</f>
        <v>The Bow of the Haunted</v>
      </c>
      <c r="B308" s="32" t="str">
        <f>IFERROR(__xludf.DUMMYFUNCTION("""COMPUTED_VALUE"""),"Hand")</f>
        <v>Hand</v>
      </c>
      <c r="C308" s="32" t="str">
        <f>IFERROR(__xludf.DUMMYFUNCTION("""COMPUTED_VALUE"""),"Halloween exclusive")</f>
        <v>Halloween exclusive</v>
      </c>
      <c r="D308" s="5" t="str">
        <f>IFERROR(__xludf.DUMMYFUNCTION("""COMPUTED_VALUE"""),"Bow")</f>
        <v>Bow</v>
      </c>
      <c r="E308" s="40">
        <f>IFERROR(__xludf.DUMMYFUNCTION("""COMPUTED_VALUE"""),620.0)</f>
        <v>620</v>
      </c>
      <c r="F308" s="44">
        <f>IFERROR(__xludf.DUMMYFUNCTION("""COMPUTED_VALUE"""),1.891E7)</f>
        <v>18910000</v>
      </c>
      <c r="G308" s="32" t="str">
        <f>IFERROR(__xludf.DUMMYFUNCTION("""COMPUTED_VALUE"""),"DMG")</f>
        <v>DMG</v>
      </c>
      <c r="H308" s="32">
        <f>IFERROR(__xludf.DUMMYFUNCTION("""COMPUTED_VALUE"""),1000.0)</f>
        <v>1000</v>
      </c>
      <c r="I308" s="33">
        <f>IFERROR(__xludf.DUMMYFUNCTION("""COMPUTED_VALUE"""),10000.0)</f>
        <v>10000</v>
      </c>
      <c r="J308" s="32"/>
      <c r="K308" s="32"/>
      <c r="L308" s="32"/>
      <c r="M308" s="32"/>
      <c r="N308" s="32"/>
      <c r="O308" s="33">
        <f>IFERROR(__xludf.DUMMYFUNCTION("""COMPUTED_VALUE"""),10000.0)</f>
        <v>10000</v>
      </c>
      <c r="P308" s="32"/>
      <c r="Q308" s="32"/>
      <c r="R308" s="33">
        <f>IFERROR(__xludf.DUMMYFUNCTION("""COMPUTED_VALUE"""),10000.0)</f>
        <v>10000</v>
      </c>
      <c r="S308" s="32"/>
      <c r="T308" s="32"/>
      <c r="U308" s="32"/>
      <c r="V308" s="32"/>
      <c r="W308" s="32"/>
      <c r="X308" s="32"/>
      <c r="Y308" s="32"/>
      <c r="Z308" s="32"/>
      <c r="AA308" s="32"/>
      <c r="AB308" s="32"/>
      <c r="AC308" s="32"/>
      <c r="AD308" s="32"/>
      <c r="AE308" s="32"/>
      <c r="AF308" s="32"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32" t="str">
        <f>IFERROR(__xludf.DUMMYFUNCTION("""COMPUTED_VALUE"""),"Halloween Kingdom")</f>
        <v>Halloween Kingdom</v>
      </c>
      <c r="AH308" s="32" t="b">
        <f>IFERROR(__xludf.DUMMYFUNCTION("""COMPUTED_VALUE"""),FALSE)</f>
        <v>0</v>
      </c>
      <c r="AI308" s="32"/>
      <c r="AJ308" s="32"/>
      <c r="AK308" s="32"/>
      <c r="AL308" s="32"/>
      <c r="AM308" s="32"/>
      <c r="AN308" s="32"/>
      <c r="AO308" s="32"/>
      <c r="AP308" s="32"/>
      <c r="AQ308" s="32"/>
      <c r="AR308" s="32"/>
      <c r="AS308" s="32"/>
      <c r="AT308" s="32"/>
      <c r="AU308" s="32"/>
      <c r="AV308" s="32"/>
      <c r="AW308" s="32"/>
      <c r="AX308" s="32"/>
    </row>
    <row r="309">
      <c r="A309" s="32" t="str">
        <f>IFERROR(__xludf.DUMMYFUNCTION("""COMPUTED_VALUE"""),"The Bow of the Pandarian")</f>
        <v>The Bow of the Pandarian</v>
      </c>
      <c r="B309" s="32" t="str">
        <f>IFERROR(__xludf.DUMMYFUNCTION("""COMPUTED_VALUE"""),"Hand")</f>
        <v>Hand</v>
      </c>
      <c r="C309" s="32"/>
      <c r="D309" s="5" t="str">
        <f>IFERROR(__xludf.DUMMYFUNCTION("""COMPUTED_VALUE"""),"Bow")</f>
        <v>Bow</v>
      </c>
      <c r="E309" s="40">
        <f>IFERROR(__xludf.DUMMYFUNCTION("""COMPUTED_VALUE"""),40.0)</f>
        <v>40</v>
      </c>
      <c r="F309" s="44">
        <f>IFERROR(__xludf.DUMMYFUNCTION("""COMPUTED_VALUE"""),60000.0)</f>
        <v>60000</v>
      </c>
      <c r="G309" s="32" t="str">
        <f>IFERROR(__xludf.DUMMYFUNCTION("""COMPUTED_VALUE"""),"DMG")</f>
        <v>DMG</v>
      </c>
      <c r="H309" s="32">
        <f>IFERROR(__xludf.DUMMYFUNCTION("""COMPUTED_VALUE"""),2000.0)</f>
        <v>2000</v>
      </c>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t="str">
        <f>IFERROR(__xludf.DUMMYFUNCTION("""COMPUTED_VALUE"""),"++Half the Arrow - Ranged Spells cost half the sp cost, Ranger Enrage - All Ranged Attacks. do double in damage. ")</f>
        <v>++Half the Arrow - Ranged Spells cost half the sp cost, Ranger Enrage - All Ranged Attacks. do double in damage. </v>
      </c>
      <c r="AG309" s="32" t="str">
        <f>IFERROR(__xludf.DUMMYFUNCTION("""COMPUTED_VALUE"""),"Land of Spira")</f>
        <v>Land of Spira</v>
      </c>
      <c r="AH309" s="32" t="b">
        <f>IFERROR(__xludf.DUMMYFUNCTION("""COMPUTED_VALUE"""),FALSE)</f>
        <v>0</v>
      </c>
      <c r="AI309" s="32"/>
      <c r="AJ309" s="32"/>
      <c r="AK309" s="32"/>
      <c r="AL309" s="32"/>
      <c r="AM309" s="32"/>
      <c r="AN309" s="32"/>
      <c r="AO309" s="32"/>
      <c r="AP309" s="32"/>
      <c r="AQ309" s="32"/>
      <c r="AR309" s="32"/>
      <c r="AS309" s="32"/>
      <c r="AT309" s="32"/>
      <c r="AU309" s="32"/>
      <c r="AV309" s="32"/>
      <c r="AW309" s="32"/>
      <c r="AX309" s="32"/>
    </row>
    <row r="310">
      <c r="A310" s="32" t="str">
        <f>IFERROR(__xludf.DUMMYFUNCTION("""COMPUTED_VALUE"""),"The Buster")</f>
        <v>The Buster</v>
      </c>
      <c r="B310" s="32" t="str">
        <f>IFERROR(__xludf.DUMMYFUNCTION("""COMPUTED_VALUE"""),"Hand")</f>
        <v>Hand</v>
      </c>
      <c r="C310" s="32"/>
      <c r="D310" s="5" t="str">
        <f>IFERROR(__xludf.DUMMYFUNCTION("""COMPUTED_VALUE"""),"Sword")</f>
        <v>Sword</v>
      </c>
      <c r="E310" s="40">
        <f>IFERROR(__xludf.DUMMYFUNCTION("""COMPUTED_VALUE"""),400.0)</f>
        <v>400</v>
      </c>
      <c r="F310" s="44">
        <f>IFERROR(__xludf.DUMMYFUNCTION("""COMPUTED_VALUE"""),7800000.0)</f>
        <v>7800000</v>
      </c>
      <c r="G310" s="32" t="str">
        <f>IFERROR(__xludf.DUMMYFUNCTION("""COMPUTED_VALUE"""),"DMG")</f>
        <v>DMG</v>
      </c>
      <c r="H310" s="33">
        <f>IFERROR(__xludf.DUMMYFUNCTION("""COMPUTED_VALUE"""),20000.0)</f>
        <v>20000</v>
      </c>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t="str">
        <f>IFERROR(__xludf.DUMMYFUNCTION("""COMPUTED_VALUE"""),"Land of Spira")</f>
        <v>Land of Spira</v>
      </c>
      <c r="AH310" s="32" t="b">
        <f>IFERROR(__xludf.DUMMYFUNCTION("""COMPUTED_VALUE"""),TRUE)</f>
        <v>1</v>
      </c>
      <c r="AI310" s="32"/>
      <c r="AJ310" s="32"/>
      <c r="AK310" s="32"/>
      <c r="AL310" s="32"/>
      <c r="AM310" s="32"/>
      <c r="AN310" s="32"/>
      <c r="AO310" s="32"/>
      <c r="AP310" s="32"/>
      <c r="AQ310" s="32"/>
      <c r="AR310" s="32"/>
      <c r="AS310" s="32"/>
      <c r="AT310" s="32"/>
      <c r="AU310" s="32"/>
      <c r="AV310" s="32"/>
      <c r="AW310" s="32"/>
      <c r="AX310" s="32"/>
    </row>
    <row r="311">
      <c r="A311" s="32" t="str">
        <f>IFERROR(__xludf.DUMMYFUNCTION("""COMPUTED_VALUE"""),"The Dawn Splitter")</f>
        <v>The Dawn Splitter</v>
      </c>
      <c r="B311" s="32" t="str">
        <f>IFERROR(__xludf.DUMMYFUNCTION("""COMPUTED_VALUE"""),"Hand")</f>
        <v>Hand</v>
      </c>
      <c r="C311" s="32"/>
      <c r="D311" s="5" t="str">
        <f>IFERROR(__xludf.DUMMYFUNCTION("""COMPUTED_VALUE"""),"Sword")</f>
        <v>Sword</v>
      </c>
      <c r="E311" s="40">
        <f>IFERROR(__xludf.DUMMYFUNCTION("""COMPUTED_VALUE"""),200.0)</f>
        <v>200</v>
      </c>
      <c r="F311" s="44">
        <f>IFERROR(__xludf.DUMMYFUNCTION("""COMPUTED_VALUE"""),7.98E8)</f>
        <v>798000000</v>
      </c>
      <c r="G311" s="32" t="str">
        <f>IFERROR(__xludf.DUMMYFUNCTION("""COMPUTED_VALUE"""),"DMG")</f>
        <v>DMG</v>
      </c>
      <c r="H311" s="33">
        <f>IFERROR(__xludf.DUMMYFUNCTION("""COMPUTED_VALUE"""),50000.0)</f>
        <v>50000</v>
      </c>
      <c r="I311" s="33">
        <f>IFERROR(__xludf.DUMMYFUNCTION("""COMPUTED_VALUE"""),50000.0)</f>
        <v>50000</v>
      </c>
      <c r="J311" s="32"/>
      <c r="K311" s="32"/>
      <c r="L311" s="32"/>
      <c r="M311" s="32"/>
      <c r="N311" s="32"/>
      <c r="O311" s="33">
        <f>IFERROR(__xludf.DUMMYFUNCTION("""COMPUTED_VALUE"""),50000.0)</f>
        <v>50000</v>
      </c>
      <c r="P311" s="32"/>
      <c r="Q311" s="32"/>
      <c r="R311" s="32"/>
      <c r="S311" s="32"/>
      <c r="T311" s="32"/>
      <c r="U311" s="32"/>
      <c r="V311" s="32"/>
      <c r="W311" s="32"/>
      <c r="X311" s="32"/>
      <c r="Y311" s="32"/>
      <c r="Z311" s="32"/>
      <c r="AA311" s="32"/>
      <c r="AB311" s="32"/>
      <c r="AC311" s="33">
        <f>IFERROR(__xludf.DUMMYFUNCTION("""COMPUTED_VALUE"""),50000.0)</f>
        <v>50000</v>
      </c>
      <c r="AD311" s="32"/>
      <c r="AE311" s="32"/>
      <c r="AF311" s="32" t="str">
        <f>IFERROR(__xludf.DUMMYFUNCTION("""COMPUTED_VALUE"""),"++50% Chance to put the target to sleep.")</f>
        <v>++50% Chance to put the target to sleep.</v>
      </c>
      <c r="AG311" s="32" t="str">
        <f>IFERROR(__xludf.DUMMYFUNCTION("""COMPUTED_VALUE"""),"Abstara")</f>
        <v>Abstara</v>
      </c>
      <c r="AH311" s="32" t="b">
        <f>IFERROR(__xludf.DUMMYFUNCTION("""COMPUTED_VALUE"""),FALSE)</f>
        <v>0</v>
      </c>
      <c r="AI311" s="32"/>
      <c r="AJ311" s="32"/>
      <c r="AK311" s="32"/>
      <c r="AL311" s="32"/>
      <c r="AM311" s="32"/>
      <c r="AN311" s="32"/>
      <c r="AO311" s="32"/>
      <c r="AP311" s="32"/>
      <c r="AQ311" s="32"/>
      <c r="AR311" s="32"/>
      <c r="AS311" s="32"/>
      <c r="AT311" s="32"/>
      <c r="AU311" s="32"/>
      <c r="AV311" s="32"/>
      <c r="AW311" s="32"/>
      <c r="AX311" s="32"/>
    </row>
    <row r="312">
      <c r="A312" s="32" t="str">
        <f>IFERROR(__xludf.DUMMYFUNCTION("""COMPUTED_VALUE"""),"The Dragon King's Crown")</f>
        <v>The Dragon King's Crown</v>
      </c>
      <c r="B312" s="32" t="str">
        <f>IFERROR(__xludf.DUMMYFUNCTION("""COMPUTED_VALUE"""),"Head")</f>
        <v>Head</v>
      </c>
      <c r="C312" s="32"/>
      <c r="D312" s="5"/>
      <c r="E312" s="40">
        <f>IFERROR(__xludf.DUMMYFUNCTION("""COMPUTED_VALUE"""),400.0)</f>
        <v>400</v>
      </c>
      <c r="F312" s="44">
        <f>IFERROR(__xludf.DUMMYFUNCTION("""COMPUTED_VALUE"""),7800000.0)</f>
        <v>7800000</v>
      </c>
      <c r="G312" s="32" t="str">
        <f>IFERROR(__xludf.DUMMYFUNCTION("""COMPUTED_VALUE"""),"DEF")</f>
        <v>DEF</v>
      </c>
      <c r="H312" s="33">
        <f>IFERROR(__xludf.DUMMYFUNCTION("""COMPUTED_VALUE"""),20000.0)</f>
        <v>20000</v>
      </c>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t="str">
        <f>IFERROR(__xludf.DUMMYFUNCTION("""COMPUTED_VALUE"""),"++Immunity to damage from Natural Attacks...")</f>
        <v>++Immunity to damage from Natural Attacks...</v>
      </c>
      <c r="AG312" s="32" t="str">
        <f>IFERROR(__xludf.DUMMYFUNCTION("""COMPUTED_VALUE"""),"Land of Spira")</f>
        <v>Land of Spira</v>
      </c>
      <c r="AH312" s="32" t="b">
        <f>IFERROR(__xludf.DUMMYFUNCTION("""COMPUTED_VALUE"""),FALSE)</f>
        <v>0</v>
      </c>
      <c r="AI312" s="32"/>
      <c r="AJ312" s="32"/>
      <c r="AK312" s="32"/>
      <c r="AL312" s="32"/>
      <c r="AM312" s="32"/>
      <c r="AN312" s="32"/>
      <c r="AO312" s="32"/>
      <c r="AP312" s="32"/>
      <c r="AQ312" s="32"/>
      <c r="AR312" s="32"/>
      <c r="AS312" s="32"/>
      <c r="AT312" s="32"/>
      <c r="AU312" s="32"/>
      <c r="AV312" s="32"/>
      <c r="AW312" s="32"/>
      <c r="AX312" s="32"/>
    </row>
    <row r="313">
      <c r="A313" s="32" t="str">
        <f>IFERROR(__xludf.DUMMYFUNCTION("""COMPUTED_VALUE"""),"The Guardian Of Death's Sword")</f>
        <v>The Guardian Of Death's Sword</v>
      </c>
      <c r="B313" s="32" t="str">
        <f>IFERROR(__xludf.DUMMYFUNCTION("""COMPUTED_VALUE"""),"Hand")</f>
        <v>Hand</v>
      </c>
      <c r="C313" s="32"/>
      <c r="D313" s="5" t="str">
        <f>IFERROR(__xludf.DUMMYFUNCTION("""COMPUTED_VALUE"""),"Sword")</f>
        <v>Sword</v>
      </c>
      <c r="E313" s="40">
        <f>IFERROR(__xludf.DUMMYFUNCTION("""COMPUTED_VALUE"""),600.0)</f>
        <v>600</v>
      </c>
      <c r="F313" s="44">
        <f>IFERROR(__xludf.DUMMYFUNCTION("""COMPUTED_VALUE"""),1.77E7)</f>
        <v>17700000</v>
      </c>
      <c r="G313" s="32" t="str">
        <f>IFERROR(__xludf.DUMMYFUNCTION("""COMPUTED_VALUE"""),"DMG")</f>
        <v>DMG</v>
      </c>
      <c r="H313" s="32">
        <f>IFERROR(__xludf.DUMMYFUNCTION("""COMPUTED_VALUE"""),15000.0)</f>
        <v>15000</v>
      </c>
      <c r="I313" s="32"/>
      <c r="J313" s="32"/>
      <c r="K313" s="32"/>
      <c r="L313" s="32"/>
      <c r="M313" s="32"/>
      <c r="N313" s="32"/>
      <c r="O313" s="32">
        <f>IFERROR(__xludf.DUMMYFUNCTION("""COMPUTED_VALUE"""),5000.0)</f>
        <v>5000</v>
      </c>
      <c r="P313" s="32">
        <f>IFERROR(__xludf.DUMMYFUNCTION("""COMPUTED_VALUE"""),5000.0)</f>
        <v>5000</v>
      </c>
      <c r="Q313" s="32"/>
      <c r="R313" s="32">
        <f>IFERROR(__xludf.DUMMYFUNCTION("""COMPUTED_VALUE"""),5000.0)</f>
        <v>5000</v>
      </c>
      <c r="S313" s="32"/>
      <c r="T313" s="32"/>
      <c r="U313" s="32"/>
      <c r="V313" s="32"/>
      <c r="W313" s="32"/>
      <c r="X313" s="32"/>
      <c r="Y313" s="32"/>
      <c r="Z313" s="32"/>
      <c r="AA313" s="32"/>
      <c r="AB313" s="32"/>
      <c r="AC313" s="32"/>
      <c r="AD313" s="32"/>
      <c r="AE313" s="32"/>
      <c r="AF313" s="32"/>
      <c r="AG313" s="32" t="str">
        <f>IFERROR(__xludf.DUMMYFUNCTION("""COMPUTED_VALUE"""),"Land of Spira")</f>
        <v>Land of Spira</v>
      </c>
      <c r="AH313" s="32" t="b">
        <f>IFERROR(__xludf.DUMMYFUNCTION("""COMPUTED_VALUE"""),TRUE)</f>
        <v>1</v>
      </c>
      <c r="AI313" s="32"/>
      <c r="AJ313" s="32"/>
      <c r="AK313" s="32"/>
      <c r="AL313" s="32"/>
      <c r="AM313" s="32"/>
      <c r="AN313" s="32"/>
      <c r="AO313" s="32"/>
      <c r="AP313" s="32"/>
      <c r="AQ313" s="32"/>
      <c r="AR313" s="32"/>
      <c r="AS313" s="32"/>
      <c r="AT313" s="32"/>
      <c r="AU313" s="32"/>
      <c r="AV313" s="32"/>
      <c r="AW313" s="32"/>
      <c r="AX313" s="32"/>
    </row>
    <row r="314">
      <c r="A314" s="32" t="str">
        <f>IFERROR(__xludf.DUMMYFUNCTION("""COMPUTED_VALUE"""),"The Helm of Foul Night")</f>
        <v>The Helm of Foul Night</v>
      </c>
      <c r="B314" s="32" t="str">
        <f>IFERROR(__xludf.DUMMYFUNCTION("""COMPUTED_VALUE"""),"Head")</f>
        <v>Head</v>
      </c>
      <c r="C314" s="32"/>
      <c r="D314" s="5"/>
      <c r="E314" s="40">
        <f>IFERROR(__xludf.DUMMYFUNCTION("""COMPUTED_VALUE"""),200.0)</f>
        <v>200</v>
      </c>
      <c r="F314" s="44">
        <f>IFERROR(__xludf.DUMMYFUNCTION("""COMPUTED_VALUE"""),1900000.0)</f>
        <v>1900000</v>
      </c>
      <c r="G314" s="32" t="str">
        <f>IFERROR(__xludf.DUMMYFUNCTION("""COMPUTED_VALUE"""),"DEF")</f>
        <v>DEF</v>
      </c>
      <c r="H314" s="32">
        <f>IFERROR(__xludf.DUMMYFUNCTION("""COMPUTED_VALUE"""),5000.0)</f>
        <v>5000</v>
      </c>
      <c r="I314" s="32"/>
      <c r="J314" s="32"/>
      <c r="K314" s="32"/>
      <c r="L314" s="32"/>
      <c r="M314" s="32"/>
      <c r="N314" s="32"/>
      <c r="O314" s="32"/>
      <c r="P314" s="32"/>
      <c r="Q314" s="32"/>
      <c r="R314" s="32"/>
      <c r="S314" s="32">
        <f>IFERROR(__xludf.DUMMYFUNCTION("""COMPUTED_VALUE"""),5000.0)</f>
        <v>5000</v>
      </c>
      <c r="T314" s="32"/>
      <c r="U314" s="32"/>
      <c r="V314" s="32"/>
      <c r="W314" s="32"/>
      <c r="X314" s="32"/>
      <c r="Y314" s="32"/>
      <c r="Z314" s="32"/>
      <c r="AA314" s="32"/>
      <c r="AB314" s="32"/>
      <c r="AC314" s="32"/>
      <c r="AD314" s="32"/>
      <c r="AE314" s="32"/>
      <c r="AF314" s="32" t="str">
        <f>IFERROR(__xludf.DUMMYFUNCTION("""COMPUTED_VALUE"""),"(Foul Night Set) ++X2 Nature and Poison damage. ++Poison Immunity. ")</f>
        <v>(Foul Night Set) ++X2 Nature and Poison damage. ++Poison Immunity. </v>
      </c>
      <c r="AG314" s="32" t="str">
        <f>IFERROR(__xludf.DUMMYFUNCTION("""COMPUTED_VALUE"""),"Land of Spira")</f>
        <v>Land of Spira</v>
      </c>
      <c r="AH314" s="32" t="b">
        <f>IFERROR(__xludf.DUMMYFUNCTION("""COMPUTED_VALUE"""),FALSE)</f>
        <v>0</v>
      </c>
      <c r="AI314" s="32"/>
      <c r="AJ314" s="32"/>
      <c r="AK314" s="32"/>
      <c r="AL314" s="32"/>
      <c r="AM314" s="32"/>
      <c r="AN314" s="32"/>
      <c r="AO314" s="32"/>
      <c r="AP314" s="32"/>
      <c r="AQ314" s="32"/>
      <c r="AR314" s="32"/>
      <c r="AS314" s="32"/>
      <c r="AT314" s="32"/>
      <c r="AU314" s="32"/>
      <c r="AV314" s="32"/>
      <c r="AW314" s="32"/>
      <c r="AX314" s="32"/>
    </row>
    <row r="315">
      <c r="A315" s="32" t="str">
        <f>IFERROR(__xludf.DUMMYFUNCTION("""COMPUTED_VALUE"""),"The Invisible Spear")</f>
        <v>The Invisible Spear</v>
      </c>
      <c r="B315" s="32" t="str">
        <f>IFERROR(__xludf.DUMMYFUNCTION("""COMPUTED_VALUE"""),"Hand")</f>
        <v>Hand</v>
      </c>
      <c r="C315" s="32"/>
      <c r="D315" s="5" t="str">
        <f>IFERROR(__xludf.DUMMYFUNCTION("""COMPUTED_VALUE"""),"Spear")</f>
        <v>Spear</v>
      </c>
      <c r="E315" s="40">
        <f>IFERROR(__xludf.DUMMYFUNCTION("""COMPUTED_VALUE"""),1.0)</f>
        <v>1</v>
      </c>
      <c r="F315" s="44">
        <f>IFERROR(__xludf.DUMMYFUNCTION("""COMPUTED_VALUE"""),0.0)</f>
        <v>0</v>
      </c>
      <c r="G315" s="32" t="str">
        <f>IFERROR(__xludf.DUMMYFUNCTION("""COMPUTED_VALUE"""),"DMG")</f>
        <v>DMG</v>
      </c>
      <c r="H315" s="32">
        <f>IFERROR(__xludf.DUMMYFUNCTION("""COMPUTED_VALUE"""),200.0)</f>
        <v>200</v>
      </c>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t="str">
        <f>IFERROR(__xludf.DUMMYFUNCTION("""COMPUTED_VALUE"""),"++ignores evasion")</f>
        <v>++ignores evasion</v>
      </c>
      <c r="AG315" s="32" t="str">
        <f>IFERROR(__xludf.DUMMYFUNCTION("""COMPUTED_VALUE"""),"Land of Spira")</f>
        <v>Land of Spira</v>
      </c>
      <c r="AH315" s="32" t="b">
        <f>IFERROR(__xludf.DUMMYFUNCTION("""COMPUTED_VALUE"""),FALSE)</f>
        <v>0</v>
      </c>
      <c r="AI315" s="32"/>
      <c r="AJ315" s="32"/>
      <c r="AK315" s="32"/>
      <c r="AL315" s="32"/>
      <c r="AM315" s="32"/>
      <c r="AN315" s="32"/>
      <c r="AO315" s="32"/>
      <c r="AP315" s="32"/>
      <c r="AQ315" s="32"/>
      <c r="AR315" s="32"/>
      <c r="AS315" s="32"/>
      <c r="AT315" s="32"/>
      <c r="AU315" s="32"/>
      <c r="AV315" s="32"/>
      <c r="AW315" s="32"/>
      <c r="AX315" s="32"/>
    </row>
    <row r="316">
      <c r="A316" s="32" t="str">
        <f>IFERROR(__xludf.DUMMYFUNCTION("""COMPUTED_VALUE"""),"The Mysterious Mirror")</f>
        <v>The Mysterious Mirror</v>
      </c>
      <c r="B316" s="32" t="str">
        <f>IFERROR(__xludf.DUMMYFUNCTION("""COMPUTED_VALUE"""),"Hand")</f>
        <v>Hand</v>
      </c>
      <c r="C316" s="32"/>
      <c r="D316" s="5" t="str">
        <f>IFERROR(__xludf.DUMMYFUNCTION("""COMPUTED_VALUE"""),"Towershield")</f>
        <v>Towershield</v>
      </c>
      <c r="E316" s="40">
        <f>IFERROR(__xludf.DUMMYFUNCTION("""COMPUTED_VALUE"""),1.0)</f>
        <v>1</v>
      </c>
      <c r="F316" s="44">
        <f>IFERROR(__xludf.DUMMYFUNCTION("""COMPUTED_VALUE"""),0.0)</f>
        <v>0</v>
      </c>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32" t="str">
        <f>IFERROR(__xludf.DUMMYFUNCTION("""COMPUTED_VALUE"""),"Land of The Forgotten")</f>
        <v>Land of The Forgotten</v>
      </c>
      <c r="AH316" s="32" t="b">
        <f>IFERROR(__xludf.DUMMYFUNCTION("""COMPUTED_VALUE"""),FALSE)</f>
        <v>0</v>
      </c>
      <c r="AI316" s="32"/>
      <c r="AJ316" s="32"/>
      <c r="AK316" s="32"/>
      <c r="AL316" s="32"/>
      <c r="AM316" s="32"/>
      <c r="AN316" s="32"/>
      <c r="AO316" s="32"/>
      <c r="AP316" s="32"/>
      <c r="AQ316" s="32"/>
      <c r="AR316" s="32"/>
      <c r="AS316" s="32"/>
      <c r="AT316" s="32"/>
      <c r="AU316" s="32"/>
      <c r="AV316" s="32"/>
      <c r="AW316" s="32"/>
      <c r="AX316" s="32"/>
    </row>
    <row r="317">
      <c r="A317" s="32" t="str">
        <f>IFERROR(__xludf.DUMMYFUNCTION("""COMPUTED_VALUE"""),"The Puppet Masters Amulet")</f>
        <v>The Puppet Masters Amulet</v>
      </c>
      <c r="B317" s="32" t="str">
        <f>IFERROR(__xludf.DUMMYFUNCTION("""COMPUTED_VALUE"""),"Neck")</f>
        <v>Neck</v>
      </c>
      <c r="C317" s="32"/>
      <c r="D317" s="5"/>
      <c r="E317" s="40">
        <f>IFERROR(__xludf.DUMMYFUNCTION("""COMPUTED_VALUE"""),1.0)</f>
        <v>1</v>
      </c>
      <c r="F317" s="44">
        <f>IFERROR(__xludf.DUMMYFUNCTION("""COMPUTED_VALUE"""),0.0)</f>
        <v>0</v>
      </c>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t="str">
        <f>IFERROR(__xludf.DUMMYFUNCTION("""COMPUTED_VALUE"""),"++Immune to possession.  +-Cannot be duplicated.")</f>
        <v>++Immune to possession.  +-Cannot be duplicated.</v>
      </c>
      <c r="AG317" s="32" t="str">
        <f>IFERROR(__xludf.DUMMYFUNCTION("""COMPUTED_VALUE"""),"Land of The Forgotten")</f>
        <v>Land of The Forgotten</v>
      </c>
      <c r="AH317" s="32" t="b">
        <f>IFERROR(__xludf.DUMMYFUNCTION("""COMPUTED_VALUE"""),FALSE)</f>
        <v>0</v>
      </c>
      <c r="AI317" s="32"/>
      <c r="AJ317" s="32"/>
      <c r="AK317" s="32"/>
      <c r="AL317" s="32"/>
      <c r="AM317" s="32"/>
      <c r="AN317" s="32"/>
      <c r="AO317" s="32"/>
      <c r="AP317" s="32"/>
      <c r="AQ317" s="32"/>
      <c r="AR317" s="32"/>
      <c r="AS317" s="32"/>
      <c r="AT317" s="32"/>
      <c r="AU317" s="32"/>
      <c r="AV317" s="32"/>
      <c r="AW317" s="32"/>
      <c r="AX317" s="32"/>
    </row>
    <row r="318">
      <c r="A318" s="32" t="str">
        <f>IFERROR(__xludf.DUMMYFUNCTION("""COMPUTED_VALUE"""),"The Puppet Masters Cloak")</f>
        <v>The Puppet Masters Cloak</v>
      </c>
      <c r="B318" s="32" t="str">
        <f>IFERROR(__xludf.DUMMYFUNCTION("""COMPUTED_VALUE"""),"Torso")</f>
        <v>Torso</v>
      </c>
      <c r="C318" s="32"/>
      <c r="D318" s="5"/>
      <c r="E318" s="40">
        <f>IFERROR(__xludf.DUMMYFUNCTION("""COMPUTED_VALUE"""),1.0)</f>
        <v>1</v>
      </c>
      <c r="F318" s="44">
        <f>IFERROR(__xludf.DUMMYFUNCTION("""COMPUTED_VALUE"""),0.0)</f>
        <v>0</v>
      </c>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t="str">
        <f>IFERROR(__xludf.DUMMYFUNCTION("""COMPUTED_VALUE"""),"++User and allies gain immunity to chaos and dark damage while in the party. +-Cannot be duplicated")</f>
        <v>++User and allies gain immunity to chaos and dark damage while in the party. +-Cannot be duplicated</v>
      </c>
      <c r="AG318" s="32" t="str">
        <f>IFERROR(__xludf.DUMMYFUNCTION("""COMPUTED_VALUE"""),"Land of The Forgotten")</f>
        <v>Land of The Forgotten</v>
      </c>
      <c r="AH318" s="32" t="b">
        <f>IFERROR(__xludf.DUMMYFUNCTION("""COMPUTED_VALUE"""),FALSE)</f>
        <v>0</v>
      </c>
      <c r="AI318" s="32"/>
      <c r="AJ318" s="32"/>
      <c r="AK318" s="32"/>
      <c r="AL318" s="32"/>
      <c r="AM318" s="32"/>
      <c r="AN318" s="32"/>
      <c r="AO318" s="32"/>
      <c r="AP318" s="32"/>
      <c r="AQ318" s="32"/>
      <c r="AR318" s="32"/>
      <c r="AS318" s="32"/>
      <c r="AT318" s="32"/>
      <c r="AU318" s="32"/>
      <c r="AV318" s="32"/>
      <c r="AW318" s="32"/>
      <c r="AX318" s="32"/>
    </row>
    <row r="319">
      <c r="A319" s="32" t="str">
        <f>IFERROR(__xludf.DUMMYFUNCTION("""COMPUTED_VALUE"""),"The Puppet Masters Ring")</f>
        <v>The Puppet Masters Ring</v>
      </c>
      <c r="B319" s="32" t="str">
        <f>IFERROR(__xludf.DUMMYFUNCTION("""COMPUTED_VALUE"""),"Ring")</f>
        <v>Ring</v>
      </c>
      <c r="C319" s="32"/>
      <c r="D319" s="5"/>
      <c r="E319" s="40">
        <f>IFERROR(__xludf.DUMMYFUNCTION("""COMPUTED_VALUE"""),1.0)</f>
        <v>1</v>
      </c>
      <c r="F319" s="44">
        <f>IFERROR(__xludf.DUMMYFUNCTION("""COMPUTED_VALUE"""),0.0)</f>
        <v>0</v>
      </c>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t="str">
        <f>IFERROR(__xludf.DUMMYFUNCTION("""COMPUTED_VALUE"""),"++Take control of a target of choice. Fail/Succeed roll, (This effect counts as a possession)  +-Cannot be duplicated.")</f>
        <v>++Take control of a target of choice. Fail/Succeed roll, (This effect counts as a possession)  +-Cannot be duplicated.</v>
      </c>
      <c r="AG319" s="32" t="str">
        <f>IFERROR(__xludf.DUMMYFUNCTION("""COMPUTED_VALUE"""),"Land of The Forgotten")</f>
        <v>Land of The Forgotten</v>
      </c>
      <c r="AH319" s="32" t="b">
        <f>IFERROR(__xludf.DUMMYFUNCTION("""COMPUTED_VALUE"""),FALSE)</f>
        <v>0</v>
      </c>
      <c r="AI319" s="32"/>
      <c r="AJ319" s="32"/>
      <c r="AK319" s="32"/>
      <c r="AL319" s="32"/>
      <c r="AM319" s="32"/>
      <c r="AN319" s="32"/>
      <c r="AO319" s="32"/>
      <c r="AP319" s="32"/>
      <c r="AQ319" s="32"/>
      <c r="AR319" s="32"/>
      <c r="AS319" s="32"/>
      <c r="AT319" s="32"/>
      <c r="AU319" s="32"/>
      <c r="AV319" s="32"/>
      <c r="AW319" s="32"/>
      <c r="AX319" s="32"/>
    </row>
    <row r="320">
      <c r="A320" s="32" t="str">
        <f>IFERROR(__xludf.DUMMYFUNCTION("""COMPUTED_VALUE"""),"The Red Sword")</f>
        <v>The Red Sword</v>
      </c>
      <c r="B320" s="32" t="str">
        <f>IFERROR(__xludf.DUMMYFUNCTION("""COMPUTED_VALUE"""),"Hand")</f>
        <v>Hand</v>
      </c>
      <c r="C320" s="32" t="str">
        <f>IFERROR(__xludf.DUMMYFUNCTION("""COMPUTED_VALUE"""),"A Sword that was made of Vampire’s Blood")</f>
        <v>A Sword that was made of Vampire’s Blood</v>
      </c>
      <c r="D320" s="5" t="str">
        <f>IFERROR(__xludf.DUMMYFUNCTION("""COMPUTED_VALUE"""),"Sword")</f>
        <v>Sword</v>
      </c>
      <c r="E320" s="40">
        <f>IFERROR(__xludf.DUMMYFUNCTION("""COMPUTED_VALUE"""),1.0)</f>
        <v>1</v>
      </c>
      <c r="F320" s="44">
        <f>IFERROR(__xludf.DUMMYFUNCTION("""COMPUTED_VALUE"""),0.0)</f>
        <v>0</v>
      </c>
      <c r="G320" s="32" t="str">
        <f>IFERROR(__xludf.DUMMYFUNCTION("""COMPUTED_VALUE"""),"DMG")</f>
        <v>DMG</v>
      </c>
      <c r="H320" s="32">
        <f>IFERROR(__xludf.DUMMYFUNCTION("""COMPUTED_VALUE"""),300.0)</f>
        <v>300</v>
      </c>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t="str">
        <f>IFERROR(__xludf.DUMMYFUNCTION("""COMPUTED_VALUE"""),"Land of Spira")</f>
        <v>Land of Spira</v>
      </c>
      <c r="AH320" s="32" t="b">
        <f>IFERROR(__xludf.DUMMYFUNCTION("""COMPUTED_VALUE"""),TRUE)</f>
        <v>1</v>
      </c>
      <c r="AI320" s="32"/>
      <c r="AJ320" s="32"/>
      <c r="AK320" s="32"/>
      <c r="AL320" s="32"/>
      <c r="AM320" s="32"/>
      <c r="AN320" s="32"/>
      <c r="AO320" s="32"/>
      <c r="AP320" s="32"/>
      <c r="AQ320" s="32"/>
      <c r="AR320" s="32"/>
      <c r="AS320" s="32"/>
      <c r="AT320" s="32"/>
      <c r="AU320" s="32"/>
      <c r="AV320" s="32"/>
      <c r="AW320" s="32"/>
      <c r="AX320" s="32"/>
    </row>
    <row r="321">
      <c r="A321" s="32" t="str">
        <f>IFERROR(__xludf.DUMMYFUNCTION("""COMPUTED_VALUE"""),"The Servants Sword")</f>
        <v>The Servants Sword</v>
      </c>
      <c r="B321" s="32" t="str">
        <f>IFERROR(__xludf.DUMMYFUNCTION("""COMPUTED_VALUE"""),"Hand")</f>
        <v>Hand</v>
      </c>
      <c r="C321" s="32"/>
      <c r="D321" s="5" t="str">
        <f>IFERROR(__xludf.DUMMYFUNCTION("""COMPUTED_VALUE"""),"Sword")</f>
        <v>Sword</v>
      </c>
      <c r="E321" s="40">
        <f>IFERROR(__xludf.DUMMYFUNCTION("""COMPUTED_VALUE"""),600.0)</f>
        <v>600</v>
      </c>
      <c r="F321" s="44">
        <f>IFERROR(__xludf.DUMMYFUNCTION("""COMPUTED_VALUE"""),1.77E7)</f>
        <v>17700000</v>
      </c>
      <c r="G321" s="32" t="str">
        <f>IFERROR(__xludf.DUMMYFUNCTION("""COMPUTED_VALUE"""),"DMG")</f>
        <v>DMG</v>
      </c>
      <c r="H321" s="33">
        <f>IFERROR(__xludf.DUMMYFUNCTION("""COMPUTED_VALUE"""),20000.0)</f>
        <v>20000</v>
      </c>
      <c r="I321" s="32"/>
      <c r="J321" s="32"/>
      <c r="K321" s="32"/>
      <c r="L321" s="32"/>
      <c r="M321" s="32"/>
      <c r="N321" s="32"/>
      <c r="O321" s="32"/>
      <c r="P321" s="32"/>
      <c r="Q321" s="32"/>
      <c r="R321" s="33">
        <f>IFERROR(__xludf.DUMMYFUNCTION("""COMPUTED_VALUE"""),10000.0)</f>
        <v>10000</v>
      </c>
      <c r="S321" s="32"/>
      <c r="T321" s="32"/>
      <c r="U321" s="32"/>
      <c r="V321" s="32"/>
      <c r="W321" s="32"/>
      <c r="X321" s="32"/>
      <c r="Y321" s="32"/>
      <c r="Z321" s="32"/>
      <c r="AA321" s="32"/>
      <c r="AB321" s="32"/>
      <c r="AC321" s="32"/>
      <c r="AD321" s="32"/>
      <c r="AE321" s="32"/>
      <c r="AF321" s="32"/>
      <c r="AG321" s="32"/>
      <c r="AH321" s="32" t="b">
        <f>IFERROR(__xludf.DUMMYFUNCTION("""COMPUTED_VALUE"""),FALSE)</f>
        <v>0</v>
      </c>
      <c r="AI321" s="32"/>
      <c r="AJ321" s="32"/>
      <c r="AK321" s="32"/>
      <c r="AL321" s="32"/>
      <c r="AM321" s="32"/>
      <c r="AN321" s="32"/>
      <c r="AO321" s="32"/>
      <c r="AP321" s="32"/>
      <c r="AQ321" s="32"/>
      <c r="AR321" s="32"/>
      <c r="AS321" s="32"/>
      <c r="AT321" s="32"/>
      <c r="AU321" s="32"/>
      <c r="AV321" s="32"/>
      <c r="AW321" s="32"/>
      <c r="AX321" s="32"/>
    </row>
    <row r="322">
      <c r="A322" s="32" t="str">
        <f>IFERROR(__xludf.DUMMYFUNCTION("""COMPUTED_VALUE"""),"The Shield of Foul Night")</f>
        <v>The Shield of Foul Night</v>
      </c>
      <c r="B322" s="32" t="str">
        <f>IFERROR(__xludf.DUMMYFUNCTION("""COMPUTED_VALUE"""),"Hand")</f>
        <v>Hand</v>
      </c>
      <c r="C322" s="32"/>
      <c r="D322" s="5" t="str">
        <f>IFERROR(__xludf.DUMMYFUNCTION("""COMPUTED_VALUE"""),"Buckler")</f>
        <v>Buckler</v>
      </c>
      <c r="E322" s="40">
        <f>IFERROR(__xludf.DUMMYFUNCTION("""COMPUTED_VALUE"""),200.0)</f>
        <v>200</v>
      </c>
      <c r="F322" s="44">
        <f>IFERROR(__xludf.DUMMYFUNCTION("""COMPUTED_VALUE"""),1900000.0)</f>
        <v>1900000</v>
      </c>
      <c r="G322" s="32" t="str">
        <f>IFERROR(__xludf.DUMMYFUNCTION("""COMPUTED_VALUE"""),"DEF")</f>
        <v>DEF</v>
      </c>
      <c r="H322" s="32">
        <f>IFERROR(__xludf.DUMMYFUNCTION("""COMPUTED_VALUE"""),5000.0)</f>
        <v>5000</v>
      </c>
      <c r="I322" s="32"/>
      <c r="J322" s="32"/>
      <c r="K322" s="32"/>
      <c r="L322" s="32"/>
      <c r="M322" s="32"/>
      <c r="N322" s="32"/>
      <c r="O322" s="32"/>
      <c r="P322" s="32"/>
      <c r="Q322" s="32"/>
      <c r="R322" s="32"/>
      <c r="S322" s="32">
        <f>IFERROR(__xludf.DUMMYFUNCTION("""COMPUTED_VALUE"""),5000.0)</f>
        <v>5000</v>
      </c>
      <c r="T322" s="32"/>
      <c r="U322" s="32"/>
      <c r="V322" s="32"/>
      <c r="W322" s="32"/>
      <c r="X322" s="32"/>
      <c r="Y322" s="32"/>
      <c r="Z322" s="32"/>
      <c r="AA322" s="32"/>
      <c r="AB322" s="32"/>
      <c r="AC322" s="32"/>
      <c r="AD322" s="32"/>
      <c r="AE322" s="32"/>
      <c r="AF322" s="32" t="str">
        <f>IFERROR(__xludf.DUMMYFUNCTION("""COMPUTED_VALUE"""),"(Foul Night Set) ++Nature Immunity, Poison Immunity")</f>
        <v>(Foul Night Set) ++Nature Immunity, Poison Immunity</v>
      </c>
      <c r="AG322" s="32" t="str">
        <f>IFERROR(__xludf.DUMMYFUNCTION("""COMPUTED_VALUE"""),"Land of Spira")</f>
        <v>Land of Spira</v>
      </c>
      <c r="AH322" s="32" t="b">
        <f>IFERROR(__xludf.DUMMYFUNCTION("""COMPUTED_VALUE"""),FALSE)</f>
        <v>0</v>
      </c>
      <c r="AI322" s="32"/>
      <c r="AJ322" s="32"/>
      <c r="AK322" s="32"/>
      <c r="AL322" s="32"/>
      <c r="AM322" s="32"/>
      <c r="AN322" s="32"/>
      <c r="AO322" s="32"/>
      <c r="AP322" s="32"/>
      <c r="AQ322" s="32"/>
      <c r="AR322" s="32"/>
      <c r="AS322" s="32"/>
      <c r="AT322" s="32"/>
      <c r="AU322" s="32"/>
      <c r="AV322" s="32"/>
      <c r="AW322" s="32"/>
      <c r="AX322" s="32"/>
    </row>
    <row r="323">
      <c r="A323" s="32" t="str">
        <f>IFERROR(__xludf.DUMMYFUNCTION("""COMPUTED_VALUE"""),"The Staff of  Haunted Bones")</f>
        <v>The Staff of  Haunted Bones</v>
      </c>
      <c r="B323" s="32" t="str">
        <f>IFERROR(__xludf.DUMMYFUNCTION("""COMPUTED_VALUE"""),"Hand")</f>
        <v>Hand</v>
      </c>
      <c r="C323" s="32" t="str">
        <f>IFERROR(__xludf.DUMMYFUNCTION("""COMPUTED_VALUE"""),"Halloween exclusive")</f>
        <v>Halloween exclusive</v>
      </c>
      <c r="D323" s="5" t="str">
        <f>IFERROR(__xludf.DUMMYFUNCTION("""COMPUTED_VALUE"""),"Staff")</f>
        <v>Staff</v>
      </c>
      <c r="E323" s="40">
        <f>IFERROR(__xludf.DUMMYFUNCTION("""COMPUTED_VALUE"""),1.0)</f>
        <v>1</v>
      </c>
      <c r="F323" s="44">
        <f>IFERROR(__xludf.DUMMYFUNCTION("""COMPUTED_VALUE"""),0.0)</f>
        <v>0</v>
      </c>
      <c r="G323" s="32" t="str">
        <f>IFERROR(__xludf.DUMMYFUNCTION("""COMPUTED_VALUE"""),"DMG")</f>
        <v>DMG</v>
      </c>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t="str">
        <f>IFERROR(__xludf.DUMMYFUNCTION("""COMPUTED_VALUE"""),"X2 additional Dark, Chaos, and Spirit damage.")</f>
        <v>X2 additional Dark, Chaos, and Spirit damage.</v>
      </c>
      <c r="AG323" s="32" t="str">
        <f>IFERROR(__xludf.DUMMYFUNCTION("""COMPUTED_VALUE"""),"Halloween Kingdom")</f>
        <v>Halloween Kingdom</v>
      </c>
      <c r="AH323" s="32" t="b">
        <f>IFERROR(__xludf.DUMMYFUNCTION("""COMPUTED_VALUE"""),FALSE)</f>
        <v>0</v>
      </c>
      <c r="AI323" s="32"/>
      <c r="AJ323" s="32"/>
      <c r="AK323" s="32"/>
      <c r="AL323" s="32"/>
      <c r="AM323" s="32"/>
      <c r="AN323" s="32"/>
      <c r="AO323" s="32"/>
      <c r="AP323" s="32"/>
      <c r="AQ323" s="32"/>
      <c r="AR323" s="32"/>
      <c r="AS323" s="32"/>
      <c r="AT323" s="32"/>
      <c r="AU323" s="32"/>
      <c r="AV323" s="32"/>
      <c r="AW323" s="32"/>
      <c r="AX323" s="32"/>
    </row>
    <row r="324">
      <c r="A324" s="32" t="str">
        <f>IFERROR(__xludf.DUMMYFUNCTION("""COMPUTED_VALUE"""),"The Staff of the Aquas")</f>
        <v>The Staff of the Aquas</v>
      </c>
      <c r="B324" s="32" t="str">
        <f>IFERROR(__xludf.DUMMYFUNCTION("""COMPUTED_VALUE"""),"Hand")</f>
        <v>Hand</v>
      </c>
      <c r="C324" s="32"/>
      <c r="D324" s="5" t="str">
        <f>IFERROR(__xludf.DUMMYFUNCTION("""COMPUTED_VALUE"""),"Staff")</f>
        <v>Staff</v>
      </c>
      <c r="E324" s="40">
        <f>IFERROR(__xludf.DUMMYFUNCTION("""COMPUTED_VALUE"""),1.0)</f>
        <v>1</v>
      </c>
      <c r="F324" s="44">
        <f>IFERROR(__xludf.DUMMYFUNCTION("""COMPUTED_VALUE"""),0.0)</f>
        <v>0</v>
      </c>
      <c r="G324" s="32" t="str">
        <f>IFERROR(__xludf.DUMMYFUNCTION("""COMPUTED_VALUE"""),"DMG")</f>
        <v>DMG</v>
      </c>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t="str">
        <f>IFERROR(__xludf.DUMMYFUNCTION("""COMPUTED_VALUE"""),"++All Water Spells Deal x3 damage and cost half sp to use.")</f>
        <v>++All Water Spells Deal x3 damage and cost half sp to use.</v>
      </c>
      <c r="AG324" s="32" t="str">
        <f>IFERROR(__xludf.DUMMYFUNCTION("""COMPUTED_VALUE"""),"Land of Spira")</f>
        <v>Land of Spira</v>
      </c>
      <c r="AH324" s="32" t="b">
        <f>IFERROR(__xludf.DUMMYFUNCTION("""COMPUTED_VALUE"""),FALSE)</f>
        <v>0</v>
      </c>
      <c r="AI324" s="32"/>
      <c r="AJ324" s="32"/>
      <c r="AK324" s="32"/>
      <c r="AL324" s="32"/>
      <c r="AM324" s="32"/>
      <c r="AN324" s="32"/>
      <c r="AO324" s="32"/>
      <c r="AP324" s="32"/>
      <c r="AQ324" s="32"/>
      <c r="AR324" s="32"/>
      <c r="AS324" s="32"/>
      <c r="AT324" s="32"/>
      <c r="AU324" s="32"/>
      <c r="AV324" s="32"/>
      <c r="AW324" s="32"/>
      <c r="AX324" s="32"/>
    </row>
    <row r="325">
      <c r="A325" s="32" t="str">
        <f>IFERROR(__xludf.DUMMYFUNCTION("""COMPUTED_VALUE"""),"The Staff of The Pumpkin’s Curse")</f>
        <v>The Staff of The Pumpkin’s Curse</v>
      </c>
      <c r="B325" s="32" t="str">
        <f>IFERROR(__xludf.DUMMYFUNCTION("""COMPUTED_VALUE"""),"Hand")</f>
        <v>Hand</v>
      </c>
      <c r="C325" s="32"/>
      <c r="D325" s="5" t="str">
        <f>IFERROR(__xludf.DUMMYFUNCTION("""COMPUTED_VALUE"""),"Staff")</f>
        <v>Staff</v>
      </c>
      <c r="E325" s="40">
        <f>IFERROR(__xludf.DUMMYFUNCTION("""COMPUTED_VALUE"""),1.0)</f>
        <v>1</v>
      </c>
      <c r="F325" s="44">
        <f>IFERROR(__xludf.DUMMYFUNCTION("""COMPUTED_VALUE"""),0.0)</f>
        <v>0</v>
      </c>
      <c r="G325" s="32" t="str">
        <f>IFERROR(__xludf.DUMMYFUNCTION("""COMPUTED_VALUE"""),"DMG")</f>
        <v>DMG</v>
      </c>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t="str">
        <f>IFERROR(__xludf.DUMMYFUNCTION("""COMPUTED_VALUE"""),"++ Select a target, Any Fire Nature and Dark damage the target deals halved, Fail/Succeed.")</f>
        <v>++ Select a target, Any Fire Nature and Dark damage the target deals halved, Fail/Succeed.</v>
      </c>
      <c r="AG325" s="32" t="str">
        <f>IFERROR(__xludf.DUMMYFUNCTION("""COMPUTED_VALUE"""),"Land of Spira")</f>
        <v>Land of Spira</v>
      </c>
      <c r="AH325" s="32" t="b">
        <f>IFERROR(__xludf.DUMMYFUNCTION("""COMPUTED_VALUE"""),FALSE)</f>
        <v>0</v>
      </c>
      <c r="AI325" s="32"/>
      <c r="AJ325" s="32"/>
      <c r="AK325" s="32"/>
      <c r="AL325" s="32"/>
      <c r="AM325" s="32"/>
      <c r="AN325" s="32"/>
      <c r="AO325" s="32"/>
      <c r="AP325" s="32"/>
      <c r="AQ325" s="32"/>
      <c r="AR325" s="32"/>
      <c r="AS325" s="32"/>
      <c r="AT325" s="32"/>
      <c r="AU325" s="32"/>
      <c r="AV325" s="32"/>
      <c r="AW325" s="32"/>
      <c r="AX325" s="32"/>
    </row>
    <row r="326">
      <c r="A326" s="32" t="str">
        <f>IFERROR(__xludf.DUMMYFUNCTION("""COMPUTED_VALUE"""),"The Stick of the Panda")</f>
        <v>The Stick of the Panda</v>
      </c>
      <c r="B326" s="32" t="str">
        <f>IFERROR(__xludf.DUMMYFUNCTION("""COMPUTED_VALUE"""),"Hand")</f>
        <v>Hand</v>
      </c>
      <c r="C326" s="32"/>
      <c r="D326" s="5" t="str">
        <f>IFERROR(__xludf.DUMMYFUNCTION("""COMPUTED_VALUE"""),"Club")</f>
        <v>Club</v>
      </c>
      <c r="E326" s="40">
        <f>IFERROR(__xludf.DUMMYFUNCTION("""COMPUTED_VALUE"""),400.0)</f>
        <v>400</v>
      </c>
      <c r="F326" s="44">
        <f>IFERROR(__xludf.DUMMYFUNCTION("""COMPUTED_VALUE"""),7800000.0)</f>
        <v>7800000</v>
      </c>
      <c r="G326" s="32" t="str">
        <f>IFERROR(__xludf.DUMMYFUNCTION("""COMPUTED_VALUE"""),"DMG")</f>
        <v>DMG</v>
      </c>
      <c r="H326" s="33">
        <f>IFERROR(__xludf.DUMMYFUNCTION("""COMPUTED_VALUE"""),10000.0)</f>
        <v>10000</v>
      </c>
      <c r="I326" s="32"/>
      <c r="J326" s="32"/>
      <c r="K326" s="32"/>
      <c r="L326" s="32"/>
      <c r="M326" s="32"/>
      <c r="N326" s="32"/>
      <c r="O326" s="32"/>
      <c r="P326" s="32"/>
      <c r="Q326" s="32"/>
      <c r="R326" s="32"/>
      <c r="S326" s="33">
        <f>IFERROR(__xludf.DUMMYFUNCTION("""COMPUTED_VALUE"""),10000.0)</f>
        <v>10000</v>
      </c>
      <c r="T326" s="32"/>
      <c r="U326" s="32"/>
      <c r="V326" s="32"/>
      <c r="W326" s="32"/>
      <c r="X326" s="32"/>
      <c r="Y326" s="32"/>
      <c r="Z326" s="32"/>
      <c r="AA326" s="32"/>
      <c r="AB326" s="32"/>
      <c r="AC326" s="32"/>
      <c r="AD326" s="32"/>
      <c r="AE326" s="32"/>
      <c r="AF326" s="32" t="str">
        <f>IFERROR(__xludf.DUMMYFUNCTION("""COMPUTED_VALUE"""),"++When you find an herb you get 2 of the herb found instead of 1. +-Cannot be duplicated")</f>
        <v>++When you find an herb you get 2 of the herb found instead of 1. +-Cannot be duplicated</v>
      </c>
      <c r="AG326" s="32" t="str">
        <f>IFERROR(__xludf.DUMMYFUNCTION("""COMPUTED_VALUE"""),"Land of Spira")</f>
        <v>Land of Spira</v>
      </c>
      <c r="AH326" s="32" t="b">
        <f>IFERROR(__xludf.DUMMYFUNCTION("""COMPUTED_VALUE"""),FALSE)</f>
        <v>0</v>
      </c>
      <c r="AI326" s="32"/>
      <c r="AJ326" s="32"/>
      <c r="AK326" s="32"/>
      <c r="AL326" s="32"/>
      <c r="AM326" s="32"/>
      <c r="AN326" s="32"/>
      <c r="AO326" s="32"/>
      <c r="AP326" s="32"/>
      <c r="AQ326" s="32"/>
      <c r="AR326" s="32"/>
      <c r="AS326" s="32"/>
      <c r="AT326" s="32"/>
      <c r="AU326" s="32"/>
      <c r="AV326" s="32"/>
      <c r="AW326" s="32"/>
      <c r="AX326" s="32"/>
    </row>
    <row r="327">
      <c r="A327" s="32" t="str">
        <f>IFERROR(__xludf.DUMMYFUNCTION("""COMPUTED_VALUE"""),"The Sword Of Death")</f>
        <v>The Sword Of Death</v>
      </c>
      <c r="B327" s="32" t="str">
        <f>IFERROR(__xludf.DUMMYFUNCTION("""COMPUTED_VALUE"""),"Hand")</f>
        <v>Hand</v>
      </c>
      <c r="C327" s="32"/>
      <c r="D327" s="5" t="str">
        <f>IFERROR(__xludf.DUMMYFUNCTION("""COMPUTED_VALUE"""),"Sword")</f>
        <v>Sword</v>
      </c>
      <c r="E327" s="40">
        <f>IFERROR(__xludf.DUMMYFUNCTION("""COMPUTED_VALUE"""),1.0)</f>
        <v>1</v>
      </c>
      <c r="F327" s="44">
        <f>IFERROR(__xludf.DUMMYFUNCTION("""COMPUTED_VALUE"""),0.0)</f>
        <v>0</v>
      </c>
      <c r="G327" s="32" t="str">
        <f>IFERROR(__xludf.DUMMYFUNCTION("""COMPUTED_VALUE"""),"DMG")</f>
        <v>DMG</v>
      </c>
      <c r="H327" s="32">
        <f>IFERROR(__xludf.DUMMYFUNCTION("""COMPUTED_VALUE"""),250.0)</f>
        <v>250</v>
      </c>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t="str">
        <f>IFERROR(__xludf.DUMMYFUNCTION("""COMPUTED_VALUE"""),"Land of Spira")</f>
        <v>Land of Spira</v>
      </c>
      <c r="AH327" s="32" t="b">
        <f>IFERROR(__xludf.DUMMYFUNCTION("""COMPUTED_VALUE"""),TRUE)</f>
        <v>1</v>
      </c>
      <c r="AI327" s="32"/>
      <c r="AJ327" s="32"/>
      <c r="AK327" s="32"/>
      <c r="AL327" s="32"/>
      <c r="AM327" s="32"/>
      <c r="AN327" s="32"/>
      <c r="AO327" s="32"/>
      <c r="AP327" s="32"/>
      <c r="AQ327" s="32"/>
      <c r="AR327" s="32"/>
      <c r="AS327" s="32"/>
      <c r="AT327" s="32"/>
      <c r="AU327" s="32"/>
      <c r="AV327" s="32"/>
      <c r="AW327" s="32"/>
      <c r="AX327" s="32"/>
    </row>
    <row r="328">
      <c r="A328" s="32" t="str">
        <f>IFERROR(__xludf.DUMMYFUNCTION("""COMPUTED_VALUE"""),"The Sword Of Easter's Gathering (Exclusive)")</f>
        <v>The Sword Of Easter's Gathering (Exclusive)</v>
      </c>
      <c r="B328" s="32" t="str">
        <f>IFERROR(__xludf.DUMMYFUNCTION("""COMPUTED_VALUE"""),"Hand")</f>
        <v>Hand</v>
      </c>
      <c r="C328" s="32"/>
      <c r="D328" s="5" t="str">
        <f>IFERROR(__xludf.DUMMYFUNCTION("""COMPUTED_VALUE"""),"Sword")</f>
        <v>Sword</v>
      </c>
      <c r="E328" s="40">
        <f>IFERROR(__xludf.DUMMYFUNCTION("""COMPUTED_VALUE"""),200.0)</f>
        <v>200</v>
      </c>
      <c r="F328" s="44">
        <f>IFERROR(__xludf.DUMMYFUNCTION("""COMPUTED_VALUE"""),7800000.0)</f>
        <v>7800000</v>
      </c>
      <c r="G328" s="32" t="str">
        <f>IFERROR(__xludf.DUMMYFUNCTION("""COMPUTED_VALUE"""),"DMG")</f>
        <v>DMG</v>
      </c>
      <c r="H328" s="32"/>
      <c r="I328" s="32"/>
      <c r="J328" s="32"/>
      <c r="K328" s="32"/>
      <c r="L328" s="32"/>
      <c r="M328" s="32"/>
      <c r="N328" s="32"/>
      <c r="O328" s="32"/>
      <c r="P328" s="32"/>
      <c r="Q328" s="32"/>
      <c r="R328" s="32"/>
      <c r="S328" s="32">
        <f>IFERROR(__xludf.DUMMYFUNCTION("""COMPUTED_VALUE"""),10000.0)</f>
        <v>10000</v>
      </c>
      <c r="T328" s="32"/>
      <c r="U328" s="32"/>
      <c r="V328" s="32"/>
      <c r="W328" s="32"/>
      <c r="X328" s="32"/>
      <c r="Y328" s="32"/>
      <c r="Z328" s="32"/>
      <c r="AA328" s="32"/>
      <c r="AB328" s="32"/>
      <c r="AC328" s="32">
        <f>IFERROR(__xludf.DUMMYFUNCTION("""COMPUTED_VALUE"""),10000.0)</f>
        <v>10000</v>
      </c>
      <c r="AD328" s="32"/>
      <c r="AE328" s="32"/>
      <c r="AF328" s="32" t="str">
        <f>IFERROR(__xludf.DUMMYFUNCTION("""COMPUTED_VALUE"""),"++Doubles all elemental damage when held, ++2 on all rolls while in battle, +-Cannot be forged +-Cannot be duplicated")</f>
        <v>++Doubles all elemental damage when held, ++2 on all rolls while in battle, +-Cannot be forged +-Cannot be duplicated</v>
      </c>
      <c r="AG328" s="32" t="str">
        <f>IFERROR(__xludf.DUMMYFUNCTION("""COMPUTED_VALUE"""),"Land of Spira")</f>
        <v>Land of Spira</v>
      </c>
      <c r="AH328" s="32" t="b">
        <f>IFERROR(__xludf.DUMMYFUNCTION("""COMPUTED_VALUE"""),FALSE)</f>
        <v>0</v>
      </c>
      <c r="AI328" s="32"/>
      <c r="AJ328" s="32"/>
      <c r="AK328" s="32"/>
      <c r="AL328" s="32"/>
      <c r="AM328" s="32"/>
      <c r="AN328" s="32"/>
      <c r="AO328" s="32"/>
      <c r="AP328" s="32"/>
      <c r="AQ328" s="32"/>
      <c r="AR328" s="32"/>
      <c r="AS328" s="32"/>
      <c r="AT328" s="32"/>
      <c r="AU328" s="32"/>
      <c r="AV328" s="32"/>
      <c r="AW328" s="32"/>
      <c r="AX328" s="32"/>
    </row>
    <row r="329">
      <c r="A329" s="32" t="str">
        <f>IFERROR(__xludf.DUMMYFUNCTION("""COMPUTED_VALUE"""),"The Sword of Manannán (Exclusive)")</f>
        <v>The Sword of Manannán (Exclusive)</v>
      </c>
      <c r="B329" s="32" t="str">
        <f>IFERROR(__xludf.DUMMYFUNCTION("""COMPUTED_VALUE"""),"Hand")</f>
        <v>Hand</v>
      </c>
      <c r="C329" s="32" t="str">
        <f>IFERROR(__xludf.DUMMYFUNCTION("""COMPUTED_VALUE"""),"Lugh's Sword he wielded in battle")</f>
        <v>Lugh's Sword he wielded in battle</v>
      </c>
      <c r="D329" s="5" t="str">
        <f>IFERROR(__xludf.DUMMYFUNCTION("""COMPUTED_VALUE"""),"Sword")</f>
        <v>Sword</v>
      </c>
      <c r="E329" s="40">
        <f>IFERROR(__xludf.DUMMYFUNCTION("""COMPUTED_VALUE"""),200.0)</f>
        <v>200</v>
      </c>
      <c r="F329" s="44">
        <f>IFERROR(__xludf.DUMMYFUNCTION("""COMPUTED_VALUE"""),4.485E8)</f>
        <v>448500000</v>
      </c>
      <c r="G329" s="32" t="str">
        <f>IFERROR(__xludf.DUMMYFUNCTION("""COMPUTED_VALUE"""),"DMG")</f>
        <v>DMG</v>
      </c>
      <c r="H329" s="33">
        <f>IFERROR(__xludf.DUMMYFUNCTION("""COMPUTED_VALUE"""),75000.0)</f>
        <v>75000</v>
      </c>
      <c r="I329" s="32"/>
      <c r="J329" s="32"/>
      <c r="K329" s="32"/>
      <c r="L329" s="32"/>
      <c r="M329" s="32"/>
      <c r="N329" s="32"/>
      <c r="O329" s="32"/>
      <c r="P329" s="32"/>
      <c r="Q329" s="32"/>
      <c r="R329" s="32"/>
      <c r="S329" s="32"/>
      <c r="T329" s="32"/>
      <c r="U329" s="32"/>
      <c r="V329" s="32"/>
      <c r="W329" s="32"/>
      <c r="X329" s="32"/>
      <c r="Y329" s="32"/>
      <c r="Z329" s="32"/>
      <c r="AA329" s="32"/>
      <c r="AB329" s="32"/>
      <c r="AC329" s="33">
        <f>IFERROR(__xludf.DUMMYFUNCTION("""COMPUTED_VALUE"""),75000.0)</f>
        <v>75000</v>
      </c>
      <c r="AD329" s="32"/>
      <c r="AE329" s="32"/>
      <c r="AF329" s="32" t="str">
        <f>IFERROR(__xludf.DUMMYFUNCTION("""COMPUTED_VALUE"""),"++Intimidation and Charisma stat is double while equipped")</f>
        <v>++Intimidation and Charisma stat is double while equipped</v>
      </c>
      <c r="AG329" s="32" t="str">
        <f>IFERROR(__xludf.DUMMYFUNCTION("""COMPUTED_VALUE"""),"Land of Spira")</f>
        <v>Land of Spira</v>
      </c>
      <c r="AH329" s="32" t="b">
        <f>IFERROR(__xludf.DUMMYFUNCTION("""COMPUTED_VALUE"""),TRUE)</f>
        <v>1</v>
      </c>
      <c r="AI329" s="32"/>
      <c r="AJ329" s="32"/>
      <c r="AK329" s="32"/>
      <c r="AL329" s="32"/>
      <c r="AM329" s="32"/>
      <c r="AN329" s="32"/>
      <c r="AO329" s="32"/>
      <c r="AP329" s="32"/>
      <c r="AQ329" s="32"/>
      <c r="AR329" s="32"/>
      <c r="AS329" s="32"/>
      <c r="AT329" s="32"/>
      <c r="AU329" s="32"/>
      <c r="AV329" s="32"/>
      <c r="AW329" s="32"/>
      <c r="AX329" s="32"/>
    </row>
    <row r="330">
      <c r="A330" s="32" t="str">
        <f>IFERROR(__xludf.DUMMYFUNCTION("""COMPUTED_VALUE"""),"The Waking Ash of the Serpent’s Pendent")</f>
        <v>The Waking Ash of the Serpent’s Pendent</v>
      </c>
      <c r="B330" s="32" t="str">
        <f>IFERROR(__xludf.DUMMYFUNCTION("""COMPUTED_VALUE"""),"Neck")</f>
        <v>Neck</v>
      </c>
      <c r="C330" s="32"/>
      <c r="D330" s="5"/>
      <c r="E330" s="40">
        <f>IFERROR(__xludf.DUMMYFUNCTION("""COMPUTED_VALUE"""),1.0)</f>
        <v>1</v>
      </c>
      <c r="F330" s="44">
        <f>IFERROR(__xludf.DUMMYFUNCTION("""COMPUTED_VALUE"""),0.0)</f>
        <v>0</v>
      </c>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32" t="str">
        <f>IFERROR(__xludf.DUMMYFUNCTION("""COMPUTED_VALUE"""),"Abstara")</f>
        <v>Abstara</v>
      </c>
      <c r="AH330" s="32" t="b">
        <f>IFERROR(__xludf.DUMMYFUNCTION("""COMPUTED_VALUE"""),FALSE)</f>
        <v>0</v>
      </c>
      <c r="AI330" s="32"/>
      <c r="AJ330" s="32"/>
      <c r="AK330" s="32"/>
      <c r="AL330" s="32"/>
      <c r="AM330" s="32"/>
      <c r="AN330" s="32"/>
      <c r="AO330" s="32"/>
      <c r="AP330" s="32"/>
      <c r="AQ330" s="32"/>
      <c r="AR330" s="32"/>
      <c r="AS330" s="32"/>
      <c r="AT330" s="32"/>
      <c r="AU330" s="32"/>
      <c r="AV330" s="32"/>
      <c r="AW330" s="32"/>
      <c r="AX330" s="32"/>
    </row>
    <row r="331">
      <c r="A331" s="32" t="str">
        <f>IFERROR(__xludf.DUMMYFUNCTION("""COMPUTED_VALUE"""),"The Wand of Aquatic Beasts")</f>
        <v>The Wand of Aquatic Beasts</v>
      </c>
      <c r="B331" s="32" t="str">
        <f>IFERROR(__xludf.DUMMYFUNCTION("""COMPUTED_VALUE"""),"Hand")</f>
        <v>Hand</v>
      </c>
      <c r="C331" s="32"/>
      <c r="D331" s="5" t="str">
        <f>IFERROR(__xludf.DUMMYFUNCTION("""COMPUTED_VALUE"""),"Wand")</f>
        <v>Wand</v>
      </c>
      <c r="E331" s="40">
        <f>IFERROR(__xludf.DUMMYFUNCTION("""COMPUTED_VALUE"""),1.0)</f>
        <v>1</v>
      </c>
      <c r="F331" s="44">
        <f>IFERROR(__xludf.DUMMYFUNCTION("""COMPUTED_VALUE"""),0.0)</f>
        <v>0</v>
      </c>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t="str">
        <f>IFERROR(__xludf.DUMMYFUNCTION("""COMPUTED_VALUE"""),"++All water and storm spells are decreased by half sp.")</f>
        <v>++All water and storm spells are decreased by half sp.</v>
      </c>
      <c r="AG331" s="32" t="str">
        <f>IFERROR(__xludf.DUMMYFUNCTION("""COMPUTED_VALUE"""),"Land of Spira")</f>
        <v>Land of Spira</v>
      </c>
      <c r="AH331" s="32" t="b">
        <f>IFERROR(__xludf.DUMMYFUNCTION("""COMPUTED_VALUE"""),FALSE)</f>
        <v>0</v>
      </c>
      <c r="AI331" s="32"/>
      <c r="AJ331" s="32"/>
      <c r="AK331" s="32"/>
      <c r="AL331" s="32"/>
      <c r="AM331" s="32"/>
      <c r="AN331" s="32"/>
      <c r="AO331" s="32"/>
      <c r="AP331" s="32"/>
      <c r="AQ331" s="32"/>
      <c r="AR331" s="32"/>
      <c r="AS331" s="32"/>
      <c r="AT331" s="32"/>
      <c r="AU331" s="32"/>
      <c r="AV331" s="32"/>
      <c r="AW331" s="32"/>
      <c r="AX331" s="32"/>
    </row>
    <row r="332">
      <c r="A332" s="32" t="str">
        <f>IFERROR(__xludf.DUMMYFUNCTION("""COMPUTED_VALUE"""),"Titanic Two Hander")</f>
        <v>Titanic Two Hander</v>
      </c>
      <c r="B332" s="32" t="str">
        <f>IFERROR(__xludf.DUMMYFUNCTION("""COMPUTED_VALUE"""),"Hand")</f>
        <v>Hand</v>
      </c>
      <c r="C332" s="32"/>
      <c r="D332" s="5" t="str">
        <f>IFERROR(__xludf.DUMMYFUNCTION("""COMPUTED_VALUE"""),"Sword")</f>
        <v>Sword</v>
      </c>
      <c r="E332" s="40">
        <f>IFERROR(__xludf.DUMMYFUNCTION("""COMPUTED_VALUE"""),200.0)</f>
        <v>200</v>
      </c>
      <c r="F332" s="44">
        <f>IFERROR(__xludf.DUMMYFUNCTION("""COMPUTED_VALUE"""),1900000.0)</f>
        <v>1900000</v>
      </c>
      <c r="G332" s="32" t="str">
        <f>IFERROR(__xludf.DUMMYFUNCTION("""COMPUTED_VALUE"""),"DMG")</f>
        <v>DMG</v>
      </c>
      <c r="H332" s="33">
        <f>IFERROR(__xludf.DUMMYFUNCTION("""COMPUTED_VALUE"""),10000.0)</f>
        <v>10000</v>
      </c>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t="str">
        <f>IFERROR(__xludf.DUMMYFUNCTION("""COMPUTED_VALUE"""),"Land of Spira")</f>
        <v>Land of Spira</v>
      </c>
      <c r="AH332" s="32" t="b">
        <f>IFERROR(__xludf.DUMMYFUNCTION("""COMPUTED_VALUE"""),TRUE)</f>
        <v>1</v>
      </c>
      <c r="AI332" s="32"/>
      <c r="AJ332" s="32"/>
      <c r="AK332" s="32"/>
      <c r="AL332" s="32"/>
      <c r="AM332" s="32"/>
      <c r="AN332" s="32"/>
      <c r="AO332" s="32"/>
      <c r="AP332" s="32"/>
      <c r="AQ332" s="32"/>
      <c r="AR332" s="32"/>
      <c r="AS332" s="32"/>
      <c r="AT332" s="32"/>
      <c r="AU332" s="32"/>
      <c r="AV332" s="32"/>
      <c r="AW332" s="32"/>
      <c r="AX332" s="32"/>
    </row>
    <row r="333">
      <c r="A333" s="32" t="str">
        <f>IFERROR(__xludf.DUMMYFUNCTION("""COMPUTED_VALUE"""),"Top Hat")</f>
        <v>Top Hat</v>
      </c>
      <c r="B333" s="32" t="str">
        <f>IFERROR(__xludf.DUMMYFUNCTION("""COMPUTED_VALUE"""),"Head")</f>
        <v>Head</v>
      </c>
      <c r="C333" s="32" t="str">
        <f>IFERROR(__xludf.DUMMYFUNCTION("""COMPUTED_VALUE"""),"nothing like good ol abraham")</f>
        <v>nothing like good ol abraham</v>
      </c>
      <c r="D333" s="5"/>
      <c r="E333" s="40">
        <f>IFERROR(__xludf.DUMMYFUNCTION("""COMPUTED_VALUE"""),1.0)</f>
        <v>1</v>
      </c>
      <c r="F333" s="44">
        <f>IFERROR(__xludf.DUMMYFUNCTION("""COMPUTED_VALUE"""),0.0)</f>
        <v>0</v>
      </c>
      <c r="G333" s="32" t="str">
        <f>IFERROR(__xludf.DUMMYFUNCTION("""COMPUTED_VALUE"""),"DEF")</f>
        <v>DEF</v>
      </c>
      <c r="H333" s="32">
        <f>IFERROR(__xludf.DUMMYFUNCTION("""COMPUTED_VALUE"""),1.0)</f>
        <v>1</v>
      </c>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t="str">
        <f>IFERROR(__xludf.DUMMYFUNCTION("""COMPUTED_VALUE"""),"Land of Spira")</f>
        <v>Land of Spira</v>
      </c>
      <c r="AH333" s="32" t="b">
        <f>IFERROR(__xludf.DUMMYFUNCTION("""COMPUTED_VALUE"""),FALSE)</f>
        <v>0</v>
      </c>
      <c r="AI333" s="32"/>
      <c r="AJ333" s="32"/>
      <c r="AK333" s="32"/>
      <c r="AL333" s="32"/>
      <c r="AM333" s="32"/>
      <c r="AN333" s="32"/>
      <c r="AO333" s="32"/>
      <c r="AP333" s="32"/>
      <c r="AQ333" s="32"/>
      <c r="AR333" s="32"/>
      <c r="AS333" s="32"/>
      <c r="AT333" s="32"/>
      <c r="AU333" s="32"/>
      <c r="AV333" s="32"/>
      <c r="AW333" s="32"/>
      <c r="AX333" s="32"/>
    </row>
    <row r="334">
      <c r="A334" s="32" t="str">
        <f>IFERROR(__xludf.DUMMYFUNCTION("""COMPUTED_VALUE"""),"Trident")</f>
        <v>Trident</v>
      </c>
      <c r="B334" s="32" t="str">
        <f>IFERROR(__xludf.DUMMYFUNCTION("""COMPUTED_VALUE"""),"Hand")</f>
        <v>Hand</v>
      </c>
      <c r="C334" s="32"/>
      <c r="D334" s="5" t="str">
        <f>IFERROR(__xludf.DUMMYFUNCTION("""COMPUTED_VALUE"""),"Spear")</f>
        <v>Spear</v>
      </c>
      <c r="E334" s="40">
        <f>IFERROR(__xludf.DUMMYFUNCTION("""COMPUTED_VALUE"""),20.0)</f>
        <v>20</v>
      </c>
      <c r="F334" s="44">
        <f>IFERROR(__xludf.DUMMYFUNCTION("""COMPUTED_VALUE"""),1000.0)</f>
        <v>1000</v>
      </c>
      <c r="G334" s="32" t="str">
        <f>IFERROR(__xludf.DUMMYFUNCTION("""COMPUTED_VALUE"""),"DMG")</f>
        <v>DMG</v>
      </c>
      <c r="H334" s="32">
        <f>IFERROR(__xludf.DUMMYFUNCTION("""COMPUTED_VALUE"""),600.0)</f>
        <v>600</v>
      </c>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t="str">
        <f>IFERROR(__xludf.DUMMYFUNCTION("""COMPUTED_VALUE"""),"Land of Spira")</f>
        <v>Land of Spira</v>
      </c>
      <c r="AH334" s="32" t="b">
        <f>IFERROR(__xludf.DUMMYFUNCTION("""COMPUTED_VALUE"""),TRUE)</f>
        <v>1</v>
      </c>
      <c r="AI334" s="32"/>
      <c r="AJ334" s="32"/>
      <c r="AK334" s="32"/>
      <c r="AL334" s="32"/>
      <c r="AM334" s="32"/>
      <c r="AN334" s="32"/>
      <c r="AO334" s="32"/>
      <c r="AP334" s="32"/>
      <c r="AQ334" s="32"/>
      <c r="AR334" s="32"/>
      <c r="AS334" s="32"/>
      <c r="AT334" s="32"/>
      <c r="AU334" s="32"/>
      <c r="AV334" s="32"/>
      <c r="AW334" s="32"/>
      <c r="AX334" s="32"/>
    </row>
    <row r="335">
      <c r="A335" s="32" t="str">
        <f>IFERROR(__xludf.DUMMYFUNCTION("""COMPUTED_VALUE"""),"Tundra Staff")</f>
        <v>Tundra Staff</v>
      </c>
      <c r="B335" s="32" t="str">
        <f>IFERROR(__xludf.DUMMYFUNCTION("""COMPUTED_VALUE"""),"Hand")</f>
        <v>Hand</v>
      </c>
      <c r="C335" s="32"/>
      <c r="D335" s="5" t="str">
        <f>IFERROR(__xludf.DUMMYFUNCTION("""COMPUTED_VALUE"""),"Staff")</f>
        <v>Staff</v>
      </c>
      <c r="E335" s="40">
        <f>IFERROR(__xludf.DUMMYFUNCTION("""COMPUTED_VALUE"""),200.0)</f>
        <v>200</v>
      </c>
      <c r="F335" s="44">
        <f>IFERROR(__xludf.DUMMYFUNCTION("""COMPUTED_VALUE"""),1900000.0)</f>
        <v>1900000</v>
      </c>
      <c r="G335" s="32"/>
      <c r="H335" s="32"/>
      <c r="I335" s="32"/>
      <c r="J335" s="32"/>
      <c r="K335" s="32"/>
      <c r="L335" s="32"/>
      <c r="M335" s="33">
        <f>IFERROR(__xludf.DUMMYFUNCTION("""COMPUTED_VALUE"""),10000.0)</f>
        <v>10000</v>
      </c>
      <c r="N335" s="32"/>
      <c r="O335" s="32"/>
      <c r="P335" s="32"/>
      <c r="Q335" s="32"/>
      <c r="R335" s="32"/>
      <c r="S335" s="32"/>
      <c r="T335" s="32"/>
      <c r="U335" s="32"/>
      <c r="V335" s="32"/>
      <c r="W335" s="32"/>
      <c r="X335" s="32"/>
      <c r="Y335" s="32"/>
      <c r="Z335" s="32"/>
      <c r="AA335" s="32"/>
      <c r="AB335" s="32"/>
      <c r="AC335" s="32"/>
      <c r="AD335" s="32"/>
      <c r="AE335" s="32"/>
      <c r="AF335" s="32" t="str">
        <f>IFERROR(__xludf.DUMMYFUNCTION("""COMPUTED_VALUE"""),"++X2 Earth damage. +-Cannot be duplicated")</f>
        <v>++X2 Earth damage. +-Cannot be duplicated</v>
      </c>
      <c r="AG335" s="32" t="str">
        <f>IFERROR(__xludf.DUMMYFUNCTION("""COMPUTED_VALUE"""),"Land of Spira")</f>
        <v>Land of Spira</v>
      </c>
      <c r="AH335" s="32" t="b">
        <f>IFERROR(__xludf.DUMMYFUNCTION("""COMPUTED_VALUE"""),FALSE)</f>
        <v>0</v>
      </c>
      <c r="AI335" s="32"/>
      <c r="AJ335" s="32"/>
      <c r="AK335" s="32"/>
      <c r="AL335" s="32"/>
      <c r="AM335" s="32"/>
      <c r="AN335" s="32"/>
      <c r="AO335" s="32"/>
      <c r="AP335" s="32"/>
      <c r="AQ335" s="32"/>
      <c r="AR335" s="32"/>
      <c r="AS335" s="32"/>
      <c r="AT335" s="32"/>
      <c r="AU335" s="32"/>
      <c r="AV335" s="32"/>
      <c r="AW335" s="32"/>
      <c r="AX335" s="32"/>
    </row>
    <row r="336">
      <c r="A336" s="32" t="str">
        <f>IFERROR(__xludf.DUMMYFUNCTION("""COMPUTED_VALUE"""),"Twilight Bow")</f>
        <v>Twilight Bow</v>
      </c>
      <c r="B336" s="32" t="str">
        <f>IFERROR(__xludf.DUMMYFUNCTION("""COMPUTED_VALUE"""),"Hand")</f>
        <v>Hand</v>
      </c>
      <c r="C336" s="32"/>
      <c r="D336" s="5" t="str">
        <f>IFERROR(__xludf.DUMMYFUNCTION("""COMPUTED_VALUE"""),"Bow")</f>
        <v>Bow</v>
      </c>
      <c r="E336" s="40">
        <f>IFERROR(__xludf.DUMMYFUNCTION("""COMPUTED_VALUE"""),400.0)</f>
        <v>400</v>
      </c>
      <c r="F336" s="44">
        <f>IFERROR(__xludf.DUMMYFUNCTION("""COMPUTED_VALUE"""),7800000.0)</f>
        <v>7800000</v>
      </c>
      <c r="G336" s="32" t="str">
        <f>IFERROR(__xludf.DUMMYFUNCTION("""COMPUTED_VALUE"""),"DMG")</f>
        <v>DMG</v>
      </c>
      <c r="H336" s="33">
        <f>IFERROR(__xludf.DUMMYFUNCTION("""COMPUTED_VALUE"""),10000.0)</f>
        <v>10000</v>
      </c>
      <c r="I336" s="32"/>
      <c r="J336" s="32"/>
      <c r="K336" s="32"/>
      <c r="L336" s="32"/>
      <c r="M336" s="32"/>
      <c r="N336" s="32"/>
      <c r="O336" s="32"/>
      <c r="P336" s="32"/>
      <c r="Q336" s="32"/>
      <c r="R336" s="32"/>
      <c r="S336" s="32"/>
      <c r="T336" s="32"/>
      <c r="U336" s="32"/>
      <c r="V336" s="32"/>
      <c r="W336" s="33">
        <f>IFERROR(__xludf.DUMMYFUNCTION("""COMPUTED_VALUE"""),10000.0)</f>
        <v>10000</v>
      </c>
      <c r="X336" s="32"/>
      <c r="Y336" s="32"/>
      <c r="Z336" s="32"/>
      <c r="AA336" s="32"/>
      <c r="AB336" s="32"/>
      <c r="AC336" s="32"/>
      <c r="AD336" s="32"/>
      <c r="AE336" s="32"/>
      <c r="AF336" s="32"/>
      <c r="AG336" s="32" t="str">
        <f>IFERROR(__xludf.DUMMYFUNCTION("""COMPUTED_VALUE"""),"Land of Spira")</f>
        <v>Land of Spira</v>
      </c>
      <c r="AH336" s="32" t="b">
        <f>IFERROR(__xludf.DUMMYFUNCTION("""COMPUTED_VALUE"""),TRUE)</f>
        <v>1</v>
      </c>
      <c r="AI336" s="32"/>
      <c r="AJ336" s="32"/>
      <c r="AK336" s="32"/>
      <c r="AL336" s="32"/>
      <c r="AM336" s="32"/>
      <c r="AN336" s="32"/>
      <c r="AO336" s="32"/>
      <c r="AP336" s="32"/>
      <c r="AQ336" s="32"/>
      <c r="AR336" s="32"/>
      <c r="AS336" s="32"/>
      <c r="AT336" s="32"/>
      <c r="AU336" s="32"/>
      <c r="AV336" s="32"/>
      <c r="AW336" s="32"/>
      <c r="AX336" s="32"/>
    </row>
    <row r="337">
      <c r="A337" s="32" t="str">
        <f>IFERROR(__xludf.DUMMYFUNCTION("""COMPUTED_VALUE"""),"Twilight Crystal Sword of Evil's Bane")</f>
        <v>Twilight Crystal Sword of Evil's Bane</v>
      </c>
      <c r="B337" s="32" t="str">
        <f>IFERROR(__xludf.DUMMYFUNCTION("""COMPUTED_VALUE"""),"Hand")</f>
        <v>Hand</v>
      </c>
      <c r="C337" s="32" t="str">
        <f>IFERROR(__xludf.DUMMYFUNCTION("""COMPUTED_VALUE"""),"Halloween Event Exclusive Item")</f>
        <v>Halloween Event Exclusive Item</v>
      </c>
      <c r="D337" s="5" t="str">
        <f>IFERROR(__xludf.DUMMYFUNCTION("""COMPUTED_VALUE"""),"Sword")</f>
        <v>Sword</v>
      </c>
      <c r="E337" s="40">
        <f>IFERROR(__xludf.DUMMYFUNCTION("""COMPUTED_VALUE"""),200.0)</f>
        <v>200</v>
      </c>
      <c r="F337" s="44">
        <f>IFERROR(__xludf.DUMMYFUNCTION("""COMPUTED_VALUE"""),4.95E7)</f>
        <v>49500000</v>
      </c>
      <c r="G337" s="32" t="str">
        <f>IFERROR(__xludf.DUMMYFUNCTION("""COMPUTED_VALUE"""),"DMG")</f>
        <v>DMG</v>
      </c>
      <c r="H337" s="33">
        <f>IFERROR(__xludf.DUMMYFUNCTION("""COMPUTED_VALUE"""),20000.0)</f>
        <v>20000</v>
      </c>
      <c r="I337" s="32"/>
      <c r="J337" s="32"/>
      <c r="K337" s="32"/>
      <c r="L337" s="32"/>
      <c r="M337" s="32"/>
      <c r="N337" s="32"/>
      <c r="O337" s="32"/>
      <c r="P337" s="32"/>
      <c r="Q337" s="32"/>
      <c r="R337" s="32"/>
      <c r="S337" s="32"/>
      <c r="T337" s="32"/>
      <c r="U337" s="32"/>
      <c r="V337" s="32"/>
      <c r="W337" s="33">
        <f>IFERROR(__xludf.DUMMYFUNCTION("""COMPUTED_VALUE"""),20000.0)</f>
        <v>20000</v>
      </c>
      <c r="X337" s="32"/>
      <c r="Y337" s="32"/>
      <c r="Z337" s="32"/>
      <c r="AA337" s="32"/>
      <c r="AB337" s="32"/>
      <c r="AC337" s="33">
        <f>IFERROR(__xludf.DUMMYFUNCTION("""COMPUTED_VALUE"""),10000.0)</f>
        <v>10000</v>
      </c>
      <c r="AD337" s="32"/>
      <c r="AE337" s="32"/>
      <c r="AF337" s="32" t="str">
        <f>IFERROR(__xludf.DUMMYFUNCTION("""COMPUTED_VALUE"""),"++X4 Order, Light, Chaos, and Dark damage for the user and party. +-Cannot be forged +-Cannot be duplicated")</f>
        <v>++X4 Order, Light, Chaos, and Dark damage for the user and party. +-Cannot be forged +-Cannot be duplicated</v>
      </c>
      <c r="AG337" s="32" t="str">
        <f>IFERROR(__xludf.DUMMYFUNCTION("""COMPUTED_VALUE"""),"Land of Spira")</f>
        <v>Land of Spira</v>
      </c>
      <c r="AH337" s="32" t="b">
        <f>IFERROR(__xludf.DUMMYFUNCTION("""COMPUTED_VALUE"""),FALSE)</f>
        <v>0</v>
      </c>
      <c r="AI337" s="32"/>
      <c r="AJ337" s="32"/>
      <c r="AK337" s="32"/>
      <c r="AL337" s="32"/>
      <c r="AM337" s="32"/>
      <c r="AN337" s="32"/>
      <c r="AO337" s="32"/>
      <c r="AP337" s="32"/>
      <c r="AQ337" s="32"/>
      <c r="AR337" s="32"/>
      <c r="AS337" s="32"/>
      <c r="AT337" s="32"/>
      <c r="AU337" s="32"/>
      <c r="AV337" s="32"/>
      <c r="AW337" s="32"/>
      <c r="AX337" s="32"/>
    </row>
    <row r="338">
      <c r="A338" s="32" t="str">
        <f>IFERROR(__xludf.DUMMYFUNCTION("""COMPUTED_VALUE"""),"Twilight Sword")</f>
        <v>Twilight Sword</v>
      </c>
      <c r="B338" s="32" t="str">
        <f>IFERROR(__xludf.DUMMYFUNCTION("""COMPUTED_VALUE"""),"Hand")</f>
        <v>Hand</v>
      </c>
      <c r="C338" s="32"/>
      <c r="D338" s="5" t="str">
        <f>IFERROR(__xludf.DUMMYFUNCTION("""COMPUTED_VALUE"""),"Sword")</f>
        <v>Sword</v>
      </c>
      <c r="E338" s="40">
        <f>IFERROR(__xludf.DUMMYFUNCTION("""COMPUTED_VALUE"""),20.0)</f>
        <v>20</v>
      </c>
      <c r="F338" s="44">
        <f>IFERROR(__xludf.DUMMYFUNCTION("""COMPUTED_VALUE"""),1000.0)</f>
        <v>1000</v>
      </c>
      <c r="G338" s="32" t="str">
        <f>IFERROR(__xludf.DUMMYFUNCTION("""COMPUTED_VALUE"""),"DMG")</f>
        <v>DMG</v>
      </c>
      <c r="H338" s="32">
        <f>IFERROR(__xludf.DUMMYFUNCTION("""COMPUTED_VALUE"""),500.0)</f>
        <v>500</v>
      </c>
      <c r="I338" s="32"/>
      <c r="J338" s="32"/>
      <c r="K338" s="32"/>
      <c r="L338" s="32"/>
      <c r="M338" s="32"/>
      <c r="N338" s="32"/>
      <c r="O338" s="32"/>
      <c r="P338" s="32"/>
      <c r="Q338" s="32"/>
      <c r="R338" s="32"/>
      <c r="S338" s="32"/>
      <c r="T338" s="32"/>
      <c r="U338" s="32"/>
      <c r="V338" s="32"/>
      <c r="W338" s="32">
        <f>IFERROR(__xludf.DUMMYFUNCTION("""COMPUTED_VALUE"""),200.0)</f>
        <v>200</v>
      </c>
      <c r="X338" s="32"/>
      <c r="Y338" s="32"/>
      <c r="Z338" s="32"/>
      <c r="AA338" s="32"/>
      <c r="AB338" s="32"/>
      <c r="AC338" s="32"/>
      <c r="AD338" s="32"/>
      <c r="AE338" s="32"/>
      <c r="AF338" s="32"/>
      <c r="AG338" s="32" t="str">
        <f>IFERROR(__xludf.DUMMYFUNCTION("""COMPUTED_VALUE"""),"Land of Spira")</f>
        <v>Land of Spira</v>
      </c>
      <c r="AH338" s="32" t="b">
        <f>IFERROR(__xludf.DUMMYFUNCTION("""COMPUTED_VALUE"""),TRUE)</f>
        <v>1</v>
      </c>
      <c r="AI338" s="32"/>
      <c r="AJ338" s="32"/>
      <c r="AK338" s="32"/>
      <c r="AL338" s="32"/>
      <c r="AM338" s="32"/>
      <c r="AN338" s="32"/>
      <c r="AO338" s="32"/>
      <c r="AP338" s="32"/>
      <c r="AQ338" s="32"/>
      <c r="AR338" s="32"/>
      <c r="AS338" s="32"/>
      <c r="AT338" s="32"/>
      <c r="AU338" s="32"/>
      <c r="AV338" s="32"/>
      <c r="AW338" s="32"/>
      <c r="AX338" s="32"/>
    </row>
    <row r="339">
      <c r="A339" s="32" t="str">
        <f>IFERROR(__xludf.DUMMYFUNCTION("""COMPUTED_VALUE"""),"Unknown Amulet")</f>
        <v>Unknown Amulet</v>
      </c>
      <c r="B339" s="32" t="str">
        <f>IFERROR(__xludf.DUMMYFUNCTION("""COMPUTED_VALUE"""),"Neck")</f>
        <v>Neck</v>
      </c>
      <c r="C339" s="32"/>
      <c r="D339" s="5"/>
      <c r="E339" s="40">
        <f>IFERROR(__xludf.DUMMYFUNCTION("""COMPUTED_VALUE"""),1.0)</f>
        <v>1</v>
      </c>
      <c r="F339" s="44">
        <f>IFERROR(__xludf.DUMMYFUNCTION("""COMPUTED_VALUE"""),0.0)</f>
        <v>0</v>
      </c>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32" t="str">
        <f>IFERROR(__xludf.DUMMYFUNCTION("""COMPUTED_VALUE"""),"Land of Spira")</f>
        <v>Land of Spira</v>
      </c>
      <c r="AH339" s="32" t="b">
        <f>IFERROR(__xludf.DUMMYFUNCTION("""COMPUTED_VALUE"""),FALSE)</f>
        <v>0</v>
      </c>
      <c r="AI339" s="32"/>
      <c r="AJ339" s="32"/>
      <c r="AK339" s="32"/>
      <c r="AL339" s="32"/>
      <c r="AM339" s="32"/>
      <c r="AN339" s="32"/>
      <c r="AO339" s="32"/>
      <c r="AP339" s="32"/>
      <c r="AQ339" s="32"/>
      <c r="AR339" s="32"/>
      <c r="AS339" s="32"/>
      <c r="AT339" s="32"/>
      <c r="AU339" s="32"/>
      <c r="AV339" s="32"/>
      <c r="AW339" s="32"/>
      <c r="AX339" s="32"/>
    </row>
    <row r="340">
      <c r="A340" s="32" t="str">
        <f>IFERROR(__xludf.DUMMYFUNCTION("""COMPUTED_VALUE"""),"Vambraces of Waking Waters")</f>
        <v>Vambraces of Waking Waters</v>
      </c>
      <c r="B340" s="32" t="str">
        <f>IFERROR(__xludf.DUMMYFUNCTION("""COMPUTED_VALUE"""),"Arms")</f>
        <v>Arms</v>
      </c>
      <c r="C340" s="32"/>
      <c r="D340" s="5"/>
      <c r="E340" s="40">
        <f>IFERROR(__xludf.DUMMYFUNCTION("""COMPUTED_VALUE"""),200.0)</f>
        <v>200</v>
      </c>
      <c r="F340" s="44">
        <f>IFERROR(__xludf.DUMMYFUNCTION("""COMPUTED_VALUE"""),1900000.0)</f>
        <v>1900000</v>
      </c>
      <c r="G340" s="32" t="str">
        <f>IFERROR(__xludf.DUMMYFUNCTION("""COMPUTED_VALUE"""),"DEF")</f>
        <v>DEF</v>
      </c>
      <c r="H340" s="32">
        <f>IFERROR(__xludf.DUMMYFUNCTION("""COMPUTED_VALUE"""),5000.0)</f>
        <v>5000</v>
      </c>
      <c r="I340" s="32"/>
      <c r="J340" s="32"/>
      <c r="K340" s="32">
        <f>IFERROR(__xludf.DUMMYFUNCTION("""COMPUTED_VALUE"""),5000.0)</f>
        <v>5000</v>
      </c>
      <c r="L340" s="32"/>
      <c r="M340" s="32"/>
      <c r="N340" s="32"/>
      <c r="O340" s="32"/>
      <c r="P340" s="32"/>
      <c r="Q340" s="32"/>
      <c r="R340" s="32"/>
      <c r="S340" s="32"/>
      <c r="T340" s="32"/>
      <c r="U340" s="32"/>
      <c r="V340" s="32"/>
      <c r="W340" s="32"/>
      <c r="X340" s="32"/>
      <c r="Y340" s="32"/>
      <c r="Z340" s="32"/>
      <c r="AA340" s="32"/>
      <c r="AB340" s="32"/>
      <c r="AC340" s="32"/>
      <c r="AD340" s="32"/>
      <c r="AE340" s="32"/>
      <c r="AF340" s="32" t="str">
        <f>IFERROR(__xludf.DUMMYFUNCTION("""COMPUTED_VALUE"""),"++X4 additional Water damage.")</f>
        <v>++X4 additional Water damage.</v>
      </c>
      <c r="AG340" s="32" t="str">
        <f>IFERROR(__xludf.DUMMYFUNCTION("""COMPUTED_VALUE"""),"Land of Spira")</f>
        <v>Land of Spira</v>
      </c>
      <c r="AH340" s="32" t="b">
        <f>IFERROR(__xludf.DUMMYFUNCTION("""COMPUTED_VALUE"""),FALSE)</f>
        <v>0</v>
      </c>
      <c r="AI340" s="32"/>
      <c r="AJ340" s="32"/>
      <c r="AK340" s="32"/>
      <c r="AL340" s="32"/>
      <c r="AM340" s="32"/>
      <c r="AN340" s="32"/>
      <c r="AO340" s="32"/>
      <c r="AP340" s="32"/>
      <c r="AQ340" s="32"/>
      <c r="AR340" s="32"/>
      <c r="AS340" s="32"/>
      <c r="AT340" s="32"/>
      <c r="AU340" s="32"/>
      <c r="AV340" s="32"/>
      <c r="AW340" s="32"/>
      <c r="AX340" s="32"/>
    </row>
    <row r="341">
      <c r="A341" s="32"/>
      <c r="B341" s="32"/>
      <c r="C341" s="32"/>
      <c r="D341" s="5"/>
      <c r="E341" s="40">
        <f>IFERROR(__xludf.DUMMYFUNCTION("""COMPUTED_VALUE"""),1.0)</f>
        <v>1</v>
      </c>
      <c r="F341" s="44">
        <f>IFERROR(__xludf.DUMMYFUNCTION("""COMPUTED_VALUE"""),0.0)</f>
        <v>0</v>
      </c>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t="str">
        <f>IFERROR(__xludf.DUMMYFUNCTION("""COMPUTED_VALUE"""),"Land of Spira")</f>
        <v>Land of Spira</v>
      </c>
      <c r="AH341" s="32" t="b">
        <f>IFERROR(__xludf.DUMMYFUNCTION("""COMPUTED_VALUE"""),FALSE)</f>
        <v>0</v>
      </c>
      <c r="AI341" s="32"/>
      <c r="AJ341" s="32"/>
      <c r="AK341" s="32"/>
      <c r="AL341" s="32"/>
      <c r="AM341" s="32"/>
      <c r="AN341" s="32"/>
      <c r="AO341" s="32"/>
      <c r="AP341" s="32"/>
      <c r="AQ341" s="32"/>
      <c r="AR341" s="32"/>
      <c r="AS341" s="32"/>
      <c r="AT341" s="32"/>
      <c r="AU341" s="32"/>
      <c r="AV341" s="32"/>
      <c r="AW341" s="32"/>
      <c r="AX341" s="32"/>
    </row>
    <row r="342">
      <c r="A342" s="32"/>
      <c r="B342" s="32"/>
      <c r="C342" s="32"/>
      <c r="D342" s="5"/>
      <c r="E342" s="40">
        <f>IFERROR(__xludf.DUMMYFUNCTION("""COMPUTED_VALUE"""),1.0)</f>
        <v>1</v>
      </c>
      <c r="F342" s="44">
        <f>IFERROR(__xludf.DUMMYFUNCTION("""COMPUTED_VALUE"""),0.0)</f>
        <v>0</v>
      </c>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t="str">
        <f>IFERROR(__xludf.DUMMYFUNCTION("""COMPUTED_VALUE"""),"Land of Spira")</f>
        <v>Land of Spira</v>
      </c>
      <c r="AH342" s="32" t="b">
        <f>IFERROR(__xludf.DUMMYFUNCTION("""COMPUTED_VALUE"""),FALSE)</f>
        <v>0</v>
      </c>
      <c r="AI342" s="32"/>
      <c r="AJ342" s="32"/>
      <c r="AK342" s="32"/>
      <c r="AL342" s="32"/>
      <c r="AM342" s="32"/>
      <c r="AN342" s="32"/>
      <c r="AO342" s="32"/>
      <c r="AP342" s="32"/>
      <c r="AQ342" s="32"/>
      <c r="AR342" s="32"/>
      <c r="AS342" s="32"/>
      <c r="AT342" s="32"/>
      <c r="AU342" s="32"/>
      <c r="AV342" s="32"/>
      <c r="AW342" s="32"/>
      <c r="AX342" s="32"/>
    </row>
    <row r="343">
      <c r="A343" s="32" t="str">
        <f>IFERROR(__xludf.DUMMYFUNCTION("""COMPUTED_VALUE"""),"Viking Helm")</f>
        <v>Viking Helm</v>
      </c>
      <c r="B343" s="32" t="str">
        <f>IFERROR(__xludf.DUMMYFUNCTION("""COMPUTED_VALUE"""),"Head")</f>
        <v>Head</v>
      </c>
      <c r="C343" s="32"/>
      <c r="D343" s="5"/>
      <c r="E343" s="40">
        <f>IFERROR(__xludf.DUMMYFUNCTION("""COMPUTED_VALUE"""),1.0)</f>
        <v>1</v>
      </c>
      <c r="F343" s="44">
        <f>IFERROR(__xludf.DUMMYFUNCTION("""COMPUTED_VALUE"""),0.0)</f>
        <v>0</v>
      </c>
      <c r="G343" s="32" t="str">
        <f>IFERROR(__xludf.DUMMYFUNCTION("""COMPUTED_VALUE"""),"DEF")</f>
        <v>DEF</v>
      </c>
      <c r="H343" s="32">
        <f>IFERROR(__xludf.DUMMYFUNCTION("""COMPUTED_VALUE"""),200.0)</f>
        <v>200</v>
      </c>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t="str">
        <f>IFERROR(__xludf.DUMMYFUNCTION("""COMPUTED_VALUE"""),"(Viking Set)")</f>
        <v>(Viking Set)</v>
      </c>
      <c r="AG343" s="32" t="str">
        <f>IFERROR(__xludf.DUMMYFUNCTION("""COMPUTED_VALUE"""),"Land of Spira")</f>
        <v>Land of Spira</v>
      </c>
      <c r="AH343" s="32" t="b">
        <f>IFERROR(__xludf.DUMMYFUNCTION("""COMPUTED_VALUE"""),TRUE)</f>
        <v>1</v>
      </c>
      <c r="AI343" s="32"/>
      <c r="AJ343" s="32"/>
      <c r="AK343" s="32"/>
      <c r="AL343" s="32"/>
      <c r="AM343" s="32"/>
      <c r="AN343" s="32"/>
      <c r="AO343" s="32"/>
      <c r="AP343" s="32"/>
      <c r="AQ343" s="32"/>
      <c r="AR343" s="32"/>
      <c r="AS343" s="32"/>
      <c r="AT343" s="32"/>
      <c r="AU343" s="32"/>
      <c r="AV343" s="32"/>
      <c r="AW343" s="32"/>
      <c r="AX343" s="32"/>
    </row>
    <row r="344">
      <c r="A344" s="32" t="str">
        <f>IFERROR(__xludf.DUMMYFUNCTION("""COMPUTED_VALUE"""),"Void sword")</f>
        <v>Void sword</v>
      </c>
      <c r="B344" s="32" t="str">
        <f>IFERROR(__xludf.DUMMYFUNCTION("""COMPUTED_VALUE"""),"Hand")</f>
        <v>Hand</v>
      </c>
      <c r="C344" s="32"/>
      <c r="D344" s="5" t="str">
        <f>IFERROR(__xludf.DUMMYFUNCTION("""COMPUTED_VALUE"""),"Sword")</f>
        <v>Sword</v>
      </c>
      <c r="E344" s="40">
        <f>IFERROR(__xludf.DUMMYFUNCTION("""COMPUTED_VALUE"""),200.0)</f>
        <v>200</v>
      </c>
      <c r="F344" s="44">
        <f>IFERROR(__xludf.DUMMYFUNCTION("""COMPUTED_VALUE"""),0.0)</f>
        <v>0</v>
      </c>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f>IFERROR(__xludf.DUMMYFUNCTION("""COMPUTED_VALUE"""),1.0)</f>
        <v>1</v>
      </c>
      <c r="AD344" s="32"/>
      <c r="AE344" s="32"/>
      <c r="AF344" s="32"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32" t="str">
        <f>IFERROR(__xludf.DUMMYFUNCTION("""COMPUTED_VALUE"""),"Land of Spira")</f>
        <v>Land of Spira</v>
      </c>
      <c r="AH344" s="32" t="b">
        <f>IFERROR(__xludf.DUMMYFUNCTION("""COMPUTED_VALUE"""),FALSE)</f>
        <v>0</v>
      </c>
      <c r="AI344" s="32"/>
      <c r="AJ344" s="32"/>
      <c r="AK344" s="32"/>
      <c r="AL344" s="32"/>
      <c r="AM344" s="32"/>
      <c r="AN344" s="32"/>
      <c r="AO344" s="32"/>
      <c r="AP344" s="32"/>
      <c r="AQ344" s="32"/>
      <c r="AR344" s="32"/>
      <c r="AS344" s="32"/>
      <c r="AT344" s="32"/>
      <c r="AU344" s="32"/>
      <c r="AV344" s="32"/>
      <c r="AW344" s="32"/>
      <c r="AX344" s="32"/>
    </row>
    <row r="345">
      <c r="A345" s="32" t="str">
        <f>IFERROR(__xludf.DUMMYFUNCTION("""COMPUTED_VALUE"""),"Volcanic Sword of Destruction")</f>
        <v>Volcanic Sword of Destruction</v>
      </c>
      <c r="B345" s="32" t="str">
        <f>IFERROR(__xludf.DUMMYFUNCTION("""COMPUTED_VALUE"""),"Hand")</f>
        <v>Hand</v>
      </c>
      <c r="C345" s="32"/>
      <c r="D345" s="5" t="str">
        <f>IFERROR(__xludf.DUMMYFUNCTION("""COMPUTED_VALUE"""),"Sword")</f>
        <v>Sword</v>
      </c>
      <c r="E345" s="40">
        <f>IFERROR(__xludf.DUMMYFUNCTION("""COMPUTED_VALUE"""),200.0)</f>
        <v>200</v>
      </c>
      <c r="F345" s="44">
        <f>IFERROR(__xludf.DUMMYFUNCTION("""COMPUTED_VALUE"""),4.995E9)</f>
        <v>4995000000</v>
      </c>
      <c r="G345" s="32" t="str">
        <f>IFERROR(__xludf.DUMMYFUNCTION("""COMPUTED_VALUE"""),"DMG")</f>
        <v>DMG</v>
      </c>
      <c r="H345" s="33">
        <f>IFERROR(__xludf.DUMMYFUNCTION("""COMPUTED_VALUE"""),100000.0)</f>
        <v>100000</v>
      </c>
      <c r="I345" s="33">
        <f>IFERROR(__xludf.DUMMYFUNCTION("""COMPUTED_VALUE"""),300000.0)</f>
        <v>300000</v>
      </c>
      <c r="J345" s="32"/>
      <c r="K345" s="32"/>
      <c r="L345" s="32"/>
      <c r="M345" s="32"/>
      <c r="N345" s="32"/>
      <c r="O345" s="32"/>
      <c r="P345" s="32"/>
      <c r="Q345" s="32"/>
      <c r="R345" s="32"/>
      <c r="S345" s="32"/>
      <c r="T345" s="32"/>
      <c r="U345" s="32"/>
      <c r="V345" s="32"/>
      <c r="W345" s="32"/>
      <c r="X345" s="32"/>
      <c r="Y345" s="32"/>
      <c r="Z345" s="32"/>
      <c r="AA345" s="32"/>
      <c r="AB345" s="32"/>
      <c r="AC345" s="33">
        <f>IFERROR(__xludf.DUMMYFUNCTION("""COMPUTED_VALUE"""),100000.0)</f>
        <v>100000</v>
      </c>
      <c r="AD345" s="32"/>
      <c r="AE345" s="32"/>
      <c r="AF345" s="32"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32" t="str">
        <f>IFERROR(__xludf.DUMMYFUNCTION("""COMPUTED_VALUE"""),"Abstara")</f>
        <v>Abstara</v>
      </c>
      <c r="AH345" s="32" t="b">
        <f>IFERROR(__xludf.DUMMYFUNCTION("""COMPUTED_VALUE"""),FALSE)</f>
        <v>0</v>
      </c>
      <c r="AI345" s="32"/>
      <c r="AJ345" s="32"/>
      <c r="AK345" s="32"/>
      <c r="AL345" s="32"/>
      <c r="AM345" s="32"/>
      <c r="AN345" s="32"/>
      <c r="AO345" s="32"/>
      <c r="AP345" s="32"/>
      <c r="AQ345" s="32"/>
      <c r="AR345" s="32"/>
      <c r="AS345" s="32"/>
      <c r="AT345" s="32"/>
      <c r="AU345" s="32"/>
      <c r="AV345" s="32"/>
      <c r="AW345" s="32"/>
      <c r="AX345" s="32"/>
    </row>
    <row r="346">
      <c r="A346" s="32" t="str">
        <f>IFERROR(__xludf.DUMMYFUNCTION("""COMPUTED_VALUE"""),"Wand of Grey")</f>
        <v>Wand of Grey</v>
      </c>
      <c r="B346" s="32" t="str">
        <f>IFERROR(__xludf.DUMMYFUNCTION("""COMPUTED_VALUE"""),"Hand")</f>
        <v>Hand</v>
      </c>
      <c r="C346" s="32"/>
      <c r="D346" s="5" t="str">
        <f>IFERROR(__xludf.DUMMYFUNCTION("""COMPUTED_VALUE"""),"Wand")</f>
        <v>Wand</v>
      </c>
      <c r="E346" s="40">
        <f>IFERROR(__xludf.DUMMYFUNCTION("""COMPUTED_VALUE"""),1.0)</f>
        <v>1</v>
      </c>
      <c r="F346" s="44">
        <f>IFERROR(__xludf.DUMMYFUNCTION("""COMPUTED_VALUE"""),0.0)</f>
        <v>0</v>
      </c>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t="str">
        <f>IFERROR(__xludf.DUMMYFUNCTION("""COMPUTED_VALUE"""),"++X2 more damage to all spells. +-Cannot be duplicated.")</f>
        <v>++X2 more damage to all spells. +-Cannot be duplicated.</v>
      </c>
      <c r="AG346" s="32" t="str">
        <f>IFERROR(__xludf.DUMMYFUNCTION("""COMPUTED_VALUE"""),"Land of Spira")</f>
        <v>Land of Spira</v>
      </c>
      <c r="AH346" s="32" t="b">
        <f>IFERROR(__xludf.DUMMYFUNCTION("""COMPUTED_VALUE"""),FALSE)</f>
        <v>0</v>
      </c>
      <c r="AI346" s="32"/>
      <c r="AJ346" s="32"/>
      <c r="AK346" s="32"/>
      <c r="AL346" s="32"/>
      <c r="AM346" s="32"/>
      <c r="AN346" s="32"/>
      <c r="AO346" s="32"/>
      <c r="AP346" s="32"/>
      <c r="AQ346" s="32"/>
      <c r="AR346" s="32"/>
      <c r="AS346" s="32"/>
      <c r="AT346" s="32"/>
      <c r="AU346" s="32"/>
      <c r="AV346" s="32"/>
      <c r="AW346" s="32"/>
      <c r="AX346" s="32"/>
    </row>
    <row r="347">
      <c r="A347" s="32" t="str">
        <f>IFERROR(__xludf.DUMMYFUNCTION("""COMPUTED_VALUE"""),"Wand of Multi-Color")</f>
        <v>Wand of Multi-Color</v>
      </c>
      <c r="B347" s="32" t="str">
        <f>IFERROR(__xludf.DUMMYFUNCTION("""COMPUTED_VALUE"""),"Hand")</f>
        <v>Hand</v>
      </c>
      <c r="C347" s="32"/>
      <c r="D347" s="5" t="str">
        <f>IFERROR(__xludf.DUMMYFUNCTION("""COMPUTED_VALUE"""),"Wand")</f>
        <v>Wand</v>
      </c>
      <c r="E347" s="40">
        <f>IFERROR(__xludf.DUMMYFUNCTION("""COMPUTED_VALUE"""),1.0)</f>
        <v>1</v>
      </c>
      <c r="F347" s="44">
        <f>IFERROR(__xludf.DUMMYFUNCTION("""COMPUTED_VALUE"""),0.0)</f>
        <v>0</v>
      </c>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t="str">
        <f>IFERROR(__xludf.DUMMYFUNCTION("""COMPUTED_VALUE"""),"++All types of spells are reduced by half sp. +-Cannot be duplicated. +-Can only equip one")</f>
        <v>++All types of spells are reduced by half sp. +-Cannot be duplicated. +-Can only equip one</v>
      </c>
      <c r="AG347" s="32" t="str">
        <f>IFERROR(__xludf.DUMMYFUNCTION("""COMPUTED_VALUE"""),"Land of Spira")</f>
        <v>Land of Spira</v>
      </c>
      <c r="AH347" s="32" t="b">
        <f>IFERROR(__xludf.DUMMYFUNCTION("""COMPUTED_VALUE"""),FALSE)</f>
        <v>0</v>
      </c>
      <c r="AI347" s="32"/>
      <c r="AJ347" s="32"/>
      <c r="AK347" s="32"/>
      <c r="AL347" s="32"/>
      <c r="AM347" s="32"/>
      <c r="AN347" s="32"/>
      <c r="AO347" s="32"/>
      <c r="AP347" s="32"/>
      <c r="AQ347" s="32"/>
      <c r="AR347" s="32"/>
      <c r="AS347" s="32"/>
      <c r="AT347" s="32"/>
      <c r="AU347" s="32"/>
      <c r="AV347" s="32"/>
      <c r="AW347" s="32"/>
      <c r="AX347" s="32"/>
    </row>
    <row r="348">
      <c r="A348" s="32" t="str">
        <f>IFERROR(__xludf.DUMMYFUNCTION("""COMPUTED_VALUE"""),"Warlock’s Armored Chestplate")</f>
        <v>Warlock’s Armored Chestplate</v>
      </c>
      <c r="B348" s="32" t="str">
        <f>IFERROR(__xludf.DUMMYFUNCTION("""COMPUTED_VALUE"""),"Torso")</f>
        <v>Torso</v>
      </c>
      <c r="C348" s="32"/>
      <c r="D348" s="5"/>
      <c r="E348" s="40">
        <f>IFERROR(__xludf.DUMMYFUNCTION("""COMPUTED_VALUE"""),100.0)</f>
        <v>100</v>
      </c>
      <c r="F348" s="44">
        <f>IFERROR(__xludf.DUMMYFUNCTION("""COMPUTED_VALUE"""),450000.0)</f>
        <v>450000</v>
      </c>
      <c r="G348" s="32" t="str">
        <f>IFERROR(__xludf.DUMMYFUNCTION("""COMPUTED_VALUE"""),"DEF")</f>
        <v>DEF</v>
      </c>
      <c r="H348" s="33">
        <f>IFERROR(__xludf.DUMMYFUNCTION("""COMPUTED_VALUE"""),5000.0)</f>
        <v>5000</v>
      </c>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32" t="str">
        <f>IFERROR(__xludf.DUMMYFUNCTION("""COMPUTED_VALUE"""),"Land of Spira")</f>
        <v>Land of Spira</v>
      </c>
      <c r="AH348" s="32" t="b">
        <f>IFERROR(__xludf.DUMMYFUNCTION("""COMPUTED_VALUE"""),FALSE)</f>
        <v>0</v>
      </c>
      <c r="AI348" s="32"/>
      <c r="AJ348" s="32"/>
      <c r="AK348" s="32"/>
      <c r="AL348" s="32"/>
      <c r="AM348" s="32"/>
      <c r="AN348" s="32"/>
      <c r="AO348" s="32"/>
      <c r="AP348" s="32"/>
      <c r="AQ348" s="32"/>
      <c r="AR348" s="32"/>
      <c r="AS348" s="32"/>
      <c r="AT348" s="32"/>
      <c r="AU348" s="32"/>
      <c r="AV348" s="32"/>
      <c r="AW348" s="32"/>
      <c r="AX348" s="32"/>
    </row>
    <row r="349">
      <c r="A349" s="32" t="str">
        <f>IFERROR(__xludf.DUMMYFUNCTION("""COMPUTED_VALUE"""),"Water Warhammer")</f>
        <v>Water Warhammer</v>
      </c>
      <c r="B349" s="32" t="str">
        <f>IFERROR(__xludf.DUMMYFUNCTION("""COMPUTED_VALUE"""),"Hand")</f>
        <v>Hand</v>
      </c>
      <c r="C349" s="32"/>
      <c r="D349" s="5" t="str">
        <f>IFERROR(__xludf.DUMMYFUNCTION("""COMPUTED_VALUE"""),"Club")</f>
        <v>Club</v>
      </c>
      <c r="E349" s="40">
        <f>IFERROR(__xludf.DUMMYFUNCTION("""COMPUTED_VALUE"""),200.0)</f>
        <v>200</v>
      </c>
      <c r="F349" s="44">
        <f>IFERROR(__xludf.DUMMYFUNCTION("""COMPUTED_VALUE"""),1900000.0)</f>
        <v>1900000</v>
      </c>
      <c r="G349" s="32" t="str">
        <f>IFERROR(__xludf.DUMMYFUNCTION("""COMPUTED_VALUE"""),"DMG")</f>
        <v>DMG</v>
      </c>
      <c r="H349" s="32">
        <f>IFERROR(__xludf.DUMMYFUNCTION("""COMPUTED_VALUE"""),5000.0)</f>
        <v>5000</v>
      </c>
      <c r="I349" s="32"/>
      <c r="J349" s="32"/>
      <c r="K349" s="32">
        <f>IFERROR(__xludf.DUMMYFUNCTION("""COMPUTED_VALUE"""),5000.0)</f>
        <v>5000</v>
      </c>
      <c r="L349" s="32"/>
      <c r="M349" s="32"/>
      <c r="N349" s="32"/>
      <c r="O349" s="32"/>
      <c r="P349" s="32"/>
      <c r="Q349" s="32"/>
      <c r="R349" s="32"/>
      <c r="S349" s="32"/>
      <c r="T349" s="32"/>
      <c r="U349" s="32"/>
      <c r="V349" s="32"/>
      <c r="W349" s="32"/>
      <c r="X349" s="32"/>
      <c r="Y349" s="32"/>
      <c r="Z349" s="32"/>
      <c r="AA349" s="32"/>
      <c r="AB349" s="32"/>
      <c r="AC349" s="32"/>
      <c r="AD349" s="32"/>
      <c r="AE349" s="32"/>
      <c r="AF349" s="32"/>
      <c r="AG349" s="32" t="str">
        <f>IFERROR(__xludf.DUMMYFUNCTION("""COMPUTED_VALUE"""),"Land of Spira")</f>
        <v>Land of Spira</v>
      </c>
      <c r="AH349" s="32" t="b">
        <f>IFERROR(__xludf.DUMMYFUNCTION("""COMPUTED_VALUE"""),TRUE)</f>
        <v>1</v>
      </c>
      <c r="AI349" s="32"/>
      <c r="AJ349" s="32"/>
      <c r="AK349" s="32"/>
      <c r="AL349" s="32"/>
      <c r="AM349" s="32"/>
      <c r="AN349" s="32"/>
      <c r="AO349" s="32"/>
      <c r="AP349" s="32"/>
      <c r="AQ349" s="32"/>
      <c r="AR349" s="32"/>
      <c r="AS349" s="32"/>
      <c r="AT349" s="32"/>
      <c r="AU349" s="32"/>
      <c r="AV349" s="32"/>
      <c r="AW349" s="32"/>
      <c r="AX349" s="32"/>
    </row>
    <row r="350">
      <c r="A350" s="32" t="str">
        <f>IFERROR(__xludf.DUMMYFUNCTION("""COMPUTED_VALUE"""),"Weaponized Bamboo Hat")</f>
        <v>Weaponized Bamboo Hat</v>
      </c>
      <c r="B350" s="32" t="str">
        <f>IFERROR(__xludf.DUMMYFUNCTION("""COMPUTED_VALUE"""),"Head")</f>
        <v>Head</v>
      </c>
      <c r="C350" s="32"/>
      <c r="D350" s="5" t="str">
        <f>IFERROR(__xludf.DUMMYFUNCTION("""COMPUTED_VALUE"""),"Knife")</f>
        <v>Knife</v>
      </c>
      <c r="E350" s="40">
        <f>IFERROR(__xludf.DUMMYFUNCTION("""COMPUTED_VALUE"""),40.0)</f>
        <v>40</v>
      </c>
      <c r="F350" s="44">
        <f>IFERROR(__xludf.DUMMYFUNCTION("""COMPUTED_VALUE"""),60000.0)</f>
        <v>60000</v>
      </c>
      <c r="G350" s="32" t="str">
        <f>IFERROR(__xludf.DUMMYFUNCTION("""COMPUTED_VALUE"""),"DEF")</f>
        <v>DEF</v>
      </c>
      <c r="H350" s="32">
        <f>IFERROR(__xludf.DUMMYFUNCTION("""COMPUTED_VALUE"""),1000.0)</f>
        <v>1000</v>
      </c>
      <c r="I350" s="32"/>
      <c r="J350" s="32"/>
      <c r="K350" s="32"/>
      <c r="L350" s="32"/>
      <c r="M350" s="32"/>
      <c r="N350" s="32"/>
      <c r="O350" s="32"/>
      <c r="P350" s="32"/>
      <c r="Q350" s="32"/>
      <c r="R350" s="32"/>
      <c r="S350" s="32">
        <f>IFERROR(__xludf.DUMMYFUNCTION("""COMPUTED_VALUE"""),1000.0)</f>
        <v>1000</v>
      </c>
      <c r="T350" s="32"/>
      <c r="U350" s="32"/>
      <c r="V350" s="32"/>
      <c r="W350" s="32"/>
      <c r="X350" s="32"/>
      <c r="Y350" s="32"/>
      <c r="Z350" s="32"/>
      <c r="AA350" s="32"/>
      <c r="AB350" s="32"/>
      <c r="AC350" s="32"/>
      <c r="AD350" s="32"/>
      <c r="AE350" s="32"/>
      <c r="AF350" s="32" t="str">
        <f>IFERROR(__xludf.DUMMYFUNCTION("""COMPUTED_VALUE"""),"++10,000 damage when thrown, this item will return to you after thrown.")</f>
        <v>++10,000 damage when thrown, this item will return to you after thrown.</v>
      </c>
      <c r="AG350" s="32" t="str">
        <f>IFERROR(__xludf.DUMMYFUNCTION("""COMPUTED_VALUE"""),"Land of Spira")</f>
        <v>Land of Spira</v>
      </c>
      <c r="AH350" s="32" t="b">
        <f>IFERROR(__xludf.DUMMYFUNCTION("""COMPUTED_VALUE"""),FALSE)</f>
        <v>0</v>
      </c>
      <c r="AI350" s="32"/>
      <c r="AJ350" s="32"/>
      <c r="AK350" s="32"/>
      <c r="AL350" s="32"/>
      <c r="AM350" s="32"/>
      <c r="AN350" s="32"/>
      <c r="AO350" s="32"/>
      <c r="AP350" s="32"/>
      <c r="AQ350" s="32"/>
      <c r="AR350" s="32"/>
      <c r="AS350" s="32"/>
      <c r="AT350" s="32"/>
      <c r="AU350" s="32"/>
      <c r="AV350" s="32"/>
      <c r="AW350" s="32"/>
      <c r="AX350" s="32"/>
    </row>
    <row r="351">
      <c r="A351" s="32" t="str">
        <f>IFERROR(__xludf.DUMMYFUNCTION("""COMPUTED_VALUE"""),"Wig of Temper Fire")</f>
        <v>Wig of Temper Fire</v>
      </c>
      <c r="B351" s="32" t="str">
        <f>IFERROR(__xludf.DUMMYFUNCTION("""COMPUTED_VALUE"""),"Head")</f>
        <v>Head</v>
      </c>
      <c r="C351" s="32"/>
      <c r="D351" s="5"/>
      <c r="E351" s="40">
        <f>IFERROR(__xludf.DUMMYFUNCTION("""COMPUTED_VALUE"""),1.0)</f>
        <v>1</v>
      </c>
      <c r="F351" s="44">
        <f>IFERROR(__xludf.DUMMYFUNCTION("""COMPUTED_VALUE"""),0.0)</f>
        <v>0</v>
      </c>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t="str">
        <f>IFERROR(__xludf.DUMMYFUNCTION("""COMPUTED_VALUE"""),"++reduces any fire damage to 1 +-Cannot be duplicated")</f>
        <v>++reduces any fire damage to 1 +-Cannot be duplicated</v>
      </c>
      <c r="AG351" s="32" t="str">
        <f>IFERROR(__xludf.DUMMYFUNCTION("""COMPUTED_VALUE"""),"Land of Spira")</f>
        <v>Land of Spira</v>
      </c>
      <c r="AH351" s="32" t="b">
        <f>IFERROR(__xludf.DUMMYFUNCTION("""COMPUTED_VALUE"""),FALSE)</f>
        <v>0</v>
      </c>
      <c r="AI351" s="32"/>
      <c r="AJ351" s="32"/>
      <c r="AK351" s="32"/>
      <c r="AL351" s="32"/>
      <c r="AM351" s="32"/>
      <c r="AN351" s="32"/>
      <c r="AO351" s="32"/>
      <c r="AP351" s="32"/>
      <c r="AQ351" s="32"/>
      <c r="AR351" s="32"/>
      <c r="AS351" s="32"/>
      <c r="AT351" s="32"/>
      <c r="AU351" s="32"/>
      <c r="AV351" s="32"/>
      <c r="AW351" s="32"/>
      <c r="AX351" s="32"/>
    </row>
    <row r="352">
      <c r="A352" s="32" t="str">
        <f>IFERROR(__xludf.DUMMYFUNCTION("""COMPUTED_VALUE"""),"Woodsman’s Hacker")</f>
        <v>Woodsman’s Hacker</v>
      </c>
      <c r="B352" s="32" t="str">
        <f>IFERROR(__xludf.DUMMYFUNCTION("""COMPUTED_VALUE"""),"Hand")</f>
        <v>Hand</v>
      </c>
      <c r="C352" s="32"/>
      <c r="D352" s="5" t="str">
        <f>IFERROR(__xludf.DUMMYFUNCTION("""COMPUTED_VALUE"""),"Axe")</f>
        <v>Axe</v>
      </c>
      <c r="E352" s="40">
        <f>IFERROR(__xludf.DUMMYFUNCTION("""COMPUTED_VALUE"""),10.0)</f>
        <v>10</v>
      </c>
      <c r="F352" s="44">
        <f>IFERROR(__xludf.DUMMYFUNCTION("""COMPUTED_VALUE"""),1000.0)</f>
        <v>1000</v>
      </c>
      <c r="G352" s="32" t="str">
        <f>IFERROR(__xludf.DUMMYFUNCTION("""COMPUTED_VALUE"""),"DMG")</f>
        <v>DMG</v>
      </c>
      <c r="H352" s="32">
        <f>IFERROR(__xludf.DUMMYFUNCTION("""COMPUTED_VALUE"""),500.0)</f>
        <v>500</v>
      </c>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t="str">
        <f>IFERROR(__xludf.DUMMYFUNCTION("""COMPUTED_VALUE"""),"Land of Spira")</f>
        <v>Land of Spira</v>
      </c>
      <c r="AH352" s="32" t="b">
        <f>IFERROR(__xludf.DUMMYFUNCTION("""COMPUTED_VALUE"""),TRUE)</f>
        <v>1</v>
      </c>
      <c r="AI352" s="32"/>
      <c r="AJ352" s="32"/>
      <c r="AK352" s="32"/>
      <c r="AL352" s="32"/>
      <c r="AM352" s="32"/>
      <c r="AN352" s="32"/>
      <c r="AO352" s="32"/>
      <c r="AP352" s="32"/>
      <c r="AQ352" s="32"/>
      <c r="AR352" s="32"/>
      <c r="AS352" s="32"/>
      <c r="AT352" s="32"/>
      <c r="AU352" s="32"/>
      <c r="AV352" s="32"/>
      <c r="AW352" s="32"/>
      <c r="AX352" s="32"/>
    </row>
    <row r="353">
      <c r="A353" s="32" t="str">
        <f>IFERROR(__xludf.DUMMYFUNCTION("""COMPUTED_VALUE"""),"World Tree Sword")</f>
        <v>World Tree Sword</v>
      </c>
      <c r="B353" s="32" t="str">
        <f>IFERROR(__xludf.DUMMYFUNCTION("""COMPUTED_VALUE"""),"Hand")</f>
        <v>Hand</v>
      </c>
      <c r="C353" s="32"/>
      <c r="D353" s="5"/>
      <c r="E353" s="40">
        <f>IFERROR(__xludf.DUMMYFUNCTION("""COMPUTED_VALUE"""),200.0)</f>
        <v>200</v>
      </c>
      <c r="F353" s="44">
        <f>IFERROR(__xludf.DUMMYFUNCTION("""COMPUTED_VALUE"""),3.196E9)</f>
        <v>3196000000</v>
      </c>
      <c r="G353" s="32" t="str">
        <f>IFERROR(__xludf.DUMMYFUNCTION("""COMPUTED_VALUE"""),"DMG")</f>
        <v>DMG</v>
      </c>
      <c r="H353" s="33">
        <f>IFERROR(__xludf.DUMMYFUNCTION("""COMPUTED_VALUE"""),100000.0)</f>
        <v>100000</v>
      </c>
      <c r="I353" s="32"/>
      <c r="J353" s="32"/>
      <c r="K353" s="32"/>
      <c r="L353" s="32"/>
      <c r="M353" s="33">
        <f>IFERROR(__xludf.DUMMYFUNCTION("""COMPUTED_VALUE"""),50000.0)</f>
        <v>50000</v>
      </c>
      <c r="N353" s="33">
        <f>IFERROR(__xludf.DUMMYFUNCTION("""COMPUTED_VALUE"""),50000.0)</f>
        <v>50000</v>
      </c>
      <c r="O353" s="32"/>
      <c r="P353" s="33">
        <f>IFERROR(__xludf.DUMMYFUNCTION("""COMPUTED_VALUE"""),50000.0)</f>
        <v>50000</v>
      </c>
      <c r="Q353" s="33">
        <f>IFERROR(__xludf.DUMMYFUNCTION("""COMPUTED_VALUE"""),50000.0)</f>
        <v>50000</v>
      </c>
      <c r="R353" s="32"/>
      <c r="S353" s="33">
        <f>IFERROR(__xludf.DUMMYFUNCTION("""COMPUTED_VALUE"""),50000.0)</f>
        <v>50000</v>
      </c>
      <c r="T353" s="32"/>
      <c r="U353" s="32"/>
      <c r="V353" s="32"/>
      <c r="W353" s="32"/>
      <c r="X353" s="32"/>
      <c r="Y353" s="32"/>
      <c r="Z353" s="32"/>
      <c r="AA353" s="32"/>
      <c r="AB353" s="32"/>
      <c r="AC353" s="33">
        <f>IFERROR(__xludf.DUMMYFUNCTION("""COMPUTED_VALUE"""),50000.0)</f>
        <v>50000</v>
      </c>
      <c r="AD353" s="32"/>
      <c r="AE353" s="32"/>
      <c r="AF353" s="32"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32" t="str">
        <f>IFERROR(__xludf.DUMMYFUNCTION("""COMPUTED_VALUE"""),"Land of Spira")</f>
        <v>Land of Spira</v>
      </c>
      <c r="AH353" s="32" t="b">
        <f>IFERROR(__xludf.DUMMYFUNCTION("""COMPUTED_VALUE"""),FALSE)</f>
        <v>0</v>
      </c>
      <c r="AI353" s="32"/>
      <c r="AJ353" s="32"/>
      <c r="AK353" s="32"/>
      <c r="AL353" s="32"/>
      <c r="AM353" s="32"/>
      <c r="AN353" s="32"/>
      <c r="AO353" s="32"/>
      <c r="AP353" s="32"/>
      <c r="AQ353" s="32"/>
      <c r="AR353" s="32"/>
      <c r="AS353" s="32"/>
      <c r="AT353" s="32"/>
      <c r="AU353" s="32"/>
      <c r="AV353" s="32"/>
      <c r="AW353" s="32"/>
      <c r="AX353" s="32"/>
    </row>
    <row r="354">
      <c r="A354" s="32" t="str">
        <f>IFERROR(__xludf.DUMMYFUNCTION("""COMPUTED_VALUE"""),"Tear of the Dragon Pendant")</f>
        <v>Tear of the Dragon Pendant</v>
      </c>
      <c r="B354" s="32" t="str">
        <f>IFERROR(__xludf.DUMMYFUNCTION("""COMPUTED_VALUE"""),"Neck")</f>
        <v>Neck</v>
      </c>
      <c r="C354" s="32"/>
      <c r="D354" s="5"/>
      <c r="E354" s="40">
        <f>IFERROR(__xludf.DUMMYFUNCTION("""COMPUTED_VALUE"""),1.0)</f>
        <v>1</v>
      </c>
      <c r="F354" s="44">
        <f>IFERROR(__xludf.DUMMYFUNCTION("""COMPUTED_VALUE"""),0.0)</f>
        <v>0</v>
      </c>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t="str">
        <f>IFERROR(__xludf.DUMMYFUNCTION("""COMPUTED_VALUE"""),"++Plus 5 or Minus 5 on your attack and percentage rolls, Users choice. +-Cannot be duplicated.")</f>
        <v>++Plus 5 or Minus 5 on your attack and percentage rolls, Users choice. +-Cannot be duplicated.</v>
      </c>
      <c r="AG354" s="32" t="str">
        <f>IFERROR(__xludf.DUMMYFUNCTION("""COMPUTED_VALUE"""),"Dragonscale Island")</f>
        <v>Dragonscale Island</v>
      </c>
      <c r="AH354" s="32" t="b">
        <f>IFERROR(__xludf.DUMMYFUNCTION("""COMPUTED_VALUE"""),FALSE)</f>
        <v>0</v>
      </c>
      <c r="AI354" s="32"/>
      <c r="AJ354" s="32"/>
      <c r="AK354" s="32"/>
      <c r="AL354" s="32"/>
      <c r="AM354" s="32"/>
      <c r="AN354" s="32"/>
      <c r="AO354" s="32"/>
      <c r="AP354" s="32"/>
      <c r="AQ354" s="32"/>
      <c r="AR354" s="32"/>
      <c r="AS354" s="32"/>
      <c r="AT354" s="32"/>
      <c r="AU354" s="32"/>
      <c r="AV354" s="32"/>
      <c r="AW354" s="32"/>
      <c r="AX354" s="32"/>
    </row>
    <row r="355">
      <c r="A355" s="32" t="str">
        <f>IFERROR(__xludf.DUMMYFUNCTION("""COMPUTED_VALUE"""),"Luck of the Dragon Pendant")</f>
        <v>Luck of the Dragon Pendant</v>
      </c>
      <c r="B355" s="32" t="str">
        <f>IFERROR(__xludf.DUMMYFUNCTION("""COMPUTED_VALUE"""),"Neck")</f>
        <v>Neck</v>
      </c>
      <c r="C355" s="32"/>
      <c r="D355" s="5"/>
      <c r="E355" s="40">
        <f>IFERROR(__xludf.DUMMYFUNCTION("""COMPUTED_VALUE"""),1.0)</f>
        <v>1</v>
      </c>
      <c r="F355" s="44">
        <f>IFERROR(__xludf.DUMMYFUNCTION("""COMPUTED_VALUE"""),0.0)</f>
        <v>0</v>
      </c>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t="str">
        <f>IFERROR(__xludf.DUMMYFUNCTION("""COMPUTED_VALUE"""),"++Plus 5 or Minus 5 on your Loot and Fail/Succeed rolls, Users choice. +-Cannot be duplicated.")</f>
        <v>++Plus 5 or Minus 5 on your Loot and Fail/Succeed rolls, Users choice. +-Cannot be duplicated.</v>
      </c>
      <c r="AG355" s="32" t="str">
        <f>IFERROR(__xludf.DUMMYFUNCTION("""COMPUTED_VALUE"""),"Dragonscale Island")</f>
        <v>Dragonscale Island</v>
      </c>
      <c r="AH355" s="32" t="b">
        <f>IFERROR(__xludf.DUMMYFUNCTION("""COMPUTED_VALUE"""),FALSE)</f>
        <v>0</v>
      </c>
      <c r="AI355" s="32"/>
      <c r="AJ355" s="32"/>
      <c r="AK355" s="32"/>
      <c r="AL355" s="32"/>
      <c r="AM355" s="32"/>
      <c r="AN355" s="32"/>
      <c r="AO355" s="32"/>
      <c r="AP355" s="32"/>
      <c r="AQ355" s="32"/>
      <c r="AR355" s="32"/>
      <c r="AS355" s="32"/>
      <c r="AT355" s="32"/>
      <c r="AU355" s="32"/>
      <c r="AV355" s="32"/>
      <c r="AW355" s="32"/>
      <c r="AX355" s="32"/>
    </row>
    <row r="356">
      <c r="A356" s="32" t="str">
        <f>IFERROR(__xludf.DUMMYFUNCTION("""COMPUTED_VALUE"""),"Scale of the Dragon Pendant")</f>
        <v>Scale of the Dragon Pendant</v>
      </c>
      <c r="B356" s="32" t="str">
        <f>IFERROR(__xludf.DUMMYFUNCTION("""COMPUTED_VALUE"""),"Neck")</f>
        <v>Neck</v>
      </c>
      <c r="C356" s="32"/>
      <c r="D356" s="5"/>
      <c r="E356" s="40">
        <f>IFERROR(__xludf.DUMMYFUNCTION("""COMPUTED_VALUE"""),1.0)</f>
        <v>1</v>
      </c>
      <c r="F356" s="44">
        <f>IFERROR(__xludf.DUMMYFUNCTION("""COMPUTED_VALUE"""),0.0)</f>
        <v>0</v>
      </c>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t="str">
        <f>IFERROR(__xludf.DUMMYFUNCTION("""COMPUTED_VALUE"""),"++Allows you to use a companions SP as your own if the companion is a dragon. +-Cannot be duplicated.")</f>
        <v>++Allows you to use a companions SP as your own if the companion is a dragon. +-Cannot be duplicated.</v>
      </c>
      <c r="AG356" s="32" t="str">
        <f>IFERROR(__xludf.DUMMYFUNCTION("""COMPUTED_VALUE"""),"Dragonscale Island")</f>
        <v>Dragonscale Island</v>
      </c>
      <c r="AH356" s="32" t="b">
        <f>IFERROR(__xludf.DUMMYFUNCTION("""COMPUTED_VALUE"""),FALSE)</f>
        <v>0</v>
      </c>
      <c r="AI356" s="32"/>
      <c r="AJ356" s="32"/>
      <c r="AK356" s="32"/>
      <c r="AL356" s="32"/>
      <c r="AM356" s="32"/>
      <c r="AN356" s="32"/>
      <c r="AO356" s="32"/>
      <c r="AP356" s="32"/>
      <c r="AQ356" s="32"/>
      <c r="AR356" s="32"/>
      <c r="AS356" s="32"/>
      <c r="AT356" s="32"/>
      <c r="AU356" s="32"/>
      <c r="AV356" s="32"/>
      <c r="AW356" s="32"/>
      <c r="AX356" s="32"/>
    </row>
    <row r="357">
      <c r="A357" s="32" t="str">
        <f>IFERROR(__xludf.DUMMYFUNCTION("""COMPUTED_VALUE"""),"Guard Pauldrons")</f>
        <v>Guard Pauldrons</v>
      </c>
      <c r="B357" s="32" t="str">
        <f>IFERROR(__xludf.DUMMYFUNCTION("""COMPUTED_VALUE"""),"Shoulders")</f>
        <v>Shoulders</v>
      </c>
      <c r="C357" s="32" t="str">
        <f>IFERROR(__xludf.DUMMYFUNCTION("""COMPUTED_VALUE"""),"Quest Item")</f>
        <v>Quest Item</v>
      </c>
      <c r="D357" s="5"/>
      <c r="E357" s="40">
        <f>IFERROR(__xludf.DUMMYFUNCTION("""COMPUTED_VALUE"""),200.0)</f>
        <v>200</v>
      </c>
      <c r="F357" s="44">
        <f>IFERROR(__xludf.DUMMYFUNCTION("""COMPUTED_VALUE"""),1.1175E8)</f>
        <v>111750000</v>
      </c>
      <c r="G357" s="32" t="str">
        <f>IFERROR(__xludf.DUMMYFUNCTION("""COMPUTED_VALUE"""),"DEF")</f>
        <v>DEF</v>
      </c>
      <c r="H357" s="33">
        <f>IFERROR(__xludf.DUMMYFUNCTION("""COMPUTED_VALUE"""),25000.0)</f>
        <v>25000</v>
      </c>
      <c r="I357" s="32"/>
      <c r="J357" s="32"/>
      <c r="K357" s="32"/>
      <c r="L357" s="32"/>
      <c r="M357" s="32"/>
      <c r="N357" s="33">
        <f>IFERROR(__xludf.DUMMYFUNCTION("""COMPUTED_VALUE"""),25000.0)</f>
        <v>25000</v>
      </c>
      <c r="O357" s="32"/>
      <c r="P357" s="32"/>
      <c r="Q357" s="32"/>
      <c r="R357" s="32"/>
      <c r="S357" s="32"/>
      <c r="T357" s="32"/>
      <c r="U357" s="32"/>
      <c r="V357" s="32"/>
      <c r="W357" s="32"/>
      <c r="X357" s="32"/>
      <c r="Y357" s="32"/>
      <c r="Z357" s="32"/>
      <c r="AA357" s="32"/>
      <c r="AB357" s="32"/>
      <c r="AC357" s="33">
        <f>IFERROR(__xludf.DUMMYFUNCTION("""COMPUTED_VALUE"""),25000.0)</f>
        <v>25000</v>
      </c>
      <c r="AD357" s="32"/>
      <c r="AE357" s="32"/>
      <c r="AF357" s="32" t="str">
        <f>IFERROR(__xludf.DUMMYFUNCTION("""COMPUTED_VALUE"""),"+-Cannot be duplicated")</f>
        <v>+-Cannot be duplicated</v>
      </c>
      <c r="AG357" s="32" t="str">
        <f>IFERROR(__xludf.DUMMYFUNCTION("""COMPUTED_VALUE"""),"Land of Spira")</f>
        <v>Land of Spira</v>
      </c>
      <c r="AH357" s="32" t="b">
        <f>IFERROR(__xludf.DUMMYFUNCTION("""COMPUTED_VALUE"""),FALSE)</f>
        <v>0</v>
      </c>
      <c r="AI357" s="32"/>
      <c r="AJ357" s="32"/>
      <c r="AK357" s="32"/>
      <c r="AL357" s="32"/>
      <c r="AM357" s="32"/>
      <c r="AN357" s="32"/>
      <c r="AO357" s="32"/>
      <c r="AP357" s="32"/>
      <c r="AQ357" s="32"/>
      <c r="AR357" s="32"/>
      <c r="AS357" s="32"/>
      <c r="AT357" s="32"/>
      <c r="AU357" s="32"/>
      <c r="AV357" s="32"/>
      <c r="AW357" s="32"/>
      <c r="AX357" s="32"/>
    </row>
    <row r="358">
      <c r="A358" s="32" t="str">
        <f>IFERROR(__xludf.DUMMYFUNCTION("""COMPUTED_VALUE"""),"Guard Vambraces")</f>
        <v>Guard Vambraces</v>
      </c>
      <c r="B358" s="32" t="str">
        <f>IFERROR(__xludf.DUMMYFUNCTION("""COMPUTED_VALUE"""),"Arms")</f>
        <v>Arms</v>
      </c>
      <c r="C358" s="32" t="str">
        <f>IFERROR(__xludf.DUMMYFUNCTION("""COMPUTED_VALUE"""),"Quest Item")</f>
        <v>Quest Item</v>
      </c>
      <c r="D358" s="5"/>
      <c r="E358" s="40">
        <f>IFERROR(__xludf.DUMMYFUNCTION("""COMPUTED_VALUE"""),200.0)</f>
        <v>200</v>
      </c>
      <c r="F358" s="44">
        <f>IFERROR(__xludf.DUMMYFUNCTION("""COMPUTED_VALUE"""),1.1175E8)</f>
        <v>111750000</v>
      </c>
      <c r="G358" s="32" t="str">
        <f>IFERROR(__xludf.DUMMYFUNCTION("""COMPUTED_VALUE"""),"DEF")</f>
        <v>DEF</v>
      </c>
      <c r="H358" s="33">
        <f>IFERROR(__xludf.DUMMYFUNCTION("""COMPUTED_VALUE"""),25000.0)</f>
        <v>25000</v>
      </c>
      <c r="I358" s="32"/>
      <c r="J358" s="32"/>
      <c r="K358" s="32"/>
      <c r="L358" s="32"/>
      <c r="M358" s="32"/>
      <c r="N358" s="33">
        <f>IFERROR(__xludf.DUMMYFUNCTION("""COMPUTED_VALUE"""),25000.0)</f>
        <v>25000</v>
      </c>
      <c r="O358" s="32"/>
      <c r="P358" s="32"/>
      <c r="Q358" s="32"/>
      <c r="R358" s="32"/>
      <c r="S358" s="32"/>
      <c r="T358" s="32"/>
      <c r="U358" s="32"/>
      <c r="V358" s="32"/>
      <c r="W358" s="32"/>
      <c r="X358" s="32"/>
      <c r="Y358" s="32"/>
      <c r="Z358" s="32"/>
      <c r="AA358" s="32"/>
      <c r="AB358" s="32"/>
      <c r="AC358" s="33">
        <f>IFERROR(__xludf.DUMMYFUNCTION("""COMPUTED_VALUE"""),25000.0)</f>
        <v>25000</v>
      </c>
      <c r="AD358" s="32"/>
      <c r="AE358" s="32"/>
      <c r="AF358" s="32" t="str">
        <f>IFERROR(__xludf.DUMMYFUNCTION("""COMPUTED_VALUE"""),"+-Cannot be duplicated")</f>
        <v>+-Cannot be duplicated</v>
      </c>
      <c r="AG358" s="32" t="str">
        <f>IFERROR(__xludf.DUMMYFUNCTION("""COMPUTED_VALUE"""),"Land of Spira")</f>
        <v>Land of Spira</v>
      </c>
      <c r="AH358" s="32" t="b">
        <f>IFERROR(__xludf.DUMMYFUNCTION("""COMPUTED_VALUE"""),FALSE)</f>
        <v>0</v>
      </c>
      <c r="AI358" s="32"/>
      <c r="AJ358" s="32"/>
      <c r="AK358" s="32"/>
      <c r="AL358" s="32"/>
      <c r="AM358" s="32"/>
      <c r="AN358" s="32"/>
      <c r="AO358" s="32"/>
      <c r="AP358" s="32"/>
      <c r="AQ358" s="32"/>
      <c r="AR358" s="32"/>
      <c r="AS358" s="32"/>
      <c r="AT358" s="32"/>
      <c r="AU358" s="32"/>
      <c r="AV358" s="32"/>
      <c r="AW358" s="32"/>
      <c r="AX358" s="32"/>
    </row>
    <row r="359">
      <c r="A359" s="32" t="str">
        <f>IFERROR(__xludf.DUMMYFUNCTION("""COMPUTED_VALUE"""),"Royal Guard Pauldrons")</f>
        <v>Royal Guard Pauldrons</v>
      </c>
      <c r="B359" s="32" t="str">
        <f>IFERROR(__xludf.DUMMYFUNCTION("""COMPUTED_VALUE"""),"Shoulders")</f>
        <v>Shoulders</v>
      </c>
      <c r="C359" s="32" t="str">
        <f>IFERROR(__xludf.DUMMYFUNCTION("""COMPUTED_VALUE"""),"Quest Item")</f>
        <v>Quest Item</v>
      </c>
      <c r="D359" s="5"/>
      <c r="E359" s="40">
        <f>IFERROR(__xludf.DUMMYFUNCTION("""COMPUTED_VALUE"""),200.0)</f>
        <v>200</v>
      </c>
      <c r="F359" s="44">
        <f>IFERROR(__xludf.DUMMYFUNCTION("""COMPUTED_VALUE"""),4.485E8)</f>
        <v>448500000</v>
      </c>
      <c r="G359" s="32" t="str">
        <f>IFERROR(__xludf.DUMMYFUNCTION("""COMPUTED_VALUE"""),"DEF")</f>
        <v>DEF</v>
      </c>
      <c r="H359" s="33">
        <f>IFERROR(__xludf.DUMMYFUNCTION("""COMPUTED_VALUE"""),50000.0)</f>
        <v>50000</v>
      </c>
      <c r="I359" s="32"/>
      <c r="J359" s="32"/>
      <c r="K359" s="32"/>
      <c r="L359" s="32"/>
      <c r="M359" s="32"/>
      <c r="N359" s="33">
        <f>IFERROR(__xludf.DUMMYFUNCTION("""COMPUTED_VALUE"""),50000.0)</f>
        <v>50000</v>
      </c>
      <c r="O359" s="32"/>
      <c r="P359" s="32"/>
      <c r="Q359" s="32"/>
      <c r="R359" s="32"/>
      <c r="S359" s="32"/>
      <c r="T359" s="32"/>
      <c r="U359" s="32"/>
      <c r="V359" s="32"/>
      <c r="W359" s="32"/>
      <c r="X359" s="32"/>
      <c r="Y359" s="32"/>
      <c r="Z359" s="32"/>
      <c r="AA359" s="32"/>
      <c r="AB359" s="32"/>
      <c r="AC359" s="33">
        <f>IFERROR(__xludf.DUMMYFUNCTION("""COMPUTED_VALUE"""),50000.0)</f>
        <v>50000</v>
      </c>
      <c r="AD359" s="32"/>
      <c r="AE359" s="32"/>
      <c r="AF359" s="32" t="str">
        <f>IFERROR(__xludf.DUMMYFUNCTION("""COMPUTED_VALUE"""),"+-Cannot be duplicated")</f>
        <v>+-Cannot be duplicated</v>
      </c>
      <c r="AG359" s="32" t="str">
        <f>IFERROR(__xludf.DUMMYFUNCTION("""COMPUTED_VALUE"""),"Land of Spira")</f>
        <v>Land of Spira</v>
      </c>
      <c r="AH359" s="32" t="b">
        <f>IFERROR(__xludf.DUMMYFUNCTION("""COMPUTED_VALUE"""),FALSE)</f>
        <v>0</v>
      </c>
      <c r="AI359" s="32"/>
      <c r="AJ359" s="32"/>
      <c r="AK359" s="32"/>
      <c r="AL359" s="32"/>
      <c r="AM359" s="32"/>
      <c r="AN359" s="32"/>
      <c r="AO359" s="32"/>
      <c r="AP359" s="32"/>
      <c r="AQ359" s="32"/>
      <c r="AR359" s="32"/>
      <c r="AS359" s="32"/>
      <c r="AT359" s="32"/>
      <c r="AU359" s="32"/>
      <c r="AV359" s="32"/>
      <c r="AW359" s="32"/>
      <c r="AX359" s="32"/>
    </row>
    <row r="360">
      <c r="A360" s="32" t="str">
        <f>IFERROR(__xludf.DUMMYFUNCTION("""COMPUTED_VALUE"""),"Royal Guard Vambraces")</f>
        <v>Royal Guard Vambraces</v>
      </c>
      <c r="B360" s="32" t="str">
        <f>IFERROR(__xludf.DUMMYFUNCTION("""COMPUTED_VALUE"""),"Arms")</f>
        <v>Arms</v>
      </c>
      <c r="C360" s="32" t="str">
        <f>IFERROR(__xludf.DUMMYFUNCTION("""COMPUTED_VALUE"""),"Quest Item")</f>
        <v>Quest Item</v>
      </c>
      <c r="D360" s="5"/>
      <c r="E360" s="40">
        <f>IFERROR(__xludf.DUMMYFUNCTION("""COMPUTED_VALUE"""),200.0)</f>
        <v>200</v>
      </c>
      <c r="F360" s="44">
        <f>IFERROR(__xludf.DUMMYFUNCTION("""COMPUTED_VALUE"""),4.485E8)</f>
        <v>448500000</v>
      </c>
      <c r="G360" s="32" t="str">
        <f>IFERROR(__xludf.DUMMYFUNCTION("""COMPUTED_VALUE"""),"DEF")</f>
        <v>DEF</v>
      </c>
      <c r="H360" s="33">
        <f>IFERROR(__xludf.DUMMYFUNCTION("""COMPUTED_VALUE"""),50000.0)</f>
        <v>50000</v>
      </c>
      <c r="I360" s="32"/>
      <c r="J360" s="32"/>
      <c r="K360" s="32"/>
      <c r="L360" s="32"/>
      <c r="M360" s="32"/>
      <c r="N360" s="33">
        <f>IFERROR(__xludf.DUMMYFUNCTION("""COMPUTED_VALUE"""),50000.0)</f>
        <v>50000</v>
      </c>
      <c r="O360" s="32"/>
      <c r="P360" s="32"/>
      <c r="Q360" s="32"/>
      <c r="R360" s="32"/>
      <c r="S360" s="32"/>
      <c r="T360" s="32"/>
      <c r="U360" s="32"/>
      <c r="V360" s="32"/>
      <c r="W360" s="32"/>
      <c r="X360" s="32"/>
      <c r="Y360" s="32"/>
      <c r="Z360" s="32"/>
      <c r="AA360" s="32"/>
      <c r="AB360" s="32"/>
      <c r="AC360" s="33">
        <f>IFERROR(__xludf.DUMMYFUNCTION("""COMPUTED_VALUE"""),50000.0)</f>
        <v>50000</v>
      </c>
      <c r="AD360" s="32"/>
      <c r="AE360" s="32"/>
      <c r="AF360" s="32" t="str">
        <f>IFERROR(__xludf.DUMMYFUNCTION("""COMPUTED_VALUE"""),"+-Cannot be duplicated")</f>
        <v>+-Cannot be duplicated</v>
      </c>
      <c r="AG360" s="32" t="str">
        <f>IFERROR(__xludf.DUMMYFUNCTION("""COMPUTED_VALUE"""),"Land of Spira")</f>
        <v>Land of Spira</v>
      </c>
      <c r="AH360" s="32" t="b">
        <f>IFERROR(__xludf.DUMMYFUNCTION("""COMPUTED_VALUE"""),FALSE)</f>
        <v>0</v>
      </c>
      <c r="AI360" s="32"/>
      <c r="AJ360" s="32"/>
      <c r="AK360" s="32"/>
      <c r="AL360" s="32"/>
      <c r="AM360" s="32"/>
      <c r="AN360" s="32"/>
      <c r="AO360" s="32"/>
      <c r="AP360" s="32"/>
      <c r="AQ360" s="32"/>
      <c r="AR360" s="32"/>
      <c r="AS360" s="32"/>
      <c r="AT360" s="32"/>
      <c r="AU360" s="32"/>
      <c r="AV360" s="32"/>
      <c r="AW360" s="32"/>
      <c r="AX360" s="32"/>
    </row>
    <row r="361">
      <c r="A361" s="32" t="str">
        <f>IFERROR(__xludf.DUMMYFUNCTION("""COMPUTED_VALUE"""),"Celestian Royal Pauldrons")</f>
        <v>Celestian Royal Pauldrons</v>
      </c>
      <c r="B361" s="32" t="str">
        <f>IFERROR(__xludf.DUMMYFUNCTION("""COMPUTED_VALUE"""),"Shoulders")</f>
        <v>Shoulders</v>
      </c>
      <c r="C361" s="32" t="str">
        <f>IFERROR(__xludf.DUMMYFUNCTION("""COMPUTED_VALUE"""),"Quest Item")</f>
        <v>Quest Item</v>
      </c>
      <c r="D361" s="5"/>
      <c r="E361" s="40">
        <f>IFERROR(__xludf.DUMMYFUNCTION("""COMPUTED_VALUE"""),200.0)</f>
        <v>200</v>
      </c>
      <c r="F361" s="44">
        <f>IFERROR(__xludf.DUMMYFUNCTION("""COMPUTED_VALUE"""),3.196E9)</f>
        <v>3196000000</v>
      </c>
      <c r="G361" s="32" t="str">
        <f>IFERROR(__xludf.DUMMYFUNCTION("""COMPUTED_VALUE"""),"DEF")</f>
        <v>DEF</v>
      </c>
      <c r="H361" s="33">
        <f>IFERROR(__xludf.DUMMYFUNCTION("""COMPUTED_VALUE"""),100000.0)</f>
        <v>100000</v>
      </c>
      <c r="I361" s="32"/>
      <c r="J361" s="32"/>
      <c r="K361" s="32"/>
      <c r="L361" s="32"/>
      <c r="M361" s="32"/>
      <c r="N361" s="33">
        <f>IFERROR(__xludf.DUMMYFUNCTION("""COMPUTED_VALUE"""),100000.0)</f>
        <v>100000</v>
      </c>
      <c r="O361" s="33">
        <f>IFERROR(__xludf.DUMMYFUNCTION("""COMPUTED_VALUE"""),100000.0)</f>
        <v>100000</v>
      </c>
      <c r="P361" s="32"/>
      <c r="Q361" s="32"/>
      <c r="R361" s="32"/>
      <c r="S361" s="32"/>
      <c r="T361" s="32"/>
      <c r="U361" s="32"/>
      <c r="V361" s="32"/>
      <c r="W361" s="32"/>
      <c r="X361" s="32"/>
      <c r="Y361" s="32"/>
      <c r="Z361" s="32"/>
      <c r="AA361" s="32"/>
      <c r="AB361" s="32"/>
      <c r="AC361" s="33">
        <f>IFERROR(__xludf.DUMMYFUNCTION("""COMPUTED_VALUE"""),100000.0)</f>
        <v>100000</v>
      </c>
      <c r="AD361" s="32"/>
      <c r="AE361" s="32"/>
      <c r="AF361" s="32" t="str">
        <f>IFERROR(__xludf.DUMMYFUNCTION("""COMPUTED_VALUE"""),"++X2 Celestial Damage. +-Cannot be duplicated.")</f>
        <v>++X2 Celestial Damage. +-Cannot be duplicated.</v>
      </c>
      <c r="AG361" s="32" t="str">
        <f>IFERROR(__xludf.DUMMYFUNCTION("""COMPUTED_VALUE"""),"Land of Spira")</f>
        <v>Land of Spira</v>
      </c>
      <c r="AH361" s="32" t="b">
        <f>IFERROR(__xludf.DUMMYFUNCTION("""COMPUTED_VALUE"""),FALSE)</f>
        <v>0</v>
      </c>
      <c r="AI361" s="32"/>
      <c r="AJ361" s="32"/>
      <c r="AK361" s="32"/>
      <c r="AL361" s="32"/>
      <c r="AM361" s="32"/>
      <c r="AN361" s="32"/>
      <c r="AO361" s="32"/>
      <c r="AP361" s="32"/>
      <c r="AQ361" s="32"/>
      <c r="AR361" s="32"/>
      <c r="AS361" s="32"/>
      <c r="AT361" s="32"/>
      <c r="AU361" s="32"/>
      <c r="AV361" s="32"/>
      <c r="AW361" s="32"/>
      <c r="AX361" s="32"/>
    </row>
    <row r="362">
      <c r="A362" s="32" t="str">
        <f>IFERROR(__xludf.DUMMYFUNCTION("""COMPUTED_VALUE"""),"Celestian Royal Vambraces")</f>
        <v>Celestian Royal Vambraces</v>
      </c>
      <c r="B362" s="32" t="str">
        <f>IFERROR(__xludf.DUMMYFUNCTION("""COMPUTED_VALUE"""),"Arms")</f>
        <v>Arms</v>
      </c>
      <c r="C362" s="32" t="str">
        <f>IFERROR(__xludf.DUMMYFUNCTION("""COMPUTED_VALUE"""),"Quest Item")</f>
        <v>Quest Item</v>
      </c>
      <c r="D362" s="5"/>
      <c r="E362" s="40">
        <f>IFERROR(__xludf.DUMMYFUNCTION("""COMPUTED_VALUE"""),200.0)</f>
        <v>200</v>
      </c>
      <c r="F362" s="44">
        <f>IFERROR(__xludf.DUMMYFUNCTION("""COMPUTED_VALUE"""),3.196E9)</f>
        <v>3196000000</v>
      </c>
      <c r="G362" s="32" t="str">
        <f>IFERROR(__xludf.DUMMYFUNCTION("""COMPUTED_VALUE"""),"DEF")</f>
        <v>DEF</v>
      </c>
      <c r="H362" s="33">
        <f>IFERROR(__xludf.DUMMYFUNCTION("""COMPUTED_VALUE"""),100000.0)</f>
        <v>100000</v>
      </c>
      <c r="I362" s="32"/>
      <c r="J362" s="32"/>
      <c r="K362" s="32"/>
      <c r="L362" s="32"/>
      <c r="M362" s="32"/>
      <c r="N362" s="33">
        <f>IFERROR(__xludf.DUMMYFUNCTION("""COMPUTED_VALUE"""),100000.0)</f>
        <v>100000</v>
      </c>
      <c r="O362" s="33">
        <f>IFERROR(__xludf.DUMMYFUNCTION("""COMPUTED_VALUE"""),100000.0)</f>
        <v>100000</v>
      </c>
      <c r="P362" s="32"/>
      <c r="Q362" s="32"/>
      <c r="R362" s="32"/>
      <c r="S362" s="32"/>
      <c r="T362" s="32"/>
      <c r="U362" s="32"/>
      <c r="V362" s="32"/>
      <c r="W362" s="32"/>
      <c r="X362" s="32"/>
      <c r="Y362" s="32"/>
      <c r="Z362" s="32"/>
      <c r="AA362" s="32"/>
      <c r="AB362" s="32"/>
      <c r="AC362" s="33">
        <f>IFERROR(__xludf.DUMMYFUNCTION("""COMPUTED_VALUE"""),100000.0)</f>
        <v>100000</v>
      </c>
      <c r="AD362" s="32"/>
      <c r="AE362" s="32"/>
      <c r="AF362" s="32" t="str">
        <f>IFERROR(__xludf.DUMMYFUNCTION("""COMPUTED_VALUE"""),"++X2 Celestial Damage. +-Cannot be duplicated.")</f>
        <v>++X2 Celestial Damage. +-Cannot be duplicated.</v>
      </c>
      <c r="AG362" s="32" t="str">
        <f>IFERROR(__xludf.DUMMYFUNCTION("""COMPUTED_VALUE"""),"Land of Spira")</f>
        <v>Land of Spira</v>
      </c>
      <c r="AH362" s="32" t="b">
        <f>IFERROR(__xludf.DUMMYFUNCTION("""COMPUTED_VALUE"""),FALSE)</f>
        <v>0</v>
      </c>
      <c r="AI362" s="32"/>
      <c r="AJ362" s="32"/>
      <c r="AK362" s="32"/>
      <c r="AL362" s="32"/>
      <c r="AM362" s="32"/>
      <c r="AN362" s="32"/>
      <c r="AO362" s="32"/>
      <c r="AP362" s="32"/>
      <c r="AQ362" s="32"/>
      <c r="AR362" s="32"/>
      <c r="AS362" s="32"/>
      <c r="AT362" s="32"/>
      <c r="AU362" s="32"/>
      <c r="AV362" s="32"/>
      <c r="AW362" s="32"/>
      <c r="AX362" s="32"/>
    </row>
    <row r="363">
      <c r="A363" s="32" t="str">
        <f>IFERROR(__xludf.DUMMYFUNCTION("""COMPUTED_VALUE"""),"Royal Guard Shield")</f>
        <v>Royal Guard Shield</v>
      </c>
      <c r="B363" s="32" t="str">
        <f>IFERROR(__xludf.DUMMYFUNCTION("""COMPUTED_VALUE"""),"Hand")</f>
        <v>Hand</v>
      </c>
      <c r="C363" s="32" t="str">
        <f>IFERROR(__xludf.DUMMYFUNCTION("""COMPUTED_VALUE"""),"Quest Item")</f>
        <v>Quest Item</v>
      </c>
      <c r="D363" s="5" t="str">
        <f>IFERROR(__xludf.DUMMYFUNCTION("""COMPUTED_VALUE"""),"Towershield")</f>
        <v>Towershield</v>
      </c>
      <c r="E363" s="40">
        <f>IFERROR(__xludf.DUMMYFUNCTION("""COMPUTED_VALUE"""),200.0)</f>
        <v>200</v>
      </c>
      <c r="F363" s="44">
        <f>IFERROR(__xludf.DUMMYFUNCTION("""COMPUTED_VALUE"""),7.98E8)</f>
        <v>798000000</v>
      </c>
      <c r="G363" s="32" t="str">
        <f>IFERROR(__xludf.DUMMYFUNCTION("""COMPUTED_VALUE"""),"DEF")</f>
        <v>DEF</v>
      </c>
      <c r="H363" s="33">
        <f>IFERROR(__xludf.DUMMYFUNCTION("""COMPUTED_VALUE"""),50000.0)</f>
        <v>50000</v>
      </c>
      <c r="I363" s="32"/>
      <c r="J363" s="32"/>
      <c r="K363" s="32"/>
      <c r="L363" s="32"/>
      <c r="M363" s="32"/>
      <c r="N363" s="33">
        <f>IFERROR(__xludf.DUMMYFUNCTION("""COMPUTED_VALUE"""),50000.0)</f>
        <v>50000</v>
      </c>
      <c r="O363" s="33">
        <f>IFERROR(__xludf.DUMMYFUNCTION("""COMPUTED_VALUE"""),50000.0)</f>
        <v>50000</v>
      </c>
      <c r="P363" s="32"/>
      <c r="Q363" s="32"/>
      <c r="R363" s="32"/>
      <c r="S363" s="32"/>
      <c r="T363" s="32"/>
      <c r="U363" s="32"/>
      <c r="V363" s="32"/>
      <c r="W363" s="32"/>
      <c r="X363" s="32"/>
      <c r="Y363" s="32"/>
      <c r="Z363" s="32"/>
      <c r="AA363" s="32"/>
      <c r="AB363" s="32"/>
      <c r="AC363" s="33">
        <f>IFERROR(__xludf.DUMMYFUNCTION("""COMPUTED_VALUE"""),50000.0)</f>
        <v>50000</v>
      </c>
      <c r="AD363" s="32"/>
      <c r="AE363" s="32"/>
      <c r="AF363" s="32" t="str">
        <f>IFERROR(__xludf.DUMMYFUNCTION("""COMPUTED_VALUE"""),"++X2 Celestial Defense. +-Cannot be duplicated.")</f>
        <v>++X2 Celestial Defense. +-Cannot be duplicated.</v>
      </c>
      <c r="AG363" s="32" t="str">
        <f>IFERROR(__xludf.DUMMYFUNCTION("""COMPUTED_VALUE"""),"Land of Spira")</f>
        <v>Land of Spira</v>
      </c>
      <c r="AH363" s="32" t="b">
        <f>IFERROR(__xludf.DUMMYFUNCTION("""COMPUTED_VALUE"""),FALSE)</f>
        <v>0</v>
      </c>
      <c r="AI363" s="32"/>
      <c r="AJ363" s="32"/>
      <c r="AK363" s="32"/>
      <c r="AL363" s="32"/>
      <c r="AM363" s="32"/>
      <c r="AN363" s="32"/>
      <c r="AO363" s="32"/>
      <c r="AP363" s="32"/>
      <c r="AQ363" s="32"/>
      <c r="AR363" s="32"/>
      <c r="AS363" s="32"/>
      <c r="AT363" s="32"/>
      <c r="AU363" s="32"/>
      <c r="AV363" s="32"/>
      <c r="AW363" s="32"/>
      <c r="AX363" s="32"/>
    </row>
    <row r="364">
      <c r="A364" s="32" t="str">
        <f>IFERROR(__xludf.DUMMYFUNCTION("""COMPUTED_VALUE"""),"Guard Leggings")</f>
        <v>Guard Leggings</v>
      </c>
      <c r="B364" s="32" t="str">
        <f>IFERROR(__xludf.DUMMYFUNCTION("""COMPUTED_VALUE"""),"Legs")</f>
        <v>Legs</v>
      </c>
      <c r="C364" s="32" t="str">
        <f>IFERROR(__xludf.DUMMYFUNCTION("""COMPUTED_VALUE"""),"Quest Item")</f>
        <v>Quest Item</v>
      </c>
      <c r="D364" s="5"/>
      <c r="E364" s="40">
        <f>IFERROR(__xludf.DUMMYFUNCTION("""COMPUTED_VALUE"""),200.0)</f>
        <v>200</v>
      </c>
      <c r="F364" s="44">
        <f>IFERROR(__xludf.DUMMYFUNCTION("""COMPUTED_VALUE"""),1.1175E8)</f>
        <v>111750000</v>
      </c>
      <c r="G364" s="32" t="str">
        <f>IFERROR(__xludf.DUMMYFUNCTION("""COMPUTED_VALUE"""),"DEF")</f>
        <v>DEF</v>
      </c>
      <c r="H364" s="33">
        <f>IFERROR(__xludf.DUMMYFUNCTION("""COMPUTED_VALUE"""),25000.0)</f>
        <v>25000</v>
      </c>
      <c r="I364" s="32"/>
      <c r="J364" s="32"/>
      <c r="K364" s="32"/>
      <c r="L364" s="32"/>
      <c r="M364" s="32"/>
      <c r="N364" s="33">
        <f>IFERROR(__xludf.DUMMYFUNCTION("""COMPUTED_VALUE"""),25000.0)</f>
        <v>25000</v>
      </c>
      <c r="O364" s="32"/>
      <c r="P364" s="32"/>
      <c r="Q364" s="32"/>
      <c r="R364" s="32"/>
      <c r="S364" s="32"/>
      <c r="T364" s="32"/>
      <c r="U364" s="32"/>
      <c r="V364" s="32"/>
      <c r="W364" s="32"/>
      <c r="X364" s="32"/>
      <c r="Y364" s="32"/>
      <c r="Z364" s="32"/>
      <c r="AA364" s="32"/>
      <c r="AB364" s="32"/>
      <c r="AC364" s="33">
        <f>IFERROR(__xludf.DUMMYFUNCTION("""COMPUTED_VALUE"""),25000.0)</f>
        <v>25000</v>
      </c>
      <c r="AD364" s="32"/>
      <c r="AE364" s="32"/>
      <c r="AF364" s="32" t="str">
        <f>IFERROR(__xludf.DUMMYFUNCTION("""COMPUTED_VALUE"""),"+-Cannot be duplicated")</f>
        <v>+-Cannot be duplicated</v>
      </c>
      <c r="AG364" s="32" t="str">
        <f>IFERROR(__xludf.DUMMYFUNCTION("""COMPUTED_VALUE"""),"Land of Spira")</f>
        <v>Land of Spira</v>
      </c>
      <c r="AH364" s="32" t="b">
        <f>IFERROR(__xludf.DUMMYFUNCTION("""COMPUTED_VALUE"""),FALSE)</f>
        <v>0</v>
      </c>
      <c r="AI364" s="32"/>
      <c r="AJ364" s="32"/>
      <c r="AK364" s="32"/>
      <c r="AL364" s="32"/>
      <c r="AM364" s="32"/>
      <c r="AN364" s="32"/>
      <c r="AO364" s="32"/>
      <c r="AP364" s="32"/>
      <c r="AQ364" s="32"/>
      <c r="AR364" s="32"/>
      <c r="AS364" s="32"/>
      <c r="AT364" s="32"/>
      <c r="AU364" s="32"/>
      <c r="AV364" s="32"/>
      <c r="AW364" s="32"/>
      <c r="AX364" s="32"/>
    </row>
    <row r="365">
      <c r="A365" s="32" t="str">
        <f>IFERROR(__xludf.DUMMYFUNCTION("""COMPUTED_VALUE"""),"Guard Boots")</f>
        <v>Guard Boots</v>
      </c>
      <c r="B365" s="32" t="str">
        <f>IFERROR(__xludf.DUMMYFUNCTION("""COMPUTED_VALUE"""),"Feet")</f>
        <v>Feet</v>
      </c>
      <c r="C365" s="32" t="str">
        <f>IFERROR(__xludf.DUMMYFUNCTION("""COMPUTED_VALUE"""),"Quest Item")</f>
        <v>Quest Item</v>
      </c>
      <c r="D365" s="5"/>
      <c r="E365" s="40">
        <f>IFERROR(__xludf.DUMMYFUNCTION("""COMPUTED_VALUE"""),200.0)</f>
        <v>200</v>
      </c>
      <c r="F365" s="44">
        <f>IFERROR(__xludf.DUMMYFUNCTION("""COMPUTED_VALUE"""),1.1175E8)</f>
        <v>111750000</v>
      </c>
      <c r="G365" s="32" t="str">
        <f>IFERROR(__xludf.DUMMYFUNCTION("""COMPUTED_VALUE"""),"DEF")</f>
        <v>DEF</v>
      </c>
      <c r="H365" s="33">
        <f>IFERROR(__xludf.DUMMYFUNCTION("""COMPUTED_VALUE"""),25000.0)</f>
        <v>25000</v>
      </c>
      <c r="I365" s="32"/>
      <c r="J365" s="32"/>
      <c r="K365" s="32"/>
      <c r="L365" s="32"/>
      <c r="M365" s="32"/>
      <c r="N365" s="33">
        <f>IFERROR(__xludf.DUMMYFUNCTION("""COMPUTED_VALUE"""),25000.0)</f>
        <v>25000</v>
      </c>
      <c r="O365" s="32"/>
      <c r="P365" s="32"/>
      <c r="Q365" s="32"/>
      <c r="R365" s="32"/>
      <c r="S365" s="32"/>
      <c r="T365" s="32"/>
      <c r="U365" s="32"/>
      <c r="V365" s="32"/>
      <c r="W365" s="32"/>
      <c r="X365" s="32"/>
      <c r="Y365" s="32"/>
      <c r="Z365" s="32"/>
      <c r="AA365" s="32"/>
      <c r="AB365" s="32"/>
      <c r="AC365" s="33">
        <f>IFERROR(__xludf.DUMMYFUNCTION("""COMPUTED_VALUE"""),25000.0)</f>
        <v>25000</v>
      </c>
      <c r="AD365" s="32"/>
      <c r="AE365" s="32"/>
      <c r="AF365" s="32" t="str">
        <f>IFERROR(__xludf.DUMMYFUNCTION("""COMPUTED_VALUE"""),"+-Cannot be duplicated")</f>
        <v>+-Cannot be duplicated</v>
      </c>
      <c r="AG365" s="32" t="str">
        <f>IFERROR(__xludf.DUMMYFUNCTION("""COMPUTED_VALUE"""),"Land of Spira")</f>
        <v>Land of Spira</v>
      </c>
      <c r="AH365" s="32" t="b">
        <f>IFERROR(__xludf.DUMMYFUNCTION("""COMPUTED_VALUE"""),FALSE)</f>
        <v>0</v>
      </c>
      <c r="AI365" s="32"/>
      <c r="AJ365" s="32"/>
      <c r="AK365" s="32"/>
      <c r="AL365" s="32"/>
      <c r="AM365" s="32"/>
      <c r="AN365" s="32"/>
      <c r="AO365" s="32"/>
      <c r="AP365" s="32"/>
      <c r="AQ365" s="32"/>
      <c r="AR365" s="32"/>
      <c r="AS365" s="32"/>
      <c r="AT365" s="32"/>
      <c r="AU365" s="32"/>
      <c r="AV365" s="32"/>
      <c r="AW365" s="32"/>
      <c r="AX365" s="32"/>
    </row>
    <row r="366">
      <c r="A366" s="32" t="str">
        <f>IFERROR(__xludf.DUMMYFUNCTION("""COMPUTED_VALUE"""),"Celestian Royal Boots")</f>
        <v>Celestian Royal Boots</v>
      </c>
      <c r="B366" s="32" t="str">
        <f>IFERROR(__xludf.DUMMYFUNCTION("""COMPUTED_VALUE"""),"Feet")</f>
        <v>Feet</v>
      </c>
      <c r="C366" s="32" t="str">
        <f>IFERROR(__xludf.DUMMYFUNCTION("""COMPUTED_VALUE"""),"Quest Item")</f>
        <v>Quest Item</v>
      </c>
      <c r="D366" s="5"/>
      <c r="E366" s="40">
        <f>IFERROR(__xludf.DUMMYFUNCTION("""COMPUTED_VALUE"""),200.0)</f>
        <v>200</v>
      </c>
      <c r="F366" s="44">
        <f>IFERROR(__xludf.DUMMYFUNCTION("""COMPUTED_VALUE"""),3.196E9)</f>
        <v>3196000000</v>
      </c>
      <c r="G366" s="32" t="str">
        <f>IFERROR(__xludf.DUMMYFUNCTION("""COMPUTED_VALUE"""),"DEF")</f>
        <v>DEF</v>
      </c>
      <c r="H366" s="33">
        <f>IFERROR(__xludf.DUMMYFUNCTION("""COMPUTED_VALUE"""),100000.0)</f>
        <v>100000</v>
      </c>
      <c r="I366" s="32"/>
      <c r="J366" s="32"/>
      <c r="K366" s="32"/>
      <c r="L366" s="32"/>
      <c r="M366" s="32"/>
      <c r="N366" s="33">
        <f>IFERROR(__xludf.DUMMYFUNCTION("""COMPUTED_VALUE"""),100000.0)</f>
        <v>100000</v>
      </c>
      <c r="O366" s="33">
        <f>IFERROR(__xludf.DUMMYFUNCTION("""COMPUTED_VALUE"""),100000.0)</f>
        <v>100000</v>
      </c>
      <c r="P366" s="32"/>
      <c r="Q366" s="32"/>
      <c r="R366" s="32"/>
      <c r="S366" s="32"/>
      <c r="T366" s="32"/>
      <c r="U366" s="32"/>
      <c r="V366" s="32"/>
      <c r="W366" s="32"/>
      <c r="X366" s="32"/>
      <c r="Y366" s="32"/>
      <c r="Z366" s="32"/>
      <c r="AA366" s="32"/>
      <c r="AB366" s="32"/>
      <c r="AC366" s="33">
        <f>IFERROR(__xludf.DUMMYFUNCTION("""COMPUTED_VALUE"""),100000.0)</f>
        <v>100000</v>
      </c>
      <c r="AD366" s="32"/>
      <c r="AE366" s="32"/>
      <c r="AF366" s="32" t="str">
        <f>IFERROR(__xludf.DUMMYFUNCTION("""COMPUTED_VALUE"""),"++X6 Celestial Damage. +-Cannot be duplicated.")</f>
        <v>++X6 Celestial Damage. +-Cannot be duplicated.</v>
      </c>
      <c r="AG366" s="32" t="str">
        <f>IFERROR(__xludf.DUMMYFUNCTION("""COMPUTED_VALUE"""),"Land of Spira")</f>
        <v>Land of Spira</v>
      </c>
      <c r="AH366" s="32" t="b">
        <f>IFERROR(__xludf.DUMMYFUNCTION("""COMPUTED_VALUE"""),FALSE)</f>
        <v>0</v>
      </c>
      <c r="AI366" s="32"/>
      <c r="AJ366" s="32"/>
      <c r="AK366" s="32"/>
      <c r="AL366" s="32"/>
      <c r="AM366" s="32"/>
      <c r="AN366" s="32"/>
      <c r="AO366" s="32"/>
      <c r="AP366" s="32"/>
      <c r="AQ366" s="32"/>
      <c r="AR366" s="32"/>
      <c r="AS366" s="32"/>
      <c r="AT366" s="32"/>
      <c r="AU366" s="32"/>
      <c r="AV366" s="32"/>
      <c r="AW366" s="32"/>
      <c r="AX366" s="32"/>
    </row>
    <row r="367">
      <c r="A367" s="32" t="str">
        <f>IFERROR(__xludf.DUMMYFUNCTION("""COMPUTED_VALUE"""),"Celestian Royal Leggings")</f>
        <v>Celestian Royal Leggings</v>
      </c>
      <c r="B367" s="32" t="str">
        <f>IFERROR(__xludf.DUMMYFUNCTION("""COMPUTED_VALUE"""),"Legs")</f>
        <v>Legs</v>
      </c>
      <c r="C367" s="32" t="str">
        <f>IFERROR(__xludf.DUMMYFUNCTION("""COMPUTED_VALUE"""),"Quest Item")</f>
        <v>Quest Item</v>
      </c>
      <c r="D367" s="5"/>
      <c r="E367" s="40">
        <f>IFERROR(__xludf.DUMMYFUNCTION("""COMPUTED_VALUE"""),200.0)</f>
        <v>200</v>
      </c>
      <c r="F367" s="44">
        <f>IFERROR(__xludf.DUMMYFUNCTION("""COMPUTED_VALUE"""),3.196E9)</f>
        <v>3196000000</v>
      </c>
      <c r="G367" s="32" t="str">
        <f>IFERROR(__xludf.DUMMYFUNCTION("""COMPUTED_VALUE"""),"DEF")</f>
        <v>DEF</v>
      </c>
      <c r="H367" s="33">
        <f>IFERROR(__xludf.DUMMYFUNCTION("""COMPUTED_VALUE"""),100000.0)</f>
        <v>100000</v>
      </c>
      <c r="I367" s="32"/>
      <c r="J367" s="32"/>
      <c r="K367" s="32"/>
      <c r="L367" s="32"/>
      <c r="M367" s="32"/>
      <c r="N367" s="33">
        <f>IFERROR(__xludf.DUMMYFUNCTION("""COMPUTED_VALUE"""),100000.0)</f>
        <v>100000</v>
      </c>
      <c r="O367" s="33">
        <f>IFERROR(__xludf.DUMMYFUNCTION("""COMPUTED_VALUE"""),100000.0)</f>
        <v>100000</v>
      </c>
      <c r="P367" s="32"/>
      <c r="Q367" s="32"/>
      <c r="R367" s="32"/>
      <c r="S367" s="32"/>
      <c r="T367" s="32"/>
      <c r="U367" s="32"/>
      <c r="V367" s="32"/>
      <c r="W367" s="32"/>
      <c r="X367" s="32"/>
      <c r="Y367" s="32"/>
      <c r="Z367" s="32"/>
      <c r="AA367" s="32"/>
      <c r="AB367" s="32"/>
      <c r="AC367" s="33">
        <f>IFERROR(__xludf.DUMMYFUNCTION("""COMPUTED_VALUE"""),100000.0)</f>
        <v>100000</v>
      </c>
      <c r="AD367" s="32"/>
      <c r="AE367" s="32"/>
      <c r="AF367" s="32" t="str">
        <f>IFERROR(__xludf.DUMMYFUNCTION("""COMPUTED_VALUE"""),"++X6 Celestial Damage. +-Cannot be duplicated.")</f>
        <v>++X6 Celestial Damage. +-Cannot be duplicated.</v>
      </c>
      <c r="AG367" s="32" t="str">
        <f>IFERROR(__xludf.DUMMYFUNCTION("""COMPUTED_VALUE"""),"Land of Spira")</f>
        <v>Land of Spira</v>
      </c>
      <c r="AH367" s="32" t="b">
        <f>IFERROR(__xludf.DUMMYFUNCTION("""COMPUTED_VALUE"""),FALSE)</f>
        <v>0</v>
      </c>
      <c r="AI367" s="32"/>
      <c r="AJ367" s="32"/>
      <c r="AK367" s="32"/>
      <c r="AL367" s="32"/>
      <c r="AM367" s="32"/>
      <c r="AN367" s="32"/>
      <c r="AO367" s="32"/>
      <c r="AP367" s="32"/>
      <c r="AQ367" s="32"/>
      <c r="AR367" s="32"/>
      <c r="AS367" s="32"/>
      <c r="AT367" s="32"/>
      <c r="AU367" s="32"/>
      <c r="AV367" s="32"/>
      <c r="AW367" s="32"/>
      <c r="AX367" s="32"/>
    </row>
    <row r="368">
      <c r="A368" s="32" t="str">
        <f>IFERROR(__xludf.DUMMYFUNCTION("""COMPUTED_VALUE"""),"Celestian Royal Helmet")</f>
        <v>Celestian Royal Helmet</v>
      </c>
      <c r="B368" s="32" t="str">
        <f>IFERROR(__xludf.DUMMYFUNCTION("""COMPUTED_VALUE"""),"Head")</f>
        <v>Head</v>
      </c>
      <c r="C368" s="32" t="str">
        <f>IFERROR(__xludf.DUMMYFUNCTION("""COMPUTED_VALUE"""),"Quest Item")</f>
        <v>Quest Item</v>
      </c>
      <c r="D368" s="5"/>
      <c r="E368" s="40">
        <f>IFERROR(__xludf.DUMMYFUNCTION("""COMPUTED_VALUE"""),200.0)</f>
        <v>200</v>
      </c>
      <c r="F368" s="44">
        <f>IFERROR(__xludf.DUMMYFUNCTION("""COMPUTED_VALUE"""),3.196E9)</f>
        <v>3196000000</v>
      </c>
      <c r="G368" s="32" t="str">
        <f>IFERROR(__xludf.DUMMYFUNCTION("""COMPUTED_VALUE"""),"DEF")</f>
        <v>DEF</v>
      </c>
      <c r="H368" s="33">
        <f>IFERROR(__xludf.DUMMYFUNCTION("""COMPUTED_VALUE"""),100000.0)</f>
        <v>100000</v>
      </c>
      <c r="I368" s="32"/>
      <c r="J368" s="32"/>
      <c r="K368" s="32"/>
      <c r="L368" s="32"/>
      <c r="M368" s="32"/>
      <c r="N368" s="33">
        <f>IFERROR(__xludf.DUMMYFUNCTION("""COMPUTED_VALUE"""),100000.0)</f>
        <v>100000</v>
      </c>
      <c r="O368" s="33">
        <f>IFERROR(__xludf.DUMMYFUNCTION("""COMPUTED_VALUE"""),100000.0)</f>
        <v>100000</v>
      </c>
      <c r="P368" s="32"/>
      <c r="Q368" s="32"/>
      <c r="R368" s="32"/>
      <c r="S368" s="32"/>
      <c r="T368" s="32"/>
      <c r="U368" s="32"/>
      <c r="V368" s="32"/>
      <c r="W368" s="32"/>
      <c r="X368" s="32"/>
      <c r="Y368" s="32"/>
      <c r="Z368" s="32"/>
      <c r="AA368" s="32"/>
      <c r="AB368" s="32"/>
      <c r="AC368" s="33">
        <f>IFERROR(__xludf.DUMMYFUNCTION("""COMPUTED_VALUE"""),100000.0)</f>
        <v>100000</v>
      </c>
      <c r="AD368" s="32"/>
      <c r="AE368" s="32"/>
      <c r="AF368" s="32" t="str">
        <f>IFERROR(__xludf.DUMMYFUNCTION("""COMPUTED_VALUE"""),"++X6 Celestial Damage. +-Cannot be duplicated.")</f>
        <v>++X6 Celestial Damage. +-Cannot be duplicated.</v>
      </c>
      <c r="AG368" s="32" t="str">
        <f>IFERROR(__xludf.DUMMYFUNCTION("""COMPUTED_VALUE"""),"Land of Spira")</f>
        <v>Land of Spira</v>
      </c>
      <c r="AH368" s="32" t="b">
        <f>IFERROR(__xludf.DUMMYFUNCTION("""COMPUTED_VALUE"""),FALSE)</f>
        <v>0</v>
      </c>
      <c r="AI368" s="32"/>
      <c r="AJ368" s="32"/>
      <c r="AK368" s="32"/>
      <c r="AL368" s="32"/>
      <c r="AM368" s="32"/>
      <c r="AN368" s="32"/>
      <c r="AO368" s="32"/>
      <c r="AP368" s="32"/>
      <c r="AQ368" s="32"/>
      <c r="AR368" s="32"/>
      <c r="AS368" s="32"/>
      <c r="AT368" s="32"/>
      <c r="AU368" s="32"/>
      <c r="AV368" s="32"/>
      <c r="AW368" s="32"/>
      <c r="AX368" s="32"/>
    </row>
    <row r="369">
      <c r="A369" s="32" t="str">
        <f>IFERROR(__xludf.DUMMYFUNCTION("""COMPUTED_VALUE"""),"Celestian Royal Chestplate")</f>
        <v>Celestian Royal Chestplate</v>
      </c>
      <c r="B369" s="32" t="str">
        <f>IFERROR(__xludf.DUMMYFUNCTION("""COMPUTED_VALUE"""),"Torso")</f>
        <v>Torso</v>
      </c>
      <c r="C369" s="32" t="str">
        <f>IFERROR(__xludf.DUMMYFUNCTION("""COMPUTED_VALUE"""),"Quest Item")</f>
        <v>Quest Item</v>
      </c>
      <c r="D369" s="5"/>
      <c r="E369" s="40">
        <f>IFERROR(__xludf.DUMMYFUNCTION("""COMPUTED_VALUE"""),200.0)</f>
        <v>200</v>
      </c>
      <c r="F369" s="44">
        <f>IFERROR(__xludf.DUMMYFUNCTION("""COMPUTED_VALUE"""),3.196E9)</f>
        <v>3196000000</v>
      </c>
      <c r="G369" s="32" t="str">
        <f>IFERROR(__xludf.DUMMYFUNCTION("""COMPUTED_VALUE"""),"DEF")</f>
        <v>DEF</v>
      </c>
      <c r="H369" s="33">
        <f>IFERROR(__xludf.DUMMYFUNCTION("""COMPUTED_VALUE"""),100000.0)</f>
        <v>100000</v>
      </c>
      <c r="I369" s="32"/>
      <c r="J369" s="32"/>
      <c r="K369" s="32"/>
      <c r="L369" s="32"/>
      <c r="M369" s="32"/>
      <c r="N369" s="33">
        <f>IFERROR(__xludf.DUMMYFUNCTION("""COMPUTED_VALUE"""),100000.0)</f>
        <v>100000</v>
      </c>
      <c r="O369" s="33">
        <f>IFERROR(__xludf.DUMMYFUNCTION("""COMPUTED_VALUE"""),100000.0)</f>
        <v>100000</v>
      </c>
      <c r="P369" s="32"/>
      <c r="Q369" s="32"/>
      <c r="R369" s="32"/>
      <c r="S369" s="32"/>
      <c r="T369" s="32"/>
      <c r="U369" s="32"/>
      <c r="V369" s="32"/>
      <c r="W369" s="32"/>
      <c r="X369" s="32"/>
      <c r="Y369" s="32"/>
      <c r="Z369" s="32"/>
      <c r="AA369" s="32"/>
      <c r="AB369" s="32"/>
      <c r="AC369" s="33">
        <f>IFERROR(__xludf.DUMMYFUNCTION("""COMPUTED_VALUE"""),100000.0)</f>
        <v>100000</v>
      </c>
      <c r="AD369" s="32"/>
      <c r="AE369" s="32"/>
      <c r="AF369" s="32" t="str">
        <f>IFERROR(__xludf.DUMMYFUNCTION("""COMPUTED_VALUE"""),"++X6 Celestial Damage. +-Cannot be duplicated.")</f>
        <v>++X6 Celestial Damage. +-Cannot be duplicated.</v>
      </c>
      <c r="AG369" s="32" t="str">
        <f>IFERROR(__xludf.DUMMYFUNCTION("""COMPUTED_VALUE"""),"Land of Spira")</f>
        <v>Land of Spira</v>
      </c>
      <c r="AH369" s="32" t="b">
        <f>IFERROR(__xludf.DUMMYFUNCTION("""COMPUTED_VALUE"""),FALSE)</f>
        <v>0</v>
      </c>
      <c r="AI369" s="32"/>
      <c r="AJ369" s="32"/>
      <c r="AK369" s="32"/>
      <c r="AL369" s="32"/>
      <c r="AM369" s="32"/>
      <c r="AN369" s="32"/>
      <c r="AO369" s="32"/>
      <c r="AP369" s="32"/>
      <c r="AQ369" s="32"/>
      <c r="AR369" s="32"/>
      <c r="AS369" s="32"/>
      <c r="AT369" s="32"/>
      <c r="AU369" s="32"/>
      <c r="AV369" s="32"/>
      <c r="AW369" s="32"/>
      <c r="AX369" s="32"/>
    </row>
    <row r="370">
      <c r="A370" s="32" t="str">
        <f>IFERROR(__xludf.DUMMYFUNCTION("""COMPUTED_VALUE"""),"Guard Chestplate")</f>
        <v>Guard Chestplate</v>
      </c>
      <c r="B370" s="32" t="str">
        <f>IFERROR(__xludf.DUMMYFUNCTION("""COMPUTED_VALUE"""),"Torso")</f>
        <v>Torso</v>
      </c>
      <c r="C370" s="32" t="str">
        <f>IFERROR(__xludf.DUMMYFUNCTION("""COMPUTED_VALUE"""),"Quest Item")</f>
        <v>Quest Item</v>
      </c>
      <c r="D370" s="5"/>
      <c r="E370" s="40">
        <f>IFERROR(__xludf.DUMMYFUNCTION("""COMPUTED_VALUE"""),200.0)</f>
        <v>200</v>
      </c>
      <c r="F370" s="44">
        <f>IFERROR(__xludf.DUMMYFUNCTION("""COMPUTED_VALUE"""),1.1175E8)</f>
        <v>111750000</v>
      </c>
      <c r="G370" s="32" t="str">
        <f>IFERROR(__xludf.DUMMYFUNCTION("""COMPUTED_VALUE"""),"DEF")</f>
        <v>DEF</v>
      </c>
      <c r="H370" s="33">
        <f>IFERROR(__xludf.DUMMYFUNCTION("""COMPUTED_VALUE"""),25000.0)</f>
        <v>25000</v>
      </c>
      <c r="I370" s="32"/>
      <c r="J370" s="32"/>
      <c r="K370" s="32"/>
      <c r="L370" s="32"/>
      <c r="M370" s="32"/>
      <c r="N370" s="33">
        <f>IFERROR(__xludf.DUMMYFUNCTION("""COMPUTED_VALUE"""),25000.0)</f>
        <v>25000</v>
      </c>
      <c r="O370" s="32"/>
      <c r="P370" s="32"/>
      <c r="Q370" s="32"/>
      <c r="R370" s="32"/>
      <c r="S370" s="32"/>
      <c r="T370" s="32"/>
      <c r="U370" s="32"/>
      <c r="V370" s="32"/>
      <c r="W370" s="32"/>
      <c r="X370" s="32"/>
      <c r="Y370" s="32"/>
      <c r="Z370" s="32"/>
      <c r="AA370" s="32"/>
      <c r="AB370" s="32"/>
      <c r="AC370" s="33">
        <f>IFERROR(__xludf.DUMMYFUNCTION("""COMPUTED_VALUE"""),25000.0)</f>
        <v>25000</v>
      </c>
      <c r="AD370" s="32"/>
      <c r="AE370" s="32"/>
      <c r="AF370" s="32" t="str">
        <f>IFERROR(__xludf.DUMMYFUNCTION("""COMPUTED_VALUE"""),"+-Cannot be duplicated.")</f>
        <v>+-Cannot be duplicated.</v>
      </c>
      <c r="AG370" s="32" t="str">
        <f>IFERROR(__xludf.DUMMYFUNCTION("""COMPUTED_VALUE"""),"Land of Spira")</f>
        <v>Land of Spira</v>
      </c>
      <c r="AH370" s="32" t="b">
        <f>IFERROR(__xludf.DUMMYFUNCTION("""COMPUTED_VALUE"""),FALSE)</f>
        <v>0</v>
      </c>
      <c r="AI370" s="32"/>
      <c r="AJ370" s="32"/>
      <c r="AK370" s="32"/>
      <c r="AL370" s="32"/>
      <c r="AM370" s="32"/>
      <c r="AN370" s="32"/>
      <c r="AO370" s="32"/>
      <c r="AP370" s="32"/>
      <c r="AQ370" s="32"/>
      <c r="AR370" s="32"/>
      <c r="AS370" s="32"/>
      <c r="AT370" s="32"/>
      <c r="AU370" s="32"/>
      <c r="AV370" s="32"/>
      <c r="AW370" s="32"/>
      <c r="AX370" s="32"/>
    </row>
    <row r="371">
      <c r="A371" s="32" t="str">
        <f>IFERROR(__xludf.DUMMYFUNCTION("""COMPUTED_VALUE"""),"Revolver")</f>
        <v>Revolver</v>
      </c>
      <c r="B371" s="32" t="str">
        <f>IFERROR(__xludf.DUMMYFUNCTION("""COMPUTED_VALUE"""),"Hand")</f>
        <v>Hand</v>
      </c>
      <c r="C371" s="32"/>
      <c r="D371" s="5" t="str">
        <f>IFERROR(__xludf.DUMMYFUNCTION("""COMPUTED_VALUE"""),"Firearm")</f>
        <v>Firearm</v>
      </c>
      <c r="E371" s="40">
        <f>IFERROR(__xludf.DUMMYFUNCTION("""COMPUTED_VALUE"""),200.0)</f>
        <v>200</v>
      </c>
      <c r="F371" s="44">
        <f>IFERROR(__xludf.DUMMYFUNCTION("""COMPUTED_VALUE"""),1900000.0)</f>
        <v>1900000</v>
      </c>
      <c r="G371" s="32" t="str">
        <f>IFERROR(__xludf.DUMMYFUNCTION("""COMPUTED_VALUE"""),"DMG")</f>
        <v>DMG</v>
      </c>
      <c r="H371" s="33">
        <f>IFERROR(__xludf.DUMMYFUNCTION("""COMPUTED_VALUE"""),5000.0)</f>
        <v>5000</v>
      </c>
      <c r="I371" s="32"/>
      <c r="J371" s="32"/>
      <c r="K371" s="32"/>
      <c r="L371" s="32"/>
      <c r="M371" s="32"/>
      <c r="N371" s="32"/>
      <c r="O371" s="32"/>
      <c r="P371" s="32"/>
      <c r="Q371" s="32"/>
      <c r="R371" s="32"/>
      <c r="S371" s="32"/>
      <c r="T371" s="32"/>
      <c r="U371" s="32"/>
      <c r="V371" s="32"/>
      <c r="W371" s="32"/>
      <c r="X371" s="32"/>
      <c r="Y371" s="32">
        <f>IFERROR(__xludf.DUMMYFUNCTION("""COMPUTED_VALUE"""),5000.0)</f>
        <v>5000</v>
      </c>
      <c r="Z371" s="32"/>
      <c r="AA371" s="32"/>
      <c r="AB371" s="32"/>
      <c r="AC371" s="32"/>
      <c r="AD371" s="32"/>
      <c r="AE371" s="32"/>
      <c r="AF371" s="32"/>
      <c r="AG371" s="32" t="str">
        <f>IFERROR(__xludf.DUMMYFUNCTION("""COMPUTED_VALUE"""),"Land of Spira")</f>
        <v>Land of Spira</v>
      </c>
      <c r="AH371" s="32" t="b">
        <f>IFERROR(__xludf.DUMMYFUNCTION("""COMPUTED_VALUE"""),FALSE)</f>
        <v>0</v>
      </c>
      <c r="AI371" s="32"/>
      <c r="AJ371" s="32"/>
      <c r="AK371" s="32"/>
      <c r="AL371" s="32"/>
      <c r="AM371" s="32"/>
      <c r="AN371" s="32"/>
      <c r="AO371" s="32"/>
      <c r="AP371" s="32"/>
      <c r="AQ371" s="32"/>
      <c r="AR371" s="32"/>
      <c r="AS371" s="32"/>
      <c r="AT371" s="32"/>
      <c r="AU371" s="32"/>
      <c r="AV371" s="32"/>
      <c r="AW371" s="32"/>
      <c r="AX371" s="32"/>
    </row>
    <row r="372">
      <c r="A372" s="32" t="str">
        <f>IFERROR(__xludf.DUMMYFUNCTION("""COMPUTED_VALUE"""),"Musket")</f>
        <v>Musket</v>
      </c>
      <c r="B372" s="32" t="str">
        <f>IFERROR(__xludf.DUMMYFUNCTION("""COMPUTED_VALUE"""),"Hand")</f>
        <v>Hand</v>
      </c>
      <c r="C372" s="32"/>
      <c r="D372" s="5" t="str">
        <f>IFERROR(__xludf.DUMMYFUNCTION("""COMPUTED_VALUE"""),"Firearm")</f>
        <v>Firearm</v>
      </c>
      <c r="E372" s="40">
        <f>IFERROR(__xludf.DUMMYFUNCTION("""COMPUTED_VALUE"""),400.0)</f>
        <v>400</v>
      </c>
      <c r="F372" s="44">
        <f>IFERROR(__xludf.DUMMYFUNCTION("""COMPUTED_VALUE"""),7800000.0)</f>
        <v>7800000</v>
      </c>
      <c r="G372" s="32" t="str">
        <f>IFERROR(__xludf.DUMMYFUNCTION("""COMPUTED_VALUE"""),"DMG")</f>
        <v>DMG</v>
      </c>
      <c r="H372" s="33">
        <f>IFERROR(__xludf.DUMMYFUNCTION("""COMPUTED_VALUE"""),10000.0)</f>
        <v>10000</v>
      </c>
      <c r="I372" s="32"/>
      <c r="J372" s="32"/>
      <c r="K372" s="32"/>
      <c r="L372" s="32"/>
      <c r="M372" s="32"/>
      <c r="N372" s="32"/>
      <c r="O372" s="32"/>
      <c r="P372" s="32"/>
      <c r="Q372" s="32"/>
      <c r="R372" s="32"/>
      <c r="S372" s="32"/>
      <c r="T372" s="32"/>
      <c r="U372" s="32"/>
      <c r="V372" s="32"/>
      <c r="W372" s="32"/>
      <c r="X372" s="32"/>
      <c r="Y372" s="33">
        <f>IFERROR(__xludf.DUMMYFUNCTION("""COMPUTED_VALUE"""),10000.0)</f>
        <v>10000</v>
      </c>
      <c r="Z372" s="32"/>
      <c r="AA372" s="32"/>
      <c r="AB372" s="32"/>
      <c r="AC372" s="32"/>
      <c r="AD372" s="32"/>
      <c r="AE372" s="32"/>
      <c r="AF372" s="32"/>
      <c r="AG372" s="32" t="str">
        <f>IFERROR(__xludf.DUMMYFUNCTION("""COMPUTED_VALUE"""),"Land of Spira")</f>
        <v>Land of Spira</v>
      </c>
      <c r="AH372" s="32" t="b">
        <f>IFERROR(__xludf.DUMMYFUNCTION("""COMPUTED_VALUE"""),FALSE)</f>
        <v>0</v>
      </c>
      <c r="AI372" s="32"/>
      <c r="AJ372" s="32"/>
      <c r="AK372" s="32"/>
      <c r="AL372" s="32"/>
      <c r="AM372" s="32"/>
      <c r="AN372" s="32"/>
      <c r="AO372" s="32"/>
      <c r="AP372" s="32"/>
      <c r="AQ372" s="32"/>
      <c r="AR372" s="32"/>
      <c r="AS372" s="32"/>
      <c r="AT372" s="32"/>
      <c r="AU372" s="32"/>
      <c r="AV372" s="32"/>
      <c r="AW372" s="32"/>
      <c r="AX372" s="32"/>
    </row>
    <row r="373">
      <c r="A373" s="32" t="str">
        <f>IFERROR(__xludf.DUMMYFUNCTION("""COMPUTED_VALUE"""),"Lazer Infused Railgun")</f>
        <v>Lazer Infused Railgun</v>
      </c>
      <c r="B373" s="32" t="str">
        <f>IFERROR(__xludf.DUMMYFUNCTION("""COMPUTED_VALUE"""),"Hand")</f>
        <v>Hand</v>
      </c>
      <c r="C373" s="32"/>
      <c r="D373" s="5" t="str">
        <f>IFERROR(__xludf.DUMMYFUNCTION("""COMPUTED_VALUE"""),"Firearm")</f>
        <v>Firearm</v>
      </c>
      <c r="E373" s="40">
        <f>IFERROR(__xludf.DUMMYFUNCTION("""COMPUTED_VALUE"""),1600.0)</f>
        <v>1600</v>
      </c>
      <c r="F373" s="44">
        <f>IFERROR(__xludf.DUMMYFUNCTION("""COMPUTED_VALUE"""),1.272E8)</f>
        <v>127200000</v>
      </c>
      <c r="G373" s="32" t="str">
        <f>IFERROR(__xludf.DUMMYFUNCTION("""COMPUTED_VALUE"""),"DMG")</f>
        <v>DMG</v>
      </c>
      <c r="H373" s="33">
        <f>IFERROR(__xludf.DUMMYFUNCTION("""COMPUTED_VALUE"""),40000.0)</f>
        <v>40000</v>
      </c>
      <c r="I373" s="32"/>
      <c r="J373" s="32"/>
      <c r="K373" s="32"/>
      <c r="L373" s="32"/>
      <c r="M373" s="32"/>
      <c r="N373" s="32"/>
      <c r="O373" s="32"/>
      <c r="P373" s="32"/>
      <c r="Q373" s="32"/>
      <c r="R373" s="32"/>
      <c r="S373" s="32"/>
      <c r="T373" s="32"/>
      <c r="U373" s="32"/>
      <c r="V373" s="32"/>
      <c r="W373" s="32"/>
      <c r="X373" s="32"/>
      <c r="Y373" s="33">
        <f>IFERROR(__xludf.DUMMYFUNCTION("""COMPUTED_VALUE"""),40000.0)</f>
        <v>40000</v>
      </c>
      <c r="Z373" s="32"/>
      <c r="AA373" s="32"/>
      <c r="AB373" s="32"/>
      <c r="AC373" s="32"/>
      <c r="AD373" s="32"/>
      <c r="AE373" s="32"/>
      <c r="AF373" s="32" t="str">
        <f>IFERROR(__xludf.DUMMYFUNCTION("""COMPUTED_VALUE"""),"++Damages all enemies, Cannot Avoid. ++Ignores defense, ++Does not need ammunition. +-Cannot be forged. ")</f>
        <v>++Damages all enemies, Cannot Avoid. ++Ignores defense, ++Does not need ammunition. +-Cannot be forged. </v>
      </c>
      <c r="AG373" s="32" t="str">
        <f>IFERROR(__xludf.DUMMYFUNCTION("""COMPUTED_VALUE"""),"Land of Spira")</f>
        <v>Land of Spira</v>
      </c>
      <c r="AH373" s="32" t="b">
        <f>IFERROR(__xludf.DUMMYFUNCTION("""COMPUTED_VALUE"""),FALSE)</f>
        <v>0</v>
      </c>
      <c r="AI373" s="32"/>
      <c r="AJ373" s="32"/>
      <c r="AK373" s="32"/>
      <c r="AL373" s="32"/>
      <c r="AM373" s="32"/>
      <c r="AN373" s="32"/>
      <c r="AO373" s="32"/>
      <c r="AP373" s="32"/>
      <c r="AQ373" s="32"/>
      <c r="AR373" s="32"/>
      <c r="AS373" s="32"/>
      <c r="AT373" s="32"/>
      <c r="AU373" s="32"/>
      <c r="AV373" s="32"/>
      <c r="AW373" s="32"/>
      <c r="AX373" s="32"/>
    </row>
    <row r="374">
      <c r="A374" s="32" t="str">
        <f>IFERROR(__xludf.DUMMYFUNCTION("""COMPUTED_VALUE"""),"Minigun")</f>
        <v>Minigun</v>
      </c>
      <c r="B374" s="32" t="str">
        <f>IFERROR(__xludf.DUMMYFUNCTION("""COMPUTED_VALUE"""),"Hand")</f>
        <v>Hand</v>
      </c>
      <c r="C374" s="32"/>
      <c r="D374" s="5" t="str">
        <f>IFERROR(__xludf.DUMMYFUNCTION("""COMPUTED_VALUE"""),"Firearm")</f>
        <v>Firearm</v>
      </c>
      <c r="E374" s="40">
        <f>IFERROR(__xludf.DUMMYFUNCTION("""COMPUTED_VALUE"""),1200.0)</f>
        <v>1200</v>
      </c>
      <c r="F374" s="44">
        <f>IFERROR(__xludf.DUMMYFUNCTION("""COMPUTED_VALUE"""),7.14E7)</f>
        <v>71400000</v>
      </c>
      <c r="G374" s="32" t="str">
        <f>IFERROR(__xludf.DUMMYFUNCTION("""COMPUTED_VALUE"""),"DMG")</f>
        <v>DMG</v>
      </c>
      <c r="H374" s="33">
        <f>IFERROR(__xludf.DUMMYFUNCTION("""COMPUTED_VALUE"""),30000.0)</f>
        <v>30000</v>
      </c>
      <c r="I374" s="32"/>
      <c r="J374" s="32"/>
      <c r="K374" s="32"/>
      <c r="L374" s="32"/>
      <c r="M374" s="32"/>
      <c r="N374" s="32"/>
      <c r="O374" s="32"/>
      <c r="P374" s="32"/>
      <c r="Q374" s="32"/>
      <c r="R374" s="32"/>
      <c r="S374" s="32"/>
      <c r="T374" s="32"/>
      <c r="U374" s="32"/>
      <c r="V374" s="32"/>
      <c r="W374" s="32"/>
      <c r="X374" s="32"/>
      <c r="Y374" s="33">
        <f>IFERROR(__xludf.DUMMYFUNCTION("""COMPUTED_VALUE"""),30000.0)</f>
        <v>30000</v>
      </c>
      <c r="Z374" s="32"/>
      <c r="AA374" s="32"/>
      <c r="AB374" s="32"/>
      <c r="AC374" s="32"/>
      <c r="AD374" s="32"/>
      <c r="AE374" s="32"/>
      <c r="AF374" s="32" t="str">
        <f>IFERROR(__xludf.DUMMYFUNCTION("""COMPUTED_VALUE"""),"++Damages all enemies, Cannot Avoid, Roll a d100 the turn you use this weapon to see how many bullets it shoots.")</f>
        <v>++Damages all enemies, Cannot Avoid, Roll a d100 the turn you use this weapon to see how many bullets it shoots.</v>
      </c>
      <c r="AG374" s="32" t="str">
        <f>IFERROR(__xludf.DUMMYFUNCTION("""COMPUTED_VALUE"""),"Land of Spira")</f>
        <v>Land of Spira</v>
      </c>
      <c r="AH374" s="32" t="b">
        <f>IFERROR(__xludf.DUMMYFUNCTION("""COMPUTED_VALUE"""),FALSE)</f>
        <v>0</v>
      </c>
      <c r="AI374" s="32"/>
      <c r="AJ374" s="32"/>
      <c r="AK374" s="32"/>
      <c r="AL374" s="32"/>
      <c r="AM374" s="32"/>
      <c r="AN374" s="32"/>
      <c r="AO374" s="32"/>
      <c r="AP374" s="32"/>
      <c r="AQ374" s="32"/>
      <c r="AR374" s="32"/>
      <c r="AS374" s="32"/>
      <c r="AT374" s="32"/>
      <c r="AU374" s="32"/>
      <c r="AV374" s="32"/>
      <c r="AW374" s="32"/>
      <c r="AX374" s="32"/>
    </row>
    <row r="375">
      <c r="A375" s="32" t="str">
        <f>IFERROR(__xludf.DUMMYFUNCTION("""COMPUTED_VALUE"""),"Seahorse’s Ring")</f>
        <v>Seahorse’s Ring</v>
      </c>
      <c r="B375" s="32" t="str">
        <f>IFERROR(__xludf.DUMMYFUNCTION("""COMPUTED_VALUE"""),"Ring")</f>
        <v>Ring</v>
      </c>
      <c r="C375" s="32"/>
      <c r="D375" s="5"/>
      <c r="E375" s="40">
        <f>IFERROR(__xludf.DUMMYFUNCTION("""COMPUTED_VALUE"""),20.0)</f>
        <v>20</v>
      </c>
      <c r="F375" s="44">
        <f>IFERROR(__xludf.DUMMYFUNCTION("""COMPUTED_VALUE"""),10000.0)</f>
        <v>10000</v>
      </c>
      <c r="G375" s="32"/>
      <c r="H375" s="32"/>
      <c r="I375" s="32"/>
      <c r="J375" s="32"/>
      <c r="K375" s="32"/>
      <c r="L375" s="32"/>
      <c r="M375" s="32"/>
      <c r="N375" s="32"/>
      <c r="O375" s="32"/>
      <c r="P375" s="32"/>
      <c r="Q375" s="32"/>
      <c r="R375" s="32"/>
      <c r="S375" s="32">
        <f>IFERROR(__xludf.DUMMYFUNCTION("""COMPUTED_VALUE"""),1000.0)</f>
        <v>1000</v>
      </c>
      <c r="T375" s="32"/>
      <c r="U375" s="32"/>
      <c r="V375" s="32"/>
      <c r="W375" s="32"/>
      <c r="X375" s="32"/>
      <c r="Y375" s="32"/>
      <c r="Z375" s="32"/>
      <c r="AA375" s="32"/>
      <c r="AB375" s="32"/>
      <c r="AC375" s="32"/>
      <c r="AD375" s="32"/>
      <c r="AE375" s="32"/>
      <c r="AF375" s="32"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32" t="str">
        <f>IFERROR(__xludf.DUMMYFUNCTION("""COMPUTED_VALUE"""),"Land of Spira")</f>
        <v>Land of Spira</v>
      </c>
      <c r="AH375" s="32" t="b">
        <f>IFERROR(__xludf.DUMMYFUNCTION("""COMPUTED_VALUE"""),FALSE)</f>
        <v>0</v>
      </c>
      <c r="AI375" s="32"/>
      <c r="AJ375" s="32"/>
      <c r="AK375" s="32"/>
      <c r="AL375" s="32"/>
      <c r="AM375" s="32"/>
      <c r="AN375" s="32"/>
      <c r="AO375" s="32"/>
      <c r="AP375" s="32"/>
      <c r="AQ375" s="32"/>
      <c r="AR375" s="32"/>
      <c r="AS375" s="32"/>
      <c r="AT375" s="32"/>
      <c r="AU375" s="32"/>
      <c r="AV375" s="32"/>
      <c r="AW375" s="32"/>
      <c r="AX375" s="32"/>
    </row>
    <row r="376">
      <c r="A376" s="32" t="str">
        <f>IFERROR(__xludf.DUMMYFUNCTION("""COMPUTED_VALUE"""),"Bamboo Vambraces")</f>
        <v>Bamboo Vambraces</v>
      </c>
      <c r="B376" s="32" t="str">
        <f>IFERROR(__xludf.DUMMYFUNCTION("""COMPUTED_VALUE"""),"Arms")</f>
        <v>Arms</v>
      </c>
      <c r="C376" s="32"/>
      <c r="D376" s="5"/>
      <c r="E376" s="40">
        <f>IFERROR(__xludf.DUMMYFUNCTION("""COMPUTED_VALUE"""),40.0)</f>
        <v>40</v>
      </c>
      <c r="F376" s="44">
        <f>IFERROR(__xludf.DUMMYFUNCTION("""COMPUTED_VALUE"""),60000.0)</f>
        <v>60000</v>
      </c>
      <c r="G376" s="32" t="str">
        <f>IFERROR(__xludf.DUMMYFUNCTION("""COMPUTED_VALUE"""),"DEF")</f>
        <v>DEF</v>
      </c>
      <c r="H376" s="32">
        <f>IFERROR(__xludf.DUMMYFUNCTION("""COMPUTED_VALUE"""),1000.0)</f>
        <v>1000</v>
      </c>
      <c r="I376" s="32"/>
      <c r="J376" s="32"/>
      <c r="K376" s="32"/>
      <c r="L376" s="32"/>
      <c r="M376" s="32"/>
      <c r="N376" s="32"/>
      <c r="O376" s="32"/>
      <c r="P376" s="32"/>
      <c r="Q376" s="32"/>
      <c r="R376" s="32"/>
      <c r="S376" s="32">
        <f>IFERROR(__xludf.DUMMYFUNCTION("""COMPUTED_VALUE"""),1000.0)</f>
        <v>1000</v>
      </c>
      <c r="T376" s="32"/>
      <c r="U376" s="32"/>
      <c r="V376" s="32"/>
      <c r="W376" s="32"/>
      <c r="X376" s="32"/>
      <c r="Y376" s="32"/>
      <c r="Z376" s="32"/>
      <c r="AA376" s="32"/>
      <c r="AB376" s="32"/>
      <c r="AC376" s="32"/>
      <c r="AD376" s="32"/>
      <c r="AE376" s="32"/>
      <c r="AF376" s="32"/>
      <c r="AG376" s="32" t="str">
        <f>IFERROR(__xludf.DUMMYFUNCTION("""COMPUTED_VALUE"""),"Land of Spira")</f>
        <v>Land of Spira</v>
      </c>
      <c r="AH376" s="32" t="b">
        <f>IFERROR(__xludf.DUMMYFUNCTION("""COMPUTED_VALUE"""),FALSE)</f>
        <v>0</v>
      </c>
      <c r="AI376" s="32"/>
      <c r="AJ376" s="32"/>
      <c r="AK376" s="32"/>
      <c r="AL376" s="32"/>
      <c r="AM376" s="32"/>
      <c r="AN376" s="32"/>
      <c r="AO376" s="32"/>
      <c r="AP376" s="32"/>
      <c r="AQ376" s="32"/>
      <c r="AR376" s="32"/>
      <c r="AS376" s="32"/>
      <c r="AT376" s="32"/>
      <c r="AU376" s="32"/>
      <c r="AV376" s="32"/>
      <c r="AW376" s="32"/>
      <c r="AX376" s="32"/>
    </row>
    <row r="377">
      <c r="A377" s="32" t="str">
        <f>IFERROR(__xludf.DUMMYFUNCTION("""COMPUTED_VALUE"""),"Bamboo Pauldrons")</f>
        <v>Bamboo Pauldrons</v>
      </c>
      <c r="B377" s="32" t="str">
        <f>IFERROR(__xludf.DUMMYFUNCTION("""COMPUTED_VALUE"""),"Shoulders")</f>
        <v>Shoulders</v>
      </c>
      <c r="C377" s="32"/>
      <c r="D377" s="5"/>
      <c r="E377" s="40">
        <f>IFERROR(__xludf.DUMMYFUNCTION("""COMPUTED_VALUE"""),40.0)</f>
        <v>40</v>
      </c>
      <c r="F377" s="44">
        <f>IFERROR(__xludf.DUMMYFUNCTION("""COMPUTED_VALUE"""),60000.0)</f>
        <v>60000</v>
      </c>
      <c r="G377" s="32" t="str">
        <f>IFERROR(__xludf.DUMMYFUNCTION("""COMPUTED_VALUE"""),"DEF")</f>
        <v>DEF</v>
      </c>
      <c r="H377" s="32">
        <f>IFERROR(__xludf.DUMMYFUNCTION("""COMPUTED_VALUE"""),1000.0)</f>
        <v>1000</v>
      </c>
      <c r="I377" s="32"/>
      <c r="J377" s="32"/>
      <c r="K377" s="32"/>
      <c r="L377" s="32"/>
      <c r="M377" s="32"/>
      <c r="N377" s="32"/>
      <c r="O377" s="32"/>
      <c r="P377" s="32"/>
      <c r="Q377" s="32"/>
      <c r="R377" s="32"/>
      <c r="S377" s="32">
        <f>IFERROR(__xludf.DUMMYFUNCTION("""COMPUTED_VALUE"""),1000.0)</f>
        <v>1000</v>
      </c>
      <c r="T377" s="32"/>
      <c r="U377" s="32"/>
      <c r="V377" s="32"/>
      <c r="W377" s="32"/>
      <c r="X377" s="32"/>
      <c r="Y377" s="32"/>
      <c r="Z377" s="32"/>
      <c r="AA377" s="32"/>
      <c r="AB377" s="32"/>
      <c r="AC377" s="32"/>
      <c r="AD377" s="32"/>
      <c r="AE377" s="32"/>
      <c r="AF377" s="32"/>
      <c r="AG377" s="32" t="str">
        <f>IFERROR(__xludf.DUMMYFUNCTION("""COMPUTED_VALUE"""),"Land of Spira")</f>
        <v>Land of Spira</v>
      </c>
      <c r="AH377" s="32" t="b">
        <f>IFERROR(__xludf.DUMMYFUNCTION("""COMPUTED_VALUE"""),FALSE)</f>
        <v>0</v>
      </c>
      <c r="AI377" s="32"/>
      <c r="AJ377" s="32"/>
      <c r="AK377" s="32"/>
      <c r="AL377" s="32"/>
      <c r="AM377" s="32"/>
      <c r="AN377" s="32"/>
      <c r="AO377" s="32"/>
      <c r="AP377" s="32"/>
      <c r="AQ377" s="32"/>
      <c r="AR377" s="32"/>
      <c r="AS377" s="32"/>
      <c r="AT377" s="32"/>
      <c r="AU377" s="32"/>
      <c r="AV377" s="32"/>
      <c r="AW377" s="32"/>
      <c r="AX377" s="32"/>
    </row>
    <row r="378">
      <c r="A378" s="32" t="str">
        <f>IFERROR(__xludf.DUMMYFUNCTION("""COMPUTED_VALUE"""),"Bamboo Chestplate")</f>
        <v>Bamboo Chestplate</v>
      </c>
      <c r="B378" s="32" t="str">
        <f>IFERROR(__xludf.DUMMYFUNCTION("""COMPUTED_VALUE"""),"Torso")</f>
        <v>Torso</v>
      </c>
      <c r="C378" s="32"/>
      <c r="D378" s="5"/>
      <c r="E378" s="40">
        <f>IFERROR(__xludf.DUMMYFUNCTION("""COMPUTED_VALUE"""),40.0)</f>
        <v>40</v>
      </c>
      <c r="F378" s="44">
        <f>IFERROR(__xludf.DUMMYFUNCTION("""COMPUTED_VALUE"""),60000.0)</f>
        <v>60000</v>
      </c>
      <c r="G378" s="32" t="str">
        <f>IFERROR(__xludf.DUMMYFUNCTION("""COMPUTED_VALUE"""),"DEF")</f>
        <v>DEF</v>
      </c>
      <c r="H378" s="32">
        <f>IFERROR(__xludf.DUMMYFUNCTION("""COMPUTED_VALUE"""),1000.0)</f>
        <v>1000</v>
      </c>
      <c r="I378" s="32"/>
      <c r="J378" s="32"/>
      <c r="K378" s="32"/>
      <c r="L378" s="32"/>
      <c r="M378" s="32"/>
      <c r="N378" s="32"/>
      <c r="O378" s="32"/>
      <c r="P378" s="32"/>
      <c r="Q378" s="32"/>
      <c r="R378" s="32"/>
      <c r="S378" s="32">
        <f>IFERROR(__xludf.DUMMYFUNCTION("""COMPUTED_VALUE"""),1000.0)</f>
        <v>1000</v>
      </c>
      <c r="T378" s="32"/>
      <c r="U378" s="32"/>
      <c r="V378" s="32"/>
      <c r="W378" s="32"/>
      <c r="X378" s="32"/>
      <c r="Y378" s="32"/>
      <c r="Z378" s="32"/>
      <c r="AA378" s="32"/>
      <c r="AB378" s="32"/>
      <c r="AC378" s="32"/>
      <c r="AD378" s="32"/>
      <c r="AE378" s="32"/>
      <c r="AF378" s="32"/>
      <c r="AG378" s="32" t="str">
        <f>IFERROR(__xludf.DUMMYFUNCTION("""COMPUTED_VALUE"""),"Land of Spira")</f>
        <v>Land of Spira</v>
      </c>
      <c r="AH378" s="32" t="b">
        <f>IFERROR(__xludf.DUMMYFUNCTION("""COMPUTED_VALUE"""),FALSE)</f>
        <v>0</v>
      </c>
      <c r="AI378" s="32"/>
      <c r="AJ378" s="32"/>
      <c r="AK378" s="32"/>
      <c r="AL378" s="32"/>
      <c r="AM378" s="32"/>
      <c r="AN378" s="32"/>
      <c r="AO378" s="32"/>
      <c r="AP378" s="32"/>
      <c r="AQ378" s="32"/>
      <c r="AR378" s="32"/>
      <c r="AS378" s="32"/>
      <c r="AT378" s="32"/>
      <c r="AU378" s="32"/>
      <c r="AV378" s="32"/>
      <c r="AW378" s="32"/>
      <c r="AX378" s="32"/>
    </row>
    <row r="379">
      <c r="A379" s="32" t="str">
        <f>IFERROR(__xludf.DUMMYFUNCTION("""COMPUTED_VALUE"""),"Bamboo Greaves")</f>
        <v>Bamboo Greaves</v>
      </c>
      <c r="B379" s="32" t="str">
        <f>IFERROR(__xludf.DUMMYFUNCTION("""COMPUTED_VALUE"""),"Legs")</f>
        <v>Legs</v>
      </c>
      <c r="C379" s="32"/>
      <c r="D379" s="5"/>
      <c r="E379" s="40">
        <f>IFERROR(__xludf.DUMMYFUNCTION("""COMPUTED_VALUE"""),40.0)</f>
        <v>40</v>
      </c>
      <c r="F379" s="44">
        <f>IFERROR(__xludf.DUMMYFUNCTION("""COMPUTED_VALUE"""),60000.0)</f>
        <v>60000</v>
      </c>
      <c r="G379" s="32" t="str">
        <f>IFERROR(__xludf.DUMMYFUNCTION("""COMPUTED_VALUE"""),"DEF")</f>
        <v>DEF</v>
      </c>
      <c r="H379" s="32">
        <f>IFERROR(__xludf.DUMMYFUNCTION("""COMPUTED_VALUE"""),1000.0)</f>
        <v>1000</v>
      </c>
      <c r="I379" s="32"/>
      <c r="J379" s="32"/>
      <c r="K379" s="32"/>
      <c r="L379" s="32"/>
      <c r="M379" s="32"/>
      <c r="N379" s="32"/>
      <c r="O379" s="32"/>
      <c r="P379" s="32"/>
      <c r="Q379" s="32"/>
      <c r="R379" s="32"/>
      <c r="S379" s="32">
        <f>IFERROR(__xludf.DUMMYFUNCTION("""COMPUTED_VALUE"""),1000.0)</f>
        <v>1000</v>
      </c>
      <c r="T379" s="32"/>
      <c r="U379" s="32"/>
      <c r="V379" s="32"/>
      <c r="W379" s="32"/>
      <c r="X379" s="32"/>
      <c r="Y379" s="32"/>
      <c r="Z379" s="32"/>
      <c r="AA379" s="32"/>
      <c r="AB379" s="32"/>
      <c r="AC379" s="32"/>
      <c r="AD379" s="32"/>
      <c r="AE379" s="32"/>
      <c r="AF379" s="32"/>
      <c r="AG379" s="32" t="str">
        <f>IFERROR(__xludf.DUMMYFUNCTION("""COMPUTED_VALUE"""),"Land of Spira")</f>
        <v>Land of Spira</v>
      </c>
      <c r="AH379" s="32" t="b">
        <f>IFERROR(__xludf.DUMMYFUNCTION("""COMPUTED_VALUE"""),FALSE)</f>
        <v>0</v>
      </c>
      <c r="AI379" s="32"/>
      <c r="AJ379" s="32"/>
      <c r="AK379" s="32"/>
      <c r="AL379" s="32"/>
      <c r="AM379" s="32"/>
      <c r="AN379" s="32"/>
      <c r="AO379" s="32"/>
      <c r="AP379" s="32"/>
      <c r="AQ379" s="32"/>
      <c r="AR379" s="32"/>
      <c r="AS379" s="32"/>
      <c r="AT379" s="32"/>
      <c r="AU379" s="32"/>
      <c r="AV379" s="32"/>
      <c r="AW379" s="32"/>
      <c r="AX379" s="32"/>
    </row>
    <row r="380">
      <c r="A380" s="32" t="str">
        <f>IFERROR(__xludf.DUMMYFUNCTION("""COMPUTED_VALUE"""),"Strengthened Bamboo Sword")</f>
        <v>Strengthened Bamboo Sword</v>
      </c>
      <c r="B380" s="32" t="str">
        <f>IFERROR(__xludf.DUMMYFUNCTION("""COMPUTED_VALUE"""),"Hand")</f>
        <v>Hand</v>
      </c>
      <c r="C380" s="32"/>
      <c r="D380" s="5" t="str">
        <f>IFERROR(__xludf.DUMMYFUNCTION("""COMPUTED_VALUE"""),"Sword")</f>
        <v>Sword</v>
      </c>
      <c r="E380" s="40">
        <f>IFERROR(__xludf.DUMMYFUNCTION("""COMPUTED_VALUE"""),40.0)</f>
        <v>40</v>
      </c>
      <c r="F380" s="44">
        <f>IFERROR(__xludf.DUMMYFUNCTION("""COMPUTED_VALUE"""),60000.0)</f>
        <v>60000</v>
      </c>
      <c r="G380" s="32" t="str">
        <f>IFERROR(__xludf.DUMMYFUNCTION("""COMPUTED_VALUE"""),"DMG")</f>
        <v>DMG</v>
      </c>
      <c r="H380" s="32">
        <f>IFERROR(__xludf.DUMMYFUNCTION("""COMPUTED_VALUE"""),1000.0)</f>
        <v>1000</v>
      </c>
      <c r="I380" s="32"/>
      <c r="J380" s="32"/>
      <c r="K380" s="32"/>
      <c r="L380" s="32"/>
      <c r="M380" s="32"/>
      <c r="N380" s="32"/>
      <c r="O380" s="32"/>
      <c r="P380" s="32"/>
      <c r="Q380" s="32"/>
      <c r="R380" s="32"/>
      <c r="S380" s="32">
        <f>IFERROR(__xludf.DUMMYFUNCTION("""COMPUTED_VALUE"""),1000.0)</f>
        <v>1000</v>
      </c>
      <c r="T380" s="32"/>
      <c r="U380" s="32"/>
      <c r="V380" s="32"/>
      <c r="W380" s="32"/>
      <c r="X380" s="32"/>
      <c r="Y380" s="32"/>
      <c r="Z380" s="32"/>
      <c r="AA380" s="32"/>
      <c r="AB380" s="32"/>
      <c r="AC380" s="32"/>
      <c r="AD380" s="32"/>
      <c r="AE380" s="32"/>
      <c r="AF380" s="32" t="str">
        <f>IFERROR(__xludf.DUMMYFUNCTION("""COMPUTED_VALUE"""),"++X4 damage for this weapon if the battle is in a Forest or Jungle.")</f>
        <v>++X4 damage for this weapon if the battle is in a Forest or Jungle.</v>
      </c>
      <c r="AG380" s="32" t="str">
        <f>IFERROR(__xludf.DUMMYFUNCTION("""COMPUTED_VALUE"""),"Land of Spira")</f>
        <v>Land of Spira</v>
      </c>
      <c r="AH380" s="32" t="b">
        <f>IFERROR(__xludf.DUMMYFUNCTION("""COMPUTED_VALUE"""),FALSE)</f>
        <v>0</v>
      </c>
      <c r="AI380" s="32"/>
      <c r="AJ380" s="32"/>
      <c r="AK380" s="32"/>
      <c r="AL380" s="32"/>
      <c r="AM380" s="32"/>
      <c r="AN380" s="32"/>
      <c r="AO380" s="32"/>
      <c r="AP380" s="32"/>
      <c r="AQ380" s="32"/>
      <c r="AR380" s="32"/>
      <c r="AS380" s="32"/>
      <c r="AT380" s="32"/>
      <c r="AU380" s="32"/>
      <c r="AV380" s="32"/>
      <c r="AW380" s="32"/>
      <c r="AX380" s="32"/>
    </row>
    <row r="381">
      <c r="A381" s="32" t="str">
        <f>IFERROR(__xludf.DUMMYFUNCTION("""COMPUTED_VALUE"""),"Bamboo Sandals")</f>
        <v>Bamboo Sandals</v>
      </c>
      <c r="B381" s="32" t="str">
        <f>IFERROR(__xludf.DUMMYFUNCTION("""COMPUTED_VALUE"""),"Feet")</f>
        <v>Feet</v>
      </c>
      <c r="C381" s="32"/>
      <c r="D381" s="5"/>
      <c r="E381" s="40">
        <f>IFERROR(__xludf.DUMMYFUNCTION("""COMPUTED_VALUE"""),40.0)</f>
        <v>40</v>
      </c>
      <c r="F381" s="44">
        <f>IFERROR(__xludf.DUMMYFUNCTION("""COMPUTED_VALUE"""),60000.0)</f>
        <v>60000</v>
      </c>
      <c r="G381" s="32" t="str">
        <f>IFERROR(__xludf.DUMMYFUNCTION("""COMPUTED_VALUE"""),"DEF")</f>
        <v>DEF</v>
      </c>
      <c r="H381" s="32">
        <f>IFERROR(__xludf.DUMMYFUNCTION("""COMPUTED_VALUE"""),1000.0)</f>
        <v>1000</v>
      </c>
      <c r="I381" s="32"/>
      <c r="J381" s="32"/>
      <c r="K381" s="32"/>
      <c r="L381" s="32"/>
      <c r="M381" s="32"/>
      <c r="N381" s="32"/>
      <c r="O381" s="32"/>
      <c r="P381" s="32"/>
      <c r="Q381" s="32"/>
      <c r="R381" s="32"/>
      <c r="S381" s="32">
        <f>IFERROR(__xludf.DUMMYFUNCTION("""COMPUTED_VALUE"""),1000.0)</f>
        <v>1000</v>
      </c>
      <c r="T381" s="32"/>
      <c r="U381" s="32"/>
      <c r="V381" s="32"/>
      <c r="W381" s="32"/>
      <c r="X381" s="32"/>
      <c r="Y381" s="32"/>
      <c r="Z381" s="32"/>
      <c r="AA381" s="32"/>
      <c r="AB381" s="32"/>
      <c r="AC381" s="32"/>
      <c r="AD381" s="32"/>
      <c r="AE381" s="32"/>
      <c r="AF381" s="32"/>
      <c r="AG381" s="32" t="str">
        <f>IFERROR(__xludf.DUMMYFUNCTION("""COMPUTED_VALUE"""),"Land of Spira")</f>
        <v>Land of Spira</v>
      </c>
      <c r="AH381" s="32" t="b">
        <f>IFERROR(__xludf.DUMMYFUNCTION("""COMPUTED_VALUE"""),FALSE)</f>
        <v>0</v>
      </c>
      <c r="AI381" s="32"/>
      <c r="AJ381" s="32"/>
      <c r="AK381" s="32"/>
      <c r="AL381" s="32"/>
      <c r="AM381" s="32"/>
      <c r="AN381" s="32"/>
      <c r="AO381" s="32"/>
      <c r="AP381" s="32"/>
      <c r="AQ381" s="32"/>
      <c r="AR381" s="32"/>
      <c r="AS381" s="32"/>
      <c r="AT381" s="32"/>
      <c r="AU381" s="32"/>
      <c r="AV381" s="32"/>
      <c r="AW381" s="32"/>
      <c r="AX381" s="32"/>
    </row>
    <row r="382">
      <c r="A382" s="32" t="str">
        <f>IFERROR(__xludf.DUMMYFUNCTION("""COMPUTED_VALUE"""),"Greaves of Foul Night")</f>
        <v>Greaves of Foul Night</v>
      </c>
      <c r="B382" s="32" t="str">
        <f>IFERROR(__xludf.DUMMYFUNCTION("""COMPUTED_VALUE"""),"Legs")</f>
        <v>Legs</v>
      </c>
      <c r="C382" s="32"/>
      <c r="D382" s="5"/>
      <c r="E382" s="40">
        <f>IFERROR(__xludf.DUMMYFUNCTION("""COMPUTED_VALUE"""),200.0)</f>
        <v>200</v>
      </c>
      <c r="F382" s="44">
        <f>IFERROR(__xludf.DUMMYFUNCTION("""COMPUTED_VALUE"""),1900000.0)</f>
        <v>1900000</v>
      </c>
      <c r="G382" s="32" t="str">
        <f>IFERROR(__xludf.DUMMYFUNCTION("""COMPUTED_VALUE"""),"DEF")</f>
        <v>DEF</v>
      </c>
      <c r="H382" s="32">
        <f>IFERROR(__xludf.DUMMYFUNCTION("""COMPUTED_VALUE"""),5000.0)</f>
        <v>5000</v>
      </c>
      <c r="I382" s="32"/>
      <c r="J382" s="32"/>
      <c r="K382" s="32"/>
      <c r="L382" s="32"/>
      <c r="M382" s="32"/>
      <c r="N382" s="32"/>
      <c r="O382" s="32"/>
      <c r="P382" s="32"/>
      <c r="Q382" s="32"/>
      <c r="R382" s="32"/>
      <c r="S382" s="32">
        <f>IFERROR(__xludf.DUMMYFUNCTION("""COMPUTED_VALUE"""),5000.0)</f>
        <v>5000</v>
      </c>
      <c r="T382" s="32"/>
      <c r="U382" s="32"/>
      <c r="V382" s="32"/>
      <c r="W382" s="32"/>
      <c r="X382" s="32"/>
      <c r="Y382" s="32"/>
      <c r="Z382" s="32"/>
      <c r="AA382" s="32"/>
      <c r="AB382" s="32"/>
      <c r="AC382" s="32"/>
      <c r="AD382" s="32"/>
      <c r="AE382" s="32"/>
      <c r="AF382" s="32" t="str">
        <f>IFERROR(__xludf.DUMMYFUNCTION("""COMPUTED_VALUE"""),"(Foul Night Set) ++X2 Nature and Poison damage, Poison Immunity.")</f>
        <v>(Foul Night Set) ++X2 Nature and Poison damage, Poison Immunity.</v>
      </c>
      <c r="AG382" s="32" t="str">
        <f>IFERROR(__xludf.DUMMYFUNCTION("""COMPUTED_VALUE"""),"Land of Spira")</f>
        <v>Land of Spira</v>
      </c>
      <c r="AH382" s="32" t="b">
        <f>IFERROR(__xludf.DUMMYFUNCTION("""COMPUTED_VALUE"""),FALSE)</f>
        <v>0</v>
      </c>
      <c r="AI382" s="32"/>
      <c r="AJ382" s="32"/>
      <c r="AK382" s="32"/>
      <c r="AL382" s="32"/>
      <c r="AM382" s="32"/>
      <c r="AN382" s="32"/>
      <c r="AO382" s="32"/>
      <c r="AP382" s="32"/>
      <c r="AQ382" s="32"/>
      <c r="AR382" s="32"/>
      <c r="AS382" s="32"/>
      <c r="AT382" s="32"/>
      <c r="AU382" s="32"/>
      <c r="AV382" s="32"/>
      <c r="AW382" s="32"/>
      <c r="AX382" s="32"/>
    </row>
    <row r="383">
      <c r="A383" s="32" t="str">
        <f>IFERROR(__xludf.DUMMYFUNCTION("""COMPUTED_VALUE"""),"Vambraces of Foul Night")</f>
        <v>Vambraces of Foul Night</v>
      </c>
      <c r="B383" s="32" t="str">
        <f>IFERROR(__xludf.DUMMYFUNCTION("""COMPUTED_VALUE"""),"Arms")</f>
        <v>Arms</v>
      </c>
      <c r="C383" s="32"/>
      <c r="D383" s="5"/>
      <c r="E383" s="40">
        <f>IFERROR(__xludf.DUMMYFUNCTION("""COMPUTED_VALUE"""),200.0)</f>
        <v>200</v>
      </c>
      <c r="F383" s="44">
        <f>IFERROR(__xludf.DUMMYFUNCTION("""COMPUTED_VALUE"""),1900000.0)</f>
        <v>1900000</v>
      </c>
      <c r="G383" s="32" t="str">
        <f>IFERROR(__xludf.DUMMYFUNCTION("""COMPUTED_VALUE"""),"DEF")</f>
        <v>DEF</v>
      </c>
      <c r="H383" s="32">
        <f>IFERROR(__xludf.DUMMYFUNCTION("""COMPUTED_VALUE"""),5000.0)</f>
        <v>5000</v>
      </c>
      <c r="I383" s="32"/>
      <c r="J383" s="32"/>
      <c r="K383" s="32"/>
      <c r="L383" s="32"/>
      <c r="M383" s="32"/>
      <c r="N383" s="32"/>
      <c r="O383" s="32">
        <f>IFERROR(__xludf.DUMMYFUNCTION("""COMPUTED_VALUE"""),5000.0)</f>
        <v>5000</v>
      </c>
      <c r="P383" s="32"/>
      <c r="Q383" s="32"/>
      <c r="R383" s="32"/>
      <c r="S383" s="32"/>
      <c r="T383" s="32"/>
      <c r="U383" s="32"/>
      <c r="V383" s="32"/>
      <c r="W383" s="32"/>
      <c r="X383" s="32"/>
      <c r="Y383" s="32"/>
      <c r="Z383" s="32"/>
      <c r="AA383" s="32"/>
      <c r="AB383" s="32"/>
      <c r="AC383" s="32"/>
      <c r="AD383" s="32"/>
      <c r="AE383" s="32"/>
      <c r="AF383" s="32" t="str">
        <f>IFERROR(__xludf.DUMMYFUNCTION("""COMPUTED_VALUE"""),"(Foul Night Set) ++X2 Dark and Poison damage, Poison Immunity.")</f>
        <v>(Foul Night Set) ++X2 Dark and Poison damage, Poison Immunity.</v>
      </c>
      <c r="AG383" s="32" t="str">
        <f>IFERROR(__xludf.DUMMYFUNCTION("""COMPUTED_VALUE"""),"Land of Spira")</f>
        <v>Land of Spira</v>
      </c>
      <c r="AH383" s="32" t="b">
        <f>IFERROR(__xludf.DUMMYFUNCTION("""COMPUTED_VALUE"""),FALSE)</f>
        <v>0</v>
      </c>
      <c r="AI383" s="32"/>
      <c r="AJ383" s="32"/>
      <c r="AK383" s="32"/>
      <c r="AL383" s="32"/>
      <c r="AM383" s="32"/>
      <c r="AN383" s="32"/>
      <c r="AO383" s="32"/>
      <c r="AP383" s="32"/>
      <c r="AQ383" s="32"/>
      <c r="AR383" s="32"/>
      <c r="AS383" s="32"/>
      <c r="AT383" s="32"/>
      <c r="AU383" s="32"/>
      <c r="AV383" s="32"/>
      <c r="AW383" s="32"/>
      <c r="AX383" s="32"/>
    </row>
    <row r="384">
      <c r="A384" s="32" t="str">
        <f>IFERROR(__xludf.DUMMYFUNCTION("""COMPUTED_VALUE"""),"Boots of Foul Night")</f>
        <v>Boots of Foul Night</v>
      </c>
      <c r="B384" s="32" t="str">
        <f>IFERROR(__xludf.DUMMYFUNCTION("""COMPUTED_VALUE"""),"Feet")</f>
        <v>Feet</v>
      </c>
      <c r="C384" s="32"/>
      <c r="D384" s="5"/>
      <c r="E384" s="40">
        <f>IFERROR(__xludf.DUMMYFUNCTION("""COMPUTED_VALUE"""),200.0)</f>
        <v>200</v>
      </c>
      <c r="F384" s="44">
        <f>IFERROR(__xludf.DUMMYFUNCTION("""COMPUTED_VALUE"""),1900000.0)</f>
        <v>1900000</v>
      </c>
      <c r="G384" s="32" t="str">
        <f>IFERROR(__xludf.DUMMYFUNCTION("""COMPUTED_VALUE"""),"DEF")</f>
        <v>DEF</v>
      </c>
      <c r="H384" s="32">
        <f>IFERROR(__xludf.DUMMYFUNCTION("""COMPUTED_VALUE"""),5000.0)</f>
        <v>5000</v>
      </c>
      <c r="I384" s="32"/>
      <c r="J384" s="32"/>
      <c r="K384" s="32"/>
      <c r="L384" s="32"/>
      <c r="M384" s="32"/>
      <c r="N384" s="32"/>
      <c r="O384" s="32">
        <f>IFERROR(__xludf.DUMMYFUNCTION("""COMPUTED_VALUE"""),5000.0)</f>
        <v>5000</v>
      </c>
      <c r="P384" s="32"/>
      <c r="Q384" s="32"/>
      <c r="R384" s="32"/>
      <c r="S384" s="32"/>
      <c r="T384" s="32"/>
      <c r="U384" s="32"/>
      <c r="V384" s="32"/>
      <c r="W384" s="32"/>
      <c r="X384" s="32"/>
      <c r="Y384" s="32"/>
      <c r="Z384" s="32"/>
      <c r="AA384" s="32"/>
      <c r="AB384" s="32"/>
      <c r="AC384" s="32"/>
      <c r="AD384" s="32"/>
      <c r="AE384" s="32"/>
      <c r="AF384" s="32" t="str">
        <f>IFERROR(__xludf.DUMMYFUNCTION("""COMPUTED_VALUE"""),"(Foul Night Set) ++X2 Dark and Poison damage, Poison Immunity.")</f>
        <v>(Foul Night Set) ++X2 Dark and Poison damage, Poison Immunity.</v>
      </c>
      <c r="AG384" s="32" t="str">
        <f>IFERROR(__xludf.DUMMYFUNCTION("""COMPUTED_VALUE"""),"Land of Spira")</f>
        <v>Land of Spira</v>
      </c>
      <c r="AH384" s="32" t="b">
        <f>IFERROR(__xludf.DUMMYFUNCTION("""COMPUTED_VALUE"""),FALSE)</f>
        <v>0</v>
      </c>
      <c r="AI384" s="32"/>
      <c r="AJ384" s="32"/>
      <c r="AK384" s="32"/>
      <c r="AL384" s="32"/>
      <c r="AM384" s="32"/>
      <c r="AN384" s="32"/>
      <c r="AO384" s="32"/>
      <c r="AP384" s="32"/>
      <c r="AQ384" s="32"/>
      <c r="AR384" s="32"/>
      <c r="AS384" s="32"/>
      <c r="AT384" s="32"/>
      <c r="AU384" s="32"/>
      <c r="AV384" s="32"/>
      <c r="AW384" s="32"/>
      <c r="AX384" s="32"/>
    </row>
    <row r="385">
      <c r="A385" s="32" t="str">
        <f>IFERROR(__xludf.DUMMYFUNCTION("""COMPUTED_VALUE"""),"Pauldrons of Foul Night")</f>
        <v>Pauldrons of Foul Night</v>
      </c>
      <c r="B385" s="32" t="str">
        <f>IFERROR(__xludf.DUMMYFUNCTION("""COMPUTED_VALUE"""),"Shoulders")</f>
        <v>Shoulders</v>
      </c>
      <c r="C385" s="32"/>
      <c r="D385" s="5"/>
      <c r="E385" s="40">
        <f>IFERROR(__xludf.DUMMYFUNCTION("""COMPUTED_VALUE"""),200.0)</f>
        <v>200</v>
      </c>
      <c r="F385" s="44">
        <f>IFERROR(__xludf.DUMMYFUNCTION("""COMPUTED_VALUE"""),1900000.0)</f>
        <v>1900000</v>
      </c>
      <c r="G385" s="32" t="str">
        <f>IFERROR(__xludf.DUMMYFUNCTION("""COMPUTED_VALUE"""),"DEF")</f>
        <v>DEF</v>
      </c>
      <c r="H385" s="32">
        <f>IFERROR(__xludf.DUMMYFUNCTION("""COMPUTED_VALUE"""),5000.0)</f>
        <v>5000</v>
      </c>
      <c r="I385" s="32"/>
      <c r="J385" s="32"/>
      <c r="K385" s="32"/>
      <c r="L385" s="32"/>
      <c r="M385" s="32"/>
      <c r="N385" s="32"/>
      <c r="O385" s="32">
        <f>IFERROR(__xludf.DUMMYFUNCTION("""COMPUTED_VALUE"""),5000.0)</f>
        <v>5000</v>
      </c>
      <c r="P385" s="32"/>
      <c r="Q385" s="32"/>
      <c r="R385" s="32"/>
      <c r="S385" s="32"/>
      <c r="T385" s="32"/>
      <c r="U385" s="32"/>
      <c r="V385" s="32"/>
      <c r="W385" s="32"/>
      <c r="X385" s="32"/>
      <c r="Y385" s="32"/>
      <c r="Z385" s="32"/>
      <c r="AA385" s="32"/>
      <c r="AB385" s="32"/>
      <c r="AC385" s="32"/>
      <c r="AD385" s="32"/>
      <c r="AE385" s="32"/>
      <c r="AF385" s="32" t="str">
        <f>IFERROR(__xludf.DUMMYFUNCTION("""COMPUTED_VALUE"""),"(Foul Night Set) ++X2 Dark and Poison damage, Poison Immunity.")</f>
        <v>(Foul Night Set) ++X2 Dark and Poison damage, Poison Immunity.</v>
      </c>
      <c r="AG385" s="32" t="str">
        <f>IFERROR(__xludf.DUMMYFUNCTION("""COMPUTED_VALUE"""),"Land of Spira")</f>
        <v>Land of Spira</v>
      </c>
      <c r="AH385" s="32" t="b">
        <f>IFERROR(__xludf.DUMMYFUNCTION("""COMPUTED_VALUE"""),FALSE)</f>
        <v>0</v>
      </c>
      <c r="AI385" s="32"/>
      <c r="AJ385" s="32"/>
      <c r="AK385" s="32"/>
      <c r="AL385" s="32"/>
      <c r="AM385" s="32"/>
      <c r="AN385" s="32"/>
      <c r="AO385" s="32"/>
      <c r="AP385" s="32"/>
      <c r="AQ385" s="32"/>
      <c r="AR385" s="32"/>
      <c r="AS385" s="32"/>
      <c r="AT385" s="32"/>
      <c r="AU385" s="32"/>
      <c r="AV385" s="32"/>
      <c r="AW385" s="32"/>
      <c r="AX385" s="32"/>
    </row>
    <row r="386">
      <c r="A386" s="32" t="str">
        <f>IFERROR(__xludf.DUMMYFUNCTION("""COMPUTED_VALUE"""),"Crystal Forged Pauldrons")</f>
        <v>Crystal Forged Pauldrons</v>
      </c>
      <c r="B386" s="32" t="str">
        <f>IFERROR(__xludf.DUMMYFUNCTION("""COMPUTED_VALUE"""),"Shoulders")</f>
        <v>Shoulders</v>
      </c>
      <c r="C386" s="32"/>
      <c r="D386" s="5"/>
      <c r="E386" s="40">
        <f>IFERROR(__xludf.DUMMYFUNCTION("""COMPUTED_VALUE"""),200.0)</f>
        <v>200</v>
      </c>
      <c r="F386" s="44">
        <f>IFERROR(__xludf.DUMMYFUNCTION("""COMPUTED_VALUE"""),1900000.0)</f>
        <v>1900000</v>
      </c>
      <c r="G386" s="32" t="str">
        <f>IFERROR(__xludf.DUMMYFUNCTION("""COMPUTED_VALUE"""),"DEF")</f>
        <v>DEF</v>
      </c>
      <c r="H386" s="32">
        <f>IFERROR(__xludf.DUMMYFUNCTION("""COMPUTED_VALUE"""),5000.0)</f>
        <v>5000</v>
      </c>
      <c r="I386" s="32"/>
      <c r="J386" s="32"/>
      <c r="K386" s="32"/>
      <c r="L386" s="32"/>
      <c r="M386" s="32">
        <f>IFERROR(__xludf.DUMMYFUNCTION("""COMPUTED_VALUE"""),5000.0)</f>
        <v>5000</v>
      </c>
      <c r="N386" s="32"/>
      <c r="O386" s="32"/>
      <c r="P386" s="32"/>
      <c r="Q386" s="32"/>
      <c r="R386" s="32"/>
      <c r="S386" s="32"/>
      <c r="T386" s="32"/>
      <c r="U386" s="32"/>
      <c r="V386" s="32"/>
      <c r="W386" s="32"/>
      <c r="X386" s="32"/>
      <c r="Y386" s="32"/>
      <c r="Z386" s="32"/>
      <c r="AA386" s="32"/>
      <c r="AB386" s="32"/>
      <c r="AC386" s="32"/>
      <c r="AD386" s="32"/>
      <c r="AE386" s="32"/>
      <c r="AF386" s="32" t="str">
        <f>IFERROR(__xludf.DUMMYFUNCTION("""COMPUTED_VALUE"""),"++When equipped, Gem and Crystal related weapons deal an additional X2 damage for the user.")</f>
        <v>++When equipped, Gem and Crystal related weapons deal an additional X2 damage for the user.</v>
      </c>
      <c r="AG386" s="32" t="str">
        <f>IFERROR(__xludf.DUMMYFUNCTION("""COMPUTED_VALUE"""),"Land of Spira")</f>
        <v>Land of Spira</v>
      </c>
      <c r="AH386" s="32" t="b">
        <f>IFERROR(__xludf.DUMMYFUNCTION("""COMPUTED_VALUE"""),FALSE)</f>
        <v>0</v>
      </c>
      <c r="AI386" s="32"/>
      <c r="AJ386" s="32"/>
      <c r="AK386" s="32"/>
      <c r="AL386" s="32"/>
      <c r="AM386" s="32"/>
      <c r="AN386" s="32"/>
      <c r="AO386" s="32"/>
      <c r="AP386" s="32"/>
      <c r="AQ386" s="32"/>
      <c r="AR386" s="32"/>
      <c r="AS386" s="32"/>
      <c r="AT386" s="32"/>
      <c r="AU386" s="32"/>
      <c r="AV386" s="32"/>
      <c r="AW386" s="32"/>
      <c r="AX386" s="32"/>
    </row>
    <row r="387">
      <c r="A387" s="32" t="str">
        <f>IFERROR(__xludf.DUMMYFUNCTION("""COMPUTED_VALUE"""),"Crystal Forged Greaves")</f>
        <v>Crystal Forged Greaves</v>
      </c>
      <c r="B387" s="32" t="str">
        <f>IFERROR(__xludf.DUMMYFUNCTION("""COMPUTED_VALUE"""),"Legs")</f>
        <v>Legs</v>
      </c>
      <c r="C387" s="32"/>
      <c r="D387" s="5"/>
      <c r="E387" s="40">
        <f>IFERROR(__xludf.DUMMYFUNCTION("""COMPUTED_VALUE"""),200.0)</f>
        <v>200</v>
      </c>
      <c r="F387" s="44">
        <f>IFERROR(__xludf.DUMMYFUNCTION("""COMPUTED_VALUE"""),1900000.0)</f>
        <v>1900000</v>
      </c>
      <c r="G387" s="32" t="str">
        <f>IFERROR(__xludf.DUMMYFUNCTION("""COMPUTED_VALUE"""),"DEF")</f>
        <v>DEF</v>
      </c>
      <c r="H387" s="32">
        <f>IFERROR(__xludf.DUMMYFUNCTION("""COMPUTED_VALUE"""),5000.0)</f>
        <v>5000</v>
      </c>
      <c r="I387" s="32"/>
      <c r="J387" s="32"/>
      <c r="K387" s="32"/>
      <c r="L387" s="32"/>
      <c r="M387" s="32">
        <f>IFERROR(__xludf.DUMMYFUNCTION("""COMPUTED_VALUE"""),5000.0)</f>
        <v>5000</v>
      </c>
      <c r="N387" s="32"/>
      <c r="O387" s="32"/>
      <c r="P387" s="32"/>
      <c r="Q387" s="32"/>
      <c r="R387" s="32"/>
      <c r="S387" s="32"/>
      <c r="T387" s="32"/>
      <c r="U387" s="32"/>
      <c r="V387" s="32"/>
      <c r="W387" s="32"/>
      <c r="X387" s="32"/>
      <c r="Y387" s="32"/>
      <c r="Z387" s="32"/>
      <c r="AA387" s="32"/>
      <c r="AB387" s="32"/>
      <c r="AC387" s="32"/>
      <c r="AD387" s="32"/>
      <c r="AE387" s="32"/>
      <c r="AF387" s="32" t="str">
        <f>IFERROR(__xludf.DUMMYFUNCTION("""COMPUTED_VALUE"""),"++When equipped, Gem and Crystal related weapons deal an additional X2 damage for the user.")</f>
        <v>++When equipped, Gem and Crystal related weapons deal an additional X2 damage for the user.</v>
      </c>
      <c r="AG387" s="32" t="str">
        <f>IFERROR(__xludf.DUMMYFUNCTION("""COMPUTED_VALUE"""),"Land of Spira")</f>
        <v>Land of Spira</v>
      </c>
      <c r="AH387" s="32" t="b">
        <f>IFERROR(__xludf.DUMMYFUNCTION("""COMPUTED_VALUE"""),FALSE)</f>
        <v>0</v>
      </c>
      <c r="AI387" s="32"/>
      <c r="AJ387" s="32"/>
      <c r="AK387" s="32"/>
      <c r="AL387" s="32"/>
      <c r="AM387" s="32"/>
      <c r="AN387" s="32"/>
      <c r="AO387" s="32"/>
      <c r="AP387" s="32"/>
      <c r="AQ387" s="32"/>
      <c r="AR387" s="32"/>
      <c r="AS387" s="32"/>
      <c r="AT387" s="32"/>
      <c r="AU387" s="32"/>
      <c r="AV387" s="32"/>
      <c r="AW387" s="32"/>
      <c r="AX387" s="32"/>
    </row>
    <row r="388">
      <c r="A388" s="32" t="str">
        <f>IFERROR(__xludf.DUMMYFUNCTION("""COMPUTED_VALUE"""),"Crystal Forged Boots")</f>
        <v>Crystal Forged Boots</v>
      </c>
      <c r="B388" s="32" t="str">
        <f>IFERROR(__xludf.DUMMYFUNCTION("""COMPUTED_VALUE"""),"Feet")</f>
        <v>Feet</v>
      </c>
      <c r="C388" s="32"/>
      <c r="D388" s="5"/>
      <c r="E388" s="40">
        <f>IFERROR(__xludf.DUMMYFUNCTION("""COMPUTED_VALUE"""),200.0)</f>
        <v>200</v>
      </c>
      <c r="F388" s="44">
        <f>IFERROR(__xludf.DUMMYFUNCTION("""COMPUTED_VALUE"""),1900000.0)</f>
        <v>1900000</v>
      </c>
      <c r="G388" s="32" t="str">
        <f>IFERROR(__xludf.DUMMYFUNCTION("""COMPUTED_VALUE"""),"DEF")</f>
        <v>DEF</v>
      </c>
      <c r="H388" s="32">
        <f>IFERROR(__xludf.DUMMYFUNCTION("""COMPUTED_VALUE"""),5000.0)</f>
        <v>5000</v>
      </c>
      <c r="I388" s="32"/>
      <c r="J388" s="32"/>
      <c r="K388" s="32"/>
      <c r="L388" s="32"/>
      <c r="M388" s="32">
        <f>IFERROR(__xludf.DUMMYFUNCTION("""COMPUTED_VALUE"""),5000.0)</f>
        <v>5000</v>
      </c>
      <c r="N388" s="32"/>
      <c r="O388" s="32"/>
      <c r="P388" s="32"/>
      <c r="Q388" s="32"/>
      <c r="R388" s="32"/>
      <c r="S388" s="32"/>
      <c r="T388" s="32"/>
      <c r="U388" s="32"/>
      <c r="V388" s="32"/>
      <c r="W388" s="32"/>
      <c r="X388" s="32"/>
      <c r="Y388" s="32"/>
      <c r="Z388" s="32"/>
      <c r="AA388" s="32"/>
      <c r="AB388" s="32"/>
      <c r="AC388" s="32"/>
      <c r="AD388" s="32"/>
      <c r="AE388" s="32"/>
      <c r="AF388" s="32" t="str">
        <f>IFERROR(__xludf.DUMMYFUNCTION("""COMPUTED_VALUE"""),"++When equipped, Gem and Crystal related weapons deal an additional X2 damage for the user.")</f>
        <v>++When equipped, Gem and Crystal related weapons deal an additional X2 damage for the user.</v>
      </c>
      <c r="AG388" s="32" t="str">
        <f>IFERROR(__xludf.DUMMYFUNCTION("""COMPUTED_VALUE"""),"Land of Spira")</f>
        <v>Land of Spira</v>
      </c>
      <c r="AH388" s="32" t="b">
        <f>IFERROR(__xludf.DUMMYFUNCTION("""COMPUTED_VALUE"""),FALSE)</f>
        <v>0</v>
      </c>
      <c r="AI388" s="32"/>
      <c r="AJ388" s="32"/>
      <c r="AK388" s="32"/>
      <c r="AL388" s="32"/>
      <c r="AM388" s="32"/>
      <c r="AN388" s="32"/>
      <c r="AO388" s="32"/>
      <c r="AP388" s="32"/>
      <c r="AQ388" s="32"/>
      <c r="AR388" s="32"/>
      <c r="AS388" s="32"/>
      <c r="AT388" s="32"/>
      <c r="AU388" s="32"/>
      <c r="AV388" s="32"/>
      <c r="AW388" s="32"/>
      <c r="AX388" s="32"/>
    </row>
    <row r="389">
      <c r="A389" s="32" t="str">
        <f>IFERROR(__xludf.DUMMYFUNCTION("""COMPUTED_VALUE"""),"Crystal Forged Vambraces")</f>
        <v>Crystal Forged Vambraces</v>
      </c>
      <c r="B389" s="32" t="str">
        <f>IFERROR(__xludf.DUMMYFUNCTION("""COMPUTED_VALUE"""),"Arms")</f>
        <v>Arms</v>
      </c>
      <c r="C389" s="32"/>
      <c r="D389" s="5"/>
      <c r="E389" s="40">
        <f>IFERROR(__xludf.DUMMYFUNCTION("""COMPUTED_VALUE"""),200.0)</f>
        <v>200</v>
      </c>
      <c r="F389" s="44">
        <f>IFERROR(__xludf.DUMMYFUNCTION("""COMPUTED_VALUE"""),1900000.0)</f>
        <v>1900000</v>
      </c>
      <c r="G389" s="32" t="str">
        <f>IFERROR(__xludf.DUMMYFUNCTION("""COMPUTED_VALUE"""),"DEF")</f>
        <v>DEF</v>
      </c>
      <c r="H389" s="32">
        <f>IFERROR(__xludf.DUMMYFUNCTION("""COMPUTED_VALUE"""),5000.0)</f>
        <v>5000</v>
      </c>
      <c r="I389" s="32"/>
      <c r="J389" s="32"/>
      <c r="K389" s="32"/>
      <c r="L389" s="32"/>
      <c r="M389" s="32">
        <f>IFERROR(__xludf.DUMMYFUNCTION("""COMPUTED_VALUE"""),5000.0)</f>
        <v>5000</v>
      </c>
      <c r="N389" s="32"/>
      <c r="O389" s="32"/>
      <c r="P389" s="32"/>
      <c r="Q389" s="32"/>
      <c r="R389" s="32"/>
      <c r="S389" s="32"/>
      <c r="T389" s="32"/>
      <c r="U389" s="32"/>
      <c r="V389" s="32"/>
      <c r="W389" s="32"/>
      <c r="X389" s="32"/>
      <c r="Y389" s="32"/>
      <c r="Z389" s="32"/>
      <c r="AA389" s="32"/>
      <c r="AB389" s="32"/>
      <c r="AC389" s="32"/>
      <c r="AD389" s="32"/>
      <c r="AE389" s="32"/>
      <c r="AF389" s="32" t="str">
        <f>IFERROR(__xludf.DUMMYFUNCTION("""COMPUTED_VALUE"""),"++When equipped, Gem and Crystal related weapons deal an additional X2 damage for the user.")</f>
        <v>++When equipped, Gem and Crystal related weapons deal an additional X2 damage for the user.</v>
      </c>
      <c r="AG389" s="32" t="str">
        <f>IFERROR(__xludf.DUMMYFUNCTION("""COMPUTED_VALUE"""),"Land of Spira")</f>
        <v>Land of Spira</v>
      </c>
      <c r="AH389" s="32" t="b">
        <f>IFERROR(__xludf.DUMMYFUNCTION("""COMPUTED_VALUE"""),FALSE)</f>
        <v>0</v>
      </c>
      <c r="AI389" s="32"/>
      <c r="AJ389" s="32"/>
      <c r="AK389" s="32"/>
      <c r="AL389" s="32"/>
      <c r="AM389" s="32"/>
      <c r="AN389" s="32"/>
      <c r="AO389" s="32"/>
      <c r="AP389" s="32"/>
      <c r="AQ389" s="32"/>
      <c r="AR389" s="32"/>
      <c r="AS389" s="32"/>
      <c r="AT389" s="32"/>
      <c r="AU389" s="32"/>
      <c r="AV389" s="32"/>
      <c r="AW389" s="32"/>
      <c r="AX389" s="32"/>
    </row>
    <row r="390">
      <c r="A390" s="32" t="str">
        <f>IFERROR(__xludf.DUMMYFUNCTION("""COMPUTED_VALUE"""),"Fiddle")</f>
        <v>Fiddle</v>
      </c>
      <c r="B390" s="32" t="str">
        <f>IFERROR(__xludf.DUMMYFUNCTION("""COMPUTED_VALUE"""),"Hand")</f>
        <v>Hand</v>
      </c>
      <c r="C390" s="32"/>
      <c r="D390" s="5" t="str">
        <f>IFERROR(__xludf.DUMMYFUNCTION("""COMPUTED_VALUE"""),"Instrument")</f>
        <v>Instrument</v>
      </c>
      <c r="E390" s="40">
        <f>IFERROR(__xludf.DUMMYFUNCTION("""COMPUTED_VALUE"""),40.0)</f>
        <v>40</v>
      </c>
      <c r="F390" s="44">
        <f>IFERROR(__xludf.DUMMYFUNCTION("""COMPUTED_VALUE"""),60000.0)</f>
        <v>60000</v>
      </c>
      <c r="G390" s="32" t="str">
        <f>IFERROR(__xludf.DUMMYFUNCTION("""COMPUTED_VALUE"""),"DMG")</f>
        <v>DMG</v>
      </c>
      <c r="H390" s="32">
        <f>IFERROR(__xludf.DUMMYFUNCTION("""COMPUTED_VALUE"""),2000.0)</f>
        <v>2000</v>
      </c>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t="str">
        <f>IFERROR(__xludf.DUMMYFUNCTION("""COMPUTED_VALUE"""),"Land of Spira")</f>
        <v>Land of Spira</v>
      </c>
      <c r="AH390" s="32" t="b">
        <f>IFERROR(__xludf.DUMMYFUNCTION("""COMPUTED_VALUE"""),FALSE)</f>
        <v>0</v>
      </c>
      <c r="AI390" s="32"/>
      <c r="AJ390" s="32"/>
      <c r="AK390" s="32"/>
      <c r="AL390" s="32"/>
      <c r="AM390" s="32"/>
      <c r="AN390" s="32"/>
      <c r="AO390" s="32"/>
      <c r="AP390" s="32"/>
      <c r="AQ390" s="32"/>
      <c r="AR390" s="32"/>
      <c r="AS390" s="32"/>
      <c r="AT390" s="32"/>
      <c r="AU390" s="32"/>
      <c r="AV390" s="32"/>
      <c r="AW390" s="32"/>
      <c r="AX390" s="32"/>
    </row>
    <row r="391">
      <c r="A391" s="32" t="str">
        <f>IFERROR(__xludf.DUMMYFUNCTION("""COMPUTED_VALUE"""),"WyvernTail Blade")</f>
        <v>WyvernTail Blade</v>
      </c>
      <c r="B391" s="32" t="str">
        <f>IFERROR(__xludf.DUMMYFUNCTION("""COMPUTED_VALUE"""),"Hand")</f>
        <v>Hand</v>
      </c>
      <c r="C391" s="32"/>
      <c r="D391" s="5" t="str">
        <f>IFERROR(__xludf.DUMMYFUNCTION("""COMPUTED_VALUE"""),"Sword")</f>
        <v>Sword</v>
      </c>
      <c r="E391" s="40">
        <f>IFERROR(__xludf.DUMMYFUNCTION("""COMPUTED_VALUE"""),200.0)</f>
        <v>200</v>
      </c>
      <c r="F391" s="44">
        <f>IFERROR(__xludf.DUMMYFUNCTION("""COMPUTED_VALUE"""),1900000.0)</f>
        <v>1900000</v>
      </c>
      <c r="G391" s="32" t="str">
        <f>IFERROR(__xludf.DUMMYFUNCTION("""COMPUTED_VALUE"""),"DMG")</f>
        <v>DMG</v>
      </c>
      <c r="H391" s="32">
        <f>IFERROR(__xludf.DUMMYFUNCTION("""COMPUTED_VALUE"""),5000.0)</f>
        <v>5000</v>
      </c>
      <c r="I391" s="32"/>
      <c r="J391" s="32"/>
      <c r="K391" s="32">
        <f>IFERROR(__xludf.DUMMYFUNCTION("""COMPUTED_VALUE"""),5000.0)</f>
        <v>5000</v>
      </c>
      <c r="L391" s="32"/>
      <c r="M391" s="32"/>
      <c r="N391" s="32"/>
      <c r="O391" s="32"/>
      <c r="P391" s="32"/>
      <c r="Q391" s="32"/>
      <c r="R391" s="32"/>
      <c r="S391" s="32"/>
      <c r="T391" s="32"/>
      <c r="U391" s="32"/>
      <c r="V391" s="32"/>
      <c r="W391" s="32"/>
      <c r="X391" s="32"/>
      <c r="Y391" s="32"/>
      <c r="Z391" s="32"/>
      <c r="AA391" s="32"/>
      <c r="AB391" s="32"/>
      <c r="AC391" s="32"/>
      <c r="AD391" s="32"/>
      <c r="AE391" s="32"/>
      <c r="AF391" s="32" t="str">
        <f>IFERROR(__xludf.DUMMYFUNCTION("""COMPUTED_VALUE"""),"(Wyverntail Set) ++50% Chance to freeze the target being attacked by this weapon.")</f>
        <v>(Wyverntail Set) ++50% Chance to freeze the target being attacked by this weapon.</v>
      </c>
      <c r="AG391" s="32" t="str">
        <f>IFERROR(__xludf.DUMMYFUNCTION("""COMPUTED_VALUE"""),"Dragonscale Island")</f>
        <v>Dragonscale Island</v>
      </c>
      <c r="AH391" s="32" t="b">
        <f>IFERROR(__xludf.DUMMYFUNCTION("""COMPUTED_VALUE"""),TRUE)</f>
        <v>1</v>
      </c>
      <c r="AI391" s="32"/>
      <c r="AJ391" s="32"/>
      <c r="AK391" s="32"/>
      <c r="AL391" s="32"/>
      <c r="AM391" s="32"/>
      <c r="AN391" s="32"/>
      <c r="AO391" s="32"/>
      <c r="AP391" s="32"/>
      <c r="AQ391" s="32"/>
      <c r="AR391" s="32"/>
      <c r="AS391" s="32"/>
      <c r="AT391" s="32"/>
      <c r="AU391" s="32"/>
      <c r="AV391" s="32"/>
      <c r="AW391" s="32"/>
      <c r="AX391" s="32"/>
    </row>
    <row r="392">
      <c r="A392" s="32" t="str">
        <f>IFERROR(__xludf.DUMMYFUNCTION("""COMPUTED_VALUE"""),"WyvernTail Helm")</f>
        <v>WyvernTail Helm</v>
      </c>
      <c r="B392" s="32" t="str">
        <f>IFERROR(__xludf.DUMMYFUNCTION("""COMPUTED_VALUE"""),"Head")</f>
        <v>Head</v>
      </c>
      <c r="C392" s="32"/>
      <c r="D392" s="5"/>
      <c r="E392" s="40">
        <f>IFERROR(__xludf.DUMMYFUNCTION("""COMPUTED_VALUE"""),200.0)</f>
        <v>200</v>
      </c>
      <c r="F392" s="44">
        <f>IFERROR(__xludf.DUMMYFUNCTION("""COMPUTED_VALUE"""),1900000.0)</f>
        <v>1900000</v>
      </c>
      <c r="G392" s="32" t="str">
        <f>IFERROR(__xludf.DUMMYFUNCTION("""COMPUTED_VALUE"""),"DEF")</f>
        <v>DEF</v>
      </c>
      <c r="H392" s="32">
        <f>IFERROR(__xludf.DUMMYFUNCTION("""COMPUTED_VALUE"""),10000.0)</f>
        <v>10000</v>
      </c>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t="str">
        <f>IFERROR(__xludf.DUMMYFUNCTION("""COMPUTED_VALUE"""),"(Wyverntail Set) ++Freeze Immunity")</f>
        <v>(Wyverntail Set) ++Freeze Immunity</v>
      </c>
      <c r="AG392" s="32" t="str">
        <f>IFERROR(__xludf.DUMMYFUNCTION("""COMPUTED_VALUE"""),"Dragonscale Island")</f>
        <v>Dragonscale Island</v>
      </c>
      <c r="AH392" s="32" t="b">
        <f>IFERROR(__xludf.DUMMYFUNCTION("""COMPUTED_VALUE"""),TRUE)</f>
        <v>1</v>
      </c>
      <c r="AI392" s="32"/>
      <c r="AJ392" s="32"/>
      <c r="AK392" s="32"/>
      <c r="AL392" s="32"/>
      <c r="AM392" s="32"/>
      <c r="AN392" s="32"/>
      <c r="AO392" s="32"/>
      <c r="AP392" s="32"/>
      <c r="AQ392" s="32"/>
      <c r="AR392" s="32"/>
      <c r="AS392" s="32"/>
      <c r="AT392" s="32"/>
      <c r="AU392" s="32"/>
      <c r="AV392" s="32"/>
      <c r="AW392" s="32"/>
      <c r="AX392" s="32"/>
    </row>
    <row r="393">
      <c r="A393" s="32" t="str">
        <f>IFERROR(__xludf.DUMMYFUNCTION("""COMPUTED_VALUE"""),"WyvernTail Pauldrons")</f>
        <v>WyvernTail Pauldrons</v>
      </c>
      <c r="B393" s="32" t="str">
        <f>IFERROR(__xludf.DUMMYFUNCTION("""COMPUTED_VALUE"""),"Shoulders")</f>
        <v>Shoulders</v>
      </c>
      <c r="C393" s="32"/>
      <c r="D393" s="5"/>
      <c r="E393" s="40">
        <f>IFERROR(__xludf.DUMMYFUNCTION("""COMPUTED_VALUE"""),200.0)</f>
        <v>200</v>
      </c>
      <c r="F393" s="44">
        <f>IFERROR(__xludf.DUMMYFUNCTION("""COMPUTED_VALUE"""),1900000.0)</f>
        <v>1900000</v>
      </c>
      <c r="G393" s="32" t="str">
        <f>IFERROR(__xludf.DUMMYFUNCTION("""COMPUTED_VALUE"""),"DEF")</f>
        <v>DEF</v>
      </c>
      <c r="H393" s="32">
        <f>IFERROR(__xludf.DUMMYFUNCTION("""COMPUTED_VALUE"""),10000.0)</f>
        <v>10000</v>
      </c>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t="str">
        <f>IFERROR(__xludf.DUMMYFUNCTION("""COMPUTED_VALUE"""),"(Wyverntail Set) ++Freeze Immunity")</f>
        <v>(Wyverntail Set) ++Freeze Immunity</v>
      </c>
      <c r="AG393" s="32" t="str">
        <f>IFERROR(__xludf.DUMMYFUNCTION("""COMPUTED_VALUE"""),"Dragonscale Island")</f>
        <v>Dragonscale Island</v>
      </c>
      <c r="AH393" s="32" t="b">
        <f>IFERROR(__xludf.DUMMYFUNCTION("""COMPUTED_VALUE"""),TRUE)</f>
        <v>1</v>
      </c>
      <c r="AI393" s="32"/>
      <c r="AJ393" s="32"/>
      <c r="AK393" s="32"/>
      <c r="AL393" s="32"/>
      <c r="AM393" s="32"/>
      <c r="AN393" s="32"/>
      <c r="AO393" s="32"/>
      <c r="AP393" s="32"/>
      <c r="AQ393" s="32"/>
      <c r="AR393" s="32"/>
      <c r="AS393" s="32"/>
      <c r="AT393" s="32"/>
      <c r="AU393" s="32"/>
      <c r="AV393" s="32"/>
      <c r="AW393" s="32"/>
      <c r="AX393" s="32"/>
    </row>
    <row r="394">
      <c r="A394" s="32" t="str">
        <f>IFERROR(__xludf.DUMMYFUNCTION("""COMPUTED_VALUE"""),"WyvernTail Chestplate")</f>
        <v>WyvernTail Chestplate</v>
      </c>
      <c r="B394" s="32" t="str">
        <f>IFERROR(__xludf.DUMMYFUNCTION("""COMPUTED_VALUE"""),"Torso")</f>
        <v>Torso</v>
      </c>
      <c r="C394" s="32"/>
      <c r="D394" s="5"/>
      <c r="E394" s="40">
        <f>IFERROR(__xludf.DUMMYFUNCTION("""COMPUTED_VALUE"""),200.0)</f>
        <v>200</v>
      </c>
      <c r="F394" s="44">
        <f>IFERROR(__xludf.DUMMYFUNCTION("""COMPUTED_VALUE"""),1900000.0)</f>
        <v>1900000</v>
      </c>
      <c r="G394" s="32" t="str">
        <f>IFERROR(__xludf.DUMMYFUNCTION("""COMPUTED_VALUE"""),"DEF")</f>
        <v>DEF</v>
      </c>
      <c r="H394" s="32">
        <f>IFERROR(__xludf.DUMMYFUNCTION("""COMPUTED_VALUE"""),10000.0)</f>
        <v>10000</v>
      </c>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t="str">
        <f>IFERROR(__xludf.DUMMYFUNCTION("""COMPUTED_VALUE"""),"(Wyverntail Set) ++Freeze Immunity")</f>
        <v>(Wyverntail Set) ++Freeze Immunity</v>
      </c>
      <c r="AG394" s="32" t="str">
        <f>IFERROR(__xludf.DUMMYFUNCTION("""COMPUTED_VALUE"""),"Dragonscale Island")</f>
        <v>Dragonscale Island</v>
      </c>
      <c r="AH394" s="32" t="b">
        <f>IFERROR(__xludf.DUMMYFUNCTION("""COMPUTED_VALUE"""),TRUE)</f>
        <v>1</v>
      </c>
      <c r="AI394" s="32"/>
      <c r="AJ394" s="32"/>
      <c r="AK394" s="32"/>
      <c r="AL394" s="32"/>
      <c r="AM394" s="32"/>
      <c r="AN394" s="32"/>
      <c r="AO394" s="32"/>
      <c r="AP394" s="32"/>
      <c r="AQ394" s="32"/>
      <c r="AR394" s="32"/>
      <c r="AS394" s="32"/>
      <c r="AT394" s="32"/>
      <c r="AU394" s="32"/>
      <c r="AV394" s="32"/>
      <c r="AW394" s="32"/>
      <c r="AX394" s="32"/>
    </row>
    <row r="395">
      <c r="A395" s="32" t="str">
        <f>IFERROR(__xludf.DUMMYFUNCTION("""COMPUTED_VALUE"""),"WyvernTail Vambraces")</f>
        <v>WyvernTail Vambraces</v>
      </c>
      <c r="B395" s="32" t="str">
        <f>IFERROR(__xludf.DUMMYFUNCTION("""COMPUTED_VALUE"""),"Arms")</f>
        <v>Arms</v>
      </c>
      <c r="C395" s="32"/>
      <c r="D395" s="5"/>
      <c r="E395" s="40">
        <f>IFERROR(__xludf.DUMMYFUNCTION("""COMPUTED_VALUE"""),200.0)</f>
        <v>200</v>
      </c>
      <c r="F395" s="44">
        <f>IFERROR(__xludf.DUMMYFUNCTION("""COMPUTED_VALUE"""),1900000.0)</f>
        <v>1900000</v>
      </c>
      <c r="G395" s="32" t="str">
        <f>IFERROR(__xludf.DUMMYFUNCTION("""COMPUTED_VALUE"""),"DEF")</f>
        <v>DEF</v>
      </c>
      <c r="H395" s="32">
        <f>IFERROR(__xludf.DUMMYFUNCTION("""COMPUTED_VALUE"""),10000.0)</f>
        <v>10000</v>
      </c>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t="str">
        <f>IFERROR(__xludf.DUMMYFUNCTION("""COMPUTED_VALUE"""),"(Wyverntail Set) ++Freeze Immunity")</f>
        <v>(Wyverntail Set) ++Freeze Immunity</v>
      </c>
      <c r="AG395" s="32" t="str">
        <f>IFERROR(__xludf.DUMMYFUNCTION("""COMPUTED_VALUE"""),"Dragonscale Island")</f>
        <v>Dragonscale Island</v>
      </c>
      <c r="AH395" s="32" t="b">
        <f>IFERROR(__xludf.DUMMYFUNCTION("""COMPUTED_VALUE"""),TRUE)</f>
        <v>1</v>
      </c>
      <c r="AI395" s="32"/>
      <c r="AJ395" s="32"/>
      <c r="AK395" s="32"/>
      <c r="AL395" s="32"/>
      <c r="AM395" s="32"/>
      <c r="AN395" s="32"/>
      <c r="AO395" s="32"/>
      <c r="AP395" s="32"/>
      <c r="AQ395" s="32"/>
      <c r="AR395" s="32"/>
      <c r="AS395" s="32"/>
      <c r="AT395" s="32"/>
      <c r="AU395" s="32"/>
      <c r="AV395" s="32"/>
      <c r="AW395" s="32"/>
      <c r="AX395" s="32"/>
    </row>
    <row r="396">
      <c r="A396" s="32" t="str">
        <f>IFERROR(__xludf.DUMMYFUNCTION("""COMPUTED_VALUE"""),"WyvernTail Greaves")</f>
        <v>WyvernTail Greaves</v>
      </c>
      <c r="B396" s="32" t="str">
        <f>IFERROR(__xludf.DUMMYFUNCTION("""COMPUTED_VALUE"""),"Legs")</f>
        <v>Legs</v>
      </c>
      <c r="C396" s="32"/>
      <c r="D396" s="5"/>
      <c r="E396" s="40">
        <f>IFERROR(__xludf.DUMMYFUNCTION("""COMPUTED_VALUE"""),200.0)</f>
        <v>200</v>
      </c>
      <c r="F396" s="44">
        <f>IFERROR(__xludf.DUMMYFUNCTION("""COMPUTED_VALUE"""),1900000.0)</f>
        <v>1900000</v>
      </c>
      <c r="G396" s="32" t="str">
        <f>IFERROR(__xludf.DUMMYFUNCTION("""COMPUTED_VALUE"""),"DEF")</f>
        <v>DEF</v>
      </c>
      <c r="H396" s="32">
        <f>IFERROR(__xludf.DUMMYFUNCTION("""COMPUTED_VALUE"""),10000.0)</f>
        <v>10000</v>
      </c>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t="str">
        <f>IFERROR(__xludf.DUMMYFUNCTION("""COMPUTED_VALUE"""),"(Wyverntail Set) ++Freeze Immunity")</f>
        <v>(Wyverntail Set) ++Freeze Immunity</v>
      </c>
      <c r="AG396" s="32" t="str">
        <f>IFERROR(__xludf.DUMMYFUNCTION("""COMPUTED_VALUE"""),"Dragonscale Island")</f>
        <v>Dragonscale Island</v>
      </c>
      <c r="AH396" s="32" t="b">
        <f>IFERROR(__xludf.DUMMYFUNCTION("""COMPUTED_VALUE"""),TRUE)</f>
        <v>1</v>
      </c>
      <c r="AI396" s="32"/>
      <c r="AJ396" s="32"/>
      <c r="AK396" s="32"/>
      <c r="AL396" s="32"/>
      <c r="AM396" s="32"/>
      <c r="AN396" s="32"/>
      <c r="AO396" s="32"/>
      <c r="AP396" s="32"/>
      <c r="AQ396" s="32"/>
      <c r="AR396" s="32"/>
      <c r="AS396" s="32"/>
      <c r="AT396" s="32"/>
      <c r="AU396" s="32"/>
      <c r="AV396" s="32"/>
      <c r="AW396" s="32"/>
      <c r="AX396" s="32"/>
    </row>
    <row r="397">
      <c r="A397" s="32" t="str">
        <f>IFERROR(__xludf.DUMMYFUNCTION("""COMPUTED_VALUE"""),"WyvernTail Boots")</f>
        <v>WyvernTail Boots</v>
      </c>
      <c r="B397" s="32" t="str">
        <f>IFERROR(__xludf.DUMMYFUNCTION("""COMPUTED_VALUE"""),"Feet")</f>
        <v>Feet</v>
      </c>
      <c r="C397" s="32"/>
      <c r="D397" s="5"/>
      <c r="E397" s="40">
        <f>IFERROR(__xludf.DUMMYFUNCTION("""COMPUTED_VALUE"""),200.0)</f>
        <v>200</v>
      </c>
      <c r="F397" s="44">
        <f>IFERROR(__xludf.DUMMYFUNCTION("""COMPUTED_VALUE"""),1900000.0)</f>
        <v>1900000</v>
      </c>
      <c r="G397" s="32" t="str">
        <f>IFERROR(__xludf.DUMMYFUNCTION("""COMPUTED_VALUE"""),"DEF")</f>
        <v>DEF</v>
      </c>
      <c r="H397" s="32">
        <f>IFERROR(__xludf.DUMMYFUNCTION("""COMPUTED_VALUE"""),10000.0)</f>
        <v>10000</v>
      </c>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t="str">
        <f>IFERROR(__xludf.DUMMYFUNCTION("""COMPUTED_VALUE"""),"(Wyverntail Set) ++Freeze Immunity")</f>
        <v>(Wyverntail Set) ++Freeze Immunity</v>
      </c>
      <c r="AG397" s="32" t="str">
        <f>IFERROR(__xludf.DUMMYFUNCTION("""COMPUTED_VALUE"""),"Dragonscale Island")</f>
        <v>Dragonscale Island</v>
      </c>
      <c r="AH397" s="32" t="b">
        <f>IFERROR(__xludf.DUMMYFUNCTION("""COMPUTED_VALUE"""),TRUE)</f>
        <v>1</v>
      </c>
      <c r="AI397" s="32"/>
      <c r="AJ397" s="32"/>
      <c r="AK397" s="32"/>
      <c r="AL397" s="32"/>
      <c r="AM397" s="32"/>
      <c r="AN397" s="32"/>
      <c r="AO397" s="32"/>
      <c r="AP397" s="32"/>
      <c r="AQ397" s="32"/>
      <c r="AR397" s="32"/>
      <c r="AS397" s="32"/>
      <c r="AT397" s="32"/>
      <c r="AU397" s="32"/>
      <c r="AV397" s="32"/>
      <c r="AW397" s="32"/>
      <c r="AX397" s="32"/>
    </row>
    <row r="398">
      <c r="A398" s="32" t="str">
        <f>IFERROR(__xludf.DUMMYFUNCTION("""COMPUTED_VALUE"""),"WyvernTail Pendent")</f>
        <v>WyvernTail Pendent</v>
      </c>
      <c r="B398" s="32" t="str">
        <f>IFERROR(__xludf.DUMMYFUNCTION("""COMPUTED_VALUE"""),"Neck")</f>
        <v>Neck</v>
      </c>
      <c r="C398" s="32"/>
      <c r="D398" s="5"/>
      <c r="E398" s="40">
        <f>IFERROR(__xludf.DUMMYFUNCTION("""COMPUTED_VALUE"""),1.0)</f>
        <v>1</v>
      </c>
      <c r="F398" s="44">
        <f>IFERROR(__xludf.DUMMYFUNCTION("""COMPUTED_VALUE"""),0.0)</f>
        <v>0</v>
      </c>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t="str">
        <f>IFERROR(__xludf.DUMMYFUNCTION("""COMPUTED_VALUE"""),"(Wyverntail Set) ++When you are attacked, the enemy that attacked you has a 25% Chance to Freeze.")</f>
        <v>(Wyverntail Set) ++When you are attacked, the enemy that attacked you has a 25% Chance to Freeze.</v>
      </c>
      <c r="AG398" s="32" t="str">
        <f>IFERROR(__xludf.DUMMYFUNCTION("""COMPUTED_VALUE"""),"Dragonscale Island")</f>
        <v>Dragonscale Island</v>
      </c>
      <c r="AH398" s="32" t="b">
        <f>IFERROR(__xludf.DUMMYFUNCTION("""COMPUTED_VALUE"""),FALSE)</f>
        <v>0</v>
      </c>
      <c r="AI398" s="32"/>
      <c r="AJ398" s="32"/>
      <c r="AK398" s="32"/>
      <c r="AL398" s="32"/>
      <c r="AM398" s="32"/>
      <c r="AN398" s="32"/>
      <c r="AO398" s="32"/>
      <c r="AP398" s="32"/>
      <c r="AQ398" s="32"/>
      <c r="AR398" s="32"/>
      <c r="AS398" s="32"/>
      <c r="AT398" s="32"/>
      <c r="AU398" s="32"/>
      <c r="AV398" s="32"/>
      <c r="AW398" s="32"/>
      <c r="AX398" s="32"/>
    </row>
    <row r="399">
      <c r="A399" s="32" t="str">
        <f>IFERROR(__xludf.DUMMYFUNCTION("""COMPUTED_VALUE"""),"WyvernTail Ring")</f>
        <v>WyvernTail Ring</v>
      </c>
      <c r="B399" s="32" t="str">
        <f>IFERROR(__xludf.DUMMYFUNCTION("""COMPUTED_VALUE"""),"Ring")</f>
        <v>Ring</v>
      </c>
      <c r="C399" s="32"/>
      <c r="D399" s="5"/>
      <c r="E399" s="40">
        <f>IFERROR(__xludf.DUMMYFUNCTION("""COMPUTED_VALUE"""),1.0)</f>
        <v>1</v>
      </c>
      <c r="F399" s="44">
        <f>IFERROR(__xludf.DUMMYFUNCTION("""COMPUTED_VALUE"""),0.0)</f>
        <v>0</v>
      </c>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t="str">
        <f>IFERROR(__xludf.DUMMYFUNCTION("""COMPUTED_VALUE"""),"(Wyverntail Set) ++When you are attacked, the enemy that attacked you has a 25% Chance to Freeze. ")</f>
        <v>(Wyverntail Set) ++When you are attacked, the enemy that attacked you has a 25% Chance to Freeze. </v>
      </c>
      <c r="AG399" s="32" t="str">
        <f>IFERROR(__xludf.DUMMYFUNCTION("""COMPUTED_VALUE"""),"Dragonscale Island")</f>
        <v>Dragonscale Island</v>
      </c>
      <c r="AH399" s="32" t="b">
        <f>IFERROR(__xludf.DUMMYFUNCTION("""COMPUTED_VALUE"""),FALSE)</f>
        <v>0</v>
      </c>
      <c r="AI399" s="32"/>
      <c r="AJ399" s="32"/>
      <c r="AK399" s="32"/>
      <c r="AL399" s="32"/>
      <c r="AM399" s="32"/>
      <c r="AN399" s="32"/>
      <c r="AO399" s="32"/>
      <c r="AP399" s="32"/>
      <c r="AQ399" s="32"/>
      <c r="AR399" s="32"/>
      <c r="AS399" s="32"/>
      <c r="AT399" s="32"/>
      <c r="AU399" s="32"/>
      <c r="AV399" s="32"/>
      <c r="AW399" s="32"/>
      <c r="AX399" s="32"/>
    </row>
    <row r="400">
      <c r="A400" s="32" t="str">
        <f>IFERROR(__xludf.DUMMYFUNCTION("""COMPUTED_VALUE"""),"Sweltering Blade")</f>
        <v>Sweltering Blade</v>
      </c>
      <c r="B400" s="32" t="str">
        <f>IFERROR(__xludf.DUMMYFUNCTION("""COMPUTED_VALUE"""),"Hand")</f>
        <v>Hand</v>
      </c>
      <c r="C400" s="32"/>
      <c r="D400" s="5" t="str">
        <f>IFERROR(__xludf.DUMMYFUNCTION("""COMPUTED_VALUE"""),"Sword")</f>
        <v>Sword</v>
      </c>
      <c r="E400" s="40">
        <f>IFERROR(__xludf.DUMMYFUNCTION("""COMPUTED_VALUE"""),400.0)</f>
        <v>400</v>
      </c>
      <c r="F400" s="44">
        <f>IFERROR(__xludf.DUMMYFUNCTION("""COMPUTED_VALUE"""),7800000.0)</f>
        <v>7800000</v>
      </c>
      <c r="G400" s="32" t="str">
        <f>IFERROR(__xludf.DUMMYFUNCTION("""COMPUTED_VALUE"""),"DMG")</f>
        <v>DMG</v>
      </c>
      <c r="H400" s="32">
        <f>IFERROR(__xludf.DUMMYFUNCTION("""COMPUTED_VALUE"""),5000.0)</f>
        <v>5000</v>
      </c>
      <c r="I400" s="32">
        <f>IFERROR(__xludf.DUMMYFUNCTION("""COMPUTED_VALUE"""),5000.0)</f>
        <v>5000</v>
      </c>
      <c r="J400" s="32"/>
      <c r="K400" s="32">
        <f>IFERROR(__xludf.DUMMYFUNCTION("""COMPUTED_VALUE"""),5000.0)</f>
        <v>5000</v>
      </c>
      <c r="L400" s="32"/>
      <c r="M400" s="32"/>
      <c r="N400" s="32"/>
      <c r="O400" s="32"/>
      <c r="P400" s="32"/>
      <c r="Q400" s="32"/>
      <c r="R400" s="32"/>
      <c r="S400" s="32">
        <f>IFERROR(__xludf.DUMMYFUNCTION("""COMPUTED_VALUE"""),5000.0)</f>
        <v>5000</v>
      </c>
      <c r="T400" s="32"/>
      <c r="U400" s="32"/>
      <c r="V400" s="32"/>
      <c r="W400" s="32"/>
      <c r="X400" s="32"/>
      <c r="Y400" s="32"/>
      <c r="Z400" s="32"/>
      <c r="AA400" s="32"/>
      <c r="AB400" s="32"/>
      <c r="AC400" s="32"/>
      <c r="AD400" s="32"/>
      <c r="AE400" s="32"/>
      <c r="AF400" s="32" t="str">
        <f>IFERROR(__xludf.DUMMYFUNCTION("""COMPUTED_VALUE"""),"(Sweltering Set) ++X2 Nature, Water, and Fire Damage.")</f>
        <v>(Sweltering Set) ++X2 Nature, Water, and Fire Damage.</v>
      </c>
      <c r="AG400" s="32" t="str">
        <f>IFERROR(__xludf.DUMMYFUNCTION("""COMPUTED_VALUE"""),"Dragonscale Island")</f>
        <v>Dragonscale Island</v>
      </c>
      <c r="AH400" s="32" t="b">
        <f>IFERROR(__xludf.DUMMYFUNCTION("""COMPUTED_VALUE"""),TRUE)</f>
        <v>1</v>
      </c>
      <c r="AI400" s="32"/>
      <c r="AJ400" s="32"/>
      <c r="AK400" s="32"/>
      <c r="AL400" s="32"/>
      <c r="AM400" s="32"/>
      <c r="AN400" s="32"/>
      <c r="AO400" s="32"/>
      <c r="AP400" s="32"/>
      <c r="AQ400" s="32"/>
      <c r="AR400" s="32"/>
      <c r="AS400" s="32"/>
      <c r="AT400" s="32"/>
      <c r="AU400" s="32"/>
      <c r="AV400" s="32"/>
      <c r="AW400" s="32"/>
      <c r="AX400" s="32"/>
    </row>
    <row r="401">
      <c r="A401" s="32" t="str">
        <f>IFERROR(__xludf.DUMMYFUNCTION("""COMPUTED_VALUE"""),"Sweltering Helm")</f>
        <v>Sweltering Helm</v>
      </c>
      <c r="B401" s="32" t="str">
        <f>IFERROR(__xludf.DUMMYFUNCTION("""COMPUTED_VALUE"""),"Head")</f>
        <v>Head</v>
      </c>
      <c r="C401" s="32"/>
      <c r="D401" s="5"/>
      <c r="E401" s="40">
        <f>IFERROR(__xludf.DUMMYFUNCTION("""COMPUTED_VALUE"""),400.0)</f>
        <v>400</v>
      </c>
      <c r="F401" s="44">
        <f>IFERROR(__xludf.DUMMYFUNCTION("""COMPUTED_VALUE"""),7800000.0)</f>
        <v>7800000</v>
      </c>
      <c r="G401" s="32" t="str">
        <f>IFERROR(__xludf.DUMMYFUNCTION("""COMPUTED_VALUE"""),"DEF")</f>
        <v>DEF</v>
      </c>
      <c r="H401" s="32">
        <f>IFERROR(__xludf.DUMMYFUNCTION("""COMPUTED_VALUE"""),5000.0)</f>
        <v>5000</v>
      </c>
      <c r="I401" s="32">
        <f>IFERROR(__xludf.DUMMYFUNCTION("""COMPUTED_VALUE"""),5000.0)</f>
        <v>5000</v>
      </c>
      <c r="J401" s="32"/>
      <c r="K401" s="32">
        <f>IFERROR(__xludf.DUMMYFUNCTION("""COMPUTED_VALUE"""),5000.0)</f>
        <v>5000</v>
      </c>
      <c r="L401" s="32"/>
      <c r="M401" s="32"/>
      <c r="N401" s="32"/>
      <c r="O401" s="32"/>
      <c r="P401" s="32"/>
      <c r="Q401" s="32"/>
      <c r="R401" s="32"/>
      <c r="S401" s="32">
        <f>IFERROR(__xludf.DUMMYFUNCTION("""COMPUTED_VALUE"""),5000.0)</f>
        <v>5000</v>
      </c>
      <c r="T401" s="32"/>
      <c r="U401" s="32"/>
      <c r="V401" s="32"/>
      <c r="W401" s="32"/>
      <c r="X401" s="32"/>
      <c r="Y401" s="32"/>
      <c r="Z401" s="32"/>
      <c r="AA401" s="32"/>
      <c r="AB401" s="32"/>
      <c r="AC401" s="32"/>
      <c r="AD401" s="32"/>
      <c r="AE401" s="32"/>
      <c r="AF401" s="32" t="str">
        <f>IFERROR(__xludf.DUMMYFUNCTION("""COMPUTED_VALUE"""),"(Sweltering Set) ++X2 Nature, Water, and Fire Damage.")</f>
        <v>(Sweltering Set) ++X2 Nature, Water, and Fire Damage.</v>
      </c>
      <c r="AG401" s="32" t="str">
        <f>IFERROR(__xludf.DUMMYFUNCTION("""COMPUTED_VALUE"""),"Dragonscale Island")</f>
        <v>Dragonscale Island</v>
      </c>
      <c r="AH401" s="32" t="b">
        <f>IFERROR(__xludf.DUMMYFUNCTION("""COMPUTED_VALUE"""),TRUE)</f>
        <v>1</v>
      </c>
      <c r="AI401" s="32"/>
      <c r="AJ401" s="32"/>
      <c r="AK401" s="32"/>
      <c r="AL401" s="32"/>
      <c r="AM401" s="32"/>
      <c r="AN401" s="32"/>
      <c r="AO401" s="32"/>
      <c r="AP401" s="32"/>
      <c r="AQ401" s="32"/>
      <c r="AR401" s="32"/>
      <c r="AS401" s="32"/>
      <c r="AT401" s="32"/>
      <c r="AU401" s="32"/>
      <c r="AV401" s="32"/>
      <c r="AW401" s="32"/>
      <c r="AX401" s="32"/>
    </row>
    <row r="402">
      <c r="A402" s="32" t="str">
        <f>IFERROR(__xludf.DUMMYFUNCTION("""COMPUTED_VALUE"""),"Sweltering Pauldrons")</f>
        <v>Sweltering Pauldrons</v>
      </c>
      <c r="B402" s="32" t="str">
        <f>IFERROR(__xludf.DUMMYFUNCTION("""COMPUTED_VALUE"""),"Shoulders")</f>
        <v>Shoulders</v>
      </c>
      <c r="C402" s="32"/>
      <c r="D402" s="5"/>
      <c r="E402" s="40">
        <f>IFERROR(__xludf.DUMMYFUNCTION("""COMPUTED_VALUE"""),400.0)</f>
        <v>400</v>
      </c>
      <c r="F402" s="44">
        <f>IFERROR(__xludf.DUMMYFUNCTION("""COMPUTED_VALUE"""),7800000.0)</f>
        <v>7800000</v>
      </c>
      <c r="G402" s="32" t="str">
        <f>IFERROR(__xludf.DUMMYFUNCTION("""COMPUTED_VALUE"""),"DEF")</f>
        <v>DEF</v>
      </c>
      <c r="H402" s="32">
        <f>IFERROR(__xludf.DUMMYFUNCTION("""COMPUTED_VALUE"""),5000.0)</f>
        <v>5000</v>
      </c>
      <c r="I402" s="32">
        <f>IFERROR(__xludf.DUMMYFUNCTION("""COMPUTED_VALUE"""),5000.0)</f>
        <v>5000</v>
      </c>
      <c r="J402" s="32"/>
      <c r="K402" s="32">
        <f>IFERROR(__xludf.DUMMYFUNCTION("""COMPUTED_VALUE"""),5000.0)</f>
        <v>5000</v>
      </c>
      <c r="L402" s="32"/>
      <c r="M402" s="32"/>
      <c r="N402" s="32"/>
      <c r="O402" s="32"/>
      <c r="P402" s="32"/>
      <c r="Q402" s="32"/>
      <c r="R402" s="32"/>
      <c r="S402" s="32">
        <f>IFERROR(__xludf.DUMMYFUNCTION("""COMPUTED_VALUE"""),5000.0)</f>
        <v>5000</v>
      </c>
      <c r="T402" s="32"/>
      <c r="U402" s="32"/>
      <c r="V402" s="32"/>
      <c r="W402" s="32"/>
      <c r="X402" s="32"/>
      <c r="Y402" s="32"/>
      <c r="Z402" s="32"/>
      <c r="AA402" s="32"/>
      <c r="AB402" s="32"/>
      <c r="AC402" s="32"/>
      <c r="AD402" s="32"/>
      <c r="AE402" s="32"/>
      <c r="AF402" s="32" t="str">
        <f>IFERROR(__xludf.DUMMYFUNCTION("""COMPUTED_VALUE"""),"(Sweltering Set) ++X2 Nature, Water, and Fire Damage.")</f>
        <v>(Sweltering Set) ++X2 Nature, Water, and Fire Damage.</v>
      </c>
      <c r="AG402" s="32" t="str">
        <f>IFERROR(__xludf.DUMMYFUNCTION("""COMPUTED_VALUE"""),"Dragonscale Island")</f>
        <v>Dragonscale Island</v>
      </c>
      <c r="AH402" s="32" t="b">
        <f>IFERROR(__xludf.DUMMYFUNCTION("""COMPUTED_VALUE"""),TRUE)</f>
        <v>1</v>
      </c>
      <c r="AI402" s="32"/>
      <c r="AJ402" s="32"/>
      <c r="AK402" s="32"/>
      <c r="AL402" s="32"/>
      <c r="AM402" s="32"/>
      <c r="AN402" s="32"/>
      <c r="AO402" s="32"/>
      <c r="AP402" s="32"/>
      <c r="AQ402" s="32"/>
      <c r="AR402" s="32"/>
      <c r="AS402" s="32"/>
      <c r="AT402" s="32"/>
      <c r="AU402" s="32"/>
      <c r="AV402" s="32"/>
      <c r="AW402" s="32"/>
      <c r="AX402" s="32"/>
    </row>
    <row r="403">
      <c r="A403" s="32" t="str">
        <f>IFERROR(__xludf.DUMMYFUNCTION("""COMPUTED_VALUE"""),"Sweltering Chestplate")</f>
        <v>Sweltering Chestplate</v>
      </c>
      <c r="B403" s="32" t="str">
        <f>IFERROR(__xludf.DUMMYFUNCTION("""COMPUTED_VALUE"""),"Torso")</f>
        <v>Torso</v>
      </c>
      <c r="C403" s="32"/>
      <c r="D403" s="5"/>
      <c r="E403" s="40">
        <f>IFERROR(__xludf.DUMMYFUNCTION("""COMPUTED_VALUE"""),400.0)</f>
        <v>400</v>
      </c>
      <c r="F403" s="44">
        <f>IFERROR(__xludf.DUMMYFUNCTION("""COMPUTED_VALUE"""),7800000.0)</f>
        <v>7800000</v>
      </c>
      <c r="G403" s="32" t="str">
        <f>IFERROR(__xludf.DUMMYFUNCTION("""COMPUTED_VALUE"""),"DEF")</f>
        <v>DEF</v>
      </c>
      <c r="H403" s="32">
        <f>IFERROR(__xludf.DUMMYFUNCTION("""COMPUTED_VALUE"""),5000.0)</f>
        <v>5000</v>
      </c>
      <c r="I403" s="32">
        <f>IFERROR(__xludf.DUMMYFUNCTION("""COMPUTED_VALUE"""),5000.0)</f>
        <v>5000</v>
      </c>
      <c r="J403" s="32"/>
      <c r="K403" s="32">
        <f>IFERROR(__xludf.DUMMYFUNCTION("""COMPUTED_VALUE"""),5000.0)</f>
        <v>5000</v>
      </c>
      <c r="L403" s="32"/>
      <c r="M403" s="32"/>
      <c r="N403" s="32"/>
      <c r="O403" s="32"/>
      <c r="P403" s="32"/>
      <c r="Q403" s="32"/>
      <c r="R403" s="32"/>
      <c r="S403" s="32">
        <f>IFERROR(__xludf.DUMMYFUNCTION("""COMPUTED_VALUE"""),5000.0)</f>
        <v>5000</v>
      </c>
      <c r="T403" s="32"/>
      <c r="U403" s="32"/>
      <c r="V403" s="32"/>
      <c r="W403" s="32"/>
      <c r="X403" s="32"/>
      <c r="Y403" s="32"/>
      <c r="Z403" s="32"/>
      <c r="AA403" s="32"/>
      <c r="AB403" s="32"/>
      <c r="AC403" s="32"/>
      <c r="AD403" s="32"/>
      <c r="AE403" s="32"/>
      <c r="AF403" s="32" t="str">
        <f>IFERROR(__xludf.DUMMYFUNCTION("""COMPUTED_VALUE"""),"(Sweltering Set) ++X2 Nature, Water, and Fire Damage.")</f>
        <v>(Sweltering Set) ++X2 Nature, Water, and Fire Damage.</v>
      </c>
      <c r="AG403" s="32" t="str">
        <f>IFERROR(__xludf.DUMMYFUNCTION("""COMPUTED_VALUE"""),"Dragonscale Island")</f>
        <v>Dragonscale Island</v>
      </c>
      <c r="AH403" s="32" t="b">
        <f>IFERROR(__xludf.DUMMYFUNCTION("""COMPUTED_VALUE"""),TRUE)</f>
        <v>1</v>
      </c>
      <c r="AI403" s="32"/>
      <c r="AJ403" s="32"/>
      <c r="AK403" s="32"/>
      <c r="AL403" s="32"/>
      <c r="AM403" s="32"/>
      <c r="AN403" s="32"/>
      <c r="AO403" s="32"/>
      <c r="AP403" s="32"/>
      <c r="AQ403" s="32"/>
      <c r="AR403" s="32"/>
      <c r="AS403" s="32"/>
      <c r="AT403" s="32"/>
      <c r="AU403" s="32"/>
      <c r="AV403" s="32"/>
      <c r="AW403" s="32"/>
      <c r="AX403" s="32"/>
    </row>
    <row r="404">
      <c r="A404" s="32" t="str">
        <f>IFERROR(__xludf.DUMMYFUNCTION("""COMPUTED_VALUE"""),"Sweltering Vambraces")</f>
        <v>Sweltering Vambraces</v>
      </c>
      <c r="B404" s="32" t="str">
        <f>IFERROR(__xludf.DUMMYFUNCTION("""COMPUTED_VALUE"""),"Arms")</f>
        <v>Arms</v>
      </c>
      <c r="C404" s="32"/>
      <c r="D404" s="5"/>
      <c r="E404" s="40">
        <f>IFERROR(__xludf.DUMMYFUNCTION("""COMPUTED_VALUE"""),400.0)</f>
        <v>400</v>
      </c>
      <c r="F404" s="44">
        <f>IFERROR(__xludf.DUMMYFUNCTION("""COMPUTED_VALUE"""),7800000.0)</f>
        <v>7800000</v>
      </c>
      <c r="G404" s="32" t="str">
        <f>IFERROR(__xludf.DUMMYFUNCTION("""COMPUTED_VALUE"""),"DEF")</f>
        <v>DEF</v>
      </c>
      <c r="H404" s="32">
        <f>IFERROR(__xludf.DUMMYFUNCTION("""COMPUTED_VALUE"""),5000.0)</f>
        <v>5000</v>
      </c>
      <c r="I404" s="32">
        <f>IFERROR(__xludf.DUMMYFUNCTION("""COMPUTED_VALUE"""),5000.0)</f>
        <v>5000</v>
      </c>
      <c r="J404" s="32"/>
      <c r="K404" s="32">
        <f>IFERROR(__xludf.DUMMYFUNCTION("""COMPUTED_VALUE"""),5000.0)</f>
        <v>5000</v>
      </c>
      <c r="L404" s="32"/>
      <c r="M404" s="32"/>
      <c r="N404" s="32"/>
      <c r="O404" s="32"/>
      <c r="P404" s="32"/>
      <c r="Q404" s="32"/>
      <c r="R404" s="32"/>
      <c r="S404" s="32">
        <f>IFERROR(__xludf.DUMMYFUNCTION("""COMPUTED_VALUE"""),5000.0)</f>
        <v>5000</v>
      </c>
      <c r="T404" s="32"/>
      <c r="U404" s="32"/>
      <c r="V404" s="32"/>
      <c r="W404" s="32"/>
      <c r="X404" s="32"/>
      <c r="Y404" s="32"/>
      <c r="Z404" s="32"/>
      <c r="AA404" s="32"/>
      <c r="AB404" s="32"/>
      <c r="AC404" s="32"/>
      <c r="AD404" s="32"/>
      <c r="AE404" s="32"/>
      <c r="AF404" s="32" t="str">
        <f>IFERROR(__xludf.DUMMYFUNCTION("""COMPUTED_VALUE"""),"(Sweltering Set) ++X2 Nature, Water, and Fire Damage.")</f>
        <v>(Sweltering Set) ++X2 Nature, Water, and Fire Damage.</v>
      </c>
      <c r="AG404" s="32" t="str">
        <f>IFERROR(__xludf.DUMMYFUNCTION("""COMPUTED_VALUE"""),"Dragonscale Island")</f>
        <v>Dragonscale Island</v>
      </c>
      <c r="AH404" s="32" t="b">
        <f>IFERROR(__xludf.DUMMYFUNCTION("""COMPUTED_VALUE"""),TRUE)</f>
        <v>1</v>
      </c>
      <c r="AI404" s="32"/>
      <c r="AJ404" s="32"/>
      <c r="AK404" s="32"/>
      <c r="AL404" s="32"/>
      <c r="AM404" s="32"/>
      <c r="AN404" s="32"/>
      <c r="AO404" s="32"/>
      <c r="AP404" s="32"/>
      <c r="AQ404" s="32"/>
      <c r="AR404" s="32"/>
      <c r="AS404" s="32"/>
      <c r="AT404" s="32"/>
      <c r="AU404" s="32"/>
      <c r="AV404" s="32"/>
      <c r="AW404" s="32"/>
      <c r="AX404" s="32"/>
    </row>
    <row r="405">
      <c r="A405" s="32" t="str">
        <f>IFERROR(__xludf.DUMMYFUNCTION("""COMPUTED_VALUE"""),"Sweltering Greaves")</f>
        <v>Sweltering Greaves</v>
      </c>
      <c r="B405" s="32" t="str">
        <f>IFERROR(__xludf.DUMMYFUNCTION("""COMPUTED_VALUE"""),"Legs")</f>
        <v>Legs</v>
      </c>
      <c r="C405" s="32"/>
      <c r="D405" s="5"/>
      <c r="E405" s="40">
        <f>IFERROR(__xludf.DUMMYFUNCTION("""COMPUTED_VALUE"""),400.0)</f>
        <v>400</v>
      </c>
      <c r="F405" s="44">
        <f>IFERROR(__xludf.DUMMYFUNCTION("""COMPUTED_VALUE"""),7800000.0)</f>
        <v>7800000</v>
      </c>
      <c r="G405" s="32" t="str">
        <f>IFERROR(__xludf.DUMMYFUNCTION("""COMPUTED_VALUE"""),"DEF")</f>
        <v>DEF</v>
      </c>
      <c r="H405" s="32">
        <f>IFERROR(__xludf.DUMMYFUNCTION("""COMPUTED_VALUE"""),5000.0)</f>
        <v>5000</v>
      </c>
      <c r="I405" s="32">
        <f>IFERROR(__xludf.DUMMYFUNCTION("""COMPUTED_VALUE"""),5000.0)</f>
        <v>5000</v>
      </c>
      <c r="J405" s="32"/>
      <c r="K405" s="32">
        <f>IFERROR(__xludf.DUMMYFUNCTION("""COMPUTED_VALUE"""),5000.0)</f>
        <v>5000</v>
      </c>
      <c r="L405" s="32"/>
      <c r="M405" s="32"/>
      <c r="N405" s="32"/>
      <c r="O405" s="32"/>
      <c r="P405" s="32"/>
      <c r="Q405" s="32"/>
      <c r="R405" s="32"/>
      <c r="S405" s="32">
        <f>IFERROR(__xludf.DUMMYFUNCTION("""COMPUTED_VALUE"""),5000.0)</f>
        <v>5000</v>
      </c>
      <c r="T405" s="32"/>
      <c r="U405" s="32"/>
      <c r="V405" s="32"/>
      <c r="W405" s="32"/>
      <c r="X405" s="32"/>
      <c r="Y405" s="32"/>
      <c r="Z405" s="32"/>
      <c r="AA405" s="32"/>
      <c r="AB405" s="32"/>
      <c r="AC405" s="32"/>
      <c r="AD405" s="32"/>
      <c r="AE405" s="32"/>
      <c r="AF405" s="32" t="str">
        <f>IFERROR(__xludf.DUMMYFUNCTION("""COMPUTED_VALUE"""),"(Sweltering Set) ++X2 Nature, Water, and Fire Damage.")</f>
        <v>(Sweltering Set) ++X2 Nature, Water, and Fire Damage.</v>
      </c>
      <c r="AG405" s="32" t="str">
        <f>IFERROR(__xludf.DUMMYFUNCTION("""COMPUTED_VALUE"""),"Dragonscale Island")</f>
        <v>Dragonscale Island</v>
      </c>
      <c r="AH405" s="32" t="b">
        <f>IFERROR(__xludf.DUMMYFUNCTION("""COMPUTED_VALUE"""),TRUE)</f>
        <v>1</v>
      </c>
      <c r="AI405" s="32"/>
      <c r="AJ405" s="32"/>
      <c r="AK405" s="32"/>
      <c r="AL405" s="32"/>
      <c r="AM405" s="32"/>
      <c r="AN405" s="32"/>
      <c r="AO405" s="32"/>
      <c r="AP405" s="32"/>
      <c r="AQ405" s="32"/>
      <c r="AR405" s="32"/>
      <c r="AS405" s="32"/>
      <c r="AT405" s="32"/>
      <c r="AU405" s="32"/>
      <c r="AV405" s="32"/>
      <c r="AW405" s="32"/>
      <c r="AX405" s="32"/>
    </row>
    <row r="406">
      <c r="A406" s="32" t="str">
        <f>IFERROR(__xludf.DUMMYFUNCTION("""COMPUTED_VALUE"""),"Sweltering Boots")</f>
        <v>Sweltering Boots</v>
      </c>
      <c r="B406" s="32" t="str">
        <f>IFERROR(__xludf.DUMMYFUNCTION("""COMPUTED_VALUE"""),"Feet")</f>
        <v>Feet</v>
      </c>
      <c r="C406" s="32"/>
      <c r="D406" s="5"/>
      <c r="E406" s="40">
        <f>IFERROR(__xludf.DUMMYFUNCTION("""COMPUTED_VALUE"""),400.0)</f>
        <v>400</v>
      </c>
      <c r="F406" s="44">
        <f>IFERROR(__xludf.DUMMYFUNCTION("""COMPUTED_VALUE"""),7800000.0)</f>
        <v>7800000</v>
      </c>
      <c r="G406" s="32" t="str">
        <f>IFERROR(__xludf.DUMMYFUNCTION("""COMPUTED_VALUE"""),"DEF")</f>
        <v>DEF</v>
      </c>
      <c r="H406" s="32">
        <f>IFERROR(__xludf.DUMMYFUNCTION("""COMPUTED_VALUE"""),5000.0)</f>
        <v>5000</v>
      </c>
      <c r="I406" s="32">
        <f>IFERROR(__xludf.DUMMYFUNCTION("""COMPUTED_VALUE"""),5000.0)</f>
        <v>5000</v>
      </c>
      <c r="J406" s="32"/>
      <c r="K406" s="32">
        <f>IFERROR(__xludf.DUMMYFUNCTION("""COMPUTED_VALUE"""),5000.0)</f>
        <v>5000</v>
      </c>
      <c r="L406" s="32"/>
      <c r="M406" s="32"/>
      <c r="N406" s="32"/>
      <c r="O406" s="32"/>
      <c r="P406" s="32"/>
      <c r="Q406" s="32"/>
      <c r="R406" s="32"/>
      <c r="S406" s="32">
        <f>IFERROR(__xludf.DUMMYFUNCTION("""COMPUTED_VALUE"""),5000.0)</f>
        <v>5000</v>
      </c>
      <c r="T406" s="32"/>
      <c r="U406" s="32"/>
      <c r="V406" s="32"/>
      <c r="W406" s="32"/>
      <c r="X406" s="32"/>
      <c r="Y406" s="32"/>
      <c r="Z406" s="32"/>
      <c r="AA406" s="32"/>
      <c r="AB406" s="32"/>
      <c r="AC406" s="32"/>
      <c r="AD406" s="32"/>
      <c r="AE406" s="32"/>
      <c r="AF406" s="32" t="str">
        <f>IFERROR(__xludf.DUMMYFUNCTION("""COMPUTED_VALUE"""),"(Sweltering Set) ++X2 Nature, Water, and Fire Damage.")</f>
        <v>(Sweltering Set) ++X2 Nature, Water, and Fire Damage.</v>
      </c>
      <c r="AG406" s="32" t="str">
        <f>IFERROR(__xludf.DUMMYFUNCTION("""COMPUTED_VALUE"""),"Dragonscale Island")</f>
        <v>Dragonscale Island</v>
      </c>
      <c r="AH406" s="32" t="b">
        <f>IFERROR(__xludf.DUMMYFUNCTION("""COMPUTED_VALUE"""),TRUE)</f>
        <v>1</v>
      </c>
      <c r="AI406" s="32"/>
      <c r="AJ406" s="32"/>
      <c r="AK406" s="32"/>
      <c r="AL406" s="32"/>
      <c r="AM406" s="32"/>
      <c r="AN406" s="32"/>
      <c r="AO406" s="32"/>
      <c r="AP406" s="32"/>
      <c r="AQ406" s="32"/>
      <c r="AR406" s="32"/>
      <c r="AS406" s="32"/>
      <c r="AT406" s="32"/>
      <c r="AU406" s="32"/>
      <c r="AV406" s="32"/>
      <c r="AW406" s="32"/>
      <c r="AX406" s="32"/>
    </row>
    <row r="407">
      <c r="A407" s="32" t="str">
        <f>IFERROR(__xludf.DUMMYFUNCTION("""COMPUTED_VALUE"""),"Sweltering Pendent")</f>
        <v>Sweltering Pendent</v>
      </c>
      <c r="B407" s="32" t="str">
        <f>IFERROR(__xludf.DUMMYFUNCTION("""COMPUTED_VALUE"""),"Neck")</f>
        <v>Neck</v>
      </c>
      <c r="C407" s="32"/>
      <c r="D407" s="5"/>
      <c r="E407" s="40">
        <f>IFERROR(__xludf.DUMMYFUNCTION("""COMPUTED_VALUE"""),1.0)</f>
        <v>1</v>
      </c>
      <c r="F407" s="44">
        <f>IFERROR(__xludf.DUMMYFUNCTION("""COMPUTED_VALUE"""),0.0)</f>
        <v>0</v>
      </c>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t="str">
        <f>IFERROR(__xludf.DUMMYFUNCTION("""COMPUTED_VALUE"""),"(Sweltering Set) ++Fire, Nature, and Water immunity.")</f>
        <v>(Sweltering Set) ++Fire, Nature, and Water immunity.</v>
      </c>
      <c r="AG407" s="32" t="str">
        <f>IFERROR(__xludf.DUMMYFUNCTION("""COMPUTED_VALUE"""),"Dragonscale Island")</f>
        <v>Dragonscale Island</v>
      </c>
      <c r="AH407" s="32" t="b">
        <f>IFERROR(__xludf.DUMMYFUNCTION("""COMPUTED_VALUE"""),FALSE)</f>
        <v>0</v>
      </c>
      <c r="AI407" s="32"/>
      <c r="AJ407" s="32"/>
      <c r="AK407" s="32"/>
      <c r="AL407" s="32"/>
      <c r="AM407" s="32"/>
      <c r="AN407" s="32"/>
      <c r="AO407" s="32"/>
      <c r="AP407" s="32"/>
      <c r="AQ407" s="32"/>
      <c r="AR407" s="32"/>
      <c r="AS407" s="32"/>
      <c r="AT407" s="32"/>
      <c r="AU407" s="32"/>
      <c r="AV407" s="32"/>
      <c r="AW407" s="32"/>
      <c r="AX407" s="32"/>
    </row>
    <row r="408">
      <c r="A408" s="32" t="str">
        <f>IFERROR(__xludf.DUMMYFUNCTION("""COMPUTED_VALUE"""),"Sweltering Ring")</f>
        <v>Sweltering Ring</v>
      </c>
      <c r="B408" s="32" t="str">
        <f>IFERROR(__xludf.DUMMYFUNCTION("""COMPUTED_VALUE"""),"Ring")</f>
        <v>Ring</v>
      </c>
      <c r="C408" s="32"/>
      <c r="D408" s="5"/>
      <c r="E408" s="40">
        <f>IFERROR(__xludf.DUMMYFUNCTION("""COMPUTED_VALUE"""),1.0)</f>
        <v>1</v>
      </c>
      <c r="F408" s="44">
        <f>IFERROR(__xludf.DUMMYFUNCTION("""COMPUTED_VALUE"""),0.0)</f>
        <v>0</v>
      </c>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t="str">
        <f>IFERROR(__xludf.DUMMYFUNCTION("""COMPUTED_VALUE"""),"(Sweltering Set) ++Fire, Nature, and Water immunity.")</f>
        <v>(Sweltering Set) ++Fire, Nature, and Water immunity.</v>
      </c>
      <c r="AG408" s="32" t="str">
        <f>IFERROR(__xludf.DUMMYFUNCTION("""COMPUTED_VALUE"""),"Dragonscale Island")</f>
        <v>Dragonscale Island</v>
      </c>
      <c r="AH408" s="32" t="b">
        <f>IFERROR(__xludf.DUMMYFUNCTION("""COMPUTED_VALUE"""),FALSE)</f>
        <v>0</v>
      </c>
      <c r="AI408" s="32"/>
      <c r="AJ408" s="32"/>
      <c r="AK408" s="32"/>
      <c r="AL408" s="32"/>
      <c r="AM408" s="32"/>
      <c r="AN408" s="32"/>
      <c r="AO408" s="32"/>
      <c r="AP408" s="32"/>
      <c r="AQ408" s="32"/>
      <c r="AR408" s="32"/>
      <c r="AS408" s="32"/>
      <c r="AT408" s="32"/>
      <c r="AU408" s="32"/>
      <c r="AV408" s="32"/>
      <c r="AW408" s="32"/>
      <c r="AX408" s="32"/>
    </row>
    <row r="409">
      <c r="A409" s="32" t="str">
        <f>IFERROR(__xludf.DUMMYFUNCTION("""COMPUTED_VALUE"""),"Reinforced Tortoise Shell")</f>
        <v>Reinforced Tortoise Shell</v>
      </c>
      <c r="B409" s="32" t="str">
        <f>IFERROR(__xludf.DUMMYFUNCTION("""COMPUTED_VALUE"""),"Torso")</f>
        <v>Torso</v>
      </c>
      <c r="C409" s="32"/>
      <c r="D409" s="5"/>
      <c r="E409" s="40">
        <f>IFERROR(__xludf.DUMMYFUNCTION("""COMPUTED_VALUE"""),400.0)</f>
        <v>400</v>
      </c>
      <c r="F409" s="44">
        <f>IFERROR(__xludf.DUMMYFUNCTION("""COMPUTED_VALUE"""),7800000.0)</f>
        <v>7800000</v>
      </c>
      <c r="G409" s="32" t="str">
        <f>IFERROR(__xludf.DUMMYFUNCTION("""COMPUTED_VALUE"""),"DEF")</f>
        <v>DEF</v>
      </c>
      <c r="H409" s="32">
        <f>IFERROR(__xludf.DUMMYFUNCTION("""COMPUTED_VALUE"""),10000.0)</f>
        <v>10000</v>
      </c>
      <c r="I409" s="32"/>
      <c r="J409" s="32"/>
      <c r="K409" s="32">
        <f>IFERROR(__xludf.DUMMYFUNCTION("""COMPUTED_VALUE"""),5000.0)</f>
        <v>5000</v>
      </c>
      <c r="L409" s="32"/>
      <c r="M409" s="32"/>
      <c r="N409" s="32">
        <f>IFERROR(__xludf.DUMMYFUNCTION("""COMPUTED_VALUE"""),5000.0)</f>
        <v>5000</v>
      </c>
      <c r="O409" s="32"/>
      <c r="P409" s="32"/>
      <c r="Q409" s="32"/>
      <c r="R409" s="32"/>
      <c r="S409" s="32"/>
      <c r="T409" s="32"/>
      <c r="U409" s="32"/>
      <c r="V409" s="32"/>
      <c r="W409" s="32"/>
      <c r="X409" s="32"/>
      <c r="Y409" s="32"/>
      <c r="Z409" s="32"/>
      <c r="AA409" s="32"/>
      <c r="AB409" s="32"/>
      <c r="AC409" s="32"/>
      <c r="AD409" s="32"/>
      <c r="AE409" s="32"/>
      <c r="AF409" s="32" t="str">
        <f>IFERROR(__xludf.DUMMYFUNCTION("""COMPUTED_VALUE"""),"++X2 Defense for the wearer. +-Cannot be Duplicated.")</f>
        <v>++X2 Defense for the wearer. +-Cannot be Duplicated.</v>
      </c>
      <c r="AG409" s="32" t="str">
        <f>IFERROR(__xludf.DUMMYFUNCTION("""COMPUTED_VALUE"""),"Dragonscale Island")</f>
        <v>Dragonscale Island</v>
      </c>
      <c r="AH409" s="32" t="b">
        <f>IFERROR(__xludf.DUMMYFUNCTION("""COMPUTED_VALUE"""),TRUE)</f>
        <v>1</v>
      </c>
      <c r="AI409" s="32"/>
      <c r="AJ409" s="32"/>
      <c r="AK409" s="32"/>
      <c r="AL409" s="32"/>
      <c r="AM409" s="32"/>
      <c r="AN409" s="32"/>
      <c r="AO409" s="32"/>
      <c r="AP409" s="32"/>
      <c r="AQ409" s="32"/>
      <c r="AR409" s="32"/>
      <c r="AS409" s="32"/>
      <c r="AT409" s="32"/>
      <c r="AU409" s="32"/>
      <c r="AV409" s="32"/>
      <c r="AW409" s="32"/>
      <c r="AX409" s="32"/>
    </row>
    <row r="410">
      <c r="A410" s="32" t="str">
        <f>IFERROR(__xludf.DUMMYFUNCTION("""COMPUTED_VALUE"""),"Tortoise Shell Shield")</f>
        <v>Tortoise Shell Shield</v>
      </c>
      <c r="B410" s="32" t="str">
        <f>IFERROR(__xludf.DUMMYFUNCTION("""COMPUTED_VALUE"""),"Hand")</f>
        <v>Hand</v>
      </c>
      <c r="C410" s="32"/>
      <c r="D410" s="5" t="str">
        <f>IFERROR(__xludf.DUMMYFUNCTION("""COMPUTED_VALUE"""),"Towershield")</f>
        <v>Towershield</v>
      </c>
      <c r="E410" s="40">
        <f>IFERROR(__xludf.DUMMYFUNCTION("""COMPUTED_VALUE"""),400.0)</f>
        <v>400</v>
      </c>
      <c r="F410" s="44">
        <f>IFERROR(__xludf.DUMMYFUNCTION("""COMPUTED_VALUE"""),7800000.0)</f>
        <v>7800000</v>
      </c>
      <c r="G410" s="32" t="str">
        <f>IFERROR(__xludf.DUMMYFUNCTION("""COMPUTED_VALUE"""),"DEF")</f>
        <v>DEF</v>
      </c>
      <c r="H410" s="32">
        <f>IFERROR(__xludf.DUMMYFUNCTION("""COMPUTED_VALUE"""),20000.0)</f>
        <v>20000</v>
      </c>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t="str">
        <f>IFERROR(__xludf.DUMMYFUNCTION("""COMPUTED_VALUE"""),"++X2 Defense for the wearer. +-Cannot be Duplicated.")</f>
        <v>++X2 Defense for the wearer. +-Cannot be Duplicated.</v>
      </c>
      <c r="AG410" s="32" t="str">
        <f>IFERROR(__xludf.DUMMYFUNCTION("""COMPUTED_VALUE"""),"Dragonscale Island")</f>
        <v>Dragonscale Island</v>
      </c>
      <c r="AH410" s="32" t="b">
        <f>IFERROR(__xludf.DUMMYFUNCTION("""COMPUTED_VALUE"""),TRUE)</f>
        <v>1</v>
      </c>
      <c r="AI410" s="32"/>
      <c r="AJ410" s="32"/>
      <c r="AK410" s="32"/>
      <c r="AL410" s="32"/>
      <c r="AM410" s="32"/>
      <c r="AN410" s="32"/>
      <c r="AO410" s="32"/>
      <c r="AP410" s="32"/>
      <c r="AQ410" s="32"/>
      <c r="AR410" s="32"/>
      <c r="AS410" s="32"/>
      <c r="AT410" s="32"/>
      <c r="AU410" s="32"/>
      <c r="AV410" s="32"/>
      <c r="AW410" s="32"/>
      <c r="AX410" s="32"/>
    </row>
    <row r="411">
      <c r="A411" s="32" t="str">
        <f>IFERROR(__xludf.DUMMYFUNCTION("""COMPUTED_VALUE"""),"Stone of the Summit")</f>
        <v>Stone of the Summit</v>
      </c>
      <c r="B411" s="32" t="str">
        <f>IFERROR(__xludf.DUMMYFUNCTION("""COMPUTED_VALUE"""),"Hand")</f>
        <v>Hand</v>
      </c>
      <c r="C411" s="32"/>
      <c r="D411" s="5"/>
      <c r="E411" s="40">
        <f>IFERROR(__xludf.DUMMYFUNCTION("""COMPUTED_VALUE"""),1.0)</f>
        <v>1</v>
      </c>
      <c r="F411" s="44">
        <f>IFERROR(__xludf.DUMMYFUNCTION("""COMPUTED_VALUE"""),0.0)</f>
        <v>0</v>
      </c>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t="str">
        <f>IFERROR(__xludf.DUMMYFUNCTION("""COMPUTED_VALUE"""),"++X2 additional damage towards weapons for the user.")</f>
        <v>++X2 additional damage towards weapons for the user.</v>
      </c>
      <c r="AG411" s="32" t="str">
        <f>IFERROR(__xludf.DUMMYFUNCTION("""COMPUTED_VALUE"""),"Dragonscale Island")</f>
        <v>Dragonscale Island</v>
      </c>
      <c r="AH411" s="32" t="b">
        <f>IFERROR(__xludf.DUMMYFUNCTION("""COMPUTED_VALUE"""),FALSE)</f>
        <v>0</v>
      </c>
      <c r="AI411" s="32"/>
      <c r="AJ411" s="32"/>
      <c r="AK411" s="32"/>
      <c r="AL411" s="32"/>
      <c r="AM411" s="32"/>
      <c r="AN411" s="32"/>
      <c r="AO411" s="32"/>
      <c r="AP411" s="32"/>
      <c r="AQ411" s="32"/>
      <c r="AR411" s="32"/>
      <c r="AS411" s="32"/>
      <c r="AT411" s="32"/>
      <c r="AU411" s="32"/>
      <c r="AV411" s="32"/>
      <c r="AW411" s="32"/>
      <c r="AX411" s="32"/>
    </row>
    <row r="412">
      <c r="A412" s="32" t="str">
        <f>IFERROR(__xludf.DUMMYFUNCTION("""COMPUTED_VALUE"""),"Deep Blue Pearl")</f>
        <v>Deep Blue Pearl</v>
      </c>
      <c r="B412" s="32" t="str">
        <f>IFERROR(__xludf.DUMMYFUNCTION("""COMPUTED_VALUE"""),"Hand")</f>
        <v>Hand</v>
      </c>
      <c r="C412" s="32" t="str">
        <f>IFERROR(__xludf.DUMMYFUNCTION("""COMPUTED_VALUE"""),"A rare pearl found deep within the ocean of Dragonscale Island.")</f>
        <v>A rare pearl found deep within the ocean of Dragonscale Island.</v>
      </c>
      <c r="D412" s="5"/>
      <c r="E412" s="40">
        <f>IFERROR(__xludf.DUMMYFUNCTION("""COMPUTED_VALUE"""),200.0)</f>
        <v>200</v>
      </c>
      <c r="F412" s="44">
        <f>IFERROR(__xludf.DUMMYFUNCTION("""COMPUTED_VALUE"""),1900000.0)</f>
        <v>1900000</v>
      </c>
      <c r="G412" s="32" t="str">
        <f>IFERROR(__xludf.DUMMYFUNCTION("""COMPUTED_VALUE"""),"DEF")</f>
        <v>DEF</v>
      </c>
      <c r="H412" s="33">
        <f>IFERROR(__xludf.DUMMYFUNCTION("""COMPUTED_VALUE"""),10000.0)</f>
        <v>10000</v>
      </c>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t="str">
        <f>IFERROR(__xludf.DUMMYFUNCTION("""COMPUTED_VALUE"""),"++Water Immunity. ++Water damage dealt by you gives you sp back equal half the damage caused.")</f>
        <v>++Water Immunity. ++Water damage dealt by you gives you sp back equal half the damage caused.</v>
      </c>
      <c r="AG412" s="32" t="str">
        <f>IFERROR(__xludf.DUMMYFUNCTION("""COMPUTED_VALUE"""),"Dragonscale Island")</f>
        <v>Dragonscale Island</v>
      </c>
      <c r="AH412" s="32" t="b">
        <f>IFERROR(__xludf.DUMMYFUNCTION("""COMPUTED_VALUE"""),FALSE)</f>
        <v>0</v>
      </c>
      <c r="AI412" s="32"/>
      <c r="AJ412" s="32"/>
      <c r="AK412" s="32"/>
      <c r="AL412" s="32"/>
      <c r="AM412" s="32"/>
      <c r="AN412" s="32"/>
      <c r="AO412" s="32"/>
      <c r="AP412" s="32"/>
      <c r="AQ412" s="32"/>
      <c r="AR412" s="32"/>
      <c r="AS412" s="32"/>
      <c r="AT412" s="32"/>
      <c r="AU412" s="32"/>
      <c r="AV412" s="32"/>
      <c r="AW412" s="32"/>
      <c r="AX412" s="32"/>
    </row>
    <row r="413">
      <c r="A413" s="32" t="str">
        <f>IFERROR(__xludf.DUMMYFUNCTION("""COMPUTED_VALUE"""),"Tempests Lightning Rod")</f>
        <v>Tempests Lightning Rod</v>
      </c>
      <c r="B413" s="32" t="str">
        <f>IFERROR(__xludf.DUMMYFUNCTION("""COMPUTED_VALUE"""),"Hand")</f>
        <v>Hand</v>
      </c>
      <c r="C413" s="32"/>
      <c r="D413" s="5" t="str">
        <f>IFERROR(__xludf.DUMMYFUNCTION("""COMPUTED_VALUE"""),"Spear")</f>
        <v>Spear</v>
      </c>
      <c r="E413" s="40">
        <f>IFERROR(__xludf.DUMMYFUNCTION("""COMPUTED_VALUE"""),600.0)</f>
        <v>600</v>
      </c>
      <c r="F413" s="44">
        <f>IFERROR(__xludf.DUMMYFUNCTION("""COMPUTED_VALUE"""),1.77E7)</f>
        <v>17700000</v>
      </c>
      <c r="G413" s="32" t="str">
        <f>IFERROR(__xludf.DUMMYFUNCTION("""COMPUTED_VALUE"""),"DMG")</f>
        <v>DMG</v>
      </c>
      <c r="H413" s="33">
        <f>IFERROR(__xludf.DUMMYFUNCTION("""COMPUTED_VALUE"""),10000.0)</f>
        <v>10000</v>
      </c>
      <c r="I413" s="32"/>
      <c r="J413" s="32"/>
      <c r="K413" s="33">
        <f>IFERROR(__xludf.DUMMYFUNCTION("""COMPUTED_VALUE"""),10000.0)</f>
        <v>10000</v>
      </c>
      <c r="L413" s="33">
        <f>IFERROR(__xludf.DUMMYFUNCTION("""COMPUTED_VALUE"""),10000.0)</f>
        <v>10000</v>
      </c>
      <c r="M413" s="32"/>
      <c r="N413" s="32"/>
      <c r="O413" s="32"/>
      <c r="P413" s="32"/>
      <c r="Q413" s="32"/>
      <c r="R413" s="32"/>
      <c r="S413" s="32"/>
      <c r="T413" s="32"/>
      <c r="U413" s="32"/>
      <c r="V413" s="32"/>
      <c r="W413" s="32"/>
      <c r="X413" s="32"/>
      <c r="Y413" s="32"/>
      <c r="Z413" s="32"/>
      <c r="AA413" s="32"/>
      <c r="AB413" s="32"/>
      <c r="AC413" s="32"/>
      <c r="AD413" s="32"/>
      <c r="AE413" s="32"/>
      <c r="AF413" s="32"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32" t="str">
        <f>IFERROR(__xludf.DUMMYFUNCTION("""COMPUTED_VALUE"""),"Dragonscale Island")</f>
        <v>Dragonscale Island</v>
      </c>
      <c r="AH413" s="32" t="b">
        <f>IFERROR(__xludf.DUMMYFUNCTION("""COMPUTED_VALUE"""),TRUE)</f>
        <v>1</v>
      </c>
      <c r="AI413" s="32"/>
      <c r="AJ413" s="32"/>
      <c r="AK413" s="32"/>
      <c r="AL413" s="32"/>
      <c r="AM413" s="32"/>
      <c r="AN413" s="32"/>
      <c r="AO413" s="32"/>
      <c r="AP413" s="32"/>
      <c r="AQ413" s="32"/>
      <c r="AR413" s="32"/>
      <c r="AS413" s="32"/>
      <c r="AT413" s="32"/>
      <c r="AU413" s="32"/>
      <c r="AV413" s="32"/>
      <c r="AW413" s="32"/>
      <c r="AX413" s="32"/>
    </row>
    <row r="414">
      <c r="A414" s="32" t="str">
        <f>IFERROR(__xludf.DUMMYFUNCTION("""COMPUTED_VALUE"""),"Sword of Mystic Vagility")</f>
        <v>Sword of Mystic Vagility</v>
      </c>
      <c r="B414" s="32" t="str">
        <f>IFERROR(__xludf.DUMMYFUNCTION("""COMPUTED_VALUE"""),"Hand")</f>
        <v>Hand</v>
      </c>
      <c r="C414" s="32"/>
      <c r="D414" s="5" t="str">
        <f>IFERROR(__xludf.DUMMYFUNCTION("""COMPUTED_VALUE"""),"Sword")</f>
        <v>Sword</v>
      </c>
      <c r="E414" s="40">
        <f>IFERROR(__xludf.DUMMYFUNCTION("""COMPUTED_VALUE"""),200.0)</f>
        <v>200</v>
      </c>
      <c r="F414" s="44">
        <f>IFERROR(__xludf.DUMMYFUNCTION("""COMPUTED_VALUE"""),1.99E8)</f>
        <v>199000000</v>
      </c>
      <c r="G414" s="32" t="str">
        <f>IFERROR(__xludf.DUMMYFUNCTION("""COMPUTED_VALUE"""),"DMG")</f>
        <v>DMG</v>
      </c>
      <c r="H414" s="33">
        <f>IFERROR(__xludf.DUMMYFUNCTION("""COMPUTED_VALUE"""),50000.0)</f>
        <v>50000</v>
      </c>
      <c r="I414" s="32"/>
      <c r="J414" s="32"/>
      <c r="K414" s="32"/>
      <c r="L414" s="32"/>
      <c r="M414" s="32"/>
      <c r="N414" s="32"/>
      <c r="O414" s="32"/>
      <c r="P414" s="32"/>
      <c r="Q414" s="32"/>
      <c r="R414" s="32"/>
      <c r="S414" s="32"/>
      <c r="T414" s="32"/>
      <c r="U414" s="32"/>
      <c r="V414" s="32"/>
      <c r="W414" s="32"/>
      <c r="X414" s="32"/>
      <c r="Y414" s="32"/>
      <c r="Z414" s="32"/>
      <c r="AA414" s="32"/>
      <c r="AB414" s="32"/>
      <c r="AC414" s="33">
        <f>IFERROR(__xludf.DUMMYFUNCTION("""COMPUTED_VALUE"""),50000.0)</f>
        <v>50000</v>
      </c>
      <c r="AD414" s="32"/>
      <c r="AE414" s="32"/>
      <c r="AF414" s="32" t="str">
        <f>IFERROR(__xludf.DUMMYFUNCTION("""COMPUTED_VALUE"""),"++5 to d20 rolls, ++2 Evasion, ++2 Mobility. +-Cannot be duplicated.")</f>
        <v>++5 to d20 rolls, ++2 Evasion, ++2 Mobility. +-Cannot be duplicated.</v>
      </c>
      <c r="AG414" s="32" t="str">
        <f>IFERROR(__xludf.DUMMYFUNCTION("""COMPUTED_VALUE"""),"Land of Spira")</f>
        <v>Land of Spira</v>
      </c>
      <c r="AH414" s="32" t="b">
        <f>IFERROR(__xludf.DUMMYFUNCTION("""COMPUTED_VALUE"""),FALSE)</f>
        <v>0</v>
      </c>
      <c r="AI414" s="32"/>
      <c r="AJ414" s="32"/>
      <c r="AK414" s="32"/>
      <c r="AL414" s="32"/>
      <c r="AM414" s="32"/>
      <c r="AN414" s="32"/>
      <c r="AO414" s="32"/>
      <c r="AP414" s="32"/>
      <c r="AQ414" s="32"/>
      <c r="AR414" s="32"/>
      <c r="AS414" s="32"/>
      <c r="AT414" s="32"/>
      <c r="AU414" s="32"/>
      <c r="AV414" s="32"/>
      <c r="AW414" s="32"/>
      <c r="AX414" s="32"/>
    </row>
    <row r="415">
      <c r="A415" s="32" t="str">
        <f>IFERROR(__xludf.DUMMYFUNCTION("""COMPUTED_VALUE"""),".50 Caliber Machine Gun (car)")</f>
        <v>.50 Caliber Machine Gun (car)</v>
      </c>
      <c r="B415" s="32" t="str">
        <f>IFERROR(__xludf.DUMMYFUNCTION("""COMPUTED_VALUE"""),"CarGun")</f>
        <v>CarGun</v>
      </c>
      <c r="C415" s="32"/>
      <c r="D415" s="5" t="str">
        <f>IFERROR(__xludf.DUMMYFUNCTION("""COMPUTED_VALUE"""),"Firearm")</f>
        <v>Firearm</v>
      </c>
      <c r="E415" s="40">
        <f>IFERROR(__xludf.DUMMYFUNCTION("""COMPUTED_VALUE"""),400.0)</f>
        <v>400</v>
      </c>
      <c r="F415" s="44">
        <f>IFERROR(__xludf.DUMMYFUNCTION("""COMPUTED_VALUE"""),7800000.0)</f>
        <v>7800000</v>
      </c>
      <c r="G415" s="32" t="str">
        <f>IFERROR(__xludf.DUMMYFUNCTION("""COMPUTED_VALUE"""),"DMG")</f>
        <v>DMG</v>
      </c>
      <c r="H415" s="33">
        <f>IFERROR(__xludf.DUMMYFUNCTION("""COMPUTED_VALUE"""),20000.0)</f>
        <v>20000</v>
      </c>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32" t="str">
        <f>IFERROR(__xludf.DUMMYFUNCTION("""COMPUTED_VALUE"""),"Land of Spira")</f>
        <v>Land of Spira</v>
      </c>
      <c r="AH415" s="32" t="b">
        <f>IFERROR(__xludf.DUMMYFUNCTION("""COMPUTED_VALUE"""),FALSE)</f>
        <v>0</v>
      </c>
      <c r="AI415" s="32"/>
      <c r="AJ415" s="32"/>
      <c r="AK415" s="32"/>
      <c r="AL415" s="32"/>
      <c r="AM415" s="32"/>
      <c r="AN415" s="32"/>
      <c r="AO415" s="32"/>
      <c r="AP415" s="32"/>
      <c r="AQ415" s="32"/>
      <c r="AR415" s="32"/>
      <c r="AS415" s="32"/>
      <c r="AT415" s="32"/>
      <c r="AU415" s="32"/>
      <c r="AV415" s="32"/>
      <c r="AW415" s="32"/>
      <c r="AX415" s="32"/>
    </row>
    <row r="416">
      <c r="A416" s="32" t="str">
        <f>IFERROR(__xludf.DUMMYFUNCTION("""COMPUTED_VALUE"""),"Auto Turret")</f>
        <v>Auto Turret</v>
      </c>
      <c r="B416" s="32" t="str">
        <f>IFERROR(__xludf.DUMMYFUNCTION("""COMPUTED_VALUE"""),"CarGun")</f>
        <v>CarGun</v>
      </c>
      <c r="C416" s="32"/>
      <c r="D416" s="5" t="str">
        <f>IFERROR(__xludf.DUMMYFUNCTION("""COMPUTED_VALUE"""),"Firearm")</f>
        <v>Firearm</v>
      </c>
      <c r="E416" s="40">
        <f>IFERROR(__xludf.DUMMYFUNCTION("""COMPUTED_VALUE"""),800.0)</f>
        <v>800</v>
      </c>
      <c r="F416" s="44">
        <f>IFERROR(__xludf.DUMMYFUNCTION("""COMPUTED_VALUE"""),3.16E7)</f>
        <v>31600000</v>
      </c>
      <c r="G416" s="32" t="str">
        <f>IFERROR(__xludf.DUMMYFUNCTION("""COMPUTED_VALUE"""),"DMG")</f>
        <v>DMG</v>
      </c>
      <c r="H416" s="33">
        <f>IFERROR(__xludf.DUMMYFUNCTION("""COMPUTED_VALUE"""),40000.0)</f>
        <v>40000</v>
      </c>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32" t="str">
        <f>IFERROR(__xludf.DUMMYFUNCTION("""COMPUTED_VALUE"""),"Land of Spira")</f>
        <v>Land of Spira</v>
      </c>
      <c r="AH416" s="32" t="b">
        <f>IFERROR(__xludf.DUMMYFUNCTION("""COMPUTED_VALUE"""),FALSE)</f>
        <v>0</v>
      </c>
      <c r="AI416" s="32"/>
      <c r="AJ416" s="32"/>
      <c r="AK416" s="32"/>
      <c r="AL416" s="32"/>
      <c r="AM416" s="32"/>
      <c r="AN416" s="32"/>
      <c r="AO416" s="32"/>
      <c r="AP416" s="32"/>
      <c r="AQ416" s="32"/>
      <c r="AR416" s="32"/>
      <c r="AS416" s="32"/>
      <c r="AT416" s="32"/>
      <c r="AU416" s="32"/>
      <c r="AV416" s="32"/>
      <c r="AW416" s="32"/>
      <c r="AX416" s="32"/>
    </row>
    <row r="417">
      <c r="A417" s="32" t="str">
        <f>IFERROR(__xludf.DUMMYFUNCTION("""COMPUTED_VALUE"""),"Lazer Infused Cannon")</f>
        <v>Lazer Infused Cannon</v>
      </c>
      <c r="B417" s="32" t="str">
        <f>IFERROR(__xludf.DUMMYFUNCTION("""COMPUTED_VALUE"""),"BoatGun")</f>
        <v>BoatGun</v>
      </c>
      <c r="C417" s="32"/>
      <c r="D417" s="5" t="str">
        <f>IFERROR(__xludf.DUMMYFUNCTION("""COMPUTED_VALUE"""),"Firearm")</f>
        <v>Firearm</v>
      </c>
      <c r="E417" s="40">
        <f>IFERROR(__xludf.DUMMYFUNCTION("""COMPUTED_VALUE"""),5000.0)</f>
        <v>5000</v>
      </c>
      <c r="F417" s="44">
        <f>IFERROR(__xludf.DUMMYFUNCTION("""COMPUTED_VALUE"""),1.2475E9)</f>
        <v>1247500000</v>
      </c>
      <c r="G417" s="32" t="str">
        <f>IFERROR(__xludf.DUMMYFUNCTION("""COMPUTED_VALUE"""),"DMG")</f>
        <v>DMG</v>
      </c>
      <c r="H417" s="32"/>
      <c r="I417" s="33">
        <f>IFERROR(__xludf.DUMMYFUNCTION("""COMPUTED_VALUE"""),250000.0)</f>
        <v>250000</v>
      </c>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t="str">
        <f>IFERROR(__xludf.DUMMYFUNCTION("""COMPUTED_VALUE"""),"++Does not use Ammunition. ++Cannot avoid, ++Damages all enemies.")</f>
        <v>++Does not use Ammunition. ++Cannot avoid, ++Damages all enemies.</v>
      </c>
      <c r="AG417" s="32" t="str">
        <f>IFERROR(__xludf.DUMMYFUNCTION("""COMPUTED_VALUE"""),"Land of Spira")</f>
        <v>Land of Spira</v>
      </c>
      <c r="AH417" s="32" t="b">
        <f>IFERROR(__xludf.DUMMYFUNCTION("""COMPUTED_VALUE"""),FALSE)</f>
        <v>0</v>
      </c>
      <c r="AI417" s="32"/>
      <c r="AJ417" s="32"/>
      <c r="AK417" s="32"/>
      <c r="AL417" s="32"/>
      <c r="AM417" s="32"/>
      <c r="AN417" s="32"/>
      <c r="AO417" s="32"/>
      <c r="AP417" s="32"/>
      <c r="AQ417" s="32"/>
      <c r="AR417" s="32"/>
      <c r="AS417" s="32"/>
      <c r="AT417" s="32"/>
      <c r="AU417" s="32"/>
      <c r="AV417" s="32"/>
      <c r="AW417" s="32"/>
      <c r="AX417" s="32"/>
    </row>
    <row r="418">
      <c r="A418" s="32" t="str">
        <f>IFERROR(__xludf.DUMMYFUNCTION("""COMPUTED_VALUE"""),"Roof Mounted Turret")</f>
        <v>Roof Mounted Turret</v>
      </c>
      <c r="B418" s="32" t="str">
        <f>IFERROR(__xludf.DUMMYFUNCTION("""COMPUTED_VALUE"""),"CarGun")</f>
        <v>CarGun</v>
      </c>
      <c r="C418" s="32"/>
      <c r="D418" s="5" t="str">
        <f>IFERROR(__xludf.DUMMYFUNCTION("""COMPUTED_VALUE"""),"Firearm")</f>
        <v>Firearm</v>
      </c>
      <c r="E418" s="40">
        <f>IFERROR(__xludf.DUMMYFUNCTION("""COMPUTED_VALUE"""),500.0)</f>
        <v>500</v>
      </c>
      <c r="F418" s="44">
        <f>IFERROR(__xludf.DUMMYFUNCTION("""COMPUTED_VALUE"""),1.225E7)</f>
        <v>12250000</v>
      </c>
      <c r="G418" s="32" t="str">
        <f>IFERROR(__xludf.DUMMYFUNCTION("""COMPUTED_VALUE"""),"DMG")</f>
        <v>DMG</v>
      </c>
      <c r="H418" s="33">
        <f>IFERROR(__xludf.DUMMYFUNCTION("""COMPUTED_VALUE"""),25000.0)</f>
        <v>25000</v>
      </c>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32" t="str">
        <f>IFERROR(__xludf.DUMMYFUNCTION("""COMPUTED_VALUE"""),"Land of Spira")</f>
        <v>Land of Spira</v>
      </c>
      <c r="AH418" s="32" t="b">
        <f>IFERROR(__xludf.DUMMYFUNCTION("""COMPUTED_VALUE"""),FALSE)</f>
        <v>0</v>
      </c>
      <c r="AI418" s="32"/>
      <c r="AJ418" s="32"/>
      <c r="AK418" s="32"/>
      <c r="AL418" s="32"/>
      <c r="AM418" s="32"/>
      <c r="AN418" s="32"/>
      <c r="AO418" s="32"/>
      <c r="AP418" s="32"/>
      <c r="AQ418" s="32"/>
      <c r="AR418" s="32"/>
      <c r="AS418" s="32"/>
      <c r="AT418" s="32"/>
      <c r="AU418" s="32"/>
      <c r="AV418" s="32"/>
      <c r="AW418" s="32"/>
      <c r="AX418" s="32"/>
    </row>
    <row r="419">
      <c r="A419" s="32" t="str">
        <f>IFERROR(__xludf.DUMMYFUNCTION("""COMPUTED_VALUE"""),".50 Caliber Machine Gun (boat)")</f>
        <v>.50 Caliber Machine Gun (boat)</v>
      </c>
      <c r="B419" s="32" t="str">
        <f>IFERROR(__xludf.DUMMYFUNCTION("""COMPUTED_VALUE"""),"BoatGun")</f>
        <v>BoatGun</v>
      </c>
      <c r="C419" s="32"/>
      <c r="D419" s="5" t="str">
        <f>IFERROR(__xludf.DUMMYFUNCTION("""COMPUTED_VALUE"""),"Firearm")</f>
        <v>Firearm</v>
      </c>
      <c r="E419" s="40">
        <f>IFERROR(__xludf.DUMMYFUNCTION("""COMPUTED_VALUE"""),500.0)</f>
        <v>500</v>
      </c>
      <c r="F419" s="44">
        <f>IFERROR(__xludf.DUMMYFUNCTION("""COMPUTED_VALUE"""),1.225E7)</f>
        <v>12250000</v>
      </c>
      <c r="G419" s="32" t="str">
        <f>IFERROR(__xludf.DUMMYFUNCTION("""COMPUTED_VALUE"""),"DMG")</f>
        <v>DMG</v>
      </c>
      <c r="H419" s="33">
        <f>IFERROR(__xludf.DUMMYFUNCTION("""COMPUTED_VALUE"""),25000.0)</f>
        <v>25000</v>
      </c>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t="str">
        <f>IFERROR(__xludf.DUMMYFUNCTION("""COMPUTED_VALUE"""),"++Roll a d500 to see how many bullets are used when you attack with this weapon. +-Uses bullets")</f>
        <v>++Roll a d500 to see how many bullets are used when you attack with this weapon. +-Uses bullets</v>
      </c>
      <c r="AG419" s="32" t="str">
        <f>IFERROR(__xludf.DUMMYFUNCTION("""COMPUTED_VALUE"""),"Land of Spira")</f>
        <v>Land of Spira</v>
      </c>
      <c r="AH419" s="32" t="b">
        <f>IFERROR(__xludf.DUMMYFUNCTION("""COMPUTED_VALUE"""),FALSE)</f>
        <v>0</v>
      </c>
      <c r="AI419" s="32"/>
      <c r="AJ419" s="32"/>
      <c r="AK419" s="32"/>
      <c r="AL419" s="32"/>
      <c r="AM419" s="32"/>
      <c r="AN419" s="32"/>
      <c r="AO419" s="32"/>
      <c r="AP419" s="32"/>
      <c r="AQ419" s="32"/>
      <c r="AR419" s="32"/>
      <c r="AS419" s="32"/>
      <c r="AT419" s="32"/>
      <c r="AU419" s="32"/>
      <c r="AV419" s="32"/>
      <c r="AW419" s="32"/>
      <c r="AX419" s="32"/>
    </row>
    <row r="420">
      <c r="A420" s="32" t="str">
        <f>IFERROR(__xludf.DUMMYFUNCTION("""COMPUTED_VALUE"""),"Missile Turret (car)")</f>
        <v>Missile Turret (car)</v>
      </c>
      <c r="B420" s="32" t="str">
        <f>IFERROR(__xludf.DUMMYFUNCTION("""COMPUTED_VALUE"""),"CarGun")</f>
        <v>CarGun</v>
      </c>
      <c r="C420" s="32"/>
      <c r="D420" s="5" t="str">
        <f>IFERROR(__xludf.DUMMYFUNCTION("""COMPUTED_VALUE"""),"Firearm")</f>
        <v>Firearm</v>
      </c>
      <c r="E420" s="40">
        <f>IFERROR(__xludf.DUMMYFUNCTION("""COMPUTED_VALUE"""),2000.0)</f>
        <v>2000</v>
      </c>
      <c r="F420" s="44">
        <f>IFERROR(__xludf.DUMMYFUNCTION("""COMPUTED_VALUE"""),1.99E8)</f>
        <v>199000000</v>
      </c>
      <c r="G420" s="32" t="str">
        <f>IFERROR(__xludf.DUMMYFUNCTION("""COMPUTED_VALUE"""),"DMG")</f>
        <v>DMG</v>
      </c>
      <c r="H420" s="33">
        <f>IFERROR(__xludf.DUMMYFUNCTION("""COMPUTED_VALUE"""),50000.0)</f>
        <v>50000</v>
      </c>
      <c r="I420" s="33">
        <f>IFERROR(__xludf.DUMMYFUNCTION("""COMPUTED_VALUE"""),50000.0)</f>
        <v>50000</v>
      </c>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t="str">
        <f>IFERROR(__xludf.DUMMYFUNCTION("""COMPUTED_VALUE"""),"++Damages all enemies. +-Uses Missiles.")</f>
        <v>++Damages all enemies. +-Uses Missiles.</v>
      </c>
      <c r="AG420" s="32" t="str">
        <f>IFERROR(__xludf.DUMMYFUNCTION("""COMPUTED_VALUE"""),"Land of Spira")</f>
        <v>Land of Spira</v>
      </c>
      <c r="AH420" s="32" t="b">
        <f>IFERROR(__xludf.DUMMYFUNCTION("""COMPUTED_VALUE"""),FALSE)</f>
        <v>0</v>
      </c>
      <c r="AI420" s="32"/>
      <c r="AJ420" s="32"/>
      <c r="AK420" s="32"/>
      <c r="AL420" s="32"/>
      <c r="AM420" s="32"/>
      <c r="AN420" s="32"/>
      <c r="AO420" s="32"/>
      <c r="AP420" s="32"/>
      <c r="AQ420" s="32"/>
      <c r="AR420" s="32"/>
      <c r="AS420" s="32"/>
      <c r="AT420" s="32"/>
      <c r="AU420" s="32"/>
      <c r="AV420" s="32"/>
      <c r="AW420" s="32"/>
      <c r="AX420" s="32"/>
    </row>
    <row r="421">
      <c r="A421" s="32" t="str">
        <f>IFERROR(__xludf.DUMMYFUNCTION("""COMPUTED_VALUE"""),"Missile Turret (boat)")</f>
        <v>Missile Turret (boat)</v>
      </c>
      <c r="B421" s="32" t="str">
        <f>IFERROR(__xludf.DUMMYFUNCTION("""COMPUTED_VALUE"""),"BoatGun")</f>
        <v>BoatGun</v>
      </c>
      <c r="C421" s="32"/>
      <c r="D421" s="5" t="str">
        <f>IFERROR(__xludf.DUMMYFUNCTION("""COMPUTED_VALUE"""),"Firearm")</f>
        <v>Firearm</v>
      </c>
      <c r="E421" s="40">
        <f>IFERROR(__xludf.DUMMYFUNCTION("""COMPUTED_VALUE"""),2000.0)</f>
        <v>2000</v>
      </c>
      <c r="F421" s="44">
        <f>IFERROR(__xludf.DUMMYFUNCTION("""COMPUTED_VALUE"""),1.99E8)</f>
        <v>199000000</v>
      </c>
      <c r="G421" s="32" t="str">
        <f>IFERROR(__xludf.DUMMYFUNCTION("""COMPUTED_VALUE"""),"DMG")</f>
        <v>DMG</v>
      </c>
      <c r="H421" s="33">
        <f>IFERROR(__xludf.DUMMYFUNCTION("""COMPUTED_VALUE"""),50000.0)</f>
        <v>50000</v>
      </c>
      <c r="I421" s="33">
        <f>IFERROR(__xludf.DUMMYFUNCTION("""COMPUTED_VALUE"""),50000.0)</f>
        <v>50000</v>
      </c>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t="str">
        <f>IFERROR(__xludf.DUMMYFUNCTION("""COMPUTED_VALUE"""),"++Damages all enemies. +-Uses Missiles.")</f>
        <v>++Damages all enemies. +-Uses Missiles.</v>
      </c>
      <c r="AG421" s="32" t="str">
        <f>IFERROR(__xludf.DUMMYFUNCTION("""COMPUTED_VALUE"""),"Land of Spira")</f>
        <v>Land of Spira</v>
      </c>
      <c r="AH421" s="32" t="b">
        <f>IFERROR(__xludf.DUMMYFUNCTION("""COMPUTED_VALUE"""),FALSE)</f>
        <v>0</v>
      </c>
      <c r="AI421" s="32"/>
      <c r="AJ421" s="32"/>
      <c r="AK421" s="32"/>
      <c r="AL421" s="32"/>
      <c r="AM421" s="32"/>
      <c r="AN421" s="32"/>
      <c r="AO421" s="32"/>
      <c r="AP421" s="32"/>
      <c r="AQ421" s="32"/>
      <c r="AR421" s="32"/>
      <c r="AS421" s="32"/>
      <c r="AT421" s="32"/>
      <c r="AU421" s="32"/>
      <c r="AV421" s="32"/>
      <c r="AW421" s="32"/>
      <c r="AX421" s="32"/>
    </row>
    <row r="422">
      <c r="A422" s="32" t="str">
        <f>IFERROR(__xludf.DUMMYFUNCTION("""COMPUTED_VALUE"""),"Royal Sword of Dragonia")</f>
        <v>Royal Sword of Dragonia</v>
      </c>
      <c r="B422" s="32" t="str">
        <f>IFERROR(__xludf.DUMMYFUNCTION("""COMPUTED_VALUE"""),"Hand")</f>
        <v>Hand</v>
      </c>
      <c r="C422" s="32"/>
      <c r="D422" s="5" t="str">
        <f>IFERROR(__xludf.DUMMYFUNCTION("""COMPUTED_VALUE"""),"Sword")</f>
        <v>Sword</v>
      </c>
      <c r="E422" s="40">
        <f>IFERROR(__xludf.DUMMYFUNCTION("""COMPUTED_VALUE"""),200.0)</f>
        <v>200</v>
      </c>
      <c r="F422" s="44">
        <f>IFERROR(__xludf.DUMMYFUNCTION("""COMPUTED_VALUE"""),7.98E8)</f>
        <v>798000000</v>
      </c>
      <c r="G422" s="32" t="str">
        <f>IFERROR(__xludf.DUMMYFUNCTION("""COMPUTED_VALUE"""),"DMG")</f>
        <v>DMG</v>
      </c>
      <c r="H422" s="33">
        <f>IFERROR(__xludf.DUMMYFUNCTION("""COMPUTED_VALUE"""),50000.0)</f>
        <v>50000</v>
      </c>
      <c r="I422" s="33">
        <f>IFERROR(__xludf.DUMMYFUNCTION("""COMPUTED_VALUE"""),50000.0)</f>
        <v>50000</v>
      </c>
      <c r="J422" s="32"/>
      <c r="K422" s="32"/>
      <c r="L422" s="32"/>
      <c r="M422" s="32"/>
      <c r="N422" s="32"/>
      <c r="O422" s="32"/>
      <c r="P422" s="32"/>
      <c r="Q422" s="33">
        <f>IFERROR(__xludf.DUMMYFUNCTION("""COMPUTED_VALUE"""),50000.0)</f>
        <v>50000</v>
      </c>
      <c r="R422" s="32"/>
      <c r="S422" s="32"/>
      <c r="T422" s="32"/>
      <c r="U422" s="32"/>
      <c r="V422" s="32"/>
      <c r="W422" s="32"/>
      <c r="X422" s="32"/>
      <c r="Y422" s="33">
        <f>IFERROR(__xludf.DUMMYFUNCTION("""COMPUTED_VALUE"""),25000.0)</f>
        <v>25000</v>
      </c>
      <c r="Z422" s="32"/>
      <c r="AA422" s="32"/>
      <c r="AB422" s="32"/>
      <c r="AC422" s="33">
        <f>IFERROR(__xludf.DUMMYFUNCTION("""COMPUTED_VALUE"""),25000.0)</f>
        <v>25000</v>
      </c>
      <c r="AD422" s="32"/>
      <c r="AE422" s="32"/>
      <c r="AF422" s="32"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32" t="str">
        <f>IFERROR(__xludf.DUMMYFUNCTION("""COMPUTED_VALUE"""),"Dragonscale Island")</f>
        <v>Dragonscale Island</v>
      </c>
      <c r="AH422" s="32" t="b">
        <f>IFERROR(__xludf.DUMMYFUNCTION("""COMPUTED_VALUE"""),FALSE)</f>
        <v>0</v>
      </c>
      <c r="AI422" s="32"/>
      <c r="AJ422" s="32"/>
      <c r="AK422" s="32"/>
      <c r="AL422" s="32"/>
      <c r="AM422" s="32"/>
      <c r="AN422" s="32"/>
      <c r="AO422" s="32"/>
      <c r="AP422" s="32"/>
      <c r="AQ422" s="32"/>
      <c r="AR422" s="32"/>
      <c r="AS422" s="32"/>
      <c r="AT422" s="32"/>
      <c r="AU422" s="32"/>
      <c r="AV422" s="32"/>
      <c r="AW422" s="32"/>
      <c r="AX422" s="32"/>
    </row>
    <row r="423">
      <c r="A423" s="32" t="str">
        <f>IFERROR(__xludf.DUMMYFUNCTION("""COMPUTED_VALUE"""),"Dragonian Helm")</f>
        <v>Dragonian Helm</v>
      </c>
      <c r="B423" s="32" t="str">
        <f>IFERROR(__xludf.DUMMYFUNCTION("""COMPUTED_VALUE"""),"Head")</f>
        <v>Head</v>
      </c>
      <c r="C423" s="32"/>
      <c r="D423" s="5" t="str">
        <f>IFERROR(__xludf.DUMMYFUNCTION("""COMPUTED_VALUE"""),"Sword")</f>
        <v>Sword</v>
      </c>
      <c r="E423" s="40">
        <f>IFERROR(__xludf.DUMMYFUNCTION("""COMPUTED_VALUE"""),200.0)</f>
        <v>200</v>
      </c>
      <c r="F423" s="44">
        <f>IFERROR(__xludf.DUMMYFUNCTION("""COMPUTED_VALUE"""),7.98E8)</f>
        <v>798000000</v>
      </c>
      <c r="G423" s="32" t="str">
        <f>IFERROR(__xludf.DUMMYFUNCTION("""COMPUTED_VALUE"""),"DEF")</f>
        <v>DEF</v>
      </c>
      <c r="H423" s="33">
        <f>IFERROR(__xludf.DUMMYFUNCTION("""COMPUTED_VALUE"""),50000.0)</f>
        <v>50000</v>
      </c>
      <c r="I423" s="33">
        <f>IFERROR(__xludf.DUMMYFUNCTION("""COMPUTED_VALUE"""),50000.0)</f>
        <v>50000</v>
      </c>
      <c r="J423" s="32"/>
      <c r="K423" s="32"/>
      <c r="L423" s="32"/>
      <c r="M423" s="32"/>
      <c r="N423" s="32"/>
      <c r="O423" s="32"/>
      <c r="P423" s="32"/>
      <c r="Q423" s="33">
        <f>IFERROR(__xludf.DUMMYFUNCTION("""COMPUTED_VALUE"""),50000.0)</f>
        <v>50000</v>
      </c>
      <c r="R423" s="32"/>
      <c r="S423" s="32"/>
      <c r="T423" s="32"/>
      <c r="U423" s="32"/>
      <c r="V423" s="32"/>
      <c r="W423" s="32"/>
      <c r="X423" s="32"/>
      <c r="Y423" s="33">
        <f>IFERROR(__xludf.DUMMYFUNCTION("""COMPUTED_VALUE"""),25000.0)</f>
        <v>25000</v>
      </c>
      <c r="Z423" s="32"/>
      <c r="AA423" s="32"/>
      <c r="AB423" s="32"/>
      <c r="AC423" s="33">
        <f>IFERROR(__xludf.DUMMYFUNCTION("""COMPUTED_VALUE"""),25000.0)</f>
        <v>25000</v>
      </c>
      <c r="AD423" s="32"/>
      <c r="AE423" s="32"/>
      <c r="AF423" s="32" t="str">
        <f>IFERROR(__xludf.DUMMYFUNCTION("""COMPUTED_VALUE"""),"++Dragons Armor: Damage dealt to the wearer by a dragon becomes halved. +-Cannot be forged +-Cannot be duplicated")</f>
        <v>++Dragons Armor: Damage dealt to the wearer by a dragon becomes halved. +-Cannot be forged +-Cannot be duplicated</v>
      </c>
      <c r="AG423" s="32" t="str">
        <f>IFERROR(__xludf.DUMMYFUNCTION("""COMPUTED_VALUE"""),"Dragonscale Island")</f>
        <v>Dragonscale Island</v>
      </c>
      <c r="AH423" s="32" t="b">
        <f>IFERROR(__xludf.DUMMYFUNCTION("""COMPUTED_VALUE"""),FALSE)</f>
        <v>0</v>
      </c>
      <c r="AI423" s="32"/>
      <c r="AJ423" s="32"/>
      <c r="AK423" s="32"/>
      <c r="AL423" s="32"/>
      <c r="AM423" s="32"/>
      <c r="AN423" s="32"/>
      <c r="AO423" s="32"/>
      <c r="AP423" s="32"/>
      <c r="AQ423" s="32"/>
      <c r="AR423" s="32"/>
      <c r="AS423" s="32"/>
      <c r="AT423" s="32"/>
      <c r="AU423" s="32"/>
      <c r="AV423" s="32"/>
      <c r="AW423" s="32"/>
      <c r="AX423" s="32"/>
    </row>
    <row r="424">
      <c r="A424" s="32" t="str">
        <f>IFERROR(__xludf.DUMMYFUNCTION("""COMPUTED_VALUE"""),"Dragonian Pauldrons")</f>
        <v>Dragonian Pauldrons</v>
      </c>
      <c r="B424" s="32" t="str">
        <f>IFERROR(__xludf.DUMMYFUNCTION("""COMPUTED_VALUE"""),"Shoulders")</f>
        <v>Shoulders</v>
      </c>
      <c r="C424" s="32"/>
      <c r="D424" s="5"/>
      <c r="E424" s="40">
        <f>IFERROR(__xludf.DUMMYFUNCTION("""COMPUTED_VALUE"""),200.0)</f>
        <v>200</v>
      </c>
      <c r="F424" s="44">
        <f>IFERROR(__xludf.DUMMYFUNCTION("""COMPUTED_VALUE"""),7.98E8)</f>
        <v>798000000</v>
      </c>
      <c r="G424" s="32" t="str">
        <f>IFERROR(__xludf.DUMMYFUNCTION("""COMPUTED_VALUE"""),"DEF")</f>
        <v>DEF</v>
      </c>
      <c r="H424" s="33">
        <f>IFERROR(__xludf.DUMMYFUNCTION("""COMPUTED_VALUE"""),50000.0)</f>
        <v>50000</v>
      </c>
      <c r="I424" s="33">
        <f>IFERROR(__xludf.DUMMYFUNCTION("""COMPUTED_VALUE"""),50000.0)</f>
        <v>50000</v>
      </c>
      <c r="J424" s="32"/>
      <c r="K424" s="32"/>
      <c r="L424" s="32"/>
      <c r="M424" s="32"/>
      <c r="N424" s="32"/>
      <c r="O424" s="32"/>
      <c r="P424" s="32"/>
      <c r="Q424" s="33">
        <f>IFERROR(__xludf.DUMMYFUNCTION("""COMPUTED_VALUE"""),50000.0)</f>
        <v>50000</v>
      </c>
      <c r="R424" s="32"/>
      <c r="S424" s="32"/>
      <c r="T424" s="32"/>
      <c r="U424" s="32"/>
      <c r="V424" s="32"/>
      <c r="W424" s="32"/>
      <c r="X424" s="32"/>
      <c r="Y424" s="33">
        <f>IFERROR(__xludf.DUMMYFUNCTION("""COMPUTED_VALUE"""),25000.0)</f>
        <v>25000</v>
      </c>
      <c r="Z424" s="32"/>
      <c r="AA424" s="32"/>
      <c r="AB424" s="32"/>
      <c r="AC424" s="33">
        <f>IFERROR(__xludf.DUMMYFUNCTION("""COMPUTED_VALUE"""),25000.0)</f>
        <v>25000</v>
      </c>
      <c r="AD424" s="32"/>
      <c r="AE424" s="32"/>
      <c r="AF424" s="32" t="str">
        <f>IFERROR(__xludf.DUMMYFUNCTION("""COMPUTED_VALUE"""),"++Dragons Armor: Damage dealt to the wearer by a dragon becomes halved. +-Cannot be forged +-Cannot be duplicated")</f>
        <v>++Dragons Armor: Damage dealt to the wearer by a dragon becomes halved. +-Cannot be forged +-Cannot be duplicated</v>
      </c>
      <c r="AG424" s="32" t="str">
        <f>IFERROR(__xludf.DUMMYFUNCTION("""COMPUTED_VALUE"""),"Dragonscale Island")</f>
        <v>Dragonscale Island</v>
      </c>
      <c r="AH424" s="32" t="b">
        <f>IFERROR(__xludf.DUMMYFUNCTION("""COMPUTED_VALUE"""),FALSE)</f>
        <v>0</v>
      </c>
      <c r="AI424" s="32"/>
      <c r="AJ424" s="32"/>
      <c r="AK424" s="32"/>
      <c r="AL424" s="32"/>
      <c r="AM424" s="32"/>
      <c r="AN424" s="32"/>
      <c r="AO424" s="32"/>
      <c r="AP424" s="32"/>
      <c r="AQ424" s="32"/>
      <c r="AR424" s="32"/>
      <c r="AS424" s="32"/>
      <c r="AT424" s="32"/>
      <c r="AU424" s="32"/>
      <c r="AV424" s="32"/>
      <c r="AW424" s="32"/>
      <c r="AX424" s="32"/>
    </row>
    <row r="425">
      <c r="A425" s="32" t="str">
        <f>IFERROR(__xludf.DUMMYFUNCTION("""COMPUTED_VALUE"""),"Dragonian Chestplate")</f>
        <v>Dragonian Chestplate</v>
      </c>
      <c r="B425" s="32" t="str">
        <f>IFERROR(__xludf.DUMMYFUNCTION("""COMPUTED_VALUE"""),"Torso")</f>
        <v>Torso</v>
      </c>
      <c r="C425" s="32"/>
      <c r="D425" s="5"/>
      <c r="E425" s="40">
        <f>IFERROR(__xludf.DUMMYFUNCTION("""COMPUTED_VALUE"""),200.0)</f>
        <v>200</v>
      </c>
      <c r="F425" s="44">
        <f>IFERROR(__xludf.DUMMYFUNCTION("""COMPUTED_VALUE"""),7.98E8)</f>
        <v>798000000</v>
      </c>
      <c r="G425" s="32" t="str">
        <f>IFERROR(__xludf.DUMMYFUNCTION("""COMPUTED_VALUE"""),"DEF")</f>
        <v>DEF</v>
      </c>
      <c r="H425" s="33">
        <f>IFERROR(__xludf.DUMMYFUNCTION("""COMPUTED_VALUE"""),50000.0)</f>
        <v>50000</v>
      </c>
      <c r="I425" s="33">
        <f>IFERROR(__xludf.DUMMYFUNCTION("""COMPUTED_VALUE"""),50000.0)</f>
        <v>50000</v>
      </c>
      <c r="J425" s="32"/>
      <c r="K425" s="32"/>
      <c r="L425" s="32"/>
      <c r="M425" s="32"/>
      <c r="N425" s="32"/>
      <c r="O425" s="32"/>
      <c r="P425" s="32"/>
      <c r="Q425" s="33">
        <f>IFERROR(__xludf.DUMMYFUNCTION("""COMPUTED_VALUE"""),50000.0)</f>
        <v>50000</v>
      </c>
      <c r="R425" s="32"/>
      <c r="S425" s="32"/>
      <c r="T425" s="32"/>
      <c r="U425" s="32"/>
      <c r="V425" s="32"/>
      <c r="W425" s="32"/>
      <c r="X425" s="32"/>
      <c r="Y425" s="33">
        <f>IFERROR(__xludf.DUMMYFUNCTION("""COMPUTED_VALUE"""),25000.0)</f>
        <v>25000</v>
      </c>
      <c r="Z425" s="32"/>
      <c r="AA425" s="32"/>
      <c r="AB425" s="32"/>
      <c r="AC425" s="33">
        <f>IFERROR(__xludf.DUMMYFUNCTION("""COMPUTED_VALUE"""),25000.0)</f>
        <v>25000</v>
      </c>
      <c r="AD425" s="32"/>
      <c r="AE425" s="32"/>
      <c r="AF425" s="32" t="str">
        <f>IFERROR(__xludf.DUMMYFUNCTION("""COMPUTED_VALUE"""),"++Dragons Armor: Damage dealt to the wearer by a dragon becomes halved. +-Cannot be forged +-Cannot be duplicated")</f>
        <v>++Dragons Armor: Damage dealt to the wearer by a dragon becomes halved. +-Cannot be forged +-Cannot be duplicated</v>
      </c>
      <c r="AG425" s="32" t="str">
        <f>IFERROR(__xludf.DUMMYFUNCTION("""COMPUTED_VALUE"""),"Dragonscale Island")</f>
        <v>Dragonscale Island</v>
      </c>
      <c r="AH425" s="32" t="b">
        <f>IFERROR(__xludf.DUMMYFUNCTION("""COMPUTED_VALUE"""),FALSE)</f>
        <v>0</v>
      </c>
      <c r="AI425" s="32"/>
      <c r="AJ425" s="32"/>
      <c r="AK425" s="32"/>
      <c r="AL425" s="32"/>
      <c r="AM425" s="32"/>
      <c r="AN425" s="32"/>
      <c r="AO425" s="32"/>
      <c r="AP425" s="32"/>
      <c r="AQ425" s="32"/>
      <c r="AR425" s="32"/>
      <c r="AS425" s="32"/>
      <c r="AT425" s="32"/>
      <c r="AU425" s="32"/>
      <c r="AV425" s="32"/>
      <c r="AW425" s="32"/>
      <c r="AX425" s="32"/>
    </row>
    <row r="426">
      <c r="A426" s="32" t="str">
        <f>IFERROR(__xludf.DUMMYFUNCTION("""COMPUTED_VALUE"""),"Dragonian Vambraces")</f>
        <v>Dragonian Vambraces</v>
      </c>
      <c r="B426" s="32" t="str">
        <f>IFERROR(__xludf.DUMMYFUNCTION("""COMPUTED_VALUE"""),"Arms")</f>
        <v>Arms</v>
      </c>
      <c r="C426" s="32"/>
      <c r="D426" s="5"/>
      <c r="E426" s="40">
        <f>IFERROR(__xludf.DUMMYFUNCTION("""COMPUTED_VALUE"""),200.0)</f>
        <v>200</v>
      </c>
      <c r="F426" s="44">
        <f>IFERROR(__xludf.DUMMYFUNCTION("""COMPUTED_VALUE"""),7.98E8)</f>
        <v>798000000</v>
      </c>
      <c r="G426" s="32" t="str">
        <f>IFERROR(__xludf.DUMMYFUNCTION("""COMPUTED_VALUE"""),"DEF")</f>
        <v>DEF</v>
      </c>
      <c r="H426" s="33">
        <f>IFERROR(__xludf.DUMMYFUNCTION("""COMPUTED_VALUE"""),50000.0)</f>
        <v>50000</v>
      </c>
      <c r="I426" s="33">
        <f>IFERROR(__xludf.DUMMYFUNCTION("""COMPUTED_VALUE"""),50000.0)</f>
        <v>50000</v>
      </c>
      <c r="J426" s="32"/>
      <c r="K426" s="32"/>
      <c r="L426" s="32"/>
      <c r="M426" s="32"/>
      <c r="N426" s="32"/>
      <c r="O426" s="32"/>
      <c r="P426" s="32"/>
      <c r="Q426" s="33">
        <f>IFERROR(__xludf.DUMMYFUNCTION("""COMPUTED_VALUE"""),50000.0)</f>
        <v>50000</v>
      </c>
      <c r="R426" s="32"/>
      <c r="S426" s="32"/>
      <c r="T426" s="32"/>
      <c r="U426" s="32"/>
      <c r="V426" s="32"/>
      <c r="W426" s="32"/>
      <c r="X426" s="32"/>
      <c r="Y426" s="33">
        <f>IFERROR(__xludf.DUMMYFUNCTION("""COMPUTED_VALUE"""),25000.0)</f>
        <v>25000</v>
      </c>
      <c r="Z426" s="32"/>
      <c r="AA426" s="32"/>
      <c r="AB426" s="32"/>
      <c r="AC426" s="33">
        <f>IFERROR(__xludf.DUMMYFUNCTION("""COMPUTED_VALUE"""),25000.0)</f>
        <v>25000</v>
      </c>
      <c r="AD426" s="32"/>
      <c r="AE426" s="32"/>
      <c r="AF426" s="32" t="str">
        <f>IFERROR(__xludf.DUMMYFUNCTION("""COMPUTED_VALUE"""),"++Dragons Armor: Damage dealt to the wearer by a dragon becomes halved. +-Cannot be forged +-Cannot be duplicated")</f>
        <v>++Dragons Armor: Damage dealt to the wearer by a dragon becomes halved. +-Cannot be forged +-Cannot be duplicated</v>
      </c>
      <c r="AG426" s="32" t="str">
        <f>IFERROR(__xludf.DUMMYFUNCTION("""COMPUTED_VALUE"""),"Dragonscale Island")</f>
        <v>Dragonscale Island</v>
      </c>
      <c r="AH426" s="32" t="b">
        <f>IFERROR(__xludf.DUMMYFUNCTION("""COMPUTED_VALUE"""),FALSE)</f>
        <v>0</v>
      </c>
      <c r="AI426" s="32"/>
      <c r="AJ426" s="32"/>
      <c r="AK426" s="32"/>
      <c r="AL426" s="32"/>
      <c r="AM426" s="32"/>
      <c r="AN426" s="32"/>
      <c r="AO426" s="32"/>
      <c r="AP426" s="32"/>
      <c r="AQ426" s="32"/>
      <c r="AR426" s="32"/>
      <c r="AS426" s="32"/>
      <c r="AT426" s="32"/>
      <c r="AU426" s="32"/>
      <c r="AV426" s="32"/>
      <c r="AW426" s="32"/>
      <c r="AX426" s="32"/>
    </row>
    <row r="427">
      <c r="A427" s="32" t="str">
        <f>IFERROR(__xludf.DUMMYFUNCTION("""COMPUTED_VALUE"""),"Dragonian Greaves")</f>
        <v>Dragonian Greaves</v>
      </c>
      <c r="B427" s="32" t="str">
        <f>IFERROR(__xludf.DUMMYFUNCTION("""COMPUTED_VALUE"""),"Legs")</f>
        <v>Legs</v>
      </c>
      <c r="C427" s="32"/>
      <c r="D427" s="5"/>
      <c r="E427" s="40">
        <f>IFERROR(__xludf.DUMMYFUNCTION("""COMPUTED_VALUE"""),200.0)</f>
        <v>200</v>
      </c>
      <c r="F427" s="44">
        <f>IFERROR(__xludf.DUMMYFUNCTION("""COMPUTED_VALUE"""),7.98E8)</f>
        <v>798000000</v>
      </c>
      <c r="G427" s="32" t="str">
        <f>IFERROR(__xludf.DUMMYFUNCTION("""COMPUTED_VALUE"""),"DEF")</f>
        <v>DEF</v>
      </c>
      <c r="H427" s="33">
        <f>IFERROR(__xludf.DUMMYFUNCTION("""COMPUTED_VALUE"""),50000.0)</f>
        <v>50000</v>
      </c>
      <c r="I427" s="33">
        <f>IFERROR(__xludf.DUMMYFUNCTION("""COMPUTED_VALUE"""),50000.0)</f>
        <v>50000</v>
      </c>
      <c r="J427" s="32"/>
      <c r="K427" s="32"/>
      <c r="L427" s="32"/>
      <c r="M427" s="32"/>
      <c r="N427" s="32"/>
      <c r="O427" s="32"/>
      <c r="P427" s="32"/>
      <c r="Q427" s="33">
        <f>IFERROR(__xludf.DUMMYFUNCTION("""COMPUTED_VALUE"""),50000.0)</f>
        <v>50000</v>
      </c>
      <c r="R427" s="32"/>
      <c r="S427" s="32"/>
      <c r="T427" s="32"/>
      <c r="U427" s="32"/>
      <c r="V427" s="32"/>
      <c r="W427" s="32"/>
      <c r="X427" s="32"/>
      <c r="Y427" s="33">
        <f>IFERROR(__xludf.DUMMYFUNCTION("""COMPUTED_VALUE"""),25000.0)</f>
        <v>25000</v>
      </c>
      <c r="Z427" s="32"/>
      <c r="AA427" s="32"/>
      <c r="AB427" s="32"/>
      <c r="AC427" s="33">
        <f>IFERROR(__xludf.DUMMYFUNCTION("""COMPUTED_VALUE"""),25000.0)</f>
        <v>25000</v>
      </c>
      <c r="AD427" s="32"/>
      <c r="AE427" s="32"/>
      <c r="AF427" s="32" t="str">
        <f>IFERROR(__xludf.DUMMYFUNCTION("""COMPUTED_VALUE"""),"++Dragons Armor: Damage dealt to the wearer by a dragon becomes halved. +-Cannot be forged +-Cannot be duplicated")</f>
        <v>++Dragons Armor: Damage dealt to the wearer by a dragon becomes halved. +-Cannot be forged +-Cannot be duplicated</v>
      </c>
      <c r="AG427" s="32" t="str">
        <f>IFERROR(__xludf.DUMMYFUNCTION("""COMPUTED_VALUE"""),"Dragonscale Island")</f>
        <v>Dragonscale Island</v>
      </c>
      <c r="AH427" s="32" t="b">
        <f>IFERROR(__xludf.DUMMYFUNCTION("""COMPUTED_VALUE"""),FALSE)</f>
        <v>0</v>
      </c>
      <c r="AI427" s="32"/>
      <c r="AJ427" s="32"/>
      <c r="AK427" s="32"/>
      <c r="AL427" s="32"/>
      <c r="AM427" s="32"/>
      <c r="AN427" s="32"/>
      <c r="AO427" s="32"/>
      <c r="AP427" s="32"/>
      <c r="AQ427" s="32"/>
      <c r="AR427" s="32"/>
      <c r="AS427" s="32"/>
      <c r="AT427" s="32"/>
      <c r="AU427" s="32"/>
      <c r="AV427" s="32"/>
      <c r="AW427" s="32"/>
      <c r="AX427" s="32"/>
    </row>
    <row r="428">
      <c r="A428" s="32" t="str">
        <f>IFERROR(__xludf.DUMMYFUNCTION("""COMPUTED_VALUE"""),"Dragonian Boots")</f>
        <v>Dragonian Boots</v>
      </c>
      <c r="B428" s="32" t="str">
        <f>IFERROR(__xludf.DUMMYFUNCTION("""COMPUTED_VALUE"""),"Feet")</f>
        <v>Feet</v>
      </c>
      <c r="C428" s="32"/>
      <c r="D428" s="5"/>
      <c r="E428" s="40">
        <f>IFERROR(__xludf.DUMMYFUNCTION("""COMPUTED_VALUE"""),200.0)</f>
        <v>200</v>
      </c>
      <c r="F428" s="44">
        <f>IFERROR(__xludf.DUMMYFUNCTION("""COMPUTED_VALUE"""),7.98E8)</f>
        <v>798000000</v>
      </c>
      <c r="G428" s="32" t="str">
        <f>IFERROR(__xludf.DUMMYFUNCTION("""COMPUTED_VALUE"""),"DEF")</f>
        <v>DEF</v>
      </c>
      <c r="H428" s="33">
        <f>IFERROR(__xludf.DUMMYFUNCTION("""COMPUTED_VALUE"""),50000.0)</f>
        <v>50000</v>
      </c>
      <c r="I428" s="33">
        <f>IFERROR(__xludf.DUMMYFUNCTION("""COMPUTED_VALUE"""),50000.0)</f>
        <v>50000</v>
      </c>
      <c r="J428" s="32"/>
      <c r="K428" s="32"/>
      <c r="L428" s="32"/>
      <c r="M428" s="32"/>
      <c r="N428" s="32"/>
      <c r="O428" s="32"/>
      <c r="P428" s="32"/>
      <c r="Q428" s="33">
        <f>IFERROR(__xludf.DUMMYFUNCTION("""COMPUTED_VALUE"""),50000.0)</f>
        <v>50000</v>
      </c>
      <c r="R428" s="32"/>
      <c r="S428" s="32"/>
      <c r="T428" s="32"/>
      <c r="U428" s="32"/>
      <c r="V428" s="32"/>
      <c r="W428" s="32"/>
      <c r="X428" s="32"/>
      <c r="Y428" s="33">
        <f>IFERROR(__xludf.DUMMYFUNCTION("""COMPUTED_VALUE"""),25000.0)</f>
        <v>25000</v>
      </c>
      <c r="Z428" s="32"/>
      <c r="AA428" s="32"/>
      <c r="AB428" s="32"/>
      <c r="AC428" s="33">
        <f>IFERROR(__xludf.DUMMYFUNCTION("""COMPUTED_VALUE"""),25000.0)</f>
        <v>25000</v>
      </c>
      <c r="AD428" s="32"/>
      <c r="AE428" s="32"/>
      <c r="AF428" s="32" t="str">
        <f>IFERROR(__xludf.DUMMYFUNCTION("""COMPUTED_VALUE"""),"++Dragons Armor: Damage dealt to the wearer by a dragon becomes halved. +-Cannot be forged +-Cannot be duplicated")</f>
        <v>++Dragons Armor: Damage dealt to the wearer by a dragon becomes halved. +-Cannot be forged +-Cannot be duplicated</v>
      </c>
      <c r="AG428" s="32" t="str">
        <f>IFERROR(__xludf.DUMMYFUNCTION("""COMPUTED_VALUE"""),"Dragonscale Island")</f>
        <v>Dragonscale Island</v>
      </c>
      <c r="AH428" s="32" t="b">
        <f>IFERROR(__xludf.DUMMYFUNCTION("""COMPUTED_VALUE"""),FALSE)</f>
        <v>0</v>
      </c>
      <c r="AI428" s="32"/>
      <c r="AJ428" s="32"/>
      <c r="AK428" s="32"/>
      <c r="AL428" s="32"/>
      <c r="AM428" s="32"/>
      <c r="AN428" s="32"/>
      <c r="AO428" s="32"/>
      <c r="AP428" s="32"/>
      <c r="AQ428" s="32"/>
      <c r="AR428" s="32"/>
      <c r="AS428" s="32"/>
      <c r="AT428" s="32"/>
      <c r="AU428" s="32"/>
      <c r="AV428" s="32"/>
      <c r="AW428" s="32"/>
      <c r="AX428" s="32"/>
    </row>
    <row r="429">
      <c r="A429" s="32" t="str">
        <f>IFERROR(__xludf.DUMMYFUNCTION("""COMPUTED_VALUE"""),"Dragonian Pendent")</f>
        <v>Dragonian Pendent</v>
      </c>
      <c r="B429" s="32" t="str">
        <f>IFERROR(__xludf.DUMMYFUNCTION("""COMPUTED_VALUE"""),"Neck")</f>
        <v>Neck</v>
      </c>
      <c r="C429" s="32"/>
      <c r="D429" s="5"/>
      <c r="E429" s="40">
        <f>IFERROR(__xludf.DUMMYFUNCTION("""COMPUTED_VALUE"""),200.0)</f>
        <v>200</v>
      </c>
      <c r="F429" s="44">
        <f>IFERROR(__xludf.DUMMYFUNCTION("""COMPUTED_VALUE"""),4350000.0)</f>
        <v>4350000</v>
      </c>
      <c r="G429" s="32" t="str">
        <f>IFERROR(__xludf.DUMMYFUNCTION("""COMPUTED_VALUE"""),"DEF")</f>
        <v>DEF</v>
      </c>
      <c r="H429" s="32"/>
      <c r="I429" s="32"/>
      <c r="J429" s="32"/>
      <c r="K429" s="32"/>
      <c r="L429" s="32"/>
      <c r="M429" s="32"/>
      <c r="N429" s="32"/>
      <c r="O429" s="32"/>
      <c r="P429" s="32"/>
      <c r="Q429" s="32"/>
      <c r="R429" s="32"/>
      <c r="S429" s="32"/>
      <c r="T429" s="32"/>
      <c r="U429" s="32"/>
      <c r="V429" s="32"/>
      <c r="W429" s="32"/>
      <c r="X429" s="32"/>
      <c r="Y429" s="32"/>
      <c r="Z429" s="32"/>
      <c r="AA429" s="32"/>
      <c r="AB429" s="32"/>
      <c r="AC429" s="33">
        <f>IFERROR(__xludf.DUMMYFUNCTION("""COMPUTED_VALUE"""),15000.0)</f>
        <v>15000</v>
      </c>
      <c r="AD429" s="32"/>
      <c r="AE429" s="32"/>
      <c r="AF429" s="32"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32" t="str">
        <f>IFERROR(__xludf.DUMMYFUNCTION("""COMPUTED_VALUE"""),"Dragonscale Island")</f>
        <v>Dragonscale Island</v>
      </c>
      <c r="AH429" s="32" t="b">
        <f>IFERROR(__xludf.DUMMYFUNCTION("""COMPUTED_VALUE"""),FALSE)</f>
        <v>0</v>
      </c>
      <c r="AI429" s="32"/>
      <c r="AJ429" s="32"/>
      <c r="AK429" s="32"/>
      <c r="AL429" s="32"/>
      <c r="AM429" s="32"/>
      <c r="AN429" s="32"/>
      <c r="AO429" s="32"/>
      <c r="AP429" s="32"/>
      <c r="AQ429" s="32"/>
      <c r="AR429" s="32"/>
      <c r="AS429" s="32"/>
      <c r="AT429" s="32"/>
      <c r="AU429" s="32"/>
      <c r="AV429" s="32"/>
      <c r="AW429" s="32"/>
      <c r="AX429" s="32"/>
    </row>
    <row r="430">
      <c r="A430" s="32" t="str">
        <f>IFERROR(__xludf.DUMMYFUNCTION("""COMPUTED_VALUE"""),"Dragonian Ring")</f>
        <v>Dragonian Ring</v>
      </c>
      <c r="B430" s="32" t="str">
        <f>IFERROR(__xludf.DUMMYFUNCTION("""COMPUTED_VALUE"""),"Ring")</f>
        <v>Ring</v>
      </c>
      <c r="C430" s="32"/>
      <c r="D430" s="5"/>
      <c r="E430" s="40">
        <f>IFERROR(__xludf.DUMMYFUNCTION("""COMPUTED_VALUE"""),200.0)</f>
        <v>200</v>
      </c>
      <c r="F430" s="44">
        <f>IFERROR(__xludf.DUMMYFUNCTION("""COMPUTED_VALUE"""),4350000.0)</f>
        <v>4350000</v>
      </c>
      <c r="G430" s="32" t="str">
        <f>IFERROR(__xludf.DUMMYFUNCTION("""COMPUTED_VALUE"""),"DEF")</f>
        <v>DEF</v>
      </c>
      <c r="H430" s="32"/>
      <c r="I430" s="32"/>
      <c r="J430" s="32"/>
      <c r="K430" s="32"/>
      <c r="L430" s="32"/>
      <c r="M430" s="32"/>
      <c r="N430" s="32"/>
      <c r="O430" s="32"/>
      <c r="P430" s="32"/>
      <c r="Q430" s="32"/>
      <c r="R430" s="32"/>
      <c r="S430" s="32"/>
      <c r="T430" s="32"/>
      <c r="U430" s="32"/>
      <c r="V430" s="32"/>
      <c r="W430" s="32"/>
      <c r="X430" s="32"/>
      <c r="Y430" s="32"/>
      <c r="Z430" s="32"/>
      <c r="AA430" s="32"/>
      <c r="AB430" s="32"/>
      <c r="AC430" s="33">
        <f>IFERROR(__xludf.DUMMYFUNCTION("""COMPUTED_VALUE"""),15000.0)</f>
        <v>15000</v>
      </c>
      <c r="AD430" s="32"/>
      <c r="AE430" s="32"/>
      <c r="AF430" s="32"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32" t="str">
        <f>IFERROR(__xludf.DUMMYFUNCTION("""COMPUTED_VALUE"""),"Dragonscale Island")</f>
        <v>Dragonscale Island</v>
      </c>
      <c r="AH430" s="32" t="b">
        <f>IFERROR(__xludf.DUMMYFUNCTION("""COMPUTED_VALUE"""),FALSE)</f>
        <v>0</v>
      </c>
      <c r="AI430" s="32"/>
      <c r="AJ430" s="32"/>
      <c r="AK430" s="32"/>
      <c r="AL430" s="32"/>
      <c r="AM430" s="32"/>
      <c r="AN430" s="32"/>
      <c r="AO430" s="32"/>
      <c r="AP430" s="32"/>
      <c r="AQ430" s="32"/>
      <c r="AR430" s="32"/>
      <c r="AS430" s="32"/>
      <c r="AT430" s="32"/>
      <c r="AU430" s="32"/>
      <c r="AV430" s="32"/>
      <c r="AW430" s="32"/>
      <c r="AX430" s="32"/>
    </row>
    <row r="431">
      <c r="A431" s="32" t="str">
        <f>IFERROR(__xludf.DUMMYFUNCTION("""COMPUTED_VALUE"""),"Fishing Pole of Luck and Power")</f>
        <v>Fishing Pole of Luck and Power</v>
      </c>
      <c r="B431" s="32" t="str">
        <f>IFERROR(__xludf.DUMMYFUNCTION("""COMPUTED_VALUE"""),"Hand")</f>
        <v>Hand</v>
      </c>
      <c r="C431" s="32"/>
      <c r="D431" s="5" t="str">
        <f>IFERROR(__xludf.DUMMYFUNCTION("""COMPUTED_VALUE"""),"Club")</f>
        <v>Club</v>
      </c>
      <c r="E431" s="40">
        <f>IFERROR(__xludf.DUMMYFUNCTION("""COMPUTED_VALUE"""),1600.0)</f>
        <v>1600</v>
      </c>
      <c r="F431" s="44">
        <f>IFERROR(__xludf.DUMMYFUNCTION("""COMPUTED_VALUE"""),1.272E8)</f>
        <v>127200000</v>
      </c>
      <c r="G431" s="32" t="str">
        <f>IFERROR(__xludf.DUMMYFUNCTION("""COMPUTED_VALUE"""),"DMG")</f>
        <v>DMG</v>
      </c>
      <c r="H431" s="33">
        <f>IFERROR(__xludf.DUMMYFUNCTION("""COMPUTED_VALUE"""),20000.0)</f>
        <v>20000</v>
      </c>
      <c r="I431" s="33">
        <f>IFERROR(__xludf.DUMMYFUNCTION("""COMPUTED_VALUE"""),20000.0)</f>
        <v>20000</v>
      </c>
      <c r="J431" s="32"/>
      <c r="K431" s="33">
        <f>IFERROR(__xludf.DUMMYFUNCTION("""COMPUTED_VALUE"""),20000.0)</f>
        <v>20000</v>
      </c>
      <c r="L431" s="33">
        <f>IFERROR(__xludf.DUMMYFUNCTION("""COMPUTED_VALUE"""),20000.0)</f>
        <v>20000</v>
      </c>
      <c r="M431" s="32"/>
      <c r="N431" s="32"/>
      <c r="O431" s="32"/>
      <c r="P431" s="32"/>
      <c r="Q431" s="32"/>
      <c r="R431" s="32"/>
      <c r="S431" s="32"/>
      <c r="T431" s="32"/>
      <c r="U431" s="32"/>
      <c r="V431" s="32"/>
      <c r="W431" s="32"/>
      <c r="X431" s="32"/>
      <c r="Y431" s="32"/>
      <c r="Z431" s="32"/>
      <c r="AA431" s="32"/>
      <c r="AB431" s="32"/>
      <c r="AC431" s="32"/>
      <c r="AD431" s="32"/>
      <c r="AE431" s="32"/>
      <c r="AF431" s="32"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32" t="str">
        <f>IFERROR(__xludf.DUMMYFUNCTION("""COMPUTED_VALUE"""),"Land of Spira")</f>
        <v>Land of Spira</v>
      </c>
      <c r="AH431" s="32" t="b">
        <f>IFERROR(__xludf.DUMMYFUNCTION("""COMPUTED_VALUE"""),FALSE)</f>
        <v>0</v>
      </c>
      <c r="AI431" s="32"/>
      <c r="AJ431" s="32"/>
      <c r="AK431" s="32"/>
      <c r="AL431" s="32"/>
      <c r="AM431" s="32"/>
      <c r="AN431" s="32"/>
      <c r="AO431" s="32"/>
      <c r="AP431" s="32"/>
      <c r="AQ431" s="32"/>
      <c r="AR431" s="32"/>
      <c r="AS431" s="32"/>
      <c r="AT431" s="32"/>
      <c r="AU431" s="32"/>
      <c r="AV431" s="32"/>
      <c r="AW431" s="32"/>
      <c r="AX431" s="32"/>
    </row>
    <row r="432">
      <c r="A432" s="32" t="str">
        <f>IFERROR(__xludf.DUMMYFUNCTION("""COMPUTED_VALUE"""),"Ancient Oni Pauldrons")</f>
        <v>Ancient Oni Pauldrons</v>
      </c>
      <c r="B432" s="32" t="str">
        <f>IFERROR(__xludf.DUMMYFUNCTION("""COMPUTED_VALUE"""),"Shoulders")</f>
        <v>Shoulders</v>
      </c>
      <c r="C432" s="32" t="str">
        <f>IFERROR(__xludf.DUMMYFUNCTION("""COMPUTED_VALUE"""),"An ancient relic to Zhenmay")</f>
        <v>An ancient relic to Zhenmay</v>
      </c>
      <c r="D432" s="5"/>
      <c r="E432" s="40">
        <f>IFERROR(__xludf.DUMMYFUNCTION("""COMPUTED_VALUE"""),200.0)</f>
        <v>200</v>
      </c>
      <c r="F432" s="44">
        <f>IFERROR(__xludf.DUMMYFUNCTION("""COMPUTED_VALUE"""),5.104E8)</f>
        <v>510400000</v>
      </c>
      <c r="G432" s="32" t="str">
        <f>IFERROR(__xludf.DUMMYFUNCTION("""COMPUTED_VALUE"""),"DEF")</f>
        <v>DEF</v>
      </c>
      <c r="H432" s="33">
        <f>IFERROR(__xludf.DUMMYFUNCTION("""COMPUTED_VALUE"""),10000.0)</f>
        <v>10000</v>
      </c>
      <c r="I432" s="33">
        <f>IFERROR(__xludf.DUMMYFUNCTION("""COMPUTED_VALUE"""),10000.0)</f>
        <v>10000</v>
      </c>
      <c r="J432" s="33">
        <f>IFERROR(__xludf.DUMMYFUNCTION("""COMPUTED_VALUE"""),10000.0)</f>
        <v>10000</v>
      </c>
      <c r="K432" s="33">
        <f>IFERROR(__xludf.DUMMYFUNCTION("""COMPUTED_VALUE"""),10000.0)</f>
        <v>10000</v>
      </c>
      <c r="L432" s="33">
        <f>IFERROR(__xludf.DUMMYFUNCTION("""COMPUTED_VALUE"""),10000.0)</f>
        <v>10000</v>
      </c>
      <c r="M432" s="33">
        <f>IFERROR(__xludf.DUMMYFUNCTION("""COMPUTED_VALUE"""),10000.0)</f>
        <v>10000</v>
      </c>
      <c r="N432" s="33">
        <f>IFERROR(__xludf.DUMMYFUNCTION("""COMPUTED_VALUE"""),10000.0)</f>
        <v>10000</v>
      </c>
      <c r="O432" s="33">
        <f>IFERROR(__xludf.DUMMYFUNCTION("""COMPUTED_VALUE"""),10000.0)</f>
        <v>10000</v>
      </c>
      <c r="P432" s="33">
        <f>IFERROR(__xludf.DUMMYFUNCTION("""COMPUTED_VALUE"""),10000.0)</f>
        <v>10000</v>
      </c>
      <c r="Q432" s="33">
        <f>IFERROR(__xludf.DUMMYFUNCTION("""COMPUTED_VALUE"""),10000.0)</f>
        <v>10000</v>
      </c>
      <c r="R432" s="33">
        <f>IFERROR(__xludf.DUMMYFUNCTION("""COMPUTED_VALUE"""),10000.0)</f>
        <v>10000</v>
      </c>
      <c r="S432" s="33">
        <f>IFERROR(__xludf.DUMMYFUNCTION("""COMPUTED_VALUE"""),10000.0)</f>
        <v>10000</v>
      </c>
      <c r="T432" s="32"/>
      <c r="U432" s="32"/>
      <c r="V432" s="32"/>
      <c r="W432" s="32"/>
      <c r="X432" s="33">
        <f>IFERROR(__xludf.DUMMYFUNCTION("""COMPUTED_VALUE"""),10000.0)</f>
        <v>10000</v>
      </c>
      <c r="Y432" s="33">
        <f>IFERROR(__xludf.DUMMYFUNCTION("""COMPUTED_VALUE"""),10000.0)</f>
        <v>10000</v>
      </c>
      <c r="Z432" s="32"/>
      <c r="AA432" s="32"/>
      <c r="AB432" s="33">
        <f>IFERROR(__xludf.DUMMYFUNCTION("""COMPUTED_VALUE"""),10000.0)</f>
        <v>10000</v>
      </c>
      <c r="AC432" s="33">
        <f>IFERROR(__xludf.DUMMYFUNCTION("""COMPUTED_VALUE"""),10000.0)</f>
        <v>10000</v>
      </c>
      <c r="AD432" s="32"/>
      <c r="AE432" s="32"/>
      <c r="AF432" s="32" t="str">
        <f>IFERROR(__xludf.DUMMYFUNCTION("""COMPUTED_VALUE"""),"++X2 damage for all elements. +-Only Samurai's, Monks, and Ninjas can equip. +-Cannot be forged +-Cannot be duplicated")</f>
        <v>++X2 damage for all elements. +-Only Samurai's, Monks, and Ninjas can equip. +-Cannot be forged +-Cannot be duplicated</v>
      </c>
      <c r="AG432" s="32" t="str">
        <f>IFERROR(__xludf.DUMMYFUNCTION("""COMPUTED_VALUE"""),"Land of Spira")</f>
        <v>Land of Spira</v>
      </c>
      <c r="AH432" s="32" t="b">
        <f>IFERROR(__xludf.DUMMYFUNCTION("""COMPUTED_VALUE"""),FALSE)</f>
        <v>0</v>
      </c>
      <c r="AI432" s="32"/>
      <c r="AJ432" s="32"/>
      <c r="AK432" s="32"/>
      <c r="AL432" s="32"/>
      <c r="AM432" s="32"/>
      <c r="AN432" s="32"/>
      <c r="AO432" s="32"/>
      <c r="AP432" s="32"/>
      <c r="AQ432" s="32"/>
      <c r="AR432" s="32"/>
      <c r="AS432" s="32"/>
      <c r="AT432" s="32"/>
      <c r="AU432" s="32"/>
      <c r="AV432" s="32"/>
      <c r="AW432" s="32"/>
      <c r="AX432" s="32"/>
    </row>
    <row r="433">
      <c r="A433" s="32" t="str">
        <f>IFERROR(__xludf.DUMMYFUNCTION("""COMPUTED_VALUE"""),"Ancient Oni Vambraces")</f>
        <v>Ancient Oni Vambraces</v>
      </c>
      <c r="B433" s="32" t="str">
        <f>IFERROR(__xludf.DUMMYFUNCTION("""COMPUTED_VALUE"""),"Arms")</f>
        <v>Arms</v>
      </c>
      <c r="C433" s="32" t="str">
        <f>IFERROR(__xludf.DUMMYFUNCTION("""COMPUTED_VALUE"""),"An ancient relic to Zhenmay")</f>
        <v>An ancient relic to Zhenmay</v>
      </c>
      <c r="D433" s="5"/>
      <c r="E433" s="40">
        <f>IFERROR(__xludf.DUMMYFUNCTION("""COMPUTED_VALUE"""),200.0)</f>
        <v>200</v>
      </c>
      <c r="F433" s="44">
        <f>IFERROR(__xludf.DUMMYFUNCTION("""COMPUTED_VALUE"""),5.104E8)</f>
        <v>510400000</v>
      </c>
      <c r="G433" s="32" t="str">
        <f>IFERROR(__xludf.DUMMYFUNCTION("""COMPUTED_VALUE"""),"DEF")</f>
        <v>DEF</v>
      </c>
      <c r="H433" s="33">
        <f>IFERROR(__xludf.DUMMYFUNCTION("""COMPUTED_VALUE"""),10000.0)</f>
        <v>10000</v>
      </c>
      <c r="I433" s="33">
        <f>IFERROR(__xludf.DUMMYFUNCTION("""COMPUTED_VALUE"""),10000.0)</f>
        <v>10000</v>
      </c>
      <c r="J433" s="33">
        <f>IFERROR(__xludf.DUMMYFUNCTION("""COMPUTED_VALUE"""),10000.0)</f>
        <v>10000</v>
      </c>
      <c r="K433" s="33">
        <f>IFERROR(__xludf.DUMMYFUNCTION("""COMPUTED_VALUE"""),10000.0)</f>
        <v>10000</v>
      </c>
      <c r="L433" s="33">
        <f>IFERROR(__xludf.DUMMYFUNCTION("""COMPUTED_VALUE"""),10000.0)</f>
        <v>10000</v>
      </c>
      <c r="M433" s="33">
        <f>IFERROR(__xludf.DUMMYFUNCTION("""COMPUTED_VALUE"""),10000.0)</f>
        <v>10000</v>
      </c>
      <c r="N433" s="33">
        <f>IFERROR(__xludf.DUMMYFUNCTION("""COMPUTED_VALUE"""),10000.0)</f>
        <v>10000</v>
      </c>
      <c r="O433" s="33">
        <f>IFERROR(__xludf.DUMMYFUNCTION("""COMPUTED_VALUE"""),10000.0)</f>
        <v>10000</v>
      </c>
      <c r="P433" s="33">
        <f>IFERROR(__xludf.DUMMYFUNCTION("""COMPUTED_VALUE"""),10000.0)</f>
        <v>10000</v>
      </c>
      <c r="Q433" s="33">
        <f>IFERROR(__xludf.DUMMYFUNCTION("""COMPUTED_VALUE"""),10000.0)</f>
        <v>10000</v>
      </c>
      <c r="R433" s="33">
        <f>IFERROR(__xludf.DUMMYFUNCTION("""COMPUTED_VALUE"""),10000.0)</f>
        <v>10000</v>
      </c>
      <c r="S433" s="33">
        <f>IFERROR(__xludf.DUMMYFUNCTION("""COMPUTED_VALUE"""),10000.0)</f>
        <v>10000</v>
      </c>
      <c r="T433" s="32"/>
      <c r="U433" s="32"/>
      <c r="V433" s="32"/>
      <c r="W433" s="32"/>
      <c r="X433" s="33">
        <f>IFERROR(__xludf.DUMMYFUNCTION("""COMPUTED_VALUE"""),10000.0)</f>
        <v>10000</v>
      </c>
      <c r="Y433" s="33">
        <f>IFERROR(__xludf.DUMMYFUNCTION("""COMPUTED_VALUE"""),10000.0)</f>
        <v>10000</v>
      </c>
      <c r="Z433" s="32"/>
      <c r="AA433" s="32"/>
      <c r="AB433" s="33">
        <f>IFERROR(__xludf.DUMMYFUNCTION("""COMPUTED_VALUE"""),10000.0)</f>
        <v>10000</v>
      </c>
      <c r="AC433" s="33">
        <f>IFERROR(__xludf.DUMMYFUNCTION("""COMPUTED_VALUE"""),10000.0)</f>
        <v>10000</v>
      </c>
      <c r="AD433" s="32"/>
      <c r="AE433" s="32"/>
      <c r="AF433" s="3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32" t="str">
        <f>IFERROR(__xludf.DUMMYFUNCTION("""COMPUTED_VALUE"""),"Land of Spira")</f>
        <v>Land of Spira</v>
      </c>
      <c r="AH433" s="32" t="b">
        <f>IFERROR(__xludf.DUMMYFUNCTION("""COMPUTED_VALUE"""),FALSE)</f>
        <v>0</v>
      </c>
      <c r="AI433" s="32"/>
      <c r="AJ433" s="32"/>
      <c r="AK433" s="32"/>
      <c r="AL433" s="32"/>
      <c r="AM433" s="32"/>
      <c r="AN433" s="32"/>
      <c r="AO433" s="32"/>
      <c r="AP433" s="32"/>
      <c r="AQ433" s="32"/>
      <c r="AR433" s="32"/>
      <c r="AS433" s="32"/>
      <c r="AT433" s="32"/>
      <c r="AU433" s="32"/>
      <c r="AV433" s="32"/>
      <c r="AW433" s="32"/>
      <c r="AX433" s="32"/>
    </row>
    <row r="434">
      <c r="A434" s="32" t="str">
        <f>IFERROR(__xludf.DUMMYFUNCTION("""COMPUTED_VALUE"""),"Ancient Oni Greaves")</f>
        <v>Ancient Oni Greaves</v>
      </c>
      <c r="B434" s="32" t="str">
        <f>IFERROR(__xludf.DUMMYFUNCTION("""COMPUTED_VALUE"""),"Legs")</f>
        <v>Legs</v>
      </c>
      <c r="C434" s="32" t="str">
        <f>IFERROR(__xludf.DUMMYFUNCTION("""COMPUTED_VALUE"""),"An ancient relic to Zhenmay")</f>
        <v>An ancient relic to Zhenmay</v>
      </c>
      <c r="D434" s="5"/>
      <c r="E434" s="40">
        <f>IFERROR(__xludf.DUMMYFUNCTION("""COMPUTED_VALUE"""),200.0)</f>
        <v>200</v>
      </c>
      <c r="F434" s="44">
        <f>IFERROR(__xludf.DUMMYFUNCTION("""COMPUTED_VALUE"""),5.104E8)</f>
        <v>510400000</v>
      </c>
      <c r="G434" s="32" t="str">
        <f>IFERROR(__xludf.DUMMYFUNCTION("""COMPUTED_VALUE"""),"DEF")</f>
        <v>DEF</v>
      </c>
      <c r="H434" s="33">
        <f>IFERROR(__xludf.DUMMYFUNCTION("""COMPUTED_VALUE"""),10000.0)</f>
        <v>10000</v>
      </c>
      <c r="I434" s="33">
        <f>IFERROR(__xludf.DUMMYFUNCTION("""COMPUTED_VALUE"""),10000.0)</f>
        <v>10000</v>
      </c>
      <c r="J434" s="33">
        <f>IFERROR(__xludf.DUMMYFUNCTION("""COMPUTED_VALUE"""),10000.0)</f>
        <v>10000</v>
      </c>
      <c r="K434" s="33">
        <f>IFERROR(__xludf.DUMMYFUNCTION("""COMPUTED_VALUE"""),10000.0)</f>
        <v>10000</v>
      </c>
      <c r="L434" s="33">
        <f>IFERROR(__xludf.DUMMYFUNCTION("""COMPUTED_VALUE"""),10000.0)</f>
        <v>10000</v>
      </c>
      <c r="M434" s="33">
        <f>IFERROR(__xludf.DUMMYFUNCTION("""COMPUTED_VALUE"""),10000.0)</f>
        <v>10000</v>
      </c>
      <c r="N434" s="33">
        <f>IFERROR(__xludf.DUMMYFUNCTION("""COMPUTED_VALUE"""),10000.0)</f>
        <v>10000</v>
      </c>
      <c r="O434" s="33">
        <f>IFERROR(__xludf.DUMMYFUNCTION("""COMPUTED_VALUE"""),10000.0)</f>
        <v>10000</v>
      </c>
      <c r="P434" s="33">
        <f>IFERROR(__xludf.DUMMYFUNCTION("""COMPUTED_VALUE"""),10000.0)</f>
        <v>10000</v>
      </c>
      <c r="Q434" s="33">
        <f>IFERROR(__xludf.DUMMYFUNCTION("""COMPUTED_VALUE"""),10000.0)</f>
        <v>10000</v>
      </c>
      <c r="R434" s="33">
        <f>IFERROR(__xludf.DUMMYFUNCTION("""COMPUTED_VALUE"""),10000.0)</f>
        <v>10000</v>
      </c>
      <c r="S434" s="33">
        <f>IFERROR(__xludf.DUMMYFUNCTION("""COMPUTED_VALUE"""),10000.0)</f>
        <v>10000</v>
      </c>
      <c r="T434" s="32"/>
      <c r="U434" s="32"/>
      <c r="V434" s="32"/>
      <c r="W434" s="32"/>
      <c r="X434" s="33">
        <f>IFERROR(__xludf.DUMMYFUNCTION("""COMPUTED_VALUE"""),10000.0)</f>
        <v>10000</v>
      </c>
      <c r="Y434" s="33">
        <f>IFERROR(__xludf.DUMMYFUNCTION("""COMPUTED_VALUE"""),10000.0)</f>
        <v>10000</v>
      </c>
      <c r="Z434" s="32"/>
      <c r="AA434" s="32"/>
      <c r="AB434" s="33">
        <f>IFERROR(__xludf.DUMMYFUNCTION("""COMPUTED_VALUE"""),10000.0)</f>
        <v>10000</v>
      </c>
      <c r="AC434" s="33">
        <f>IFERROR(__xludf.DUMMYFUNCTION("""COMPUTED_VALUE"""),10000.0)</f>
        <v>10000</v>
      </c>
      <c r="AD434" s="32"/>
      <c r="AE434" s="32"/>
      <c r="AF434" s="3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32" t="str">
        <f>IFERROR(__xludf.DUMMYFUNCTION("""COMPUTED_VALUE"""),"Land of Spira")</f>
        <v>Land of Spira</v>
      </c>
      <c r="AH434" s="32" t="b">
        <f>IFERROR(__xludf.DUMMYFUNCTION("""COMPUTED_VALUE"""),FALSE)</f>
        <v>0</v>
      </c>
      <c r="AI434" s="32"/>
      <c r="AJ434" s="32"/>
      <c r="AK434" s="32"/>
      <c r="AL434" s="32"/>
      <c r="AM434" s="32"/>
      <c r="AN434" s="32"/>
      <c r="AO434" s="32"/>
      <c r="AP434" s="32"/>
      <c r="AQ434" s="32"/>
      <c r="AR434" s="32"/>
      <c r="AS434" s="32"/>
      <c r="AT434" s="32"/>
      <c r="AU434" s="32"/>
      <c r="AV434" s="32"/>
      <c r="AW434" s="32"/>
      <c r="AX434" s="32"/>
    </row>
    <row r="435">
      <c r="A435" s="32" t="str">
        <f>IFERROR(__xludf.DUMMYFUNCTION("""COMPUTED_VALUE"""),"Ancient Oni Boots")</f>
        <v>Ancient Oni Boots</v>
      </c>
      <c r="B435" s="32" t="str">
        <f>IFERROR(__xludf.DUMMYFUNCTION("""COMPUTED_VALUE"""),"Feet")</f>
        <v>Feet</v>
      </c>
      <c r="C435" s="32" t="str">
        <f>IFERROR(__xludf.DUMMYFUNCTION("""COMPUTED_VALUE"""),"An ancient relic to Zhenmay")</f>
        <v>An ancient relic to Zhenmay</v>
      </c>
      <c r="D435" s="5"/>
      <c r="E435" s="40">
        <f>IFERROR(__xludf.DUMMYFUNCTION("""COMPUTED_VALUE"""),200.0)</f>
        <v>200</v>
      </c>
      <c r="F435" s="44">
        <f>IFERROR(__xludf.DUMMYFUNCTION("""COMPUTED_VALUE"""),5.104E8)</f>
        <v>510400000</v>
      </c>
      <c r="G435" s="32" t="str">
        <f>IFERROR(__xludf.DUMMYFUNCTION("""COMPUTED_VALUE"""),"DEF")</f>
        <v>DEF</v>
      </c>
      <c r="H435" s="33">
        <f>IFERROR(__xludf.DUMMYFUNCTION("""COMPUTED_VALUE"""),10000.0)</f>
        <v>10000</v>
      </c>
      <c r="I435" s="33">
        <f>IFERROR(__xludf.DUMMYFUNCTION("""COMPUTED_VALUE"""),10000.0)</f>
        <v>10000</v>
      </c>
      <c r="J435" s="33">
        <f>IFERROR(__xludf.DUMMYFUNCTION("""COMPUTED_VALUE"""),10000.0)</f>
        <v>10000</v>
      </c>
      <c r="K435" s="33">
        <f>IFERROR(__xludf.DUMMYFUNCTION("""COMPUTED_VALUE"""),10000.0)</f>
        <v>10000</v>
      </c>
      <c r="L435" s="33">
        <f>IFERROR(__xludf.DUMMYFUNCTION("""COMPUTED_VALUE"""),10000.0)</f>
        <v>10000</v>
      </c>
      <c r="M435" s="33">
        <f>IFERROR(__xludf.DUMMYFUNCTION("""COMPUTED_VALUE"""),10000.0)</f>
        <v>10000</v>
      </c>
      <c r="N435" s="33">
        <f>IFERROR(__xludf.DUMMYFUNCTION("""COMPUTED_VALUE"""),10000.0)</f>
        <v>10000</v>
      </c>
      <c r="O435" s="33">
        <f>IFERROR(__xludf.DUMMYFUNCTION("""COMPUTED_VALUE"""),10000.0)</f>
        <v>10000</v>
      </c>
      <c r="P435" s="33">
        <f>IFERROR(__xludf.DUMMYFUNCTION("""COMPUTED_VALUE"""),10000.0)</f>
        <v>10000</v>
      </c>
      <c r="Q435" s="33">
        <f>IFERROR(__xludf.DUMMYFUNCTION("""COMPUTED_VALUE"""),10000.0)</f>
        <v>10000</v>
      </c>
      <c r="R435" s="33">
        <f>IFERROR(__xludf.DUMMYFUNCTION("""COMPUTED_VALUE"""),10000.0)</f>
        <v>10000</v>
      </c>
      <c r="S435" s="33">
        <f>IFERROR(__xludf.DUMMYFUNCTION("""COMPUTED_VALUE"""),10000.0)</f>
        <v>10000</v>
      </c>
      <c r="T435" s="32"/>
      <c r="U435" s="32"/>
      <c r="V435" s="32"/>
      <c r="W435" s="32"/>
      <c r="X435" s="33">
        <f>IFERROR(__xludf.DUMMYFUNCTION("""COMPUTED_VALUE"""),10000.0)</f>
        <v>10000</v>
      </c>
      <c r="Y435" s="33">
        <f>IFERROR(__xludf.DUMMYFUNCTION("""COMPUTED_VALUE"""),10000.0)</f>
        <v>10000</v>
      </c>
      <c r="Z435" s="32"/>
      <c r="AA435" s="32"/>
      <c r="AB435" s="33">
        <f>IFERROR(__xludf.DUMMYFUNCTION("""COMPUTED_VALUE"""),10000.0)</f>
        <v>10000</v>
      </c>
      <c r="AC435" s="33">
        <f>IFERROR(__xludf.DUMMYFUNCTION("""COMPUTED_VALUE"""),10000.0)</f>
        <v>10000</v>
      </c>
      <c r="AD435" s="32"/>
      <c r="AE435" s="32"/>
      <c r="AF435" s="3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32" t="str">
        <f>IFERROR(__xludf.DUMMYFUNCTION("""COMPUTED_VALUE"""),"Land of Spira")</f>
        <v>Land of Spira</v>
      </c>
      <c r="AH435" s="32" t="b">
        <f>IFERROR(__xludf.DUMMYFUNCTION("""COMPUTED_VALUE"""),FALSE)</f>
        <v>0</v>
      </c>
      <c r="AI435" s="32"/>
      <c r="AJ435" s="32"/>
      <c r="AK435" s="32"/>
      <c r="AL435" s="32"/>
      <c r="AM435" s="32"/>
      <c r="AN435" s="32"/>
      <c r="AO435" s="32"/>
      <c r="AP435" s="32"/>
      <c r="AQ435" s="32"/>
      <c r="AR435" s="32"/>
      <c r="AS435" s="32"/>
      <c r="AT435" s="32"/>
      <c r="AU435" s="32"/>
      <c r="AV435" s="32"/>
      <c r="AW435" s="32"/>
      <c r="AX435" s="32"/>
    </row>
    <row r="436">
      <c r="A436" s="32" t="str">
        <f>IFERROR(__xludf.DUMMYFUNCTION("""COMPUTED_VALUE"""),"Ancient Oni Katana")</f>
        <v>Ancient Oni Katana</v>
      </c>
      <c r="B436" s="32" t="str">
        <f>IFERROR(__xludf.DUMMYFUNCTION("""COMPUTED_VALUE"""),"Hand")</f>
        <v>Hand</v>
      </c>
      <c r="C436" s="32" t="str">
        <f>IFERROR(__xludf.DUMMYFUNCTION("""COMPUTED_VALUE"""),"An ancient relic to Zhenmay")</f>
        <v>An ancient relic to Zhenmay</v>
      </c>
      <c r="D436" s="5" t="str">
        <f>IFERROR(__xludf.DUMMYFUNCTION("""COMPUTED_VALUE"""),"Sword")</f>
        <v>Sword</v>
      </c>
      <c r="E436" s="40">
        <f>IFERROR(__xludf.DUMMYFUNCTION("""COMPUTED_VALUE"""),200.0)</f>
        <v>200</v>
      </c>
      <c r="F436" s="44">
        <f>IFERROR(__xludf.DUMMYFUNCTION("""COMPUTED_VALUE"""),5.104E8)</f>
        <v>510400000</v>
      </c>
      <c r="G436" s="32" t="str">
        <f>IFERROR(__xludf.DUMMYFUNCTION("""COMPUTED_VALUE"""),"DMG")</f>
        <v>DMG</v>
      </c>
      <c r="H436" s="33">
        <f>IFERROR(__xludf.DUMMYFUNCTION("""COMPUTED_VALUE"""),10000.0)</f>
        <v>10000</v>
      </c>
      <c r="I436" s="33">
        <f>IFERROR(__xludf.DUMMYFUNCTION("""COMPUTED_VALUE"""),10000.0)</f>
        <v>10000</v>
      </c>
      <c r="J436" s="33">
        <f>IFERROR(__xludf.DUMMYFUNCTION("""COMPUTED_VALUE"""),10000.0)</f>
        <v>10000</v>
      </c>
      <c r="K436" s="33">
        <f>IFERROR(__xludf.DUMMYFUNCTION("""COMPUTED_VALUE"""),10000.0)</f>
        <v>10000</v>
      </c>
      <c r="L436" s="33">
        <f>IFERROR(__xludf.DUMMYFUNCTION("""COMPUTED_VALUE"""),10000.0)</f>
        <v>10000</v>
      </c>
      <c r="M436" s="33">
        <f>IFERROR(__xludf.DUMMYFUNCTION("""COMPUTED_VALUE"""),10000.0)</f>
        <v>10000</v>
      </c>
      <c r="N436" s="33">
        <f>IFERROR(__xludf.DUMMYFUNCTION("""COMPUTED_VALUE"""),10000.0)</f>
        <v>10000</v>
      </c>
      <c r="O436" s="33">
        <f>IFERROR(__xludf.DUMMYFUNCTION("""COMPUTED_VALUE"""),10000.0)</f>
        <v>10000</v>
      </c>
      <c r="P436" s="33">
        <f>IFERROR(__xludf.DUMMYFUNCTION("""COMPUTED_VALUE"""),10000.0)</f>
        <v>10000</v>
      </c>
      <c r="Q436" s="33">
        <f>IFERROR(__xludf.DUMMYFUNCTION("""COMPUTED_VALUE"""),10000.0)</f>
        <v>10000</v>
      </c>
      <c r="R436" s="33">
        <f>IFERROR(__xludf.DUMMYFUNCTION("""COMPUTED_VALUE"""),10000.0)</f>
        <v>10000</v>
      </c>
      <c r="S436" s="33">
        <f>IFERROR(__xludf.DUMMYFUNCTION("""COMPUTED_VALUE"""),10000.0)</f>
        <v>10000</v>
      </c>
      <c r="T436" s="32"/>
      <c r="U436" s="32"/>
      <c r="V436" s="32"/>
      <c r="W436" s="32"/>
      <c r="X436" s="33">
        <f>IFERROR(__xludf.DUMMYFUNCTION("""COMPUTED_VALUE"""),10000.0)</f>
        <v>10000</v>
      </c>
      <c r="Y436" s="33">
        <f>IFERROR(__xludf.DUMMYFUNCTION("""COMPUTED_VALUE"""),10000.0)</f>
        <v>10000</v>
      </c>
      <c r="Z436" s="32"/>
      <c r="AA436" s="32"/>
      <c r="AB436" s="33">
        <f>IFERROR(__xludf.DUMMYFUNCTION("""COMPUTED_VALUE"""),10000.0)</f>
        <v>10000</v>
      </c>
      <c r="AC436" s="33">
        <f>IFERROR(__xludf.DUMMYFUNCTION("""COMPUTED_VALUE"""),10000.0)</f>
        <v>10000</v>
      </c>
      <c r="AD436" s="32"/>
      <c r="AE436" s="32"/>
      <c r="AF436" s="3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32" t="str">
        <f>IFERROR(__xludf.DUMMYFUNCTION("""COMPUTED_VALUE"""),"Land of Spira")</f>
        <v>Land of Spira</v>
      </c>
      <c r="AH436" s="32" t="b">
        <f>IFERROR(__xludf.DUMMYFUNCTION("""COMPUTED_VALUE"""),FALSE)</f>
        <v>0</v>
      </c>
      <c r="AI436" s="32"/>
      <c r="AJ436" s="32"/>
      <c r="AK436" s="32"/>
      <c r="AL436" s="32"/>
      <c r="AM436" s="32"/>
      <c r="AN436" s="32"/>
      <c r="AO436" s="32"/>
      <c r="AP436" s="32"/>
      <c r="AQ436" s="32"/>
      <c r="AR436" s="32"/>
      <c r="AS436" s="32"/>
      <c r="AT436" s="32"/>
      <c r="AU436" s="32"/>
      <c r="AV436" s="32"/>
      <c r="AW436" s="32"/>
      <c r="AX436" s="32"/>
    </row>
    <row r="437">
      <c r="A437" s="32" t="str">
        <f>IFERROR(__xludf.DUMMYFUNCTION("""COMPUTED_VALUE"""),"The Grand Staff of Evil Flames")</f>
        <v>The Grand Staff of Evil Flames</v>
      </c>
      <c r="B437" s="32" t="str">
        <f>IFERROR(__xludf.DUMMYFUNCTION("""COMPUTED_VALUE"""),"Hand")</f>
        <v>Hand</v>
      </c>
      <c r="C437" s="32"/>
      <c r="D437" s="5" t="str">
        <f>IFERROR(__xludf.DUMMYFUNCTION("""COMPUTED_VALUE"""),"Staff")</f>
        <v>Staff</v>
      </c>
      <c r="E437" s="40">
        <f>IFERROR(__xludf.DUMMYFUNCTION("""COMPUTED_VALUE"""),1200.0)</f>
        <v>1200</v>
      </c>
      <c r="F437" s="44">
        <f>IFERROR(__xludf.DUMMYFUNCTION("""COMPUTED_VALUE"""),7.14E7)</f>
        <v>71400000</v>
      </c>
      <c r="G437" s="32" t="str">
        <f>IFERROR(__xludf.DUMMYFUNCTION("""COMPUTED_VALUE"""),"DMG")</f>
        <v>DMG</v>
      </c>
      <c r="H437" s="32"/>
      <c r="I437" s="33">
        <f>IFERROR(__xludf.DUMMYFUNCTION("""COMPUTED_VALUE"""),20000.0)</f>
        <v>20000</v>
      </c>
      <c r="J437" s="32"/>
      <c r="K437" s="32"/>
      <c r="L437" s="32"/>
      <c r="M437" s="32"/>
      <c r="N437" s="32"/>
      <c r="O437" s="33">
        <f>IFERROR(__xludf.DUMMYFUNCTION("""COMPUTED_VALUE"""),20000.0)</f>
        <v>20000</v>
      </c>
      <c r="P437" s="32"/>
      <c r="Q437" s="32"/>
      <c r="R437" s="33">
        <f>IFERROR(__xludf.DUMMYFUNCTION("""COMPUTED_VALUE"""),20000.0)</f>
        <v>20000</v>
      </c>
      <c r="S437" s="32"/>
      <c r="T437" s="32"/>
      <c r="U437" s="32"/>
      <c r="V437" s="32"/>
      <c r="W437" s="32"/>
      <c r="X437" s="32"/>
      <c r="Y437" s="32"/>
      <c r="Z437" s="32"/>
      <c r="AA437" s="32"/>
      <c r="AB437" s="32"/>
      <c r="AC437" s="32"/>
      <c r="AD437" s="32"/>
      <c r="AE437" s="32"/>
      <c r="AF437" s="32" t="str">
        <f>IFERROR(__xludf.DUMMYFUNCTION("""COMPUTED_VALUE"""),"++X4 additional Dark, Fire, and Chaos damage for the user while equipped. +-Cannot be duplicated")</f>
        <v>++X4 additional Dark, Fire, and Chaos damage for the user while equipped. +-Cannot be duplicated</v>
      </c>
      <c r="AG437" s="32" t="str">
        <f>IFERROR(__xludf.DUMMYFUNCTION("""COMPUTED_VALUE"""),"Abstara")</f>
        <v>Abstara</v>
      </c>
      <c r="AH437" s="32" t="b">
        <f>IFERROR(__xludf.DUMMYFUNCTION("""COMPUTED_VALUE"""),TRUE)</f>
        <v>1</v>
      </c>
      <c r="AI437" s="32"/>
      <c r="AJ437" s="32"/>
      <c r="AK437" s="32"/>
      <c r="AL437" s="32"/>
      <c r="AM437" s="32"/>
      <c r="AN437" s="32"/>
      <c r="AO437" s="32"/>
      <c r="AP437" s="32"/>
      <c r="AQ437" s="32"/>
      <c r="AR437" s="32"/>
      <c r="AS437" s="32"/>
      <c r="AT437" s="32"/>
      <c r="AU437" s="32"/>
      <c r="AV437" s="32"/>
      <c r="AW437" s="32"/>
      <c r="AX437" s="32"/>
    </row>
    <row r="438">
      <c r="A438" s="32" t="str">
        <f>IFERROR(__xludf.DUMMYFUNCTION("""COMPUTED_VALUE"""),"Soul Sword of The Endless Realm")</f>
        <v>Soul Sword of The Endless Realm</v>
      </c>
      <c r="B438" s="32" t="str">
        <f>IFERROR(__xludf.DUMMYFUNCTION("""COMPUTED_VALUE"""),"Hand")</f>
        <v>Hand</v>
      </c>
      <c r="C438" s="32"/>
      <c r="D438" s="5" t="str">
        <f>IFERROR(__xludf.DUMMYFUNCTION("""COMPUTED_VALUE"""),"Sword")</f>
        <v>Sword</v>
      </c>
      <c r="E438" s="40">
        <f>IFERROR(__xludf.DUMMYFUNCTION("""COMPUTED_VALUE"""),200.0)</f>
        <v>200</v>
      </c>
      <c r="F438" s="44">
        <f>IFERROR(__xludf.DUMMYFUNCTION("""COMPUTED_VALUE"""),4.0455E9)</f>
        <v>4045500000</v>
      </c>
      <c r="G438" s="32" t="str">
        <f>IFERROR(__xludf.DUMMYFUNCTION("""COMPUTED_VALUE"""),"DMG")</f>
        <v>DMG</v>
      </c>
      <c r="H438" s="33">
        <f>IFERROR(__xludf.DUMMYFUNCTION("""COMPUTED_VALUE"""),150000.0)</f>
        <v>150000</v>
      </c>
      <c r="I438" s="32"/>
      <c r="J438" s="32"/>
      <c r="K438" s="32"/>
      <c r="L438" s="32"/>
      <c r="M438" s="32"/>
      <c r="N438" s="32"/>
      <c r="O438" s="33">
        <f>IFERROR(__xludf.DUMMYFUNCTION("""COMPUTED_VALUE"""),150000.0)</f>
        <v>150000</v>
      </c>
      <c r="P438" s="32"/>
      <c r="Q438" s="32"/>
      <c r="R438" s="32"/>
      <c r="S438" s="32"/>
      <c r="T438" s="32"/>
      <c r="U438" s="32"/>
      <c r="V438" s="32"/>
      <c r="W438" s="32"/>
      <c r="X438" s="32"/>
      <c r="Y438" s="32"/>
      <c r="Z438" s="32"/>
      <c r="AA438" s="32"/>
      <c r="AB438" s="32"/>
      <c r="AC438" s="33">
        <f>IFERROR(__xludf.DUMMYFUNCTION("""COMPUTED_VALUE"""),150000.0)</f>
        <v>150000</v>
      </c>
      <c r="AD438" s="32"/>
      <c r="AE438" s="32"/>
      <c r="AF438" s="32"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32" t="str">
        <f>IFERROR(__xludf.DUMMYFUNCTION("""COMPUTED_VALUE"""),"Abstara")</f>
        <v>Abstara</v>
      </c>
      <c r="AH438" s="32" t="b">
        <f>IFERROR(__xludf.DUMMYFUNCTION("""COMPUTED_VALUE"""),TRUE)</f>
        <v>1</v>
      </c>
      <c r="AI438" s="32"/>
      <c r="AJ438" s="32"/>
      <c r="AK438" s="32"/>
      <c r="AL438" s="32"/>
      <c r="AM438" s="32"/>
      <c r="AN438" s="32"/>
      <c r="AO438" s="32"/>
      <c r="AP438" s="32"/>
      <c r="AQ438" s="32"/>
      <c r="AR438" s="32"/>
      <c r="AS438" s="32"/>
      <c r="AT438" s="32"/>
      <c r="AU438" s="32"/>
      <c r="AV438" s="32"/>
      <c r="AW438" s="32"/>
      <c r="AX438" s="32"/>
    </row>
    <row r="439">
      <c r="A439" s="32" t="str">
        <f>IFERROR(__xludf.DUMMYFUNCTION("""COMPUTED_VALUE"""),"Rat King's Crown")</f>
        <v>Rat King's Crown</v>
      </c>
      <c r="B439" s="32" t="str">
        <f>IFERROR(__xludf.DUMMYFUNCTION("""COMPUTED_VALUE"""),"Head")</f>
        <v>Head</v>
      </c>
      <c r="C439" s="32"/>
      <c r="D439" s="5"/>
      <c r="E439" s="40">
        <f>IFERROR(__xludf.DUMMYFUNCTION("""COMPUTED_VALUE"""),1000.0)</f>
        <v>1000</v>
      </c>
      <c r="F439" s="44">
        <f>IFERROR(__xludf.DUMMYFUNCTION("""COMPUTED_VALUE"""),4.95E7)</f>
        <v>49500000</v>
      </c>
      <c r="G439" s="32" t="str">
        <f>IFERROR(__xludf.DUMMYFUNCTION("""COMPUTED_VALUE"""),"DEF")</f>
        <v>DEF</v>
      </c>
      <c r="H439" s="33">
        <f>IFERROR(__xludf.DUMMYFUNCTION("""COMPUTED_VALUE"""),50000.0)</f>
        <v>50000</v>
      </c>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32" t="str">
        <f>IFERROR(__xludf.DUMMYFUNCTION("""COMPUTED_VALUE"""),"Abstara")</f>
        <v>Abstara</v>
      </c>
      <c r="AH439" s="32" t="b">
        <f>IFERROR(__xludf.DUMMYFUNCTION("""COMPUTED_VALUE"""),FALSE)</f>
        <v>0</v>
      </c>
      <c r="AI439" s="32"/>
      <c r="AJ439" s="32"/>
      <c r="AK439" s="32"/>
      <c r="AL439" s="32"/>
      <c r="AM439" s="32"/>
      <c r="AN439" s="32"/>
      <c r="AO439" s="32"/>
      <c r="AP439" s="32"/>
      <c r="AQ439" s="32"/>
      <c r="AR439" s="32"/>
      <c r="AS439" s="32"/>
      <c r="AT439" s="32"/>
      <c r="AU439" s="32"/>
      <c r="AV439" s="32"/>
      <c r="AW439" s="32"/>
      <c r="AX439" s="32"/>
    </row>
    <row r="440">
      <c r="A440" s="32" t="str">
        <f>IFERROR(__xludf.DUMMYFUNCTION("""COMPUTED_VALUE"""),"Vermouth's Crown of Tides")</f>
        <v>Vermouth's Crown of Tides</v>
      </c>
      <c r="B440" s="32" t="str">
        <f>IFERROR(__xludf.DUMMYFUNCTION("""COMPUTED_VALUE"""),"Head")</f>
        <v>Head</v>
      </c>
      <c r="C440" s="3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5"/>
      <c r="E440" s="40">
        <f>IFERROR(__xludf.DUMMYFUNCTION("""COMPUTED_VALUE"""),700.0)</f>
        <v>700</v>
      </c>
      <c r="F440" s="44">
        <f>IFERROR(__xludf.DUMMYFUNCTION("""COMPUTED_VALUE"""),2.415E7)</f>
        <v>24150000</v>
      </c>
      <c r="G440" s="32" t="str">
        <f>IFERROR(__xludf.DUMMYFUNCTION("""COMPUTED_VALUE"""),"DEF")</f>
        <v>DEF</v>
      </c>
      <c r="H440" s="33">
        <f>IFERROR(__xludf.DUMMYFUNCTION("""COMPUTED_VALUE"""),25000.0)</f>
        <v>25000</v>
      </c>
      <c r="I440" s="32"/>
      <c r="J440" s="32"/>
      <c r="K440" s="33">
        <f>IFERROR(__xludf.DUMMYFUNCTION("""COMPUTED_VALUE"""),10000.0)</f>
        <v>10000</v>
      </c>
      <c r="L440" s="32"/>
      <c r="M440" s="32"/>
      <c r="N440" s="32"/>
      <c r="O440" s="32"/>
      <c r="P440" s="32"/>
      <c r="Q440" s="32"/>
      <c r="R440" s="32"/>
      <c r="S440" s="32"/>
      <c r="T440" s="32"/>
      <c r="U440" s="32"/>
      <c r="V440" s="32"/>
      <c r="W440" s="32"/>
      <c r="X440" s="32"/>
      <c r="Y440" s="32"/>
      <c r="Z440" s="32"/>
      <c r="AA440" s="32"/>
      <c r="AB440" s="32"/>
      <c r="AC440" s="32"/>
      <c r="AD440" s="32"/>
      <c r="AE440" s="32"/>
      <c r="AF440" s="32" t="str">
        <f>IFERROR(__xludf.DUMMYFUNCTION("""COMPUTED_VALUE"""),"++Immunity to Water damage. ++X2 Additional Water damage for the user.")</f>
        <v>++Immunity to Water damage. ++X2 Additional Water damage for the user.</v>
      </c>
      <c r="AG440" s="32" t="str">
        <f>IFERROR(__xludf.DUMMYFUNCTION("""COMPUTED_VALUE"""),"Land of Spira")</f>
        <v>Land of Spira</v>
      </c>
      <c r="AH440" s="32" t="b">
        <f>IFERROR(__xludf.DUMMYFUNCTION("""COMPUTED_VALUE"""),FALSE)</f>
        <v>0</v>
      </c>
      <c r="AI440" s="32"/>
      <c r="AJ440" s="32"/>
      <c r="AK440" s="32"/>
      <c r="AL440" s="32"/>
      <c r="AM440" s="32"/>
      <c r="AN440" s="32"/>
      <c r="AO440" s="32"/>
      <c r="AP440" s="32"/>
      <c r="AQ440" s="32"/>
      <c r="AR440" s="32"/>
      <c r="AS440" s="32"/>
      <c r="AT440" s="32"/>
      <c r="AU440" s="32"/>
      <c r="AV440" s="32"/>
      <c r="AW440" s="32"/>
      <c r="AX440" s="32"/>
    </row>
    <row r="441">
      <c r="A441" s="32" t="str">
        <f>IFERROR(__xludf.DUMMYFUNCTION("""COMPUTED_VALUE"""),"ChronoMech Enigma")</f>
        <v>ChronoMech Enigma</v>
      </c>
      <c r="B441" s="32" t="str">
        <f>IFERROR(__xludf.DUMMYFUNCTION("""COMPUTED_VALUE"""),"Hand")</f>
        <v>Hand</v>
      </c>
      <c r="C441" s="32" t="str">
        <f>IFERROR(__xludf.DUMMYFUNCTION("""COMPUTED_VALUE"""),"A clockwork device that grants unique abilities.")</f>
        <v>A clockwork device that grants unique abilities.</v>
      </c>
      <c r="D441" s="5"/>
      <c r="E441" s="40">
        <f>IFERROR(__xludf.DUMMYFUNCTION("""COMPUTED_VALUE"""),200.0)</f>
        <v>200</v>
      </c>
      <c r="F441" s="44">
        <f>IFERROR(__xludf.DUMMYFUNCTION("""COMPUTED_VALUE"""),1900000.0)</f>
        <v>1900000</v>
      </c>
      <c r="G441" s="32" t="str">
        <f>IFERROR(__xludf.DUMMYFUNCTION("""COMPUTED_VALUE"""),"DEF")</f>
        <v>DEF</v>
      </c>
      <c r="H441" s="33">
        <f>IFERROR(__xludf.DUMMYFUNCTION("""COMPUTED_VALUE"""),10000.0)</f>
        <v>10000</v>
      </c>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32" t="str">
        <f>IFERROR(__xludf.DUMMYFUNCTION("""COMPUTED_VALUE"""),"Land of Spira")</f>
        <v>Land of Spira</v>
      </c>
      <c r="AH441" s="32" t="b">
        <f>IFERROR(__xludf.DUMMYFUNCTION("""COMPUTED_VALUE"""),FALSE)</f>
        <v>0</v>
      </c>
      <c r="AI441" s="32"/>
      <c r="AJ441" s="32"/>
      <c r="AK441" s="32"/>
      <c r="AL441" s="32"/>
      <c r="AM441" s="32"/>
      <c r="AN441" s="32"/>
      <c r="AO441" s="32"/>
      <c r="AP441" s="32"/>
      <c r="AQ441" s="32"/>
      <c r="AR441" s="32"/>
      <c r="AS441" s="32"/>
      <c r="AT441" s="32"/>
      <c r="AU441" s="32"/>
      <c r="AV441" s="32"/>
      <c r="AW441" s="32"/>
      <c r="AX441" s="32"/>
    </row>
    <row r="442">
      <c r="A442" s="32" t="str">
        <f>IFERROR(__xludf.DUMMYFUNCTION("""COMPUTED_VALUE"""),"Royal Sword of The Halloween Kingdom")</f>
        <v>Royal Sword of The Halloween Kingdom</v>
      </c>
      <c r="B442" s="32" t="str">
        <f>IFERROR(__xludf.DUMMYFUNCTION("""COMPUTED_VALUE"""),"Hand")</f>
        <v>Hand</v>
      </c>
      <c r="C442" s="32" t="str">
        <f>IFERROR(__xludf.DUMMYFUNCTION("""COMPUTED_VALUE"""),"Halloween Exclusive")</f>
        <v>Halloween Exclusive</v>
      </c>
      <c r="D442" s="5" t="str">
        <f>IFERROR(__xludf.DUMMYFUNCTION("""COMPUTED_VALUE"""),"Sword")</f>
        <v>Sword</v>
      </c>
      <c r="E442" s="40">
        <f>IFERROR(__xludf.DUMMYFUNCTION("""COMPUTED_VALUE"""),200.0)</f>
        <v>200</v>
      </c>
      <c r="F442" s="44">
        <f>IFERROR(__xludf.DUMMYFUNCTION("""COMPUTED_VALUE"""),1.0557E9)</f>
        <v>1055700000</v>
      </c>
      <c r="G442" s="32" t="str">
        <f>IFERROR(__xludf.DUMMYFUNCTION("""COMPUTED_VALUE"""),"DMG")</f>
        <v>DMG</v>
      </c>
      <c r="H442" s="33">
        <f>IFERROR(__xludf.DUMMYFUNCTION("""COMPUTED_VALUE"""),50000.0)</f>
        <v>50000</v>
      </c>
      <c r="I442" s="33">
        <f>IFERROR(__xludf.DUMMYFUNCTION("""COMPUTED_VALUE"""),20000.0)</f>
        <v>20000</v>
      </c>
      <c r="J442" s="32"/>
      <c r="K442" s="32"/>
      <c r="L442" s="32"/>
      <c r="M442" s="32"/>
      <c r="N442" s="32"/>
      <c r="O442" s="33">
        <f>IFERROR(__xludf.DUMMYFUNCTION("""COMPUTED_VALUE"""),20000.0)</f>
        <v>20000</v>
      </c>
      <c r="P442" s="33">
        <f>IFERROR(__xludf.DUMMYFUNCTION("""COMPUTED_VALUE"""),20000.0)</f>
        <v>20000</v>
      </c>
      <c r="Q442" s="32"/>
      <c r="R442" s="33">
        <f>IFERROR(__xludf.DUMMYFUNCTION("""COMPUTED_VALUE"""),20000.0)</f>
        <v>20000</v>
      </c>
      <c r="S442" s="32"/>
      <c r="T442" s="32"/>
      <c r="U442" s="32"/>
      <c r="V442" s="33">
        <f>IFERROR(__xludf.DUMMYFUNCTION("""COMPUTED_VALUE"""),20000.0)</f>
        <v>20000</v>
      </c>
      <c r="W442" s="33">
        <f>IFERROR(__xludf.DUMMYFUNCTION("""COMPUTED_VALUE"""),20000.0)</f>
        <v>20000</v>
      </c>
      <c r="X442" s="33">
        <f>IFERROR(__xludf.DUMMYFUNCTION("""COMPUTED_VALUE"""),20000.0)</f>
        <v>20000</v>
      </c>
      <c r="Y442" s="33">
        <f>IFERROR(__xludf.DUMMYFUNCTION("""COMPUTED_VALUE"""),20000.0)</f>
        <v>20000</v>
      </c>
      <c r="Z442" s="32"/>
      <c r="AA442" s="32"/>
      <c r="AB442" s="32"/>
      <c r="AC442" s="33">
        <f>IFERROR(__xludf.DUMMYFUNCTION("""COMPUTED_VALUE"""),20000.0)</f>
        <v>20000</v>
      </c>
      <c r="AD442" s="32"/>
      <c r="AE442" s="32"/>
      <c r="AF442" s="32"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32" t="str">
        <f>IFERROR(__xludf.DUMMYFUNCTION("""COMPUTED_VALUE"""),"Halloween Kingdom")</f>
        <v>Halloween Kingdom</v>
      </c>
      <c r="AH442" s="32" t="b">
        <f>IFERROR(__xludf.DUMMYFUNCTION("""COMPUTED_VALUE"""),FALSE)</f>
        <v>0</v>
      </c>
      <c r="AI442" s="32"/>
      <c r="AJ442" s="32"/>
      <c r="AK442" s="32"/>
      <c r="AL442" s="32"/>
      <c r="AM442" s="32"/>
      <c r="AN442" s="32"/>
      <c r="AO442" s="32"/>
      <c r="AP442" s="32"/>
      <c r="AQ442" s="32"/>
      <c r="AR442" s="32"/>
      <c r="AS442" s="32"/>
      <c r="AT442" s="32"/>
      <c r="AU442" s="32"/>
      <c r="AV442" s="32"/>
      <c r="AW442" s="32"/>
      <c r="AX442" s="32"/>
    </row>
    <row r="443">
      <c r="A443" s="32" t="str">
        <f>IFERROR(__xludf.DUMMYFUNCTION("""COMPUTED_VALUE"""),"Royal Shield of The Halloween Kingdom")</f>
        <v>Royal Shield of The Halloween Kingdom</v>
      </c>
      <c r="B443" s="32" t="str">
        <f>IFERROR(__xludf.DUMMYFUNCTION("""COMPUTED_VALUE"""),"Hand")</f>
        <v>Hand</v>
      </c>
      <c r="C443" s="32" t="str">
        <f>IFERROR(__xludf.DUMMYFUNCTION("""COMPUTED_VALUE"""),"Halloween Exclusive")</f>
        <v>Halloween Exclusive</v>
      </c>
      <c r="D443" s="5" t="str">
        <f>IFERROR(__xludf.DUMMYFUNCTION("""COMPUTED_VALUE"""),"Towershield")</f>
        <v>Towershield</v>
      </c>
      <c r="E443" s="40">
        <f>IFERROR(__xludf.DUMMYFUNCTION("""COMPUTED_VALUE"""),200.0)</f>
        <v>200</v>
      </c>
      <c r="F443" s="44">
        <f>IFERROR(__xludf.DUMMYFUNCTION("""COMPUTED_VALUE"""),1.0557E9)</f>
        <v>1055700000</v>
      </c>
      <c r="G443" s="32" t="str">
        <f>IFERROR(__xludf.DUMMYFUNCTION("""COMPUTED_VALUE"""),"DEF")</f>
        <v>DEF</v>
      </c>
      <c r="H443" s="33">
        <f>IFERROR(__xludf.DUMMYFUNCTION("""COMPUTED_VALUE"""),50000.0)</f>
        <v>50000</v>
      </c>
      <c r="I443" s="33">
        <f>IFERROR(__xludf.DUMMYFUNCTION("""COMPUTED_VALUE"""),20000.0)</f>
        <v>20000</v>
      </c>
      <c r="J443" s="32"/>
      <c r="K443" s="32"/>
      <c r="L443" s="32"/>
      <c r="M443" s="32"/>
      <c r="N443" s="32"/>
      <c r="O443" s="33">
        <f>IFERROR(__xludf.DUMMYFUNCTION("""COMPUTED_VALUE"""),20000.0)</f>
        <v>20000</v>
      </c>
      <c r="P443" s="33">
        <f>IFERROR(__xludf.DUMMYFUNCTION("""COMPUTED_VALUE"""),20000.0)</f>
        <v>20000</v>
      </c>
      <c r="Q443" s="32"/>
      <c r="R443" s="33">
        <f>IFERROR(__xludf.DUMMYFUNCTION("""COMPUTED_VALUE"""),20000.0)</f>
        <v>20000</v>
      </c>
      <c r="S443" s="32"/>
      <c r="T443" s="32"/>
      <c r="U443" s="32"/>
      <c r="V443" s="33">
        <f>IFERROR(__xludf.DUMMYFUNCTION("""COMPUTED_VALUE"""),20000.0)</f>
        <v>20000</v>
      </c>
      <c r="W443" s="33">
        <f>IFERROR(__xludf.DUMMYFUNCTION("""COMPUTED_VALUE"""),20000.0)</f>
        <v>20000</v>
      </c>
      <c r="X443" s="33">
        <f>IFERROR(__xludf.DUMMYFUNCTION("""COMPUTED_VALUE"""),20000.0)</f>
        <v>20000</v>
      </c>
      <c r="Y443" s="33">
        <f>IFERROR(__xludf.DUMMYFUNCTION("""COMPUTED_VALUE"""),20000.0)</f>
        <v>20000</v>
      </c>
      <c r="Z443" s="32"/>
      <c r="AA443" s="32"/>
      <c r="AB443" s="32"/>
      <c r="AC443" s="33">
        <f>IFERROR(__xludf.DUMMYFUNCTION("""COMPUTED_VALUE"""),20000.0)</f>
        <v>20000</v>
      </c>
      <c r="AD443" s="32"/>
      <c r="AE443" s="32"/>
      <c r="AF443" s="32"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32" t="str">
        <f>IFERROR(__xludf.DUMMYFUNCTION("""COMPUTED_VALUE"""),"Halloween Kingdom")</f>
        <v>Halloween Kingdom</v>
      </c>
      <c r="AH443" s="32" t="b">
        <f>IFERROR(__xludf.DUMMYFUNCTION("""COMPUTED_VALUE"""),FALSE)</f>
        <v>0</v>
      </c>
      <c r="AI443" s="32"/>
      <c r="AJ443" s="32"/>
      <c r="AK443" s="32"/>
      <c r="AL443" s="32"/>
      <c r="AM443" s="32"/>
      <c r="AN443" s="32"/>
      <c r="AO443" s="32"/>
      <c r="AP443" s="32"/>
      <c r="AQ443" s="32"/>
      <c r="AR443" s="32"/>
      <c r="AS443" s="32"/>
      <c r="AT443" s="32"/>
      <c r="AU443" s="32"/>
      <c r="AV443" s="32"/>
      <c r="AW443" s="32"/>
      <c r="AX443" s="32"/>
    </row>
    <row r="444">
      <c r="A444" s="32" t="str">
        <f>IFERROR(__xludf.DUMMYFUNCTION("""COMPUTED_VALUE"""),"Sacred Flaming Pearl")</f>
        <v>Sacred Flaming Pearl</v>
      </c>
      <c r="B444" s="32" t="str">
        <f>IFERROR(__xludf.DUMMYFUNCTION("""COMPUTED_VALUE"""),"Hand")</f>
        <v>Hand</v>
      </c>
      <c r="C444" s="32" t="str">
        <f>IFERROR(__xludf.DUMMYFUNCTION("""COMPUTED_VALUE"""),"Quest item.")</f>
        <v>Quest item.</v>
      </c>
      <c r="D444" s="5"/>
      <c r="E444" s="40">
        <f>IFERROR(__xludf.DUMMYFUNCTION("""COMPUTED_VALUE"""),1.0)</f>
        <v>1</v>
      </c>
      <c r="F444" s="44">
        <f>IFERROR(__xludf.DUMMYFUNCTION("""COMPUTED_VALUE"""),0.0)</f>
        <v>0</v>
      </c>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t="str">
        <f>IFERROR(__xludf.DUMMYFUNCTION("""COMPUTED_VALUE"""),"++X4 additional fire damage for the user. +-Cannot be duplicated.")</f>
        <v>++X4 additional fire damage for the user. +-Cannot be duplicated.</v>
      </c>
      <c r="AG444" s="32" t="str">
        <f>IFERROR(__xludf.DUMMYFUNCTION("""COMPUTED_VALUE"""),"Abstara")</f>
        <v>Abstara</v>
      </c>
      <c r="AH444" s="32" t="b">
        <f>IFERROR(__xludf.DUMMYFUNCTION("""COMPUTED_VALUE"""),FALSE)</f>
        <v>0</v>
      </c>
      <c r="AI444" s="32"/>
      <c r="AJ444" s="32"/>
      <c r="AK444" s="32"/>
      <c r="AL444" s="32"/>
      <c r="AM444" s="32"/>
      <c r="AN444" s="32"/>
      <c r="AO444" s="32"/>
      <c r="AP444" s="32"/>
      <c r="AQ444" s="32"/>
      <c r="AR444" s="32"/>
      <c r="AS444" s="32"/>
      <c r="AT444" s="32"/>
      <c r="AU444" s="32"/>
      <c r="AV444" s="32"/>
      <c r="AW444" s="32"/>
      <c r="AX444" s="32"/>
    </row>
    <row r="445">
      <c r="A445" s="32" t="str">
        <f>IFERROR(__xludf.DUMMYFUNCTION("""COMPUTED_VALUE"""),"DragonScale Royal Helm")</f>
        <v>DragonScale Royal Helm</v>
      </c>
      <c r="B445" s="32" t="str">
        <f>IFERROR(__xludf.DUMMYFUNCTION("""COMPUTED_VALUE"""),"Head")</f>
        <v>Head</v>
      </c>
      <c r="C445" s="32"/>
      <c r="D445" s="5"/>
      <c r="E445" s="40">
        <f>IFERROR(__xludf.DUMMYFUNCTION("""COMPUTED_VALUE"""),200.0)</f>
        <v>200</v>
      </c>
      <c r="F445" s="44">
        <f>IFERROR(__xludf.DUMMYFUNCTION("""COMPUTED_VALUE"""),9.73E7)</f>
        <v>97300000</v>
      </c>
      <c r="G445" s="32" t="str">
        <f>IFERROR(__xludf.DUMMYFUNCTION("""COMPUTED_VALUE"""),"DEF")</f>
        <v>DEF</v>
      </c>
      <c r="H445" s="33">
        <f>IFERROR(__xludf.DUMMYFUNCTION("""COMPUTED_VALUE"""),40000.0)</f>
        <v>40000</v>
      </c>
      <c r="I445" s="32"/>
      <c r="J445" s="32"/>
      <c r="K445" s="32"/>
      <c r="L445" s="32"/>
      <c r="M445" s="32"/>
      <c r="N445" s="32"/>
      <c r="O445" s="32">
        <f>IFERROR(__xludf.DUMMYFUNCTION("""COMPUTED_VALUE"""),10000.0)</f>
        <v>10000</v>
      </c>
      <c r="P445" s="32"/>
      <c r="Q445" s="32"/>
      <c r="R445" s="32">
        <f>IFERROR(__xludf.DUMMYFUNCTION("""COMPUTED_VALUE"""),10000.0)</f>
        <v>10000</v>
      </c>
      <c r="S445" s="32"/>
      <c r="T445" s="32"/>
      <c r="U445" s="32"/>
      <c r="V445" s="32"/>
      <c r="W445" s="32"/>
      <c r="X445" s="32"/>
      <c r="Y445" s="32"/>
      <c r="Z445" s="32"/>
      <c r="AA445" s="32"/>
      <c r="AB445" s="32"/>
      <c r="AC445" s="32">
        <f>IFERROR(__xludf.DUMMYFUNCTION("""COMPUTED_VALUE"""),10000.0)</f>
        <v>10000</v>
      </c>
      <c r="AD445" s="32"/>
      <c r="AE445" s="32"/>
      <c r="AF445" s="32" t="str">
        <f>IFERROR(__xludf.DUMMYFUNCTION("""COMPUTED_VALUE"""),"++X2 Defense for the Wearer. ++Light Embodiment - When Equipped deal X2 Order and Light DMG ")</f>
        <v>++X2 Defense for the Wearer. ++Light Embodiment - When Equipped deal X2 Order and Light DMG </v>
      </c>
      <c r="AG445" s="32" t="str">
        <f>IFERROR(__xludf.DUMMYFUNCTION("""COMPUTED_VALUE"""),"Dragonscale Island")</f>
        <v>Dragonscale Island</v>
      </c>
      <c r="AH445" s="32" t="b">
        <f>IFERROR(__xludf.DUMMYFUNCTION("""COMPUTED_VALUE"""),TRUE)</f>
        <v>1</v>
      </c>
      <c r="AI445" s="32"/>
      <c r="AJ445" s="32"/>
      <c r="AK445" s="32"/>
      <c r="AL445" s="32"/>
      <c r="AM445" s="32"/>
      <c r="AN445" s="32"/>
      <c r="AO445" s="32"/>
      <c r="AP445" s="32"/>
      <c r="AQ445" s="32"/>
      <c r="AR445" s="32"/>
      <c r="AS445" s="32"/>
      <c r="AT445" s="32"/>
      <c r="AU445" s="32"/>
      <c r="AV445" s="32"/>
      <c r="AW445" s="32"/>
      <c r="AX445" s="32"/>
    </row>
    <row r="446">
      <c r="A446" s="32" t="str">
        <f>IFERROR(__xludf.DUMMYFUNCTION("""COMPUTED_VALUE"""),"DragonScale Royal Chestplate")</f>
        <v>DragonScale Royal Chestplate</v>
      </c>
      <c r="B446" s="32" t="str">
        <f>IFERROR(__xludf.DUMMYFUNCTION("""COMPUTED_VALUE"""),"Torso")</f>
        <v>Torso</v>
      </c>
      <c r="C446" s="32"/>
      <c r="D446" s="5"/>
      <c r="E446" s="40">
        <f>IFERROR(__xludf.DUMMYFUNCTION("""COMPUTED_VALUE"""),200.0)</f>
        <v>200</v>
      </c>
      <c r="F446" s="44">
        <f>IFERROR(__xludf.DUMMYFUNCTION("""COMPUTED_VALUE"""),5.995E7)</f>
        <v>59950000</v>
      </c>
      <c r="G446" s="32" t="str">
        <f>IFERROR(__xludf.DUMMYFUNCTION("""COMPUTED_VALUE"""),"DEF")</f>
        <v>DEF</v>
      </c>
      <c r="H446" s="33">
        <f>IFERROR(__xludf.DUMMYFUNCTION("""COMPUTED_VALUE"""),20000.0)</f>
        <v>20000</v>
      </c>
      <c r="I446" s="32"/>
      <c r="J446" s="32"/>
      <c r="K446" s="32">
        <f>IFERROR(__xludf.DUMMYFUNCTION("""COMPUTED_VALUE"""),5000.0)</f>
        <v>5000</v>
      </c>
      <c r="L446" s="32"/>
      <c r="M446" s="32"/>
      <c r="N446" s="32"/>
      <c r="O446" s="32">
        <f>IFERROR(__xludf.DUMMYFUNCTION("""COMPUTED_VALUE"""),10000.0)</f>
        <v>10000</v>
      </c>
      <c r="P446" s="32"/>
      <c r="Q446" s="32"/>
      <c r="R446" s="32">
        <f>IFERROR(__xludf.DUMMYFUNCTION("""COMPUTED_VALUE"""),10000.0)</f>
        <v>10000</v>
      </c>
      <c r="S446" s="32"/>
      <c r="T446" s="32"/>
      <c r="U446" s="32"/>
      <c r="V446" s="32"/>
      <c r="W446" s="32"/>
      <c r="X446" s="32"/>
      <c r="Y446" s="32"/>
      <c r="Z446" s="32"/>
      <c r="AA446" s="32"/>
      <c r="AB446" s="32"/>
      <c r="AC446" s="32">
        <f>IFERROR(__xludf.DUMMYFUNCTION("""COMPUTED_VALUE"""),10000.0)</f>
        <v>10000</v>
      </c>
      <c r="AD446" s="32"/>
      <c r="AE446" s="32"/>
      <c r="AF446" s="32" t="str">
        <f>IFERROR(__xludf.DUMMYFUNCTION("""COMPUTED_VALUE"""),"++X4 Defense for the Wearer. ++Light Embodiment II - When Equipped deal X4 Order and Light DMG ")</f>
        <v>++X4 Defense for the Wearer. ++Light Embodiment II - When Equipped deal X4 Order and Light DMG </v>
      </c>
      <c r="AG446" s="32" t="str">
        <f>IFERROR(__xludf.DUMMYFUNCTION("""COMPUTED_VALUE"""),"Dragonscale Island")</f>
        <v>Dragonscale Island</v>
      </c>
      <c r="AH446" s="32" t="b">
        <f>IFERROR(__xludf.DUMMYFUNCTION("""COMPUTED_VALUE"""),TRUE)</f>
        <v>1</v>
      </c>
      <c r="AI446" s="32"/>
      <c r="AJ446" s="32"/>
      <c r="AK446" s="32"/>
      <c r="AL446" s="32"/>
      <c r="AM446" s="32"/>
      <c r="AN446" s="32"/>
      <c r="AO446" s="32"/>
      <c r="AP446" s="32"/>
      <c r="AQ446" s="32"/>
      <c r="AR446" s="32"/>
      <c r="AS446" s="32"/>
      <c r="AT446" s="32"/>
      <c r="AU446" s="32"/>
      <c r="AV446" s="32"/>
      <c r="AW446" s="32"/>
      <c r="AX446" s="32"/>
    </row>
    <row r="447">
      <c r="A447" s="32" t="str">
        <f>IFERROR(__xludf.DUMMYFUNCTION("""COMPUTED_VALUE"""),"DragonScale Royal Vambraces")</f>
        <v>DragonScale Royal Vambraces</v>
      </c>
      <c r="B447" s="32" t="str">
        <f>IFERROR(__xludf.DUMMYFUNCTION("""COMPUTED_VALUE"""),"Arms")</f>
        <v>Arms</v>
      </c>
      <c r="C447" s="32"/>
      <c r="D447" s="5"/>
      <c r="E447" s="40">
        <f>IFERROR(__xludf.DUMMYFUNCTION("""COMPUTED_VALUE"""),200.0)</f>
        <v>200</v>
      </c>
      <c r="F447" s="44">
        <f>IFERROR(__xludf.DUMMYFUNCTION("""COMPUTED_VALUE"""),3.16E7)</f>
        <v>31600000</v>
      </c>
      <c r="G447" s="32" t="str">
        <f>IFERROR(__xludf.DUMMYFUNCTION("""COMPUTED_VALUE"""),"DEF")</f>
        <v>DEF</v>
      </c>
      <c r="H447" s="33">
        <f>IFERROR(__xludf.DUMMYFUNCTION("""COMPUTED_VALUE"""),10000.0)</f>
        <v>10000</v>
      </c>
      <c r="I447" s="32"/>
      <c r="J447" s="32"/>
      <c r="K447" s="32"/>
      <c r="L447" s="32"/>
      <c r="M447" s="32"/>
      <c r="N447" s="32"/>
      <c r="O447" s="32">
        <f>IFERROR(__xludf.DUMMYFUNCTION("""COMPUTED_VALUE"""),10000.0)</f>
        <v>10000</v>
      </c>
      <c r="P447" s="32"/>
      <c r="Q447" s="32"/>
      <c r="R447" s="32">
        <f>IFERROR(__xludf.DUMMYFUNCTION("""COMPUTED_VALUE"""),10000.0)</f>
        <v>10000</v>
      </c>
      <c r="S447" s="32"/>
      <c r="T447" s="32"/>
      <c r="U447" s="32"/>
      <c r="V447" s="32"/>
      <c r="W447" s="32"/>
      <c r="X447" s="32"/>
      <c r="Y447" s="32"/>
      <c r="Z447" s="32"/>
      <c r="AA447" s="32"/>
      <c r="AB447" s="32"/>
      <c r="AC447" s="32">
        <f>IFERROR(__xludf.DUMMYFUNCTION("""COMPUTED_VALUE"""),10000.0)</f>
        <v>10000</v>
      </c>
      <c r="AD447" s="32"/>
      <c r="AE447" s="32"/>
      <c r="AF447" s="32" t="str">
        <f>IFERROR(__xludf.DUMMYFUNCTION("""COMPUTED_VALUE"""),"++X2 Defense for the Wearer. ++Light Embodiment - When Equipped deal X2 Order and Light DMG ")</f>
        <v>++X2 Defense for the Wearer. ++Light Embodiment - When Equipped deal X2 Order and Light DMG </v>
      </c>
      <c r="AG447" s="32" t="str">
        <f>IFERROR(__xludf.DUMMYFUNCTION("""COMPUTED_VALUE"""),"Dragonscale Island")</f>
        <v>Dragonscale Island</v>
      </c>
      <c r="AH447" s="32" t="b">
        <f>IFERROR(__xludf.DUMMYFUNCTION("""COMPUTED_VALUE"""),TRUE)</f>
        <v>1</v>
      </c>
      <c r="AI447" s="32"/>
      <c r="AJ447" s="32"/>
      <c r="AK447" s="32"/>
      <c r="AL447" s="32"/>
      <c r="AM447" s="32"/>
      <c r="AN447" s="32"/>
      <c r="AO447" s="32"/>
      <c r="AP447" s="32"/>
      <c r="AQ447" s="32"/>
      <c r="AR447" s="32"/>
      <c r="AS447" s="32"/>
      <c r="AT447" s="32"/>
      <c r="AU447" s="32"/>
      <c r="AV447" s="32"/>
      <c r="AW447" s="32"/>
      <c r="AX447" s="32"/>
    </row>
    <row r="448">
      <c r="A448" s="32" t="str">
        <f>IFERROR(__xludf.DUMMYFUNCTION("""COMPUTED_VALUE"""),"DragonScale Royal Greaves")</f>
        <v>DragonScale Royal Greaves</v>
      </c>
      <c r="B448" s="32" t="str">
        <f>IFERROR(__xludf.DUMMYFUNCTION("""COMPUTED_VALUE"""),"Legs")</f>
        <v>Legs</v>
      </c>
      <c r="C448" s="32"/>
      <c r="D448" s="5"/>
      <c r="E448" s="40">
        <f>IFERROR(__xludf.DUMMYFUNCTION("""COMPUTED_VALUE"""),200.0)</f>
        <v>200</v>
      </c>
      <c r="F448" s="44">
        <f>IFERROR(__xludf.DUMMYFUNCTION("""COMPUTED_VALUE"""),3.16E7)</f>
        <v>31600000</v>
      </c>
      <c r="G448" s="32" t="str">
        <f>IFERROR(__xludf.DUMMYFUNCTION("""COMPUTED_VALUE"""),"DEF")</f>
        <v>DEF</v>
      </c>
      <c r="H448" s="33">
        <f>IFERROR(__xludf.DUMMYFUNCTION("""COMPUTED_VALUE"""),10000.0)</f>
        <v>10000</v>
      </c>
      <c r="I448" s="32"/>
      <c r="J448" s="32"/>
      <c r="K448" s="32"/>
      <c r="L448" s="32"/>
      <c r="M448" s="32"/>
      <c r="N448" s="32"/>
      <c r="O448" s="32">
        <f>IFERROR(__xludf.DUMMYFUNCTION("""COMPUTED_VALUE"""),10000.0)</f>
        <v>10000</v>
      </c>
      <c r="P448" s="32"/>
      <c r="Q448" s="32"/>
      <c r="R448" s="32">
        <f>IFERROR(__xludf.DUMMYFUNCTION("""COMPUTED_VALUE"""),10000.0)</f>
        <v>10000</v>
      </c>
      <c r="S448" s="32"/>
      <c r="T448" s="32"/>
      <c r="U448" s="32"/>
      <c r="V448" s="32"/>
      <c r="W448" s="32"/>
      <c r="X448" s="32"/>
      <c r="Y448" s="32"/>
      <c r="Z448" s="32"/>
      <c r="AA448" s="32"/>
      <c r="AB448" s="32"/>
      <c r="AC448" s="32">
        <f>IFERROR(__xludf.DUMMYFUNCTION("""COMPUTED_VALUE"""),10000.0)</f>
        <v>10000</v>
      </c>
      <c r="AD448" s="32"/>
      <c r="AE448" s="32"/>
      <c r="AF448" s="32" t="str">
        <f>IFERROR(__xludf.DUMMYFUNCTION("""COMPUTED_VALUE"""),"++X2 Defense for the Wearer. ++Light Embodiment - When Equipped deal X2 Order and Light DMG ")</f>
        <v>++X2 Defense for the Wearer. ++Light Embodiment - When Equipped deal X2 Order and Light DMG </v>
      </c>
      <c r="AG448" s="32" t="str">
        <f>IFERROR(__xludf.DUMMYFUNCTION("""COMPUTED_VALUE"""),"Dragonscale Island")</f>
        <v>Dragonscale Island</v>
      </c>
      <c r="AH448" s="32" t="b">
        <f>IFERROR(__xludf.DUMMYFUNCTION("""COMPUTED_VALUE"""),TRUE)</f>
        <v>1</v>
      </c>
      <c r="AI448" s="32"/>
      <c r="AJ448" s="32"/>
      <c r="AK448" s="32"/>
      <c r="AL448" s="32"/>
      <c r="AM448" s="32"/>
      <c r="AN448" s="32"/>
      <c r="AO448" s="32"/>
      <c r="AP448" s="32"/>
      <c r="AQ448" s="32"/>
      <c r="AR448" s="32"/>
      <c r="AS448" s="32"/>
      <c r="AT448" s="32"/>
      <c r="AU448" s="32"/>
      <c r="AV448" s="32"/>
      <c r="AW448" s="32"/>
      <c r="AX448" s="32"/>
    </row>
    <row r="449">
      <c r="A449" s="32" t="str">
        <f>IFERROR(__xludf.DUMMYFUNCTION("""COMPUTED_VALUE"""),"DragonScale Royal Shield")</f>
        <v>DragonScale Royal Shield</v>
      </c>
      <c r="B449" s="32" t="str">
        <f>IFERROR(__xludf.DUMMYFUNCTION("""COMPUTED_VALUE"""),"Hand")</f>
        <v>Hand</v>
      </c>
      <c r="C449" s="32"/>
      <c r="D449" s="5" t="str">
        <f>IFERROR(__xludf.DUMMYFUNCTION("""COMPUTED_VALUE"""),"Towershield")</f>
        <v>Towershield</v>
      </c>
      <c r="E449" s="40">
        <f>IFERROR(__xludf.DUMMYFUNCTION("""COMPUTED_VALUE"""),200.0)</f>
        <v>200</v>
      </c>
      <c r="F449" s="44">
        <f>IFERROR(__xludf.DUMMYFUNCTION("""COMPUTED_VALUE"""),2.1945E8)</f>
        <v>219450000</v>
      </c>
      <c r="G449" s="32" t="str">
        <f>IFERROR(__xludf.DUMMYFUNCTION("""COMPUTED_VALUE"""),"DEF")</f>
        <v>DEF</v>
      </c>
      <c r="H449" s="33">
        <f>IFERROR(__xludf.DUMMYFUNCTION("""COMPUTED_VALUE"""),55000.0)</f>
        <v>55000</v>
      </c>
      <c r="I449" s="32"/>
      <c r="J449" s="32"/>
      <c r="K449" s="32"/>
      <c r="L449" s="32"/>
      <c r="M449" s="32"/>
      <c r="N449" s="32"/>
      <c r="O449" s="32">
        <f>IFERROR(__xludf.DUMMYFUNCTION("""COMPUTED_VALUE"""),20000.0)</f>
        <v>20000</v>
      </c>
      <c r="P449" s="32"/>
      <c r="Q449" s="32"/>
      <c r="R449" s="32">
        <f>IFERROR(__xludf.DUMMYFUNCTION("""COMPUTED_VALUE"""),20000.0)</f>
        <v>20000</v>
      </c>
      <c r="S449" s="32"/>
      <c r="T449" s="32"/>
      <c r="U449" s="32"/>
      <c r="V449" s="32"/>
      <c r="W449" s="32"/>
      <c r="X449" s="32"/>
      <c r="Y449" s="32"/>
      <c r="Z449" s="32"/>
      <c r="AA449" s="32"/>
      <c r="AB449" s="32"/>
      <c r="AC449" s="32">
        <f>IFERROR(__xludf.DUMMYFUNCTION("""COMPUTED_VALUE"""),10000.0)</f>
        <v>10000</v>
      </c>
      <c r="AD449" s="32"/>
      <c r="AE449" s="32"/>
      <c r="AF449" s="32" t="str">
        <f>IFERROR(__xludf.DUMMYFUNCTION("""COMPUTED_VALUE"""),"++X2 Defense for the Wearer. ++Light Embodiment - When Equipped deal X2 Order and Light DMG ")</f>
        <v>++X2 Defense for the Wearer. ++Light Embodiment - When Equipped deal X2 Order and Light DMG </v>
      </c>
      <c r="AG449" s="32" t="str">
        <f>IFERROR(__xludf.DUMMYFUNCTION("""COMPUTED_VALUE"""),"Dragonscale Island")</f>
        <v>Dragonscale Island</v>
      </c>
      <c r="AH449" s="32" t="b">
        <f>IFERROR(__xludf.DUMMYFUNCTION("""COMPUTED_VALUE"""),TRUE)</f>
        <v>1</v>
      </c>
      <c r="AI449" s="32"/>
      <c r="AJ449" s="32"/>
      <c r="AK449" s="32"/>
      <c r="AL449" s="32"/>
      <c r="AM449" s="32"/>
      <c r="AN449" s="32"/>
      <c r="AO449" s="32"/>
      <c r="AP449" s="32"/>
      <c r="AQ449" s="32"/>
      <c r="AR449" s="32"/>
      <c r="AS449" s="32"/>
      <c r="AT449" s="32"/>
      <c r="AU449" s="32"/>
      <c r="AV449" s="32"/>
      <c r="AW449" s="32"/>
      <c r="AX449" s="32"/>
    </row>
    <row r="450">
      <c r="A450" s="32" t="str">
        <f>IFERROR(__xludf.DUMMYFUNCTION("""COMPUTED_VALUE"""),"DragonScale Royal Boots")</f>
        <v>DragonScale Royal Boots</v>
      </c>
      <c r="B450" s="32" t="str">
        <f>IFERROR(__xludf.DUMMYFUNCTION("""COMPUTED_VALUE"""),"Feet")</f>
        <v>Feet</v>
      </c>
      <c r="C450" s="32"/>
      <c r="D450" s="5"/>
      <c r="E450" s="40">
        <f>IFERROR(__xludf.DUMMYFUNCTION("""COMPUTED_VALUE"""),200.0)</f>
        <v>200</v>
      </c>
      <c r="F450" s="44">
        <f>IFERROR(__xludf.DUMMYFUNCTION("""COMPUTED_VALUE"""),5.356E7)</f>
        <v>53560000</v>
      </c>
      <c r="G450" s="32" t="str">
        <f>IFERROR(__xludf.DUMMYFUNCTION("""COMPUTED_VALUE"""),"DEF")</f>
        <v>DEF</v>
      </c>
      <c r="H450" s="33">
        <f>IFERROR(__xludf.DUMMYFUNCTION("""COMPUTED_VALUE"""),22000.0)</f>
        <v>22000</v>
      </c>
      <c r="I450" s="32"/>
      <c r="J450" s="32"/>
      <c r="K450" s="32"/>
      <c r="L450" s="32"/>
      <c r="M450" s="32"/>
      <c r="N450" s="32"/>
      <c r="O450" s="32">
        <f>IFERROR(__xludf.DUMMYFUNCTION("""COMPUTED_VALUE"""),10000.0)</f>
        <v>10000</v>
      </c>
      <c r="P450" s="32"/>
      <c r="Q450" s="32"/>
      <c r="R450" s="32">
        <f>IFERROR(__xludf.DUMMYFUNCTION("""COMPUTED_VALUE"""),10000.0)</f>
        <v>10000</v>
      </c>
      <c r="S450" s="32"/>
      <c r="T450" s="32"/>
      <c r="U450" s="32"/>
      <c r="V450" s="32"/>
      <c r="W450" s="32"/>
      <c r="X450" s="32"/>
      <c r="Y450" s="32"/>
      <c r="Z450" s="32"/>
      <c r="AA450" s="32"/>
      <c r="AB450" s="32"/>
      <c r="AC450" s="32">
        <f>IFERROR(__xludf.DUMMYFUNCTION("""COMPUTED_VALUE"""),10000.0)</f>
        <v>10000</v>
      </c>
      <c r="AD450" s="32"/>
      <c r="AE450" s="32"/>
      <c r="AF450" s="32" t="str">
        <f>IFERROR(__xludf.DUMMYFUNCTION("""COMPUTED_VALUE"""),"++X2 Defense for the Wearer. ++Light Embodiment - When Equipped deal X2 Order and Light DMG ")</f>
        <v>++X2 Defense for the Wearer. ++Light Embodiment - When Equipped deal X2 Order and Light DMG </v>
      </c>
      <c r="AG450" s="32" t="str">
        <f>IFERROR(__xludf.DUMMYFUNCTION("""COMPUTED_VALUE"""),"Dragonscale Island")</f>
        <v>Dragonscale Island</v>
      </c>
      <c r="AH450" s="32" t="b">
        <f>IFERROR(__xludf.DUMMYFUNCTION("""COMPUTED_VALUE"""),TRUE)</f>
        <v>1</v>
      </c>
      <c r="AI450" s="32"/>
      <c r="AJ450" s="32"/>
      <c r="AK450" s="32"/>
      <c r="AL450" s="32"/>
      <c r="AM450" s="32"/>
      <c r="AN450" s="32"/>
      <c r="AO450" s="32"/>
      <c r="AP450" s="32"/>
      <c r="AQ450" s="32"/>
      <c r="AR450" s="32"/>
      <c r="AS450" s="32"/>
      <c r="AT450" s="32"/>
      <c r="AU450" s="32"/>
      <c r="AV450" s="32"/>
      <c r="AW450" s="32"/>
      <c r="AX450" s="32"/>
    </row>
    <row r="451">
      <c r="A451" s="32" t="str">
        <f>IFERROR(__xludf.DUMMYFUNCTION("""COMPUTED_VALUE"""),"DragonScale Royal Pauldrons")</f>
        <v>DragonScale Royal Pauldrons</v>
      </c>
      <c r="B451" s="32" t="str">
        <f>IFERROR(__xludf.DUMMYFUNCTION("""COMPUTED_VALUE"""),"Shoulders")</f>
        <v>Shoulders</v>
      </c>
      <c r="C451" s="32"/>
      <c r="D451" s="5"/>
      <c r="E451" s="40">
        <f>IFERROR(__xludf.DUMMYFUNCTION("""COMPUTED_VALUE"""),200.0)</f>
        <v>200</v>
      </c>
      <c r="F451" s="44">
        <f>IFERROR(__xludf.DUMMYFUNCTION("""COMPUTED_VALUE"""),4.95E7)</f>
        <v>49500000</v>
      </c>
      <c r="G451" s="32" t="str">
        <f>IFERROR(__xludf.DUMMYFUNCTION("""COMPUTED_VALUE"""),"DEF")</f>
        <v>DEF</v>
      </c>
      <c r="H451" s="33">
        <f>IFERROR(__xludf.DUMMYFUNCTION("""COMPUTED_VALUE"""),20000.0)</f>
        <v>20000</v>
      </c>
      <c r="I451" s="32"/>
      <c r="J451" s="32"/>
      <c r="K451" s="32"/>
      <c r="L451" s="32"/>
      <c r="M451" s="32"/>
      <c r="N451" s="32"/>
      <c r="O451" s="32">
        <f>IFERROR(__xludf.DUMMYFUNCTION("""COMPUTED_VALUE"""),10000.0)</f>
        <v>10000</v>
      </c>
      <c r="P451" s="32"/>
      <c r="Q451" s="32"/>
      <c r="R451" s="32">
        <f>IFERROR(__xludf.DUMMYFUNCTION("""COMPUTED_VALUE"""),10000.0)</f>
        <v>10000</v>
      </c>
      <c r="S451" s="32"/>
      <c r="T451" s="32"/>
      <c r="U451" s="32"/>
      <c r="V451" s="32"/>
      <c r="W451" s="32"/>
      <c r="X451" s="32"/>
      <c r="Y451" s="32"/>
      <c r="Z451" s="32"/>
      <c r="AA451" s="32"/>
      <c r="AB451" s="32"/>
      <c r="AC451" s="32">
        <f>IFERROR(__xludf.DUMMYFUNCTION("""COMPUTED_VALUE"""),10000.0)</f>
        <v>10000</v>
      </c>
      <c r="AD451" s="32"/>
      <c r="AE451" s="32"/>
      <c r="AF451" s="32" t="str">
        <f>IFERROR(__xludf.DUMMYFUNCTION("""COMPUTED_VALUE"""),"++X2 Defense for the Wearer. ++Light Embodiment - When Equipped deal X2 Order and Light DMG ")</f>
        <v>++X2 Defense for the Wearer. ++Light Embodiment - When Equipped deal X2 Order and Light DMG </v>
      </c>
      <c r="AG451" s="32" t="str">
        <f>IFERROR(__xludf.DUMMYFUNCTION("""COMPUTED_VALUE"""),"Dragonscale Island")</f>
        <v>Dragonscale Island</v>
      </c>
      <c r="AH451" s="32" t="b">
        <f>IFERROR(__xludf.DUMMYFUNCTION("""COMPUTED_VALUE"""),TRUE)</f>
        <v>1</v>
      </c>
      <c r="AI451" s="32"/>
      <c r="AJ451" s="32"/>
      <c r="AK451" s="32"/>
      <c r="AL451" s="32"/>
      <c r="AM451" s="32"/>
      <c r="AN451" s="32"/>
      <c r="AO451" s="32"/>
      <c r="AP451" s="32"/>
      <c r="AQ451" s="32"/>
      <c r="AR451" s="32"/>
      <c r="AS451" s="32"/>
      <c r="AT451" s="32"/>
      <c r="AU451" s="32"/>
      <c r="AV451" s="32"/>
      <c r="AW451" s="32"/>
      <c r="AX451" s="32"/>
    </row>
    <row r="452">
      <c r="A452" s="32" t="str">
        <f>IFERROR(__xludf.DUMMYFUNCTION("""COMPUTED_VALUE"""),"BLADE! OF! JUSTICE!!!!")</f>
        <v>BLADE! OF! JUSTICE!!!!</v>
      </c>
      <c r="B452" s="32" t="str">
        <f>IFERROR(__xludf.DUMMYFUNCTION("""COMPUTED_VALUE"""),"Hand")</f>
        <v>Hand</v>
      </c>
      <c r="C452" s="32"/>
      <c r="D452" s="5" t="str">
        <f>IFERROR(__xludf.DUMMYFUNCTION("""COMPUTED_VALUE"""),"Sword")</f>
        <v>Sword</v>
      </c>
      <c r="E452" s="40">
        <f>IFERROR(__xludf.DUMMYFUNCTION("""COMPUTED_VALUE"""),200.0)</f>
        <v>200</v>
      </c>
      <c r="F452" s="44">
        <f>IFERROR(__xludf.DUMMYFUNCTION("""COMPUTED_VALUE"""),3.367E8)</f>
        <v>336700000</v>
      </c>
      <c r="G452" s="32" t="str">
        <f>IFERROR(__xludf.DUMMYFUNCTION("""COMPUTED_VALUE"""),"DMG")</f>
        <v>DMG</v>
      </c>
      <c r="H452" s="33">
        <f>IFERROR(__xludf.DUMMYFUNCTION("""COMPUTED_VALUE"""),100000.0)</f>
        <v>100000</v>
      </c>
      <c r="I452" s="32"/>
      <c r="J452" s="32"/>
      <c r="K452" s="32"/>
      <c r="L452" s="32"/>
      <c r="M452" s="32"/>
      <c r="N452" s="32">
        <f>IFERROR(__xludf.DUMMYFUNCTION("""COMPUTED_VALUE"""),10000.0)</f>
        <v>10000</v>
      </c>
      <c r="O452" s="32"/>
      <c r="P452" s="32"/>
      <c r="Q452" s="33">
        <f>IFERROR(__xludf.DUMMYFUNCTION("""COMPUTED_VALUE"""),10000.0)</f>
        <v>10000</v>
      </c>
      <c r="R452" s="32"/>
      <c r="S452" s="32"/>
      <c r="T452" s="32"/>
      <c r="U452" s="32"/>
      <c r="V452" s="32"/>
      <c r="W452" s="32"/>
      <c r="X452" s="32"/>
      <c r="Y452" s="32"/>
      <c r="Z452" s="32"/>
      <c r="AA452" s="32"/>
      <c r="AB452" s="32"/>
      <c r="AC452" s="32">
        <f>IFERROR(__xludf.DUMMYFUNCTION("""COMPUTED_VALUE"""),10000.0)</f>
        <v>10000</v>
      </c>
      <c r="AD452" s="32"/>
      <c r="AE452" s="32"/>
      <c r="AF452" s="32"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32" t="str">
        <f>IFERROR(__xludf.DUMMYFUNCTION("""COMPUTED_VALUE"""),"Dragonscale Island")</f>
        <v>Dragonscale Island</v>
      </c>
      <c r="AH452" s="32" t="b">
        <f>IFERROR(__xludf.DUMMYFUNCTION("""COMPUTED_VALUE"""),TRUE)</f>
        <v>1</v>
      </c>
      <c r="AI452" s="32"/>
      <c r="AJ452" s="32"/>
      <c r="AK452" s="32"/>
      <c r="AL452" s="32"/>
      <c r="AM452" s="32"/>
      <c r="AN452" s="32"/>
      <c r="AO452" s="32"/>
      <c r="AP452" s="32"/>
      <c r="AQ452" s="32"/>
      <c r="AR452" s="32"/>
      <c r="AS452" s="32"/>
      <c r="AT452" s="32"/>
      <c r="AU452" s="32"/>
      <c r="AV452" s="32"/>
      <c r="AW452" s="32"/>
      <c r="AX452" s="32"/>
    </row>
    <row r="453">
      <c r="A453" s="32" t="str">
        <f>IFERROR(__xludf.DUMMYFUNCTION("""COMPUTED_VALUE"""),"Abstara Royal Helm")</f>
        <v>Abstara Royal Helm</v>
      </c>
      <c r="B453" s="32" t="str">
        <f>IFERROR(__xludf.DUMMYFUNCTION("""COMPUTED_VALUE"""),"Head")</f>
        <v>Head</v>
      </c>
      <c r="C453" s="32"/>
      <c r="D453" s="5"/>
      <c r="E453" s="40">
        <f>IFERROR(__xludf.DUMMYFUNCTION("""COMPUTED_VALUE"""),200.0)</f>
        <v>200</v>
      </c>
      <c r="F453" s="44">
        <f>IFERROR(__xludf.DUMMYFUNCTION("""COMPUTED_VALUE"""),1.99E8)</f>
        <v>199000000</v>
      </c>
      <c r="G453" s="32" t="str">
        <f>IFERROR(__xludf.DUMMYFUNCTION("""COMPUTED_VALUE"""),"DEF")</f>
        <v>DEF</v>
      </c>
      <c r="H453" s="33">
        <f>IFERROR(__xludf.DUMMYFUNCTION("""COMPUTED_VALUE"""),50000.0)</f>
        <v>50000</v>
      </c>
      <c r="I453" s="32"/>
      <c r="J453" s="32"/>
      <c r="K453" s="32"/>
      <c r="L453" s="32"/>
      <c r="M453" s="32"/>
      <c r="N453" s="32"/>
      <c r="O453" s="32"/>
      <c r="P453" s="32"/>
      <c r="Q453" s="32"/>
      <c r="R453" s="32"/>
      <c r="S453" s="32"/>
      <c r="T453" s="32"/>
      <c r="U453" s="32"/>
      <c r="V453" s="32"/>
      <c r="W453" s="32"/>
      <c r="X453" s="32"/>
      <c r="Y453" s="32"/>
      <c r="Z453" s="32"/>
      <c r="AA453" s="32"/>
      <c r="AB453" s="32"/>
      <c r="AC453" s="33">
        <f>IFERROR(__xludf.DUMMYFUNCTION("""COMPUTED_VALUE"""),50000.0)</f>
        <v>50000</v>
      </c>
      <c r="AD453" s="32"/>
      <c r="AE453" s="32"/>
      <c r="AF453"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3" s="32" t="str">
        <f>IFERROR(__xludf.DUMMYFUNCTION("""COMPUTED_VALUE"""),"Abstara")</f>
        <v>Abstara</v>
      </c>
      <c r="AH453" s="32" t="b">
        <f>IFERROR(__xludf.DUMMYFUNCTION("""COMPUTED_VALUE"""),TRUE)</f>
        <v>1</v>
      </c>
      <c r="AI453" s="32"/>
      <c r="AJ453" s="32"/>
      <c r="AK453" s="32"/>
      <c r="AL453" s="32"/>
      <c r="AM453" s="32"/>
      <c r="AN453" s="32"/>
      <c r="AO453" s="32"/>
      <c r="AP453" s="32"/>
      <c r="AQ453" s="32"/>
      <c r="AR453" s="32"/>
      <c r="AS453" s="32"/>
      <c r="AT453" s="32"/>
      <c r="AU453" s="32"/>
      <c r="AV453" s="32"/>
      <c r="AW453" s="32"/>
      <c r="AX453" s="32"/>
    </row>
    <row r="454">
      <c r="A454" s="32" t="str">
        <f>IFERROR(__xludf.DUMMYFUNCTION("""COMPUTED_VALUE"""),"Abstara Royal Chestplate")</f>
        <v>Abstara Royal Chestplate</v>
      </c>
      <c r="B454" s="32" t="str">
        <f>IFERROR(__xludf.DUMMYFUNCTION("""COMPUTED_VALUE"""),"Torso")</f>
        <v>Torso</v>
      </c>
      <c r="C454" s="32"/>
      <c r="D454" s="5"/>
      <c r="E454" s="40">
        <f>IFERROR(__xludf.DUMMYFUNCTION("""COMPUTED_VALUE"""),200.0)</f>
        <v>200</v>
      </c>
      <c r="F454" s="44">
        <f>IFERROR(__xludf.DUMMYFUNCTION("""COMPUTED_VALUE"""),1.99E8)</f>
        <v>199000000</v>
      </c>
      <c r="G454" s="32" t="str">
        <f>IFERROR(__xludf.DUMMYFUNCTION("""COMPUTED_VALUE"""),"DEF")</f>
        <v>DEF</v>
      </c>
      <c r="H454" s="33">
        <f>IFERROR(__xludf.DUMMYFUNCTION("""COMPUTED_VALUE"""),50000.0)</f>
        <v>50000</v>
      </c>
      <c r="I454" s="32"/>
      <c r="J454" s="32"/>
      <c r="K454" s="32"/>
      <c r="L454" s="32"/>
      <c r="M454" s="32"/>
      <c r="N454" s="32"/>
      <c r="O454" s="32"/>
      <c r="P454" s="32"/>
      <c r="Q454" s="32"/>
      <c r="R454" s="32"/>
      <c r="S454" s="32"/>
      <c r="T454" s="32"/>
      <c r="U454" s="32"/>
      <c r="V454" s="32"/>
      <c r="W454" s="32"/>
      <c r="X454" s="32"/>
      <c r="Y454" s="32"/>
      <c r="Z454" s="32"/>
      <c r="AA454" s="32"/>
      <c r="AB454" s="32"/>
      <c r="AC454" s="33">
        <f>IFERROR(__xludf.DUMMYFUNCTION("""COMPUTED_VALUE"""),50000.0)</f>
        <v>50000</v>
      </c>
      <c r="AD454" s="32"/>
      <c r="AE454" s="32"/>
      <c r="AF454"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4" s="32" t="str">
        <f>IFERROR(__xludf.DUMMYFUNCTION("""COMPUTED_VALUE"""),"Abstara")</f>
        <v>Abstara</v>
      </c>
      <c r="AH454" s="32" t="b">
        <f>IFERROR(__xludf.DUMMYFUNCTION("""COMPUTED_VALUE"""),TRUE)</f>
        <v>1</v>
      </c>
      <c r="AI454" s="32"/>
      <c r="AJ454" s="32"/>
      <c r="AK454" s="32"/>
      <c r="AL454" s="32"/>
      <c r="AM454" s="32"/>
      <c r="AN454" s="32"/>
      <c r="AO454" s="32"/>
      <c r="AP454" s="32"/>
      <c r="AQ454" s="32"/>
      <c r="AR454" s="32"/>
      <c r="AS454" s="32"/>
      <c r="AT454" s="32"/>
      <c r="AU454" s="32"/>
      <c r="AV454" s="32"/>
      <c r="AW454" s="32"/>
      <c r="AX454" s="32"/>
    </row>
    <row r="455">
      <c r="A455" s="32" t="str">
        <f>IFERROR(__xludf.DUMMYFUNCTION("""COMPUTED_VALUE"""),"Abstara Royal Vambraces")</f>
        <v>Abstara Royal Vambraces</v>
      </c>
      <c r="B455" s="32" t="str">
        <f>IFERROR(__xludf.DUMMYFUNCTION("""COMPUTED_VALUE"""),"Arms")</f>
        <v>Arms</v>
      </c>
      <c r="C455" s="32"/>
      <c r="D455" s="5"/>
      <c r="E455" s="40">
        <f>IFERROR(__xludf.DUMMYFUNCTION("""COMPUTED_VALUE"""),200.0)</f>
        <v>200</v>
      </c>
      <c r="F455" s="44">
        <f>IFERROR(__xludf.DUMMYFUNCTION("""COMPUTED_VALUE"""),1.99E8)</f>
        <v>199000000</v>
      </c>
      <c r="G455" s="32" t="str">
        <f>IFERROR(__xludf.DUMMYFUNCTION("""COMPUTED_VALUE"""),"DEF")</f>
        <v>DEF</v>
      </c>
      <c r="H455" s="33">
        <f>IFERROR(__xludf.DUMMYFUNCTION("""COMPUTED_VALUE"""),50000.0)</f>
        <v>50000</v>
      </c>
      <c r="I455" s="32"/>
      <c r="J455" s="32"/>
      <c r="K455" s="32"/>
      <c r="L455" s="32"/>
      <c r="M455" s="32"/>
      <c r="N455" s="32"/>
      <c r="O455" s="32"/>
      <c r="P455" s="32"/>
      <c r="Q455" s="32"/>
      <c r="R455" s="32"/>
      <c r="S455" s="32"/>
      <c r="T455" s="32"/>
      <c r="U455" s="32"/>
      <c r="V455" s="32"/>
      <c r="W455" s="32"/>
      <c r="X455" s="32"/>
      <c r="Y455" s="32"/>
      <c r="Z455" s="32"/>
      <c r="AA455" s="32"/>
      <c r="AB455" s="32"/>
      <c r="AC455" s="33">
        <f>IFERROR(__xludf.DUMMYFUNCTION("""COMPUTED_VALUE"""),50000.0)</f>
        <v>50000</v>
      </c>
      <c r="AD455" s="32"/>
      <c r="AE455" s="32"/>
      <c r="AF455"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5" s="32" t="str">
        <f>IFERROR(__xludf.DUMMYFUNCTION("""COMPUTED_VALUE"""),"Abstara")</f>
        <v>Abstara</v>
      </c>
      <c r="AH455" s="32" t="b">
        <f>IFERROR(__xludf.DUMMYFUNCTION("""COMPUTED_VALUE"""),TRUE)</f>
        <v>1</v>
      </c>
      <c r="AI455" s="32"/>
      <c r="AJ455" s="32"/>
      <c r="AK455" s="32"/>
      <c r="AL455" s="32"/>
      <c r="AM455" s="32"/>
      <c r="AN455" s="32"/>
      <c r="AO455" s="32"/>
      <c r="AP455" s="32"/>
      <c r="AQ455" s="32"/>
      <c r="AR455" s="32"/>
      <c r="AS455" s="32"/>
      <c r="AT455" s="32"/>
      <c r="AU455" s="32"/>
      <c r="AV455" s="32"/>
      <c r="AW455" s="32"/>
      <c r="AX455" s="32"/>
    </row>
    <row r="456">
      <c r="A456" s="32" t="str">
        <f>IFERROR(__xludf.DUMMYFUNCTION("""COMPUTED_VALUE"""),"Abstara Royal Greaves")</f>
        <v>Abstara Royal Greaves</v>
      </c>
      <c r="B456" s="32" t="str">
        <f>IFERROR(__xludf.DUMMYFUNCTION("""COMPUTED_VALUE"""),"Legs")</f>
        <v>Legs</v>
      </c>
      <c r="C456" s="32"/>
      <c r="D456" s="5"/>
      <c r="E456" s="40">
        <f>IFERROR(__xludf.DUMMYFUNCTION("""COMPUTED_VALUE"""),200.0)</f>
        <v>200</v>
      </c>
      <c r="F456" s="44">
        <f>IFERROR(__xludf.DUMMYFUNCTION("""COMPUTED_VALUE"""),1.99E8)</f>
        <v>199000000</v>
      </c>
      <c r="G456" s="32" t="str">
        <f>IFERROR(__xludf.DUMMYFUNCTION("""COMPUTED_VALUE"""),"DEF")</f>
        <v>DEF</v>
      </c>
      <c r="H456" s="33">
        <f>IFERROR(__xludf.DUMMYFUNCTION("""COMPUTED_VALUE"""),50000.0)</f>
        <v>50000</v>
      </c>
      <c r="I456" s="32"/>
      <c r="J456" s="32"/>
      <c r="K456" s="32"/>
      <c r="L456" s="32"/>
      <c r="M456" s="32"/>
      <c r="N456" s="32"/>
      <c r="O456" s="32"/>
      <c r="P456" s="32"/>
      <c r="Q456" s="32"/>
      <c r="R456" s="32"/>
      <c r="S456" s="32"/>
      <c r="T456" s="32"/>
      <c r="U456" s="32"/>
      <c r="V456" s="32"/>
      <c r="W456" s="32"/>
      <c r="X456" s="32"/>
      <c r="Y456" s="32"/>
      <c r="Z456" s="32"/>
      <c r="AA456" s="32"/>
      <c r="AB456" s="32"/>
      <c r="AC456" s="33">
        <f>IFERROR(__xludf.DUMMYFUNCTION("""COMPUTED_VALUE"""),50000.0)</f>
        <v>50000</v>
      </c>
      <c r="AD456" s="32"/>
      <c r="AE456" s="32"/>
      <c r="AF456"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6" s="32" t="str">
        <f>IFERROR(__xludf.DUMMYFUNCTION("""COMPUTED_VALUE"""),"Abstara")</f>
        <v>Abstara</v>
      </c>
      <c r="AH456" s="32" t="b">
        <f>IFERROR(__xludf.DUMMYFUNCTION("""COMPUTED_VALUE"""),TRUE)</f>
        <v>1</v>
      </c>
      <c r="AI456" s="32"/>
      <c r="AJ456" s="32"/>
      <c r="AK456" s="32"/>
      <c r="AL456" s="32"/>
      <c r="AM456" s="32"/>
      <c r="AN456" s="32"/>
      <c r="AO456" s="32"/>
      <c r="AP456" s="32"/>
      <c r="AQ456" s="32"/>
      <c r="AR456" s="32"/>
      <c r="AS456" s="32"/>
      <c r="AT456" s="32"/>
      <c r="AU456" s="32"/>
      <c r="AV456" s="32"/>
      <c r="AW456" s="32"/>
      <c r="AX456" s="32"/>
    </row>
    <row r="457">
      <c r="A457" s="32" t="str">
        <f>IFERROR(__xludf.DUMMYFUNCTION("""COMPUTED_VALUE"""),"Abstara Royal Shield")</f>
        <v>Abstara Royal Shield</v>
      </c>
      <c r="B457" s="32" t="str">
        <f>IFERROR(__xludf.DUMMYFUNCTION("""COMPUTED_VALUE"""),"Hand")</f>
        <v>Hand</v>
      </c>
      <c r="C457" s="32"/>
      <c r="D457" s="5" t="str">
        <f>IFERROR(__xludf.DUMMYFUNCTION("""COMPUTED_VALUE"""),"Towershield")</f>
        <v>Towershield</v>
      </c>
      <c r="E457" s="40">
        <f>IFERROR(__xludf.DUMMYFUNCTION("""COMPUTED_VALUE"""),200.0)</f>
        <v>200</v>
      </c>
      <c r="F457" s="44">
        <f>IFERROR(__xludf.DUMMYFUNCTION("""COMPUTED_VALUE"""),1.99E8)</f>
        <v>199000000</v>
      </c>
      <c r="G457" s="32" t="str">
        <f>IFERROR(__xludf.DUMMYFUNCTION("""COMPUTED_VALUE"""),"DEF")</f>
        <v>DEF</v>
      </c>
      <c r="H457" s="33">
        <f>IFERROR(__xludf.DUMMYFUNCTION("""COMPUTED_VALUE"""),50000.0)</f>
        <v>50000</v>
      </c>
      <c r="I457" s="32"/>
      <c r="J457" s="32"/>
      <c r="K457" s="32"/>
      <c r="L457" s="32"/>
      <c r="M457" s="32"/>
      <c r="N457" s="32"/>
      <c r="O457" s="32"/>
      <c r="P457" s="32"/>
      <c r="Q457" s="32"/>
      <c r="R457" s="32"/>
      <c r="S457" s="32"/>
      <c r="T457" s="32"/>
      <c r="U457" s="32"/>
      <c r="V457" s="32"/>
      <c r="W457" s="32"/>
      <c r="X457" s="32"/>
      <c r="Y457" s="32"/>
      <c r="Z457" s="32"/>
      <c r="AA457" s="32"/>
      <c r="AB457" s="32"/>
      <c r="AC457" s="33">
        <f>IFERROR(__xludf.DUMMYFUNCTION("""COMPUTED_VALUE"""),50000.0)</f>
        <v>50000</v>
      </c>
      <c r="AD457" s="32"/>
      <c r="AE457" s="32"/>
      <c r="AF457"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7" s="32" t="str">
        <f>IFERROR(__xludf.DUMMYFUNCTION("""COMPUTED_VALUE"""),"Abstara")</f>
        <v>Abstara</v>
      </c>
      <c r="AH457" s="32" t="b">
        <f>IFERROR(__xludf.DUMMYFUNCTION("""COMPUTED_VALUE"""),TRUE)</f>
        <v>1</v>
      </c>
      <c r="AI457" s="32"/>
      <c r="AJ457" s="32"/>
      <c r="AK457" s="32"/>
      <c r="AL457" s="32"/>
      <c r="AM457" s="32"/>
      <c r="AN457" s="32"/>
      <c r="AO457" s="32"/>
      <c r="AP457" s="32"/>
      <c r="AQ457" s="32"/>
      <c r="AR457" s="32"/>
      <c r="AS457" s="32"/>
      <c r="AT457" s="32"/>
      <c r="AU457" s="32"/>
      <c r="AV457" s="32"/>
      <c r="AW457" s="32"/>
      <c r="AX457" s="32"/>
    </row>
    <row r="458">
      <c r="A458" s="32" t="str">
        <f>IFERROR(__xludf.DUMMYFUNCTION("""COMPUTED_VALUE"""),"Abstara Royal Boots")</f>
        <v>Abstara Royal Boots</v>
      </c>
      <c r="B458" s="32" t="str">
        <f>IFERROR(__xludf.DUMMYFUNCTION("""COMPUTED_VALUE"""),"Feet")</f>
        <v>Feet</v>
      </c>
      <c r="C458" s="32"/>
      <c r="D458" s="5"/>
      <c r="E458" s="40">
        <f>IFERROR(__xludf.DUMMYFUNCTION("""COMPUTED_VALUE"""),200.0)</f>
        <v>200</v>
      </c>
      <c r="F458" s="44">
        <f>IFERROR(__xludf.DUMMYFUNCTION("""COMPUTED_VALUE"""),1.99E8)</f>
        <v>199000000</v>
      </c>
      <c r="G458" s="32" t="str">
        <f>IFERROR(__xludf.DUMMYFUNCTION("""COMPUTED_VALUE"""),"DEF")</f>
        <v>DEF</v>
      </c>
      <c r="H458" s="33">
        <f>IFERROR(__xludf.DUMMYFUNCTION("""COMPUTED_VALUE"""),50000.0)</f>
        <v>50000</v>
      </c>
      <c r="I458" s="32"/>
      <c r="J458" s="32"/>
      <c r="K458" s="32"/>
      <c r="L458" s="32"/>
      <c r="M458" s="32"/>
      <c r="N458" s="32"/>
      <c r="O458" s="32"/>
      <c r="P458" s="32"/>
      <c r="Q458" s="32"/>
      <c r="R458" s="32"/>
      <c r="S458" s="32"/>
      <c r="T458" s="32"/>
      <c r="U458" s="32"/>
      <c r="V458" s="32"/>
      <c r="W458" s="32"/>
      <c r="X458" s="32"/>
      <c r="Y458" s="32"/>
      <c r="Z458" s="32"/>
      <c r="AA458" s="32"/>
      <c r="AB458" s="32"/>
      <c r="AC458" s="33">
        <f>IFERROR(__xludf.DUMMYFUNCTION("""COMPUTED_VALUE"""),50000.0)</f>
        <v>50000</v>
      </c>
      <c r="AD458" s="32"/>
      <c r="AE458" s="32"/>
      <c r="AF458"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8" s="32" t="str">
        <f>IFERROR(__xludf.DUMMYFUNCTION("""COMPUTED_VALUE"""),"Abstara")</f>
        <v>Abstara</v>
      </c>
      <c r="AH458" s="32" t="b">
        <f>IFERROR(__xludf.DUMMYFUNCTION("""COMPUTED_VALUE"""),TRUE)</f>
        <v>1</v>
      </c>
      <c r="AI458" s="32"/>
      <c r="AJ458" s="32"/>
      <c r="AK458" s="32"/>
      <c r="AL458" s="32"/>
      <c r="AM458" s="32"/>
      <c r="AN458" s="32"/>
      <c r="AO458" s="32"/>
      <c r="AP458" s="32"/>
      <c r="AQ458" s="32"/>
      <c r="AR458" s="32"/>
      <c r="AS458" s="32"/>
      <c r="AT458" s="32"/>
      <c r="AU458" s="32"/>
      <c r="AV458" s="32"/>
      <c r="AW458" s="32"/>
      <c r="AX458" s="32"/>
    </row>
    <row r="459">
      <c r="A459" s="32" t="str">
        <f>IFERROR(__xludf.DUMMYFUNCTION("""COMPUTED_VALUE"""),"Abstara Royal Pauldrons")</f>
        <v>Abstara Royal Pauldrons</v>
      </c>
      <c r="B459" s="32" t="str">
        <f>IFERROR(__xludf.DUMMYFUNCTION("""COMPUTED_VALUE"""),"Shoulders")</f>
        <v>Shoulders</v>
      </c>
      <c r="C459" s="32"/>
      <c r="D459" s="5"/>
      <c r="E459" s="40">
        <f>IFERROR(__xludf.DUMMYFUNCTION("""COMPUTED_VALUE"""),200.0)</f>
        <v>200</v>
      </c>
      <c r="F459" s="44">
        <f>IFERROR(__xludf.DUMMYFUNCTION("""COMPUTED_VALUE"""),1.99E8)</f>
        <v>199000000</v>
      </c>
      <c r="G459" s="32" t="str">
        <f>IFERROR(__xludf.DUMMYFUNCTION("""COMPUTED_VALUE"""),"DEF")</f>
        <v>DEF</v>
      </c>
      <c r="H459" s="33">
        <f>IFERROR(__xludf.DUMMYFUNCTION("""COMPUTED_VALUE"""),50000.0)</f>
        <v>50000</v>
      </c>
      <c r="I459" s="32"/>
      <c r="J459" s="32"/>
      <c r="K459" s="32"/>
      <c r="L459" s="32"/>
      <c r="M459" s="32"/>
      <c r="N459" s="32"/>
      <c r="O459" s="32"/>
      <c r="P459" s="32"/>
      <c r="Q459" s="32"/>
      <c r="R459" s="32"/>
      <c r="S459" s="32"/>
      <c r="T459" s="32"/>
      <c r="U459" s="32"/>
      <c r="V459" s="32"/>
      <c r="W459" s="32"/>
      <c r="X459" s="32"/>
      <c r="Y459" s="32"/>
      <c r="Z459" s="32"/>
      <c r="AA459" s="32"/>
      <c r="AB459" s="32"/>
      <c r="AC459" s="33">
        <f>IFERROR(__xludf.DUMMYFUNCTION("""COMPUTED_VALUE"""),50000.0)</f>
        <v>50000</v>
      </c>
      <c r="AD459" s="32"/>
      <c r="AE459" s="32"/>
      <c r="AF459" s="32" t="str">
        <f>IFERROR(__xludf.DUMMYFUNCTION("""COMPUTED_VALUE"""),"++X4 Defense for the Wearer. ++Underworldly Embodiment - When Equipped deal X4 Dark, Chaos, Fire, and Celestial DMG ")</f>
        <v>++X4 Defense for the Wearer. ++Underworldly Embodiment - When Equipped deal X4 Dark, Chaos, Fire, and Celestial DMG </v>
      </c>
      <c r="AG459" s="32" t="str">
        <f>IFERROR(__xludf.DUMMYFUNCTION("""COMPUTED_VALUE"""),"Abstara")</f>
        <v>Abstara</v>
      </c>
      <c r="AH459" s="32" t="b">
        <f>IFERROR(__xludf.DUMMYFUNCTION("""COMPUTED_VALUE"""),TRUE)</f>
        <v>1</v>
      </c>
      <c r="AI459" s="32"/>
      <c r="AJ459" s="32"/>
      <c r="AK459" s="32"/>
      <c r="AL459" s="32"/>
      <c r="AM459" s="32"/>
      <c r="AN459" s="32"/>
      <c r="AO459" s="32"/>
      <c r="AP459" s="32"/>
      <c r="AQ459" s="32"/>
      <c r="AR459" s="32"/>
      <c r="AS459" s="32"/>
      <c r="AT459" s="32"/>
      <c r="AU459" s="32"/>
      <c r="AV459" s="32"/>
      <c r="AW459" s="32"/>
      <c r="AX459" s="32"/>
    </row>
    <row r="460">
      <c r="A460" s="32" t="str">
        <f>IFERROR(__xludf.DUMMYFUNCTION("""COMPUTED_VALUE"""),"Feathered Hat of Roguish ""Justice""")</f>
        <v>Feathered Hat of Roguish "Justice"</v>
      </c>
      <c r="B460" s="32" t="str">
        <f>IFERROR(__xludf.DUMMYFUNCTION("""COMPUTED_VALUE"""),"Head")</f>
        <v>Head</v>
      </c>
      <c r="C460" s="32" t="str">
        <f>IFERROR(__xludf.DUMMYFUNCTION("""COMPUTED_VALUE"""),"Quest Item")</f>
        <v>Quest Item</v>
      </c>
      <c r="D460" s="5"/>
      <c r="E460" s="40">
        <f>IFERROR(__xludf.DUMMYFUNCTION("""COMPUTED_VALUE"""),200.0)</f>
        <v>200</v>
      </c>
      <c r="F460" s="44">
        <f>IFERROR(__xludf.DUMMYFUNCTION("""COMPUTED_VALUE"""),3.16E7)</f>
        <v>31600000</v>
      </c>
      <c r="G460" s="32" t="str">
        <f>IFERROR(__xludf.DUMMYFUNCTION("""COMPUTED_VALUE"""),"DEF")</f>
        <v>DEF</v>
      </c>
      <c r="H460" s="33">
        <f>IFERROR(__xludf.DUMMYFUNCTION("""COMPUTED_VALUE"""),10000.0)</f>
        <v>10000</v>
      </c>
      <c r="I460" s="32"/>
      <c r="J460" s="32"/>
      <c r="K460" s="32"/>
      <c r="L460" s="32"/>
      <c r="M460" s="32"/>
      <c r="N460" s="32">
        <f>IFERROR(__xludf.DUMMYFUNCTION("""COMPUTED_VALUE"""),10000.0)</f>
        <v>10000</v>
      </c>
      <c r="O460" s="32"/>
      <c r="P460" s="32"/>
      <c r="Q460" s="33">
        <f>IFERROR(__xludf.DUMMYFUNCTION("""COMPUTED_VALUE"""),10000.0)</f>
        <v>10000</v>
      </c>
      <c r="R460" s="32"/>
      <c r="S460" s="32"/>
      <c r="T460" s="32"/>
      <c r="U460" s="32"/>
      <c r="V460" s="32"/>
      <c r="W460" s="32"/>
      <c r="X460" s="32"/>
      <c r="Y460" s="32"/>
      <c r="Z460" s="32"/>
      <c r="AA460" s="32"/>
      <c r="AB460" s="32"/>
      <c r="AC460" s="32">
        <f>IFERROR(__xludf.DUMMYFUNCTION("""COMPUTED_VALUE"""),10000.0)</f>
        <v>10000</v>
      </c>
      <c r="AD460" s="32"/>
      <c r="AE460" s="32"/>
      <c r="AF460" s="3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32" t="str">
        <f>IFERROR(__xludf.DUMMYFUNCTION("""COMPUTED_VALUE"""),"Land of Spira")</f>
        <v>Land of Spira</v>
      </c>
      <c r="AH460" s="32" t="b">
        <f>IFERROR(__xludf.DUMMYFUNCTION("""COMPUTED_VALUE"""),FALSE)</f>
        <v>0</v>
      </c>
      <c r="AI460" s="32"/>
      <c r="AJ460" s="32"/>
      <c r="AK460" s="32"/>
      <c r="AL460" s="32"/>
      <c r="AM460" s="32"/>
      <c r="AN460" s="32"/>
      <c r="AO460" s="32"/>
      <c r="AP460" s="32"/>
      <c r="AQ460" s="32"/>
      <c r="AR460" s="32"/>
      <c r="AS460" s="32"/>
      <c r="AT460" s="32"/>
      <c r="AU460" s="32"/>
      <c r="AV460" s="32"/>
      <c r="AW460" s="32"/>
      <c r="AX460" s="32"/>
    </row>
    <row r="461">
      <c r="A461" s="32" t="str">
        <f>IFERROR(__xludf.DUMMYFUNCTION("""COMPUTED_VALUE"""),"Cape of Misdeed")</f>
        <v>Cape of Misdeed</v>
      </c>
      <c r="B461" s="32" t="str">
        <f>IFERROR(__xludf.DUMMYFUNCTION("""COMPUTED_VALUE"""),"Shoulders")</f>
        <v>Shoulders</v>
      </c>
      <c r="C461" s="32" t="str">
        <f>IFERROR(__xludf.DUMMYFUNCTION("""COMPUTED_VALUE"""),"Quest Item")</f>
        <v>Quest Item</v>
      </c>
      <c r="D461" s="5"/>
      <c r="E461" s="40">
        <f>IFERROR(__xludf.DUMMYFUNCTION("""COMPUTED_VALUE"""),200.0)</f>
        <v>200</v>
      </c>
      <c r="F461" s="44">
        <f>IFERROR(__xludf.DUMMYFUNCTION("""COMPUTED_VALUE"""),9460000.0)</f>
        <v>9460000</v>
      </c>
      <c r="G461" s="32" t="str">
        <f>IFERROR(__xludf.DUMMYFUNCTION("""COMPUTED_VALUE"""),"DEF")</f>
        <v>DEF</v>
      </c>
      <c r="H461" s="33">
        <f>IFERROR(__xludf.DUMMYFUNCTION("""COMPUTED_VALUE"""),1000.0)</f>
        <v>1000</v>
      </c>
      <c r="I461" s="32"/>
      <c r="J461" s="32"/>
      <c r="K461" s="32"/>
      <c r="L461" s="32"/>
      <c r="M461" s="32"/>
      <c r="N461" s="32">
        <f>IFERROR(__xludf.DUMMYFUNCTION("""COMPUTED_VALUE"""),10000.0)</f>
        <v>10000</v>
      </c>
      <c r="O461" s="32"/>
      <c r="P461" s="32"/>
      <c r="Q461" s="33">
        <f>IFERROR(__xludf.DUMMYFUNCTION("""COMPUTED_VALUE"""),10000.0)</f>
        <v>10000</v>
      </c>
      <c r="R461" s="32"/>
      <c r="S461" s="32"/>
      <c r="T461" s="32"/>
      <c r="U461" s="32"/>
      <c r="V461" s="32"/>
      <c r="W461" s="32"/>
      <c r="X461" s="32"/>
      <c r="Y461" s="32"/>
      <c r="Z461" s="32"/>
      <c r="AA461" s="32"/>
      <c r="AB461" s="32"/>
      <c r="AC461" s="32">
        <f>IFERROR(__xludf.DUMMYFUNCTION("""COMPUTED_VALUE"""),1000.0)</f>
        <v>1000</v>
      </c>
      <c r="AD461" s="32"/>
      <c r="AE461" s="32"/>
      <c r="AF461" s="3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32" t="str">
        <f>IFERROR(__xludf.DUMMYFUNCTION("""COMPUTED_VALUE"""),"Land of Spira")</f>
        <v>Land of Spira</v>
      </c>
      <c r="AH461" s="32" t="b">
        <f>IFERROR(__xludf.DUMMYFUNCTION("""COMPUTED_VALUE"""),FALSE)</f>
        <v>0</v>
      </c>
      <c r="AI461" s="32"/>
      <c r="AJ461" s="32"/>
      <c r="AK461" s="32"/>
      <c r="AL461" s="32"/>
      <c r="AM461" s="32"/>
      <c r="AN461" s="32"/>
      <c r="AO461" s="32"/>
      <c r="AP461" s="32"/>
      <c r="AQ461" s="32"/>
      <c r="AR461" s="32"/>
      <c r="AS461" s="32"/>
      <c r="AT461" s="32"/>
      <c r="AU461" s="32"/>
      <c r="AV461" s="32"/>
      <c r="AW461" s="32"/>
      <c r="AX461" s="32"/>
    </row>
    <row r="462">
      <c r="A462" s="32" t="str">
        <f>IFERROR(__xludf.DUMMYFUNCTION("""COMPUTED_VALUE"""),"Doublet of Debauchery")</f>
        <v>Doublet of Debauchery</v>
      </c>
      <c r="B462" s="32" t="str">
        <f>IFERROR(__xludf.DUMMYFUNCTION("""COMPUTED_VALUE"""),"Torso")</f>
        <v>Torso</v>
      </c>
      <c r="C462" s="32" t="str">
        <f>IFERROR(__xludf.DUMMYFUNCTION("""COMPUTED_VALUE"""),"Quest Item")</f>
        <v>Quest Item</v>
      </c>
      <c r="D462" s="5"/>
      <c r="E462" s="40">
        <f>IFERROR(__xludf.DUMMYFUNCTION("""COMPUTED_VALUE"""),200.0)</f>
        <v>200</v>
      </c>
      <c r="F462" s="44">
        <f>IFERROR(__xludf.DUMMYFUNCTION("""COMPUTED_VALUE"""),9.73E7)</f>
        <v>97300000</v>
      </c>
      <c r="G462" s="32" t="str">
        <f>IFERROR(__xludf.DUMMYFUNCTION("""COMPUTED_VALUE"""),"DEF")</f>
        <v>DEF</v>
      </c>
      <c r="H462" s="33">
        <f>IFERROR(__xludf.DUMMYFUNCTION("""COMPUTED_VALUE"""),20000.0)</f>
        <v>20000</v>
      </c>
      <c r="I462" s="32"/>
      <c r="J462" s="32"/>
      <c r="K462" s="32"/>
      <c r="L462" s="32"/>
      <c r="M462" s="32"/>
      <c r="N462" s="32">
        <f>IFERROR(__xludf.DUMMYFUNCTION("""COMPUTED_VALUE"""),20000.0)</f>
        <v>20000</v>
      </c>
      <c r="O462" s="32"/>
      <c r="P462" s="32"/>
      <c r="Q462" s="33">
        <f>IFERROR(__xludf.DUMMYFUNCTION("""COMPUTED_VALUE"""),20000.0)</f>
        <v>20000</v>
      </c>
      <c r="R462" s="32"/>
      <c r="S462" s="32"/>
      <c r="T462" s="32"/>
      <c r="U462" s="32"/>
      <c r="V462" s="32"/>
      <c r="W462" s="32"/>
      <c r="X462" s="32"/>
      <c r="Y462" s="32"/>
      <c r="Z462" s="32"/>
      <c r="AA462" s="32"/>
      <c r="AB462" s="32"/>
      <c r="AC462" s="32">
        <f>IFERROR(__xludf.DUMMYFUNCTION("""COMPUTED_VALUE"""),10000.0)</f>
        <v>10000</v>
      </c>
      <c r="AD462" s="32"/>
      <c r="AE462" s="32"/>
      <c r="AF462" s="3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32" t="str">
        <f>IFERROR(__xludf.DUMMYFUNCTION("""COMPUTED_VALUE"""),"Land of Spira")</f>
        <v>Land of Spira</v>
      </c>
      <c r="AH462" s="32" t="b">
        <f>IFERROR(__xludf.DUMMYFUNCTION("""COMPUTED_VALUE"""),FALSE)</f>
        <v>0</v>
      </c>
      <c r="AI462" s="32"/>
      <c r="AJ462" s="32"/>
      <c r="AK462" s="32"/>
      <c r="AL462" s="32"/>
      <c r="AM462" s="32"/>
      <c r="AN462" s="32"/>
      <c r="AO462" s="32"/>
      <c r="AP462" s="32"/>
      <c r="AQ462" s="32"/>
      <c r="AR462" s="32"/>
      <c r="AS462" s="32"/>
      <c r="AT462" s="32"/>
      <c r="AU462" s="32"/>
      <c r="AV462" s="32"/>
      <c r="AW462" s="32"/>
      <c r="AX462" s="32"/>
    </row>
    <row r="463">
      <c r="A463" s="32" t="str">
        <f>IFERROR(__xludf.DUMMYFUNCTION("""COMPUTED_VALUE"""),"Leather Boots of Softstep")</f>
        <v>Leather Boots of Softstep</v>
      </c>
      <c r="B463" s="32" t="str">
        <f>IFERROR(__xludf.DUMMYFUNCTION("""COMPUTED_VALUE"""),"Feet")</f>
        <v>Feet</v>
      </c>
      <c r="C463" s="32" t="str">
        <f>IFERROR(__xludf.DUMMYFUNCTION("""COMPUTED_VALUE"""),"Quest Item")</f>
        <v>Quest Item</v>
      </c>
      <c r="D463" s="5"/>
      <c r="E463" s="40">
        <f>IFERROR(__xludf.DUMMYFUNCTION("""COMPUTED_VALUE"""),200.0)</f>
        <v>200</v>
      </c>
      <c r="F463" s="44">
        <f>IFERROR(__xludf.DUMMYFUNCTION("""COMPUTED_VALUE"""),3.16E7)</f>
        <v>31600000</v>
      </c>
      <c r="G463" s="32" t="str">
        <f>IFERROR(__xludf.DUMMYFUNCTION("""COMPUTED_VALUE"""),"DEF")</f>
        <v>DEF</v>
      </c>
      <c r="H463" s="33">
        <f>IFERROR(__xludf.DUMMYFUNCTION("""COMPUTED_VALUE"""),10000.0)</f>
        <v>10000</v>
      </c>
      <c r="I463" s="32"/>
      <c r="J463" s="32"/>
      <c r="K463" s="32"/>
      <c r="L463" s="32"/>
      <c r="M463" s="32"/>
      <c r="N463" s="32">
        <f>IFERROR(__xludf.DUMMYFUNCTION("""COMPUTED_VALUE"""),10000.0)</f>
        <v>10000</v>
      </c>
      <c r="O463" s="32"/>
      <c r="P463" s="32"/>
      <c r="Q463" s="33">
        <f>IFERROR(__xludf.DUMMYFUNCTION("""COMPUTED_VALUE"""),10000.0)</f>
        <v>10000</v>
      </c>
      <c r="R463" s="32"/>
      <c r="S463" s="32"/>
      <c r="T463" s="32"/>
      <c r="U463" s="32"/>
      <c r="V463" s="32"/>
      <c r="W463" s="32"/>
      <c r="X463" s="32"/>
      <c r="Y463" s="32"/>
      <c r="Z463" s="32"/>
      <c r="AA463" s="32"/>
      <c r="AB463" s="32"/>
      <c r="AC463" s="32">
        <f>IFERROR(__xludf.DUMMYFUNCTION("""COMPUTED_VALUE"""),10000.0)</f>
        <v>10000</v>
      </c>
      <c r="AD463" s="32"/>
      <c r="AE463" s="32"/>
      <c r="AF463" s="3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32" t="str">
        <f>IFERROR(__xludf.DUMMYFUNCTION("""COMPUTED_VALUE"""),"Land of Spira")</f>
        <v>Land of Spira</v>
      </c>
      <c r="AH463" s="32" t="b">
        <f>IFERROR(__xludf.DUMMYFUNCTION("""COMPUTED_VALUE"""),FALSE)</f>
        <v>0</v>
      </c>
      <c r="AI463" s="32"/>
      <c r="AJ463" s="32"/>
      <c r="AK463" s="32"/>
      <c r="AL463" s="32"/>
      <c r="AM463" s="32"/>
      <c r="AN463" s="32"/>
      <c r="AO463" s="32"/>
      <c r="AP463" s="32"/>
      <c r="AQ463" s="32"/>
      <c r="AR463" s="32"/>
      <c r="AS463" s="32"/>
      <c r="AT463" s="32"/>
      <c r="AU463" s="32"/>
      <c r="AV463" s="32"/>
      <c r="AW463" s="32"/>
      <c r="AX463" s="32"/>
    </row>
    <row r="464">
      <c r="A464" s="32" t="str">
        <f>IFERROR(__xludf.DUMMYFUNCTION("""COMPUTED_VALUE"""),"Tights of Fabulous Thievery")</f>
        <v>Tights of Fabulous Thievery</v>
      </c>
      <c r="B464" s="32" t="str">
        <f>IFERROR(__xludf.DUMMYFUNCTION("""COMPUTED_VALUE"""),"Legs")</f>
        <v>Legs</v>
      </c>
      <c r="C464" s="32" t="str">
        <f>IFERROR(__xludf.DUMMYFUNCTION("""COMPUTED_VALUE"""),"Quest Item")</f>
        <v>Quest Item</v>
      </c>
      <c r="D464" s="5"/>
      <c r="E464" s="40">
        <f>IFERROR(__xludf.DUMMYFUNCTION("""COMPUTED_VALUE"""),200.0)</f>
        <v>200</v>
      </c>
      <c r="F464" s="44">
        <f>IFERROR(__xludf.DUMMYFUNCTION("""COMPUTED_VALUE"""),3.16E7)</f>
        <v>31600000</v>
      </c>
      <c r="G464" s="32" t="str">
        <f>IFERROR(__xludf.DUMMYFUNCTION("""COMPUTED_VALUE"""),"DEF")</f>
        <v>DEF</v>
      </c>
      <c r="H464" s="33">
        <f>IFERROR(__xludf.DUMMYFUNCTION("""COMPUTED_VALUE"""),10000.0)</f>
        <v>10000</v>
      </c>
      <c r="I464" s="32"/>
      <c r="J464" s="32"/>
      <c r="K464" s="32"/>
      <c r="L464" s="32"/>
      <c r="M464" s="32"/>
      <c r="N464" s="32">
        <f>IFERROR(__xludf.DUMMYFUNCTION("""COMPUTED_VALUE"""),10000.0)</f>
        <v>10000</v>
      </c>
      <c r="O464" s="32"/>
      <c r="P464" s="32"/>
      <c r="Q464" s="33">
        <f>IFERROR(__xludf.DUMMYFUNCTION("""COMPUTED_VALUE"""),10000.0)</f>
        <v>10000</v>
      </c>
      <c r="R464" s="32"/>
      <c r="S464" s="32"/>
      <c r="T464" s="32"/>
      <c r="U464" s="32"/>
      <c r="V464" s="32"/>
      <c r="W464" s="32"/>
      <c r="X464" s="32"/>
      <c r="Y464" s="32"/>
      <c r="Z464" s="32"/>
      <c r="AA464" s="32"/>
      <c r="AB464" s="32"/>
      <c r="AC464" s="32">
        <f>IFERROR(__xludf.DUMMYFUNCTION("""COMPUTED_VALUE"""),10000.0)</f>
        <v>10000</v>
      </c>
      <c r="AD464" s="32"/>
      <c r="AE464" s="32"/>
      <c r="AF464" s="3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32" t="str">
        <f>IFERROR(__xludf.DUMMYFUNCTION("""COMPUTED_VALUE"""),"Land of Spira")</f>
        <v>Land of Spira</v>
      </c>
      <c r="AH464" s="32" t="b">
        <f>IFERROR(__xludf.DUMMYFUNCTION("""COMPUTED_VALUE"""),FALSE)</f>
        <v>0</v>
      </c>
      <c r="AI464" s="32"/>
      <c r="AJ464" s="32"/>
      <c r="AK464" s="32"/>
      <c r="AL464" s="32"/>
      <c r="AM464" s="32"/>
      <c r="AN464" s="32"/>
      <c r="AO464" s="32"/>
      <c r="AP464" s="32"/>
      <c r="AQ464" s="32"/>
      <c r="AR464" s="32"/>
      <c r="AS464" s="32"/>
      <c r="AT464" s="32"/>
      <c r="AU464" s="32"/>
      <c r="AV464" s="32"/>
      <c r="AW464" s="32"/>
      <c r="AX464" s="32"/>
    </row>
    <row r="465">
      <c r="A465" s="32" t="str">
        <f>IFERROR(__xludf.DUMMYFUNCTION("""COMPUTED_VALUE"""),"Fingerless Glove of Anonymity")</f>
        <v>Fingerless Glove of Anonymity</v>
      </c>
      <c r="B465" s="32" t="str">
        <f>IFERROR(__xludf.DUMMYFUNCTION("""COMPUTED_VALUE"""),"Hand")</f>
        <v>Hand</v>
      </c>
      <c r="C465" s="32" t="str">
        <f>IFERROR(__xludf.DUMMYFUNCTION("""COMPUTED_VALUE"""),"Quest Item")</f>
        <v>Quest Item</v>
      </c>
      <c r="D465" s="5" t="str">
        <f>IFERROR(__xludf.DUMMYFUNCTION("""COMPUTED_VALUE"""),"Claw")</f>
        <v>Claw</v>
      </c>
      <c r="E465" s="40">
        <f>IFERROR(__xludf.DUMMYFUNCTION("""COMPUTED_VALUE"""),200.0)</f>
        <v>200</v>
      </c>
      <c r="F465" s="44">
        <f>IFERROR(__xludf.DUMMYFUNCTION("""COMPUTED_VALUE"""),3.16E7)</f>
        <v>31600000</v>
      </c>
      <c r="G465" s="32" t="str">
        <f>IFERROR(__xludf.DUMMYFUNCTION("""COMPUTED_VALUE"""),"DMG")</f>
        <v>DMG</v>
      </c>
      <c r="H465" s="33">
        <f>IFERROR(__xludf.DUMMYFUNCTION("""COMPUTED_VALUE"""),10000.0)</f>
        <v>10000</v>
      </c>
      <c r="I465" s="32"/>
      <c r="J465" s="32"/>
      <c r="K465" s="32"/>
      <c r="L465" s="32"/>
      <c r="M465" s="32"/>
      <c r="N465" s="32">
        <f>IFERROR(__xludf.DUMMYFUNCTION("""COMPUTED_VALUE"""),10000.0)</f>
        <v>10000</v>
      </c>
      <c r="O465" s="32"/>
      <c r="P465" s="32"/>
      <c r="Q465" s="33">
        <f>IFERROR(__xludf.DUMMYFUNCTION("""COMPUTED_VALUE"""),10000.0)</f>
        <v>10000</v>
      </c>
      <c r="R465" s="32"/>
      <c r="S465" s="32"/>
      <c r="T465" s="32"/>
      <c r="U465" s="32"/>
      <c r="V465" s="32"/>
      <c r="W465" s="32"/>
      <c r="X465" s="32"/>
      <c r="Y465" s="32"/>
      <c r="Z465" s="32"/>
      <c r="AA465" s="32"/>
      <c r="AB465" s="32"/>
      <c r="AC465" s="32">
        <f>IFERROR(__xludf.DUMMYFUNCTION("""COMPUTED_VALUE"""),10000.0)</f>
        <v>10000</v>
      </c>
      <c r="AD465" s="32"/>
      <c r="AE465" s="32"/>
      <c r="AF465" s="32"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32" t="str">
        <f>IFERROR(__xludf.DUMMYFUNCTION("""COMPUTED_VALUE"""),"Land of Spira")</f>
        <v>Land of Spira</v>
      </c>
      <c r="AH465" s="32" t="b">
        <f>IFERROR(__xludf.DUMMYFUNCTION("""COMPUTED_VALUE"""),FALSE)</f>
        <v>0</v>
      </c>
      <c r="AI465" s="32"/>
      <c r="AJ465" s="32"/>
      <c r="AK465" s="32"/>
      <c r="AL465" s="32"/>
      <c r="AM465" s="32"/>
      <c r="AN465" s="32"/>
      <c r="AO465" s="32"/>
      <c r="AP465" s="32"/>
      <c r="AQ465" s="32"/>
      <c r="AR465" s="32"/>
      <c r="AS465" s="32"/>
      <c r="AT465" s="32"/>
      <c r="AU465" s="32"/>
      <c r="AV465" s="32"/>
      <c r="AW465" s="32"/>
      <c r="AX465" s="32"/>
    </row>
    <row r="466">
      <c r="A466" s="32" t="str">
        <f>IFERROR(__xludf.DUMMYFUNCTION("""COMPUTED_VALUE"""),"Bracers of Dastardly Deflection")</f>
        <v>Bracers of Dastardly Deflection</v>
      </c>
      <c r="B466" s="32" t="str">
        <f>IFERROR(__xludf.DUMMYFUNCTION("""COMPUTED_VALUE"""),"Arms")</f>
        <v>Arms</v>
      </c>
      <c r="C466" s="32" t="str">
        <f>IFERROR(__xludf.DUMMYFUNCTION("""COMPUTED_VALUE"""),"Quest Item")</f>
        <v>Quest Item</v>
      </c>
      <c r="D466" s="5"/>
      <c r="E466" s="40">
        <f>IFERROR(__xludf.DUMMYFUNCTION("""COMPUTED_VALUE"""),200.0)</f>
        <v>200</v>
      </c>
      <c r="F466" s="44">
        <f>IFERROR(__xludf.DUMMYFUNCTION("""COMPUTED_VALUE"""),3.16E7)</f>
        <v>31600000</v>
      </c>
      <c r="G466" s="32" t="str">
        <f>IFERROR(__xludf.DUMMYFUNCTION("""COMPUTED_VALUE"""),"DEF")</f>
        <v>DEF</v>
      </c>
      <c r="H466" s="33">
        <f>IFERROR(__xludf.DUMMYFUNCTION("""COMPUTED_VALUE"""),10000.0)</f>
        <v>10000</v>
      </c>
      <c r="I466" s="32"/>
      <c r="J466" s="32"/>
      <c r="K466" s="32"/>
      <c r="L466" s="32"/>
      <c r="M466" s="32"/>
      <c r="N466" s="32">
        <f>IFERROR(__xludf.DUMMYFUNCTION("""COMPUTED_VALUE"""),10000.0)</f>
        <v>10000</v>
      </c>
      <c r="O466" s="32"/>
      <c r="P466" s="32"/>
      <c r="Q466" s="33">
        <f>IFERROR(__xludf.DUMMYFUNCTION("""COMPUTED_VALUE"""),10000.0)</f>
        <v>10000</v>
      </c>
      <c r="R466" s="32"/>
      <c r="S466" s="32"/>
      <c r="T466" s="32"/>
      <c r="U466" s="32"/>
      <c r="V466" s="32"/>
      <c r="W466" s="32"/>
      <c r="X466" s="32"/>
      <c r="Y466" s="32"/>
      <c r="Z466" s="32"/>
      <c r="AA466" s="32"/>
      <c r="AB466" s="32"/>
      <c r="AC466" s="32">
        <f>IFERROR(__xludf.DUMMYFUNCTION("""COMPUTED_VALUE"""),10000.0)</f>
        <v>10000</v>
      </c>
      <c r="AD466" s="32"/>
      <c r="AE466" s="32"/>
      <c r="AF466" s="3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32" t="str">
        <f>IFERROR(__xludf.DUMMYFUNCTION("""COMPUTED_VALUE"""),"Land of Spira")</f>
        <v>Land of Spira</v>
      </c>
      <c r="AH466" s="32" t="b">
        <f>IFERROR(__xludf.DUMMYFUNCTION("""COMPUTED_VALUE"""),FALSE)</f>
        <v>0</v>
      </c>
      <c r="AI466" s="32"/>
      <c r="AJ466" s="32"/>
      <c r="AK466" s="32"/>
      <c r="AL466" s="32"/>
      <c r="AM466" s="32"/>
      <c r="AN466" s="32"/>
      <c r="AO466" s="32"/>
      <c r="AP466" s="32"/>
      <c r="AQ466" s="32"/>
      <c r="AR466" s="32"/>
      <c r="AS466" s="32"/>
      <c r="AT466" s="32"/>
      <c r="AU466" s="32"/>
      <c r="AV466" s="32"/>
      <c r="AW466" s="32"/>
      <c r="AX466" s="32"/>
    </row>
    <row r="467">
      <c r="A467" s="32" t="str">
        <f>IFERROR(__xludf.DUMMYFUNCTION("""COMPUTED_VALUE"""),"Amulet of the Goddess of Theft")</f>
        <v>Amulet of the Goddess of Theft</v>
      </c>
      <c r="B467" s="32" t="str">
        <f>IFERROR(__xludf.DUMMYFUNCTION("""COMPUTED_VALUE"""),"Neck")</f>
        <v>Neck</v>
      </c>
      <c r="C467" s="32" t="str">
        <f>IFERROR(__xludf.DUMMYFUNCTION("""COMPUTED_VALUE"""),"Quest Item")</f>
        <v>Quest Item</v>
      </c>
      <c r="D467" s="5"/>
      <c r="E467" s="40">
        <f>IFERROR(__xludf.DUMMYFUNCTION("""COMPUTED_VALUE"""),1.0)</f>
        <v>1</v>
      </c>
      <c r="F467" s="44">
        <f>IFERROR(__xludf.DUMMYFUNCTION("""COMPUTED_VALUE"""),0.0)</f>
        <v>0</v>
      </c>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32" t="str">
        <f>IFERROR(__xludf.DUMMYFUNCTION("""COMPUTED_VALUE"""),"Land of Spira")</f>
        <v>Land of Spira</v>
      </c>
      <c r="AH467" s="32" t="b">
        <f>IFERROR(__xludf.DUMMYFUNCTION("""COMPUTED_VALUE"""),FALSE)</f>
        <v>0</v>
      </c>
      <c r="AI467" s="32"/>
      <c r="AJ467" s="32"/>
      <c r="AK467" s="32"/>
      <c r="AL467" s="32"/>
      <c r="AM467" s="32"/>
      <c r="AN467" s="32"/>
      <c r="AO467" s="32"/>
      <c r="AP467" s="32"/>
      <c r="AQ467" s="32"/>
      <c r="AR467" s="32"/>
      <c r="AS467" s="32"/>
      <c r="AT467" s="32"/>
      <c r="AU467" s="32"/>
      <c r="AV467" s="32"/>
      <c r="AW467" s="32"/>
      <c r="AX467" s="32"/>
    </row>
    <row r="468">
      <c r="A468" s="32" t="str">
        <f>IFERROR(__xludf.DUMMYFUNCTION("""COMPUTED_VALUE"""),"Flute of The Majestic Forest")</f>
        <v>Flute of The Majestic Forest</v>
      </c>
      <c r="B468" s="32" t="str">
        <f>IFERROR(__xludf.DUMMYFUNCTION("""COMPUTED_VALUE"""),"Hand")</f>
        <v>Hand</v>
      </c>
      <c r="C468" s="32"/>
      <c r="D468" s="5" t="str">
        <f>IFERROR(__xludf.DUMMYFUNCTION("""COMPUTED_VALUE"""),"Instrument")</f>
        <v>Instrument</v>
      </c>
      <c r="E468" s="40">
        <f>IFERROR(__xludf.DUMMYFUNCTION("""COMPUTED_VALUE"""),300.0)</f>
        <v>300</v>
      </c>
      <c r="F468" s="44">
        <f>IFERROR(__xludf.DUMMYFUNCTION("""COMPUTED_VALUE"""),4350000.0)</f>
        <v>4350000</v>
      </c>
      <c r="G468" s="32" t="str">
        <f>IFERROR(__xludf.DUMMYFUNCTION("""COMPUTED_VALUE"""),"DMG")</f>
        <v>DMG</v>
      </c>
      <c r="H468" s="33">
        <f>IFERROR(__xludf.DUMMYFUNCTION("""COMPUTED_VALUE"""),5000.0)</f>
        <v>5000</v>
      </c>
      <c r="I468" s="32"/>
      <c r="J468" s="32"/>
      <c r="K468" s="32"/>
      <c r="L468" s="32"/>
      <c r="M468" s="32"/>
      <c r="N468" s="32"/>
      <c r="O468" s="32"/>
      <c r="P468" s="32"/>
      <c r="Q468" s="32"/>
      <c r="R468" s="32"/>
      <c r="S468" s="32">
        <f>IFERROR(__xludf.DUMMYFUNCTION("""COMPUTED_VALUE"""),5000.0)</f>
        <v>5000</v>
      </c>
      <c r="T468" s="32"/>
      <c r="U468" s="32"/>
      <c r="V468" s="32"/>
      <c r="W468" s="32"/>
      <c r="X468" s="32"/>
      <c r="Y468" s="32"/>
      <c r="Z468" s="32"/>
      <c r="AA468" s="32"/>
      <c r="AB468" s="32"/>
      <c r="AC468" s="32"/>
      <c r="AD468" s="32"/>
      <c r="AE468" s="32">
        <f>IFERROR(__xludf.DUMMYFUNCTION("""COMPUTED_VALUE"""),5000.0)</f>
        <v>5000</v>
      </c>
      <c r="AF468" s="32"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32" t="str">
        <f>IFERROR(__xludf.DUMMYFUNCTION("""COMPUTED_VALUE"""),"Land of Spira")</f>
        <v>Land of Spira</v>
      </c>
      <c r="AH468" s="32" t="b">
        <f>IFERROR(__xludf.DUMMYFUNCTION("""COMPUTED_VALUE"""),FALSE)</f>
        <v>0</v>
      </c>
      <c r="AI468" s="32"/>
      <c r="AJ468" s="32"/>
      <c r="AK468" s="32"/>
      <c r="AL468" s="32"/>
      <c r="AM468" s="32"/>
      <c r="AN468" s="32"/>
      <c r="AO468" s="32"/>
      <c r="AP468" s="32"/>
      <c r="AQ468" s="32"/>
      <c r="AR468" s="32"/>
      <c r="AS468" s="32"/>
      <c r="AT468" s="32"/>
      <c r="AU468" s="32"/>
      <c r="AV468" s="32"/>
      <c r="AW468" s="32"/>
      <c r="AX468" s="32"/>
    </row>
    <row r="469">
      <c r="A469" s="32" t="str">
        <f>IFERROR(__xludf.DUMMYFUNCTION("""COMPUTED_VALUE"""),"Heatmore Tribal Drums")</f>
        <v>Heatmore Tribal Drums</v>
      </c>
      <c r="B469" s="32" t="str">
        <f>IFERROR(__xludf.DUMMYFUNCTION("""COMPUTED_VALUE"""),"Hand")</f>
        <v>Hand</v>
      </c>
      <c r="C469" s="32"/>
      <c r="D469" s="5" t="str">
        <f>IFERROR(__xludf.DUMMYFUNCTION("""COMPUTED_VALUE"""),"Instrument")</f>
        <v>Instrument</v>
      </c>
      <c r="E469" s="40">
        <f>IFERROR(__xludf.DUMMYFUNCTION("""COMPUTED_VALUE"""),600.0)</f>
        <v>600</v>
      </c>
      <c r="F469" s="44">
        <f>IFERROR(__xludf.DUMMYFUNCTION("""COMPUTED_VALUE"""),1.77E7)</f>
        <v>17700000</v>
      </c>
      <c r="G469" s="32" t="str">
        <f>IFERROR(__xludf.DUMMYFUNCTION("""COMPUTED_VALUE"""),"DMG")</f>
        <v>DMG</v>
      </c>
      <c r="H469" s="33">
        <f>IFERROR(__xludf.DUMMYFUNCTION("""COMPUTED_VALUE"""),10000.0)</f>
        <v>10000</v>
      </c>
      <c r="I469" s="33">
        <f>IFERROR(__xludf.DUMMYFUNCTION("""COMPUTED_VALUE"""),10000.0)</f>
        <v>10000</v>
      </c>
      <c r="J469" s="32"/>
      <c r="K469" s="32"/>
      <c r="L469" s="32"/>
      <c r="M469" s="32"/>
      <c r="N469" s="32"/>
      <c r="O469" s="32"/>
      <c r="P469" s="32"/>
      <c r="Q469" s="32"/>
      <c r="R469" s="32"/>
      <c r="S469" s="32"/>
      <c r="T469" s="32"/>
      <c r="U469" s="32"/>
      <c r="V469" s="32"/>
      <c r="W469" s="32"/>
      <c r="X469" s="32"/>
      <c r="Y469" s="32"/>
      <c r="Z469" s="32"/>
      <c r="AA469" s="32"/>
      <c r="AB469" s="32"/>
      <c r="AC469" s="32"/>
      <c r="AD469" s="32"/>
      <c r="AE469" s="33">
        <f>IFERROR(__xludf.DUMMYFUNCTION("""COMPUTED_VALUE"""),10000.0)</f>
        <v>10000</v>
      </c>
      <c r="AF469" s="32"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32" t="str">
        <f>IFERROR(__xludf.DUMMYFUNCTION("""COMPUTED_VALUE"""),"Land of Spira")</f>
        <v>Land of Spira</v>
      </c>
      <c r="AH469" s="32" t="b">
        <f>IFERROR(__xludf.DUMMYFUNCTION("""COMPUTED_VALUE"""),FALSE)</f>
        <v>0</v>
      </c>
      <c r="AI469" s="32"/>
      <c r="AJ469" s="32"/>
      <c r="AK469" s="32"/>
      <c r="AL469" s="32"/>
      <c r="AM469" s="32"/>
      <c r="AN469" s="32"/>
      <c r="AO469" s="32"/>
      <c r="AP469" s="32"/>
      <c r="AQ469" s="32"/>
      <c r="AR469" s="32"/>
      <c r="AS469" s="32"/>
      <c r="AT469" s="32"/>
      <c r="AU469" s="32"/>
      <c r="AV469" s="32"/>
      <c r="AW469" s="32"/>
      <c r="AX469" s="32"/>
    </row>
    <row r="470">
      <c r="A470" s="32" t="str">
        <f>IFERROR(__xludf.DUMMYFUNCTION("""COMPUTED_VALUE"""),"Heatmore Tribal Maracas")</f>
        <v>Heatmore Tribal Maracas</v>
      </c>
      <c r="B470" s="32" t="str">
        <f>IFERROR(__xludf.DUMMYFUNCTION("""COMPUTED_VALUE"""),"Hand")</f>
        <v>Hand</v>
      </c>
      <c r="C470" s="32"/>
      <c r="D470" s="5" t="str">
        <f>IFERROR(__xludf.DUMMYFUNCTION("""COMPUTED_VALUE"""),"Instrument")</f>
        <v>Instrument</v>
      </c>
      <c r="E470" s="40">
        <f>IFERROR(__xludf.DUMMYFUNCTION("""COMPUTED_VALUE"""),900.0)</f>
        <v>900</v>
      </c>
      <c r="F470" s="44">
        <f>IFERROR(__xludf.DUMMYFUNCTION("""COMPUTED_VALUE"""),4.005E7)</f>
        <v>40050000</v>
      </c>
      <c r="G470" s="32" t="str">
        <f>IFERROR(__xludf.DUMMYFUNCTION("""COMPUTED_VALUE"""),"DMG")</f>
        <v>DMG</v>
      </c>
      <c r="H470" s="33">
        <f>IFERROR(__xludf.DUMMYFUNCTION("""COMPUTED_VALUE"""),15000.0)</f>
        <v>15000</v>
      </c>
      <c r="I470" s="33">
        <f>IFERROR(__xludf.DUMMYFUNCTION("""COMPUTED_VALUE"""),15000.0)</f>
        <v>15000</v>
      </c>
      <c r="J470" s="32"/>
      <c r="K470" s="32"/>
      <c r="L470" s="32"/>
      <c r="M470" s="32"/>
      <c r="N470" s="32"/>
      <c r="O470" s="32"/>
      <c r="P470" s="32"/>
      <c r="Q470" s="32"/>
      <c r="R470" s="32"/>
      <c r="S470" s="32"/>
      <c r="T470" s="32"/>
      <c r="U470" s="32"/>
      <c r="V470" s="32"/>
      <c r="W470" s="32"/>
      <c r="X470" s="32"/>
      <c r="Y470" s="32"/>
      <c r="Z470" s="32"/>
      <c r="AA470" s="32"/>
      <c r="AB470" s="32"/>
      <c r="AC470" s="32"/>
      <c r="AD470" s="32"/>
      <c r="AE470" s="33">
        <f>IFERROR(__xludf.DUMMYFUNCTION("""COMPUTED_VALUE"""),15000.0)</f>
        <v>15000</v>
      </c>
      <c r="AF470" s="32" t="str">
        <f>IFERROR(__xludf.DUMMYFUNCTION("""COMPUTED_VALUE"""),"++X4 additional Fire and Acoustic damage while equipped. +-Cannot be duplicated. +-Only Bards can equip.")</f>
        <v>++X4 additional Fire and Acoustic damage while equipped. +-Cannot be duplicated. +-Only Bards can equip.</v>
      </c>
      <c r="AG470" s="32" t="str">
        <f>IFERROR(__xludf.DUMMYFUNCTION("""COMPUTED_VALUE"""),"Land of Spira")</f>
        <v>Land of Spira</v>
      </c>
      <c r="AH470" s="32" t="b">
        <f>IFERROR(__xludf.DUMMYFUNCTION("""COMPUTED_VALUE"""),FALSE)</f>
        <v>0</v>
      </c>
      <c r="AI470" s="32"/>
      <c r="AJ470" s="32"/>
      <c r="AK470" s="32"/>
      <c r="AL470" s="32"/>
      <c r="AM470" s="32"/>
      <c r="AN470" s="32"/>
      <c r="AO470" s="32"/>
      <c r="AP470" s="32"/>
      <c r="AQ470" s="32"/>
      <c r="AR470" s="32"/>
      <c r="AS470" s="32"/>
      <c r="AT470" s="32"/>
      <c r="AU470" s="32"/>
      <c r="AV470" s="32"/>
      <c r="AW470" s="32"/>
      <c r="AX470" s="32"/>
    </row>
    <row r="471">
      <c r="A471" s="32" t="str">
        <f>IFERROR(__xludf.DUMMYFUNCTION("""COMPUTED_VALUE"""),"Mask of Creeping Darkness")</f>
        <v>Mask of Creeping Darkness</v>
      </c>
      <c r="B471" s="32" t="str">
        <f>IFERROR(__xludf.DUMMYFUNCTION("""COMPUTED_VALUE"""),"Head")</f>
        <v>Head</v>
      </c>
      <c r="C471" s="32" t="str">
        <f>IFERROR(__xludf.DUMMYFUNCTION("""COMPUTED_VALUE"""),"Quest Item")</f>
        <v>Quest Item</v>
      </c>
      <c r="D471" s="5"/>
      <c r="E471" s="40">
        <f>IFERROR(__xludf.DUMMYFUNCTION("""COMPUTED_VALUE"""),200.0)</f>
        <v>200</v>
      </c>
      <c r="F471" s="44">
        <f>IFERROR(__xludf.DUMMYFUNCTION("""COMPUTED_VALUE"""),1.7955E8)</f>
        <v>179550000</v>
      </c>
      <c r="G471" s="32" t="str">
        <f>IFERROR(__xludf.DUMMYFUNCTION("""COMPUTED_VALUE"""),"DEF")</f>
        <v>DEF</v>
      </c>
      <c r="H471" s="33">
        <f>IFERROR(__xludf.DUMMYFUNCTION("""COMPUTED_VALUE"""),25000.0)</f>
        <v>25000</v>
      </c>
      <c r="I471" s="32"/>
      <c r="J471" s="32"/>
      <c r="K471" s="32"/>
      <c r="L471" s="32"/>
      <c r="M471" s="32"/>
      <c r="N471" s="32">
        <f>IFERROR(__xludf.DUMMYFUNCTION("""COMPUTED_VALUE"""),25000.0)</f>
        <v>25000</v>
      </c>
      <c r="O471" s="32"/>
      <c r="P471" s="32"/>
      <c r="Q471" s="33">
        <f>IFERROR(__xludf.DUMMYFUNCTION("""COMPUTED_VALUE"""),25000.0)</f>
        <v>25000</v>
      </c>
      <c r="R471" s="32"/>
      <c r="S471" s="32"/>
      <c r="T471" s="32"/>
      <c r="U471" s="32"/>
      <c r="V471" s="32"/>
      <c r="W471" s="32"/>
      <c r="X471" s="32"/>
      <c r="Y471" s="32"/>
      <c r="Z471" s="32"/>
      <c r="AA471" s="32"/>
      <c r="AB471" s="32"/>
      <c r="AC471" s="32">
        <f>IFERROR(__xludf.DUMMYFUNCTION("""COMPUTED_VALUE"""),20000.0)</f>
        <v>20000</v>
      </c>
      <c r="AD471" s="32"/>
      <c r="AE471" s="32"/>
      <c r="AF471" s="32" t="str">
        <f>IFERROR(__xludf.DUMMYFUNCTION("""COMPUTED_VALUE"""),"++X2 Damage whilst invulnerable breaking invulnerability upon being used. +-Cannot be Duplicated. +-Ninja Only")</f>
        <v>++X2 Damage whilst invulnerable breaking invulnerability upon being used. +-Cannot be Duplicated. +-Ninja Only</v>
      </c>
      <c r="AG471" s="32" t="str">
        <f>IFERROR(__xludf.DUMMYFUNCTION("""COMPUTED_VALUE"""),"Dragonscale Island")</f>
        <v>Dragonscale Island</v>
      </c>
      <c r="AH471" s="32" t="b">
        <f>IFERROR(__xludf.DUMMYFUNCTION("""COMPUTED_VALUE"""),FALSE)</f>
        <v>0</v>
      </c>
      <c r="AI471" s="32"/>
      <c r="AJ471" s="32"/>
      <c r="AK471" s="32"/>
      <c r="AL471" s="32"/>
      <c r="AM471" s="32"/>
      <c r="AN471" s="32"/>
      <c r="AO471" s="32"/>
      <c r="AP471" s="32"/>
      <c r="AQ471" s="32"/>
      <c r="AR471" s="32"/>
      <c r="AS471" s="32"/>
      <c r="AT471" s="32"/>
      <c r="AU471" s="32"/>
      <c r="AV471" s="32"/>
      <c r="AW471" s="32"/>
      <c r="AX471" s="32"/>
    </row>
    <row r="472">
      <c r="A472" s="32" t="str">
        <f>IFERROR(__xludf.DUMMYFUNCTION("""COMPUTED_VALUE"""),"Chest of Evershifting Darkness")</f>
        <v>Chest of Evershifting Darkness</v>
      </c>
      <c r="B472" s="32" t="str">
        <f>IFERROR(__xludf.DUMMYFUNCTION("""COMPUTED_VALUE"""),"Torso")</f>
        <v>Torso</v>
      </c>
      <c r="C472" s="32" t="str">
        <f>IFERROR(__xludf.DUMMYFUNCTION("""COMPUTED_VALUE"""),"Quest Item")</f>
        <v>Quest Item</v>
      </c>
      <c r="D472" s="5"/>
      <c r="E472" s="40">
        <f>IFERROR(__xludf.DUMMYFUNCTION("""COMPUTED_VALUE"""),200.0)</f>
        <v>200</v>
      </c>
      <c r="F472" s="44">
        <f>IFERROR(__xludf.DUMMYFUNCTION("""COMPUTED_VALUE"""),2.1945E8)</f>
        <v>219450000</v>
      </c>
      <c r="G472" s="32" t="str">
        <f>IFERROR(__xludf.DUMMYFUNCTION("""COMPUTED_VALUE"""),"DEF")</f>
        <v>DEF</v>
      </c>
      <c r="H472" s="33">
        <f>IFERROR(__xludf.DUMMYFUNCTION("""COMPUTED_VALUE"""),25000.0)</f>
        <v>25000</v>
      </c>
      <c r="I472" s="32"/>
      <c r="J472" s="32"/>
      <c r="K472" s="32"/>
      <c r="L472" s="32"/>
      <c r="M472" s="32"/>
      <c r="N472" s="32">
        <f>IFERROR(__xludf.DUMMYFUNCTION("""COMPUTED_VALUE"""),25000.0)</f>
        <v>25000</v>
      </c>
      <c r="O472" s="32"/>
      <c r="P472" s="32"/>
      <c r="Q472" s="33">
        <f>IFERROR(__xludf.DUMMYFUNCTION("""COMPUTED_VALUE"""),25000.0)</f>
        <v>25000</v>
      </c>
      <c r="R472" s="32"/>
      <c r="S472" s="32"/>
      <c r="T472" s="32"/>
      <c r="U472" s="32"/>
      <c r="V472" s="32"/>
      <c r="W472" s="32"/>
      <c r="X472" s="32"/>
      <c r="Y472" s="32"/>
      <c r="Z472" s="32"/>
      <c r="AA472" s="32"/>
      <c r="AB472" s="32"/>
      <c r="AC472" s="32">
        <f>IFERROR(__xludf.DUMMYFUNCTION("""COMPUTED_VALUE"""),30000.0)</f>
        <v>30000</v>
      </c>
      <c r="AD472" s="32"/>
      <c r="AE472" s="32"/>
      <c r="AF472" s="32"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32" t="str">
        <f>IFERROR(__xludf.DUMMYFUNCTION("""COMPUTED_VALUE"""),"Dragonscale Island")</f>
        <v>Dragonscale Island</v>
      </c>
      <c r="AH472" s="32" t="b">
        <f>IFERROR(__xludf.DUMMYFUNCTION("""COMPUTED_VALUE"""),FALSE)</f>
        <v>0</v>
      </c>
      <c r="AI472" s="32"/>
      <c r="AJ472" s="32"/>
      <c r="AK472" s="32"/>
      <c r="AL472" s="32"/>
      <c r="AM472" s="32"/>
      <c r="AN472" s="32"/>
      <c r="AO472" s="32"/>
      <c r="AP472" s="32"/>
      <c r="AQ472" s="32"/>
      <c r="AR472" s="32"/>
      <c r="AS472" s="32"/>
      <c r="AT472" s="32"/>
      <c r="AU472" s="32"/>
      <c r="AV472" s="32"/>
      <c r="AW472" s="32"/>
      <c r="AX472" s="32"/>
    </row>
    <row r="473">
      <c r="A473" s="32" t="str">
        <f>IFERROR(__xludf.DUMMYFUNCTION("""COMPUTED_VALUE"""),"Leather Boots of EDGINESS")</f>
        <v>Leather Boots of EDGINESS</v>
      </c>
      <c r="B473" s="32" t="str">
        <f>IFERROR(__xludf.DUMMYFUNCTION("""COMPUTED_VALUE"""),"Feet")</f>
        <v>Feet</v>
      </c>
      <c r="C473" s="32" t="str">
        <f>IFERROR(__xludf.DUMMYFUNCTION("""COMPUTED_VALUE"""),"Quest Item")</f>
        <v>Quest Item</v>
      </c>
      <c r="D473" s="5"/>
      <c r="E473" s="40">
        <f>IFERROR(__xludf.DUMMYFUNCTION("""COMPUTED_VALUE"""),200.0)</f>
        <v>200</v>
      </c>
      <c r="F473" s="44">
        <f>IFERROR(__xludf.DUMMYFUNCTION("""COMPUTED_VALUE"""),1.7955E8)</f>
        <v>179550000</v>
      </c>
      <c r="G473" s="32" t="str">
        <f>IFERROR(__xludf.DUMMYFUNCTION("""COMPUTED_VALUE"""),"DEF")</f>
        <v>DEF</v>
      </c>
      <c r="H473" s="33">
        <f>IFERROR(__xludf.DUMMYFUNCTION("""COMPUTED_VALUE"""),25000.0)</f>
        <v>25000</v>
      </c>
      <c r="I473" s="32"/>
      <c r="J473" s="32"/>
      <c r="K473" s="32"/>
      <c r="L473" s="32"/>
      <c r="M473" s="32"/>
      <c r="N473" s="32">
        <f>IFERROR(__xludf.DUMMYFUNCTION("""COMPUTED_VALUE"""),25000.0)</f>
        <v>25000</v>
      </c>
      <c r="O473" s="32"/>
      <c r="P473" s="32"/>
      <c r="Q473" s="33">
        <f>IFERROR(__xludf.DUMMYFUNCTION("""COMPUTED_VALUE"""),25000.0)</f>
        <v>25000</v>
      </c>
      <c r="R473" s="32"/>
      <c r="S473" s="32"/>
      <c r="T473" s="32"/>
      <c r="U473" s="32"/>
      <c r="V473" s="32"/>
      <c r="W473" s="32"/>
      <c r="X473" s="32"/>
      <c r="Y473" s="32"/>
      <c r="Z473" s="32"/>
      <c r="AA473" s="32"/>
      <c r="AB473" s="32"/>
      <c r="AC473" s="32">
        <f>IFERROR(__xludf.DUMMYFUNCTION("""COMPUTED_VALUE"""),20000.0)</f>
        <v>20000</v>
      </c>
      <c r="AD473" s="32"/>
      <c r="AE473" s="32"/>
      <c r="AF473" s="32"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32" t="str">
        <f>IFERROR(__xludf.DUMMYFUNCTION("""COMPUTED_VALUE"""),"Dragonscale Island")</f>
        <v>Dragonscale Island</v>
      </c>
      <c r="AH473" s="32" t="b">
        <f>IFERROR(__xludf.DUMMYFUNCTION("""COMPUTED_VALUE"""),FALSE)</f>
        <v>0</v>
      </c>
      <c r="AI473" s="32"/>
      <c r="AJ473" s="32"/>
      <c r="AK473" s="32"/>
      <c r="AL473" s="32"/>
      <c r="AM473" s="32"/>
      <c r="AN473" s="32"/>
      <c r="AO473" s="32"/>
      <c r="AP473" s="32"/>
      <c r="AQ473" s="32"/>
      <c r="AR473" s="32"/>
      <c r="AS473" s="32"/>
      <c r="AT473" s="32"/>
      <c r="AU473" s="32"/>
      <c r="AV473" s="32"/>
      <c r="AW473" s="32"/>
      <c r="AX473" s="32"/>
    </row>
    <row r="474">
      <c r="A474" s="32" t="str">
        <f>IFERROR(__xludf.DUMMYFUNCTION("""COMPUTED_VALUE"""),"Silken Gloves of Dexterity")</f>
        <v>Silken Gloves of Dexterity</v>
      </c>
      <c r="B474" s="32" t="str">
        <f>IFERROR(__xludf.DUMMYFUNCTION("""COMPUTED_VALUE"""),"Arms")</f>
        <v>Arms</v>
      </c>
      <c r="C474" s="32" t="str">
        <f>IFERROR(__xludf.DUMMYFUNCTION("""COMPUTED_VALUE"""),"Quest Item")</f>
        <v>Quest Item</v>
      </c>
      <c r="D474" s="5"/>
      <c r="E474" s="40">
        <f>IFERROR(__xludf.DUMMYFUNCTION("""COMPUTED_VALUE"""),200.0)</f>
        <v>200</v>
      </c>
      <c r="F474" s="44">
        <f>IFERROR(__xludf.DUMMYFUNCTION("""COMPUTED_VALUE"""),1.7955E8)</f>
        <v>179550000</v>
      </c>
      <c r="G474" s="32" t="str">
        <f>IFERROR(__xludf.DUMMYFUNCTION("""COMPUTED_VALUE"""),"DEF")</f>
        <v>DEF</v>
      </c>
      <c r="H474" s="33">
        <f>IFERROR(__xludf.DUMMYFUNCTION("""COMPUTED_VALUE"""),25000.0)</f>
        <v>25000</v>
      </c>
      <c r="I474" s="32"/>
      <c r="J474" s="32"/>
      <c r="K474" s="32"/>
      <c r="L474" s="32"/>
      <c r="M474" s="32"/>
      <c r="N474" s="32">
        <f>IFERROR(__xludf.DUMMYFUNCTION("""COMPUTED_VALUE"""),25000.0)</f>
        <v>25000</v>
      </c>
      <c r="O474" s="32"/>
      <c r="P474" s="32"/>
      <c r="Q474" s="33">
        <f>IFERROR(__xludf.DUMMYFUNCTION("""COMPUTED_VALUE"""),25000.0)</f>
        <v>25000</v>
      </c>
      <c r="R474" s="32"/>
      <c r="S474" s="32"/>
      <c r="T474" s="32"/>
      <c r="U474" s="32"/>
      <c r="V474" s="32"/>
      <c r="W474" s="32"/>
      <c r="X474" s="32"/>
      <c r="Y474" s="32"/>
      <c r="Z474" s="32"/>
      <c r="AA474" s="32"/>
      <c r="AB474" s="32"/>
      <c r="AC474" s="32">
        <f>IFERROR(__xludf.DUMMYFUNCTION("""COMPUTED_VALUE"""),20000.0)</f>
        <v>20000</v>
      </c>
      <c r="AD474" s="32"/>
      <c r="AE474" s="32"/>
      <c r="AF474" s="32"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32" t="str">
        <f>IFERROR(__xludf.DUMMYFUNCTION("""COMPUTED_VALUE"""),"Dragonscale Island")</f>
        <v>Dragonscale Island</v>
      </c>
      <c r="AH474" s="32" t="b">
        <f>IFERROR(__xludf.DUMMYFUNCTION("""COMPUTED_VALUE"""),FALSE)</f>
        <v>0</v>
      </c>
      <c r="AI474" s="32"/>
      <c r="AJ474" s="32"/>
      <c r="AK474" s="32"/>
      <c r="AL474" s="32"/>
      <c r="AM474" s="32"/>
      <c r="AN474" s="32"/>
      <c r="AO474" s="32"/>
      <c r="AP474" s="32"/>
      <c r="AQ474" s="32"/>
      <c r="AR474" s="32"/>
      <c r="AS474" s="32"/>
      <c r="AT474" s="32"/>
      <c r="AU474" s="32"/>
      <c r="AV474" s="32"/>
      <c r="AW474" s="32"/>
      <c r="AX474" s="32"/>
    </row>
    <row r="475">
      <c r="A475" s="32" t="str">
        <f>IFERROR(__xludf.DUMMYFUNCTION("""COMPUTED_VALUE"""),"Leggings of Swift Death")</f>
        <v>Leggings of Swift Death</v>
      </c>
      <c r="B475" s="32" t="str">
        <f>IFERROR(__xludf.DUMMYFUNCTION("""COMPUTED_VALUE"""),"Legs")</f>
        <v>Legs</v>
      </c>
      <c r="C475" s="32" t="str">
        <f>IFERROR(__xludf.DUMMYFUNCTION("""COMPUTED_VALUE"""),"Quest Item")</f>
        <v>Quest Item</v>
      </c>
      <c r="D475" s="5"/>
      <c r="E475" s="40">
        <f>IFERROR(__xludf.DUMMYFUNCTION("""COMPUTED_VALUE"""),200.0)</f>
        <v>200</v>
      </c>
      <c r="F475" s="44">
        <f>IFERROR(__xludf.DUMMYFUNCTION("""COMPUTED_VALUE"""),1.7955E8)</f>
        <v>179550000</v>
      </c>
      <c r="G475" s="32" t="str">
        <f>IFERROR(__xludf.DUMMYFUNCTION("""COMPUTED_VALUE"""),"DEF")</f>
        <v>DEF</v>
      </c>
      <c r="H475" s="33">
        <f>IFERROR(__xludf.DUMMYFUNCTION("""COMPUTED_VALUE"""),25000.0)</f>
        <v>25000</v>
      </c>
      <c r="I475" s="32"/>
      <c r="J475" s="32"/>
      <c r="K475" s="32"/>
      <c r="L475" s="32"/>
      <c r="M475" s="32"/>
      <c r="N475" s="32">
        <f>IFERROR(__xludf.DUMMYFUNCTION("""COMPUTED_VALUE"""),25000.0)</f>
        <v>25000</v>
      </c>
      <c r="O475" s="32"/>
      <c r="P475" s="32"/>
      <c r="Q475" s="33">
        <f>IFERROR(__xludf.DUMMYFUNCTION("""COMPUTED_VALUE"""),25000.0)</f>
        <v>25000</v>
      </c>
      <c r="R475" s="32"/>
      <c r="S475" s="32"/>
      <c r="T475" s="32"/>
      <c r="U475" s="32"/>
      <c r="V475" s="32"/>
      <c r="W475" s="32"/>
      <c r="X475" s="32"/>
      <c r="Y475" s="32"/>
      <c r="Z475" s="32"/>
      <c r="AA475" s="32"/>
      <c r="AB475" s="32"/>
      <c r="AC475" s="32">
        <f>IFERROR(__xludf.DUMMYFUNCTION("""COMPUTED_VALUE"""),20000.0)</f>
        <v>20000</v>
      </c>
      <c r="AD475" s="32"/>
      <c r="AE475" s="32"/>
      <c r="AF475" s="32"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32" t="str">
        <f>IFERROR(__xludf.DUMMYFUNCTION("""COMPUTED_VALUE"""),"Dragonscale Island")</f>
        <v>Dragonscale Island</v>
      </c>
      <c r="AH475" s="32" t="b">
        <f>IFERROR(__xludf.DUMMYFUNCTION("""COMPUTED_VALUE"""),FALSE)</f>
        <v>0</v>
      </c>
      <c r="AI475" s="32"/>
      <c r="AJ475" s="32"/>
      <c r="AK475" s="32"/>
      <c r="AL475" s="32"/>
      <c r="AM475" s="32"/>
      <c r="AN475" s="32"/>
      <c r="AO475" s="32"/>
      <c r="AP475" s="32"/>
      <c r="AQ475" s="32"/>
      <c r="AR475" s="32"/>
      <c r="AS475" s="32"/>
      <c r="AT475" s="32"/>
      <c r="AU475" s="32"/>
      <c r="AV475" s="32"/>
      <c r="AW475" s="32"/>
      <c r="AX475" s="32"/>
    </row>
    <row r="476">
      <c r="A476" s="32" t="str">
        <f>IFERROR(__xludf.DUMMYFUNCTION("""COMPUTED_VALUE"""),"Cape of Illusion")</f>
        <v>Cape of Illusion</v>
      </c>
      <c r="B476" s="32" t="str">
        <f>IFERROR(__xludf.DUMMYFUNCTION("""COMPUTED_VALUE"""),"Shoulders")</f>
        <v>Shoulders</v>
      </c>
      <c r="C476" s="32" t="str">
        <f>IFERROR(__xludf.DUMMYFUNCTION("""COMPUTED_VALUE"""),"Quest Item")</f>
        <v>Quest Item</v>
      </c>
      <c r="D476" s="5"/>
      <c r="E476" s="40">
        <f>IFERROR(__xludf.DUMMYFUNCTION("""COMPUTED_VALUE"""),200.0)</f>
        <v>200</v>
      </c>
      <c r="F476" s="44">
        <f>IFERROR(__xludf.DUMMYFUNCTION("""COMPUTED_VALUE"""),1.7955E8)</f>
        <v>179550000</v>
      </c>
      <c r="G476" s="32" t="str">
        <f>IFERROR(__xludf.DUMMYFUNCTION("""COMPUTED_VALUE"""),"DEF")</f>
        <v>DEF</v>
      </c>
      <c r="H476" s="33">
        <f>IFERROR(__xludf.DUMMYFUNCTION("""COMPUTED_VALUE"""),25000.0)</f>
        <v>25000</v>
      </c>
      <c r="I476" s="32"/>
      <c r="J476" s="32"/>
      <c r="K476" s="32"/>
      <c r="L476" s="32"/>
      <c r="M476" s="32"/>
      <c r="N476" s="32">
        <f>IFERROR(__xludf.DUMMYFUNCTION("""COMPUTED_VALUE"""),25000.0)</f>
        <v>25000</v>
      </c>
      <c r="O476" s="32"/>
      <c r="P476" s="32"/>
      <c r="Q476" s="33">
        <f>IFERROR(__xludf.DUMMYFUNCTION("""COMPUTED_VALUE"""),25000.0)</f>
        <v>25000</v>
      </c>
      <c r="R476" s="32"/>
      <c r="S476" s="32"/>
      <c r="T476" s="32"/>
      <c r="U476" s="32"/>
      <c r="V476" s="32"/>
      <c r="W476" s="32"/>
      <c r="X476" s="32"/>
      <c r="Y476" s="32"/>
      <c r="Z476" s="32"/>
      <c r="AA476" s="32"/>
      <c r="AB476" s="32"/>
      <c r="AC476" s="32">
        <f>IFERROR(__xludf.DUMMYFUNCTION("""COMPUTED_VALUE"""),20000.0)</f>
        <v>20000</v>
      </c>
      <c r="AD476" s="32"/>
      <c r="AE476" s="32"/>
      <c r="AF476" s="32"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32" t="str">
        <f>IFERROR(__xludf.DUMMYFUNCTION("""COMPUTED_VALUE"""),"Dragonscale Island")</f>
        <v>Dragonscale Island</v>
      </c>
      <c r="AH476" s="32" t="b">
        <f>IFERROR(__xludf.DUMMYFUNCTION("""COMPUTED_VALUE"""),FALSE)</f>
        <v>0</v>
      </c>
      <c r="AI476" s="32"/>
      <c r="AJ476" s="32"/>
      <c r="AK476" s="32"/>
      <c r="AL476" s="32"/>
      <c r="AM476" s="32"/>
      <c r="AN476" s="32"/>
      <c r="AO476" s="32"/>
      <c r="AP476" s="32"/>
      <c r="AQ476" s="32"/>
      <c r="AR476" s="32"/>
      <c r="AS476" s="32"/>
      <c r="AT476" s="32"/>
      <c r="AU476" s="32"/>
      <c r="AV476" s="32"/>
      <c r="AW476" s="32"/>
      <c r="AX476" s="32"/>
    </row>
    <row r="477">
      <c r="A477" s="32" t="str">
        <f>IFERROR(__xludf.DUMMYFUNCTION("""COMPUTED_VALUE"""),"Assassin's Kiss")</f>
        <v>Assassin's Kiss</v>
      </c>
      <c r="B477" s="32" t="str">
        <f>IFERROR(__xludf.DUMMYFUNCTION("""COMPUTED_VALUE"""),"Hand")</f>
        <v>Hand</v>
      </c>
      <c r="C477" s="32" t="str">
        <f>IFERROR(__xludf.DUMMYFUNCTION("""COMPUTED_VALUE"""),"Quest Item")</f>
        <v>Quest Item</v>
      </c>
      <c r="D477" s="5" t="str">
        <f>IFERROR(__xludf.DUMMYFUNCTION("""COMPUTED_VALUE"""),"Knife")</f>
        <v>Knife</v>
      </c>
      <c r="E477" s="40">
        <f>IFERROR(__xludf.DUMMYFUNCTION("""COMPUTED_VALUE"""),200.0)</f>
        <v>200</v>
      </c>
      <c r="F477" s="44">
        <f>IFERROR(__xludf.DUMMYFUNCTION("""COMPUTED_VALUE"""),2.409E8)</f>
        <v>240900000</v>
      </c>
      <c r="G477" s="32" t="str">
        <f>IFERROR(__xludf.DUMMYFUNCTION("""COMPUTED_VALUE"""),"DMG")</f>
        <v>DMG</v>
      </c>
      <c r="H477" s="33">
        <f>IFERROR(__xludf.DUMMYFUNCTION("""COMPUTED_VALUE"""),50000.0)</f>
        <v>50000</v>
      </c>
      <c r="I477" s="32"/>
      <c r="J477" s="32"/>
      <c r="K477" s="32"/>
      <c r="L477" s="32"/>
      <c r="M477" s="32"/>
      <c r="N477" s="32"/>
      <c r="O477" s="32">
        <f>IFERROR(__xludf.DUMMYFUNCTION("""COMPUTED_VALUE"""),25000.0)</f>
        <v>25000</v>
      </c>
      <c r="P477" s="32"/>
      <c r="Q477" s="32"/>
      <c r="R477" s="32">
        <f>IFERROR(__xludf.DUMMYFUNCTION("""COMPUTED_VALUE"""),25000.0)</f>
        <v>25000</v>
      </c>
      <c r="S477" s="32"/>
      <c r="T477" s="32"/>
      <c r="U477" s="32"/>
      <c r="V477" s="32"/>
      <c r="W477" s="32"/>
      <c r="X477" s="32"/>
      <c r="Y477" s="32"/>
      <c r="Z477" s="32"/>
      <c r="AA477" s="32"/>
      <c r="AB477" s="32"/>
      <c r="AC477" s="32">
        <f>IFERROR(__xludf.DUMMYFUNCTION("""COMPUTED_VALUE"""),10000.0)</f>
        <v>10000</v>
      </c>
      <c r="AD477" s="32"/>
      <c r="AE477" s="32"/>
      <c r="AF477" s="32"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32" t="str">
        <f>IFERROR(__xludf.DUMMYFUNCTION("""COMPUTED_VALUE"""),"Dragonscale Island")</f>
        <v>Dragonscale Island</v>
      </c>
      <c r="AH477" s="32" t="b">
        <f>IFERROR(__xludf.DUMMYFUNCTION("""COMPUTED_VALUE"""),FALSE)</f>
        <v>0</v>
      </c>
      <c r="AI477" s="32"/>
      <c r="AJ477" s="32"/>
      <c r="AK477" s="32"/>
      <c r="AL477" s="32"/>
      <c r="AM477" s="32"/>
      <c r="AN477" s="32"/>
      <c r="AO477" s="32"/>
      <c r="AP477" s="32"/>
      <c r="AQ477" s="32"/>
      <c r="AR477" s="32"/>
      <c r="AS477" s="32"/>
      <c r="AT477" s="32"/>
      <c r="AU477" s="32"/>
      <c r="AV477" s="32"/>
      <c r="AW477" s="32"/>
      <c r="AX477" s="32"/>
    </row>
    <row r="478">
      <c r="A478" s="32" t="str">
        <f>IFERROR(__xludf.DUMMYFUNCTION("""COMPUTED_VALUE"""),"Night's Edge")</f>
        <v>Night's Edge</v>
      </c>
      <c r="B478" s="32" t="str">
        <f>IFERROR(__xludf.DUMMYFUNCTION("""COMPUTED_VALUE"""),"Hand")</f>
        <v>Hand</v>
      </c>
      <c r="C478" s="32" t="str">
        <f>IFERROR(__xludf.DUMMYFUNCTION("""COMPUTED_VALUE"""),"Quest Item")</f>
        <v>Quest Item</v>
      </c>
      <c r="D478" s="5" t="str">
        <f>IFERROR(__xludf.DUMMYFUNCTION("""COMPUTED_VALUE"""),"Knife")</f>
        <v>Knife</v>
      </c>
      <c r="E478" s="40">
        <f>IFERROR(__xludf.DUMMYFUNCTION("""COMPUTED_VALUE"""),200.0)</f>
        <v>200</v>
      </c>
      <c r="F478" s="44">
        <f>IFERROR(__xludf.DUMMYFUNCTION("""COMPUTED_VALUE"""),2.409E8)</f>
        <v>240900000</v>
      </c>
      <c r="G478" s="32" t="str">
        <f>IFERROR(__xludf.DUMMYFUNCTION("""COMPUTED_VALUE"""),"DMG")</f>
        <v>DMG</v>
      </c>
      <c r="H478" s="33">
        <f>IFERROR(__xludf.DUMMYFUNCTION("""COMPUTED_VALUE"""),50000.0)</f>
        <v>50000</v>
      </c>
      <c r="I478" s="32"/>
      <c r="J478" s="32"/>
      <c r="K478" s="32"/>
      <c r="L478" s="32"/>
      <c r="M478" s="32"/>
      <c r="N478" s="32"/>
      <c r="O478" s="33">
        <f>IFERROR(__xludf.DUMMYFUNCTION("""COMPUTED_VALUE"""),25000.0)</f>
        <v>25000</v>
      </c>
      <c r="P478" s="32"/>
      <c r="Q478" s="32"/>
      <c r="R478" s="32">
        <f>IFERROR(__xludf.DUMMYFUNCTION("""COMPUTED_VALUE"""),25000.0)</f>
        <v>25000</v>
      </c>
      <c r="S478" s="32"/>
      <c r="T478" s="32"/>
      <c r="U478" s="32"/>
      <c r="V478" s="32"/>
      <c r="W478" s="32"/>
      <c r="X478" s="32"/>
      <c r="Y478" s="32"/>
      <c r="Z478" s="32"/>
      <c r="AA478" s="32"/>
      <c r="AB478" s="32"/>
      <c r="AC478" s="32">
        <f>IFERROR(__xludf.DUMMYFUNCTION("""COMPUTED_VALUE"""),10000.0)</f>
        <v>10000</v>
      </c>
      <c r="AD478" s="32"/>
      <c r="AE478" s="32"/>
      <c r="AF478" s="32"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32" t="str">
        <f>IFERROR(__xludf.DUMMYFUNCTION("""COMPUTED_VALUE"""),"Dragonscale Island")</f>
        <v>Dragonscale Island</v>
      </c>
      <c r="AH478" s="32" t="b">
        <f>IFERROR(__xludf.DUMMYFUNCTION("""COMPUTED_VALUE"""),FALSE)</f>
        <v>0</v>
      </c>
      <c r="AI478" s="32"/>
      <c r="AJ478" s="32"/>
      <c r="AK478" s="32"/>
      <c r="AL478" s="32"/>
      <c r="AM478" s="32"/>
      <c r="AN478" s="32"/>
      <c r="AO478" s="32"/>
      <c r="AP478" s="32"/>
      <c r="AQ478" s="32"/>
      <c r="AR478" s="32"/>
      <c r="AS478" s="32"/>
      <c r="AT478" s="32"/>
      <c r="AU478" s="32"/>
      <c r="AV478" s="32"/>
      <c r="AW478" s="32"/>
      <c r="AX478" s="32"/>
    </row>
    <row r="479">
      <c r="A479" s="32" t="str">
        <f>IFERROR(__xludf.DUMMYFUNCTION("""COMPUTED_VALUE"""),"Ancient Draconian Deity Necklace")</f>
        <v>Ancient Draconian Deity Necklace</v>
      </c>
      <c r="B479" s="32" t="str">
        <f>IFERROR(__xludf.DUMMYFUNCTION("""COMPUTED_VALUE"""),"Neck")</f>
        <v>Neck</v>
      </c>
      <c r="C479" s="32"/>
      <c r="D479" s="5"/>
      <c r="E479" s="40">
        <f>IFERROR(__xludf.DUMMYFUNCTION("""COMPUTED_VALUE"""),1.0)</f>
        <v>1</v>
      </c>
      <c r="F479" s="44">
        <f>IFERROR(__xludf.DUMMYFUNCTION("""COMPUTED_VALUE"""),0.0)</f>
        <v>0</v>
      </c>
      <c r="G479" s="32" t="str">
        <f>IFERROR(__xludf.DUMMYFUNCTION("""COMPUTED_VALUE"""),"DMG")</f>
        <v>DMG</v>
      </c>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t="str">
        <f>IFERROR(__xludf.DUMMYFUNCTION("""COMPUTED_VALUE"""),"++5 to all d20 rolls, +-Cannot be duplicated.")</f>
        <v>++5 to all d20 rolls, +-Cannot be duplicated.</v>
      </c>
      <c r="AG479" s="32" t="str">
        <f>IFERROR(__xludf.DUMMYFUNCTION("""COMPUTED_VALUE"""),"Dragonscale Island")</f>
        <v>Dragonscale Island</v>
      </c>
      <c r="AH479" s="32" t="b">
        <f>IFERROR(__xludf.DUMMYFUNCTION("""COMPUTED_VALUE"""),FALSE)</f>
        <v>0</v>
      </c>
      <c r="AI479" s="32"/>
      <c r="AJ479" s="32"/>
      <c r="AK479" s="32"/>
      <c r="AL479" s="32"/>
      <c r="AM479" s="32"/>
      <c r="AN479" s="32"/>
      <c r="AO479" s="32"/>
      <c r="AP479" s="32"/>
      <c r="AQ479" s="32"/>
      <c r="AR479" s="32"/>
      <c r="AS479" s="32"/>
      <c r="AT479" s="32"/>
      <c r="AU479" s="32"/>
      <c r="AV479" s="32"/>
      <c r="AW479" s="32"/>
      <c r="AX479" s="32"/>
    </row>
    <row r="480">
      <c r="A480" s="32" t="str">
        <f>IFERROR(__xludf.DUMMYFUNCTION("""COMPUTED_VALUE"""),"Gungnir")</f>
        <v>Gungnir</v>
      </c>
      <c r="B480" s="32" t="str">
        <f>IFERROR(__xludf.DUMMYFUNCTION("""COMPUTED_VALUE"""),"Hand")</f>
        <v>Hand</v>
      </c>
      <c r="C480" s="32"/>
      <c r="D480" s="5" t="str">
        <f>IFERROR(__xludf.DUMMYFUNCTION("""COMPUTED_VALUE"""),"Spear")</f>
        <v>Spear</v>
      </c>
      <c r="E480" s="40">
        <f>IFERROR(__xludf.DUMMYFUNCTION("""COMPUTED_VALUE"""),1.0)</f>
        <v>1</v>
      </c>
      <c r="F480" s="44">
        <f>IFERROR(__xludf.DUMMYFUNCTION("""COMPUTED_VALUE"""),0.0)</f>
        <v>0</v>
      </c>
      <c r="G480" s="32" t="str">
        <f>IFERROR(__xludf.DUMMYFUNCTION("""COMPUTED_VALUE"""),"DMG")</f>
        <v>DMG</v>
      </c>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t="str">
        <f>IFERROR(__xludf.DUMMYFUNCTION("""COMPUTED_VALUE"""),"Abstara")</f>
        <v>Abstara</v>
      </c>
      <c r="AH480" s="32" t="b">
        <f>IFERROR(__xludf.DUMMYFUNCTION("""COMPUTED_VALUE"""),FALSE)</f>
        <v>0</v>
      </c>
      <c r="AI480" s="32"/>
      <c r="AJ480" s="32"/>
      <c r="AK480" s="32"/>
      <c r="AL480" s="32"/>
      <c r="AM480" s="32"/>
      <c r="AN480" s="32"/>
      <c r="AO480" s="32"/>
      <c r="AP480" s="32"/>
      <c r="AQ480" s="32"/>
      <c r="AR480" s="32"/>
      <c r="AS480" s="32"/>
      <c r="AT480" s="32"/>
      <c r="AU480" s="32"/>
      <c r="AV480" s="32"/>
      <c r="AW480" s="32"/>
      <c r="AX480" s="32"/>
    </row>
    <row r="481">
      <c r="A481" s="32"/>
      <c r="B481" s="32"/>
      <c r="C481" s="32"/>
      <c r="D481" s="5"/>
      <c r="E481" s="40"/>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t="b">
        <f>IFERROR(__xludf.DUMMYFUNCTION("""COMPUTED_VALUE"""),FALSE)</f>
        <v>0</v>
      </c>
      <c r="AI481" s="32"/>
      <c r="AJ481" s="32"/>
      <c r="AK481" s="32"/>
      <c r="AL481" s="32"/>
      <c r="AM481" s="32"/>
      <c r="AN481" s="32"/>
      <c r="AO481" s="32"/>
      <c r="AP481" s="32"/>
      <c r="AQ481" s="32"/>
      <c r="AR481" s="32"/>
      <c r="AS481" s="32"/>
      <c r="AT481" s="32"/>
      <c r="AU481" s="32"/>
      <c r="AV481" s="32"/>
      <c r="AW481" s="32"/>
      <c r="AX481" s="32"/>
    </row>
    <row r="482">
      <c r="A482" s="32" t="str">
        <f>IFERROR(__xludf.DUMMYFUNCTION("""COMPUTED_VALUE"""),"Gaia's Rock Hammer")</f>
        <v>Gaia's Rock Hammer</v>
      </c>
      <c r="B482" s="32" t="str">
        <f>IFERROR(__xludf.DUMMYFUNCTION("""COMPUTED_VALUE"""),"Hand")</f>
        <v>Hand</v>
      </c>
      <c r="C482" s="32" t="str">
        <f>IFERROR(__xludf.DUMMYFUNCTION("""COMPUTED_VALUE"""),"Quest Item")</f>
        <v>Quest Item</v>
      </c>
      <c r="D482" s="5" t="str">
        <f>IFERROR(__xludf.DUMMYFUNCTION("""COMPUTED_VALUE"""),"Club")</f>
        <v>Club</v>
      </c>
      <c r="E482" s="40">
        <f>IFERROR(__xludf.DUMMYFUNCTION("""COMPUTED_VALUE"""),200.0)</f>
        <v>200</v>
      </c>
      <c r="F482" s="44">
        <f>IFERROR(__xludf.DUMMYFUNCTION("""COMPUTED_VALUE"""),5.4285E8)</f>
        <v>542850000</v>
      </c>
      <c r="G482" s="32" t="str">
        <f>IFERROR(__xludf.DUMMYFUNCTION("""COMPUTED_VALUE"""),"DMG")</f>
        <v>DMG</v>
      </c>
      <c r="H482" s="33">
        <f>IFERROR(__xludf.DUMMYFUNCTION("""COMPUTED_VALUE"""),25000.0)</f>
        <v>25000</v>
      </c>
      <c r="I482" s="32"/>
      <c r="J482" s="32"/>
      <c r="K482" s="32"/>
      <c r="L482" s="32"/>
      <c r="M482" s="33">
        <f>IFERROR(__xludf.DUMMYFUNCTION("""COMPUTED_VALUE"""),100000.0)</f>
        <v>100000</v>
      </c>
      <c r="N482" s="32"/>
      <c r="O482" s="32"/>
      <c r="P482" s="32"/>
      <c r="Q482" s="32"/>
      <c r="R482" s="32"/>
      <c r="S482" s="33">
        <f>IFERROR(__xludf.DUMMYFUNCTION("""COMPUTED_VALUE"""),15000.0)</f>
        <v>15000</v>
      </c>
      <c r="T482" s="32"/>
      <c r="U482" s="32"/>
      <c r="V482" s="32"/>
      <c r="W482" s="32"/>
      <c r="X482" s="32"/>
      <c r="Y482" s="32"/>
      <c r="Z482" s="32"/>
      <c r="AA482" s="32"/>
      <c r="AB482" s="32"/>
      <c r="AC482" s="33">
        <f>IFERROR(__xludf.DUMMYFUNCTION("""COMPUTED_VALUE"""),25000.0)</f>
        <v>25000</v>
      </c>
      <c r="AD482" s="32"/>
      <c r="AE482" s="32"/>
      <c r="AF482" s="32"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32" t="str">
        <f>IFERROR(__xludf.DUMMYFUNCTION("""COMPUTED_VALUE"""),"Land of Spira")</f>
        <v>Land of Spira</v>
      </c>
      <c r="AH482" s="32" t="b">
        <f>IFERROR(__xludf.DUMMYFUNCTION("""COMPUTED_VALUE"""),FALSE)</f>
        <v>0</v>
      </c>
      <c r="AI482" s="32"/>
      <c r="AJ482" s="32"/>
      <c r="AK482" s="32"/>
      <c r="AL482" s="32"/>
      <c r="AM482" s="32"/>
      <c r="AN482" s="32"/>
      <c r="AO482" s="32"/>
      <c r="AP482" s="32"/>
      <c r="AQ482" s="32"/>
      <c r="AR482" s="32"/>
      <c r="AS482" s="32"/>
      <c r="AT482" s="32"/>
      <c r="AU482" s="32"/>
      <c r="AV482" s="32"/>
      <c r="AW482" s="32"/>
      <c r="AX482" s="32"/>
    </row>
    <row r="483">
      <c r="A483" s="32" t="str">
        <f>IFERROR(__xludf.DUMMYFUNCTION("""COMPUTED_VALUE"""),"Bahamut's Claw")</f>
        <v>Bahamut's Claw</v>
      </c>
      <c r="B483" s="32" t="str">
        <f>IFERROR(__xludf.DUMMYFUNCTION("""COMPUTED_VALUE"""),"Hand")</f>
        <v>Hand</v>
      </c>
      <c r="C483" s="32" t="str">
        <f>IFERROR(__xludf.DUMMYFUNCTION("""COMPUTED_VALUE"""),"Mob Exclusive")</f>
        <v>Mob Exclusive</v>
      </c>
      <c r="D483" s="5" t="str">
        <f>IFERROR(__xludf.DUMMYFUNCTION("""COMPUTED_VALUE"""),"Claw")</f>
        <v>Claw</v>
      </c>
      <c r="E483" s="40">
        <f>IFERROR(__xludf.DUMMYFUNCTION("""COMPUTED_VALUE"""),200.0)</f>
        <v>200</v>
      </c>
      <c r="F483" s="44">
        <f>IFERROR(__xludf.DUMMYFUNCTION("""COMPUTED_VALUE"""),1.12425E10)</f>
        <v>11242500000</v>
      </c>
      <c r="G483" s="32" t="str">
        <f>IFERROR(__xludf.DUMMYFUNCTION("""COMPUTED_VALUE"""),"DMG")</f>
        <v>DMG</v>
      </c>
      <c r="H483" s="33">
        <f>IFERROR(__xludf.DUMMYFUNCTION("""COMPUTED_VALUE"""),250000.0)</f>
        <v>250000</v>
      </c>
      <c r="I483" s="32"/>
      <c r="J483" s="32"/>
      <c r="K483" s="32"/>
      <c r="L483" s="32"/>
      <c r="M483" s="32"/>
      <c r="N483" s="32"/>
      <c r="O483" s="32"/>
      <c r="P483" s="32"/>
      <c r="Q483" s="32"/>
      <c r="R483" s="32"/>
      <c r="S483" s="32"/>
      <c r="T483" s="32"/>
      <c r="U483" s="32"/>
      <c r="V483" s="32"/>
      <c r="W483" s="32"/>
      <c r="X483" s="32"/>
      <c r="Y483" s="32"/>
      <c r="Z483" s="33">
        <f>IFERROR(__xludf.DUMMYFUNCTION("""COMPUTED_VALUE"""),250000.0)</f>
        <v>250000</v>
      </c>
      <c r="AA483" s="32"/>
      <c r="AB483" s="32"/>
      <c r="AC483" s="33">
        <f>IFERROR(__xludf.DUMMYFUNCTION("""COMPUTED_VALUE"""),250000.0)</f>
        <v>250000</v>
      </c>
      <c r="AD483" s="32"/>
      <c r="AE483" s="32"/>
      <c r="AF483" s="32"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32" t="str">
        <f>IFERROR(__xludf.DUMMYFUNCTION("""COMPUTED_VALUE"""),"Tantalus - The Void")</f>
        <v>Tantalus - The Void</v>
      </c>
      <c r="AH483" s="32" t="b">
        <f>IFERROR(__xludf.DUMMYFUNCTION("""COMPUTED_VALUE"""),FALSE)</f>
        <v>0</v>
      </c>
      <c r="AI483" s="32"/>
      <c r="AJ483" s="32"/>
      <c r="AK483" s="32"/>
      <c r="AL483" s="32"/>
      <c r="AM483" s="32"/>
      <c r="AN483" s="32"/>
      <c r="AO483" s="32"/>
      <c r="AP483" s="32"/>
      <c r="AQ483" s="32"/>
      <c r="AR483" s="32"/>
      <c r="AS483" s="32"/>
      <c r="AT483" s="32"/>
      <c r="AU483" s="32"/>
      <c r="AV483" s="32"/>
      <c r="AW483" s="32"/>
      <c r="AX483" s="32"/>
    </row>
    <row r="484">
      <c r="A484" s="32" t="str">
        <f>IFERROR(__xludf.DUMMYFUNCTION("""COMPUTED_VALUE"""),"Chronos' Staff of Time")</f>
        <v>Chronos' Staff of Time</v>
      </c>
      <c r="B484" s="32" t="str">
        <f>IFERROR(__xludf.DUMMYFUNCTION("""COMPUTED_VALUE"""),"Hand")</f>
        <v>Hand</v>
      </c>
      <c r="C484" s="32"/>
      <c r="D484" s="5" t="str">
        <f>IFERROR(__xludf.DUMMYFUNCTION("""COMPUTED_VALUE"""),"Staff")</f>
        <v>Staff</v>
      </c>
      <c r="E484" s="40">
        <f>IFERROR(__xludf.DUMMYFUNCTION("""COMPUTED_VALUE"""),1.0)</f>
        <v>1</v>
      </c>
      <c r="F484" s="44">
        <f>IFERROR(__xludf.DUMMYFUNCTION("""COMPUTED_VALUE"""),0.0)</f>
        <v>0</v>
      </c>
      <c r="G484" s="32" t="str">
        <f>IFERROR(__xludf.DUMMYFUNCTION("""COMPUTED_VALUE"""),"DMG")</f>
        <v>DMG</v>
      </c>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t="str">
        <f>IFERROR(__xludf.DUMMYFUNCTION("""COMPUTED_VALUE"""),"Solreach")</f>
        <v>Solreach</v>
      </c>
      <c r="AH484" s="32" t="b">
        <f>IFERROR(__xludf.DUMMYFUNCTION("""COMPUTED_VALUE"""),FALSE)</f>
        <v>0</v>
      </c>
      <c r="AI484" s="32"/>
      <c r="AJ484" s="32"/>
      <c r="AK484" s="32"/>
      <c r="AL484" s="32"/>
      <c r="AM484" s="32"/>
      <c r="AN484" s="32"/>
      <c r="AO484" s="32"/>
      <c r="AP484" s="32"/>
      <c r="AQ484" s="32"/>
      <c r="AR484" s="32"/>
      <c r="AS484" s="32"/>
      <c r="AT484" s="32"/>
      <c r="AU484" s="32"/>
      <c r="AV484" s="32"/>
      <c r="AW484" s="32"/>
      <c r="AX484" s="32"/>
    </row>
    <row r="485">
      <c r="A485" s="32" t="str">
        <f>IFERROR(__xludf.DUMMYFUNCTION("""COMPUTED_VALUE"""),"Scimitar")</f>
        <v>Scimitar</v>
      </c>
      <c r="B485" s="32" t="str">
        <f>IFERROR(__xludf.DUMMYFUNCTION("""COMPUTED_VALUE"""),"Hand")</f>
        <v>Hand</v>
      </c>
      <c r="C485" s="32"/>
      <c r="D485" s="32" t="str">
        <f>IFERROR(__xludf.DUMMYFUNCTION("""COMPUTED_VALUE"""),"Sword")</f>
        <v>Sword</v>
      </c>
      <c r="E485" s="32">
        <f>IFERROR(__xludf.DUMMYFUNCTION("""COMPUTED_VALUE"""),300.0)</f>
        <v>300</v>
      </c>
      <c r="F485" s="44">
        <f>IFERROR(__xludf.DUMMYFUNCTION("""COMPUTED_VALUE"""),4350000.0)</f>
        <v>4350000</v>
      </c>
      <c r="G485" s="32" t="str">
        <f>IFERROR(__xludf.DUMMYFUNCTION("""COMPUTED_VALUE"""),"DMG")</f>
        <v>DMG</v>
      </c>
      <c r="H485" s="33">
        <f>IFERROR(__xludf.DUMMYFUNCTION("""COMPUTED_VALUE"""),10000.0)</f>
        <v>10000</v>
      </c>
      <c r="I485" s="33">
        <f>IFERROR(__xludf.DUMMYFUNCTION("""COMPUTED_VALUE"""),5000.0)</f>
        <v>5000</v>
      </c>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t="str">
        <f>IFERROR(__xludf.DUMMYFUNCTION("""COMPUTED_VALUE"""),"Land of Spira")</f>
        <v>Land of Spira</v>
      </c>
      <c r="AH485" s="32" t="b">
        <f>IFERROR(__xludf.DUMMYFUNCTION("""COMPUTED_VALUE"""),FALSE)</f>
        <v>0</v>
      </c>
      <c r="AI485" s="32"/>
      <c r="AJ485" s="32"/>
      <c r="AK485" s="32"/>
      <c r="AL485" s="32"/>
      <c r="AM485" s="32"/>
      <c r="AN485" s="32"/>
      <c r="AO485" s="32"/>
      <c r="AP485" s="32"/>
      <c r="AQ485" s="32"/>
      <c r="AR485" s="32"/>
      <c r="AS485" s="32"/>
      <c r="AT485" s="32"/>
      <c r="AU485" s="32"/>
      <c r="AV485" s="32"/>
      <c r="AW485" s="32"/>
      <c r="AX485" s="32"/>
    </row>
    <row r="486">
      <c r="A486" s="32" t="str">
        <f>IFERROR(__xludf.DUMMYFUNCTION("""COMPUTED_VALUE"""),"Gaia's Helmet of Earthen Fortitude")</f>
        <v>Gaia's Helmet of Earthen Fortitude</v>
      </c>
      <c r="B486" s="32" t="str">
        <f>IFERROR(__xludf.DUMMYFUNCTION("""COMPUTED_VALUE"""),"Head")</f>
        <v>Head</v>
      </c>
      <c r="C486" s="32" t="str">
        <f>IFERROR(__xludf.DUMMYFUNCTION("""COMPUTED_VALUE"""),"Mob Exclusive")</f>
        <v>Mob Exclusive</v>
      </c>
      <c r="D486" s="32"/>
      <c r="E486" s="32">
        <f>IFERROR(__xludf.DUMMYFUNCTION("""COMPUTED_VALUE"""),200.0)</f>
        <v>200</v>
      </c>
      <c r="F486" s="44">
        <f>IFERROR(__xludf.DUMMYFUNCTION("""COMPUTED_VALUE"""),3.6315E8)</f>
        <v>363150000</v>
      </c>
      <c r="G486" s="32" t="str">
        <f>IFERROR(__xludf.DUMMYFUNCTION("""COMPUTED_VALUE"""),"DEF")</f>
        <v>DEF</v>
      </c>
      <c r="H486" s="33">
        <f>IFERROR(__xludf.DUMMYFUNCTION("""COMPUTED_VALUE"""),50000.0)</f>
        <v>50000</v>
      </c>
      <c r="I486" s="33">
        <f>IFERROR(__xludf.DUMMYFUNCTION("""COMPUTED_VALUE"""),35000.0)</f>
        <v>35000</v>
      </c>
      <c r="J486" s="32"/>
      <c r="K486" s="32"/>
      <c r="L486" s="32"/>
      <c r="M486" s="32"/>
      <c r="N486" s="32"/>
      <c r="O486" s="32"/>
      <c r="P486" s="32"/>
      <c r="Q486" s="32"/>
      <c r="R486" s="32"/>
      <c r="S486" s="32"/>
      <c r="T486" s="32"/>
      <c r="U486" s="32"/>
      <c r="V486" s="32"/>
      <c r="W486" s="32"/>
      <c r="X486" s="32"/>
      <c r="Y486" s="32"/>
      <c r="Z486" s="32"/>
      <c r="AA486" s="32"/>
      <c r="AB486" s="32"/>
      <c r="AC486" s="33">
        <f>IFERROR(__xludf.DUMMYFUNCTION("""COMPUTED_VALUE"""),50000.0)</f>
        <v>50000</v>
      </c>
      <c r="AD486" s="32"/>
      <c r="AE486" s="32"/>
      <c r="AF486" s="32" t="str">
        <f>IFERROR(__xludf.DUMMYFUNCTION("""COMPUTED_VALUE"""),"++X2 Earth Damage for self. ++X2 Defense for self. ++Godly Authority: 50% chance to possess one enemy once per battle.")</f>
        <v>++X2 Earth Damage for self. ++X2 Defense for self. ++Godly Authority: 50% chance to possess one enemy once per battle.</v>
      </c>
      <c r="AG486" s="32" t="str">
        <f>IFERROR(__xludf.DUMMYFUNCTION("""COMPUTED_VALUE"""),"Land of Spira")</f>
        <v>Land of Spira</v>
      </c>
      <c r="AH486" s="32" t="b">
        <f>IFERROR(__xludf.DUMMYFUNCTION("""COMPUTED_VALUE"""),FALSE)</f>
        <v>0</v>
      </c>
      <c r="AI486" s="32"/>
      <c r="AJ486" s="32"/>
      <c r="AK486" s="32"/>
      <c r="AL486" s="32"/>
      <c r="AM486" s="32"/>
      <c r="AN486" s="32"/>
      <c r="AO486" s="32"/>
      <c r="AP486" s="32"/>
      <c r="AQ486" s="32"/>
      <c r="AR486" s="32"/>
      <c r="AS486" s="32"/>
      <c r="AT486" s="32"/>
      <c r="AU486" s="32"/>
      <c r="AV486" s="32"/>
      <c r="AW486" s="32"/>
      <c r="AX486" s="32"/>
    </row>
    <row r="487">
      <c r="A487" s="32" t="str">
        <f>IFERROR(__xludf.DUMMYFUNCTION("""COMPUTED_VALUE"""),"Gaia's Pendant")</f>
        <v>Gaia's Pendant</v>
      </c>
      <c r="B487" s="32" t="str">
        <f>IFERROR(__xludf.DUMMYFUNCTION("""COMPUTED_VALUE"""),"Neck")</f>
        <v>Neck</v>
      </c>
      <c r="C487" s="32" t="str">
        <f>IFERROR(__xludf.DUMMYFUNCTION("""COMPUTED_VALUE"""),"Mob Exclusive")</f>
        <v>Mob Exclusive</v>
      </c>
      <c r="D487" s="32"/>
      <c r="E487" s="32">
        <f>IFERROR(__xludf.DUMMYFUNCTION("""COMPUTED_VALUE"""),1.0)</f>
        <v>1</v>
      </c>
      <c r="F487" s="44">
        <f>IFERROR(__xludf.DUMMYFUNCTION("""COMPUTED_VALUE"""),0.0)</f>
        <v>0</v>
      </c>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t="str">
        <f>IFERROR(__xludf.DUMMYFUNCTION("""COMPUTED_VALUE"""),"++Revives entire party upon death of the wearer. +-one use per battle")</f>
        <v>++Revives entire party upon death of the wearer. +-one use per battle</v>
      </c>
      <c r="AG487" s="32" t="str">
        <f>IFERROR(__xludf.DUMMYFUNCTION("""COMPUTED_VALUE"""),"Land of Spira")</f>
        <v>Land of Spira</v>
      </c>
      <c r="AH487" s="32" t="b">
        <f>IFERROR(__xludf.DUMMYFUNCTION("""COMPUTED_VALUE"""),FALSE)</f>
        <v>0</v>
      </c>
      <c r="AI487" s="32"/>
      <c r="AJ487" s="32"/>
      <c r="AK487" s="32"/>
      <c r="AL487" s="32"/>
      <c r="AM487" s="32"/>
      <c r="AN487" s="32"/>
      <c r="AO487" s="32"/>
      <c r="AP487" s="32"/>
      <c r="AQ487" s="32"/>
      <c r="AR487" s="32"/>
      <c r="AS487" s="32"/>
      <c r="AT487" s="32"/>
      <c r="AU487" s="32"/>
      <c r="AV487" s="32"/>
      <c r="AW487" s="32"/>
      <c r="AX487" s="32"/>
    </row>
    <row r="488">
      <c r="A488" s="32" t="str">
        <f>IFERROR(__xludf.DUMMYFUNCTION("""COMPUTED_VALUE"""),"Gaia's Sandals of Earthen Fortitude")</f>
        <v>Gaia's Sandals of Earthen Fortitude</v>
      </c>
      <c r="B488" s="32" t="str">
        <f>IFERROR(__xludf.DUMMYFUNCTION("""COMPUTED_VALUE"""),"Feet")</f>
        <v>Feet</v>
      </c>
      <c r="C488" s="32" t="str">
        <f>IFERROR(__xludf.DUMMYFUNCTION("""COMPUTED_VALUE"""),"Mob Exclusive")</f>
        <v>Mob Exclusive</v>
      </c>
      <c r="D488" s="32"/>
      <c r="E488" s="32">
        <f>IFERROR(__xludf.DUMMYFUNCTION("""COMPUTED_VALUE"""),200.0)</f>
        <v>200</v>
      </c>
      <c r="F488" s="44">
        <f>IFERROR(__xludf.DUMMYFUNCTION("""COMPUTED_VALUE"""),3.6315E8)</f>
        <v>363150000</v>
      </c>
      <c r="G488" s="32" t="str">
        <f>IFERROR(__xludf.DUMMYFUNCTION("""COMPUTED_VALUE"""),"DEF")</f>
        <v>DEF</v>
      </c>
      <c r="H488" s="33">
        <f>IFERROR(__xludf.DUMMYFUNCTION("""COMPUTED_VALUE"""),50000.0)</f>
        <v>50000</v>
      </c>
      <c r="I488" s="33">
        <f>IFERROR(__xludf.DUMMYFUNCTION("""COMPUTED_VALUE"""),35000.0)</f>
        <v>35000</v>
      </c>
      <c r="J488" s="32"/>
      <c r="K488" s="32"/>
      <c r="L488" s="32"/>
      <c r="M488" s="32"/>
      <c r="N488" s="32"/>
      <c r="O488" s="32"/>
      <c r="P488" s="32"/>
      <c r="Q488" s="32"/>
      <c r="R488" s="32"/>
      <c r="S488" s="32"/>
      <c r="T488" s="32"/>
      <c r="U488" s="32"/>
      <c r="V488" s="32"/>
      <c r="W488" s="32"/>
      <c r="X488" s="32"/>
      <c r="Y488" s="32"/>
      <c r="Z488" s="32"/>
      <c r="AA488" s="32"/>
      <c r="AB488" s="32"/>
      <c r="AC488" s="33">
        <f>IFERROR(__xludf.DUMMYFUNCTION("""COMPUTED_VALUE"""),50000.0)</f>
        <v>50000</v>
      </c>
      <c r="AD488" s="32"/>
      <c r="AE488" s="32"/>
      <c r="AF488" s="32" t="str">
        <f>IFERROR(__xludf.DUMMYFUNCTION("""COMPUTED_VALUE"""),"++X2 Earth Damage for self. ++X2 Defense for self")</f>
        <v>++X2 Earth Damage for self. ++X2 Defense for self</v>
      </c>
      <c r="AG488" s="32" t="str">
        <f>IFERROR(__xludf.DUMMYFUNCTION("""COMPUTED_VALUE"""),"Land of Spira")</f>
        <v>Land of Spira</v>
      </c>
      <c r="AH488" s="32" t="b">
        <f>IFERROR(__xludf.DUMMYFUNCTION("""COMPUTED_VALUE"""),FALSE)</f>
        <v>0</v>
      </c>
      <c r="AI488" s="32"/>
      <c r="AJ488" s="32"/>
      <c r="AK488" s="32"/>
      <c r="AL488" s="32"/>
      <c r="AM488" s="32"/>
      <c r="AN488" s="32"/>
      <c r="AO488" s="32"/>
      <c r="AP488" s="32"/>
      <c r="AQ488" s="32"/>
      <c r="AR488" s="32"/>
      <c r="AS488" s="32"/>
      <c r="AT488" s="32"/>
      <c r="AU488" s="32"/>
      <c r="AV488" s="32"/>
      <c r="AW488" s="32"/>
      <c r="AX488" s="32"/>
    </row>
    <row r="489">
      <c r="A489" s="32" t="str">
        <f>IFERROR(__xludf.DUMMYFUNCTION("""COMPUTED_VALUE"""),"Gaia's Gloves")</f>
        <v>Gaia's Gloves</v>
      </c>
      <c r="B489" s="32" t="str">
        <f>IFERROR(__xludf.DUMMYFUNCTION("""COMPUTED_VALUE"""),"Arms")</f>
        <v>Arms</v>
      </c>
      <c r="C489" s="32" t="str">
        <f>IFERROR(__xludf.DUMMYFUNCTION("""COMPUTED_VALUE"""),"Mob Exclusive")</f>
        <v>Mob Exclusive</v>
      </c>
      <c r="D489" s="32"/>
      <c r="E489" s="32">
        <f>IFERROR(__xludf.DUMMYFUNCTION("""COMPUTED_VALUE"""),200.0)</f>
        <v>200</v>
      </c>
      <c r="F489" s="44">
        <f>IFERROR(__xludf.DUMMYFUNCTION("""COMPUTED_VALUE"""),3.6315E8)</f>
        <v>363150000</v>
      </c>
      <c r="G489" s="32" t="str">
        <f>IFERROR(__xludf.DUMMYFUNCTION("""COMPUTED_VALUE"""),"DEF")</f>
        <v>DEF</v>
      </c>
      <c r="H489" s="33">
        <f>IFERROR(__xludf.DUMMYFUNCTION("""COMPUTED_VALUE"""),50000.0)</f>
        <v>50000</v>
      </c>
      <c r="I489" s="33">
        <f>IFERROR(__xludf.DUMMYFUNCTION("""COMPUTED_VALUE"""),35000.0)</f>
        <v>35000</v>
      </c>
      <c r="J489" s="32"/>
      <c r="K489" s="32"/>
      <c r="L489" s="32"/>
      <c r="M489" s="32"/>
      <c r="N489" s="32"/>
      <c r="O489" s="32"/>
      <c r="P489" s="32"/>
      <c r="Q489" s="32"/>
      <c r="R489" s="32"/>
      <c r="S489" s="32"/>
      <c r="T489" s="32"/>
      <c r="U489" s="32"/>
      <c r="V489" s="32"/>
      <c r="W489" s="32"/>
      <c r="X489" s="32"/>
      <c r="Y489" s="32"/>
      <c r="Z489" s="32"/>
      <c r="AA489" s="32"/>
      <c r="AB489" s="32"/>
      <c r="AC489" s="33">
        <f>IFERROR(__xludf.DUMMYFUNCTION("""COMPUTED_VALUE"""),50000.0)</f>
        <v>50000</v>
      </c>
      <c r="AD489" s="32"/>
      <c r="AE489" s="32"/>
      <c r="AF489" s="32" t="str">
        <f>IFERROR(__xludf.DUMMYFUNCTION("""COMPUTED_VALUE"""),"++X2 Earth Damage for self. ++X2 Defense for self")</f>
        <v>++X2 Earth Damage for self. ++X2 Defense for self</v>
      </c>
      <c r="AG489" s="32" t="str">
        <f>IFERROR(__xludf.DUMMYFUNCTION("""COMPUTED_VALUE"""),"Land of Spira")</f>
        <v>Land of Spira</v>
      </c>
      <c r="AH489" s="32" t="b">
        <f>IFERROR(__xludf.DUMMYFUNCTION("""COMPUTED_VALUE"""),FALSE)</f>
        <v>0</v>
      </c>
      <c r="AI489" s="32"/>
      <c r="AJ489" s="32"/>
      <c r="AK489" s="32"/>
      <c r="AL489" s="32"/>
      <c r="AM489" s="32"/>
      <c r="AN489" s="32"/>
      <c r="AO489" s="32"/>
      <c r="AP489" s="32"/>
      <c r="AQ489" s="32"/>
      <c r="AR489" s="32"/>
      <c r="AS489" s="32"/>
      <c r="AT489" s="32"/>
      <c r="AU489" s="32"/>
      <c r="AV489" s="32"/>
      <c r="AW489" s="32"/>
      <c r="AX489" s="32"/>
    </row>
    <row r="490">
      <c r="A490" s="32" t="str">
        <f>IFERROR(__xludf.DUMMYFUNCTION("""COMPUTED_VALUE"""),"Gaia's Gaiters")</f>
        <v>Gaia's Gaiters</v>
      </c>
      <c r="B490" s="32" t="str">
        <f>IFERROR(__xludf.DUMMYFUNCTION("""COMPUTED_VALUE"""),"Legs")</f>
        <v>Legs</v>
      </c>
      <c r="C490" s="32" t="str">
        <f>IFERROR(__xludf.DUMMYFUNCTION("""COMPUTED_VALUE"""),"Mob Exclusive")</f>
        <v>Mob Exclusive</v>
      </c>
      <c r="D490" s="32"/>
      <c r="E490" s="32">
        <f>IFERROR(__xludf.DUMMYFUNCTION("""COMPUTED_VALUE"""),200.0)</f>
        <v>200</v>
      </c>
      <c r="F490" s="44">
        <f>IFERROR(__xludf.DUMMYFUNCTION("""COMPUTED_VALUE"""),3.6315E8)</f>
        <v>363150000</v>
      </c>
      <c r="G490" s="32" t="str">
        <f>IFERROR(__xludf.DUMMYFUNCTION("""COMPUTED_VALUE"""),"DEF")</f>
        <v>DEF</v>
      </c>
      <c r="H490" s="33">
        <f>IFERROR(__xludf.DUMMYFUNCTION("""COMPUTED_VALUE"""),50000.0)</f>
        <v>50000</v>
      </c>
      <c r="I490" s="33">
        <f>IFERROR(__xludf.DUMMYFUNCTION("""COMPUTED_VALUE"""),35000.0)</f>
        <v>35000</v>
      </c>
      <c r="J490" s="32"/>
      <c r="K490" s="32"/>
      <c r="L490" s="32"/>
      <c r="M490" s="32"/>
      <c r="N490" s="32"/>
      <c r="O490" s="32"/>
      <c r="P490" s="32"/>
      <c r="Q490" s="32"/>
      <c r="R490" s="32"/>
      <c r="S490" s="32"/>
      <c r="T490" s="32"/>
      <c r="U490" s="32"/>
      <c r="V490" s="32"/>
      <c r="W490" s="32"/>
      <c r="X490" s="32"/>
      <c r="Y490" s="32"/>
      <c r="Z490" s="32"/>
      <c r="AA490" s="32"/>
      <c r="AB490" s="32"/>
      <c r="AC490" s="33">
        <f>IFERROR(__xludf.DUMMYFUNCTION("""COMPUTED_VALUE"""),50000.0)</f>
        <v>50000</v>
      </c>
      <c r="AD490" s="32"/>
      <c r="AE490" s="32"/>
      <c r="AF490" s="32" t="str">
        <f>IFERROR(__xludf.DUMMYFUNCTION("""COMPUTED_VALUE"""),"++X2 Earth Damage for self. ++X2 Defense for self")</f>
        <v>++X2 Earth Damage for self. ++X2 Defense for self</v>
      </c>
      <c r="AG490" s="32" t="str">
        <f>IFERROR(__xludf.DUMMYFUNCTION("""COMPUTED_VALUE"""),"Land of Spira")</f>
        <v>Land of Spira</v>
      </c>
      <c r="AH490" s="32" t="b">
        <f>IFERROR(__xludf.DUMMYFUNCTION("""COMPUTED_VALUE"""),FALSE)</f>
        <v>0</v>
      </c>
      <c r="AI490" s="32"/>
      <c r="AJ490" s="32"/>
      <c r="AK490" s="32"/>
      <c r="AL490" s="32"/>
      <c r="AM490" s="32"/>
      <c r="AN490" s="32"/>
      <c r="AO490" s="32"/>
      <c r="AP490" s="32"/>
      <c r="AQ490" s="32"/>
      <c r="AR490" s="32"/>
      <c r="AS490" s="32"/>
      <c r="AT490" s="32"/>
      <c r="AU490" s="32"/>
      <c r="AV490" s="32"/>
      <c r="AW490" s="32"/>
      <c r="AX490" s="32"/>
    </row>
    <row r="491">
      <c r="A491" s="32" t="str">
        <f>IFERROR(__xludf.DUMMYFUNCTION("""COMPUTED_VALUE"""),"Gaia's Pauldrons")</f>
        <v>Gaia's Pauldrons</v>
      </c>
      <c r="B491" s="32" t="str">
        <f>IFERROR(__xludf.DUMMYFUNCTION("""COMPUTED_VALUE"""),"Shoulders")</f>
        <v>Shoulders</v>
      </c>
      <c r="C491" s="32" t="str">
        <f>IFERROR(__xludf.DUMMYFUNCTION("""COMPUTED_VALUE"""),"Mob Exclusive")</f>
        <v>Mob Exclusive</v>
      </c>
      <c r="D491" s="32"/>
      <c r="E491" s="32">
        <f>IFERROR(__xludf.DUMMYFUNCTION("""COMPUTED_VALUE"""),200.0)</f>
        <v>200</v>
      </c>
      <c r="F491" s="44">
        <f>IFERROR(__xludf.DUMMYFUNCTION("""COMPUTED_VALUE"""),3.6315E8)</f>
        <v>363150000</v>
      </c>
      <c r="G491" s="32" t="str">
        <f>IFERROR(__xludf.DUMMYFUNCTION("""COMPUTED_VALUE"""),"DEF")</f>
        <v>DEF</v>
      </c>
      <c r="H491" s="33">
        <f>IFERROR(__xludf.DUMMYFUNCTION("""COMPUTED_VALUE"""),50000.0)</f>
        <v>50000</v>
      </c>
      <c r="I491" s="33">
        <f>IFERROR(__xludf.DUMMYFUNCTION("""COMPUTED_VALUE"""),35000.0)</f>
        <v>35000</v>
      </c>
      <c r="J491" s="32"/>
      <c r="K491" s="32"/>
      <c r="L491" s="32"/>
      <c r="M491" s="32"/>
      <c r="N491" s="32"/>
      <c r="O491" s="32"/>
      <c r="P491" s="32"/>
      <c r="Q491" s="32"/>
      <c r="R491" s="32"/>
      <c r="S491" s="32"/>
      <c r="T491" s="32"/>
      <c r="U491" s="32"/>
      <c r="V491" s="32"/>
      <c r="W491" s="32"/>
      <c r="X491" s="32"/>
      <c r="Y491" s="32"/>
      <c r="Z491" s="32"/>
      <c r="AA491" s="32"/>
      <c r="AB491" s="32"/>
      <c r="AC491" s="33">
        <f>IFERROR(__xludf.DUMMYFUNCTION("""COMPUTED_VALUE"""),50000.0)</f>
        <v>50000</v>
      </c>
      <c r="AD491" s="32"/>
      <c r="AE491" s="32"/>
      <c r="AF491" s="32" t="str">
        <f>IFERROR(__xludf.DUMMYFUNCTION("""COMPUTED_VALUE"""),"++X2 Earth Damage for self. ++X2 Defense for self")</f>
        <v>++X2 Earth Damage for self. ++X2 Defense for self</v>
      </c>
      <c r="AG491" s="32" t="str">
        <f>IFERROR(__xludf.DUMMYFUNCTION("""COMPUTED_VALUE"""),"Land of Spira")</f>
        <v>Land of Spira</v>
      </c>
      <c r="AH491" s="32" t="b">
        <f>IFERROR(__xludf.DUMMYFUNCTION("""COMPUTED_VALUE"""),FALSE)</f>
        <v>0</v>
      </c>
      <c r="AI491" s="32"/>
      <c r="AJ491" s="32"/>
      <c r="AK491" s="32"/>
      <c r="AL491" s="32"/>
      <c r="AM491" s="32"/>
      <c r="AN491" s="32"/>
      <c r="AO491" s="32"/>
      <c r="AP491" s="32"/>
      <c r="AQ491" s="32"/>
      <c r="AR491" s="32"/>
      <c r="AS491" s="32"/>
      <c r="AT491" s="32"/>
      <c r="AU491" s="32"/>
      <c r="AV491" s="32"/>
      <c r="AW491" s="32"/>
      <c r="AX491" s="32"/>
    </row>
    <row r="492">
      <c r="A492" s="32" t="str">
        <f>IFERROR(__xludf.DUMMYFUNCTION("""COMPUTED_VALUE"""),"Gaia's Chestpiece")</f>
        <v>Gaia's Chestpiece</v>
      </c>
      <c r="B492" s="32" t="str">
        <f>IFERROR(__xludf.DUMMYFUNCTION("""COMPUTED_VALUE"""),"Torso")</f>
        <v>Torso</v>
      </c>
      <c r="C492" s="32" t="str">
        <f>IFERROR(__xludf.DUMMYFUNCTION("""COMPUTED_VALUE"""),"Mob Exclusive")</f>
        <v>Mob Exclusive</v>
      </c>
      <c r="D492" s="32"/>
      <c r="E492" s="32">
        <f>IFERROR(__xludf.DUMMYFUNCTION("""COMPUTED_VALUE"""),200.0)</f>
        <v>200</v>
      </c>
      <c r="F492" s="44">
        <f>IFERROR(__xludf.DUMMYFUNCTION("""COMPUTED_VALUE"""),1.4553E9)</f>
        <v>1455300000</v>
      </c>
      <c r="G492" s="32" t="str">
        <f>IFERROR(__xludf.DUMMYFUNCTION("""COMPUTED_VALUE"""),"DEF")</f>
        <v>DEF</v>
      </c>
      <c r="H492" s="33">
        <f>IFERROR(__xludf.DUMMYFUNCTION("""COMPUTED_VALUE"""),100000.0)</f>
        <v>100000</v>
      </c>
      <c r="I492" s="33">
        <f>IFERROR(__xludf.DUMMYFUNCTION("""COMPUTED_VALUE"""),70000.0)</f>
        <v>70000</v>
      </c>
      <c r="J492" s="32"/>
      <c r="K492" s="32"/>
      <c r="L492" s="32"/>
      <c r="M492" s="32"/>
      <c r="N492" s="32"/>
      <c r="O492" s="32"/>
      <c r="P492" s="32"/>
      <c r="Q492" s="32"/>
      <c r="R492" s="32"/>
      <c r="S492" s="32"/>
      <c r="T492" s="32"/>
      <c r="U492" s="32"/>
      <c r="V492" s="32"/>
      <c r="W492" s="32"/>
      <c r="X492" s="32"/>
      <c r="Y492" s="32"/>
      <c r="Z492" s="32"/>
      <c r="AA492" s="32"/>
      <c r="AB492" s="32"/>
      <c r="AC492" s="33">
        <f>IFERROR(__xludf.DUMMYFUNCTION("""COMPUTED_VALUE"""),100000.0)</f>
        <v>100000</v>
      </c>
      <c r="AD492" s="32"/>
      <c r="AE492" s="32"/>
      <c r="AF492" s="32" t="str">
        <f>IFERROR(__xludf.DUMMYFUNCTION("""COMPUTED_VALUE"""),"++X2 Earth Damage for self. ++X2 Defense for self")</f>
        <v>++X2 Earth Damage for self. ++X2 Defense for self</v>
      </c>
      <c r="AG492" s="32" t="str">
        <f>IFERROR(__xludf.DUMMYFUNCTION("""COMPUTED_VALUE"""),"Land of Spira")</f>
        <v>Land of Spira</v>
      </c>
      <c r="AH492" s="32" t="b">
        <f>IFERROR(__xludf.DUMMYFUNCTION("""COMPUTED_VALUE"""),FALSE)</f>
        <v>0</v>
      </c>
      <c r="AI492" s="32"/>
      <c r="AJ492" s="32"/>
      <c r="AK492" s="32"/>
      <c r="AL492" s="32"/>
      <c r="AM492" s="32"/>
      <c r="AN492" s="32"/>
      <c r="AO492" s="32"/>
      <c r="AP492" s="32"/>
      <c r="AQ492" s="32"/>
      <c r="AR492" s="32"/>
      <c r="AS492" s="32"/>
      <c r="AT492" s="32"/>
      <c r="AU492" s="32"/>
      <c r="AV492" s="32"/>
      <c r="AW492" s="32"/>
      <c r="AX492" s="32"/>
    </row>
    <row r="493">
      <c r="A493" s="32" t="str">
        <f>IFERROR(__xludf.DUMMYFUNCTION("""COMPUTED_VALUE"""),"Gaia's Ring")</f>
        <v>Gaia's Ring</v>
      </c>
      <c r="B493" s="32" t="str">
        <f>IFERROR(__xludf.DUMMYFUNCTION("""COMPUTED_VALUE"""),"Ring")</f>
        <v>Ring</v>
      </c>
      <c r="C493" s="32" t="str">
        <f>IFERROR(__xludf.DUMMYFUNCTION("""COMPUTED_VALUE"""),"Mob Exclusive")</f>
        <v>Mob Exclusive</v>
      </c>
      <c r="D493" s="32"/>
      <c r="E493" s="32">
        <f>IFERROR(__xludf.DUMMYFUNCTION("""COMPUTED_VALUE"""),1.0)</f>
        <v>1</v>
      </c>
      <c r="F493" s="44">
        <f>IFERROR(__xludf.DUMMYFUNCTION("""COMPUTED_VALUE"""),0.0)</f>
        <v>0</v>
      </c>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t="str">
        <f>IFERROR(__xludf.DUMMYFUNCTION("""COMPUTED_VALUE"""),"++X4 defense for self and allies, 50 sp")</f>
        <v>++X4 defense for self and allies, 50 sp</v>
      </c>
      <c r="AG493" s="32" t="str">
        <f>IFERROR(__xludf.DUMMYFUNCTION("""COMPUTED_VALUE"""),"Land of Spira")</f>
        <v>Land of Spira</v>
      </c>
      <c r="AH493" s="32" t="b">
        <f>IFERROR(__xludf.DUMMYFUNCTION("""COMPUTED_VALUE"""),FALSE)</f>
        <v>0</v>
      </c>
      <c r="AI493" s="32"/>
      <c r="AJ493" s="32"/>
      <c r="AK493" s="32"/>
      <c r="AL493" s="32"/>
      <c r="AM493" s="32"/>
      <c r="AN493" s="32"/>
      <c r="AO493" s="32"/>
      <c r="AP493" s="32"/>
      <c r="AQ493" s="32"/>
      <c r="AR493" s="32"/>
      <c r="AS493" s="32"/>
      <c r="AT493" s="32"/>
      <c r="AU493" s="32"/>
      <c r="AV493" s="32"/>
      <c r="AW493" s="32"/>
      <c r="AX493" s="32"/>
    </row>
    <row r="494">
      <c r="A494" s="32" t="str">
        <f>IFERROR(__xludf.DUMMYFUNCTION("""COMPUTED_VALUE"""),"Paladin of Gaia's Bucket helm of Tenacity")</f>
        <v>Paladin of Gaia's Bucket helm of Tenacity</v>
      </c>
      <c r="B494" s="32" t="str">
        <f>IFERROR(__xludf.DUMMYFUNCTION("""COMPUTED_VALUE"""),"Head")</f>
        <v>Head</v>
      </c>
      <c r="C494" s="32" t="str">
        <f>IFERROR(__xludf.DUMMYFUNCTION("""COMPUTED_VALUE"""),"Quest Item")</f>
        <v>Quest Item</v>
      </c>
      <c r="D494" s="32"/>
      <c r="E494" s="32">
        <f>IFERROR(__xludf.DUMMYFUNCTION("""COMPUTED_VALUE"""),200.0)</f>
        <v>200</v>
      </c>
      <c r="F494" s="44">
        <f>IFERROR(__xludf.DUMMYFUNCTION("""COMPUTED_VALUE"""),1.272E8)</f>
        <v>127200000</v>
      </c>
      <c r="G494" s="32" t="str">
        <f>IFERROR(__xludf.DUMMYFUNCTION("""COMPUTED_VALUE"""),"DEF")</f>
        <v>DEF</v>
      </c>
      <c r="H494" s="33">
        <f>IFERROR(__xludf.DUMMYFUNCTION("""COMPUTED_VALUE"""),20000.0)</f>
        <v>20000</v>
      </c>
      <c r="I494" s="33">
        <f>IFERROR(__xludf.DUMMYFUNCTION("""COMPUTED_VALUE"""),5000.0)</f>
        <v>5000</v>
      </c>
      <c r="J494" s="32"/>
      <c r="K494" s="32"/>
      <c r="L494" s="32"/>
      <c r="M494" s="33">
        <f>IFERROR(__xludf.DUMMYFUNCTION("""COMPUTED_VALUE"""),35000.0)</f>
        <v>35000</v>
      </c>
      <c r="N494" s="32"/>
      <c r="O494" s="32"/>
      <c r="P494" s="32"/>
      <c r="Q494" s="32"/>
      <c r="R494" s="32"/>
      <c r="S494" s="32"/>
      <c r="T494" s="32"/>
      <c r="U494" s="32"/>
      <c r="V494" s="32"/>
      <c r="W494" s="32"/>
      <c r="X494" s="32"/>
      <c r="Y494" s="32"/>
      <c r="Z494" s="32"/>
      <c r="AA494" s="32"/>
      <c r="AB494" s="32"/>
      <c r="AC494" s="33">
        <f>IFERROR(__xludf.DUMMYFUNCTION("""COMPUTED_VALUE"""),20000.0)</f>
        <v>20000</v>
      </c>
      <c r="AD494" s="32"/>
      <c r="AE494" s="32"/>
      <c r="AF494" s="32"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32" t="str">
        <f>IFERROR(__xludf.DUMMYFUNCTION("""COMPUTED_VALUE"""),"Land of Spira")</f>
        <v>Land of Spira</v>
      </c>
      <c r="AH494" s="32" t="b">
        <f>IFERROR(__xludf.DUMMYFUNCTION("""COMPUTED_VALUE"""),FALSE)</f>
        <v>0</v>
      </c>
      <c r="AI494" s="32"/>
      <c r="AJ494" s="32"/>
      <c r="AK494" s="32"/>
      <c r="AL494" s="32"/>
      <c r="AM494" s="32"/>
      <c r="AN494" s="32"/>
      <c r="AO494" s="32"/>
      <c r="AP494" s="32"/>
      <c r="AQ494" s="32"/>
      <c r="AR494" s="32"/>
      <c r="AS494" s="32"/>
      <c r="AT494" s="32"/>
      <c r="AU494" s="32"/>
      <c r="AV494" s="32"/>
      <c r="AW494" s="32"/>
      <c r="AX494" s="32"/>
    </row>
    <row r="495">
      <c r="A495" s="32" t="str">
        <f>IFERROR(__xludf.DUMMYFUNCTION("""COMPUTED_VALUE"""),"Paladin of Gaia's Stone Pauldrons")</f>
        <v>Paladin of Gaia's Stone Pauldrons</v>
      </c>
      <c r="B495" s="32" t="str">
        <f>IFERROR(__xludf.DUMMYFUNCTION("""COMPUTED_VALUE"""),"Shoulders")</f>
        <v>Shoulders</v>
      </c>
      <c r="C495" s="32" t="str">
        <f>IFERROR(__xludf.DUMMYFUNCTION("""COMPUTED_VALUE"""),"Quest Item")</f>
        <v>Quest Item</v>
      </c>
      <c r="D495" s="32"/>
      <c r="E495" s="32">
        <f>IFERROR(__xludf.DUMMYFUNCTION("""COMPUTED_VALUE"""),200.0)</f>
        <v>200</v>
      </c>
      <c r="F495" s="44">
        <f>IFERROR(__xludf.DUMMYFUNCTION("""COMPUTED_VALUE"""),1.272E8)</f>
        <v>127200000</v>
      </c>
      <c r="G495" s="32" t="str">
        <f>IFERROR(__xludf.DUMMYFUNCTION("""COMPUTED_VALUE"""),"DEF")</f>
        <v>DEF</v>
      </c>
      <c r="H495" s="33">
        <f>IFERROR(__xludf.DUMMYFUNCTION("""COMPUTED_VALUE"""),20000.0)</f>
        <v>20000</v>
      </c>
      <c r="I495" s="33">
        <f>IFERROR(__xludf.DUMMYFUNCTION("""COMPUTED_VALUE"""),5000.0)</f>
        <v>5000</v>
      </c>
      <c r="J495" s="32"/>
      <c r="K495" s="32"/>
      <c r="L495" s="32"/>
      <c r="M495" s="33">
        <f>IFERROR(__xludf.DUMMYFUNCTION("""COMPUTED_VALUE"""),35000.0)</f>
        <v>35000</v>
      </c>
      <c r="N495" s="32"/>
      <c r="O495" s="32"/>
      <c r="P495" s="32"/>
      <c r="Q495" s="32"/>
      <c r="R495" s="32"/>
      <c r="S495" s="32"/>
      <c r="T495" s="32"/>
      <c r="U495" s="32"/>
      <c r="V495" s="32"/>
      <c r="W495" s="32"/>
      <c r="X495" s="32"/>
      <c r="Y495" s="32"/>
      <c r="Z495" s="32"/>
      <c r="AA495" s="32"/>
      <c r="AB495" s="32"/>
      <c r="AC495" s="33">
        <f>IFERROR(__xludf.DUMMYFUNCTION("""COMPUTED_VALUE"""),20000.0)</f>
        <v>20000</v>
      </c>
      <c r="AD495" s="32"/>
      <c r="AE495" s="32"/>
      <c r="AF495" s="32" t="str">
        <f>IFERROR(__xludf.DUMMYFUNCTION("""COMPUTED_VALUE"""),"++Blessing of Stone I: 2X Earth Damage +-(Paladin or Knight Class Only)")</f>
        <v>++Blessing of Stone I: 2X Earth Damage +-(Paladin or Knight Class Only)</v>
      </c>
      <c r="AG495" s="32" t="str">
        <f>IFERROR(__xludf.DUMMYFUNCTION("""COMPUTED_VALUE"""),"Land of Spira")</f>
        <v>Land of Spira</v>
      </c>
      <c r="AH495" s="32" t="b">
        <f>IFERROR(__xludf.DUMMYFUNCTION("""COMPUTED_VALUE"""),FALSE)</f>
        <v>0</v>
      </c>
      <c r="AI495" s="32"/>
      <c r="AJ495" s="32"/>
      <c r="AK495" s="32"/>
      <c r="AL495" s="32"/>
      <c r="AM495" s="32"/>
      <c r="AN495" s="32"/>
      <c r="AO495" s="32"/>
      <c r="AP495" s="32"/>
      <c r="AQ495" s="32"/>
      <c r="AR495" s="32"/>
      <c r="AS495" s="32"/>
      <c r="AT495" s="32"/>
      <c r="AU495" s="32"/>
      <c r="AV495" s="32"/>
      <c r="AW495" s="32"/>
      <c r="AX495" s="32"/>
    </row>
    <row r="496">
      <c r="A496" s="32" t="str">
        <f>IFERROR(__xludf.DUMMYFUNCTION("""COMPUTED_VALUE"""),"Paladin of Gaia's Emblazoned Chestpiece")</f>
        <v>Paladin of Gaia's Emblazoned Chestpiece</v>
      </c>
      <c r="B496" s="32" t="str">
        <f>IFERROR(__xludf.DUMMYFUNCTION("""COMPUTED_VALUE"""),"Torso")</f>
        <v>Torso</v>
      </c>
      <c r="C496" s="32" t="str">
        <f>IFERROR(__xludf.DUMMYFUNCTION("""COMPUTED_VALUE"""),"Quest Item")</f>
        <v>Quest Item</v>
      </c>
      <c r="D496" s="32"/>
      <c r="E496" s="32">
        <f>IFERROR(__xludf.DUMMYFUNCTION("""COMPUTED_VALUE"""),200.0)</f>
        <v>200</v>
      </c>
      <c r="F496" s="44">
        <f>IFERROR(__xludf.DUMMYFUNCTION("""COMPUTED_VALUE"""),7.201E8)</f>
        <v>720100000</v>
      </c>
      <c r="G496" s="32" t="str">
        <f>IFERROR(__xludf.DUMMYFUNCTION("""COMPUTED_VALUE"""),"DEF")</f>
        <v>DEF</v>
      </c>
      <c r="H496" s="33">
        <f>IFERROR(__xludf.DUMMYFUNCTION("""COMPUTED_VALUE"""),50000.0)</f>
        <v>50000</v>
      </c>
      <c r="I496" s="33">
        <f>IFERROR(__xludf.DUMMYFUNCTION("""COMPUTED_VALUE"""),20000.0)</f>
        <v>20000</v>
      </c>
      <c r="J496" s="32"/>
      <c r="K496" s="32"/>
      <c r="L496" s="32"/>
      <c r="M496" s="33">
        <f>IFERROR(__xludf.DUMMYFUNCTION("""COMPUTED_VALUE"""),70000.0)</f>
        <v>70000</v>
      </c>
      <c r="N496" s="32"/>
      <c r="O496" s="32"/>
      <c r="P496" s="32"/>
      <c r="Q496" s="32"/>
      <c r="R496" s="32"/>
      <c r="S496" s="32"/>
      <c r="T496" s="32"/>
      <c r="U496" s="32"/>
      <c r="V496" s="32"/>
      <c r="W496" s="32"/>
      <c r="X496" s="32"/>
      <c r="Y496" s="32"/>
      <c r="Z496" s="32"/>
      <c r="AA496" s="32"/>
      <c r="AB496" s="32"/>
      <c r="AC496" s="33">
        <f>IFERROR(__xludf.DUMMYFUNCTION("""COMPUTED_VALUE"""),50000.0)</f>
        <v>50000</v>
      </c>
      <c r="AD496" s="32"/>
      <c r="AE496" s="32"/>
      <c r="AF496" s="32" t="str">
        <f>IFERROR(__xludf.DUMMYFUNCTION("""COMPUTED_VALUE"""),"++X2 defense for self and allies +-Paladin or Knight Class Only +-Can only equip one")</f>
        <v>++X2 defense for self and allies +-Paladin or Knight Class Only +-Can only equip one</v>
      </c>
      <c r="AG496" s="32" t="str">
        <f>IFERROR(__xludf.DUMMYFUNCTION("""COMPUTED_VALUE"""),"Land of Spira")</f>
        <v>Land of Spira</v>
      </c>
      <c r="AH496" s="32" t="b">
        <f>IFERROR(__xludf.DUMMYFUNCTION("""COMPUTED_VALUE"""),FALSE)</f>
        <v>0</v>
      </c>
      <c r="AI496" s="32"/>
      <c r="AJ496" s="32"/>
      <c r="AK496" s="32"/>
      <c r="AL496" s="32"/>
      <c r="AM496" s="32"/>
      <c r="AN496" s="32"/>
      <c r="AO496" s="32"/>
      <c r="AP496" s="32"/>
      <c r="AQ496" s="32"/>
      <c r="AR496" s="32"/>
      <c r="AS496" s="32"/>
      <c r="AT496" s="32"/>
      <c r="AU496" s="32"/>
      <c r="AV496" s="32"/>
      <c r="AW496" s="32"/>
      <c r="AX496" s="32"/>
    </row>
    <row r="497">
      <c r="A497" s="32" t="str">
        <f>IFERROR(__xludf.DUMMYFUNCTION("""COMPUTED_VALUE"""),"Paladin of Gaia's Vambraces")</f>
        <v>Paladin of Gaia's Vambraces</v>
      </c>
      <c r="B497" s="32" t="str">
        <f>IFERROR(__xludf.DUMMYFUNCTION("""COMPUTED_VALUE"""),"Arms")</f>
        <v>Arms</v>
      </c>
      <c r="C497" s="32" t="str">
        <f>IFERROR(__xludf.DUMMYFUNCTION("""COMPUTED_VALUE"""),"Quest Item")</f>
        <v>Quest Item</v>
      </c>
      <c r="D497" s="32"/>
      <c r="E497" s="32">
        <f>IFERROR(__xludf.DUMMYFUNCTION("""COMPUTED_VALUE"""),200.0)</f>
        <v>200</v>
      </c>
      <c r="F497" s="44">
        <f>IFERROR(__xludf.DUMMYFUNCTION("""COMPUTED_VALUE"""),1.272E8)</f>
        <v>127200000</v>
      </c>
      <c r="G497" s="32" t="str">
        <f>IFERROR(__xludf.DUMMYFUNCTION("""COMPUTED_VALUE"""),"DEF")</f>
        <v>DEF</v>
      </c>
      <c r="H497" s="33">
        <f>IFERROR(__xludf.DUMMYFUNCTION("""COMPUTED_VALUE"""),20000.0)</f>
        <v>20000</v>
      </c>
      <c r="I497" s="33">
        <f>IFERROR(__xludf.DUMMYFUNCTION("""COMPUTED_VALUE"""),5000.0)</f>
        <v>5000</v>
      </c>
      <c r="J497" s="32"/>
      <c r="K497" s="32"/>
      <c r="L497" s="32"/>
      <c r="M497" s="33">
        <f>IFERROR(__xludf.DUMMYFUNCTION("""COMPUTED_VALUE"""),35000.0)</f>
        <v>35000</v>
      </c>
      <c r="N497" s="32"/>
      <c r="O497" s="32"/>
      <c r="P497" s="32"/>
      <c r="Q497" s="32"/>
      <c r="R497" s="32"/>
      <c r="S497" s="32"/>
      <c r="T497" s="32"/>
      <c r="U497" s="32"/>
      <c r="V497" s="32"/>
      <c r="W497" s="32"/>
      <c r="X497" s="32"/>
      <c r="Y497" s="32"/>
      <c r="Z497" s="32"/>
      <c r="AA497" s="32"/>
      <c r="AB497" s="32"/>
      <c r="AC497" s="33">
        <f>IFERROR(__xludf.DUMMYFUNCTION("""COMPUTED_VALUE"""),20000.0)</f>
        <v>20000</v>
      </c>
      <c r="AD497" s="32"/>
      <c r="AE497" s="32"/>
      <c r="AF497" s="32" t="str">
        <f>IFERROR(__xludf.DUMMYFUNCTION("""COMPUTED_VALUE"""),"++X2 defense for self and allies +-Paladin or Knight Class Only +-Can only equip one")</f>
        <v>++X2 defense for self and allies +-Paladin or Knight Class Only +-Can only equip one</v>
      </c>
      <c r="AG497" s="32" t="str">
        <f>IFERROR(__xludf.DUMMYFUNCTION("""COMPUTED_VALUE"""),"Land of Spira")</f>
        <v>Land of Spira</v>
      </c>
      <c r="AH497" s="32" t="b">
        <f>IFERROR(__xludf.DUMMYFUNCTION("""COMPUTED_VALUE"""),FALSE)</f>
        <v>0</v>
      </c>
      <c r="AI497" s="32"/>
      <c r="AJ497" s="32"/>
      <c r="AK497" s="32"/>
      <c r="AL497" s="32"/>
      <c r="AM497" s="32"/>
      <c r="AN497" s="32"/>
      <c r="AO497" s="32"/>
      <c r="AP497" s="32"/>
      <c r="AQ497" s="32"/>
      <c r="AR497" s="32"/>
      <c r="AS497" s="32"/>
      <c r="AT497" s="32"/>
      <c r="AU497" s="32"/>
      <c r="AV497" s="32"/>
      <c r="AW497" s="32"/>
      <c r="AX497" s="32"/>
    </row>
    <row r="498">
      <c r="A498" s="32" t="str">
        <f>IFERROR(__xludf.DUMMYFUNCTION("""COMPUTED_VALUE"""),"Paladin of Gaia's Plate Chausses")</f>
        <v>Paladin of Gaia's Plate Chausses</v>
      </c>
      <c r="B498" s="32" t="str">
        <f>IFERROR(__xludf.DUMMYFUNCTION("""COMPUTED_VALUE"""),"Legs")</f>
        <v>Legs</v>
      </c>
      <c r="C498" s="32" t="str">
        <f>IFERROR(__xludf.DUMMYFUNCTION("""COMPUTED_VALUE"""),"Quest Item")</f>
        <v>Quest Item</v>
      </c>
      <c r="D498" s="32"/>
      <c r="E498" s="32">
        <f>IFERROR(__xludf.DUMMYFUNCTION("""COMPUTED_VALUE"""),200.0)</f>
        <v>200</v>
      </c>
      <c r="F498" s="44">
        <f>IFERROR(__xludf.DUMMYFUNCTION("""COMPUTED_VALUE"""),1.272E8)</f>
        <v>127200000</v>
      </c>
      <c r="G498" s="32" t="str">
        <f>IFERROR(__xludf.DUMMYFUNCTION("""COMPUTED_VALUE"""),"DEF")</f>
        <v>DEF</v>
      </c>
      <c r="H498" s="33">
        <f>IFERROR(__xludf.DUMMYFUNCTION("""COMPUTED_VALUE"""),20000.0)</f>
        <v>20000</v>
      </c>
      <c r="I498" s="33">
        <f>IFERROR(__xludf.DUMMYFUNCTION("""COMPUTED_VALUE"""),5000.0)</f>
        <v>5000</v>
      </c>
      <c r="J498" s="32"/>
      <c r="K498" s="32"/>
      <c r="L498" s="32"/>
      <c r="M498" s="33">
        <f>IFERROR(__xludf.DUMMYFUNCTION("""COMPUTED_VALUE"""),35000.0)</f>
        <v>35000</v>
      </c>
      <c r="N498" s="32"/>
      <c r="O498" s="32"/>
      <c r="P498" s="32"/>
      <c r="Q498" s="32"/>
      <c r="R498" s="32"/>
      <c r="S498" s="32"/>
      <c r="T498" s="32"/>
      <c r="U498" s="32"/>
      <c r="V498" s="32"/>
      <c r="W498" s="32"/>
      <c r="X498" s="32"/>
      <c r="Y498" s="32"/>
      <c r="Z498" s="32"/>
      <c r="AA498" s="32"/>
      <c r="AB498" s="32"/>
      <c r="AC498" s="33">
        <f>IFERROR(__xludf.DUMMYFUNCTION("""COMPUTED_VALUE"""),20000.0)</f>
        <v>20000</v>
      </c>
      <c r="AD498" s="32"/>
      <c r="AE498" s="32"/>
      <c r="AF498" s="32" t="str">
        <f>IFERROR(__xludf.DUMMYFUNCTION("""COMPUTED_VALUE"""),"++Blessing of Stone I: 2X Earth Damage +-Paladin or Knight Class Only +-Can only equip one")</f>
        <v>++Blessing of Stone I: 2X Earth Damage +-Paladin or Knight Class Only +-Can only equip one</v>
      </c>
      <c r="AG498" s="32" t="str">
        <f>IFERROR(__xludf.DUMMYFUNCTION("""COMPUTED_VALUE"""),"Land of Spira")</f>
        <v>Land of Spira</v>
      </c>
      <c r="AH498" s="32" t="b">
        <f>IFERROR(__xludf.DUMMYFUNCTION("""COMPUTED_VALUE"""),FALSE)</f>
        <v>0</v>
      </c>
      <c r="AI498" s="32"/>
      <c r="AJ498" s="32"/>
      <c r="AK498" s="32"/>
      <c r="AL498" s="32"/>
      <c r="AM498" s="32"/>
      <c r="AN498" s="32"/>
      <c r="AO498" s="32"/>
      <c r="AP498" s="32"/>
      <c r="AQ498" s="32"/>
      <c r="AR498" s="32"/>
      <c r="AS498" s="32"/>
      <c r="AT498" s="32"/>
      <c r="AU498" s="32"/>
      <c r="AV498" s="32"/>
      <c r="AW498" s="32"/>
      <c r="AX498" s="32"/>
    </row>
    <row r="499">
      <c r="A499" s="32" t="str">
        <f>IFERROR(__xludf.DUMMYFUNCTION("""COMPUTED_VALUE"""),"Paladin of Gaia's Sabatons")</f>
        <v>Paladin of Gaia's Sabatons</v>
      </c>
      <c r="B499" s="32" t="str">
        <f>IFERROR(__xludf.DUMMYFUNCTION("""COMPUTED_VALUE"""),"Feet")</f>
        <v>Feet</v>
      </c>
      <c r="C499" s="32" t="str">
        <f>IFERROR(__xludf.DUMMYFUNCTION("""COMPUTED_VALUE"""),"Quest Item")</f>
        <v>Quest Item</v>
      </c>
      <c r="D499" s="32"/>
      <c r="E499" s="32">
        <f>IFERROR(__xludf.DUMMYFUNCTION("""COMPUTED_VALUE"""),200.0)</f>
        <v>200</v>
      </c>
      <c r="F499" s="44">
        <f>IFERROR(__xludf.DUMMYFUNCTION("""COMPUTED_VALUE"""),1.272E8)</f>
        <v>127200000</v>
      </c>
      <c r="G499" s="32" t="str">
        <f>IFERROR(__xludf.DUMMYFUNCTION("""COMPUTED_VALUE"""),"DEF")</f>
        <v>DEF</v>
      </c>
      <c r="H499" s="33">
        <f>IFERROR(__xludf.DUMMYFUNCTION("""COMPUTED_VALUE"""),20000.0)</f>
        <v>20000</v>
      </c>
      <c r="I499" s="33">
        <f>IFERROR(__xludf.DUMMYFUNCTION("""COMPUTED_VALUE"""),5000.0)</f>
        <v>5000</v>
      </c>
      <c r="J499" s="32"/>
      <c r="K499" s="32"/>
      <c r="L499" s="32"/>
      <c r="M499" s="33">
        <f>IFERROR(__xludf.DUMMYFUNCTION("""COMPUTED_VALUE"""),35000.0)</f>
        <v>35000</v>
      </c>
      <c r="N499" s="32"/>
      <c r="O499" s="32"/>
      <c r="P499" s="32"/>
      <c r="Q499" s="32"/>
      <c r="R499" s="32"/>
      <c r="S499" s="32"/>
      <c r="T499" s="32"/>
      <c r="U499" s="32"/>
      <c r="V499" s="32"/>
      <c r="W499" s="32"/>
      <c r="X499" s="32"/>
      <c r="Y499" s="32"/>
      <c r="Z499" s="32"/>
      <c r="AA499" s="32"/>
      <c r="AB499" s="32"/>
      <c r="AC499" s="33">
        <f>IFERROR(__xludf.DUMMYFUNCTION("""COMPUTED_VALUE"""),20000.0)</f>
        <v>20000</v>
      </c>
      <c r="AD499" s="32"/>
      <c r="AE499" s="32"/>
      <c r="AF499" s="32" t="str">
        <f>IFERROR(__xludf.DUMMYFUNCTION("""COMPUTED_VALUE"""),"++Blessing of Stone I: 2X Earth Damage +-Paladin or Knight Class Only +-Can only equip one")</f>
        <v>++Blessing of Stone I: 2X Earth Damage +-Paladin or Knight Class Only +-Can only equip one</v>
      </c>
      <c r="AG499" s="32" t="str">
        <f>IFERROR(__xludf.DUMMYFUNCTION("""COMPUTED_VALUE"""),"Land of Spira")</f>
        <v>Land of Spira</v>
      </c>
      <c r="AH499" s="32" t="b">
        <f>IFERROR(__xludf.DUMMYFUNCTION("""COMPUTED_VALUE"""),FALSE)</f>
        <v>0</v>
      </c>
      <c r="AI499" s="32"/>
      <c r="AJ499" s="32"/>
      <c r="AK499" s="32"/>
      <c r="AL499" s="32"/>
      <c r="AM499" s="32"/>
      <c r="AN499" s="32"/>
      <c r="AO499" s="32"/>
      <c r="AP499" s="32"/>
      <c r="AQ499" s="32"/>
      <c r="AR499" s="32"/>
      <c r="AS499" s="32"/>
      <c r="AT499" s="32"/>
      <c r="AU499" s="32"/>
      <c r="AV499" s="32"/>
      <c r="AW499" s="32"/>
      <c r="AX499" s="32"/>
    </row>
    <row r="500">
      <c r="A500" s="32" t="str">
        <f>IFERROR(__xludf.DUMMYFUNCTION("""COMPUTED_VALUE"""),"Paladin of Gaia's Ruby Ring")</f>
        <v>Paladin of Gaia's Ruby Ring</v>
      </c>
      <c r="B500" s="32" t="str">
        <f>IFERROR(__xludf.DUMMYFUNCTION("""COMPUTED_VALUE"""),"Ring")</f>
        <v>Ring</v>
      </c>
      <c r="C500" s="32" t="str">
        <f>IFERROR(__xludf.DUMMYFUNCTION("""COMPUTED_VALUE"""),"Quest Item")</f>
        <v>Quest Item</v>
      </c>
      <c r="D500" s="32"/>
      <c r="E500" s="32">
        <f>IFERROR(__xludf.DUMMYFUNCTION("""COMPUTED_VALUE"""),1.0)</f>
        <v>1</v>
      </c>
      <c r="F500" s="44">
        <f>IFERROR(__xludf.DUMMYFUNCTION("""COMPUTED_VALUE"""),0.0)</f>
        <v>0</v>
      </c>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32" t="str">
        <f>IFERROR(__xludf.DUMMYFUNCTION("""COMPUTED_VALUE"""),"Land of Spira")</f>
        <v>Land of Spira</v>
      </c>
      <c r="AH500" s="32" t="b">
        <f>IFERROR(__xludf.DUMMYFUNCTION("""COMPUTED_VALUE"""),FALSE)</f>
        <v>0</v>
      </c>
      <c r="AI500" s="32"/>
      <c r="AJ500" s="32"/>
      <c r="AK500" s="32"/>
      <c r="AL500" s="32"/>
      <c r="AM500" s="32"/>
      <c r="AN500" s="32"/>
      <c r="AO500" s="32"/>
      <c r="AP500" s="32"/>
      <c r="AQ500" s="32"/>
      <c r="AR500" s="32"/>
      <c r="AS500" s="32"/>
      <c r="AT500" s="32"/>
      <c r="AU500" s="32"/>
      <c r="AV500" s="32"/>
      <c r="AW500" s="32"/>
      <c r="AX500" s="32"/>
    </row>
    <row r="501">
      <c r="A501" s="32" t="str">
        <f>IFERROR(__xludf.DUMMYFUNCTION("""COMPUTED_VALUE"""),"Paladin of Gaia's Emerald Pendant")</f>
        <v>Paladin of Gaia's Emerald Pendant</v>
      </c>
      <c r="B501" s="32" t="str">
        <f>IFERROR(__xludf.DUMMYFUNCTION("""COMPUTED_VALUE"""),"Neck")</f>
        <v>Neck</v>
      </c>
      <c r="C501" s="32" t="str">
        <f>IFERROR(__xludf.DUMMYFUNCTION("""COMPUTED_VALUE"""),"Quest Item")</f>
        <v>Quest Item</v>
      </c>
      <c r="D501" s="32"/>
      <c r="E501" s="32">
        <f>IFERROR(__xludf.DUMMYFUNCTION("""COMPUTED_VALUE"""),1.0)</f>
        <v>1</v>
      </c>
      <c r="F501" s="44">
        <f>IFERROR(__xludf.DUMMYFUNCTION("""COMPUTED_VALUE"""),0.0)</f>
        <v>0</v>
      </c>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32" t="str">
        <f>IFERROR(__xludf.DUMMYFUNCTION("""COMPUTED_VALUE"""),"Land of Spira")</f>
        <v>Land of Spira</v>
      </c>
      <c r="AH501" s="32" t="b">
        <f>IFERROR(__xludf.DUMMYFUNCTION("""COMPUTED_VALUE"""),FALSE)</f>
        <v>0</v>
      </c>
      <c r="AI501" s="32"/>
      <c r="AJ501" s="32"/>
      <c r="AK501" s="32"/>
      <c r="AL501" s="32"/>
      <c r="AM501" s="32"/>
      <c r="AN501" s="32"/>
      <c r="AO501" s="32"/>
      <c r="AP501" s="32"/>
      <c r="AQ501" s="32"/>
      <c r="AR501" s="32"/>
      <c r="AS501" s="32"/>
      <c r="AT501" s="32"/>
      <c r="AU501" s="32"/>
      <c r="AV501" s="32"/>
      <c r="AW501" s="32"/>
      <c r="AX501" s="32"/>
    </row>
    <row r="502">
      <c r="A502" s="32" t="str">
        <f>IFERROR(__xludf.DUMMYFUNCTION("""COMPUTED_VALUE"""),"The Blacksmith's Forged Battleaxe ")</f>
        <v>The Blacksmith's Forged Battleaxe </v>
      </c>
      <c r="B502" s="32" t="str">
        <f>IFERROR(__xludf.DUMMYFUNCTION("""COMPUTED_VALUE"""),"Hand")</f>
        <v>Hand</v>
      </c>
      <c r="C502" s="32" t="str">
        <f>IFERROR(__xludf.DUMMYFUNCTION("""COMPUTED_VALUE"""),"Mob Exclusive")</f>
        <v>Mob Exclusive</v>
      </c>
      <c r="D502" s="32" t="str">
        <f>IFERROR(__xludf.DUMMYFUNCTION("""COMPUTED_VALUE"""),"Axe")</f>
        <v>Axe</v>
      </c>
      <c r="E502" s="32">
        <f>IFERROR(__xludf.DUMMYFUNCTION("""COMPUTED_VALUE"""),200.0)</f>
        <v>200</v>
      </c>
      <c r="F502" s="44">
        <f>IFERROR(__xludf.DUMMYFUNCTION("""COMPUTED_VALUE"""),1.2475E9)</f>
        <v>1247500000</v>
      </c>
      <c r="G502" s="32" t="str">
        <f>IFERROR(__xludf.DUMMYFUNCTION("""COMPUTED_VALUE"""),"DMG")</f>
        <v>DMG</v>
      </c>
      <c r="H502" s="33">
        <f>IFERROR(__xludf.DUMMYFUNCTION("""COMPUTED_VALUE"""),100000.0)</f>
        <v>100000</v>
      </c>
      <c r="I502" s="33">
        <f>IFERROR(__xludf.DUMMYFUNCTION("""COMPUTED_VALUE"""),100000.0)</f>
        <v>100000</v>
      </c>
      <c r="J502" s="32"/>
      <c r="K502" s="32"/>
      <c r="L502" s="32"/>
      <c r="M502" s="32"/>
      <c r="N502" s="32"/>
      <c r="O502" s="32"/>
      <c r="P502" s="32"/>
      <c r="Q502" s="32"/>
      <c r="R502" s="32"/>
      <c r="S502" s="32"/>
      <c r="T502" s="32"/>
      <c r="U502" s="32"/>
      <c r="V502" s="32"/>
      <c r="W502" s="32"/>
      <c r="X502" s="32"/>
      <c r="Y502" s="32"/>
      <c r="Z502" s="32"/>
      <c r="AA502" s="32"/>
      <c r="AB502" s="32"/>
      <c r="AC502" s="33">
        <f>IFERROR(__xludf.DUMMYFUNCTION("""COMPUTED_VALUE"""),50000.0)</f>
        <v>50000</v>
      </c>
      <c r="AD502" s="32"/>
      <c r="AE502" s="32"/>
      <c r="AF502" s="32"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32" t="str">
        <f>IFERROR(__xludf.DUMMYFUNCTION("""COMPUTED_VALUE"""),"Land of Spira")</f>
        <v>Land of Spira</v>
      </c>
      <c r="AH502" s="32" t="b">
        <f>IFERROR(__xludf.DUMMYFUNCTION("""COMPUTED_VALUE"""),FALSE)</f>
        <v>0</v>
      </c>
      <c r="AI502" s="32"/>
      <c r="AJ502" s="32"/>
      <c r="AK502" s="32"/>
      <c r="AL502" s="32"/>
      <c r="AM502" s="32"/>
      <c r="AN502" s="32"/>
      <c r="AO502" s="32"/>
      <c r="AP502" s="32"/>
      <c r="AQ502" s="32"/>
      <c r="AR502" s="32"/>
      <c r="AS502" s="32"/>
      <c r="AT502" s="32"/>
      <c r="AU502" s="32"/>
      <c r="AV502" s="32"/>
      <c r="AW502" s="32"/>
      <c r="AX502" s="32"/>
    </row>
    <row r="503">
      <c r="A503" s="32" t="str">
        <f>IFERROR(__xludf.DUMMYFUNCTION("""COMPUTED_VALUE"""),"The Blacksmith's Forged Sword")</f>
        <v>The Blacksmith's Forged Sword</v>
      </c>
      <c r="B503" s="32" t="str">
        <f>IFERROR(__xludf.DUMMYFUNCTION("""COMPUTED_VALUE"""),"Hand")</f>
        <v>Hand</v>
      </c>
      <c r="C503" s="32" t="str">
        <f>IFERROR(__xludf.DUMMYFUNCTION("""COMPUTED_VALUE"""),"Mob Exclusive")</f>
        <v>Mob Exclusive</v>
      </c>
      <c r="D503" s="32" t="str">
        <f>IFERROR(__xludf.DUMMYFUNCTION("""COMPUTED_VALUE"""),"Sword")</f>
        <v>Sword</v>
      </c>
      <c r="E503" s="32">
        <f>IFERROR(__xludf.DUMMYFUNCTION("""COMPUTED_VALUE"""),200.0)</f>
        <v>200</v>
      </c>
      <c r="F503" s="44">
        <f>IFERROR(__xludf.DUMMYFUNCTION("""COMPUTED_VALUE"""),1.2475E9)</f>
        <v>1247500000</v>
      </c>
      <c r="G503" s="32" t="str">
        <f>IFERROR(__xludf.DUMMYFUNCTION("""COMPUTED_VALUE"""),"DMG")</f>
        <v>DMG</v>
      </c>
      <c r="H503" s="33">
        <f>IFERROR(__xludf.DUMMYFUNCTION("""COMPUTED_VALUE"""),100000.0)</f>
        <v>100000</v>
      </c>
      <c r="I503" s="33">
        <f>IFERROR(__xludf.DUMMYFUNCTION("""COMPUTED_VALUE"""),100000.0)</f>
        <v>100000</v>
      </c>
      <c r="J503" s="32"/>
      <c r="K503" s="32"/>
      <c r="L503" s="32"/>
      <c r="M503" s="32"/>
      <c r="N503" s="32"/>
      <c r="O503" s="32"/>
      <c r="P503" s="32"/>
      <c r="Q503" s="32"/>
      <c r="R503" s="32"/>
      <c r="S503" s="32"/>
      <c r="T503" s="32"/>
      <c r="U503" s="32"/>
      <c r="V503" s="32"/>
      <c r="W503" s="32"/>
      <c r="X503" s="32"/>
      <c r="Y503" s="32"/>
      <c r="Z503" s="32"/>
      <c r="AA503" s="32"/>
      <c r="AB503" s="32"/>
      <c r="AC503" s="33">
        <f>IFERROR(__xludf.DUMMYFUNCTION("""COMPUTED_VALUE"""),50000.0)</f>
        <v>50000</v>
      </c>
      <c r="AD503" s="32"/>
      <c r="AE503" s="32"/>
      <c r="AF503" s="32"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32" t="str">
        <f>IFERROR(__xludf.DUMMYFUNCTION("""COMPUTED_VALUE"""),"Land of Spira")</f>
        <v>Land of Spira</v>
      </c>
      <c r="AH503" s="32" t="b">
        <f>IFERROR(__xludf.DUMMYFUNCTION("""COMPUTED_VALUE"""),FALSE)</f>
        <v>0</v>
      </c>
      <c r="AI503" s="32"/>
      <c r="AJ503" s="32"/>
      <c r="AK503" s="32"/>
      <c r="AL503" s="32"/>
      <c r="AM503" s="32"/>
      <c r="AN503" s="32"/>
      <c r="AO503" s="32"/>
      <c r="AP503" s="32"/>
      <c r="AQ503" s="32"/>
      <c r="AR503" s="32"/>
      <c r="AS503" s="32"/>
      <c r="AT503" s="32"/>
      <c r="AU503" s="32"/>
      <c r="AV503" s="32"/>
      <c r="AW503" s="32"/>
      <c r="AX503" s="32"/>
    </row>
    <row r="504">
      <c r="A504" s="32" t="str">
        <f>IFERROR(__xludf.DUMMYFUNCTION("""COMPUTED_VALUE"""),"The Blacksmith's Forged Helmet")</f>
        <v>The Blacksmith's Forged Helmet</v>
      </c>
      <c r="B504" s="32" t="str">
        <f>IFERROR(__xludf.DUMMYFUNCTION("""COMPUTED_VALUE"""),"Head")</f>
        <v>Head</v>
      </c>
      <c r="C504" s="32" t="str">
        <f>IFERROR(__xludf.DUMMYFUNCTION("""COMPUTED_VALUE"""),"Mob Exclusive")</f>
        <v>Mob Exclusive</v>
      </c>
      <c r="D504" s="32"/>
      <c r="E504" s="32">
        <f>IFERROR(__xludf.DUMMYFUNCTION("""COMPUTED_VALUE"""),4000.0)</f>
        <v>4000</v>
      </c>
      <c r="F504" s="44">
        <f>IFERROR(__xludf.DUMMYFUNCTION("""COMPUTED_VALUE"""),7.98E8)</f>
        <v>798000000</v>
      </c>
      <c r="G504" s="32" t="str">
        <f>IFERROR(__xludf.DUMMYFUNCTION("""COMPUTED_VALUE"""),"DEF")</f>
        <v>DEF</v>
      </c>
      <c r="H504" s="33">
        <f>IFERROR(__xludf.DUMMYFUNCTION("""COMPUTED_VALUE"""),200000.0)</f>
        <v>200000</v>
      </c>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32" t="str">
        <f>IFERROR(__xludf.DUMMYFUNCTION("""COMPUTED_VALUE"""),"Land of Spira")</f>
        <v>Land of Spira</v>
      </c>
      <c r="AH504" s="32" t="b">
        <f>IFERROR(__xludf.DUMMYFUNCTION("""COMPUTED_VALUE"""),FALSE)</f>
        <v>0</v>
      </c>
      <c r="AI504" s="32"/>
      <c r="AJ504" s="32"/>
      <c r="AK504" s="32"/>
      <c r="AL504" s="32"/>
      <c r="AM504" s="32"/>
      <c r="AN504" s="32"/>
      <c r="AO504" s="32"/>
      <c r="AP504" s="32"/>
      <c r="AQ504" s="32"/>
      <c r="AR504" s="32"/>
      <c r="AS504" s="32"/>
      <c r="AT504" s="32"/>
      <c r="AU504" s="32"/>
      <c r="AV504" s="32"/>
      <c r="AW504" s="32"/>
      <c r="AX504" s="32"/>
    </row>
    <row r="505">
      <c r="A505" s="32" t="str">
        <f>IFERROR(__xludf.DUMMYFUNCTION("""COMPUTED_VALUE"""),"The Blacksmith's Forged Pauldrons")</f>
        <v>The Blacksmith's Forged Pauldrons</v>
      </c>
      <c r="B505" s="32" t="str">
        <f>IFERROR(__xludf.DUMMYFUNCTION("""COMPUTED_VALUE"""),"Shoulders")</f>
        <v>Shoulders</v>
      </c>
      <c r="C505" s="32" t="str">
        <f>IFERROR(__xludf.DUMMYFUNCTION("""COMPUTED_VALUE"""),"Mob Exclusive")</f>
        <v>Mob Exclusive</v>
      </c>
      <c r="D505" s="32"/>
      <c r="E505" s="32">
        <f>IFERROR(__xludf.DUMMYFUNCTION("""COMPUTED_VALUE"""),4000.0)</f>
        <v>4000</v>
      </c>
      <c r="F505" s="44">
        <f>IFERROR(__xludf.DUMMYFUNCTION("""COMPUTED_VALUE"""),7.98E8)</f>
        <v>798000000</v>
      </c>
      <c r="G505" s="32" t="str">
        <f>IFERROR(__xludf.DUMMYFUNCTION("""COMPUTED_VALUE"""),"DEF")</f>
        <v>DEF</v>
      </c>
      <c r="H505" s="33">
        <f>IFERROR(__xludf.DUMMYFUNCTION("""COMPUTED_VALUE"""),200000.0)</f>
        <v>200000</v>
      </c>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32" t="str">
        <f>IFERROR(__xludf.DUMMYFUNCTION("""COMPUTED_VALUE"""),"Land of Spira")</f>
        <v>Land of Spira</v>
      </c>
      <c r="AH505" s="32" t="b">
        <f>IFERROR(__xludf.DUMMYFUNCTION("""COMPUTED_VALUE"""),FALSE)</f>
        <v>0</v>
      </c>
      <c r="AI505" s="32"/>
      <c r="AJ505" s="32"/>
      <c r="AK505" s="32"/>
      <c r="AL505" s="32"/>
      <c r="AM505" s="32"/>
      <c r="AN505" s="32"/>
      <c r="AO505" s="32"/>
      <c r="AP505" s="32"/>
      <c r="AQ505" s="32"/>
      <c r="AR505" s="32"/>
      <c r="AS505" s="32"/>
      <c r="AT505" s="32"/>
      <c r="AU505" s="32"/>
      <c r="AV505" s="32"/>
      <c r="AW505" s="32"/>
      <c r="AX505" s="32"/>
    </row>
    <row r="506">
      <c r="A506" s="32" t="str">
        <f>IFERROR(__xludf.DUMMYFUNCTION("""COMPUTED_VALUE"""),"The Blacksmith's Forged Vambraces")</f>
        <v>The Blacksmith's Forged Vambraces</v>
      </c>
      <c r="B506" s="32" t="str">
        <f>IFERROR(__xludf.DUMMYFUNCTION("""COMPUTED_VALUE"""),"Arms")</f>
        <v>Arms</v>
      </c>
      <c r="C506" s="32" t="str">
        <f>IFERROR(__xludf.DUMMYFUNCTION("""COMPUTED_VALUE"""),"Mob Exclusive")</f>
        <v>Mob Exclusive</v>
      </c>
      <c r="D506" s="32"/>
      <c r="E506" s="32">
        <f>IFERROR(__xludf.DUMMYFUNCTION("""COMPUTED_VALUE"""),4000.0)</f>
        <v>4000</v>
      </c>
      <c r="F506" s="44">
        <f>IFERROR(__xludf.DUMMYFUNCTION("""COMPUTED_VALUE"""),7.98E8)</f>
        <v>798000000</v>
      </c>
      <c r="G506" s="32" t="str">
        <f>IFERROR(__xludf.DUMMYFUNCTION("""COMPUTED_VALUE"""),"DEF")</f>
        <v>DEF</v>
      </c>
      <c r="H506" s="33">
        <f>IFERROR(__xludf.DUMMYFUNCTION("""COMPUTED_VALUE"""),200000.0)</f>
        <v>200000</v>
      </c>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32" t="str">
        <f>IFERROR(__xludf.DUMMYFUNCTION("""COMPUTED_VALUE"""),"Land of Spira")</f>
        <v>Land of Spira</v>
      </c>
      <c r="AH506" s="32" t="b">
        <f>IFERROR(__xludf.DUMMYFUNCTION("""COMPUTED_VALUE"""),FALSE)</f>
        <v>0</v>
      </c>
      <c r="AI506" s="32"/>
      <c r="AJ506" s="32"/>
      <c r="AK506" s="32"/>
      <c r="AL506" s="32"/>
      <c r="AM506" s="32"/>
      <c r="AN506" s="32"/>
      <c r="AO506" s="32"/>
      <c r="AP506" s="32"/>
      <c r="AQ506" s="32"/>
      <c r="AR506" s="32"/>
      <c r="AS506" s="32"/>
      <c r="AT506" s="32"/>
      <c r="AU506" s="32"/>
      <c r="AV506" s="32"/>
      <c r="AW506" s="32"/>
      <c r="AX506" s="32"/>
    </row>
    <row r="507">
      <c r="A507" s="32" t="str">
        <f>IFERROR(__xludf.DUMMYFUNCTION("""COMPUTED_VALUE"""),"The Blacksmith's Forged Greaves")</f>
        <v>The Blacksmith's Forged Greaves</v>
      </c>
      <c r="B507" s="32" t="str">
        <f>IFERROR(__xludf.DUMMYFUNCTION("""COMPUTED_VALUE"""),"Legs")</f>
        <v>Legs</v>
      </c>
      <c r="C507" s="32" t="str">
        <f>IFERROR(__xludf.DUMMYFUNCTION("""COMPUTED_VALUE"""),"Mob Exclusive")</f>
        <v>Mob Exclusive</v>
      </c>
      <c r="D507" s="32"/>
      <c r="E507" s="32">
        <f>IFERROR(__xludf.DUMMYFUNCTION("""COMPUTED_VALUE"""),4000.0)</f>
        <v>4000</v>
      </c>
      <c r="F507" s="44">
        <f>IFERROR(__xludf.DUMMYFUNCTION("""COMPUTED_VALUE"""),7.98E8)</f>
        <v>798000000</v>
      </c>
      <c r="G507" s="32" t="str">
        <f>IFERROR(__xludf.DUMMYFUNCTION("""COMPUTED_VALUE"""),"DEF")</f>
        <v>DEF</v>
      </c>
      <c r="H507" s="33">
        <f>IFERROR(__xludf.DUMMYFUNCTION("""COMPUTED_VALUE"""),200000.0)</f>
        <v>200000</v>
      </c>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32" t="str">
        <f>IFERROR(__xludf.DUMMYFUNCTION("""COMPUTED_VALUE"""),"Land of Spira")</f>
        <v>Land of Spira</v>
      </c>
      <c r="AH507" s="32" t="b">
        <f>IFERROR(__xludf.DUMMYFUNCTION("""COMPUTED_VALUE"""),FALSE)</f>
        <v>0</v>
      </c>
      <c r="AI507" s="32"/>
      <c r="AJ507" s="32"/>
      <c r="AK507" s="32"/>
      <c r="AL507" s="32"/>
      <c r="AM507" s="32"/>
      <c r="AN507" s="32"/>
      <c r="AO507" s="32"/>
      <c r="AP507" s="32"/>
      <c r="AQ507" s="32"/>
      <c r="AR507" s="32"/>
      <c r="AS507" s="32"/>
      <c r="AT507" s="32"/>
      <c r="AU507" s="32"/>
      <c r="AV507" s="32"/>
      <c r="AW507" s="32"/>
      <c r="AX507" s="32"/>
    </row>
    <row r="508">
      <c r="A508" s="32" t="str">
        <f>IFERROR(__xludf.DUMMYFUNCTION("""COMPUTED_VALUE"""),"The Blacksmith's Forged Sabatons")</f>
        <v>The Blacksmith's Forged Sabatons</v>
      </c>
      <c r="B508" s="32" t="str">
        <f>IFERROR(__xludf.DUMMYFUNCTION("""COMPUTED_VALUE"""),"Feet")</f>
        <v>Feet</v>
      </c>
      <c r="C508" s="32" t="str">
        <f>IFERROR(__xludf.DUMMYFUNCTION("""COMPUTED_VALUE"""),"Mob Exclusive")</f>
        <v>Mob Exclusive</v>
      </c>
      <c r="D508" s="32"/>
      <c r="E508" s="32">
        <f>IFERROR(__xludf.DUMMYFUNCTION("""COMPUTED_VALUE"""),4000.0)</f>
        <v>4000</v>
      </c>
      <c r="F508" s="44">
        <f>IFERROR(__xludf.DUMMYFUNCTION("""COMPUTED_VALUE"""),7.98E8)</f>
        <v>798000000</v>
      </c>
      <c r="G508" s="32" t="str">
        <f>IFERROR(__xludf.DUMMYFUNCTION("""COMPUTED_VALUE"""),"DEF")</f>
        <v>DEF</v>
      </c>
      <c r="H508" s="33">
        <f>IFERROR(__xludf.DUMMYFUNCTION("""COMPUTED_VALUE"""),200000.0)</f>
        <v>200000</v>
      </c>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32" t="str">
        <f>IFERROR(__xludf.DUMMYFUNCTION("""COMPUTED_VALUE"""),"Land of Spira")</f>
        <v>Land of Spira</v>
      </c>
      <c r="AH508" s="32" t="b">
        <f>IFERROR(__xludf.DUMMYFUNCTION("""COMPUTED_VALUE"""),FALSE)</f>
        <v>0</v>
      </c>
      <c r="AI508" s="32"/>
      <c r="AJ508" s="32"/>
      <c r="AK508" s="32"/>
      <c r="AL508" s="32"/>
      <c r="AM508" s="32"/>
      <c r="AN508" s="32"/>
      <c r="AO508" s="32"/>
      <c r="AP508" s="32"/>
      <c r="AQ508" s="32"/>
      <c r="AR508" s="32"/>
      <c r="AS508" s="32"/>
      <c r="AT508" s="32"/>
      <c r="AU508" s="32"/>
      <c r="AV508" s="32"/>
      <c r="AW508" s="32"/>
      <c r="AX508" s="32"/>
    </row>
    <row r="509">
      <c r="A509" s="32" t="str">
        <f>IFERROR(__xludf.DUMMYFUNCTION("""COMPUTED_VALUE"""),"The Blacksmith's Forged Cuirasses")</f>
        <v>The Blacksmith's Forged Cuirasses</v>
      </c>
      <c r="B509" s="32" t="str">
        <f>IFERROR(__xludf.DUMMYFUNCTION("""COMPUTED_VALUE"""),"Torso")</f>
        <v>Torso</v>
      </c>
      <c r="C509" s="32" t="str">
        <f>IFERROR(__xludf.DUMMYFUNCTION("""COMPUTED_VALUE"""),"Mob Exclusive")</f>
        <v>Mob Exclusive</v>
      </c>
      <c r="D509" s="32"/>
      <c r="E509" s="32">
        <f>IFERROR(__xludf.DUMMYFUNCTION("""COMPUTED_VALUE"""),4000.0)</f>
        <v>4000</v>
      </c>
      <c r="F509" s="44">
        <f>IFERROR(__xludf.DUMMYFUNCTION("""COMPUTED_VALUE"""),7.98E8)</f>
        <v>798000000</v>
      </c>
      <c r="G509" s="32" t="str">
        <f>IFERROR(__xludf.DUMMYFUNCTION("""COMPUTED_VALUE"""),"DEF")</f>
        <v>DEF</v>
      </c>
      <c r="H509" s="33">
        <f>IFERROR(__xludf.DUMMYFUNCTION("""COMPUTED_VALUE"""),200000.0)</f>
        <v>200000</v>
      </c>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32" t="str">
        <f>IFERROR(__xludf.DUMMYFUNCTION("""COMPUTED_VALUE"""),"Land of Spira")</f>
        <v>Land of Spira</v>
      </c>
      <c r="AH509" s="32" t="b">
        <f>IFERROR(__xludf.DUMMYFUNCTION("""COMPUTED_VALUE"""),FALSE)</f>
        <v>0</v>
      </c>
      <c r="AI509" s="32"/>
      <c r="AJ509" s="32"/>
      <c r="AK509" s="32"/>
      <c r="AL509" s="32"/>
      <c r="AM509" s="32"/>
      <c r="AN509" s="32"/>
      <c r="AO509" s="32"/>
      <c r="AP509" s="32"/>
      <c r="AQ509" s="32"/>
      <c r="AR509" s="32"/>
      <c r="AS509" s="32"/>
      <c r="AT509" s="32"/>
      <c r="AU509" s="32"/>
      <c r="AV509" s="32"/>
      <c r="AW509" s="32"/>
      <c r="AX509" s="32"/>
    </row>
    <row r="510">
      <c r="A510" s="32" t="str">
        <f>IFERROR(__xludf.DUMMYFUNCTION("""COMPUTED_VALUE"""),"The Blacksmith's Forged Ring")</f>
        <v>The Blacksmith's Forged Ring</v>
      </c>
      <c r="B510" s="32" t="str">
        <f>IFERROR(__xludf.DUMMYFUNCTION("""COMPUTED_VALUE"""),"Ring")</f>
        <v>Ring</v>
      </c>
      <c r="C510" s="32" t="str">
        <f>IFERROR(__xludf.DUMMYFUNCTION("""COMPUTED_VALUE"""),"Mob Exclusive")</f>
        <v>Mob Exclusive</v>
      </c>
      <c r="D510" s="32"/>
      <c r="E510" s="32">
        <f>IFERROR(__xludf.DUMMYFUNCTION("""COMPUTED_VALUE"""),1.0)</f>
        <v>1</v>
      </c>
      <c r="F510" s="44">
        <f>IFERROR(__xludf.DUMMYFUNCTION("""COMPUTED_VALUE"""),0.0)</f>
        <v>0</v>
      </c>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32" t="str">
        <f>IFERROR(__xludf.DUMMYFUNCTION("""COMPUTED_VALUE"""),"Land of Spira")</f>
        <v>Land of Spira</v>
      </c>
      <c r="AH510" s="32" t="b">
        <f>IFERROR(__xludf.DUMMYFUNCTION("""COMPUTED_VALUE"""),FALSE)</f>
        <v>0</v>
      </c>
      <c r="AI510" s="32"/>
      <c r="AJ510" s="32"/>
      <c r="AK510" s="32"/>
      <c r="AL510" s="32"/>
      <c r="AM510" s="32"/>
      <c r="AN510" s="32"/>
      <c r="AO510" s="32"/>
      <c r="AP510" s="32"/>
      <c r="AQ510" s="32"/>
      <c r="AR510" s="32"/>
      <c r="AS510" s="32"/>
      <c r="AT510" s="32"/>
      <c r="AU510" s="32"/>
      <c r="AV510" s="32"/>
      <c r="AW510" s="32"/>
      <c r="AX510" s="32"/>
    </row>
    <row r="511">
      <c r="A511" s="32" t="str">
        <f>IFERROR(__xludf.DUMMYFUNCTION("""COMPUTED_VALUE"""),"The Blacksmith's Forged Pendant")</f>
        <v>The Blacksmith's Forged Pendant</v>
      </c>
      <c r="B511" s="32" t="str">
        <f>IFERROR(__xludf.DUMMYFUNCTION("""COMPUTED_VALUE"""),"Neck")</f>
        <v>Neck</v>
      </c>
      <c r="C511" s="32" t="str">
        <f>IFERROR(__xludf.DUMMYFUNCTION("""COMPUTED_VALUE"""),"Mob Exclusive")</f>
        <v>Mob Exclusive</v>
      </c>
      <c r="D511" s="32"/>
      <c r="E511" s="32">
        <f>IFERROR(__xludf.DUMMYFUNCTION("""COMPUTED_VALUE"""),1.0)</f>
        <v>1</v>
      </c>
      <c r="F511" s="44">
        <f>IFERROR(__xludf.DUMMYFUNCTION("""COMPUTED_VALUE"""),0.0)</f>
        <v>0</v>
      </c>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32" t="str">
        <f>IFERROR(__xludf.DUMMYFUNCTION("""COMPUTED_VALUE"""),"Land of Spira")</f>
        <v>Land of Spira</v>
      </c>
      <c r="AH511" s="32" t="b">
        <f>IFERROR(__xludf.DUMMYFUNCTION("""COMPUTED_VALUE"""),FALSE)</f>
        <v>0</v>
      </c>
      <c r="AI511" s="32"/>
      <c r="AJ511" s="32"/>
      <c r="AK511" s="32"/>
      <c r="AL511" s="32"/>
      <c r="AM511" s="32"/>
      <c r="AN511" s="32"/>
      <c r="AO511" s="32"/>
      <c r="AP511" s="32"/>
      <c r="AQ511" s="32"/>
      <c r="AR511" s="32"/>
      <c r="AS511" s="32"/>
      <c r="AT511" s="32"/>
      <c r="AU511" s="32"/>
      <c r="AV511" s="32"/>
      <c r="AW511" s="32"/>
      <c r="AX511" s="32"/>
    </row>
    <row r="512">
      <c r="A512" s="32" t="str">
        <f>IFERROR(__xludf.DUMMYFUNCTION("""COMPUTED_VALUE"""),"The Blacksmith's Ring of Green Hatred")</f>
        <v>The Blacksmith's Ring of Green Hatred</v>
      </c>
      <c r="B512" s="32" t="str">
        <f>IFERROR(__xludf.DUMMYFUNCTION("""COMPUTED_VALUE"""),"Ring")</f>
        <v>Ring</v>
      </c>
      <c r="C512" s="32" t="str">
        <f>IFERROR(__xludf.DUMMYFUNCTION("""COMPUTED_VALUE"""),"Mob Exclusive")</f>
        <v>Mob Exclusive</v>
      </c>
      <c r="D512" s="32"/>
      <c r="E512" s="32">
        <f>IFERROR(__xludf.DUMMYFUNCTION("""COMPUTED_VALUE"""),1.0)</f>
        <v>1</v>
      </c>
      <c r="F512" s="44">
        <f>IFERROR(__xludf.DUMMYFUNCTION("""COMPUTED_VALUE"""),0.0)</f>
        <v>0</v>
      </c>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t="str">
        <f>IFERROR(__xludf.DUMMYFUNCTION("""COMPUTED_VALUE"""),"(Hephaestus' Set) ++All attacks deal X10 damage against any enemies with the starting town of Forest View.")</f>
        <v>(Hephaestus' Set) ++All attacks deal X10 damage against any enemies with the starting town of Forest View.</v>
      </c>
      <c r="AG512" s="32" t="str">
        <f>IFERROR(__xludf.DUMMYFUNCTION("""COMPUTED_VALUE"""),"Land of Spira")</f>
        <v>Land of Spira</v>
      </c>
      <c r="AH512" s="32" t="b">
        <f>IFERROR(__xludf.DUMMYFUNCTION("""COMPUTED_VALUE"""),FALSE)</f>
        <v>0</v>
      </c>
      <c r="AI512" s="32"/>
      <c r="AJ512" s="32"/>
      <c r="AK512" s="32"/>
      <c r="AL512" s="32"/>
      <c r="AM512" s="32"/>
      <c r="AN512" s="32"/>
      <c r="AO512" s="32"/>
      <c r="AP512" s="32"/>
      <c r="AQ512" s="32"/>
      <c r="AR512" s="32"/>
      <c r="AS512" s="32"/>
      <c r="AT512" s="32"/>
      <c r="AU512" s="32"/>
      <c r="AV512" s="32"/>
      <c r="AW512" s="32"/>
      <c r="AX512" s="32"/>
    </row>
    <row r="513">
      <c r="A513" s="32" t="str">
        <f>IFERROR(__xludf.DUMMYFUNCTION("""COMPUTED_VALUE"""),"Ring o' Strength and Fire")</f>
        <v>Ring o' Strength and Fire</v>
      </c>
      <c r="B513" s="32" t="str">
        <f>IFERROR(__xludf.DUMMYFUNCTION("""COMPUTED_VALUE"""),"Ring")</f>
        <v>Ring</v>
      </c>
      <c r="C513" s="32"/>
      <c r="D513" s="32"/>
      <c r="E513" s="32">
        <f>IFERROR(__xludf.DUMMYFUNCTION("""COMPUTED_VALUE"""),1.0)</f>
        <v>1</v>
      </c>
      <c r="F513" s="44">
        <f>IFERROR(__xludf.DUMMYFUNCTION("""COMPUTED_VALUE"""),0.0)</f>
        <v>0</v>
      </c>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t="str">
        <f>IFERROR(__xludf.DUMMYFUNCTION("""COMPUTED_VALUE"""),"++Grants immunity to fire. ++Grants X2 damage. +-Can only equip one +-Cannot be duplicated")</f>
        <v>++Grants immunity to fire. ++Grants X2 damage. +-Can only equip one +-Cannot be duplicated</v>
      </c>
      <c r="AG513" s="32" t="str">
        <f>IFERROR(__xludf.DUMMYFUNCTION("""COMPUTED_VALUE"""),"Land of Spira")</f>
        <v>Land of Spira</v>
      </c>
      <c r="AH513" s="32" t="b">
        <f>IFERROR(__xludf.DUMMYFUNCTION("""COMPUTED_VALUE"""),FALSE)</f>
        <v>0</v>
      </c>
      <c r="AI513" s="32"/>
      <c r="AJ513" s="32"/>
      <c r="AK513" s="32"/>
      <c r="AL513" s="32"/>
      <c r="AM513" s="32"/>
      <c r="AN513" s="32"/>
      <c r="AO513" s="32"/>
      <c r="AP513" s="32"/>
      <c r="AQ513" s="32"/>
      <c r="AR513" s="32"/>
      <c r="AS513" s="32"/>
      <c r="AT513" s="32"/>
      <c r="AU513" s="32"/>
      <c r="AV513" s="32"/>
      <c r="AW513" s="32"/>
      <c r="AX513" s="32"/>
    </row>
    <row r="514">
      <c r="A514" s="32" t="str">
        <f>IFERROR(__xludf.DUMMYFUNCTION("""COMPUTED_VALUE"""),"Ring o' Fortitude and Earth")</f>
        <v>Ring o' Fortitude and Earth</v>
      </c>
      <c r="B514" s="32" t="str">
        <f>IFERROR(__xludf.DUMMYFUNCTION("""COMPUTED_VALUE"""),"Ring")</f>
        <v>Ring</v>
      </c>
      <c r="C514" s="32"/>
      <c r="D514" s="32"/>
      <c r="E514" s="32">
        <f>IFERROR(__xludf.DUMMYFUNCTION("""COMPUTED_VALUE"""),1.0)</f>
        <v>1</v>
      </c>
      <c r="F514" s="44">
        <f>IFERROR(__xludf.DUMMYFUNCTION("""COMPUTED_VALUE"""),0.0)</f>
        <v>0</v>
      </c>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t="str">
        <f>IFERROR(__xludf.DUMMYFUNCTION("""COMPUTED_VALUE"""),"++Grants immunity to Earth. ++Grants X2 Defense. +-Can only equip one +-Cannot be duplicated")</f>
        <v>++Grants immunity to Earth. ++Grants X2 Defense. +-Can only equip one +-Cannot be duplicated</v>
      </c>
      <c r="AG514" s="32" t="str">
        <f>IFERROR(__xludf.DUMMYFUNCTION("""COMPUTED_VALUE"""),"Land of Spira")</f>
        <v>Land of Spira</v>
      </c>
      <c r="AH514" s="32" t="b">
        <f>IFERROR(__xludf.DUMMYFUNCTION("""COMPUTED_VALUE"""),FALSE)</f>
        <v>0</v>
      </c>
      <c r="AI514" s="32"/>
      <c r="AJ514" s="32"/>
      <c r="AK514" s="32"/>
      <c r="AL514" s="32"/>
      <c r="AM514" s="32"/>
      <c r="AN514" s="32"/>
      <c r="AO514" s="32"/>
      <c r="AP514" s="32"/>
      <c r="AQ514" s="32"/>
      <c r="AR514" s="32"/>
      <c r="AS514" s="32"/>
      <c r="AT514" s="32"/>
      <c r="AU514" s="32"/>
      <c r="AV514" s="32"/>
      <c r="AW514" s="32"/>
      <c r="AX514" s="32"/>
    </row>
    <row r="515">
      <c r="A515" s="32" t="str">
        <f>IFERROR(__xludf.DUMMYFUNCTION("""COMPUTED_VALUE"""),"Ring o' Agility and Water")</f>
        <v>Ring o' Agility and Water</v>
      </c>
      <c r="B515" s="32" t="str">
        <f>IFERROR(__xludf.DUMMYFUNCTION("""COMPUTED_VALUE"""),"Ring")</f>
        <v>Ring</v>
      </c>
      <c r="C515" s="32"/>
      <c r="D515" s="32"/>
      <c r="E515" s="32">
        <f>IFERROR(__xludf.DUMMYFUNCTION("""COMPUTED_VALUE"""),1.0)</f>
        <v>1</v>
      </c>
      <c r="F515" s="44">
        <f>IFERROR(__xludf.DUMMYFUNCTION("""COMPUTED_VALUE"""),0.0)</f>
        <v>0</v>
      </c>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t="str">
        <f>IFERROR(__xludf.DUMMYFUNCTION("""COMPUTED_VALUE"""),"++Grants Immunity to Water. ++Grants +5 to evasion. +-Can only equip one +-Cannot be duplicated")</f>
        <v>++Grants Immunity to Water. ++Grants +5 to evasion. +-Can only equip one +-Cannot be duplicated</v>
      </c>
      <c r="AG515" s="32" t="str">
        <f>IFERROR(__xludf.DUMMYFUNCTION("""COMPUTED_VALUE"""),"Land of Spira")</f>
        <v>Land of Spira</v>
      </c>
      <c r="AH515" s="32" t="b">
        <f>IFERROR(__xludf.DUMMYFUNCTION("""COMPUTED_VALUE"""),FALSE)</f>
        <v>0</v>
      </c>
      <c r="AI515" s="32"/>
      <c r="AJ515" s="32"/>
      <c r="AK515" s="32"/>
      <c r="AL515" s="32"/>
      <c r="AM515" s="32"/>
      <c r="AN515" s="32"/>
      <c r="AO515" s="32"/>
      <c r="AP515" s="32"/>
      <c r="AQ515" s="32"/>
      <c r="AR515" s="32"/>
      <c r="AS515" s="32"/>
      <c r="AT515" s="32"/>
      <c r="AU515" s="32"/>
      <c r="AV515" s="32"/>
      <c r="AW515" s="32"/>
      <c r="AX515" s="32"/>
    </row>
    <row r="516">
      <c r="A516" s="32" t="str">
        <f>IFERROR(__xludf.DUMMYFUNCTION("""COMPUTED_VALUE"""),"Ring o' Power and Delta")</f>
        <v>Ring o' Power and Delta</v>
      </c>
      <c r="B516" s="32" t="str">
        <f>IFERROR(__xludf.DUMMYFUNCTION("""COMPUTED_VALUE"""),"Ring")</f>
        <v>Ring</v>
      </c>
      <c r="C516" s="32"/>
      <c r="D516" s="32"/>
      <c r="E516" s="32">
        <f>IFERROR(__xludf.DUMMYFUNCTION("""COMPUTED_VALUE"""),1.0)</f>
        <v>1</v>
      </c>
      <c r="F516" s="44">
        <f>IFERROR(__xludf.DUMMYFUNCTION("""COMPUTED_VALUE"""),0.0)</f>
        <v>0</v>
      </c>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t="str">
        <f>IFERROR(__xludf.DUMMYFUNCTION("""COMPUTED_VALUE"""),"++Grants X4 Delta damage. ++Take Half delta damage. +-Can only equip one +-Cannot be duplicated")</f>
        <v>++Grants X4 Delta damage. ++Take Half delta damage. +-Can only equip one +-Cannot be duplicated</v>
      </c>
      <c r="AG516" s="32" t="str">
        <f>IFERROR(__xludf.DUMMYFUNCTION("""COMPUTED_VALUE"""),"Land of Spira")</f>
        <v>Land of Spira</v>
      </c>
      <c r="AH516" s="32" t="b">
        <f>IFERROR(__xludf.DUMMYFUNCTION("""COMPUTED_VALUE"""),FALSE)</f>
        <v>0</v>
      </c>
      <c r="AI516" s="32"/>
      <c r="AJ516" s="32"/>
      <c r="AK516" s="32"/>
      <c r="AL516" s="32"/>
      <c r="AM516" s="32"/>
      <c r="AN516" s="32"/>
      <c r="AO516" s="32"/>
      <c r="AP516" s="32"/>
      <c r="AQ516" s="32"/>
      <c r="AR516" s="32"/>
      <c r="AS516" s="32"/>
      <c r="AT516" s="32"/>
      <c r="AU516" s="32"/>
      <c r="AV516" s="32"/>
      <c r="AW516" s="32"/>
      <c r="AX516" s="32"/>
    </row>
    <row r="517">
      <c r="A517" s="32" t="str">
        <f>IFERROR(__xludf.DUMMYFUNCTION("""COMPUTED_VALUE"""),"Ring o' Courage and Order")</f>
        <v>Ring o' Courage and Order</v>
      </c>
      <c r="B517" s="32" t="str">
        <f>IFERROR(__xludf.DUMMYFUNCTION("""COMPUTED_VALUE"""),"Ring")</f>
        <v>Ring</v>
      </c>
      <c r="C517" s="32"/>
      <c r="D517" s="32"/>
      <c r="E517" s="32">
        <f>IFERROR(__xludf.DUMMYFUNCTION("""COMPUTED_VALUE"""),1.0)</f>
        <v>1</v>
      </c>
      <c r="F517" s="44">
        <f>IFERROR(__xludf.DUMMYFUNCTION("""COMPUTED_VALUE"""),0.0)</f>
        <v>0</v>
      </c>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t="str">
        <f>IFERROR(__xludf.DUMMYFUNCTION("""COMPUTED_VALUE"""),"++Grants Immunity to Order. ++Enemies halve their rolls when fleeing. +-Can only equip one +-Cannot be duplicated")</f>
        <v>++Grants Immunity to Order. ++Enemies halve their rolls when fleeing. +-Can only equip one +-Cannot be duplicated</v>
      </c>
      <c r="AG517" s="32" t="str">
        <f>IFERROR(__xludf.DUMMYFUNCTION("""COMPUTED_VALUE"""),"Land of Spira")</f>
        <v>Land of Spira</v>
      </c>
      <c r="AH517" s="32" t="b">
        <f>IFERROR(__xludf.DUMMYFUNCTION("""COMPUTED_VALUE"""),FALSE)</f>
        <v>0</v>
      </c>
      <c r="AI517" s="32"/>
      <c r="AJ517" s="32"/>
      <c r="AK517" s="32"/>
      <c r="AL517" s="32"/>
      <c r="AM517" s="32"/>
      <c r="AN517" s="32"/>
      <c r="AO517" s="32"/>
      <c r="AP517" s="32"/>
      <c r="AQ517" s="32"/>
      <c r="AR517" s="32"/>
      <c r="AS517" s="32"/>
      <c r="AT517" s="32"/>
      <c r="AU517" s="32"/>
      <c r="AV517" s="32"/>
      <c r="AW517" s="32"/>
      <c r="AX517" s="32"/>
    </row>
    <row r="518">
      <c r="A518" s="32" t="str">
        <f>IFERROR(__xludf.DUMMYFUNCTION("""COMPUTED_VALUE"""),"Ring o' Resilience and Physicality")</f>
        <v>Ring o' Resilience and Physicality</v>
      </c>
      <c r="B518" s="32" t="str">
        <f>IFERROR(__xludf.DUMMYFUNCTION("""COMPUTED_VALUE"""),"Ring")</f>
        <v>Ring</v>
      </c>
      <c r="C518" s="32"/>
      <c r="D518" s="32"/>
      <c r="E518" s="32">
        <f>IFERROR(__xludf.DUMMYFUNCTION("""COMPUTED_VALUE"""),1.0)</f>
        <v>1</v>
      </c>
      <c r="F518" s="44">
        <f>IFERROR(__xludf.DUMMYFUNCTION("""COMPUTED_VALUE"""),0.0)</f>
        <v>0</v>
      </c>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t="str">
        <f>IFERROR(__xludf.DUMMYFUNCTION("""COMPUTED_VALUE"""),"++Grants Immunity to Natural attacks. ++Grants +5 Mobility. +-Can only equip one +-Cannot be duplicated")</f>
        <v>++Grants Immunity to Natural attacks. ++Grants +5 Mobility. +-Can only equip one +-Cannot be duplicated</v>
      </c>
      <c r="AG518" s="32" t="str">
        <f>IFERROR(__xludf.DUMMYFUNCTION("""COMPUTED_VALUE"""),"Land of Spira")</f>
        <v>Land of Spira</v>
      </c>
      <c r="AH518" s="32" t="b">
        <f>IFERROR(__xludf.DUMMYFUNCTION("""COMPUTED_VALUE"""),FALSE)</f>
        <v>0</v>
      </c>
      <c r="AI518" s="32"/>
      <c r="AJ518" s="32"/>
      <c r="AK518" s="32"/>
      <c r="AL518" s="32"/>
      <c r="AM518" s="32"/>
      <c r="AN518" s="32"/>
      <c r="AO518" s="32"/>
      <c r="AP518" s="32"/>
      <c r="AQ518" s="32"/>
      <c r="AR518" s="32"/>
      <c r="AS518" s="32"/>
      <c r="AT518" s="32"/>
      <c r="AU518" s="32"/>
      <c r="AV518" s="32"/>
      <c r="AW518" s="32"/>
      <c r="AX518" s="32"/>
    </row>
    <row r="519">
      <c r="A519" s="32" t="str">
        <f>IFERROR(__xludf.DUMMYFUNCTION("""COMPUTED_VALUE"""),"Ring o' Insanity and Chaos")</f>
        <v>Ring o' Insanity and Chaos</v>
      </c>
      <c r="B519" s="32" t="str">
        <f>IFERROR(__xludf.DUMMYFUNCTION("""COMPUTED_VALUE"""),"Ring")</f>
        <v>Ring</v>
      </c>
      <c r="C519" s="32"/>
      <c r="D519" s="32"/>
      <c r="E519" s="32">
        <f>IFERROR(__xludf.DUMMYFUNCTION("""COMPUTED_VALUE"""),1.0)</f>
        <v>1</v>
      </c>
      <c r="F519" s="44">
        <f>IFERROR(__xludf.DUMMYFUNCTION("""COMPUTED_VALUE"""),0.0)</f>
        <v>0</v>
      </c>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t="str">
        <f>IFERROR(__xludf.DUMMYFUNCTION("""COMPUTED_VALUE"""),"++Grants Immunity to Chaos. +5 to Intimidation. +-Can only equip one +-Cannot be duplicated")</f>
        <v>++Grants Immunity to Chaos. +5 to Intimidation. +-Can only equip one +-Cannot be duplicated</v>
      </c>
      <c r="AG519" s="32" t="str">
        <f>IFERROR(__xludf.DUMMYFUNCTION("""COMPUTED_VALUE"""),"Land of Spira")</f>
        <v>Land of Spira</v>
      </c>
      <c r="AH519" s="32" t="b">
        <f>IFERROR(__xludf.DUMMYFUNCTION("""COMPUTED_VALUE"""),FALSE)</f>
        <v>0</v>
      </c>
      <c r="AI519" s="32"/>
      <c r="AJ519" s="32"/>
      <c r="AK519" s="32"/>
      <c r="AL519" s="32"/>
      <c r="AM519" s="32"/>
      <c r="AN519" s="32"/>
      <c r="AO519" s="32"/>
      <c r="AP519" s="32"/>
      <c r="AQ519" s="32"/>
      <c r="AR519" s="32"/>
      <c r="AS519" s="32"/>
      <c r="AT519" s="32"/>
      <c r="AU519" s="32"/>
      <c r="AV519" s="32"/>
      <c r="AW519" s="32"/>
      <c r="AX519" s="32"/>
    </row>
    <row r="520">
      <c r="A520" s="32" t="str">
        <f>IFERROR(__xludf.DUMMYFUNCTION("""COMPUTED_VALUE"""),"Ring o' Debonair and Light")</f>
        <v>Ring o' Debonair and Light</v>
      </c>
      <c r="B520" s="32" t="str">
        <f>IFERROR(__xludf.DUMMYFUNCTION("""COMPUTED_VALUE"""),"Ring")</f>
        <v>Ring</v>
      </c>
      <c r="C520" s="32"/>
      <c r="D520" s="32"/>
      <c r="E520" s="32">
        <f>IFERROR(__xludf.DUMMYFUNCTION("""COMPUTED_VALUE"""),1.0)</f>
        <v>1</v>
      </c>
      <c r="F520" s="44">
        <f>IFERROR(__xludf.DUMMYFUNCTION("""COMPUTED_VALUE"""),0.0)</f>
        <v>0</v>
      </c>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t="str">
        <f>IFERROR(__xludf.DUMMYFUNCTION("""COMPUTED_VALUE"""),"++Grants Immunity to Light. +5 to Charisma. +-Can only equip one +-Cannot be duplicated")</f>
        <v>++Grants Immunity to Light. +5 to Charisma. +-Can only equip one +-Cannot be duplicated</v>
      </c>
      <c r="AG520" s="32" t="str">
        <f>IFERROR(__xludf.DUMMYFUNCTION("""COMPUTED_VALUE"""),"Land of Spira")</f>
        <v>Land of Spira</v>
      </c>
      <c r="AH520" s="32" t="b">
        <f>IFERROR(__xludf.DUMMYFUNCTION("""COMPUTED_VALUE"""),FALSE)</f>
        <v>0</v>
      </c>
      <c r="AI520" s="32"/>
      <c r="AJ520" s="32"/>
      <c r="AK520" s="32"/>
      <c r="AL520" s="32"/>
      <c r="AM520" s="32"/>
      <c r="AN520" s="32"/>
      <c r="AO520" s="32"/>
      <c r="AP520" s="32"/>
      <c r="AQ520" s="32"/>
      <c r="AR520" s="32"/>
      <c r="AS520" s="32"/>
      <c r="AT520" s="32"/>
      <c r="AU520" s="32"/>
      <c r="AV520" s="32"/>
      <c r="AW520" s="32"/>
      <c r="AX520" s="32"/>
    </row>
    <row r="521">
      <c r="A521" s="32" t="str">
        <f>IFERROR(__xludf.DUMMYFUNCTION("""COMPUTED_VALUE"""),"Ring o' Spite and Blood")</f>
        <v>Ring o' Spite and Blood</v>
      </c>
      <c r="B521" s="32" t="str">
        <f>IFERROR(__xludf.DUMMYFUNCTION("""COMPUTED_VALUE"""),"Ring")</f>
        <v>Ring</v>
      </c>
      <c r="C521" s="32"/>
      <c r="D521" s="32"/>
      <c r="E521" s="32">
        <f>IFERROR(__xludf.DUMMYFUNCTION("""COMPUTED_VALUE"""),1.0)</f>
        <v>1</v>
      </c>
      <c r="F521" s="44">
        <f>IFERROR(__xludf.DUMMYFUNCTION("""COMPUTED_VALUE"""),0.0)</f>
        <v>0</v>
      </c>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32" t="str">
        <f>IFERROR(__xludf.DUMMYFUNCTION("""COMPUTED_VALUE"""),"Land of Spira")</f>
        <v>Land of Spira</v>
      </c>
      <c r="AH521" s="32" t="b">
        <f>IFERROR(__xludf.DUMMYFUNCTION("""COMPUTED_VALUE"""),FALSE)</f>
        <v>0</v>
      </c>
      <c r="AI521" s="32"/>
      <c r="AJ521" s="32"/>
      <c r="AK521" s="32"/>
      <c r="AL521" s="32"/>
      <c r="AM521" s="32"/>
      <c r="AN521" s="32"/>
      <c r="AO521" s="32"/>
      <c r="AP521" s="32"/>
      <c r="AQ521" s="32"/>
      <c r="AR521" s="32"/>
      <c r="AS521" s="32"/>
      <c r="AT521" s="32"/>
      <c r="AU521" s="32"/>
      <c r="AV521" s="32"/>
      <c r="AW521" s="32"/>
      <c r="AX521" s="32"/>
    </row>
    <row r="522">
      <c r="A522" s="32" t="str">
        <f>IFERROR(__xludf.DUMMYFUNCTION("""COMPUTED_VALUE"""),"Ring o' Neurodivergence and Spirit")</f>
        <v>Ring o' Neurodivergence and Spirit</v>
      </c>
      <c r="B522" s="32" t="str">
        <f>IFERROR(__xludf.DUMMYFUNCTION("""COMPUTED_VALUE"""),"Ring")</f>
        <v>Ring</v>
      </c>
      <c r="C522" s="32"/>
      <c r="D522" s="32"/>
      <c r="E522" s="32">
        <f>IFERROR(__xludf.DUMMYFUNCTION("""COMPUTED_VALUE"""),1.0)</f>
        <v>1</v>
      </c>
      <c r="F522" s="44">
        <f>IFERROR(__xludf.DUMMYFUNCTION("""COMPUTED_VALUE"""),0.0)</f>
        <v>0</v>
      </c>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32" t="str">
        <f>IFERROR(__xludf.DUMMYFUNCTION("""COMPUTED_VALUE"""),"Land of Spira")</f>
        <v>Land of Spira</v>
      </c>
      <c r="AH522" s="32" t="b">
        <f>IFERROR(__xludf.DUMMYFUNCTION("""COMPUTED_VALUE"""),FALSE)</f>
        <v>0</v>
      </c>
      <c r="AI522" s="32"/>
      <c r="AJ522" s="32"/>
      <c r="AK522" s="32"/>
      <c r="AL522" s="32"/>
      <c r="AM522" s="32"/>
      <c r="AN522" s="32"/>
      <c r="AO522" s="32"/>
      <c r="AP522" s="32"/>
      <c r="AQ522" s="32"/>
      <c r="AR522" s="32"/>
      <c r="AS522" s="32"/>
      <c r="AT522" s="32"/>
      <c r="AU522" s="32"/>
      <c r="AV522" s="32"/>
      <c r="AW522" s="32"/>
      <c r="AX522" s="32"/>
    </row>
    <row r="523">
      <c r="A523" s="32" t="str">
        <f>IFERROR(__xludf.DUMMYFUNCTION("""COMPUTED_VALUE"""),"Ring o' Impassivity and Storm")</f>
        <v>Ring o' Impassivity and Storm</v>
      </c>
      <c r="B523" s="32" t="str">
        <f>IFERROR(__xludf.DUMMYFUNCTION("""COMPUTED_VALUE"""),"Ring")</f>
        <v>Ring</v>
      </c>
      <c r="C523" s="32"/>
      <c r="D523" s="32"/>
      <c r="E523" s="32">
        <f>IFERROR(__xludf.DUMMYFUNCTION("""COMPUTED_VALUE"""),1.0)</f>
        <v>1</v>
      </c>
      <c r="F523" s="44">
        <f>IFERROR(__xludf.DUMMYFUNCTION("""COMPUTED_VALUE"""),0.0)</f>
        <v>0</v>
      </c>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32" t="str">
        <f>IFERROR(__xludf.DUMMYFUNCTION("""COMPUTED_VALUE"""),"Land of Spira")</f>
        <v>Land of Spira</v>
      </c>
      <c r="AH523" s="32" t="b">
        <f>IFERROR(__xludf.DUMMYFUNCTION("""COMPUTED_VALUE"""),FALSE)</f>
        <v>0</v>
      </c>
      <c r="AI523" s="32"/>
      <c r="AJ523" s="32"/>
      <c r="AK523" s="32"/>
      <c r="AL523" s="32"/>
      <c r="AM523" s="32"/>
      <c r="AN523" s="32"/>
      <c r="AO523" s="32"/>
      <c r="AP523" s="32"/>
      <c r="AQ523" s="32"/>
      <c r="AR523" s="32"/>
      <c r="AS523" s="32"/>
      <c r="AT523" s="32"/>
      <c r="AU523" s="32"/>
      <c r="AV523" s="32"/>
      <c r="AW523" s="32"/>
      <c r="AX523" s="32"/>
    </row>
    <row r="524">
      <c r="A524" s="32" t="str">
        <f>IFERROR(__xludf.DUMMYFUNCTION("""COMPUTED_VALUE"""),"Ring o' Rigidity and Stasis")</f>
        <v>Ring o' Rigidity and Stasis</v>
      </c>
      <c r="B524" s="32" t="str">
        <f>IFERROR(__xludf.DUMMYFUNCTION("""COMPUTED_VALUE"""),"Ring")</f>
        <v>Ring</v>
      </c>
      <c r="C524" s="32"/>
      <c r="D524" s="32"/>
      <c r="E524" s="32">
        <f>IFERROR(__xludf.DUMMYFUNCTION("""COMPUTED_VALUE"""),1.0)</f>
        <v>1</v>
      </c>
      <c r="F524" s="44">
        <f>IFERROR(__xludf.DUMMYFUNCTION("""COMPUTED_VALUE"""),0.0)</f>
        <v>0</v>
      </c>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32" t="str">
        <f>IFERROR(__xludf.DUMMYFUNCTION("""COMPUTED_VALUE"""),"Land of Spira")</f>
        <v>Land of Spira</v>
      </c>
      <c r="AH524" s="32" t="b">
        <f>IFERROR(__xludf.DUMMYFUNCTION("""COMPUTED_VALUE"""),FALSE)</f>
        <v>0</v>
      </c>
      <c r="AI524" s="32"/>
      <c r="AJ524" s="32"/>
      <c r="AK524" s="32"/>
      <c r="AL524" s="32"/>
      <c r="AM524" s="32"/>
      <c r="AN524" s="32"/>
      <c r="AO524" s="32"/>
      <c r="AP524" s="32"/>
      <c r="AQ524" s="32"/>
      <c r="AR524" s="32"/>
      <c r="AS524" s="32"/>
      <c r="AT524" s="32"/>
      <c r="AU524" s="32"/>
      <c r="AV524" s="32"/>
      <c r="AW524" s="32"/>
      <c r="AX524" s="32"/>
    </row>
    <row r="525">
      <c r="A525" s="32" t="str">
        <f>IFERROR(__xludf.DUMMYFUNCTION("""COMPUTED_VALUE"""),"Ring o' Loyalty and Celestial")</f>
        <v>Ring o' Loyalty and Celestial</v>
      </c>
      <c r="B525" s="32" t="str">
        <f>IFERROR(__xludf.DUMMYFUNCTION("""COMPUTED_VALUE"""),"Ring")</f>
        <v>Ring</v>
      </c>
      <c r="C525" s="32"/>
      <c r="D525" s="32"/>
      <c r="E525" s="32">
        <f>IFERROR(__xludf.DUMMYFUNCTION("""COMPUTED_VALUE"""),1.0)</f>
        <v>1</v>
      </c>
      <c r="F525" s="44">
        <f>IFERROR(__xludf.DUMMYFUNCTION("""COMPUTED_VALUE"""),0.0)</f>
        <v>0</v>
      </c>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t="str">
        <f>IFERROR(__xludf.DUMMYFUNCTION("""COMPUTED_VALUE"""),"++Grants X6 Celestial damage. Take half damage from celestial. +-Can only equip one +-Cannot be duplicated")</f>
        <v>++Grants X6 Celestial damage. Take half damage from celestial. +-Can only equip one +-Cannot be duplicated</v>
      </c>
      <c r="AG525" s="32" t="str">
        <f>IFERROR(__xludf.DUMMYFUNCTION("""COMPUTED_VALUE"""),"Land of Spira")</f>
        <v>Land of Spira</v>
      </c>
      <c r="AH525" s="32" t="b">
        <f>IFERROR(__xludf.DUMMYFUNCTION("""COMPUTED_VALUE"""),FALSE)</f>
        <v>0</v>
      </c>
      <c r="AI525" s="32"/>
      <c r="AJ525" s="32"/>
      <c r="AK525" s="32"/>
      <c r="AL525" s="32"/>
      <c r="AM525" s="32"/>
      <c r="AN525" s="32"/>
      <c r="AO525" s="32"/>
      <c r="AP525" s="32"/>
      <c r="AQ525" s="32"/>
      <c r="AR525" s="32"/>
      <c r="AS525" s="32"/>
      <c r="AT525" s="32"/>
      <c r="AU525" s="32"/>
      <c r="AV525" s="32"/>
      <c r="AW525" s="32"/>
      <c r="AX525" s="32"/>
    </row>
    <row r="526">
      <c r="A526" s="32" t="str">
        <f>IFERROR(__xludf.DUMMYFUNCTION("""COMPUTED_VALUE"""),"Ring o' Arrogance and Twilight")</f>
        <v>Ring o' Arrogance and Twilight</v>
      </c>
      <c r="B526" s="32" t="str">
        <f>IFERROR(__xludf.DUMMYFUNCTION("""COMPUTED_VALUE"""),"Ring")</f>
        <v>Ring</v>
      </c>
      <c r="C526" s="32"/>
      <c r="D526" s="32"/>
      <c r="E526" s="32">
        <f>IFERROR(__xludf.DUMMYFUNCTION("""COMPUTED_VALUE"""),1.0)</f>
        <v>1</v>
      </c>
      <c r="F526" s="44">
        <f>IFERROR(__xludf.DUMMYFUNCTION("""COMPUTED_VALUE"""),0.0)</f>
        <v>0</v>
      </c>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32" t="str">
        <f>IFERROR(__xludf.DUMMYFUNCTION("""COMPUTED_VALUE"""),"Land of Spira")</f>
        <v>Land of Spira</v>
      </c>
      <c r="AH526" s="32" t="b">
        <f>IFERROR(__xludf.DUMMYFUNCTION("""COMPUTED_VALUE"""),FALSE)</f>
        <v>0</v>
      </c>
      <c r="AI526" s="32"/>
      <c r="AJ526" s="32"/>
      <c r="AK526" s="32"/>
      <c r="AL526" s="32"/>
      <c r="AM526" s="32"/>
      <c r="AN526" s="32"/>
      <c r="AO526" s="32"/>
      <c r="AP526" s="32"/>
      <c r="AQ526" s="32"/>
      <c r="AR526" s="32"/>
      <c r="AS526" s="32"/>
      <c r="AT526" s="32"/>
      <c r="AU526" s="32"/>
      <c r="AV526" s="32"/>
      <c r="AW526" s="32"/>
      <c r="AX526" s="32"/>
    </row>
    <row r="527">
      <c r="A527" s="32" t="str">
        <f>IFERROR(__xludf.DUMMYFUNCTION("""COMPUTED_VALUE"""),"Ring o' Grace and Astral")</f>
        <v>Ring o' Grace and Astral</v>
      </c>
      <c r="B527" s="32" t="str">
        <f>IFERROR(__xludf.DUMMYFUNCTION("""COMPUTED_VALUE"""),"Ring")</f>
        <v>Ring</v>
      </c>
      <c r="C527" s="32"/>
      <c r="D527" s="32"/>
      <c r="E527" s="32">
        <f>IFERROR(__xludf.DUMMYFUNCTION("""COMPUTED_VALUE"""),1.0)</f>
        <v>1</v>
      </c>
      <c r="F527" s="44">
        <f>IFERROR(__xludf.DUMMYFUNCTION("""COMPUTED_VALUE"""),0.0)</f>
        <v>0</v>
      </c>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32" t="str">
        <f>IFERROR(__xludf.DUMMYFUNCTION("""COMPUTED_VALUE"""),"Land of Spira")</f>
        <v>Land of Spira</v>
      </c>
      <c r="AH527" s="32" t="b">
        <f>IFERROR(__xludf.DUMMYFUNCTION("""COMPUTED_VALUE"""),FALSE)</f>
        <v>0</v>
      </c>
      <c r="AI527" s="32"/>
      <c r="AJ527" s="32"/>
      <c r="AK527" s="32"/>
      <c r="AL527" s="32"/>
      <c r="AM527" s="32"/>
      <c r="AN527" s="32"/>
      <c r="AO527" s="32"/>
      <c r="AP527" s="32"/>
      <c r="AQ527" s="32"/>
      <c r="AR527" s="32"/>
      <c r="AS527" s="32"/>
      <c r="AT527" s="32"/>
      <c r="AU527" s="32"/>
      <c r="AV527" s="32"/>
      <c r="AW527" s="32"/>
      <c r="AX527" s="32"/>
    </row>
    <row r="528">
      <c r="A528" s="32" t="str">
        <f>IFERROR(__xludf.DUMMYFUNCTION("""COMPUTED_VALUE"""),"Ring o' Villainy and Voodoo")</f>
        <v>Ring o' Villainy and Voodoo</v>
      </c>
      <c r="B528" s="32" t="str">
        <f>IFERROR(__xludf.DUMMYFUNCTION("""COMPUTED_VALUE"""),"Ring")</f>
        <v>Ring</v>
      </c>
      <c r="C528" s="32"/>
      <c r="D528" s="32"/>
      <c r="E528" s="32">
        <f>IFERROR(__xludf.DUMMYFUNCTION("""COMPUTED_VALUE"""),1.0)</f>
        <v>1</v>
      </c>
      <c r="F528" s="44">
        <f>IFERROR(__xludf.DUMMYFUNCTION("""COMPUTED_VALUE"""),0.0)</f>
        <v>0</v>
      </c>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32" t="str">
        <f>IFERROR(__xludf.DUMMYFUNCTION("""COMPUTED_VALUE"""),"Land of Spira")</f>
        <v>Land of Spira</v>
      </c>
      <c r="AH528" s="32" t="b">
        <f>IFERROR(__xludf.DUMMYFUNCTION("""COMPUTED_VALUE"""),FALSE)</f>
        <v>0</v>
      </c>
      <c r="AI528" s="32"/>
      <c r="AJ528" s="32"/>
      <c r="AK528" s="32"/>
      <c r="AL528" s="32"/>
      <c r="AM528" s="32"/>
      <c r="AN528" s="32"/>
      <c r="AO528" s="32"/>
      <c r="AP528" s="32"/>
      <c r="AQ528" s="32"/>
      <c r="AR528" s="32"/>
      <c r="AS528" s="32"/>
      <c r="AT528" s="32"/>
      <c r="AU528" s="32"/>
      <c r="AV528" s="32"/>
      <c r="AW528" s="32"/>
      <c r="AX528" s="32"/>
    </row>
    <row r="529">
      <c r="A529" s="32" t="str">
        <f>IFERROR(__xludf.DUMMYFUNCTION("""COMPUTED_VALUE"""),"The Bow of The Verdant Forest")</f>
        <v>The Bow of The Verdant Forest</v>
      </c>
      <c r="B529" s="32" t="str">
        <f>IFERROR(__xludf.DUMMYFUNCTION("""COMPUTED_VALUE"""),"Hand")</f>
        <v>Hand</v>
      </c>
      <c r="C529" s="32" t="str">
        <f>IFERROR(__xludf.DUMMYFUNCTION("""COMPUTED_VALUE"""),"Quest Item")</f>
        <v>Quest Item</v>
      </c>
      <c r="D529" s="32"/>
      <c r="E529" s="32">
        <f>IFERROR(__xludf.DUMMYFUNCTION("""COMPUTED_VALUE"""),200.0)</f>
        <v>200</v>
      </c>
      <c r="F529" s="44">
        <f>IFERROR(__xludf.DUMMYFUNCTION("""COMPUTED_VALUE"""),8.385E7)</f>
        <v>83850000</v>
      </c>
      <c r="G529" s="32" t="str">
        <f>IFERROR(__xludf.DUMMYFUNCTION("""COMPUTED_VALUE"""),"DMG")</f>
        <v>DMG</v>
      </c>
      <c r="H529" s="33">
        <f>IFERROR(__xludf.DUMMYFUNCTION("""COMPUTED_VALUE"""),20000.0)</f>
        <v>20000</v>
      </c>
      <c r="I529" s="32"/>
      <c r="J529" s="32"/>
      <c r="K529" s="32"/>
      <c r="L529" s="32"/>
      <c r="M529" s="32"/>
      <c r="N529" s="32"/>
      <c r="O529" s="32"/>
      <c r="P529" s="32"/>
      <c r="Q529" s="32"/>
      <c r="R529" s="33">
        <f>IFERROR(__xludf.DUMMYFUNCTION("""COMPUTED_VALUE"""),20000.0)</f>
        <v>20000</v>
      </c>
      <c r="S529" s="33">
        <f>IFERROR(__xludf.DUMMYFUNCTION("""COMPUTED_VALUE"""),20000.0)</f>
        <v>20000</v>
      </c>
      <c r="T529" s="32"/>
      <c r="U529" s="32"/>
      <c r="V529" s="32"/>
      <c r="W529" s="32"/>
      <c r="X529" s="32"/>
      <c r="Y529" s="32"/>
      <c r="Z529" s="32"/>
      <c r="AA529" s="32"/>
      <c r="AB529" s="32"/>
      <c r="AC529" s="32">
        <f>IFERROR(__xludf.DUMMYFUNCTION("""COMPUTED_VALUE"""),5000.0)</f>
        <v>5000</v>
      </c>
      <c r="AD529" s="32"/>
      <c r="AE529" s="32"/>
      <c r="AF529" s="32"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32" t="str">
        <f>IFERROR(__xludf.DUMMYFUNCTION("""COMPUTED_VALUE"""),"Land of Spira")</f>
        <v>Land of Spira</v>
      </c>
      <c r="AH529" s="32" t="b">
        <f>IFERROR(__xludf.DUMMYFUNCTION("""COMPUTED_VALUE"""),FALSE)</f>
        <v>0</v>
      </c>
      <c r="AI529" s="32"/>
      <c r="AJ529" s="32"/>
      <c r="AK529" s="32"/>
      <c r="AL529" s="32"/>
      <c r="AM529" s="32"/>
      <c r="AN529" s="32"/>
      <c r="AO529" s="32"/>
      <c r="AP529" s="32"/>
      <c r="AQ529" s="32"/>
      <c r="AR529" s="32"/>
      <c r="AS529" s="32"/>
      <c r="AT529" s="32"/>
      <c r="AU529" s="32"/>
      <c r="AV529" s="32"/>
      <c r="AW529" s="32"/>
      <c r="AX529" s="32"/>
    </row>
    <row r="530">
      <c r="A530" s="32" t="str">
        <f>IFERROR(__xludf.DUMMYFUNCTION("""COMPUTED_VALUE"""),"Enchanted Wooden Buckler of The Verdant Forest")</f>
        <v>Enchanted Wooden Buckler of The Verdant Forest</v>
      </c>
      <c r="B530" s="32" t="str">
        <f>IFERROR(__xludf.DUMMYFUNCTION("""COMPUTED_VALUE"""),"Hand")</f>
        <v>Hand</v>
      </c>
      <c r="C530" s="32" t="str">
        <f>IFERROR(__xludf.DUMMYFUNCTION("""COMPUTED_VALUE"""),"Quest Item")</f>
        <v>Quest Item</v>
      </c>
      <c r="D530" s="32"/>
      <c r="E530" s="32">
        <f>IFERROR(__xludf.DUMMYFUNCTION("""COMPUTED_VALUE"""),200.0)</f>
        <v>200</v>
      </c>
      <c r="F530" s="44">
        <f>IFERROR(__xludf.DUMMYFUNCTION("""COMPUTED_VALUE"""),3.1125E8)</f>
        <v>311250000</v>
      </c>
      <c r="G530" s="32" t="str">
        <f>IFERROR(__xludf.DUMMYFUNCTION("""COMPUTED_VALUE"""),"DEF")</f>
        <v>DEF</v>
      </c>
      <c r="H530" s="33">
        <f>IFERROR(__xludf.DUMMYFUNCTION("""COMPUTED_VALUE"""),50000.0)</f>
        <v>50000</v>
      </c>
      <c r="I530" s="32"/>
      <c r="J530" s="32"/>
      <c r="K530" s="33">
        <f>IFERROR(__xludf.DUMMYFUNCTION("""COMPUTED_VALUE"""),25000.0)</f>
        <v>25000</v>
      </c>
      <c r="L530" s="32"/>
      <c r="M530" s="32"/>
      <c r="N530" s="32"/>
      <c r="O530" s="32"/>
      <c r="P530" s="32"/>
      <c r="Q530" s="33">
        <f>IFERROR(__xludf.DUMMYFUNCTION("""COMPUTED_VALUE"""),25000.0)</f>
        <v>25000</v>
      </c>
      <c r="R530" s="32"/>
      <c r="S530" s="32"/>
      <c r="T530" s="32"/>
      <c r="U530" s="32"/>
      <c r="V530" s="32"/>
      <c r="W530" s="32"/>
      <c r="X530" s="32"/>
      <c r="Y530" s="32"/>
      <c r="Z530" s="32"/>
      <c r="AA530" s="32"/>
      <c r="AB530" s="32"/>
      <c r="AC530" s="33">
        <f>IFERROR(__xludf.DUMMYFUNCTION("""COMPUTED_VALUE"""),25000.0)</f>
        <v>25000</v>
      </c>
      <c r="AD530" s="32"/>
      <c r="AE530" s="32"/>
      <c r="AF530" s="32"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32" t="str">
        <f>IFERROR(__xludf.DUMMYFUNCTION("""COMPUTED_VALUE"""),"Land of Spira")</f>
        <v>Land of Spira</v>
      </c>
      <c r="AH530" s="32" t="b">
        <f>IFERROR(__xludf.DUMMYFUNCTION("""COMPUTED_VALUE"""),FALSE)</f>
        <v>0</v>
      </c>
      <c r="AI530" s="32"/>
      <c r="AJ530" s="32"/>
      <c r="AK530" s="32"/>
      <c r="AL530" s="32"/>
      <c r="AM530" s="32"/>
      <c r="AN530" s="32"/>
      <c r="AO530" s="32"/>
      <c r="AP530" s="32"/>
      <c r="AQ530" s="32"/>
      <c r="AR530" s="32"/>
      <c r="AS530" s="32"/>
      <c r="AT530" s="32"/>
      <c r="AU530" s="32"/>
      <c r="AV530" s="32"/>
      <c r="AW530" s="32"/>
      <c r="AX530" s="32"/>
    </row>
    <row r="531">
      <c r="A531" s="32" t="str">
        <f>IFERROR(__xludf.DUMMYFUNCTION("""COMPUTED_VALUE"""),"Cowl of the Eagle's Sight")</f>
        <v>Cowl of the Eagle's Sight</v>
      </c>
      <c r="B531" s="32" t="str">
        <f>IFERROR(__xludf.DUMMYFUNCTION("""COMPUTED_VALUE"""),"Head")</f>
        <v>Head</v>
      </c>
      <c r="C531" s="32" t="str">
        <f>IFERROR(__xludf.DUMMYFUNCTION("""COMPUTED_VALUE"""),"Quest Item")</f>
        <v>Quest Item</v>
      </c>
      <c r="D531" s="32"/>
      <c r="E531" s="32">
        <f>IFERROR(__xludf.DUMMYFUNCTION("""COMPUTED_VALUE"""),200.0)</f>
        <v>200</v>
      </c>
      <c r="F531" s="44">
        <f>IFERROR(__xludf.DUMMYFUNCTION("""COMPUTED_VALUE"""),4.95E7)</f>
        <v>49500000</v>
      </c>
      <c r="G531" s="32" t="str">
        <f>IFERROR(__xludf.DUMMYFUNCTION("""COMPUTED_VALUE"""),"DEF")</f>
        <v>DEF</v>
      </c>
      <c r="H531" s="33">
        <f>IFERROR(__xludf.DUMMYFUNCTION("""COMPUTED_VALUE"""),20000.0)</f>
        <v>20000</v>
      </c>
      <c r="I531" s="32"/>
      <c r="J531" s="32"/>
      <c r="K531" s="33">
        <f>IFERROR(__xludf.DUMMYFUNCTION("""COMPUTED_VALUE"""),10000.0)</f>
        <v>10000</v>
      </c>
      <c r="L531" s="32"/>
      <c r="M531" s="32"/>
      <c r="N531" s="32"/>
      <c r="O531" s="32"/>
      <c r="P531" s="32"/>
      <c r="Q531" s="33">
        <f>IFERROR(__xludf.DUMMYFUNCTION("""COMPUTED_VALUE"""),10000.0)</f>
        <v>10000</v>
      </c>
      <c r="R531" s="32"/>
      <c r="S531" s="32"/>
      <c r="T531" s="32"/>
      <c r="U531" s="32"/>
      <c r="V531" s="32"/>
      <c r="W531" s="32"/>
      <c r="X531" s="32"/>
      <c r="Y531" s="32"/>
      <c r="Z531" s="32"/>
      <c r="AA531" s="32"/>
      <c r="AB531" s="32"/>
      <c r="AC531" s="33">
        <f>IFERROR(__xludf.DUMMYFUNCTION("""COMPUTED_VALUE"""),10000.0)</f>
        <v>10000</v>
      </c>
      <c r="AD531" s="32"/>
      <c r="AE531" s="32"/>
      <c r="AF531" s="32"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32" t="str">
        <f>IFERROR(__xludf.DUMMYFUNCTION("""COMPUTED_VALUE"""),"Land of Spira")</f>
        <v>Land of Spira</v>
      </c>
      <c r="AH531" s="32" t="b">
        <f>IFERROR(__xludf.DUMMYFUNCTION("""COMPUTED_VALUE"""),FALSE)</f>
        <v>0</v>
      </c>
      <c r="AI531" s="32"/>
      <c r="AJ531" s="32"/>
      <c r="AK531" s="32"/>
      <c r="AL531" s="32"/>
      <c r="AM531" s="32"/>
      <c r="AN531" s="32"/>
      <c r="AO531" s="32"/>
      <c r="AP531" s="32"/>
      <c r="AQ531" s="32"/>
      <c r="AR531" s="32"/>
      <c r="AS531" s="32"/>
      <c r="AT531" s="32"/>
      <c r="AU531" s="32"/>
      <c r="AV531" s="32"/>
      <c r="AW531" s="32"/>
      <c r="AX531" s="32"/>
    </row>
    <row r="532">
      <c r="A532" s="32" t="str">
        <f>IFERROR(__xludf.DUMMYFUNCTION("""COMPUTED_VALUE"""),"Ailettes of the Forest's Splendor")</f>
        <v>Ailettes of the Forest's Splendor</v>
      </c>
      <c r="B532" s="32" t="str">
        <f>IFERROR(__xludf.DUMMYFUNCTION("""COMPUTED_VALUE"""),"Shoulders")</f>
        <v>Shoulders</v>
      </c>
      <c r="C532" s="32" t="str">
        <f>IFERROR(__xludf.DUMMYFUNCTION("""COMPUTED_VALUE"""),"Quest Item")</f>
        <v>Quest Item</v>
      </c>
      <c r="D532" s="32"/>
      <c r="E532" s="32">
        <f>IFERROR(__xludf.DUMMYFUNCTION("""COMPUTED_VALUE"""),200.0)</f>
        <v>200</v>
      </c>
      <c r="F532" s="44">
        <f>IFERROR(__xludf.DUMMYFUNCTION("""COMPUTED_VALUE"""),4.95E7)</f>
        <v>49500000</v>
      </c>
      <c r="G532" s="32" t="str">
        <f>IFERROR(__xludf.DUMMYFUNCTION("""COMPUTED_VALUE"""),"DEF")</f>
        <v>DEF</v>
      </c>
      <c r="H532" s="33">
        <f>IFERROR(__xludf.DUMMYFUNCTION("""COMPUTED_VALUE"""),20000.0)</f>
        <v>20000</v>
      </c>
      <c r="I532" s="32"/>
      <c r="J532" s="32"/>
      <c r="K532" s="33">
        <f>IFERROR(__xludf.DUMMYFUNCTION("""COMPUTED_VALUE"""),10000.0)</f>
        <v>10000</v>
      </c>
      <c r="L532" s="32"/>
      <c r="M532" s="32"/>
      <c r="N532" s="32"/>
      <c r="O532" s="32"/>
      <c r="P532" s="32"/>
      <c r="Q532" s="33">
        <f>IFERROR(__xludf.DUMMYFUNCTION("""COMPUTED_VALUE"""),10000.0)</f>
        <v>10000</v>
      </c>
      <c r="R532" s="32"/>
      <c r="S532" s="32"/>
      <c r="T532" s="32"/>
      <c r="U532" s="32"/>
      <c r="V532" s="32"/>
      <c r="W532" s="32"/>
      <c r="X532" s="32"/>
      <c r="Y532" s="32"/>
      <c r="Z532" s="32"/>
      <c r="AA532" s="32"/>
      <c r="AB532" s="32"/>
      <c r="AC532" s="33">
        <f>IFERROR(__xludf.DUMMYFUNCTION("""COMPUTED_VALUE"""),10000.0)</f>
        <v>10000</v>
      </c>
      <c r="AD532" s="32"/>
      <c r="AE532" s="32"/>
      <c r="AF532" s="32"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32" t="str">
        <f>IFERROR(__xludf.DUMMYFUNCTION("""COMPUTED_VALUE"""),"Land of Spira")</f>
        <v>Land of Spira</v>
      </c>
      <c r="AH532" s="32" t="b">
        <f>IFERROR(__xludf.DUMMYFUNCTION("""COMPUTED_VALUE"""),FALSE)</f>
        <v>0</v>
      </c>
      <c r="AI532" s="32"/>
      <c r="AJ532" s="32"/>
      <c r="AK532" s="32"/>
      <c r="AL532" s="32"/>
      <c r="AM532" s="32"/>
      <c r="AN532" s="32"/>
      <c r="AO532" s="32"/>
      <c r="AP532" s="32"/>
      <c r="AQ532" s="32"/>
      <c r="AR532" s="32"/>
      <c r="AS532" s="32"/>
      <c r="AT532" s="32"/>
      <c r="AU532" s="32"/>
      <c r="AV532" s="32"/>
      <c r="AW532" s="32"/>
      <c r="AX532" s="32"/>
    </row>
    <row r="533">
      <c r="A533" s="32" t="str">
        <f>IFERROR(__xludf.DUMMYFUNCTION("""COMPUTED_VALUE"""),"Bracer of Trueshot")</f>
        <v>Bracer of Trueshot</v>
      </c>
      <c r="B533" s="32" t="str">
        <f>IFERROR(__xludf.DUMMYFUNCTION("""COMPUTED_VALUE"""),"Arms")</f>
        <v>Arms</v>
      </c>
      <c r="C533" s="32" t="str">
        <f>IFERROR(__xludf.DUMMYFUNCTION("""COMPUTED_VALUE"""),"Quest Item")</f>
        <v>Quest Item</v>
      </c>
      <c r="D533" s="32"/>
      <c r="E533" s="32">
        <f>IFERROR(__xludf.DUMMYFUNCTION("""COMPUTED_VALUE"""),200.0)</f>
        <v>200</v>
      </c>
      <c r="F533" s="44">
        <f>IFERROR(__xludf.DUMMYFUNCTION("""COMPUTED_VALUE"""),4.95E7)</f>
        <v>49500000</v>
      </c>
      <c r="G533" s="32" t="str">
        <f>IFERROR(__xludf.DUMMYFUNCTION("""COMPUTED_VALUE"""),"DEF")</f>
        <v>DEF</v>
      </c>
      <c r="H533" s="33">
        <f>IFERROR(__xludf.DUMMYFUNCTION("""COMPUTED_VALUE"""),20000.0)</f>
        <v>20000</v>
      </c>
      <c r="I533" s="32"/>
      <c r="J533" s="32"/>
      <c r="K533" s="33">
        <f>IFERROR(__xludf.DUMMYFUNCTION("""COMPUTED_VALUE"""),10000.0)</f>
        <v>10000</v>
      </c>
      <c r="L533" s="32"/>
      <c r="M533" s="32"/>
      <c r="N533" s="32"/>
      <c r="O533" s="32"/>
      <c r="P533" s="32"/>
      <c r="Q533" s="33">
        <f>IFERROR(__xludf.DUMMYFUNCTION("""COMPUTED_VALUE"""),10000.0)</f>
        <v>10000</v>
      </c>
      <c r="R533" s="32"/>
      <c r="S533" s="32"/>
      <c r="T533" s="32"/>
      <c r="U533" s="32"/>
      <c r="V533" s="32"/>
      <c r="W533" s="32"/>
      <c r="X533" s="32"/>
      <c r="Y533" s="32"/>
      <c r="Z533" s="32"/>
      <c r="AA533" s="32"/>
      <c r="AB533" s="32"/>
      <c r="AC533" s="33">
        <f>IFERROR(__xludf.DUMMYFUNCTION("""COMPUTED_VALUE"""),10000.0)</f>
        <v>10000</v>
      </c>
      <c r="AD533" s="32"/>
      <c r="AE533" s="32"/>
      <c r="AF533" s="32"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32" t="str">
        <f>IFERROR(__xludf.DUMMYFUNCTION("""COMPUTED_VALUE"""),"Land of Spira")</f>
        <v>Land of Spira</v>
      </c>
      <c r="AH533" s="32" t="b">
        <f>IFERROR(__xludf.DUMMYFUNCTION("""COMPUTED_VALUE"""),FALSE)</f>
        <v>0</v>
      </c>
      <c r="AI533" s="32"/>
      <c r="AJ533" s="32"/>
      <c r="AK533" s="32"/>
      <c r="AL533" s="32"/>
      <c r="AM533" s="32"/>
      <c r="AN533" s="32"/>
      <c r="AO533" s="32"/>
      <c r="AP533" s="32"/>
      <c r="AQ533" s="32"/>
      <c r="AR533" s="32"/>
      <c r="AS533" s="32"/>
      <c r="AT533" s="32"/>
      <c r="AU533" s="32"/>
      <c r="AV533" s="32"/>
      <c r="AW533" s="32"/>
      <c r="AX533" s="32"/>
    </row>
    <row r="534">
      <c r="A534" s="32" t="str">
        <f>IFERROR(__xludf.DUMMYFUNCTION("""COMPUTED_VALUE"""),"Leather Cuirass of Barkskin")</f>
        <v>Leather Cuirass of Barkskin</v>
      </c>
      <c r="B534" s="32" t="str">
        <f>IFERROR(__xludf.DUMMYFUNCTION("""COMPUTED_VALUE"""),"Torso")</f>
        <v>Torso</v>
      </c>
      <c r="C534" s="32" t="str">
        <f>IFERROR(__xludf.DUMMYFUNCTION("""COMPUTED_VALUE"""),"Quest Item")</f>
        <v>Quest Item</v>
      </c>
      <c r="D534" s="32"/>
      <c r="E534" s="32">
        <f>IFERROR(__xludf.DUMMYFUNCTION("""COMPUTED_VALUE"""),200.0)</f>
        <v>200</v>
      </c>
      <c r="F534" s="44">
        <f>IFERROR(__xludf.DUMMYFUNCTION("""COMPUTED_VALUE"""),1.1175E8)</f>
        <v>111750000</v>
      </c>
      <c r="G534" s="32" t="str">
        <f>IFERROR(__xludf.DUMMYFUNCTION("""COMPUTED_VALUE"""),"DEF")</f>
        <v>DEF</v>
      </c>
      <c r="H534" s="33">
        <f>IFERROR(__xludf.DUMMYFUNCTION("""COMPUTED_VALUE"""),30000.0)</f>
        <v>30000</v>
      </c>
      <c r="I534" s="32"/>
      <c r="J534" s="32"/>
      <c r="K534" s="33">
        <f>IFERROR(__xludf.DUMMYFUNCTION("""COMPUTED_VALUE"""),15000.0)</f>
        <v>15000</v>
      </c>
      <c r="L534" s="32"/>
      <c r="M534" s="32"/>
      <c r="N534" s="32"/>
      <c r="O534" s="32"/>
      <c r="P534" s="32"/>
      <c r="Q534" s="33">
        <f>IFERROR(__xludf.DUMMYFUNCTION("""COMPUTED_VALUE"""),15000.0)</f>
        <v>15000</v>
      </c>
      <c r="R534" s="32"/>
      <c r="S534" s="32"/>
      <c r="T534" s="32"/>
      <c r="U534" s="32"/>
      <c r="V534" s="32"/>
      <c r="W534" s="32"/>
      <c r="X534" s="32"/>
      <c r="Y534" s="32"/>
      <c r="Z534" s="32"/>
      <c r="AA534" s="32"/>
      <c r="AB534" s="32"/>
      <c r="AC534" s="33">
        <f>IFERROR(__xludf.DUMMYFUNCTION("""COMPUTED_VALUE"""),15000.0)</f>
        <v>15000</v>
      </c>
      <c r="AD534" s="32"/>
      <c r="AE534" s="32"/>
      <c r="AF534" s="32"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32" t="str">
        <f>IFERROR(__xludf.DUMMYFUNCTION("""COMPUTED_VALUE"""),"Land of Spira")</f>
        <v>Land of Spira</v>
      </c>
      <c r="AH534" s="32" t="b">
        <f>IFERROR(__xludf.DUMMYFUNCTION("""COMPUTED_VALUE"""),FALSE)</f>
        <v>0</v>
      </c>
      <c r="AI534" s="32"/>
      <c r="AJ534" s="32"/>
      <c r="AK534" s="32"/>
      <c r="AL534" s="32"/>
      <c r="AM534" s="32"/>
      <c r="AN534" s="32"/>
      <c r="AO534" s="32"/>
      <c r="AP534" s="32"/>
      <c r="AQ534" s="32"/>
      <c r="AR534" s="32"/>
      <c r="AS534" s="32"/>
      <c r="AT534" s="32"/>
      <c r="AU534" s="32"/>
      <c r="AV534" s="32"/>
      <c r="AW534" s="32"/>
      <c r="AX534" s="32"/>
    </row>
    <row r="535">
      <c r="A535" s="32" t="str">
        <f>IFERROR(__xludf.DUMMYFUNCTION("""COMPUTED_VALUE"""),"Greaves of The Verdant Forest")</f>
        <v>Greaves of The Verdant Forest</v>
      </c>
      <c r="B535" s="32" t="str">
        <f>IFERROR(__xludf.DUMMYFUNCTION("""COMPUTED_VALUE"""),"Legs")</f>
        <v>Legs</v>
      </c>
      <c r="C535" s="32" t="str">
        <f>IFERROR(__xludf.DUMMYFUNCTION("""COMPUTED_VALUE"""),"Quest Item")</f>
        <v>Quest Item</v>
      </c>
      <c r="D535" s="32"/>
      <c r="E535" s="32">
        <f>IFERROR(__xludf.DUMMYFUNCTION("""COMPUTED_VALUE"""),200.0)</f>
        <v>200</v>
      </c>
      <c r="F535" s="44">
        <f>IFERROR(__xludf.DUMMYFUNCTION("""COMPUTED_VALUE"""),4.95E7)</f>
        <v>49500000</v>
      </c>
      <c r="G535" s="32" t="str">
        <f>IFERROR(__xludf.DUMMYFUNCTION("""COMPUTED_VALUE"""),"DEF")</f>
        <v>DEF</v>
      </c>
      <c r="H535" s="33">
        <f>IFERROR(__xludf.DUMMYFUNCTION("""COMPUTED_VALUE"""),20000.0)</f>
        <v>20000</v>
      </c>
      <c r="I535" s="32"/>
      <c r="J535" s="32"/>
      <c r="K535" s="33">
        <f>IFERROR(__xludf.DUMMYFUNCTION("""COMPUTED_VALUE"""),10000.0)</f>
        <v>10000</v>
      </c>
      <c r="L535" s="32"/>
      <c r="M535" s="32"/>
      <c r="N535" s="32"/>
      <c r="O535" s="32"/>
      <c r="P535" s="32"/>
      <c r="Q535" s="33">
        <f>IFERROR(__xludf.DUMMYFUNCTION("""COMPUTED_VALUE"""),10000.0)</f>
        <v>10000</v>
      </c>
      <c r="R535" s="32"/>
      <c r="S535" s="32"/>
      <c r="T535" s="32"/>
      <c r="U535" s="32"/>
      <c r="V535" s="32"/>
      <c r="W535" s="32"/>
      <c r="X535" s="32"/>
      <c r="Y535" s="32"/>
      <c r="Z535" s="32"/>
      <c r="AA535" s="32"/>
      <c r="AB535" s="32"/>
      <c r="AC535" s="33">
        <f>IFERROR(__xludf.DUMMYFUNCTION("""COMPUTED_VALUE"""),10000.0)</f>
        <v>10000</v>
      </c>
      <c r="AD535" s="32"/>
      <c r="AE535" s="32"/>
      <c r="AF535" s="32"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32" t="str">
        <f>IFERROR(__xludf.DUMMYFUNCTION("""COMPUTED_VALUE"""),"Land of Spira")</f>
        <v>Land of Spira</v>
      </c>
      <c r="AH535" s="32" t="b">
        <f>IFERROR(__xludf.DUMMYFUNCTION("""COMPUTED_VALUE"""),FALSE)</f>
        <v>0</v>
      </c>
      <c r="AI535" s="32"/>
      <c r="AJ535" s="32"/>
      <c r="AK535" s="32"/>
      <c r="AL535" s="32"/>
      <c r="AM535" s="32"/>
      <c r="AN535" s="32"/>
      <c r="AO535" s="32"/>
      <c r="AP535" s="32"/>
      <c r="AQ535" s="32"/>
      <c r="AR535" s="32"/>
      <c r="AS535" s="32"/>
      <c r="AT535" s="32"/>
      <c r="AU535" s="32"/>
      <c r="AV535" s="32"/>
      <c r="AW535" s="32"/>
      <c r="AX535" s="32"/>
    </row>
    <row r="536">
      <c r="A536" s="32" t="str">
        <f>IFERROR(__xludf.DUMMYFUNCTION("""COMPUTED_VALUE"""),"Boots of The Verdant Forest")</f>
        <v>Boots of The Verdant Forest</v>
      </c>
      <c r="B536" s="32" t="str">
        <f>IFERROR(__xludf.DUMMYFUNCTION("""COMPUTED_VALUE"""),"Feet")</f>
        <v>Feet</v>
      </c>
      <c r="C536" s="32" t="str">
        <f>IFERROR(__xludf.DUMMYFUNCTION("""COMPUTED_VALUE"""),"Quest Item")</f>
        <v>Quest Item</v>
      </c>
      <c r="D536" s="32"/>
      <c r="E536" s="32">
        <f>IFERROR(__xludf.DUMMYFUNCTION("""COMPUTED_VALUE"""),200.0)</f>
        <v>200</v>
      </c>
      <c r="F536" s="44">
        <f>IFERROR(__xludf.DUMMYFUNCTION("""COMPUTED_VALUE"""),4.95E7)</f>
        <v>49500000</v>
      </c>
      <c r="G536" s="32" t="str">
        <f>IFERROR(__xludf.DUMMYFUNCTION("""COMPUTED_VALUE"""),"DEF")</f>
        <v>DEF</v>
      </c>
      <c r="H536" s="33">
        <f>IFERROR(__xludf.DUMMYFUNCTION("""COMPUTED_VALUE"""),20000.0)</f>
        <v>20000</v>
      </c>
      <c r="I536" s="32"/>
      <c r="J536" s="32"/>
      <c r="K536" s="33">
        <f>IFERROR(__xludf.DUMMYFUNCTION("""COMPUTED_VALUE"""),10000.0)</f>
        <v>10000</v>
      </c>
      <c r="L536" s="32"/>
      <c r="M536" s="32"/>
      <c r="N536" s="32"/>
      <c r="O536" s="32"/>
      <c r="P536" s="32"/>
      <c r="Q536" s="33">
        <f>IFERROR(__xludf.DUMMYFUNCTION("""COMPUTED_VALUE"""),10000.0)</f>
        <v>10000</v>
      </c>
      <c r="R536" s="32"/>
      <c r="S536" s="32"/>
      <c r="T536" s="32"/>
      <c r="U536" s="32"/>
      <c r="V536" s="32"/>
      <c r="W536" s="32"/>
      <c r="X536" s="32"/>
      <c r="Y536" s="32"/>
      <c r="Z536" s="32"/>
      <c r="AA536" s="32"/>
      <c r="AB536" s="32"/>
      <c r="AC536" s="33">
        <f>IFERROR(__xludf.DUMMYFUNCTION("""COMPUTED_VALUE"""),10000.0)</f>
        <v>10000</v>
      </c>
      <c r="AD536" s="32"/>
      <c r="AE536" s="32"/>
      <c r="AF536" s="32"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32" t="str">
        <f>IFERROR(__xludf.DUMMYFUNCTION("""COMPUTED_VALUE"""),"Land of Spira")</f>
        <v>Land of Spira</v>
      </c>
      <c r="AH536" s="32" t="b">
        <f>IFERROR(__xludf.DUMMYFUNCTION("""COMPUTED_VALUE"""),FALSE)</f>
        <v>0</v>
      </c>
      <c r="AI536" s="32"/>
      <c r="AJ536" s="32"/>
      <c r="AK536" s="32"/>
      <c r="AL536" s="32"/>
      <c r="AM536" s="32"/>
      <c r="AN536" s="32"/>
      <c r="AO536" s="32"/>
      <c r="AP536" s="32"/>
      <c r="AQ536" s="32"/>
      <c r="AR536" s="32"/>
      <c r="AS536" s="32"/>
      <c r="AT536" s="32"/>
      <c r="AU536" s="32"/>
      <c r="AV536" s="32"/>
      <c r="AW536" s="32"/>
      <c r="AX536" s="32"/>
    </row>
    <row r="537">
      <c r="A537" s="32" t="str">
        <f>IFERROR(__xludf.DUMMYFUNCTION("""COMPUTED_VALUE"""),"Emerald Ring of The Forest")</f>
        <v>Emerald Ring of The Forest</v>
      </c>
      <c r="B537" s="32" t="str">
        <f>IFERROR(__xludf.DUMMYFUNCTION("""COMPUTED_VALUE"""),"Ring")</f>
        <v>Ring</v>
      </c>
      <c r="C537" s="32" t="str">
        <f>IFERROR(__xludf.DUMMYFUNCTION("""COMPUTED_VALUE"""),"Quest Item")</f>
        <v>Quest Item</v>
      </c>
      <c r="D537" s="32"/>
      <c r="E537" s="32">
        <f>IFERROR(__xludf.DUMMYFUNCTION("""COMPUTED_VALUE"""),1.0)</f>
        <v>1</v>
      </c>
      <c r="F537" s="44">
        <f>IFERROR(__xludf.DUMMYFUNCTION("""COMPUTED_VALUE"""),0.0)</f>
        <v>0</v>
      </c>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32" t="str">
        <f>IFERROR(__xludf.DUMMYFUNCTION("""COMPUTED_VALUE"""),"Land of Spira")</f>
        <v>Land of Spira</v>
      </c>
      <c r="AH537" s="32" t="b">
        <f>IFERROR(__xludf.DUMMYFUNCTION("""COMPUTED_VALUE"""),FALSE)</f>
        <v>0</v>
      </c>
      <c r="AI537" s="32"/>
      <c r="AJ537" s="32"/>
      <c r="AK537" s="32"/>
      <c r="AL537" s="32"/>
      <c r="AM537" s="32"/>
      <c r="AN537" s="32"/>
      <c r="AO537" s="32"/>
      <c r="AP537" s="32"/>
      <c r="AQ537" s="32"/>
      <c r="AR537" s="32"/>
      <c r="AS537" s="32"/>
      <c r="AT537" s="32"/>
      <c r="AU537" s="32"/>
      <c r="AV537" s="32"/>
      <c r="AW537" s="32"/>
      <c r="AX537" s="32"/>
    </row>
    <row r="538">
      <c r="A538" s="32" t="str">
        <f>IFERROR(__xludf.DUMMYFUNCTION("""COMPUTED_VALUE"""),"Emerald Amulet of The Forest")</f>
        <v>Emerald Amulet of The Forest</v>
      </c>
      <c r="B538" s="32" t="str">
        <f>IFERROR(__xludf.DUMMYFUNCTION("""COMPUTED_VALUE"""),"Neck")</f>
        <v>Neck</v>
      </c>
      <c r="C538" s="32" t="str">
        <f>IFERROR(__xludf.DUMMYFUNCTION("""COMPUTED_VALUE"""),"Quest Item")</f>
        <v>Quest Item</v>
      </c>
      <c r="D538" s="32"/>
      <c r="E538" s="32">
        <f>IFERROR(__xludf.DUMMYFUNCTION("""COMPUTED_VALUE"""),1.0)</f>
        <v>1</v>
      </c>
      <c r="F538" s="44">
        <f>IFERROR(__xludf.DUMMYFUNCTION("""COMPUTED_VALUE"""),0.0)</f>
        <v>0</v>
      </c>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32" t="str">
        <f>IFERROR(__xludf.DUMMYFUNCTION("""COMPUTED_VALUE"""),"Land of Spira")</f>
        <v>Land of Spira</v>
      </c>
      <c r="AH538" s="32" t="b">
        <f>IFERROR(__xludf.DUMMYFUNCTION("""COMPUTED_VALUE"""),FALSE)</f>
        <v>0</v>
      </c>
      <c r="AI538" s="32"/>
      <c r="AJ538" s="32"/>
      <c r="AK538" s="32"/>
      <c r="AL538" s="32"/>
      <c r="AM538" s="32"/>
      <c r="AN538" s="32"/>
      <c r="AO538" s="32"/>
      <c r="AP538" s="32"/>
      <c r="AQ538" s="32"/>
      <c r="AR538" s="32"/>
      <c r="AS538" s="32"/>
      <c r="AT538" s="32"/>
      <c r="AU538" s="32"/>
      <c r="AV538" s="32"/>
      <c r="AW538" s="32"/>
      <c r="AX538" s="32"/>
    </row>
    <row r="539">
      <c r="A539" s="32" t="str">
        <f>IFERROR(__xludf.DUMMYFUNCTION("""COMPUTED_VALUE"""),"Artemis' Crown of The Forest")</f>
        <v>Artemis' Crown of The Forest</v>
      </c>
      <c r="B539" s="32" t="str">
        <f>IFERROR(__xludf.DUMMYFUNCTION("""COMPUTED_VALUE"""),"Head")</f>
        <v>Head</v>
      </c>
      <c r="C539" s="32" t="str">
        <f>IFERROR(__xludf.DUMMYFUNCTION("""COMPUTED_VALUE"""),"Mob Exclusive. The crown that was gifted to Aranyani upon her ascension to godhood")</f>
        <v>Mob Exclusive. The crown that was gifted to Aranyani upon her ascension to godhood</v>
      </c>
      <c r="D539" s="32"/>
      <c r="E539" s="32">
        <f>IFERROR(__xludf.DUMMYFUNCTION("""COMPUTED_VALUE"""),2000.0)</f>
        <v>2000</v>
      </c>
      <c r="F539" s="44">
        <f>IFERROR(__xludf.DUMMYFUNCTION("""COMPUTED_VALUE"""),1.99E8)</f>
        <v>199000000</v>
      </c>
      <c r="G539" s="32" t="str">
        <f>IFERROR(__xludf.DUMMYFUNCTION("""COMPUTED_VALUE"""),"DEF")</f>
        <v>DEF</v>
      </c>
      <c r="H539" s="33">
        <f>IFERROR(__xludf.DUMMYFUNCTION("""COMPUTED_VALUE"""),50000.0)</f>
        <v>50000</v>
      </c>
      <c r="I539" s="32"/>
      <c r="J539" s="32"/>
      <c r="K539" s="33">
        <f>IFERROR(__xludf.DUMMYFUNCTION("""COMPUTED_VALUE"""),25000.0)</f>
        <v>25000</v>
      </c>
      <c r="L539" s="32"/>
      <c r="M539" s="32"/>
      <c r="N539" s="32"/>
      <c r="O539" s="32"/>
      <c r="P539" s="32"/>
      <c r="Q539" s="33">
        <f>IFERROR(__xludf.DUMMYFUNCTION("""COMPUTED_VALUE"""),25000.0)</f>
        <v>25000</v>
      </c>
      <c r="R539" s="32"/>
      <c r="S539" s="32"/>
      <c r="T539" s="32"/>
      <c r="U539" s="32"/>
      <c r="V539" s="32"/>
      <c r="W539" s="32"/>
      <c r="X539" s="32"/>
      <c r="Y539" s="32"/>
      <c r="Z539" s="32"/>
      <c r="AA539" s="32"/>
      <c r="AB539" s="32"/>
      <c r="AC539" s="32"/>
      <c r="AD539" s="32"/>
      <c r="AE539" s="32"/>
      <c r="AF539" s="32"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32" t="str">
        <f>IFERROR(__xludf.DUMMYFUNCTION("""COMPUTED_VALUE"""),"Land of Spira")</f>
        <v>Land of Spira</v>
      </c>
      <c r="AH539" s="32" t="b">
        <f>IFERROR(__xludf.DUMMYFUNCTION("""COMPUTED_VALUE"""),FALSE)</f>
        <v>0</v>
      </c>
      <c r="AI539" s="32"/>
      <c r="AJ539" s="32"/>
      <c r="AK539" s="32"/>
      <c r="AL539" s="32"/>
      <c r="AM539" s="32"/>
      <c r="AN539" s="32"/>
      <c r="AO539" s="32"/>
      <c r="AP539" s="32"/>
      <c r="AQ539" s="32"/>
      <c r="AR539" s="32"/>
      <c r="AS539" s="32"/>
      <c r="AT539" s="32"/>
      <c r="AU539" s="32"/>
      <c r="AV539" s="32"/>
      <c r="AW539" s="32"/>
      <c r="AX539" s="32"/>
    </row>
    <row r="540">
      <c r="A540" s="32" t="str">
        <f>IFERROR(__xludf.DUMMYFUNCTION("""COMPUTED_VALUE"""),"Artemis' Bow of Divine Wrath")</f>
        <v>Artemis' Bow of Divine Wrath</v>
      </c>
      <c r="B540" s="32" t="str">
        <f>IFERROR(__xludf.DUMMYFUNCTION("""COMPUTED_VALUE"""),"Hand")</f>
        <v>Hand</v>
      </c>
      <c r="C540" s="32" t="str">
        <f>IFERROR(__xludf.DUMMYFUNCTION("""COMPUTED_VALUE"""),"Mob Exclusive.")</f>
        <v>Mob Exclusive.</v>
      </c>
      <c r="D540" s="32" t="str">
        <f>IFERROR(__xludf.DUMMYFUNCTION("""COMPUTED_VALUE"""),"Bow")</f>
        <v>Bow</v>
      </c>
      <c r="E540" s="32">
        <f>IFERROR(__xludf.DUMMYFUNCTION("""COMPUTED_VALUE"""),12000.0)</f>
        <v>12000</v>
      </c>
      <c r="F540" s="44">
        <f>IFERROR(__xludf.DUMMYFUNCTION("""COMPUTED_VALUE"""),7.194E9)</f>
        <v>7194000000</v>
      </c>
      <c r="G540" s="32" t="str">
        <f>IFERROR(__xludf.DUMMYFUNCTION("""COMPUTED_VALUE"""),"DMG")</f>
        <v>DMG</v>
      </c>
      <c r="H540" s="33">
        <f>IFERROR(__xludf.DUMMYFUNCTION("""COMPUTED_VALUE"""),200000.0)</f>
        <v>200000</v>
      </c>
      <c r="I540" s="32"/>
      <c r="J540" s="32"/>
      <c r="K540" s="32"/>
      <c r="L540" s="32"/>
      <c r="M540" s="32"/>
      <c r="N540" s="32"/>
      <c r="O540" s="32"/>
      <c r="P540" s="32"/>
      <c r="Q540" s="32"/>
      <c r="R540" s="33">
        <f>IFERROR(__xludf.DUMMYFUNCTION("""COMPUTED_VALUE"""),200000.0)</f>
        <v>200000</v>
      </c>
      <c r="S540" s="33">
        <f>IFERROR(__xludf.DUMMYFUNCTION("""COMPUTED_VALUE"""),200000.0)</f>
        <v>200000</v>
      </c>
      <c r="T540" s="32"/>
      <c r="U540" s="32"/>
      <c r="V540" s="32"/>
      <c r="W540" s="32"/>
      <c r="X540" s="32"/>
      <c r="Y540" s="32"/>
      <c r="Z540" s="32"/>
      <c r="AA540" s="32"/>
      <c r="AB540" s="32"/>
      <c r="AC540" s="32"/>
      <c r="AD540" s="32"/>
      <c r="AE540" s="32"/>
      <c r="AF540" s="32"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32" t="str">
        <f>IFERROR(__xludf.DUMMYFUNCTION("""COMPUTED_VALUE"""),"Land of Spira")</f>
        <v>Land of Spira</v>
      </c>
      <c r="AH540" s="32" t="b">
        <f>IFERROR(__xludf.DUMMYFUNCTION("""COMPUTED_VALUE"""),FALSE)</f>
        <v>0</v>
      </c>
      <c r="AI540" s="32"/>
      <c r="AJ540" s="32"/>
      <c r="AK540" s="32"/>
      <c r="AL540" s="32"/>
      <c r="AM540" s="32"/>
      <c r="AN540" s="32"/>
      <c r="AO540" s="32"/>
      <c r="AP540" s="32"/>
      <c r="AQ540" s="32"/>
      <c r="AR540" s="32"/>
      <c r="AS540" s="32"/>
      <c r="AT540" s="32"/>
      <c r="AU540" s="32"/>
      <c r="AV540" s="32"/>
      <c r="AW540" s="32"/>
      <c r="AX540" s="32"/>
    </row>
    <row r="541">
      <c r="A541" s="32" t="str">
        <f>IFERROR(__xludf.DUMMYFUNCTION("""COMPUTED_VALUE"""),"Artemis' Shield of Divine Grace")</f>
        <v>Artemis' Shield of Divine Grace</v>
      </c>
      <c r="B541" s="32" t="str">
        <f>IFERROR(__xludf.DUMMYFUNCTION("""COMPUTED_VALUE"""),"Hand")</f>
        <v>Hand</v>
      </c>
      <c r="C541" s="32" t="str">
        <f>IFERROR(__xludf.DUMMYFUNCTION("""COMPUTED_VALUE"""),"Mob Exclusive")</f>
        <v>Mob Exclusive</v>
      </c>
      <c r="D541" s="32" t="str">
        <f>IFERROR(__xludf.DUMMYFUNCTION("""COMPUTED_VALUE"""),"Buckler")</f>
        <v>Buckler</v>
      </c>
      <c r="E541" s="32">
        <f>IFERROR(__xludf.DUMMYFUNCTION("""COMPUTED_VALUE"""),6000.0)</f>
        <v>6000</v>
      </c>
      <c r="F541" s="44">
        <f>IFERROR(__xludf.DUMMYFUNCTION("""COMPUTED_VALUE"""),1.797E9)</f>
        <v>1797000000</v>
      </c>
      <c r="G541" s="32" t="str">
        <f>IFERROR(__xludf.DUMMYFUNCTION("""COMPUTED_VALUE"""),"DEF")</f>
        <v>DEF</v>
      </c>
      <c r="H541" s="33">
        <f>IFERROR(__xludf.DUMMYFUNCTION("""COMPUTED_VALUE"""),150000.0)</f>
        <v>150000</v>
      </c>
      <c r="I541" s="32"/>
      <c r="J541" s="32"/>
      <c r="K541" s="33">
        <f>IFERROR(__xludf.DUMMYFUNCTION("""COMPUTED_VALUE"""),75000.0)</f>
        <v>75000</v>
      </c>
      <c r="L541" s="32"/>
      <c r="M541" s="32"/>
      <c r="N541" s="32"/>
      <c r="O541" s="32"/>
      <c r="P541" s="32"/>
      <c r="Q541" s="33">
        <f>IFERROR(__xludf.DUMMYFUNCTION("""COMPUTED_VALUE"""),75000.0)</f>
        <v>75000</v>
      </c>
      <c r="R541" s="32"/>
      <c r="S541" s="32"/>
      <c r="T541" s="32"/>
      <c r="U541" s="32"/>
      <c r="V541" s="32"/>
      <c r="W541" s="32"/>
      <c r="X541" s="32"/>
      <c r="Y541" s="32"/>
      <c r="Z541" s="32"/>
      <c r="AA541" s="32"/>
      <c r="AB541" s="32"/>
      <c r="AC541" s="32"/>
      <c r="AD541" s="32"/>
      <c r="AE541" s="32"/>
      <c r="AF541" s="32"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32" t="str">
        <f>IFERROR(__xludf.DUMMYFUNCTION("""COMPUTED_VALUE"""),"Land of Spira")</f>
        <v>Land of Spira</v>
      </c>
      <c r="AH541" s="32" t="b">
        <f>IFERROR(__xludf.DUMMYFUNCTION("""COMPUTED_VALUE"""),FALSE)</f>
        <v>0</v>
      </c>
      <c r="AI541" s="32"/>
      <c r="AJ541" s="32"/>
      <c r="AK541" s="32"/>
      <c r="AL541" s="32"/>
      <c r="AM541" s="32"/>
      <c r="AN541" s="32"/>
      <c r="AO541" s="32"/>
      <c r="AP541" s="32"/>
      <c r="AQ541" s="32"/>
      <c r="AR541" s="32"/>
      <c r="AS541" s="32"/>
      <c r="AT541" s="32"/>
      <c r="AU541" s="32"/>
      <c r="AV541" s="32"/>
      <c r="AW541" s="32"/>
      <c r="AX541" s="32"/>
    </row>
    <row r="542">
      <c r="A542" s="32" t="str">
        <f>IFERROR(__xludf.DUMMYFUNCTION("""COMPUTED_VALUE"""),"Artemis' Divine Quiver")</f>
        <v>Artemis' Divine Quiver</v>
      </c>
      <c r="B542" s="32" t="str">
        <f>IFERROR(__xludf.DUMMYFUNCTION("""COMPUTED_VALUE"""),"Shoulders")</f>
        <v>Shoulders</v>
      </c>
      <c r="C542" s="32" t="str">
        <f>IFERROR(__xludf.DUMMYFUNCTION("""COMPUTED_VALUE"""),"Mob Exclusive")</f>
        <v>Mob Exclusive</v>
      </c>
      <c r="D542" s="32"/>
      <c r="E542" s="32">
        <f>IFERROR(__xludf.DUMMYFUNCTION("""COMPUTED_VALUE"""),1.0)</f>
        <v>1</v>
      </c>
      <c r="F542" s="44">
        <f>IFERROR(__xludf.DUMMYFUNCTION("""COMPUTED_VALUE"""),0.0)</f>
        <v>0</v>
      </c>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32" t="str">
        <f>IFERROR(__xludf.DUMMYFUNCTION("""COMPUTED_VALUE"""),"Land of Spira")</f>
        <v>Land of Spira</v>
      </c>
      <c r="AH542" s="32" t="b">
        <f>IFERROR(__xludf.DUMMYFUNCTION("""COMPUTED_VALUE"""),FALSE)</f>
        <v>0</v>
      </c>
      <c r="AI542" s="32"/>
      <c r="AJ542" s="32"/>
      <c r="AK542" s="32"/>
      <c r="AL542" s="32"/>
      <c r="AM542" s="32"/>
      <c r="AN542" s="32"/>
      <c r="AO542" s="32"/>
      <c r="AP542" s="32"/>
      <c r="AQ542" s="32"/>
      <c r="AR542" s="32"/>
      <c r="AS542" s="32"/>
      <c r="AT542" s="32"/>
      <c r="AU542" s="32"/>
      <c r="AV542" s="32"/>
      <c r="AW542" s="32"/>
      <c r="AX542" s="32"/>
    </row>
    <row r="543">
      <c r="A543" s="32" t="str">
        <f>IFERROR(__xludf.DUMMYFUNCTION("""COMPUTED_VALUE"""),"Artemis' Toga of Divine Beauty")</f>
        <v>Artemis' Toga of Divine Beauty</v>
      </c>
      <c r="B543" s="32" t="str">
        <f>IFERROR(__xludf.DUMMYFUNCTION("""COMPUTED_VALUE"""),"Torso")</f>
        <v>Torso</v>
      </c>
      <c r="C543" s="32" t="str">
        <f>IFERROR(__xludf.DUMMYFUNCTION("""COMPUTED_VALUE"""),"Mob Exclusive")</f>
        <v>Mob Exclusive</v>
      </c>
      <c r="D543" s="32"/>
      <c r="E543" s="32">
        <f>IFERROR(__xludf.DUMMYFUNCTION("""COMPUTED_VALUE"""),4000.0)</f>
        <v>4000</v>
      </c>
      <c r="F543" s="44">
        <f>IFERROR(__xludf.DUMMYFUNCTION("""COMPUTED_VALUE"""),7.98E8)</f>
        <v>798000000</v>
      </c>
      <c r="G543" s="32" t="str">
        <f>IFERROR(__xludf.DUMMYFUNCTION("""COMPUTED_VALUE"""),"DEF")</f>
        <v>DEF</v>
      </c>
      <c r="H543" s="33">
        <f>IFERROR(__xludf.DUMMYFUNCTION("""COMPUTED_VALUE"""),100000.0)</f>
        <v>100000</v>
      </c>
      <c r="I543" s="32"/>
      <c r="J543" s="32"/>
      <c r="K543" s="33">
        <f>IFERROR(__xludf.DUMMYFUNCTION("""COMPUTED_VALUE"""),50000.0)</f>
        <v>50000</v>
      </c>
      <c r="L543" s="32"/>
      <c r="M543" s="32"/>
      <c r="N543" s="32"/>
      <c r="O543" s="32"/>
      <c r="P543" s="32"/>
      <c r="Q543" s="33">
        <f>IFERROR(__xludf.DUMMYFUNCTION("""COMPUTED_VALUE"""),50000.0)</f>
        <v>50000</v>
      </c>
      <c r="R543" s="32"/>
      <c r="S543" s="32"/>
      <c r="T543" s="32"/>
      <c r="U543" s="32"/>
      <c r="V543" s="32"/>
      <c r="W543" s="32"/>
      <c r="X543" s="32"/>
      <c r="Y543" s="32"/>
      <c r="Z543" s="32"/>
      <c r="AA543" s="32"/>
      <c r="AB543" s="32"/>
      <c r="AC543" s="32"/>
      <c r="AD543" s="32"/>
      <c r="AE543" s="32"/>
      <c r="AF543" s="32"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32" t="str">
        <f>IFERROR(__xludf.DUMMYFUNCTION("""COMPUTED_VALUE"""),"Land of Spira")</f>
        <v>Land of Spira</v>
      </c>
      <c r="AH543" s="32" t="b">
        <f>IFERROR(__xludf.DUMMYFUNCTION("""COMPUTED_VALUE"""),FALSE)</f>
        <v>0</v>
      </c>
      <c r="AI543" s="32"/>
      <c r="AJ543" s="32"/>
      <c r="AK543" s="32"/>
      <c r="AL543" s="32"/>
      <c r="AM543" s="32"/>
      <c r="AN543" s="32"/>
      <c r="AO543" s="32"/>
      <c r="AP543" s="32"/>
      <c r="AQ543" s="32"/>
      <c r="AR543" s="32"/>
      <c r="AS543" s="32"/>
      <c r="AT543" s="32"/>
      <c r="AU543" s="32"/>
      <c r="AV543" s="32"/>
      <c r="AW543" s="32"/>
      <c r="AX543" s="32"/>
    </row>
    <row r="544">
      <c r="A544" s="32" t="str">
        <f>IFERROR(__xludf.DUMMYFUNCTION("""COMPUTED_VALUE"""),"Artemis' Bracer of The Archer Goddess")</f>
        <v>Artemis' Bracer of The Archer Goddess</v>
      </c>
      <c r="B544" s="32" t="str">
        <f>IFERROR(__xludf.DUMMYFUNCTION("""COMPUTED_VALUE"""),"Arms")</f>
        <v>Arms</v>
      </c>
      <c r="C544" s="32" t="str">
        <f>IFERROR(__xludf.DUMMYFUNCTION("""COMPUTED_VALUE"""),"Mob Exclusive")</f>
        <v>Mob Exclusive</v>
      </c>
      <c r="D544" s="32"/>
      <c r="E544" s="32">
        <f>IFERROR(__xludf.DUMMYFUNCTION("""COMPUTED_VALUE"""),2000.0)</f>
        <v>2000</v>
      </c>
      <c r="F544" s="44">
        <f>IFERROR(__xludf.DUMMYFUNCTION("""COMPUTED_VALUE"""),1.99E8)</f>
        <v>199000000</v>
      </c>
      <c r="G544" s="32" t="str">
        <f>IFERROR(__xludf.DUMMYFUNCTION("""COMPUTED_VALUE"""),"DEF")</f>
        <v>DEF</v>
      </c>
      <c r="H544" s="33">
        <f>IFERROR(__xludf.DUMMYFUNCTION("""COMPUTED_VALUE"""),50000.0)</f>
        <v>50000</v>
      </c>
      <c r="I544" s="32"/>
      <c r="J544" s="32"/>
      <c r="K544" s="33">
        <f>IFERROR(__xludf.DUMMYFUNCTION("""COMPUTED_VALUE"""),25000.0)</f>
        <v>25000</v>
      </c>
      <c r="L544" s="32"/>
      <c r="M544" s="32"/>
      <c r="N544" s="32"/>
      <c r="O544" s="32"/>
      <c r="P544" s="32"/>
      <c r="Q544" s="33">
        <f>IFERROR(__xludf.DUMMYFUNCTION("""COMPUTED_VALUE"""),25000.0)</f>
        <v>25000</v>
      </c>
      <c r="R544" s="32"/>
      <c r="S544" s="32"/>
      <c r="T544" s="32"/>
      <c r="U544" s="32"/>
      <c r="V544" s="32"/>
      <c r="W544" s="32"/>
      <c r="X544" s="32"/>
      <c r="Y544" s="32"/>
      <c r="Z544" s="32"/>
      <c r="AA544" s="32"/>
      <c r="AB544" s="32"/>
      <c r="AC544" s="32"/>
      <c r="AD544" s="32"/>
      <c r="AE544" s="32"/>
      <c r="AF544" s="32"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32" t="str">
        <f>IFERROR(__xludf.DUMMYFUNCTION("""COMPUTED_VALUE"""),"Land of Spira")</f>
        <v>Land of Spira</v>
      </c>
      <c r="AH544" s="32" t="b">
        <f>IFERROR(__xludf.DUMMYFUNCTION("""COMPUTED_VALUE"""),FALSE)</f>
        <v>0</v>
      </c>
      <c r="AI544" s="32"/>
      <c r="AJ544" s="32"/>
      <c r="AK544" s="32"/>
      <c r="AL544" s="32"/>
      <c r="AM544" s="32"/>
      <c r="AN544" s="32"/>
      <c r="AO544" s="32"/>
      <c r="AP544" s="32"/>
      <c r="AQ544" s="32"/>
      <c r="AR544" s="32"/>
      <c r="AS544" s="32"/>
      <c r="AT544" s="32"/>
      <c r="AU544" s="32"/>
      <c r="AV544" s="32"/>
      <c r="AW544" s="32"/>
      <c r="AX544" s="32"/>
    </row>
    <row r="545">
      <c r="A545" s="32" t="str">
        <f>IFERROR(__xludf.DUMMYFUNCTION("""COMPUTED_VALUE"""),"Artemis' Leggings of Divine Agility")</f>
        <v>Artemis' Leggings of Divine Agility</v>
      </c>
      <c r="B545" s="32" t="str">
        <f>IFERROR(__xludf.DUMMYFUNCTION("""COMPUTED_VALUE"""),"Legs")</f>
        <v>Legs</v>
      </c>
      <c r="C545" s="32" t="str">
        <f>IFERROR(__xludf.DUMMYFUNCTION("""COMPUTED_VALUE"""),"Mob Exclusive")</f>
        <v>Mob Exclusive</v>
      </c>
      <c r="D545" s="32"/>
      <c r="E545" s="32">
        <f>IFERROR(__xludf.DUMMYFUNCTION("""COMPUTED_VALUE"""),2000.0)</f>
        <v>2000</v>
      </c>
      <c r="F545" s="44">
        <f>IFERROR(__xludf.DUMMYFUNCTION("""COMPUTED_VALUE"""),1.99E8)</f>
        <v>199000000</v>
      </c>
      <c r="G545" s="32" t="str">
        <f>IFERROR(__xludf.DUMMYFUNCTION("""COMPUTED_VALUE"""),"DEF")</f>
        <v>DEF</v>
      </c>
      <c r="H545" s="33">
        <f>IFERROR(__xludf.DUMMYFUNCTION("""COMPUTED_VALUE"""),50000.0)</f>
        <v>50000</v>
      </c>
      <c r="I545" s="32"/>
      <c r="J545" s="32"/>
      <c r="K545" s="33">
        <f>IFERROR(__xludf.DUMMYFUNCTION("""COMPUTED_VALUE"""),25000.0)</f>
        <v>25000</v>
      </c>
      <c r="L545" s="32"/>
      <c r="M545" s="32"/>
      <c r="N545" s="32"/>
      <c r="O545" s="32"/>
      <c r="P545" s="32"/>
      <c r="Q545" s="33">
        <f>IFERROR(__xludf.DUMMYFUNCTION("""COMPUTED_VALUE"""),25000.0)</f>
        <v>25000</v>
      </c>
      <c r="R545" s="32"/>
      <c r="S545" s="32"/>
      <c r="T545" s="32"/>
      <c r="U545" s="32"/>
      <c r="V545" s="32"/>
      <c r="W545" s="32"/>
      <c r="X545" s="32"/>
      <c r="Y545" s="32"/>
      <c r="Z545" s="32"/>
      <c r="AA545" s="32"/>
      <c r="AB545" s="32"/>
      <c r="AC545" s="32"/>
      <c r="AD545" s="32"/>
      <c r="AE545" s="32"/>
      <c r="AF545" s="32" t="str">
        <f>IFERROR(__xludf.DUMMYFUNCTION("""COMPUTED_VALUE"""),"++Blessing of The Greens II: X4 Nature Damage +-can only be equipped by Artemis")</f>
        <v>++Blessing of The Greens II: X4 Nature Damage +-can only be equipped by Artemis</v>
      </c>
      <c r="AG545" s="32" t="str">
        <f>IFERROR(__xludf.DUMMYFUNCTION("""COMPUTED_VALUE"""),"Land of Spira")</f>
        <v>Land of Spira</v>
      </c>
      <c r="AH545" s="32" t="b">
        <f>IFERROR(__xludf.DUMMYFUNCTION("""COMPUTED_VALUE"""),FALSE)</f>
        <v>0</v>
      </c>
      <c r="AI545" s="32"/>
      <c r="AJ545" s="32"/>
      <c r="AK545" s="32"/>
      <c r="AL545" s="32"/>
      <c r="AM545" s="32"/>
      <c r="AN545" s="32"/>
      <c r="AO545" s="32"/>
      <c r="AP545" s="32"/>
      <c r="AQ545" s="32"/>
      <c r="AR545" s="32"/>
      <c r="AS545" s="32"/>
      <c r="AT545" s="32"/>
      <c r="AU545" s="32"/>
      <c r="AV545" s="32"/>
      <c r="AW545" s="32"/>
      <c r="AX545" s="32"/>
    </row>
    <row r="546">
      <c r="A546" s="32" t="str">
        <f>IFERROR(__xludf.DUMMYFUNCTION("""COMPUTED_VALUE"""),"Artemis' Sandals of Divine Speed")</f>
        <v>Artemis' Sandals of Divine Speed</v>
      </c>
      <c r="B546" s="32" t="str">
        <f>IFERROR(__xludf.DUMMYFUNCTION("""COMPUTED_VALUE"""),"Feet")</f>
        <v>Feet</v>
      </c>
      <c r="C546" s="32" t="str">
        <f>IFERROR(__xludf.DUMMYFUNCTION("""COMPUTED_VALUE"""),"Mob Exclusive")</f>
        <v>Mob Exclusive</v>
      </c>
      <c r="D546" s="32"/>
      <c r="E546" s="32">
        <f>IFERROR(__xludf.DUMMYFUNCTION("""COMPUTED_VALUE"""),2000.0)</f>
        <v>2000</v>
      </c>
      <c r="F546" s="44">
        <f>IFERROR(__xludf.DUMMYFUNCTION("""COMPUTED_VALUE"""),1.99E8)</f>
        <v>199000000</v>
      </c>
      <c r="G546" s="32" t="str">
        <f>IFERROR(__xludf.DUMMYFUNCTION("""COMPUTED_VALUE"""),"DEF")</f>
        <v>DEF</v>
      </c>
      <c r="H546" s="33">
        <f>IFERROR(__xludf.DUMMYFUNCTION("""COMPUTED_VALUE"""),50000.0)</f>
        <v>50000</v>
      </c>
      <c r="I546" s="32"/>
      <c r="J546" s="32"/>
      <c r="K546" s="33">
        <f>IFERROR(__xludf.DUMMYFUNCTION("""COMPUTED_VALUE"""),25000.0)</f>
        <v>25000</v>
      </c>
      <c r="L546" s="32"/>
      <c r="M546" s="32"/>
      <c r="N546" s="32"/>
      <c r="O546" s="32"/>
      <c r="P546" s="32"/>
      <c r="Q546" s="33">
        <f>IFERROR(__xludf.DUMMYFUNCTION("""COMPUTED_VALUE"""),25000.0)</f>
        <v>25000</v>
      </c>
      <c r="R546" s="32"/>
      <c r="S546" s="32"/>
      <c r="T546" s="32"/>
      <c r="U546" s="32"/>
      <c r="V546" s="32"/>
      <c r="W546" s="32"/>
      <c r="X546" s="32"/>
      <c r="Y546" s="32"/>
      <c r="Z546" s="32"/>
      <c r="AA546" s="32"/>
      <c r="AB546" s="32"/>
      <c r="AC546" s="32"/>
      <c r="AD546" s="32"/>
      <c r="AE546" s="32"/>
      <c r="AF546" s="32" t="str">
        <f>IFERROR(__xludf.DUMMYFUNCTION("""COMPUTED_VALUE"""),"++Blessing of Speed: when affected by haste you gain an extra action. +-can only be equipped by Artemis.")</f>
        <v>++Blessing of Speed: when affected by haste you gain an extra action. +-can only be equipped by Artemis.</v>
      </c>
      <c r="AG546" s="32" t="str">
        <f>IFERROR(__xludf.DUMMYFUNCTION("""COMPUTED_VALUE"""),"Land of Spira")</f>
        <v>Land of Spira</v>
      </c>
      <c r="AH546" s="32" t="b">
        <f>IFERROR(__xludf.DUMMYFUNCTION("""COMPUTED_VALUE"""),FALSE)</f>
        <v>0</v>
      </c>
      <c r="AI546" s="32"/>
      <c r="AJ546" s="32"/>
      <c r="AK546" s="32"/>
      <c r="AL546" s="32"/>
      <c r="AM546" s="32"/>
      <c r="AN546" s="32"/>
      <c r="AO546" s="32"/>
      <c r="AP546" s="32"/>
      <c r="AQ546" s="32"/>
      <c r="AR546" s="32"/>
      <c r="AS546" s="32"/>
      <c r="AT546" s="32"/>
      <c r="AU546" s="32"/>
      <c r="AV546" s="32"/>
      <c r="AW546" s="32"/>
      <c r="AX546" s="32"/>
    </row>
    <row r="547">
      <c r="A547" s="32" t="str">
        <f>IFERROR(__xludf.DUMMYFUNCTION("""COMPUTED_VALUE"""),"Artemis' Ring")</f>
        <v>Artemis' Ring</v>
      </c>
      <c r="B547" s="32" t="str">
        <f>IFERROR(__xludf.DUMMYFUNCTION("""COMPUTED_VALUE"""),"Ring")</f>
        <v>Ring</v>
      </c>
      <c r="C547" s="32" t="str">
        <f>IFERROR(__xludf.DUMMYFUNCTION("""COMPUTED_VALUE"""),"Mob Exclusive")</f>
        <v>Mob Exclusive</v>
      </c>
      <c r="D547" s="32"/>
      <c r="E547" s="32">
        <f>IFERROR(__xludf.DUMMYFUNCTION("""COMPUTED_VALUE"""),1.0)</f>
        <v>1</v>
      </c>
      <c r="F547" s="44">
        <f>IFERROR(__xludf.DUMMYFUNCTION("""COMPUTED_VALUE"""),0.0)</f>
        <v>0</v>
      </c>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t="str">
        <f>IFERROR(__xludf.DUMMYFUNCTION("""COMPUTED_VALUE"""),"++10% chance to revive after dying once. +-can only be equipped by Artemis.")</f>
        <v>++10% chance to revive after dying once. +-can only be equipped by Artemis.</v>
      </c>
      <c r="AG547" s="32" t="str">
        <f>IFERROR(__xludf.DUMMYFUNCTION("""COMPUTED_VALUE"""),"Land of Spira")</f>
        <v>Land of Spira</v>
      </c>
      <c r="AH547" s="32" t="b">
        <f>IFERROR(__xludf.DUMMYFUNCTION("""COMPUTED_VALUE"""),FALSE)</f>
        <v>0</v>
      </c>
      <c r="AI547" s="32"/>
      <c r="AJ547" s="32"/>
      <c r="AK547" s="32"/>
      <c r="AL547" s="32"/>
      <c r="AM547" s="32"/>
      <c r="AN547" s="32"/>
      <c r="AO547" s="32"/>
      <c r="AP547" s="32"/>
      <c r="AQ547" s="32"/>
      <c r="AR547" s="32"/>
      <c r="AS547" s="32"/>
      <c r="AT547" s="32"/>
      <c r="AU547" s="32"/>
      <c r="AV547" s="32"/>
      <c r="AW547" s="32"/>
      <c r="AX547" s="32"/>
    </row>
    <row r="548">
      <c r="A548" s="32" t="str">
        <f>IFERROR(__xludf.DUMMYFUNCTION("""COMPUTED_VALUE"""),"Artemis' Fang Necklace")</f>
        <v>Artemis' Fang Necklace</v>
      </c>
      <c r="B548" s="32" t="str">
        <f>IFERROR(__xludf.DUMMYFUNCTION("""COMPUTED_VALUE"""),"Neck")</f>
        <v>Neck</v>
      </c>
      <c r="C548" s="32" t="str">
        <f>IFERROR(__xludf.DUMMYFUNCTION("""COMPUTED_VALUE"""),"Mob Exclusive")</f>
        <v>Mob Exclusive</v>
      </c>
      <c r="D548" s="32"/>
      <c r="E548" s="32">
        <f>IFERROR(__xludf.DUMMYFUNCTION("""COMPUTED_VALUE"""),1.0)</f>
        <v>1</v>
      </c>
      <c r="F548" s="44">
        <f>IFERROR(__xludf.DUMMYFUNCTION("""COMPUTED_VALUE"""),0.0)</f>
        <v>0</v>
      </c>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32" t="str">
        <f>IFERROR(__xludf.DUMMYFUNCTION("""COMPUTED_VALUE"""),"Land of Spira")</f>
        <v>Land of Spira</v>
      </c>
      <c r="AH548" s="32" t="b">
        <f>IFERROR(__xludf.DUMMYFUNCTION("""COMPUTED_VALUE"""),FALSE)</f>
        <v>0</v>
      </c>
      <c r="AI548" s="32"/>
      <c r="AJ548" s="32"/>
      <c r="AK548" s="32"/>
      <c r="AL548" s="32"/>
      <c r="AM548" s="32"/>
      <c r="AN548" s="32"/>
      <c r="AO548" s="32"/>
      <c r="AP548" s="32"/>
      <c r="AQ548" s="32"/>
      <c r="AR548" s="32"/>
      <c r="AS548" s="32"/>
      <c r="AT548" s="32"/>
      <c r="AU548" s="32"/>
      <c r="AV548" s="32"/>
      <c r="AW548" s="32"/>
      <c r="AX548" s="32"/>
    </row>
    <row r="549">
      <c r="A549" s="32" t="str">
        <f>IFERROR(__xludf.DUMMYFUNCTION("""COMPUTED_VALUE"""),"Forged Paladin's Helm")</f>
        <v>Forged Paladin's Helm</v>
      </c>
      <c r="B549" s="32" t="str">
        <f>IFERROR(__xludf.DUMMYFUNCTION("""COMPUTED_VALUE"""),"Head")</f>
        <v>Head</v>
      </c>
      <c r="C549" s="32" t="str">
        <f>IFERROR(__xludf.DUMMYFUNCTION("""COMPUTED_VALUE"""),"Quest Item")</f>
        <v>Quest Item</v>
      </c>
      <c r="D549" s="32"/>
      <c r="E549" s="32">
        <f>IFERROR(__xludf.DUMMYFUNCTION("""COMPUTED_VALUE"""),200.0)</f>
        <v>200</v>
      </c>
      <c r="F549" s="44">
        <f>IFERROR(__xludf.DUMMYFUNCTION("""COMPUTED_VALUE"""),1.1175E8)</f>
        <v>111750000</v>
      </c>
      <c r="G549" s="32" t="str">
        <f>IFERROR(__xludf.DUMMYFUNCTION("""COMPUTED_VALUE"""),"DEF")</f>
        <v>DEF</v>
      </c>
      <c r="H549" s="33">
        <f>IFERROR(__xludf.DUMMYFUNCTION("""COMPUTED_VALUE"""),25000.0)</f>
        <v>25000</v>
      </c>
      <c r="I549" s="33">
        <f>IFERROR(__xludf.DUMMYFUNCTION("""COMPUTED_VALUE"""),10000.0)</f>
        <v>10000</v>
      </c>
      <c r="J549" s="32"/>
      <c r="K549" s="33">
        <f>IFERROR(__xludf.DUMMYFUNCTION("""COMPUTED_VALUE"""),5000.0)</f>
        <v>5000</v>
      </c>
      <c r="L549" s="32"/>
      <c r="M549" s="32"/>
      <c r="N549" s="32"/>
      <c r="O549" s="32"/>
      <c r="P549" s="32"/>
      <c r="Q549" s="32"/>
      <c r="R549" s="32"/>
      <c r="S549" s="33">
        <f>IFERROR(__xludf.DUMMYFUNCTION("""COMPUTED_VALUE"""),25000.0)</f>
        <v>25000</v>
      </c>
      <c r="T549" s="32"/>
      <c r="U549" s="32"/>
      <c r="V549" s="32"/>
      <c r="W549" s="32"/>
      <c r="X549" s="32"/>
      <c r="Y549" s="32"/>
      <c r="Z549" s="32"/>
      <c r="AA549" s="32"/>
      <c r="AB549" s="32"/>
      <c r="AC549" s="33">
        <f>IFERROR(__xludf.DUMMYFUNCTION("""COMPUTED_VALUE"""),10000.0)</f>
        <v>10000</v>
      </c>
      <c r="AD549" s="32"/>
      <c r="AE549" s="32"/>
      <c r="AF549" s="32"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32" t="str">
        <f>IFERROR(__xludf.DUMMYFUNCTION("""COMPUTED_VALUE"""),"Land of Spira")</f>
        <v>Land of Spira</v>
      </c>
      <c r="AH549" s="32" t="b">
        <f>IFERROR(__xludf.DUMMYFUNCTION("""COMPUTED_VALUE"""),FALSE)</f>
        <v>0</v>
      </c>
      <c r="AI549" s="32"/>
      <c r="AJ549" s="32"/>
      <c r="AK549" s="32"/>
      <c r="AL549" s="32"/>
      <c r="AM549" s="32"/>
      <c r="AN549" s="32"/>
      <c r="AO549" s="32"/>
      <c r="AP549" s="32"/>
      <c r="AQ549" s="32"/>
      <c r="AR549" s="32"/>
      <c r="AS549" s="32"/>
      <c r="AT549" s="32"/>
      <c r="AU549" s="32"/>
      <c r="AV549" s="32"/>
      <c r="AW549" s="32"/>
      <c r="AX549" s="32"/>
    </row>
    <row r="550">
      <c r="A550" s="32" t="str">
        <f>IFERROR(__xludf.DUMMYFUNCTION("""COMPUTED_VALUE"""),"Forged Paladin's Pauldrons")</f>
        <v>Forged Paladin's Pauldrons</v>
      </c>
      <c r="B550" s="32" t="str">
        <f>IFERROR(__xludf.DUMMYFUNCTION("""COMPUTED_VALUE"""),"Shoulders")</f>
        <v>Shoulders</v>
      </c>
      <c r="C550" s="32" t="str">
        <f>IFERROR(__xludf.DUMMYFUNCTION("""COMPUTED_VALUE"""),"Quest Item")</f>
        <v>Quest Item</v>
      </c>
      <c r="D550" s="32"/>
      <c r="E550" s="32">
        <f>IFERROR(__xludf.DUMMYFUNCTION("""COMPUTED_VALUE"""),200.0)</f>
        <v>200</v>
      </c>
      <c r="F550" s="44">
        <f>IFERROR(__xludf.DUMMYFUNCTION("""COMPUTED_VALUE"""),1.1175E8)</f>
        <v>111750000</v>
      </c>
      <c r="G550" s="32" t="str">
        <f>IFERROR(__xludf.DUMMYFUNCTION("""COMPUTED_VALUE"""),"DEF")</f>
        <v>DEF</v>
      </c>
      <c r="H550" s="33">
        <f>IFERROR(__xludf.DUMMYFUNCTION("""COMPUTED_VALUE"""),25000.0)</f>
        <v>25000</v>
      </c>
      <c r="I550" s="33">
        <f>IFERROR(__xludf.DUMMYFUNCTION("""COMPUTED_VALUE"""),10000.0)</f>
        <v>10000</v>
      </c>
      <c r="J550" s="32"/>
      <c r="K550" s="33">
        <f>IFERROR(__xludf.DUMMYFUNCTION("""COMPUTED_VALUE"""),5000.0)</f>
        <v>5000</v>
      </c>
      <c r="L550" s="32"/>
      <c r="M550" s="32"/>
      <c r="N550" s="32"/>
      <c r="O550" s="32"/>
      <c r="P550" s="32"/>
      <c r="Q550" s="32"/>
      <c r="R550" s="32"/>
      <c r="S550" s="33">
        <f>IFERROR(__xludf.DUMMYFUNCTION("""COMPUTED_VALUE"""),25000.0)</f>
        <v>25000</v>
      </c>
      <c r="T550" s="32"/>
      <c r="U550" s="32"/>
      <c r="V550" s="32"/>
      <c r="W550" s="32"/>
      <c r="X550" s="32"/>
      <c r="Y550" s="32"/>
      <c r="Z550" s="32"/>
      <c r="AA550" s="32"/>
      <c r="AB550" s="32"/>
      <c r="AC550" s="33">
        <f>IFERROR(__xludf.DUMMYFUNCTION("""COMPUTED_VALUE"""),10000.0)</f>
        <v>10000</v>
      </c>
      <c r="AD550" s="32"/>
      <c r="AE550" s="32"/>
      <c r="AF550" s="32"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32" t="str">
        <f>IFERROR(__xludf.DUMMYFUNCTION("""COMPUTED_VALUE"""),"Land of Spira")</f>
        <v>Land of Spira</v>
      </c>
      <c r="AH550" s="32" t="b">
        <f>IFERROR(__xludf.DUMMYFUNCTION("""COMPUTED_VALUE"""),FALSE)</f>
        <v>0</v>
      </c>
      <c r="AI550" s="32"/>
      <c r="AJ550" s="32"/>
      <c r="AK550" s="32"/>
      <c r="AL550" s="32"/>
      <c r="AM550" s="32"/>
      <c r="AN550" s="32"/>
      <c r="AO550" s="32"/>
      <c r="AP550" s="32"/>
      <c r="AQ550" s="32"/>
      <c r="AR550" s="32"/>
      <c r="AS550" s="32"/>
      <c r="AT550" s="32"/>
      <c r="AU550" s="32"/>
      <c r="AV550" s="32"/>
      <c r="AW550" s="32"/>
      <c r="AX550" s="32"/>
    </row>
    <row r="551">
      <c r="A551" s="32" t="str">
        <f>IFERROR(__xludf.DUMMYFUNCTION("""COMPUTED_VALUE"""),"Forged Paladin's Plate")</f>
        <v>Forged Paladin's Plate</v>
      </c>
      <c r="B551" s="32" t="str">
        <f>IFERROR(__xludf.DUMMYFUNCTION("""COMPUTED_VALUE"""),"Torso")</f>
        <v>Torso</v>
      </c>
      <c r="C551" s="32" t="str">
        <f>IFERROR(__xludf.DUMMYFUNCTION("""COMPUTED_VALUE"""),"Quest Item")</f>
        <v>Quest Item</v>
      </c>
      <c r="D551" s="32"/>
      <c r="E551" s="32">
        <f>IFERROR(__xludf.DUMMYFUNCTION("""COMPUTED_VALUE"""),200.0)</f>
        <v>200</v>
      </c>
      <c r="F551" s="44">
        <f>IFERROR(__xludf.DUMMYFUNCTION("""COMPUTED_VALUE"""),1.99E8)</f>
        <v>199000000</v>
      </c>
      <c r="G551" s="32" t="str">
        <f>IFERROR(__xludf.DUMMYFUNCTION("""COMPUTED_VALUE"""),"DEF")</f>
        <v>DEF</v>
      </c>
      <c r="H551" s="33">
        <f>IFERROR(__xludf.DUMMYFUNCTION("""COMPUTED_VALUE"""),35000.0)</f>
        <v>35000</v>
      </c>
      <c r="I551" s="33">
        <f>IFERROR(__xludf.DUMMYFUNCTION("""COMPUTED_VALUE"""),15000.0)</f>
        <v>15000</v>
      </c>
      <c r="J551" s="32"/>
      <c r="K551" s="33">
        <f>IFERROR(__xludf.DUMMYFUNCTION("""COMPUTED_VALUE"""),5000.0)</f>
        <v>5000</v>
      </c>
      <c r="L551" s="32"/>
      <c r="M551" s="32"/>
      <c r="N551" s="32"/>
      <c r="O551" s="32"/>
      <c r="P551" s="32"/>
      <c r="Q551" s="32"/>
      <c r="R551" s="32"/>
      <c r="S551" s="33">
        <f>IFERROR(__xludf.DUMMYFUNCTION("""COMPUTED_VALUE"""),30000.0)</f>
        <v>30000</v>
      </c>
      <c r="T551" s="32"/>
      <c r="U551" s="32"/>
      <c r="V551" s="32"/>
      <c r="W551" s="32"/>
      <c r="X551" s="32"/>
      <c r="Y551" s="32"/>
      <c r="Z551" s="32"/>
      <c r="AA551" s="32"/>
      <c r="AB551" s="32"/>
      <c r="AC551" s="33">
        <f>IFERROR(__xludf.DUMMYFUNCTION("""COMPUTED_VALUE"""),15000.0)</f>
        <v>15000</v>
      </c>
      <c r="AD551" s="32"/>
      <c r="AE551" s="32"/>
      <c r="AF551" s="32" t="str">
        <f>IFERROR(__xludf.DUMMYFUNCTION("""COMPUTED_VALUE"""),"++X4 Fire damage. ++fire immunity +-Forged Paladin Class Only.")</f>
        <v>++X4 Fire damage. ++fire immunity +-Forged Paladin Class Only.</v>
      </c>
      <c r="AG551" s="32" t="str">
        <f>IFERROR(__xludf.DUMMYFUNCTION("""COMPUTED_VALUE"""),"Land of Spira")</f>
        <v>Land of Spira</v>
      </c>
      <c r="AH551" s="32" t="b">
        <f>IFERROR(__xludf.DUMMYFUNCTION("""COMPUTED_VALUE"""),FALSE)</f>
        <v>0</v>
      </c>
      <c r="AI551" s="32"/>
      <c r="AJ551" s="32"/>
      <c r="AK551" s="32"/>
      <c r="AL551" s="32"/>
      <c r="AM551" s="32"/>
      <c r="AN551" s="32"/>
      <c r="AO551" s="32"/>
      <c r="AP551" s="32"/>
      <c r="AQ551" s="32"/>
      <c r="AR551" s="32"/>
      <c r="AS551" s="32"/>
      <c r="AT551" s="32"/>
      <c r="AU551" s="32"/>
      <c r="AV551" s="32"/>
      <c r="AW551" s="32"/>
      <c r="AX551" s="32"/>
    </row>
    <row r="552">
      <c r="A552" s="32" t="str">
        <f>IFERROR(__xludf.DUMMYFUNCTION("""COMPUTED_VALUE"""),"Forged Paladin's Vambraces")</f>
        <v>Forged Paladin's Vambraces</v>
      </c>
      <c r="B552" s="32" t="str">
        <f>IFERROR(__xludf.DUMMYFUNCTION("""COMPUTED_VALUE"""),"Arms")</f>
        <v>Arms</v>
      </c>
      <c r="C552" s="32" t="str">
        <f>IFERROR(__xludf.DUMMYFUNCTION("""COMPUTED_VALUE"""),"Quest Item")</f>
        <v>Quest Item</v>
      </c>
      <c r="D552" s="32"/>
      <c r="E552" s="32">
        <f>IFERROR(__xludf.DUMMYFUNCTION("""COMPUTED_VALUE"""),200.0)</f>
        <v>200</v>
      </c>
      <c r="F552" s="44">
        <f>IFERROR(__xludf.DUMMYFUNCTION("""COMPUTED_VALUE"""),1.1175E8)</f>
        <v>111750000</v>
      </c>
      <c r="G552" s="32" t="str">
        <f>IFERROR(__xludf.DUMMYFUNCTION("""COMPUTED_VALUE"""),"DEF")</f>
        <v>DEF</v>
      </c>
      <c r="H552" s="33">
        <f>IFERROR(__xludf.DUMMYFUNCTION("""COMPUTED_VALUE"""),25000.0)</f>
        <v>25000</v>
      </c>
      <c r="I552" s="33">
        <f>IFERROR(__xludf.DUMMYFUNCTION("""COMPUTED_VALUE"""),10000.0)</f>
        <v>10000</v>
      </c>
      <c r="J552" s="32"/>
      <c r="K552" s="33">
        <f>IFERROR(__xludf.DUMMYFUNCTION("""COMPUTED_VALUE"""),5000.0)</f>
        <v>5000</v>
      </c>
      <c r="L552" s="32"/>
      <c r="M552" s="32"/>
      <c r="N552" s="32"/>
      <c r="O552" s="32"/>
      <c r="P552" s="32"/>
      <c r="Q552" s="32"/>
      <c r="R552" s="32"/>
      <c r="S552" s="33">
        <f>IFERROR(__xludf.DUMMYFUNCTION("""COMPUTED_VALUE"""),25000.0)</f>
        <v>25000</v>
      </c>
      <c r="T552" s="32"/>
      <c r="U552" s="32"/>
      <c r="V552" s="32"/>
      <c r="W552" s="32"/>
      <c r="X552" s="32"/>
      <c r="Y552" s="32"/>
      <c r="Z552" s="32"/>
      <c r="AA552" s="32"/>
      <c r="AB552" s="32"/>
      <c r="AC552" s="33">
        <f>IFERROR(__xludf.DUMMYFUNCTION("""COMPUTED_VALUE"""),10000.0)</f>
        <v>10000</v>
      </c>
      <c r="AD552" s="32"/>
      <c r="AE552" s="32"/>
      <c r="AF552" s="32"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32" t="str">
        <f>IFERROR(__xludf.DUMMYFUNCTION("""COMPUTED_VALUE"""),"Land of Spira")</f>
        <v>Land of Spira</v>
      </c>
      <c r="AH552" s="32" t="b">
        <f>IFERROR(__xludf.DUMMYFUNCTION("""COMPUTED_VALUE"""),FALSE)</f>
        <v>0</v>
      </c>
      <c r="AI552" s="32"/>
      <c r="AJ552" s="32"/>
      <c r="AK552" s="32"/>
      <c r="AL552" s="32"/>
      <c r="AM552" s="32"/>
      <c r="AN552" s="32"/>
      <c r="AO552" s="32"/>
      <c r="AP552" s="32"/>
      <c r="AQ552" s="32"/>
      <c r="AR552" s="32"/>
      <c r="AS552" s="32"/>
      <c r="AT552" s="32"/>
      <c r="AU552" s="32"/>
      <c r="AV552" s="32"/>
      <c r="AW552" s="32"/>
      <c r="AX552" s="32"/>
    </row>
    <row r="553">
      <c r="A553" s="32" t="str">
        <f>IFERROR(__xludf.DUMMYFUNCTION("""COMPUTED_VALUE"""),"Forged Firearm")</f>
        <v>Forged Firearm</v>
      </c>
      <c r="B553" s="32" t="str">
        <f>IFERROR(__xludf.DUMMYFUNCTION("""COMPUTED_VALUE"""),"Hand")</f>
        <v>Hand</v>
      </c>
      <c r="C553" s="32" t="str">
        <f>IFERROR(__xludf.DUMMYFUNCTION("""COMPUTED_VALUE"""),"Quest Item")</f>
        <v>Quest Item</v>
      </c>
      <c r="D553" s="32" t="str">
        <f>IFERROR(__xludf.DUMMYFUNCTION("""COMPUTED_VALUE"""),"Firearm")</f>
        <v>Firearm</v>
      </c>
      <c r="E553" s="32">
        <f>IFERROR(__xludf.DUMMYFUNCTION("""COMPUTED_VALUE"""),200.0)</f>
        <v>200</v>
      </c>
      <c r="F553" s="44">
        <f>IFERROR(__xludf.DUMMYFUNCTION("""COMPUTED_VALUE"""),1.99E8)</f>
        <v>199000000</v>
      </c>
      <c r="G553" s="32" t="str">
        <f>IFERROR(__xludf.DUMMYFUNCTION("""COMPUTED_VALUE"""),"DMG")</f>
        <v>DMG</v>
      </c>
      <c r="H553" s="33">
        <f>IFERROR(__xludf.DUMMYFUNCTION("""COMPUTED_VALUE"""),50000.0)</f>
        <v>50000</v>
      </c>
      <c r="I553" s="33">
        <f>IFERROR(__xludf.DUMMYFUNCTION("""COMPUTED_VALUE"""),25000.0)</f>
        <v>25000</v>
      </c>
      <c r="J553" s="32"/>
      <c r="K553" s="32"/>
      <c r="L553" s="32"/>
      <c r="M553" s="32"/>
      <c r="N553" s="32"/>
      <c r="O553" s="32"/>
      <c r="P553" s="32"/>
      <c r="Q553" s="32"/>
      <c r="R553" s="32"/>
      <c r="S553" s="32"/>
      <c r="T553" s="32"/>
      <c r="U553" s="32"/>
      <c r="V553" s="32"/>
      <c r="W553" s="32"/>
      <c r="X553" s="32"/>
      <c r="Y553" s="32"/>
      <c r="Z553" s="32"/>
      <c r="AA553" s="32"/>
      <c r="AB553" s="32"/>
      <c r="AC553" s="33">
        <f>IFERROR(__xludf.DUMMYFUNCTION("""COMPUTED_VALUE"""),25000.0)</f>
        <v>25000</v>
      </c>
      <c r="AD553" s="32"/>
      <c r="AE553" s="32"/>
      <c r="AF553" s="32"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32" t="str">
        <f>IFERROR(__xludf.DUMMYFUNCTION("""COMPUTED_VALUE"""),"Land of Spira")</f>
        <v>Land of Spira</v>
      </c>
      <c r="AH553" s="32" t="b">
        <f>IFERROR(__xludf.DUMMYFUNCTION("""COMPUTED_VALUE"""),FALSE)</f>
        <v>0</v>
      </c>
      <c r="AI553" s="32"/>
      <c r="AJ553" s="32"/>
      <c r="AK553" s="32"/>
      <c r="AL553" s="32"/>
      <c r="AM553" s="32"/>
      <c r="AN553" s="32"/>
      <c r="AO553" s="32"/>
      <c r="AP553" s="32"/>
      <c r="AQ553" s="32"/>
      <c r="AR553" s="32"/>
      <c r="AS553" s="32"/>
      <c r="AT553" s="32"/>
      <c r="AU553" s="32"/>
      <c r="AV553" s="32"/>
      <c r="AW553" s="32"/>
      <c r="AX553" s="32"/>
    </row>
    <row r="554">
      <c r="A554" s="32" t="str">
        <f>IFERROR(__xludf.DUMMYFUNCTION("""COMPUTED_VALUE"""),"Forged Towershield")</f>
        <v>Forged Towershield</v>
      </c>
      <c r="B554" s="32" t="str">
        <f>IFERROR(__xludf.DUMMYFUNCTION("""COMPUTED_VALUE"""),"Hand")</f>
        <v>Hand</v>
      </c>
      <c r="C554" s="32" t="str">
        <f>IFERROR(__xludf.DUMMYFUNCTION("""COMPUTED_VALUE"""),"Quest Item")</f>
        <v>Quest Item</v>
      </c>
      <c r="D554" s="32" t="str">
        <f>IFERROR(__xludf.DUMMYFUNCTION("""COMPUTED_VALUE"""),"Towershield")</f>
        <v>Towershield</v>
      </c>
      <c r="E554" s="32">
        <f>IFERROR(__xludf.DUMMYFUNCTION("""COMPUTED_VALUE"""),200.0)</f>
        <v>200</v>
      </c>
      <c r="F554" s="44">
        <f>IFERROR(__xludf.DUMMYFUNCTION("""COMPUTED_VALUE"""),5.4285E8)</f>
        <v>542850000</v>
      </c>
      <c r="G554" s="32" t="str">
        <f>IFERROR(__xludf.DUMMYFUNCTION("""COMPUTED_VALUE"""),"DEF")</f>
        <v>DEF</v>
      </c>
      <c r="H554" s="33">
        <f>IFERROR(__xludf.DUMMYFUNCTION("""COMPUTED_VALUE"""),50000.0)</f>
        <v>50000</v>
      </c>
      <c r="I554" s="33">
        <f>IFERROR(__xludf.DUMMYFUNCTION("""COMPUTED_VALUE"""),25000.0)</f>
        <v>25000</v>
      </c>
      <c r="J554" s="32"/>
      <c r="K554" s="33">
        <f>IFERROR(__xludf.DUMMYFUNCTION("""COMPUTED_VALUE"""),15000.0)</f>
        <v>15000</v>
      </c>
      <c r="L554" s="32"/>
      <c r="M554" s="32"/>
      <c r="N554" s="32"/>
      <c r="O554" s="32"/>
      <c r="P554" s="32"/>
      <c r="Q554" s="32"/>
      <c r="R554" s="32"/>
      <c r="S554" s="33">
        <f>IFERROR(__xludf.DUMMYFUNCTION("""COMPUTED_VALUE"""),50000.0)</f>
        <v>50000</v>
      </c>
      <c r="T554" s="32"/>
      <c r="U554" s="32"/>
      <c r="V554" s="32"/>
      <c r="W554" s="32"/>
      <c r="X554" s="32"/>
      <c r="Y554" s="32"/>
      <c r="Z554" s="32"/>
      <c r="AA554" s="32"/>
      <c r="AB554" s="32"/>
      <c r="AC554" s="33">
        <f>IFERROR(__xludf.DUMMYFUNCTION("""COMPUTED_VALUE"""),25000.0)</f>
        <v>25000</v>
      </c>
      <c r="AD554" s="32"/>
      <c r="AE554" s="32"/>
      <c r="AF554" s="32" t="str">
        <f>IFERROR(__xludf.DUMMYFUNCTION("""COMPUTED_VALUE"""),"++X2 defense. ++When equipped with the rest of the Forged Paladin gear gain X6 defense. +-Forged Paladin Class Only.")</f>
        <v>++X2 defense. ++When equipped with the rest of the Forged Paladin gear gain X6 defense. +-Forged Paladin Class Only.</v>
      </c>
      <c r="AG554" s="32" t="str">
        <f>IFERROR(__xludf.DUMMYFUNCTION("""COMPUTED_VALUE"""),"Land of Spira")</f>
        <v>Land of Spira</v>
      </c>
      <c r="AH554" s="32" t="b">
        <f>IFERROR(__xludf.DUMMYFUNCTION("""COMPUTED_VALUE"""),FALSE)</f>
        <v>0</v>
      </c>
      <c r="AI554" s="32"/>
      <c r="AJ554" s="32"/>
      <c r="AK554" s="32"/>
      <c r="AL554" s="32"/>
      <c r="AM554" s="32"/>
      <c r="AN554" s="32"/>
      <c r="AO554" s="32"/>
      <c r="AP554" s="32"/>
      <c r="AQ554" s="32"/>
      <c r="AR554" s="32"/>
      <c r="AS554" s="32"/>
      <c r="AT554" s="32"/>
      <c r="AU554" s="32"/>
      <c r="AV554" s="32"/>
      <c r="AW554" s="32"/>
      <c r="AX554" s="32"/>
    </row>
    <row r="555">
      <c r="A555" s="32" t="str">
        <f>IFERROR(__xludf.DUMMYFUNCTION("""COMPUTED_VALUE"""),"Forged Leg guard")</f>
        <v>Forged Leg guard</v>
      </c>
      <c r="B555" s="32" t="str">
        <f>IFERROR(__xludf.DUMMYFUNCTION("""COMPUTED_VALUE"""),"Legs")</f>
        <v>Legs</v>
      </c>
      <c r="C555" s="32" t="str">
        <f>IFERROR(__xludf.DUMMYFUNCTION("""COMPUTED_VALUE"""),"Quest Item")</f>
        <v>Quest Item</v>
      </c>
      <c r="D555" s="32"/>
      <c r="E555" s="32">
        <f>IFERROR(__xludf.DUMMYFUNCTION("""COMPUTED_VALUE"""),200.0)</f>
        <v>200</v>
      </c>
      <c r="F555" s="44">
        <f>IFERROR(__xludf.DUMMYFUNCTION("""COMPUTED_VALUE"""),1.1175E8)</f>
        <v>111750000</v>
      </c>
      <c r="G555" s="32" t="str">
        <f>IFERROR(__xludf.DUMMYFUNCTION("""COMPUTED_VALUE"""),"DEF")</f>
        <v>DEF</v>
      </c>
      <c r="H555" s="33">
        <f>IFERROR(__xludf.DUMMYFUNCTION("""COMPUTED_VALUE"""),25000.0)</f>
        <v>25000</v>
      </c>
      <c r="I555" s="33">
        <f>IFERROR(__xludf.DUMMYFUNCTION("""COMPUTED_VALUE"""),10000.0)</f>
        <v>10000</v>
      </c>
      <c r="J555" s="32"/>
      <c r="K555" s="33">
        <f>IFERROR(__xludf.DUMMYFUNCTION("""COMPUTED_VALUE"""),5000.0)</f>
        <v>5000</v>
      </c>
      <c r="L555" s="32"/>
      <c r="M555" s="32"/>
      <c r="N555" s="32"/>
      <c r="O555" s="32"/>
      <c r="P555" s="32"/>
      <c r="Q555" s="32"/>
      <c r="R555" s="32"/>
      <c r="S555" s="33">
        <f>IFERROR(__xludf.DUMMYFUNCTION("""COMPUTED_VALUE"""),25000.0)</f>
        <v>25000</v>
      </c>
      <c r="T555" s="32"/>
      <c r="U555" s="32"/>
      <c r="V555" s="32"/>
      <c r="W555" s="32"/>
      <c r="X555" s="32"/>
      <c r="Y555" s="32"/>
      <c r="Z555" s="32"/>
      <c r="AA555" s="32"/>
      <c r="AB555" s="32"/>
      <c r="AC555" s="33">
        <f>IFERROR(__xludf.DUMMYFUNCTION("""COMPUTED_VALUE"""),10000.0)</f>
        <v>10000</v>
      </c>
      <c r="AD555" s="32"/>
      <c r="AE555" s="32"/>
      <c r="AF555" s="32" t="str">
        <f>IFERROR(__xludf.DUMMYFUNCTION("""COMPUTED_VALUE"""),"++When affected by Burn, Heal by the damage instead. +-Forged Paladin Class Only.")</f>
        <v>++When affected by Burn, Heal by the damage instead. +-Forged Paladin Class Only.</v>
      </c>
      <c r="AG555" s="32" t="str">
        <f>IFERROR(__xludf.DUMMYFUNCTION("""COMPUTED_VALUE"""),"Land of Spira")</f>
        <v>Land of Spira</v>
      </c>
      <c r="AH555" s="32" t="b">
        <f>IFERROR(__xludf.DUMMYFUNCTION("""COMPUTED_VALUE"""),FALSE)</f>
        <v>0</v>
      </c>
      <c r="AI555" s="32"/>
      <c r="AJ555" s="32"/>
      <c r="AK555" s="32"/>
      <c r="AL555" s="32"/>
      <c r="AM555" s="32"/>
      <c r="AN555" s="32"/>
      <c r="AO555" s="32"/>
      <c r="AP555" s="32"/>
      <c r="AQ555" s="32"/>
      <c r="AR555" s="32"/>
      <c r="AS555" s="32"/>
      <c r="AT555" s="32"/>
      <c r="AU555" s="32"/>
      <c r="AV555" s="32"/>
      <c r="AW555" s="32"/>
      <c r="AX555" s="32"/>
    </row>
    <row r="556">
      <c r="A556" s="32" t="str">
        <f>IFERROR(__xludf.DUMMYFUNCTION("""COMPUTED_VALUE"""),"Forged Sabatons")</f>
        <v>Forged Sabatons</v>
      </c>
      <c r="B556" s="32" t="str">
        <f>IFERROR(__xludf.DUMMYFUNCTION("""COMPUTED_VALUE"""),"Feet")</f>
        <v>Feet</v>
      </c>
      <c r="C556" s="32" t="str">
        <f>IFERROR(__xludf.DUMMYFUNCTION("""COMPUTED_VALUE"""),"Quest Item")</f>
        <v>Quest Item</v>
      </c>
      <c r="D556" s="32"/>
      <c r="E556" s="32">
        <f>IFERROR(__xludf.DUMMYFUNCTION("""COMPUTED_VALUE"""),200.0)</f>
        <v>200</v>
      </c>
      <c r="F556" s="44">
        <f>IFERROR(__xludf.DUMMYFUNCTION("""COMPUTED_VALUE"""),1.1175E8)</f>
        <v>111750000</v>
      </c>
      <c r="G556" s="32" t="str">
        <f>IFERROR(__xludf.DUMMYFUNCTION("""COMPUTED_VALUE"""),"DEF")</f>
        <v>DEF</v>
      </c>
      <c r="H556" s="33">
        <f>IFERROR(__xludf.DUMMYFUNCTION("""COMPUTED_VALUE"""),25000.0)</f>
        <v>25000</v>
      </c>
      <c r="I556" s="33">
        <f>IFERROR(__xludf.DUMMYFUNCTION("""COMPUTED_VALUE"""),10000.0)</f>
        <v>10000</v>
      </c>
      <c r="J556" s="32"/>
      <c r="K556" s="33">
        <f>IFERROR(__xludf.DUMMYFUNCTION("""COMPUTED_VALUE"""),5000.0)</f>
        <v>5000</v>
      </c>
      <c r="L556" s="32"/>
      <c r="M556" s="32"/>
      <c r="N556" s="32"/>
      <c r="O556" s="32"/>
      <c r="P556" s="32"/>
      <c r="Q556" s="32"/>
      <c r="R556" s="32"/>
      <c r="S556" s="33">
        <f>IFERROR(__xludf.DUMMYFUNCTION("""COMPUTED_VALUE"""),25000.0)</f>
        <v>25000</v>
      </c>
      <c r="T556" s="32"/>
      <c r="U556" s="32"/>
      <c r="V556" s="32"/>
      <c r="W556" s="32"/>
      <c r="X556" s="32"/>
      <c r="Y556" s="32"/>
      <c r="Z556" s="32"/>
      <c r="AA556" s="32"/>
      <c r="AB556" s="32"/>
      <c r="AC556" s="33">
        <f>IFERROR(__xludf.DUMMYFUNCTION("""COMPUTED_VALUE"""),10000.0)</f>
        <v>10000</v>
      </c>
      <c r="AD556" s="32"/>
      <c r="AE556" s="32"/>
      <c r="AF556" s="32" t="str">
        <f>IFERROR(__xludf.DUMMYFUNCTION("""COMPUTED_VALUE"""),"++When attacking with a fire spell add ++5 to roll. +-Forged Paladin Class Only.")</f>
        <v>++When attacking with a fire spell add ++5 to roll. +-Forged Paladin Class Only.</v>
      </c>
      <c r="AG556" s="32" t="str">
        <f>IFERROR(__xludf.DUMMYFUNCTION("""COMPUTED_VALUE"""),"Land of Spira")</f>
        <v>Land of Spira</v>
      </c>
      <c r="AH556" s="32" t="b">
        <f>IFERROR(__xludf.DUMMYFUNCTION("""COMPUTED_VALUE"""),FALSE)</f>
        <v>0</v>
      </c>
      <c r="AI556" s="32"/>
      <c r="AJ556" s="32"/>
      <c r="AK556" s="32"/>
      <c r="AL556" s="32"/>
      <c r="AM556" s="32"/>
      <c r="AN556" s="32"/>
      <c r="AO556" s="32"/>
      <c r="AP556" s="32"/>
      <c r="AQ556" s="32"/>
      <c r="AR556" s="32"/>
      <c r="AS556" s="32"/>
      <c r="AT556" s="32"/>
      <c r="AU556" s="32"/>
      <c r="AV556" s="32"/>
      <c r="AW556" s="32"/>
      <c r="AX556" s="32"/>
    </row>
    <row r="557">
      <c r="A557" s="32" t="str">
        <f>IFERROR(__xludf.DUMMYFUNCTION("""COMPUTED_VALUE"""),"Scrap Ring")</f>
        <v>Scrap Ring</v>
      </c>
      <c r="B557" s="32" t="str">
        <f>IFERROR(__xludf.DUMMYFUNCTION("""COMPUTED_VALUE"""),"Ring")</f>
        <v>Ring</v>
      </c>
      <c r="C557" s="32" t="str">
        <f>IFERROR(__xludf.DUMMYFUNCTION("""COMPUTED_VALUE"""),"Quest Item")</f>
        <v>Quest Item</v>
      </c>
      <c r="D557" s="32"/>
      <c r="E557" s="32">
        <f>IFERROR(__xludf.DUMMYFUNCTION("""COMPUTED_VALUE"""),1.0)</f>
        <v>1</v>
      </c>
      <c r="F557" s="44">
        <f>IFERROR(__xludf.DUMMYFUNCTION("""COMPUTED_VALUE"""),0.0)</f>
        <v>0</v>
      </c>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t="str">
        <f>IFERROR(__xludf.DUMMYFUNCTION("""COMPUTED_VALUE"""),"++When you attack an enemy with a firearm, inflict Marked 3. +-Forged Paladin Class Only.")</f>
        <v>++When you attack an enemy with a firearm, inflict Marked 3. +-Forged Paladin Class Only.</v>
      </c>
      <c r="AG557" s="32" t="str">
        <f>IFERROR(__xludf.DUMMYFUNCTION("""COMPUTED_VALUE"""),"Land of Spira")</f>
        <v>Land of Spira</v>
      </c>
      <c r="AH557" s="32" t="b">
        <f>IFERROR(__xludf.DUMMYFUNCTION("""COMPUTED_VALUE"""),FALSE)</f>
        <v>0</v>
      </c>
      <c r="AI557" s="32"/>
      <c r="AJ557" s="32"/>
      <c r="AK557" s="32"/>
      <c r="AL557" s="32"/>
      <c r="AM557" s="32"/>
      <c r="AN557" s="32"/>
      <c r="AO557" s="32"/>
      <c r="AP557" s="32"/>
      <c r="AQ557" s="32"/>
      <c r="AR557" s="32"/>
      <c r="AS557" s="32"/>
      <c r="AT557" s="32"/>
      <c r="AU557" s="32"/>
      <c r="AV557" s="32"/>
      <c r="AW557" s="32"/>
      <c r="AX557" s="32"/>
    </row>
    <row r="558">
      <c r="A558" s="32" t="str">
        <f>IFERROR(__xludf.DUMMYFUNCTION("""COMPUTED_VALUE"""),"Scrap Gorget")</f>
        <v>Scrap Gorget</v>
      </c>
      <c r="B558" s="32" t="str">
        <f>IFERROR(__xludf.DUMMYFUNCTION("""COMPUTED_VALUE"""),"Neck")</f>
        <v>Neck</v>
      </c>
      <c r="C558" s="32" t="str">
        <f>IFERROR(__xludf.DUMMYFUNCTION("""COMPUTED_VALUE"""),"Quest Item")</f>
        <v>Quest Item</v>
      </c>
      <c r="D558" s="32"/>
      <c r="E558" s="32">
        <f>IFERROR(__xludf.DUMMYFUNCTION("""COMPUTED_VALUE"""),1.0)</f>
        <v>1</v>
      </c>
      <c r="F558" s="44">
        <f>IFERROR(__xludf.DUMMYFUNCTION("""COMPUTED_VALUE"""),0.0)</f>
        <v>0</v>
      </c>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32" t="str">
        <f>IFERROR(__xludf.DUMMYFUNCTION("""COMPUTED_VALUE"""),"Land of Spira")</f>
        <v>Land of Spira</v>
      </c>
      <c r="AH558" s="32" t="b">
        <f>IFERROR(__xludf.DUMMYFUNCTION("""COMPUTED_VALUE"""),FALSE)</f>
        <v>0</v>
      </c>
      <c r="AI558" s="32"/>
      <c r="AJ558" s="32"/>
      <c r="AK558" s="32"/>
      <c r="AL558" s="32"/>
      <c r="AM558" s="32"/>
      <c r="AN558" s="32"/>
      <c r="AO558" s="32"/>
      <c r="AP558" s="32"/>
      <c r="AQ558" s="32"/>
      <c r="AR558" s="32"/>
      <c r="AS558" s="32"/>
      <c r="AT558" s="32"/>
      <c r="AU558" s="32"/>
      <c r="AV558" s="32"/>
      <c r="AW558" s="32"/>
      <c r="AX558" s="32"/>
    </row>
    <row r="559">
      <c r="A559" s="32" t="str">
        <f>IFERROR(__xludf.DUMMYFUNCTION("""COMPUTED_VALUE"""),"Minstrel's Cap")</f>
        <v>Minstrel's Cap</v>
      </c>
      <c r="B559" s="32" t="str">
        <f>IFERROR(__xludf.DUMMYFUNCTION("""COMPUTED_VALUE"""),"Head")</f>
        <v>Head</v>
      </c>
      <c r="C559" s="32" t="str">
        <f>IFERROR(__xludf.DUMMYFUNCTION("""COMPUTED_VALUE"""),"Quest Item")</f>
        <v>Quest Item</v>
      </c>
      <c r="D559" s="32"/>
      <c r="E559" s="32">
        <f>IFERROR(__xludf.DUMMYFUNCTION("""COMPUTED_VALUE"""),400.0)</f>
        <v>400</v>
      </c>
      <c r="F559" s="44">
        <f>IFERROR(__xludf.DUMMYFUNCTION("""COMPUTED_VALUE"""),7800000.0)</f>
        <v>7800000</v>
      </c>
      <c r="G559" s="32" t="str">
        <f>IFERROR(__xludf.DUMMYFUNCTION("""COMPUTED_VALUE"""),"DEF")</f>
        <v>DEF</v>
      </c>
      <c r="H559" s="33">
        <f>IFERROR(__xludf.DUMMYFUNCTION("""COMPUTED_VALUE"""),20000.0)</f>
        <v>20000</v>
      </c>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32" t="str">
        <f>IFERROR(__xludf.DUMMYFUNCTION("""COMPUTED_VALUE"""),"Solreach")</f>
        <v>Solreach</v>
      </c>
      <c r="AH559" s="32" t="b">
        <f>IFERROR(__xludf.DUMMYFUNCTION("""COMPUTED_VALUE"""),TRUE)</f>
        <v>1</v>
      </c>
      <c r="AI559" s="32"/>
      <c r="AJ559" s="32"/>
      <c r="AK559" s="32"/>
      <c r="AL559" s="32"/>
      <c r="AM559" s="32"/>
      <c r="AN559" s="32"/>
      <c r="AO559" s="32"/>
      <c r="AP559" s="32"/>
      <c r="AQ559" s="32"/>
      <c r="AR559" s="32"/>
      <c r="AS559" s="32"/>
      <c r="AT559" s="32"/>
      <c r="AU559" s="32"/>
      <c r="AV559" s="32"/>
      <c r="AW559" s="32"/>
      <c r="AX559" s="32"/>
    </row>
    <row r="560">
      <c r="A560" s="32" t="str">
        <f>IFERROR(__xludf.DUMMYFUNCTION("""COMPUTED_VALUE"""),"Minstrel's Cape")</f>
        <v>Minstrel's Cape</v>
      </c>
      <c r="B560" s="32" t="str">
        <f>IFERROR(__xludf.DUMMYFUNCTION("""COMPUTED_VALUE"""),"Shoulders")</f>
        <v>Shoulders</v>
      </c>
      <c r="C560" s="32" t="str">
        <f>IFERROR(__xludf.DUMMYFUNCTION("""COMPUTED_VALUE"""),"Quest Item")</f>
        <v>Quest Item</v>
      </c>
      <c r="D560" s="32"/>
      <c r="E560" s="32">
        <f>IFERROR(__xludf.DUMMYFUNCTION("""COMPUTED_VALUE"""),400.0)</f>
        <v>400</v>
      </c>
      <c r="F560" s="44">
        <f>IFERROR(__xludf.DUMMYFUNCTION("""COMPUTED_VALUE"""),7800000.0)</f>
        <v>7800000</v>
      </c>
      <c r="G560" s="32" t="str">
        <f>IFERROR(__xludf.DUMMYFUNCTION("""COMPUTED_VALUE"""),"DEF")</f>
        <v>DEF</v>
      </c>
      <c r="H560" s="33">
        <f>IFERROR(__xludf.DUMMYFUNCTION("""COMPUTED_VALUE"""),20000.0)</f>
        <v>20000</v>
      </c>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32" t="str">
        <f>IFERROR(__xludf.DUMMYFUNCTION("""COMPUTED_VALUE"""),"Solreach")</f>
        <v>Solreach</v>
      </c>
      <c r="AH560" s="32" t="b">
        <f>IFERROR(__xludf.DUMMYFUNCTION("""COMPUTED_VALUE"""),TRUE)</f>
        <v>1</v>
      </c>
      <c r="AI560" s="32"/>
      <c r="AJ560" s="32"/>
      <c r="AK560" s="32"/>
      <c r="AL560" s="32"/>
      <c r="AM560" s="32"/>
      <c r="AN560" s="32"/>
      <c r="AO560" s="32"/>
      <c r="AP560" s="32"/>
      <c r="AQ560" s="32"/>
      <c r="AR560" s="32"/>
      <c r="AS560" s="32"/>
      <c r="AT560" s="32"/>
      <c r="AU560" s="32"/>
      <c r="AV560" s="32"/>
      <c r="AW560" s="32"/>
      <c r="AX560" s="32"/>
    </row>
    <row r="561">
      <c r="A561" s="32" t="str">
        <f>IFERROR(__xludf.DUMMYFUNCTION("""COMPUTED_VALUE"""),"Minstrel's Doublet")</f>
        <v>Minstrel's Doublet</v>
      </c>
      <c r="B561" s="32" t="str">
        <f>IFERROR(__xludf.DUMMYFUNCTION("""COMPUTED_VALUE"""),"Torso")</f>
        <v>Torso</v>
      </c>
      <c r="C561" s="32" t="str">
        <f>IFERROR(__xludf.DUMMYFUNCTION("""COMPUTED_VALUE"""),"Quest Item")</f>
        <v>Quest Item</v>
      </c>
      <c r="D561" s="32"/>
      <c r="E561" s="32">
        <f>IFERROR(__xludf.DUMMYFUNCTION("""COMPUTED_VALUE"""),800.0)</f>
        <v>800</v>
      </c>
      <c r="F561" s="44">
        <f>IFERROR(__xludf.DUMMYFUNCTION("""COMPUTED_VALUE"""),3.16E7)</f>
        <v>31600000</v>
      </c>
      <c r="G561" s="32" t="str">
        <f>IFERROR(__xludf.DUMMYFUNCTION("""COMPUTED_VALUE"""),"DEF")</f>
        <v>DEF</v>
      </c>
      <c r="H561" s="33">
        <f>IFERROR(__xludf.DUMMYFUNCTION("""COMPUTED_VALUE"""),40000.0)</f>
        <v>40000</v>
      </c>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32" t="str">
        <f>IFERROR(__xludf.DUMMYFUNCTION("""COMPUTED_VALUE"""),"Solreach")</f>
        <v>Solreach</v>
      </c>
      <c r="AH561" s="32" t="b">
        <f>IFERROR(__xludf.DUMMYFUNCTION("""COMPUTED_VALUE"""),TRUE)</f>
        <v>1</v>
      </c>
      <c r="AI561" s="32"/>
      <c r="AJ561" s="32"/>
      <c r="AK561" s="32"/>
      <c r="AL561" s="32"/>
      <c r="AM561" s="32"/>
      <c r="AN561" s="32"/>
      <c r="AO561" s="32"/>
      <c r="AP561" s="32"/>
      <c r="AQ561" s="32"/>
      <c r="AR561" s="32"/>
      <c r="AS561" s="32"/>
      <c r="AT561" s="32"/>
      <c r="AU561" s="32"/>
      <c r="AV561" s="32"/>
      <c r="AW561" s="32"/>
      <c r="AX561" s="32"/>
    </row>
    <row r="562">
      <c r="A562" s="32" t="str">
        <f>IFERROR(__xludf.DUMMYFUNCTION("""COMPUTED_VALUE"""),"Minstrel's Cuffs")</f>
        <v>Minstrel's Cuffs</v>
      </c>
      <c r="B562" s="32" t="str">
        <f>IFERROR(__xludf.DUMMYFUNCTION("""COMPUTED_VALUE"""),"Arms")</f>
        <v>Arms</v>
      </c>
      <c r="C562" s="32" t="str">
        <f>IFERROR(__xludf.DUMMYFUNCTION("""COMPUTED_VALUE"""),"Quest Item")</f>
        <v>Quest Item</v>
      </c>
      <c r="D562" s="32"/>
      <c r="E562" s="32">
        <f>IFERROR(__xludf.DUMMYFUNCTION("""COMPUTED_VALUE"""),400.0)</f>
        <v>400</v>
      </c>
      <c r="F562" s="44">
        <f>IFERROR(__xludf.DUMMYFUNCTION("""COMPUTED_VALUE"""),7800000.0)</f>
        <v>7800000</v>
      </c>
      <c r="G562" s="32" t="str">
        <f>IFERROR(__xludf.DUMMYFUNCTION("""COMPUTED_VALUE"""),"DEF")</f>
        <v>DEF</v>
      </c>
      <c r="H562" s="33">
        <f>IFERROR(__xludf.DUMMYFUNCTION("""COMPUTED_VALUE"""),20000.0)</f>
        <v>20000</v>
      </c>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32" t="str">
        <f>IFERROR(__xludf.DUMMYFUNCTION("""COMPUTED_VALUE"""),"Solreach")</f>
        <v>Solreach</v>
      </c>
      <c r="AH562" s="32" t="b">
        <f>IFERROR(__xludf.DUMMYFUNCTION("""COMPUTED_VALUE"""),TRUE)</f>
        <v>1</v>
      </c>
      <c r="AI562" s="32"/>
      <c r="AJ562" s="32"/>
      <c r="AK562" s="32"/>
      <c r="AL562" s="32"/>
      <c r="AM562" s="32"/>
      <c r="AN562" s="32"/>
      <c r="AO562" s="32"/>
      <c r="AP562" s="32"/>
      <c r="AQ562" s="32"/>
      <c r="AR562" s="32"/>
      <c r="AS562" s="32"/>
      <c r="AT562" s="32"/>
      <c r="AU562" s="32"/>
      <c r="AV562" s="32"/>
      <c r="AW562" s="32"/>
      <c r="AX562" s="32"/>
    </row>
    <row r="563">
      <c r="A563" s="32" t="str">
        <f>IFERROR(__xludf.DUMMYFUNCTION("""COMPUTED_VALUE"""),"Heavenly Lute")</f>
        <v>Heavenly Lute</v>
      </c>
      <c r="B563" s="32" t="str">
        <f>IFERROR(__xludf.DUMMYFUNCTION("""COMPUTED_VALUE"""),"Hand")</f>
        <v>Hand</v>
      </c>
      <c r="C563" s="32" t="str">
        <f>IFERROR(__xludf.DUMMYFUNCTION("""COMPUTED_VALUE"""),"Quest Item")</f>
        <v>Quest Item</v>
      </c>
      <c r="D563" s="32" t="str">
        <f>IFERROR(__xludf.DUMMYFUNCTION("""COMPUTED_VALUE"""),"Instrument")</f>
        <v>Instrument</v>
      </c>
      <c r="E563" s="32">
        <f>IFERROR(__xludf.DUMMYFUNCTION("""COMPUTED_VALUE"""),900.0)</f>
        <v>900</v>
      </c>
      <c r="F563" s="44">
        <f>IFERROR(__xludf.DUMMYFUNCTION("""COMPUTED_VALUE"""),4.005E7)</f>
        <v>40050000</v>
      </c>
      <c r="G563" s="32" t="str">
        <f>IFERROR(__xludf.DUMMYFUNCTION("""COMPUTED_VALUE"""),"DMG")</f>
        <v>DMG</v>
      </c>
      <c r="H563" s="33">
        <f>IFERROR(__xludf.DUMMYFUNCTION("""COMPUTED_VALUE"""),20000.0)</f>
        <v>20000</v>
      </c>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3">
        <f>IFERROR(__xludf.DUMMYFUNCTION("""COMPUTED_VALUE"""),25000.0)</f>
        <v>25000</v>
      </c>
      <c r="AF563" s="32"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32" t="str">
        <f>IFERROR(__xludf.DUMMYFUNCTION("""COMPUTED_VALUE"""),"Solreach")</f>
        <v>Solreach</v>
      </c>
      <c r="AH563" s="32" t="b">
        <f>IFERROR(__xludf.DUMMYFUNCTION("""COMPUTED_VALUE"""),TRUE)</f>
        <v>1</v>
      </c>
      <c r="AI563" s="32"/>
      <c r="AJ563" s="32"/>
      <c r="AK563" s="32"/>
      <c r="AL563" s="32"/>
      <c r="AM563" s="32"/>
      <c r="AN563" s="32"/>
      <c r="AO563" s="32"/>
      <c r="AP563" s="32"/>
      <c r="AQ563" s="32"/>
      <c r="AR563" s="32"/>
      <c r="AS563" s="32"/>
      <c r="AT563" s="32"/>
      <c r="AU563" s="32"/>
      <c r="AV563" s="32"/>
      <c r="AW563" s="32"/>
      <c r="AX563" s="32"/>
    </row>
    <row r="564">
      <c r="A564" s="32" t="str">
        <f>IFERROR(__xludf.DUMMYFUNCTION("""COMPUTED_VALUE"""),"Wine Stained Buckler With Portable Alcoholism")</f>
        <v>Wine Stained Buckler With Portable Alcoholism</v>
      </c>
      <c r="B564" s="32" t="str">
        <f>IFERROR(__xludf.DUMMYFUNCTION("""COMPUTED_VALUE"""),"Hand")</f>
        <v>Hand</v>
      </c>
      <c r="C564" s="32" t="str">
        <f>IFERROR(__xludf.DUMMYFUNCTION("""COMPUTED_VALUE"""),"Quest Item")</f>
        <v>Quest Item</v>
      </c>
      <c r="D564" s="32" t="str">
        <f>IFERROR(__xludf.DUMMYFUNCTION("""COMPUTED_VALUE"""),"Buckler")</f>
        <v>Buckler</v>
      </c>
      <c r="E564" s="32">
        <f>IFERROR(__xludf.DUMMYFUNCTION("""COMPUTED_VALUE"""),1500.0)</f>
        <v>1500</v>
      </c>
      <c r="F564" s="44">
        <f>IFERROR(__xludf.DUMMYFUNCTION("""COMPUTED_VALUE"""),1.1175E8)</f>
        <v>111750000</v>
      </c>
      <c r="G564" s="32" t="str">
        <f>IFERROR(__xludf.DUMMYFUNCTION("""COMPUTED_VALUE"""),"DEF")</f>
        <v>DEF</v>
      </c>
      <c r="H564" s="33">
        <f>IFERROR(__xludf.DUMMYFUNCTION("""COMPUTED_VALUE"""),50000.0)</f>
        <v>50000</v>
      </c>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3">
        <f>IFERROR(__xludf.DUMMYFUNCTION("""COMPUTED_VALUE"""),25000.0)</f>
        <v>25000</v>
      </c>
      <c r="AF564" s="32"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32" t="str">
        <f>IFERROR(__xludf.DUMMYFUNCTION("""COMPUTED_VALUE"""),"Solreach")</f>
        <v>Solreach</v>
      </c>
      <c r="AH564" s="32" t="b">
        <f>IFERROR(__xludf.DUMMYFUNCTION("""COMPUTED_VALUE"""),TRUE)</f>
        <v>1</v>
      </c>
      <c r="AI564" s="32"/>
      <c r="AJ564" s="32"/>
      <c r="AK564" s="32"/>
      <c r="AL564" s="32"/>
      <c r="AM564" s="32"/>
      <c r="AN564" s="32"/>
      <c r="AO564" s="32"/>
      <c r="AP564" s="32"/>
      <c r="AQ564" s="32"/>
      <c r="AR564" s="32"/>
      <c r="AS564" s="32"/>
      <c r="AT564" s="32"/>
      <c r="AU564" s="32"/>
      <c r="AV564" s="32"/>
      <c r="AW564" s="32"/>
      <c r="AX564" s="32"/>
    </row>
    <row r="565">
      <c r="A565" s="32" t="str">
        <f>IFERROR(__xludf.DUMMYFUNCTION("""COMPUTED_VALUE"""),"Minstrel's Tights")</f>
        <v>Minstrel's Tights</v>
      </c>
      <c r="B565" s="32" t="str">
        <f>IFERROR(__xludf.DUMMYFUNCTION("""COMPUTED_VALUE"""),"Legs")</f>
        <v>Legs</v>
      </c>
      <c r="C565" s="32" t="str">
        <f>IFERROR(__xludf.DUMMYFUNCTION("""COMPUTED_VALUE"""),"Quest Item")</f>
        <v>Quest Item</v>
      </c>
      <c r="D565" s="32"/>
      <c r="E565" s="32">
        <f>IFERROR(__xludf.DUMMYFUNCTION("""COMPUTED_VALUE"""),400.0)</f>
        <v>400</v>
      </c>
      <c r="F565" s="44">
        <f>IFERROR(__xludf.DUMMYFUNCTION("""COMPUTED_VALUE"""),7800000.0)</f>
        <v>7800000</v>
      </c>
      <c r="G565" s="32" t="str">
        <f>IFERROR(__xludf.DUMMYFUNCTION("""COMPUTED_VALUE"""),"DEF")</f>
        <v>DEF</v>
      </c>
      <c r="H565" s="33">
        <f>IFERROR(__xludf.DUMMYFUNCTION("""COMPUTED_VALUE"""),20000.0)</f>
        <v>20000</v>
      </c>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t="str">
        <f>IFERROR(__xludf.DUMMYFUNCTION("""COMPUTED_VALUE"""),"++20,000 ACC and ATK. ++X2 Acoustic Damage +-Paladin of The Party and Bard Class only.")</f>
        <v>++20,000 ACC and ATK. ++X2 Acoustic Damage +-Paladin of The Party and Bard Class only.</v>
      </c>
      <c r="AG565" s="32" t="str">
        <f>IFERROR(__xludf.DUMMYFUNCTION("""COMPUTED_VALUE"""),"Solreach")</f>
        <v>Solreach</v>
      </c>
      <c r="AH565" s="32" t="b">
        <f>IFERROR(__xludf.DUMMYFUNCTION("""COMPUTED_VALUE"""),TRUE)</f>
        <v>1</v>
      </c>
      <c r="AI565" s="32"/>
      <c r="AJ565" s="32"/>
      <c r="AK565" s="32"/>
      <c r="AL565" s="32"/>
      <c r="AM565" s="32"/>
      <c r="AN565" s="32"/>
      <c r="AO565" s="32"/>
      <c r="AP565" s="32"/>
      <c r="AQ565" s="32"/>
      <c r="AR565" s="32"/>
      <c r="AS565" s="32"/>
      <c r="AT565" s="32"/>
      <c r="AU565" s="32"/>
      <c r="AV565" s="32"/>
      <c r="AW565" s="32"/>
      <c r="AX565" s="32"/>
    </row>
    <row r="566">
      <c r="A566" s="32" t="str">
        <f>IFERROR(__xludf.DUMMYFUNCTION("""COMPUTED_VALUE"""),"Minstrel's Boots")</f>
        <v>Minstrel's Boots</v>
      </c>
      <c r="B566" s="32" t="str">
        <f>IFERROR(__xludf.DUMMYFUNCTION("""COMPUTED_VALUE"""),"Feet")</f>
        <v>Feet</v>
      </c>
      <c r="C566" s="32" t="str">
        <f>IFERROR(__xludf.DUMMYFUNCTION("""COMPUTED_VALUE"""),"Quest Item")</f>
        <v>Quest Item</v>
      </c>
      <c r="D566" s="32"/>
      <c r="E566" s="32">
        <f>IFERROR(__xludf.DUMMYFUNCTION("""COMPUTED_VALUE"""),400.0)</f>
        <v>400</v>
      </c>
      <c r="F566" s="44">
        <f>IFERROR(__xludf.DUMMYFUNCTION("""COMPUTED_VALUE"""),7800000.0)</f>
        <v>7800000</v>
      </c>
      <c r="G566" s="32" t="str">
        <f>IFERROR(__xludf.DUMMYFUNCTION("""COMPUTED_VALUE"""),"DEF")</f>
        <v>DEF</v>
      </c>
      <c r="H566" s="33">
        <f>IFERROR(__xludf.DUMMYFUNCTION("""COMPUTED_VALUE"""),20000.0)</f>
        <v>20000</v>
      </c>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32" t="str">
        <f>IFERROR(__xludf.DUMMYFUNCTION("""COMPUTED_VALUE"""),"Solreach")</f>
        <v>Solreach</v>
      </c>
      <c r="AH566" s="32" t="b">
        <f>IFERROR(__xludf.DUMMYFUNCTION("""COMPUTED_VALUE"""),TRUE)</f>
        <v>1</v>
      </c>
      <c r="AI566" s="32"/>
      <c r="AJ566" s="32"/>
      <c r="AK566" s="32"/>
      <c r="AL566" s="32"/>
      <c r="AM566" s="32"/>
      <c r="AN566" s="32"/>
      <c r="AO566" s="32"/>
      <c r="AP566" s="32"/>
      <c r="AQ566" s="32"/>
      <c r="AR566" s="32"/>
      <c r="AS566" s="32"/>
      <c r="AT566" s="32"/>
      <c r="AU566" s="32"/>
      <c r="AV566" s="32"/>
      <c r="AW566" s="32"/>
      <c r="AX566" s="32"/>
    </row>
    <row r="567">
      <c r="A567" s="32" t="str">
        <f>IFERROR(__xludf.DUMMYFUNCTION("""COMPUTED_VALUE"""),"Brass Ring of Blackout Drunkenness")</f>
        <v>Brass Ring of Blackout Drunkenness</v>
      </c>
      <c r="B567" s="32" t="str">
        <f>IFERROR(__xludf.DUMMYFUNCTION("""COMPUTED_VALUE"""),"Ring")</f>
        <v>Ring</v>
      </c>
      <c r="C567" s="32" t="str">
        <f>IFERROR(__xludf.DUMMYFUNCTION("""COMPUTED_VALUE"""),"Quest Item")</f>
        <v>Quest Item</v>
      </c>
      <c r="D567" s="32"/>
      <c r="E567" s="32">
        <f>IFERROR(__xludf.DUMMYFUNCTION("""COMPUTED_VALUE"""),1.0)</f>
        <v>1</v>
      </c>
      <c r="F567" s="44">
        <f>IFERROR(__xludf.DUMMYFUNCTION("""COMPUTED_VALUE"""),0.0)</f>
        <v>0</v>
      </c>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32" t="str">
        <f>IFERROR(__xludf.DUMMYFUNCTION("""COMPUTED_VALUE"""),"Solreach")</f>
        <v>Solreach</v>
      </c>
      <c r="AH567" s="32" t="b">
        <f>IFERROR(__xludf.DUMMYFUNCTION("""COMPUTED_VALUE"""),FALSE)</f>
        <v>0</v>
      </c>
      <c r="AI567" s="32"/>
      <c r="AJ567" s="32"/>
      <c r="AK567" s="32"/>
      <c r="AL567" s="32"/>
      <c r="AM567" s="32"/>
      <c r="AN567" s="32"/>
      <c r="AO567" s="32"/>
      <c r="AP567" s="32"/>
      <c r="AQ567" s="32"/>
      <c r="AR567" s="32"/>
      <c r="AS567" s="32"/>
      <c r="AT567" s="32"/>
      <c r="AU567" s="32"/>
      <c r="AV567" s="32"/>
      <c r="AW567" s="32"/>
      <c r="AX567" s="32"/>
    </row>
    <row r="568">
      <c r="A568" s="32" t="str">
        <f>IFERROR(__xludf.DUMMYFUNCTION("""COMPUTED_VALUE"""),"Wreath of The Party's Fervor")</f>
        <v>Wreath of The Party's Fervor</v>
      </c>
      <c r="B568" s="32" t="str">
        <f>IFERROR(__xludf.DUMMYFUNCTION("""COMPUTED_VALUE"""),"Neck")</f>
        <v>Neck</v>
      </c>
      <c r="C568" s="32" t="str">
        <f>IFERROR(__xludf.DUMMYFUNCTION("""COMPUTED_VALUE"""),"Quest Item")</f>
        <v>Quest Item</v>
      </c>
      <c r="D568" s="32"/>
      <c r="E568" s="32">
        <f>IFERROR(__xludf.DUMMYFUNCTION("""COMPUTED_VALUE"""),1.0)</f>
        <v>1</v>
      </c>
      <c r="F568" s="44">
        <f>IFERROR(__xludf.DUMMYFUNCTION("""COMPUTED_VALUE"""),0.0)</f>
        <v>0</v>
      </c>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32" t="str">
        <f>IFERROR(__xludf.DUMMYFUNCTION("""COMPUTED_VALUE"""),"Solreach")</f>
        <v>Solreach</v>
      </c>
      <c r="AH568" s="32" t="b">
        <f>IFERROR(__xludf.DUMMYFUNCTION("""COMPUTED_VALUE"""),FALSE)</f>
        <v>0</v>
      </c>
      <c r="AI568" s="32"/>
      <c r="AJ568" s="32"/>
      <c r="AK568" s="32"/>
      <c r="AL568" s="32"/>
      <c r="AM568" s="32"/>
      <c r="AN568" s="32"/>
      <c r="AO568" s="32"/>
      <c r="AP568" s="32"/>
      <c r="AQ568" s="32"/>
      <c r="AR568" s="32"/>
      <c r="AS568" s="32"/>
      <c r="AT568" s="32"/>
      <c r="AU568" s="32"/>
      <c r="AV568" s="32"/>
      <c r="AW568" s="32"/>
      <c r="AX568" s="32"/>
    </row>
    <row r="569">
      <c r="A569" s="32" t="str">
        <f>IFERROR(__xludf.DUMMYFUNCTION("""COMPUTED_VALUE"""),"Pauldrons of Tritonoch")</f>
        <v>Pauldrons of Tritonoch</v>
      </c>
      <c r="B569" s="32" t="str">
        <f>IFERROR(__xludf.DUMMYFUNCTION("""COMPUTED_VALUE"""),"Shoulders")</f>
        <v>Shoulders</v>
      </c>
      <c r="C569" s="32"/>
      <c r="D569" s="32"/>
      <c r="E569" s="32">
        <f>IFERROR(__xludf.DUMMYFUNCTION("""COMPUTED_VALUE"""),800.0)</f>
        <v>800</v>
      </c>
      <c r="F569" s="44">
        <f>IFERROR(__xludf.DUMMYFUNCTION("""COMPUTED_VALUE"""),3.16E7)</f>
        <v>31600000</v>
      </c>
      <c r="G569" s="32" t="str">
        <f>IFERROR(__xludf.DUMMYFUNCTION("""COMPUTED_VALUE"""),"DEF")</f>
        <v>DEF</v>
      </c>
      <c r="H569" s="33">
        <f>IFERROR(__xludf.DUMMYFUNCTION("""COMPUTED_VALUE"""),20000.0)</f>
        <v>20000</v>
      </c>
      <c r="I569" s="32"/>
      <c r="J569" s="32"/>
      <c r="K569" s="32">
        <f>IFERROR(__xludf.DUMMYFUNCTION("""COMPUTED_VALUE"""),20000.0)</f>
        <v>20000</v>
      </c>
      <c r="L569" s="32"/>
      <c r="M569" s="32"/>
      <c r="N569" s="32"/>
      <c r="O569" s="32"/>
      <c r="P569" s="32"/>
      <c r="Q569" s="32"/>
      <c r="R569" s="32"/>
      <c r="S569" s="32"/>
      <c r="T569" s="32"/>
      <c r="U569" s="32"/>
      <c r="V569" s="32"/>
      <c r="W569" s="32"/>
      <c r="X569" s="32"/>
      <c r="Y569" s="32"/>
      <c r="Z569" s="32"/>
      <c r="AA569" s="32"/>
      <c r="AB569" s="32"/>
      <c r="AC569" s="32"/>
      <c r="AD569" s="32"/>
      <c r="AE569" s="32"/>
      <c r="AF569" s="32" t="str">
        <f>IFERROR(__xludf.DUMMYFUNCTION("""COMPUTED_VALUE"""),"++Waves of Entitlement - x5 additional Water damage")</f>
        <v>++Waves of Entitlement - x5 additional Water damage</v>
      </c>
      <c r="AG569" s="32" t="str">
        <f>IFERROR(__xludf.DUMMYFUNCTION("""COMPUTED_VALUE"""),"Land of Spira")</f>
        <v>Land of Spira</v>
      </c>
      <c r="AH569" s="32" t="b">
        <f>IFERROR(__xludf.DUMMYFUNCTION("""COMPUTED_VALUE"""),FALSE)</f>
        <v>0</v>
      </c>
      <c r="AI569" s="32"/>
      <c r="AJ569" s="32"/>
      <c r="AK569" s="32"/>
      <c r="AL569" s="32"/>
      <c r="AM569" s="32"/>
      <c r="AN569" s="32"/>
      <c r="AO569" s="32"/>
      <c r="AP569" s="32"/>
      <c r="AQ569" s="32"/>
      <c r="AR569" s="32"/>
      <c r="AS569" s="32"/>
      <c r="AT569" s="32"/>
      <c r="AU569" s="32"/>
      <c r="AV569" s="32"/>
      <c r="AW569" s="32"/>
      <c r="AX569" s="32"/>
    </row>
    <row r="570">
      <c r="A570" s="32" t="str">
        <f>IFERROR(__xludf.DUMMYFUNCTION("""COMPUTED_VALUE"""),"Chestplate of Tritonoch")</f>
        <v>Chestplate of Tritonoch</v>
      </c>
      <c r="B570" s="32" t="str">
        <f>IFERROR(__xludf.DUMMYFUNCTION("""COMPUTED_VALUE"""),"Torso")</f>
        <v>Torso</v>
      </c>
      <c r="C570" s="32"/>
      <c r="D570" s="32"/>
      <c r="E570" s="32">
        <f>IFERROR(__xludf.DUMMYFUNCTION("""COMPUTED_VALUE"""),800.0)</f>
        <v>800</v>
      </c>
      <c r="F570" s="44">
        <f>IFERROR(__xludf.DUMMYFUNCTION("""COMPUTED_VALUE"""),3.16E7)</f>
        <v>31600000</v>
      </c>
      <c r="G570" s="32" t="str">
        <f>IFERROR(__xludf.DUMMYFUNCTION("""COMPUTED_VALUE"""),"DEF")</f>
        <v>DEF</v>
      </c>
      <c r="H570" s="33">
        <f>IFERROR(__xludf.DUMMYFUNCTION("""COMPUTED_VALUE"""),20000.0)</f>
        <v>20000</v>
      </c>
      <c r="I570" s="32"/>
      <c r="J570" s="32"/>
      <c r="K570" s="32">
        <f>IFERROR(__xludf.DUMMYFUNCTION("""COMPUTED_VALUE"""),20000.0)</f>
        <v>20000</v>
      </c>
      <c r="L570" s="32"/>
      <c r="M570" s="32"/>
      <c r="N570" s="32"/>
      <c r="O570" s="32"/>
      <c r="P570" s="32"/>
      <c r="Q570" s="32"/>
      <c r="R570" s="32"/>
      <c r="S570" s="32"/>
      <c r="T570" s="32"/>
      <c r="U570" s="32"/>
      <c r="V570" s="32"/>
      <c r="W570" s="32"/>
      <c r="X570" s="32"/>
      <c r="Y570" s="32"/>
      <c r="Z570" s="32"/>
      <c r="AA570" s="32"/>
      <c r="AB570" s="32"/>
      <c r="AC570" s="32"/>
      <c r="AD570" s="32"/>
      <c r="AE570" s="32"/>
      <c r="AF570" s="32" t="str">
        <f>IFERROR(__xludf.DUMMYFUNCTION("""COMPUTED_VALUE"""),"++Waves of Entitlement - x5 additional Water damage")</f>
        <v>++Waves of Entitlement - x5 additional Water damage</v>
      </c>
      <c r="AG570" s="32" t="str">
        <f>IFERROR(__xludf.DUMMYFUNCTION("""COMPUTED_VALUE"""),"Land of Spira")</f>
        <v>Land of Spira</v>
      </c>
      <c r="AH570" s="32" t="b">
        <f>IFERROR(__xludf.DUMMYFUNCTION("""COMPUTED_VALUE"""),FALSE)</f>
        <v>0</v>
      </c>
      <c r="AI570" s="32"/>
      <c r="AJ570" s="32"/>
      <c r="AK570" s="32"/>
      <c r="AL570" s="32"/>
      <c r="AM570" s="32"/>
      <c r="AN570" s="32"/>
      <c r="AO570" s="32"/>
      <c r="AP570" s="32"/>
      <c r="AQ570" s="32"/>
      <c r="AR570" s="32"/>
      <c r="AS570" s="32"/>
      <c r="AT570" s="32"/>
      <c r="AU570" s="32"/>
      <c r="AV570" s="32"/>
      <c r="AW570" s="32"/>
      <c r="AX570" s="32"/>
    </row>
    <row r="571">
      <c r="A571" s="32" t="str">
        <f>IFERROR(__xludf.DUMMYFUNCTION("""COMPUTED_VALUE"""),"Vambraces of Tritonoch")</f>
        <v>Vambraces of Tritonoch</v>
      </c>
      <c r="B571" s="32" t="str">
        <f>IFERROR(__xludf.DUMMYFUNCTION("""COMPUTED_VALUE"""),"Arms")</f>
        <v>Arms</v>
      </c>
      <c r="C571" s="32"/>
      <c r="D571" s="32"/>
      <c r="E571" s="32">
        <f>IFERROR(__xludf.DUMMYFUNCTION("""COMPUTED_VALUE"""),800.0)</f>
        <v>800</v>
      </c>
      <c r="F571" s="44">
        <f>IFERROR(__xludf.DUMMYFUNCTION("""COMPUTED_VALUE"""),3.16E7)</f>
        <v>31600000</v>
      </c>
      <c r="G571" s="32" t="str">
        <f>IFERROR(__xludf.DUMMYFUNCTION("""COMPUTED_VALUE"""),"DEF")</f>
        <v>DEF</v>
      </c>
      <c r="H571" s="33">
        <f>IFERROR(__xludf.DUMMYFUNCTION("""COMPUTED_VALUE"""),20000.0)</f>
        <v>20000</v>
      </c>
      <c r="I571" s="32"/>
      <c r="J571" s="32"/>
      <c r="K571" s="32">
        <f>IFERROR(__xludf.DUMMYFUNCTION("""COMPUTED_VALUE"""),20000.0)</f>
        <v>20000</v>
      </c>
      <c r="L571" s="32"/>
      <c r="M571" s="32"/>
      <c r="N571" s="32"/>
      <c r="O571" s="32"/>
      <c r="P571" s="32"/>
      <c r="Q571" s="32"/>
      <c r="R571" s="32"/>
      <c r="S571" s="32"/>
      <c r="T571" s="32"/>
      <c r="U571" s="32"/>
      <c r="V571" s="32"/>
      <c r="W571" s="32"/>
      <c r="X571" s="32"/>
      <c r="Y571" s="32"/>
      <c r="Z571" s="32"/>
      <c r="AA571" s="32"/>
      <c r="AB571" s="32"/>
      <c r="AC571" s="32"/>
      <c r="AD571" s="32"/>
      <c r="AE571" s="32"/>
      <c r="AF571" s="32" t="str">
        <f>IFERROR(__xludf.DUMMYFUNCTION("""COMPUTED_VALUE"""),"++Waves of Entitlement - x5 additional Water damage")</f>
        <v>++Waves of Entitlement - x5 additional Water damage</v>
      </c>
      <c r="AG571" s="32" t="str">
        <f>IFERROR(__xludf.DUMMYFUNCTION("""COMPUTED_VALUE"""),"Land of Spira")</f>
        <v>Land of Spira</v>
      </c>
      <c r="AH571" s="32" t="b">
        <f>IFERROR(__xludf.DUMMYFUNCTION("""COMPUTED_VALUE"""),FALSE)</f>
        <v>0</v>
      </c>
      <c r="AI571" s="32"/>
      <c r="AJ571" s="32"/>
      <c r="AK571" s="32"/>
      <c r="AL571" s="32"/>
      <c r="AM571" s="32"/>
      <c r="AN571" s="32"/>
      <c r="AO571" s="32"/>
      <c r="AP571" s="32"/>
      <c r="AQ571" s="32"/>
      <c r="AR571" s="32"/>
      <c r="AS571" s="32"/>
      <c r="AT571" s="32"/>
      <c r="AU571" s="32"/>
      <c r="AV571" s="32"/>
      <c r="AW571" s="32"/>
      <c r="AX571" s="32"/>
    </row>
    <row r="572">
      <c r="A572" s="32" t="str">
        <f>IFERROR(__xludf.DUMMYFUNCTION("""COMPUTED_VALUE"""),"Trident of Tritonoch")</f>
        <v>Trident of Tritonoch</v>
      </c>
      <c r="B572" s="32" t="str">
        <f>IFERROR(__xludf.DUMMYFUNCTION("""COMPUTED_VALUE"""),"Hand")</f>
        <v>Hand</v>
      </c>
      <c r="C572" s="32"/>
      <c r="D572" s="32" t="str">
        <f>IFERROR(__xludf.DUMMYFUNCTION("""COMPUTED_VALUE"""),"Spear")</f>
        <v>Spear</v>
      </c>
      <c r="E572" s="32">
        <f>IFERROR(__xludf.DUMMYFUNCTION("""COMPUTED_VALUE"""),200.0)</f>
        <v>200</v>
      </c>
      <c r="F572" s="44">
        <f>IFERROR(__xludf.DUMMYFUNCTION("""COMPUTED_VALUE"""),7.14E7)</f>
        <v>71400000</v>
      </c>
      <c r="G572" s="32" t="str">
        <f>IFERROR(__xludf.DUMMYFUNCTION("""COMPUTED_VALUE"""),"DMG")</f>
        <v>DMG</v>
      </c>
      <c r="H572" s="33">
        <f>IFERROR(__xludf.DUMMYFUNCTION("""COMPUTED_VALUE"""),20000.0)</f>
        <v>20000</v>
      </c>
      <c r="I572" s="32"/>
      <c r="J572" s="32"/>
      <c r="K572" s="32">
        <f>IFERROR(__xludf.DUMMYFUNCTION("""COMPUTED_VALUE"""),20000.0)</f>
        <v>20000</v>
      </c>
      <c r="L572" s="32"/>
      <c r="M572" s="32"/>
      <c r="N572" s="32"/>
      <c r="O572" s="32"/>
      <c r="P572" s="32"/>
      <c r="Q572" s="32"/>
      <c r="R572" s="32"/>
      <c r="S572" s="32"/>
      <c r="T572" s="32"/>
      <c r="U572" s="32"/>
      <c r="V572" s="32"/>
      <c r="W572" s="32"/>
      <c r="X572" s="32"/>
      <c r="Y572" s="32"/>
      <c r="Z572" s="32"/>
      <c r="AA572" s="32"/>
      <c r="AB572" s="32"/>
      <c r="AC572" s="32">
        <f>IFERROR(__xludf.DUMMYFUNCTION("""COMPUTED_VALUE"""),20000.0)</f>
        <v>20000</v>
      </c>
      <c r="AD572" s="32"/>
      <c r="AE572" s="32"/>
      <c r="AF572" s="32"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32" t="str">
        <f>IFERROR(__xludf.DUMMYFUNCTION("""COMPUTED_VALUE"""),"Land of Spira")</f>
        <v>Land of Spira</v>
      </c>
      <c r="AH572" s="32" t="b">
        <f>IFERROR(__xludf.DUMMYFUNCTION("""COMPUTED_VALUE"""),FALSE)</f>
        <v>0</v>
      </c>
      <c r="AI572" s="32"/>
      <c r="AJ572" s="32"/>
      <c r="AK572" s="32"/>
      <c r="AL572" s="32"/>
      <c r="AM572" s="32"/>
      <c r="AN572" s="32"/>
      <c r="AO572" s="32"/>
      <c r="AP572" s="32"/>
      <c r="AQ572" s="32"/>
      <c r="AR572" s="32"/>
      <c r="AS572" s="32"/>
      <c r="AT572" s="32"/>
      <c r="AU572" s="32"/>
      <c r="AV572" s="32"/>
      <c r="AW572" s="32"/>
      <c r="AX572" s="32"/>
    </row>
    <row r="573">
      <c r="A573" s="32" t="str">
        <f>IFERROR(__xludf.DUMMYFUNCTION("""COMPUTED_VALUE"""),"Boots of Tritonoch")</f>
        <v>Boots of Tritonoch</v>
      </c>
      <c r="B573" s="32" t="str">
        <f>IFERROR(__xludf.DUMMYFUNCTION("""COMPUTED_VALUE"""),"Feet")</f>
        <v>Feet</v>
      </c>
      <c r="C573" s="32"/>
      <c r="D573" s="32"/>
      <c r="E573" s="32">
        <f>IFERROR(__xludf.DUMMYFUNCTION("""COMPUTED_VALUE"""),800.0)</f>
        <v>800</v>
      </c>
      <c r="F573" s="44">
        <f>IFERROR(__xludf.DUMMYFUNCTION("""COMPUTED_VALUE"""),3.16E7)</f>
        <v>31600000</v>
      </c>
      <c r="G573" s="32" t="str">
        <f>IFERROR(__xludf.DUMMYFUNCTION("""COMPUTED_VALUE"""),"DEF")</f>
        <v>DEF</v>
      </c>
      <c r="H573" s="33">
        <f>IFERROR(__xludf.DUMMYFUNCTION("""COMPUTED_VALUE"""),20000.0)</f>
        <v>20000</v>
      </c>
      <c r="I573" s="32"/>
      <c r="J573" s="32"/>
      <c r="K573" s="32">
        <f>IFERROR(__xludf.DUMMYFUNCTION("""COMPUTED_VALUE"""),20000.0)</f>
        <v>20000</v>
      </c>
      <c r="L573" s="32"/>
      <c r="M573" s="32"/>
      <c r="N573" s="32"/>
      <c r="O573" s="32"/>
      <c r="P573" s="32"/>
      <c r="Q573" s="32"/>
      <c r="R573" s="32"/>
      <c r="S573" s="32"/>
      <c r="T573" s="32"/>
      <c r="U573" s="32"/>
      <c r="V573" s="32"/>
      <c r="W573" s="32"/>
      <c r="X573" s="32"/>
      <c r="Y573" s="32"/>
      <c r="Z573" s="32"/>
      <c r="AA573" s="32"/>
      <c r="AB573" s="32"/>
      <c r="AC573" s="32"/>
      <c r="AD573" s="32"/>
      <c r="AE573" s="32"/>
      <c r="AF573" s="32" t="str">
        <f>IFERROR(__xludf.DUMMYFUNCTION("""COMPUTED_VALUE"""),"++Waves of Entitlement - x5 additional Water damage")</f>
        <v>++Waves of Entitlement - x5 additional Water damage</v>
      </c>
      <c r="AG573" s="32" t="str">
        <f>IFERROR(__xludf.DUMMYFUNCTION("""COMPUTED_VALUE"""),"Land of Spira")</f>
        <v>Land of Spira</v>
      </c>
      <c r="AH573" s="32" t="b">
        <f>IFERROR(__xludf.DUMMYFUNCTION("""COMPUTED_VALUE"""),FALSE)</f>
        <v>0</v>
      </c>
      <c r="AI573" s="32"/>
      <c r="AJ573" s="32"/>
      <c r="AK573" s="32"/>
      <c r="AL573" s="32"/>
      <c r="AM573" s="32"/>
      <c r="AN573" s="32"/>
      <c r="AO573" s="32"/>
      <c r="AP573" s="32"/>
      <c r="AQ573" s="32"/>
      <c r="AR573" s="32"/>
      <c r="AS573" s="32"/>
      <c r="AT573" s="32"/>
      <c r="AU573" s="32"/>
      <c r="AV573" s="32"/>
      <c r="AW573" s="32"/>
      <c r="AX573" s="32"/>
    </row>
    <row r="574">
      <c r="A574" s="32" t="str">
        <f>IFERROR(__xludf.DUMMYFUNCTION("""COMPUTED_VALUE"""),"Steel Bandit Dagger")</f>
        <v>Steel Bandit Dagger</v>
      </c>
      <c r="B574" s="32" t="str">
        <f>IFERROR(__xludf.DUMMYFUNCTION("""COMPUTED_VALUE"""),"Hand")</f>
        <v>Hand</v>
      </c>
      <c r="C574" s="32"/>
      <c r="D574" s="32" t="str">
        <f>IFERROR(__xludf.DUMMYFUNCTION("""COMPUTED_VALUE"""),"Knife")</f>
        <v>Knife</v>
      </c>
      <c r="E574" s="32">
        <f>IFERROR(__xludf.DUMMYFUNCTION("""COMPUTED_VALUE"""),1000.0)</f>
        <v>1000</v>
      </c>
      <c r="F574" s="44">
        <f>IFERROR(__xludf.DUMMYFUNCTION("""COMPUTED_VALUE"""),4.95E7)</f>
        <v>49500000</v>
      </c>
      <c r="G574" s="32" t="str">
        <f>IFERROR(__xludf.DUMMYFUNCTION("""COMPUTED_VALUE"""),"DMG")</f>
        <v>DMG</v>
      </c>
      <c r="H574" s="33">
        <f>IFERROR(__xludf.DUMMYFUNCTION("""COMPUTED_VALUE"""),50000.0)</f>
        <v>50000</v>
      </c>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t="str">
        <f>IFERROR(__xludf.DUMMYFUNCTION("""COMPUTED_VALUE"""),"++10% chance to steal gilders upon hitting an enemy guilders stolen are equivalent to 1,000*d20")</f>
        <v>++10% chance to steal gilders upon hitting an enemy guilders stolen are equivalent to 1,000*d20</v>
      </c>
      <c r="AG574" s="32" t="str">
        <f>IFERROR(__xludf.DUMMYFUNCTION("""COMPUTED_VALUE"""),"Land of Spira")</f>
        <v>Land of Spira</v>
      </c>
      <c r="AH574" s="32" t="b">
        <f>IFERROR(__xludf.DUMMYFUNCTION("""COMPUTED_VALUE"""),FALSE)</f>
        <v>0</v>
      </c>
      <c r="AI574" s="32"/>
      <c r="AJ574" s="32"/>
      <c r="AK574" s="32"/>
      <c r="AL574" s="32"/>
      <c r="AM574" s="32"/>
      <c r="AN574" s="32"/>
      <c r="AO574" s="32"/>
      <c r="AP574" s="32"/>
      <c r="AQ574" s="32"/>
      <c r="AR574" s="32"/>
      <c r="AS574" s="32"/>
      <c r="AT574" s="32"/>
      <c r="AU574" s="32"/>
      <c r="AV574" s="32"/>
      <c r="AW574" s="32"/>
      <c r="AX574" s="32"/>
    </row>
    <row r="575">
      <c r="A575" s="32" t="str">
        <f>IFERROR(__xludf.DUMMYFUNCTION("""COMPUTED_VALUE"""),"Bandit Hide Helm")</f>
        <v>Bandit Hide Helm</v>
      </c>
      <c r="B575" s="32" t="str">
        <f>IFERROR(__xludf.DUMMYFUNCTION("""COMPUTED_VALUE"""),"Head")</f>
        <v>Head</v>
      </c>
      <c r="C575" s="32"/>
      <c r="D575" s="32"/>
      <c r="E575" s="32">
        <f>IFERROR(__xludf.DUMMYFUNCTION("""COMPUTED_VALUE"""),1000.0)</f>
        <v>1000</v>
      </c>
      <c r="F575" s="44">
        <f>IFERROR(__xludf.DUMMYFUNCTION("""COMPUTED_VALUE"""),4.95E7)</f>
        <v>49500000</v>
      </c>
      <c r="G575" s="32" t="str">
        <f>IFERROR(__xludf.DUMMYFUNCTION("""COMPUTED_VALUE"""),"DEF")</f>
        <v>DEF</v>
      </c>
      <c r="H575" s="33">
        <f>IFERROR(__xludf.DUMMYFUNCTION("""COMPUTED_VALUE"""),50000.0)</f>
        <v>50000</v>
      </c>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t="str">
        <f>IFERROR(__xludf.DUMMYFUNCTION("""COMPUTED_VALUE"""),"Land of Spira")</f>
        <v>Land of Spira</v>
      </c>
      <c r="AH575" s="32" t="b">
        <f>IFERROR(__xludf.DUMMYFUNCTION("""COMPUTED_VALUE"""),FALSE)</f>
        <v>0</v>
      </c>
      <c r="AI575" s="32"/>
      <c r="AJ575" s="32"/>
      <c r="AK575" s="32"/>
      <c r="AL575" s="32"/>
      <c r="AM575" s="32"/>
      <c r="AN575" s="32"/>
      <c r="AO575" s="32"/>
      <c r="AP575" s="32"/>
      <c r="AQ575" s="32"/>
      <c r="AR575" s="32"/>
      <c r="AS575" s="32"/>
      <c r="AT575" s="32"/>
      <c r="AU575" s="32"/>
      <c r="AV575" s="32"/>
      <c r="AW575" s="32"/>
      <c r="AX575" s="32"/>
    </row>
    <row r="576">
      <c r="A576" s="32" t="str">
        <f>IFERROR(__xludf.DUMMYFUNCTION("""COMPUTED_VALUE"""),"Bandit Hide Padding")</f>
        <v>Bandit Hide Padding</v>
      </c>
      <c r="B576" s="32" t="str">
        <f>IFERROR(__xludf.DUMMYFUNCTION("""COMPUTED_VALUE"""),"Shoulders")</f>
        <v>Shoulders</v>
      </c>
      <c r="C576" s="32"/>
      <c r="D576" s="32"/>
      <c r="E576" s="32">
        <f>IFERROR(__xludf.DUMMYFUNCTION("""COMPUTED_VALUE"""),1000.0)</f>
        <v>1000</v>
      </c>
      <c r="F576" s="44">
        <f>IFERROR(__xludf.DUMMYFUNCTION("""COMPUTED_VALUE"""),4.95E7)</f>
        <v>49500000</v>
      </c>
      <c r="G576" s="32" t="str">
        <f>IFERROR(__xludf.DUMMYFUNCTION("""COMPUTED_VALUE"""),"DEF")</f>
        <v>DEF</v>
      </c>
      <c r="H576" s="33">
        <f>IFERROR(__xludf.DUMMYFUNCTION("""COMPUTED_VALUE"""),50000.0)</f>
        <v>50000</v>
      </c>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t="str">
        <f>IFERROR(__xludf.DUMMYFUNCTION("""COMPUTED_VALUE"""),"Land of Spira")</f>
        <v>Land of Spira</v>
      </c>
      <c r="AH576" s="32" t="b">
        <f>IFERROR(__xludf.DUMMYFUNCTION("""COMPUTED_VALUE"""),FALSE)</f>
        <v>0</v>
      </c>
      <c r="AI576" s="32"/>
      <c r="AJ576" s="32"/>
      <c r="AK576" s="32"/>
      <c r="AL576" s="32"/>
      <c r="AM576" s="32"/>
      <c r="AN576" s="32"/>
      <c r="AO576" s="32"/>
      <c r="AP576" s="32"/>
      <c r="AQ576" s="32"/>
      <c r="AR576" s="32"/>
      <c r="AS576" s="32"/>
      <c r="AT576" s="32"/>
      <c r="AU576" s="32"/>
      <c r="AV576" s="32"/>
      <c r="AW576" s="32"/>
      <c r="AX576" s="32"/>
    </row>
    <row r="577">
      <c r="A577" s="32" t="str">
        <f>IFERROR(__xludf.DUMMYFUNCTION("""COMPUTED_VALUE"""),"Bandit Hide Chestplate")</f>
        <v>Bandit Hide Chestplate</v>
      </c>
      <c r="B577" s="32" t="str">
        <f>IFERROR(__xludf.DUMMYFUNCTION("""COMPUTED_VALUE"""),"Torso")</f>
        <v>Torso</v>
      </c>
      <c r="C577" s="32"/>
      <c r="D577" s="32"/>
      <c r="E577" s="32">
        <f>IFERROR(__xludf.DUMMYFUNCTION("""COMPUTED_VALUE"""),1000.0)</f>
        <v>1000</v>
      </c>
      <c r="F577" s="44">
        <f>IFERROR(__xludf.DUMMYFUNCTION("""COMPUTED_VALUE"""),4.95E7)</f>
        <v>49500000</v>
      </c>
      <c r="G577" s="32" t="str">
        <f>IFERROR(__xludf.DUMMYFUNCTION("""COMPUTED_VALUE"""),"DEF")</f>
        <v>DEF</v>
      </c>
      <c r="H577" s="33">
        <f>IFERROR(__xludf.DUMMYFUNCTION("""COMPUTED_VALUE"""),50000.0)</f>
        <v>50000</v>
      </c>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t="str">
        <f>IFERROR(__xludf.DUMMYFUNCTION("""COMPUTED_VALUE"""),"++X2 damage with Knives")</f>
        <v>++X2 damage with Knives</v>
      </c>
      <c r="AG577" s="32" t="str">
        <f>IFERROR(__xludf.DUMMYFUNCTION("""COMPUTED_VALUE"""),"Land of Spira")</f>
        <v>Land of Spira</v>
      </c>
      <c r="AH577" s="32" t="b">
        <f>IFERROR(__xludf.DUMMYFUNCTION("""COMPUTED_VALUE"""),FALSE)</f>
        <v>0</v>
      </c>
      <c r="AI577" s="32"/>
      <c r="AJ577" s="32"/>
      <c r="AK577" s="32"/>
      <c r="AL577" s="32"/>
      <c r="AM577" s="32"/>
      <c r="AN577" s="32"/>
      <c r="AO577" s="32"/>
      <c r="AP577" s="32"/>
      <c r="AQ577" s="32"/>
      <c r="AR577" s="32"/>
      <c r="AS577" s="32"/>
      <c r="AT577" s="32"/>
      <c r="AU577" s="32"/>
      <c r="AV577" s="32"/>
      <c r="AW577" s="32"/>
      <c r="AX577" s="32"/>
    </row>
    <row r="578">
      <c r="A578" s="32" t="str">
        <f>IFERROR(__xludf.DUMMYFUNCTION("""COMPUTED_VALUE"""),"Bandit Hide Vambraces")</f>
        <v>Bandit Hide Vambraces</v>
      </c>
      <c r="B578" s="32" t="str">
        <f>IFERROR(__xludf.DUMMYFUNCTION("""COMPUTED_VALUE"""),"Arms")</f>
        <v>Arms</v>
      </c>
      <c r="C578" s="32"/>
      <c r="D578" s="32"/>
      <c r="E578" s="32">
        <f>IFERROR(__xludf.DUMMYFUNCTION("""COMPUTED_VALUE"""),1000.0)</f>
        <v>1000</v>
      </c>
      <c r="F578" s="44">
        <f>IFERROR(__xludf.DUMMYFUNCTION("""COMPUTED_VALUE"""),4.95E7)</f>
        <v>49500000</v>
      </c>
      <c r="G578" s="32" t="str">
        <f>IFERROR(__xludf.DUMMYFUNCTION("""COMPUTED_VALUE"""),"DEF")</f>
        <v>DEF</v>
      </c>
      <c r="H578" s="33">
        <f>IFERROR(__xludf.DUMMYFUNCTION("""COMPUTED_VALUE"""),50000.0)</f>
        <v>50000</v>
      </c>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t="str">
        <f>IFERROR(__xludf.DUMMYFUNCTION("""COMPUTED_VALUE"""),"Land of Spira")</f>
        <v>Land of Spira</v>
      </c>
      <c r="AH578" s="32" t="b">
        <f>IFERROR(__xludf.DUMMYFUNCTION("""COMPUTED_VALUE"""),FALSE)</f>
        <v>0</v>
      </c>
      <c r="AI578" s="32"/>
      <c r="AJ578" s="32"/>
      <c r="AK578" s="32"/>
      <c r="AL578" s="32"/>
      <c r="AM578" s="32"/>
      <c r="AN578" s="32"/>
      <c r="AO578" s="32"/>
      <c r="AP578" s="32"/>
      <c r="AQ578" s="32"/>
      <c r="AR578" s="32"/>
      <c r="AS578" s="32"/>
      <c r="AT578" s="32"/>
      <c r="AU578" s="32"/>
      <c r="AV578" s="32"/>
      <c r="AW578" s="32"/>
      <c r="AX578" s="32"/>
    </row>
    <row r="579">
      <c r="A579" s="32" t="str">
        <f>IFERROR(__xludf.DUMMYFUNCTION("""COMPUTED_VALUE"""),"Bandit Hide Greaves")</f>
        <v>Bandit Hide Greaves</v>
      </c>
      <c r="B579" s="32" t="str">
        <f>IFERROR(__xludf.DUMMYFUNCTION("""COMPUTED_VALUE"""),"Legs")</f>
        <v>Legs</v>
      </c>
      <c r="C579" s="32"/>
      <c r="D579" s="32"/>
      <c r="E579" s="32">
        <f>IFERROR(__xludf.DUMMYFUNCTION("""COMPUTED_VALUE"""),1000.0)</f>
        <v>1000</v>
      </c>
      <c r="F579" s="44">
        <f>IFERROR(__xludf.DUMMYFUNCTION("""COMPUTED_VALUE"""),4.95E7)</f>
        <v>49500000</v>
      </c>
      <c r="G579" s="32" t="str">
        <f>IFERROR(__xludf.DUMMYFUNCTION("""COMPUTED_VALUE"""),"DEF")</f>
        <v>DEF</v>
      </c>
      <c r="H579" s="33">
        <f>IFERROR(__xludf.DUMMYFUNCTION("""COMPUTED_VALUE"""),50000.0)</f>
        <v>50000</v>
      </c>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t="str">
        <f>IFERROR(__xludf.DUMMYFUNCTION("""COMPUTED_VALUE"""),"Land of Spira")</f>
        <v>Land of Spira</v>
      </c>
      <c r="AH579" s="32" t="b">
        <f>IFERROR(__xludf.DUMMYFUNCTION("""COMPUTED_VALUE"""),FALSE)</f>
        <v>0</v>
      </c>
      <c r="AI579" s="32"/>
      <c r="AJ579" s="32"/>
      <c r="AK579" s="32"/>
      <c r="AL579" s="32"/>
      <c r="AM579" s="32"/>
      <c r="AN579" s="32"/>
      <c r="AO579" s="32"/>
      <c r="AP579" s="32"/>
      <c r="AQ579" s="32"/>
      <c r="AR579" s="32"/>
      <c r="AS579" s="32"/>
      <c r="AT579" s="32"/>
      <c r="AU579" s="32"/>
      <c r="AV579" s="32"/>
      <c r="AW579" s="32"/>
      <c r="AX579" s="32"/>
    </row>
    <row r="580">
      <c r="A580" s="32" t="str">
        <f>IFERROR(__xludf.DUMMYFUNCTION("""COMPUTED_VALUE"""),"Bandit Hide Boots")</f>
        <v>Bandit Hide Boots</v>
      </c>
      <c r="B580" s="32" t="str">
        <f>IFERROR(__xludf.DUMMYFUNCTION("""COMPUTED_VALUE"""),"Feet")</f>
        <v>Feet</v>
      </c>
      <c r="C580" s="32"/>
      <c r="D580" s="32"/>
      <c r="E580" s="32">
        <f>IFERROR(__xludf.DUMMYFUNCTION("""COMPUTED_VALUE"""),1000.0)</f>
        <v>1000</v>
      </c>
      <c r="F580" s="44">
        <f>IFERROR(__xludf.DUMMYFUNCTION("""COMPUTED_VALUE"""),4.95E7)</f>
        <v>49500000</v>
      </c>
      <c r="G580" s="32" t="str">
        <f>IFERROR(__xludf.DUMMYFUNCTION("""COMPUTED_VALUE"""),"DEF")</f>
        <v>DEF</v>
      </c>
      <c r="H580" s="33">
        <f>IFERROR(__xludf.DUMMYFUNCTION("""COMPUTED_VALUE"""),50000.0)</f>
        <v>50000</v>
      </c>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t="str">
        <f>IFERROR(__xludf.DUMMYFUNCTION("""COMPUTED_VALUE""")," ++5 to all confiscate, pickpocket, or take rolls")</f>
        <v> ++5 to all confiscate, pickpocket, or take rolls</v>
      </c>
      <c r="AG580" s="32" t="str">
        <f>IFERROR(__xludf.DUMMYFUNCTION("""COMPUTED_VALUE"""),"Land of Spira")</f>
        <v>Land of Spira</v>
      </c>
      <c r="AH580" s="32" t="b">
        <f>IFERROR(__xludf.DUMMYFUNCTION("""COMPUTED_VALUE"""),FALSE)</f>
        <v>0</v>
      </c>
      <c r="AI580" s="32"/>
      <c r="AJ580" s="32"/>
      <c r="AK580" s="32"/>
      <c r="AL580" s="32"/>
      <c r="AM580" s="32"/>
      <c r="AN580" s="32"/>
      <c r="AO580" s="32"/>
      <c r="AP580" s="32"/>
      <c r="AQ580" s="32"/>
      <c r="AR580" s="32"/>
      <c r="AS580" s="32"/>
      <c r="AT580" s="32"/>
      <c r="AU580" s="32"/>
      <c r="AV580" s="32"/>
      <c r="AW580" s="32"/>
      <c r="AX580" s="32"/>
    </row>
    <row r="581">
      <c r="A581" s="32" t="str">
        <f>IFERROR(__xludf.DUMMYFUNCTION("""COMPUTED_VALUE"""),"Nunchucks")</f>
        <v>Nunchucks</v>
      </c>
      <c r="B581" s="32" t="str">
        <f>IFERROR(__xludf.DUMMYFUNCTION("""COMPUTED_VALUE"""),"Hand")</f>
        <v>Hand</v>
      </c>
      <c r="C581" s="32"/>
      <c r="D581" s="32" t="str">
        <f>IFERROR(__xludf.DUMMYFUNCTION("""COMPUTED_VALUE"""),"Club")</f>
        <v>Club</v>
      </c>
      <c r="E581" s="32">
        <f>IFERROR(__xludf.DUMMYFUNCTION("""COMPUTED_VALUE"""),3000.0)</f>
        <v>3000</v>
      </c>
      <c r="F581" s="44">
        <f>IFERROR(__xludf.DUMMYFUNCTION("""COMPUTED_VALUE"""),4.485E8)</f>
        <v>448500000</v>
      </c>
      <c r="G581" s="32" t="str">
        <f>IFERROR(__xludf.DUMMYFUNCTION("""COMPUTED_VALUE"""),"DMG")</f>
        <v>DMG</v>
      </c>
      <c r="H581" s="33">
        <f>IFERROR(__xludf.DUMMYFUNCTION("""COMPUTED_VALUE"""),150000.0)</f>
        <v>150000</v>
      </c>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t="str">
        <f>IFERROR(__xludf.DUMMYFUNCTION("""COMPUTED_VALUE"""),"++10% chance to disarm your enemy when hitting them")</f>
        <v>++10% chance to disarm your enemy when hitting them</v>
      </c>
      <c r="AG581" s="32" t="str">
        <f>IFERROR(__xludf.DUMMYFUNCTION("""COMPUTED_VALUE"""),"Dragonscale Island")</f>
        <v>Dragonscale Island</v>
      </c>
      <c r="AH581" s="32" t="b">
        <f>IFERROR(__xludf.DUMMYFUNCTION("""COMPUTED_VALUE"""),FALSE)</f>
        <v>0</v>
      </c>
      <c r="AI581" s="32"/>
      <c r="AJ581" s="32"/>
      <c r="AK581" s="32"/>
      <c r="AL581" s="32"/>
      <c r="AM581" s="32"/>
      <c r="AN581" s="32"/>
      <c r="AO581" s="32"/>
      <c r="AP581" s="32"/>
      <c r="AQ581" s="32"/>
      <c r="AR581" s="32"/>
      <c r="AS581" s="32"/>
      <c r="AT581" s="32"/>
      <c r="AU581" s="32"/>
      <c r="AV581" s="32"/>
      <c r="AW581" s="32"/>
      <c r="AX581" s="32"/>
    </row>
    <row r="582">
      <c r="A582" s="32" t="str">
        <f>IFERROR(__xludf.DUMMYFUNCTION("""COMPUTED_VALUE"""),"Shuriken (Enhanced)")</f>
        <v>Shuriken (Enhanced)</v>
      </c>
      <c r="B582" s="32" t="str">
        <f>IFERROR(__xludf.DUMMYFUNCTION("""COMPUTED_VALUE"""),"Hand")</f>
        <v>Hand</v>
      </c>
      <c r="C582" s="32" t="str">
        <f>IFERROR(__xludf.DUMMYFUNCTION("""COMPUTED_VALUE"""),"the tantamount Ninja weapon, requires a level of dexterity you probably don't possess")</f>
        <v>the tantamount Ninja weapon, requires a level of dexterity you probably don't possess</v>
      </c>
      <c r="D582" s="32" t="str">
        <f>IFERROR(__xludf.DUMMYFUNCTION("""COMPUTED_VALUE"""),"Boomerang")</f>
        <v>Boomerang</v>
      </c>
      <c r="E582" s="32">
        <f>IFERROR(__xludf.DUMMYFUNCTION("""COMPUTED_VALUE"""),1500.0)</f>
        <v>1500</v>
      </c>
      <c r="F582" s="44">
        <f>IFERROR(__xludf.DUMMYFUNCTION("""COMPUTED_VALUE"""),1.1175E8)</f>
        <v>111750000</v>
      </c>
      <c r="G582" s="32" t="str">
        <f>IFERROR(__xludf.DUMMYFUNCTION("""COMPUTED_VALUE"""),"DMG")</f>
        <v>DMG</v>
      </c>
      <c r="H582" s="33">
        <f>IFERROR(__xludf.DUMMYFUNCTION("""COMPUTED_VALUE"""),50000.0)</f>
        <v>50000</v>
      </c>
      <c r="I582" s="32"/>
      <c r="J582" s="32"/>
      <c r="K582" s="32"/>
      <c r="L582" s="32"/>
      <c r="M582" s="32"/>
      <c r="N582" s="32"/>
      <c r="O582" s="32"/>
      <c r="P582" s="32"/>
      <c r="Q582" s="32"/>
      <c r="R582" s="32"/>
      <c r="S582" s="32"/>
      <c r="T582" s="32"/>
      <c r="U582" s="32"/>
      <c r="V582" s="32"/>
      <c r="W582" s="32"/>
      <c r="X582" s="32"/>
      <c r="Y582" s="32">
        <f>IFERROR(__xludf.DUMMYFUNCTION("""COMPUTED_VALUE"""),25000.0)</f>
        <v>25000</v>
      </c>
      <c r="Z582" s="32"/>
      <c r="AA582" s="32"/>
      <c r="AB582" s="32"/>
      <c r="AC582" s="32"/>
      <c r="AD582" s="32"/>
      <c r="AE582" s="32"/>
      <c r="AF582" s="32" t="str">
        <f>IFERROR(__xludf.DUMMYFUNCTION("""COMPUTED_VALUE"""),"++Returns when thrown, can throw up to 4 in one attack (roll 1d4 to determine)")</f>
        <v>++Returns when thrown, can throw up to 4 in one attack (roll 1d4 to determine)</v>
      </c>
      <c r="AG582" s="32" t="str">
        <f>IFERROR(__xludf.DUMMYFUNCTION("""COMPUTED_VALUE"""),"Dragonscale Island")</f>
        <v>Dragonscale Island</v>
      </c>
      <c r="AH582" s="32" t="b">
        <f>IFERROR(__xludf.DUMMYFUNCTION("""COMPUTED_VALUE"""),FALSE)</f>
        <v>0</v>
      </c>
      <c r="AI582" s="32"/>
      <c r="AJ582" s="32"/>
      <c r="AK582" s="32"/>
      <c r="AL582" s="32"/>
      <c r="AM582" s="32"/>
      <c r="AN582" s="32"/>
      <c r="AO582" s="32"/>
      <c r="AP582" s="32"/>
      <c r="AQ582" s="32"/>
      <c r="AR582" s="32"/>
      <c r="AS582" s="32"/>
      <c r="AT582" s="32"/>
      <c r="AU582" s="32"/>
      <c r="AV582" s="32"/>
      <c r="AW582" s="32"/>
      <c r="AX582" s="32"/>
    </row>
    <row r="583">
      <c r="A583" s="32" t="str">
        <f>IFERROR(__xludf.DUMMYFUNCTION("""COMPUTED_VALUE"""),"Poison Dart Gun")</f>
        <v>Poison Dart Gun</v>
      </c>
      <c r="B583" s="32" t="str">
        <f>IFERROR(__xludf.DUMMYFUNCTION("""COMPUTED_VALUE"""),"Hand")</f>
        <v>Hand</v>
      </c>
      <c r="C583" s="3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32" t="str">
        <f>IFERROR(__xludf.DUMMYFUNCTION("""COMPUTED_VALUE"""),"Firearm")</f>
        <v>Firearm</v>
      </c>
      <c r="E583" s="32">
        <f>IFERROR(__xludf.DUMMYFUNCTION("""COMPUTED_VALUE"""),2000.0)</f>
        <v>2000</v>
      </c>
      <c r="F583" s="44">
        <f>IFERROR(__xludf.DUMMYFUNCTION("""COMPUTED_VALUE"""),1.99E8)</f>
        <v>199000000</v>
      </c>
      <c r="G583" s="32" t="str">
        <f>IFERROR(__xludf.DUMMYFUNCTION("""COMPUTED_VALUE"""),"DMG")</f>
        <v>DMG</v>
      </c>
      <c r="H583" s="33">
        <f>IFERROR(__xludf.DUMMYFUNCTION("""COMPUTED_VALUE"""),75000.0)</f>
        <v>75000</v>
      </c>
      <c r="I583" s="32"/>
      <c r="J583" s="32"/>
      <c r="K583" s="32"/>
      <c r="L583" s="32"/>
      <c r="M583" s="32"/>
      <c r="N583" s="32"/>
      <c r="O583" s="32"/>
      <c r="P583" s="32"/>
      <c r="Q583" s="32"/>
      <c r="R583" s="32"/>
      <c r="S583" s="32"/>
      <c r="T583" s="32"/>
      <c r="U583" s="32"/>
      <c r="V583" s="32"/>
      <c r="W583" s="32"/>
      <c r="X583" s="33">
        <f>IFERROR(__xludf.DUMMYFUNCTION("""COMPUTED_VALUE"""),25000.0)</f>
        <v>25000</v>
      </c>
      <c r="Y583" s="32"/>
      <c r="Z583" s="32"/>
      <c r="AA583" s="32"/>
      <c r="AB583" s="32"/>
      <c r="AC583" s="32"/>
      <c r="AD583" s="32"/>
      <c r="AE583" s="32"/>
      <c r="AF583" s="32" t="str">
        <f>IFERROR(__xludf.DUMMYFUNCTION("""COMPUTED_VALUE"""),"++Inflicts Poison 2500 for 2 rounds. ++Uses darts as ammo")</f>
        <v>++Inflicts Poison 2500 for 2 rounds. ++Uses darts as ammo</v>
      </c>
      <c r="AG583" s="32" t="str">
        <f>IFERROR(__xludf.DUMMYFUNCTION("""COMPUTED_VALUE"""),"Dragonscale Island")</f>
        <v>Dragonscale Island</v>
      </c>
      <c r="AH583" s="32" t="b">
        <f>IFERROR(__xludf.DUMMYFUNCTION("""COMPUTED_VALUE"""),FALSE)</f>
        <v>0</v>
      </c>
      <c r="AI583" s="32"/>
      <c r="AJ583" s="32"/>
      <c r="AK583" s="32"/>
      <c r="AL583" s="32"/>
      <c r="AM583" s="32"/>
      <c r="AN583" s="32"/>
      <c r="AO583" s="32"/>
      <c r="AP583" s="32"/>
      <c r="AQ583" s="32"/>
      <c r="AR583" s="32"/>
      <c r="AS583" s="32"/>
      <c r="AT583" s="32"/>
      <c r="AU583" s="32"/>
      <c r="AV583" s="32"/>
      <c r="AW583" s="32"/>
      <c r="AX583" s="32"/>
    </row>
    <row r="584">
      <c r="A584" s="32" t="str">
        <f>IFERROR(__xludf.DUMMYFUNCTION("""COMPUTED_VALUE"""),"Poison Tipped Needle")</f>
        <v>Poison Tipped Needle</v>
      </c>
      <c r="B584" s="32" t="str">
        <f>IFERROR(__xludf.DUMMYFUNCTION("""COMPUTED_VALUE"""),"Hand")</f>
        <v>Hand</v>
      </c>
      <c r="C584" s="32" t="str">
        <f>IFERROR(__xludf.DUMMYFUNCTION("""COMPUTED_VALUE"""),"A needle dipped in master Wushang's thousand poisons or some other Wuxia novel esque bullshit")</f>
        <v>A needle dipped in master Wushang's thousand poisons or some other Wuxia novel esque bullshit</v>
      </c>
      <c r="D584" s="32" t="str">
        <f>IFERROR(__xludf.DUMMYFUNCTION("""COMPUTED_VALUE"""),"Knife")</f>
        <v>Knife</v>
      </c>
      <c r="E584" s="32">
        <f>IFERROR(__xludf.DUMMYFUNCTION("""COMPUTED_VALUE"""),2000.0)</f>
        <v>2000</v>
      </c>
      <c r="F584" s="44">
        <f>IFERROR(__xludf.DUMMYFUNCTION("""COMPUTED_VALUE"""),1.99E8)</f>
        <v>199000000</v>
      </c>
      <c r="G584" s="32" t="str">
        <f>IFERROR(__xludf.DUMMYFUNCTION("""COMPUTED_VALUE"""),"DMG")</f>
        <v>DMG</v>
      </c>
      <c r="H584" s="33">
        <f>IFERROR(__xludf.DUMMYFUNCTION("""COMPUTED_VALUE"""),75000.0)</f>
        <v>75000</v>
      </c>
      <c r="I584" s="32"/>
      <c r="J584" s="32"/>
      <c r="K584" s="32"/>
      <c r="L584" s="32"/>
      <c r="M584" s="32"/>
      <c r="N584" s="32"/>
      <c r="O584" s="32"/>
      <c r="P584" s="32"/>
      <c r="Q584" s="32"/>
      <c r="R584" s="32"/>
      <c r="S584" s="32"/>
      <c r="T584" s="32"/>
      <c r="U584" s="32"/>
      <c r="V584" s="32"/>
      <c r="W584" s="32"/>
      <c r="X584" s="33">
        <f>IFERROR(__xludf.DUMMYFUNCTION("""COMPUTED_VALUE"""),25000.0)</f>
        <v>25000</v>
      </c>
      <c r="Y584" s="32"/>
      <c r="Z584" s="32"/>
      <c r="AA584" s="32"/>
      <c r="AB584" s="32"/>
      <c r="AC584" s="32"/>
      <c r="AD584" s="32"/>
      <c r="AE584" s="32"/>
      <c r="AF584" s="32" t="str">
        <f>IFERROR(__xludf.DUMMYFUNCTION("""COMPUTED_VALUE"""),"++When rolling a Natural 19 or 20 deals X3 Damage. ++Inflicts Poison 100")</f>
        <v>++When rolling a Natural 19 or 20 deals X3 Damage. ++Inflicts Poison 100</v>
      </c>
      <c r="AG584" s="32" t="str">
        <f>IFERROR(__xludf.DUMMYFUNCTION("""COMPUTED_VALUE"""),"Dragonscale Island")</f>
        <v>Dragonscale Island</v>
      </c>
      <c r="AH584" s="32" t="b">
        <f>IFERROR(__xludf.DUMMYFUNCTION("""COMPUTED_VALUE"""),FALSE)</f>
        <v>0</v>
      </c>
      <c r="AI584" s="32"/>
      <c r="AJ584" s="32"/>
      <c r="AK584" s="32"/>
      <c r="AL584" s="32"/>
      <c r="AM584" s="32"/>
      <c r="AN584" s="32"/>
      <c r="AO584" s="32"/>
      <c r="AP584" s="32"/>
      <c r="AQ584" s="32"/>
      <c r="AR584" s="32"/>
      <c r="AS584" s="32"/>
      <c r="AT584" s="32"/>
      <c r="AU584" s="32"/>
      <c r="AV584" s="32"/>
      <c r="AW584" s="32"/>
      <c r="AX584" s="32"/>
    </row>
    <row r="585">
      <c r="A585" s="32" t="str">
        <f>IFERROR(__xludf.DUMMYFUNCTION("""COMPUTED_VALUE"""),"Katana (Enhanced)")</f>
        <v>Katana (Enhanced)</v>
      </c>
      <c r="B585" s="32" t="str">
        <f>IFERROR(__xludf.DUMMYFUNCTION("""COMPUTED_VALUE"""),"Hand")</f>
        <v>Hand</v>
      </c>
      <c r="C585" s="32" t="str">
        <f>IFERROR(__xludf.DUMMYFUNCTION("""COMPUTED_VALUE"""),"The sword of weebs and actual samurai alike, surprisingly yes, weebs do exist in Spira")</f>
        <v>The sword of weebs and actual samurai alike, surprisingly yes, weebs do exist in Spira</v>
      </c>
      <c r="D585" s="32" t="str">
        <f>IFERROR(__xludf.DUMMYFUNCTION("""COMPUTED_VALUE"""),"Sword")</f>
        <v>Sword</v>
      </c>
      <c r="E585" s="32">
        <f>IFERROR(__xludf.DUMMYFUNCTION("""COMPUTED_VALUE"""),2500.0)</f>
        <v>2500</v>
      </c>
      <c r="F585" s="44">
        <f>IFERROR(__xludf.DUMMYFUNCTION("""COMPUTED_VALUE"""),3.1125E8)</f>
        <v>311250000</v>
      </c>
      <c r="G585" s="32" t="str">
        <f>IFERROR(__xludf.DUMMYFUNCTION("""COMPUTED_VALUE"""),"DMG")</f>
        <v>DMG</v>
      </c>
      <c r="H585" s="33">
        <f>IFERROR(__xludf.DUMMYFUNCTION("""COMPUTED_VALUE"""),125000.0)</f>
        <v>125000</v>
      </c>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t="str">
        <f>IFERROR(__xludf.DUMMYFUNCTION("""COMPUTED_VALUE"""),"++Triples the chance for the sword ability to activate, +-Cannot be Forged")</f>
        <v>++Triples the chance for the sword ability to activate, +-Cannot be Forged</v>
      </c>
      <c r="AG585" s="32" t="str">
        <f>IFERROR(__xludf.DUMMYFUNCTION("""COMPUTED_VALUE"""),"Dragonscale Island")</f>
        <v>Dragonscale Island</v>
      </c>
      <c r="AH585" s="32" t="b">
        <f>IFERROR(__xludf.DUMMYFUNCTION("""COMPUTED_VALUE"""),FALSE)</f>
        <v>0</v>
      </c>
      <c r="AI585" s="32"/>
      <c r="AJ585" s="32"/>
      <c r="AK585" s="32"/>
      <c r="AL585" s="32"/>
      <c r="AM585" s="32"/>
      <c r="AN585" s="32"/>
      <c r="AO585" s="32"/>
      <c r="AP585" s="32"/>
      <c r="AQ585" s="32"/>
      <c r="AR585" s="32"/>
      <c r="AS585" s="32"/>
      <c r="AT585" s="32"/>
      <c r="AU585" s="32"/>
      <c r="AV585" s="32"/>
      <c r="AW585" s="32"/>
      <c r="AX585" s="32"/>
    </row>
    <row r="586">
      <c r="A586" s="32" t="str">
        <f>IFERROR(__xludf.DUMMYFUNCTION("""COMPUTED_VALUE"""),"Ninja Initiate's Cowl")</f>
        <v>Ninja Initiate's Cowl</v>
      </c>
      <c r="B586" s="32" t="str">
        <f>IFERROR(__xludf.DUMMYFUNCTION("""COMPUTED_VALUE"""),"Head")</f>
        <v>Head</v>
      </c>
      <c r="C586" s="32" t="str">
        <f>IFERROR(__xludf.DUMMYFUNCTION("""COMPUTED_VALUE"""),"Armor given to newbie Ninja's who have yet to choose a master")</f>
        <v>Armor given to newbie Ninja's who have yet to choose a master</v>
      </c>
      <c r="D586" s="32"/>
      <c r="E586" s="32">
        <f>IFERROR(__xludf.DUMMYFUNCTION("""COMPUTED_VALUE"""),2500.0)</f>
        <v>2500</v>
      </c>
      <c r="F586" s="44">
        <f>IFERROR(__xludf.DUMMYFUNCTION("""COMPUTED_VALUE"""),3.1125E8)</f>
        <v>311250000</v>
      </c>
      <c r="G586" s="32" t="str">
        <f>IFERROR(__xludf.DUMMYFUNCTION("""COMPUTED_VALUE"""),"DEF")</f>
        <v>DEF</v>
      </c>
      <c r="H586" s="33">
        <f>IFERROR(__xludf.DUMMYFUNCTION("""COMPUTED_VALUE"""),125000.0)</f>
        <v>125000</v>
      </c>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t="str">
        <f>IFERROR(__xludf.DUMMYFUNCTION("""COMPUTED_VALUE"""),"++X2 damage with Knives")</f>
        <v>++X2 damage with Knives</v>
      </c>
      <c r="AG586" s="32" t="str">
        <f>IFERROR(__xludf.DUMMYFUNCTION("""COMPUTED_VALUE"""),"Dragonscale Island")</f>
        <v>Dragonscale Island</v>
      </c>
      <c r="AH586" s="32" t="b">
        <f>IFERROR(__xludf.DUMMYFUNCTION("""COMPUTED_VALUE"""),FALSE)</f>
        <v>0</v>
      </c>
      <c r="AI586" s="32"/>
      <c r="AJ586" s="32"/>
      <c r="AK586" s="32"/>
      <c r="AL586" s="32"/>
      <c r="AM586" s="32"/>
      <c r="AN586" s="32"/>
      <c r="AO586" s="32"/>
      <c r="AP586" s="32"/>
      <c r="AQ586" s="32"/>
      <c r="AR586" s="32"/>
      <c r="AS586" s="32"/>
      <c r="AT586" s="32"/>
      <c r="AU586" s="32"/>
      <c r="AV586" s="32"/>
      <c r="AW586" s="32"/>
      <c r="AX586" s="32"/>
    </row>
    <row r="587">
      <c r="A587" s="32" t="str">
        <f>IFERROR(__xludf.DUMMYFUNCTION("""COMPUTED_VALUE"""),"Ninja Initiate's Cape")</f>
        <v>Ninja Initiate's Cape</v>
      </c>
      <c r="B587" s="32" t="str">
        <f>IFERROR(__xludf.DUMMYFUNCTION("""COMPUTED_VALUE"""),"Shoulders")</f>
        <v>Shoulders</v>
      </c>
      <c r="C587" s="32" t="str">
        <f>IFERROR(__xludf.DUMMYFUNCTION("""COMPUTED_VALUE"""),"Armor given to newbie Ninja's who have yet to choose a master")</f>
        <v>Armor given to newbie Ninja's who have yet to choose a master</v>
      </c>
      <c r="D587" s="32"/>
      <c r="E587" s="32">
        <f>IFERROR(__xludf.DUMMYFUNCTION("""COMPUTED_VALUE"""),2500.0)</f>
        <v>2500</v>
      </c>
      <c r="F587" s="44">
        <f>IFERROR(__xludf.DUMMYFUNCTION("""COMPUTED_VALUE"""),3.1125E8)</f>
        <v>311250000</v>
      </c>
      <c r="G587" s="32" t="str">
        <f>IFERROR(__xludf.DUMMYFUNCTION("""COMPUTED_VALUE"""),"DEF")</f>
        <v>DEF</v>
      </c>
      <c r="H587" s="33">
        <f>IFERROR(__xludf.DUMMYFUNCTION("""COMPUTED_VALUE"""),125000.0)</f>
        <v>125000</v>
      </c>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t="str">
        <f>IFERROR(__xludf.DUMMYFUNCTION("""COMPUTED_VALUE"""),"++X2 damage with Knives")</f>
        <v>++X2 damage with Knives</v>
      </c>
      <c r="AG587" s="32" t="str">
        <f>IFERROR(__xludf.DUMMYFUNCTION("""COMPUTED_VALUE"""),"Dragonscale Island")</f>
        <v>Dragonscale Island</v>
      </c>
      <c r="AH587" s="32" t="b">
        <f>IFERROR(__xludf.DUMMYFUNCTION("""COMPUTED_VALUE"""),FALSE)</f>
        <v>0</v>
      </c>
      <c r="AI587" s="32"/>
      <c r="AJ587" s="32"/>
      <c r="AK587" s="32"/>
      <c r="AL587" s="32"/>
      <c r="AM587" s="32"/>
      <c r="AN587" s="32"/>
      <c r="AO587" s="32"/>
      <c r="AP587" s="32"/>
      <c r="AQ587" s="32"/>
      <c r="AR587" s="32"/>
      <c r="AS587" s="32"/>
      <c r="AT587" s="32"/>
      <c r="AU587" s="32"/>
      <c r="AV587" s="32"/>
      <c r="AW587" s="32"/>
      <c r="AX587" s="32"/>
    </row>
    <row r="588">
      <c r="A588" s="32" t="str">
        <f>IFERROR(__xludf.DUMMYFUNCTION("""COMPUTED_VALUE"""),"Ninja Initiate's Vest")</f>
        <v>Ninja Initiate's Vest</v>
      </c>
      <c r="B588" s="32" t="str">
        <f>IFERROR(__xludf.DUMMYFUNCTION("""COMPUTED_VALUE"""),"Torso")</f>
        <v>Torso</v>
      </c>
      <c r="C588" s="32" t="str">
        <f>IFERROR(__xludf.DUMMYFUNCTION("""COMPUTED_VALUE"""),"Armor given to newbie Ninja's who have yet to choose a master")</f>
        <v>Armor given to newbie Ninja's who have yet to choose a master</v>
      </c>
      <c r="D588" s="32"/>
      <c r="E588" s="32">
        <f>IFERROR(__xludf.DUMMYFUNCTION("""COMPUTED_VALUE"""),2500.0)</f>
        <v>2500</v>
      </c>
      <c r="F588" s="44">
        <f>IFERROR(__xludf.DUMMYFUNCTION("""COMPUTED_VALUE"""),3.1125E8)</f>
        <v>311250000</v>
      </c>
      <c r="G588" s="32" t="str">
        <f>IFERROR(__xludf.DUMMYFUNCTION("""COMPUTED_VALUE"""),"DEF")</f>
        <v>DEF</v>
      </c>
      <c r="H588" s="33">
        <f>IFERROR(__xludf.DUMMYFUNCTION("""COMPUTED_VALUE"""),125000.0)</f>
        <v>125000</v>
      </c>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t="str">
        <f>IFERROR(__xludf.DUMMYFUNCTION("""COMPUTED_VALUE"""),"++X2 damage with Knives")</f>
        <v>++X2 damage with Knives</v>
      </c>
      <c r="AG588" s="32" t="str">
        <f>IFERROR(__xludf.DUMMYFUNCTION("""COMPUTED_VALUE"""),"Dragonscale Island")</f>
        <v>Dragonscale Island</v>
      </c>
      <c r="AH588" s="32" t="b">
        <f>IFERROR(__xludf.DUMMYFUNCTION("""COMPUTED_VALUE"""),FALSE)</f>
        <v>0</v>
      </c>
      <c r="AI588" s="32"/>
      <c r="AJ588" s="32"/>
      <c r="AK588" s="32"/>
      <c r="AL588" s="32"/>
      <c r="AM588" s="32"/>
      <c r="AN588" s="32"/>
      <c r="AO588" s="32"/>
      <c r="AP588" s="32"/>
      <c r="AQ588" s="32"/>
      <c r="AR588" s="32"/>
      <c r="AS588" s="32"/>
      <c r="AT588" s="32"/>
      <c r="AU588" s="32"/>
      <c r="AV588" s="32"/>
      <c r="AW588" s="32"/>
      <c r="AX588" s="32"/>
    </row>
    <row r="589">
      <c r="A589" s="32" t="str">
        <f>IFERROR(__xludf.DUMMYFUNCTION("""COMPUTED_VALUE"""),"Ninja Initiate's Gloves")</f>
        <v>Ninja Initiate's Gloves</v>
      </c>
      <c r="B589" s="32" t="str">
        <f>IFERROR(__xludf.DUMMYFUNCTION("""COMPUTED_VALUE"""),"Arms")</f>
        <v>Arms</v>
      </c>
      <c r="C589" s="32" t="str">
        <f>IFERROR(__xludf.DUMMYFUNCTION("""COMPUTED_VALUE"""),"Armor given to newbie Ninja's who have yet to choose a master")</f>
        <v>Armor given to newbie Ninja's who have yet to choose a master</v>
      </c>
      <c r="D589" s="32"/>
      <c r="E589" s="32">
        <f>IFERROR(__xludf.DUMMYFUNCTION("""COMPUTED_VALUE"""),2500.0)</f>
        <v>2500</v>
      </c>
      <c r="F589" s="44">
        <f>IFERROR(__xludf.DUMMYFUNCTION("""COMPUTED_VALUE"""),3.1125E8)</f>
        <v>311250000</v>
      </c>
      <c r="G589" s="32" t="str">
        <f>IFERROR(__xludf.DUMMYFUNCTION("""COMPUTED_VALUE"""),"DEF")</f>
        <v>DEF</v>
      </c>
      <c r="H589" s="33">
        <f>IFERROR(__xludf.DUMMYFUNCTION("""COMPUTED_VALUE"""),125000.0)</f>
        <v>125000</v>
      </c>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t="str">
        <f>IFERROR(__xludf.DUMMYFUNCTION("""COMPUTED_VALUE"""),"++X2 damage with Knives")</f>
        <v>++X2 damage with Knives</v>
      </c>
      <c r="AG589" s="32" t="str">
        <f>IFERROR(__xludf.DUMMYFUNCTION("""COMPUTED_VALUE"""),"Dragonscale Island")</f>
        <v>Dragonscale Island</v>
      </c>
      <c r="AH589" s="32" t="b">
        <f>IFERROR(__xludf.DUMMYFUNCTION("""COMPUTED_VALUE"""),FALSE)</f>
        <v>0</v>
      </c>
      <c r="AI589" s="32"/>
      <c r="AJ589" s="32"/>
      <c r="AK589" s="32"/>
      <c r="AL589" s="32"/>
      <c r="AM589" s="32"/>
      <c r="AN589" s="32"/>
      <c r="AO589" s="32"/>
      <c r="AP589" s="32"/>
      <c r="AQ589" s="32"/>
      <c r="AR589" s="32"/>
      <c r="AS589" s="32"/>
      <c r="AT589" s="32"/>
      <c r="AU589" s="32"/>
      <c r="AV589" s="32"/>
      <c r="AW589" s="32"/>
      <c r="AX589" s="32"/>
    </row>
    <row r="590">
      <c r="A590" s="32" t="str">
        <f>IFERROR(__xludf.DUMMYFUNCTION("""COMPUTED_VALUE"""),"Ninja Initiate's Sarouel")</f>
        <v>Ninja Initiate's Sarouel</v>
      </c>
      <c r="B590" s="32" t="str">
        <f>IFERROR(__xludf.DUMMYFUNCTION("""COMPUTED_VALUE"""),"Legs")</f>
        <v>Legs</v>
      </c>
      <c r="C590" s="32" t="str">
        <f>IFERROR(__xludf.DUMMYFUNCTION("""COMPUTED_VALUE"""),"Armor given to newbie Ninja's who have yet to choose a master")</f>
        <v>Armor given to newbie Ninja's who have yet to choose a master</v>
      </c>
      <c r="D590" s="32"/>
      <c r="E590" s="32">
        <f>IFERROR(__xludf.DUMMYFUNCTION("""COMPUTED_VALUE"""),2500.0)</f>
        <v>2500</v>
      </c>
      <c r="F590" s="44">
        <f>IFERROR(__xludf.DUMMYFUNCTION("""COMPUTED_VALUE"""),3.1125E8)</f>
        <v>311250000</v>
      </c>
      <c r="G590" s="32" t="str">
        <f>IFERROR(__xludf.DUMMYFUNCTION("""COMPUTED_VALUE"""),"DEF")</f>
        <v>DEF</v>
      </c>
      <c r="H590" s="33">
        <f>IFERROR(__xludf.DUMMYFUNCTION("""COMPUTED_VALUE"""),125000.0)</f>
        <v>125000</v>
      </c>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t="str">
        <f>IFERROR(__xludf.DUMMYFUNCTION("""COMPUTED_VALUE"""),"++X2 damage with Knives")</f>
        <v>++X2 damage with Knives</v>
      </c>
      <c r="AG590" s="32" t="str">
        <f>IFERROR(__xludf.DUMMYFUNCTION("""COMPUTED_VALUE"""),"Dragonscale Island")</f>
        <v>Dragonscale Island</v>
      </c>
      <c r="AH590" s="32" t="b">
        <f>IFERROR(__xludf.DUMMYFUNCTION("""COMPUTED_VALUE"""),FALSE)</f>
        <v>0</v>
      </c>
      <c r="AI590" s="32"/>
      <c r="AJ590" s="32"/>
      <c r="AK590" s="32"/>
      <c r="AL590" s="32"/>
      <c r="AM590" s="32"/>
      <c r="AN590" s="32"/>
      <c r="AO590" s="32"/>
      <c r="AP590" s="32"/>
      <c r="AQ590" s="32"/>
      <c r="AR590" s="32"/>
      <c r="AS590" s="32"/>
      <c r="AT590" s="32"/>
      <c r="AU590" s="32"/>
      <c r="AV590" s="32"/>
      <c r="AW590" s="32"/>
      <c r="AX590" s="32"/>
    </row>
    <row r="591">
      <c r="A591" s="32" t="str">
        <f>IFERROR(__xludf.DUMMYFUNCTION("""COMPUTED_VALUE"""),"Ninja Initiate's Sandals")</f>
        <v>Ninja Initiate's Sandals</v>
      </c>
      <c r="B591" s="32" t="str">
        <f>IFERROR(__xludf.DUMMYFUNCTION("""COMPUTED_VALUE"""),"Feet")</f>
        <v>Feet</v>
      </c>
      <c r="C591" s="32" t="str">
        <f>IFERROR(__xludf.DUMMYFUNCTION("""COMPUTED_VALUE"""),"Armor given to newbie Ninja's who have yet to choose a master")</f>
        <v>Armor given to newbie Ninja's who have yet to choose a master</v>
      </c>
      <c r="D591" s="32"/>
      <c r="E591" s="32">
        <f>IFERROR(__xludf.DUMMYFUNCTION("""COMPUTED_VALUE"""),2500.0)</f>
        <v>2500</v>
      </c>
      <c r="F591" s="44">
        <f>IFERROR(__xludf.DUMMYFUNCTION("""COMPUTED_VALUE"""),3.1125E8)</f>
        <v>311250000</v>
      </c>
      <c r="G591" s="32" t="str">
        <f>IFERROR(__xludf.DUMMYFUNCTION("""COMPUTED_VALUE"""),"DEF")</f>
        <v>DEF</v>
      </c>
      <c r="H591" s="33">
        <f>IFERROR(__xludf.DUMMYFUNCTION("""COMPUTED_VALUE"""),125000.0)</f>
        <v>125000</v>
      </c>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t="str">
        <f>IFERROR(__xludf.DUMMYFUNCTION("""COMPUTED_VALUE"""),"++X2 damage with Knives")</f>
        <v>++X2 damage with Knives</v>
      </c>
      <c r="AG591" s="32" t="str">
        <f>IFERROR(__xludf.DUMMYFUNCTION("""COMPUTED_VALUE"""),"Dragonscale Island")</f>
        <v>Dragonscale Island</v>
      </c>
      <c r="AH591" s="32" t="b">
        <f>IFERROR(__xludf.DUMMYFUNCTION("""COMPUTED_VALUE"""),FALSE)</f>
        <v>0</v>
      </c>
      <c r="AI591" s="32"/>
      <c r="AJ591" s="32"/>
      <c r="AK591" s="32"/>
      <c r="AL591" s="32"/>
      <c r="AM591" s="32"/>
      <c r="AN591" s="32"/>
      <c r="AO591" s="32"/>
      <c r="AP591" s="32"/>
      <c r="AQ591" s="32"/>
      <c r="AR591" s="32"/>
      <c r="AS591" s="32"/>
      <c r="AT591" s="32"/>
      <c r="AU591" s="32"/>
      <c r="AV591" s="32"/>
      <c r="AW591" s="32"/>
      <c r="AX591" s="32"/>
    </row>
    <row r="592">
      <c r="A592" s="32" t="str">
        <f>IFERROR(__xludf.DUMMYFUNCTION("""COMPUTED_VALUE"""),"Sai")</f>
        <v>Sai</v>
      </c>
      <c r="B592" s="32" t="str">
        <f>IFERROR(__xludf.DUMMYFUNCTION("""COMPUTED_VALUE"""),"Hand")</f>
        <v>Hand</v>
      </c>
      <c r="C592" s="32" t="str">
        <f>IFERROR(__xludf.DUMMYFUNCTION("""COMPUTED_VALUE"""),"A weapon designed for redirecting an enemies blade and then striking for their vitals")</f>
        <v>A weapon designed for redirecting an enemies blade and then striking for their vitals</v>
      </c>
      <c r="D592" s="32" t="str">
        <f>IFERROR(__xludf.DUMMYFUNCTION("""COMPUTED_VALUE"""),"Knife")</f>
        <v>Knife</v>
      </c>
      <c r="E592" s="32">
        <f>IFERROR(__xludf.DUMMYFUNCTION("""COMPUTED_VALUE"""),2500.0)</f>
        <v>2500</v>
      </c>
      <c r="F592" s="44">
        <f>IFERROR(__xludf.DUMMYFUNCTION("""COMPUTED_VALUE"""),3.1125E8)</f>
        <v>311250000</v>
      </c>
      <c r="G592" s="32" t="str">
        <f>IFERROR(__xludf.DUMMYFUNCTION("""COMPUTED_VALUE"""),"DEF")</f>
        <v>DEF</v>
      </c>
      <c r="H592" s="33">
        <f>IFERROR(__xludf.DUMMYFUNCTION("""COMPUTED_VALUE"""),125000.0)</f>
        <v>125000</v>
      </c>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32" t="str">
        <f>IFERROR(__xludf.DUMMYFUNCTION("""COMPUTED_VALUE"""),"Dragonscale Island")</f>
        <v>Dragonscale Island</v>
      </c>
      <c r="AH592" s="32" t="b">
        <f>IFERROR(__xludf.DUMMYFUNCTION("""COMPUTED_VALUE"""),FALSE)</f>
        <v>0</v>
      </c>
      <c r="AI592" s="32"/>
      <c r="AJ592" s="32"/>
      <c r="AK592" s="32"/>
      <c r="AL592" s="32"/>
      <c r="AM592" s="32"/>
      <c r="AN592" s="32"/>
      <c r="AO592" s="32"/>
      <c r="AP592" s="32"/>
      <c r="AQ592" s="32"/>
      <c r="AR592" s="32"/>
      <c r="AS592" s="32"/>
      <c r="AT592" s="32"/>
      <c r="AU592" s="32"/>
      <c r="AV592" s="32"/>
      <c r="AW592" s="32"/>
      <c r="AX592" s="32"/>
    </row>
    <row r="593">
      <c r="A593" s="32" t="str">
        <f>IFERROR(__xludf.DUMMYFUNCTION("""COMPUTED_VALUE"""),"Poison Master's Mask")</f>
        <v>Poison Master's Mask</v>
      </c>
      <c r="B593" s="32" t="str">
        <f>IFERROR(__xludf.DUMMYFUNCTION("""COMPUTED_VALUE"""),"Head")</f>
        <v>Head</v>
      </c>
      <c r="C593"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32"/>
      <c r="E593" s="32">
        <f>IFERROR(__xludf.DUMMYFUNCTION("""COMPUTED_VALUE"""),2500.0)</f>
        <v>2500</v>
      </c>
      <c r="F593" s="44">
        <f>IFERROR(__xludf.DUMMYFUNCTION("""COMPUTED_VALUE"""),3.1125E8)</f>
        <v>311250000</v>
      </c>
      <c r="G593" s="32" t="str">
        <f>IFERROR(__xludf.DUMMYFUNCTION("""COMPUTED_VALUE"""),"DEF")</f>
        <v>DEF</v>
      </c>
      <c r="H593" s="33">
        <f>IFERROR(__xludf.DUMMYFUNCTION("""COMPUTED_VALUE"""),125000.0)</f>
        <v>125000</v>
      </c>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t="str">
        <f>IFERROR(__xludf.DUMMYFUNCTION("""COMPUTED_VALUE"""),"++X2 Poison damage")</f>
        <v>++X2 Poison damage</v>
      </c>
      <c r="AG593" s="32" t="str">
        <f>IFERROR(__xludf.DUMMYFUNCTION("""COMPUTED_VALUE"""),"Dragonscale Island")</f>
        <v>Dragonscale Island</v>
      </c>
      <c r="AH593" s="32" t="b">
        <f>IFERROR(__xludf.DUMMYFUNCTION("""COMPUTED_VALUE"""),FALSE)</f>
        <v>0</v>
      </c>
      <c r="AI593" s="32"/>
      <c r="AJ593" s="32"/>
      <c r="AK593" s="32"/>
      <c r="AL593" s="32"/>
      <c r="AM593" s="32"/>
      <c r="AN593" s="32"/>
      <c r="AO593" s="32"/>
      <c r="AP593" s="32"/>
      <c r="AQ593" s="32"/>
      <c r="AR593" s="32"/>
      <c r="AS593" s="32"/>
      <c r="AT593" s="32"/>
      <c r="AU593" s="32"/>
      <c r="AV593" s="32"/>
      <c r="AW593" s="32"/>
      <c r="AX593" s="32"/>
    </row>
    <row r="594">
      <c r="A594" s="32" t="str">
        <f>IFERROR(__xludf.DUMMYFUNCTION("""COMPUTED_VALUE"""),"Poison Master's Cape")</f>
        <v>Poison Master's Cape</v>
      </c>
      <c r="B594" s="32" t="str">
        <f>IFERROR(__xludf.DUMMYFUNCTION("""COMPUTED_VALUE"""),"Shoulders")</f>
        <v>Shoulders</v>
      </c>
      <c r="C594"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32"/>
      <c r="E594" s="32">
        <f>IFERROR(__xludf.DUMMYFUNCTION("""COMPUTED_VALUE"""),2500.0)</f>
        <v>2500</v>
      </c>
      <c r="F594" s="44">
        <f>IFERROR(__xludf.DUMMYFUNCTION("""COMPUTED_VALUE"""),3.1125E8)</f>
        <v>311250000</v>
      </c>
      <c r="G594" s="32" t="str">
        <f>IFERROR(__xludf.DUMMYFUNCTION("""COMPUTED_VALUE"""),"DEF")</f>
        <v>DEF</v>
      </c>
      <c r="H594" s="33">
        <f>IFERROR(__xludf.DUMMYFUNCTION("""COMPUTED_VALUE"""),125000.0)</f>
        <v>125000</v>
      </c>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t="str">
        <f>IFERROR(__xludf.DUMMYFUNCTION("""COMPUTED_VALUE"""),"++X2 Poison damage")</f>
        <v>++X2 Poison damage</v>
      </c>
      <c r="AG594" s="32" t="str">
        <f>IFERROR(__xludf.DUMMYFUNCTION("""COMPUTED_VALUE"""),"Dragonscale Island")</f>
        <v>Dragonscale Island</v>
      </c>
      <c r="AH594" s="32" t="b">
        <f>IFERROR(__xludf.DUMMYFUNCTION("""COMPUTED_VALUE"""),FALSE)</f>
        <v>0</v>
      </c>
      <c r="AI594" s="32"/>
      <c r="AJ594" s="32"/>
      <c r="AK594" s="32"/>
      <c r="AL594" s="32"/>
      <c r="AM594" s="32"/>
      <c r="AN594" s="32"/>
      <c r="AO594" s="32"/>
      <c r="AP594" s="32"/>
      <c r="AQ594" s="32"/>
      <c r="AR594" s="32"/>
      <c r="AS594" s="32"/>
      <c r="AT594" s="32"/>
      <c r="AU594" s="32"/>
      <c r="AV594" s="32"/>
      <c r="AW594" s="32"/>
      <c r="AX594" s="32"/>
    </row>
    <row r="595">
      <c r="A595" s="32" t="str">
        <f>IFERROR(__xludf.DUMMYFUNCTION("""COMPUTED_VALUE"""),"Poison Master's Robe")</f>
        <v>Poison Master's Robe</v>
      </c>
      <c r="B595" s="32" t="str">
        <f>IFERROR(__xludf.DUMMYFUNCTION("""COMPUTED_VALUE"""),"Torso")</f>
        <v>Torso</v>
      </c>
      <c r="C595"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32"/>
      <c r="E595" s="32">
        <f>IFERROR(__xludf.DUMMYFUNCTION("""COMPUTED_VALUE"""),2500.0)</f>
        <v>2500</v>
      </c>
      <c r="F595" s="44">
        <f>IFERROR(__xludf.DUMMYFUNCTION("""COMPUTED_VALUE"""),3.1125E8)</f>
        <v>311250000</v>
      </c>
      <c r="G595" s="32" t="str">
        <f>IFERROR(__xludf.DUMMYFUNCTION("""COMPUTED_VALUE"""),"DEF")</f>
        <v>DEF</v>
      </c>
      <c r="H595" s="33">
        <f>IFERROR(__xludf.DUMMYFUNCTION("""COMPUTED_VALUE"""),125000.0)</f>
        <v>125000</v>
      </c>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t="str">
        <f>IFERROR(__xludf.DUMMYFUNCTION("""COMPUTED_VALUE"""),"Dragonscale Island")</f>
        <v>Dragonscale Island</v>
      </c>
      <c r="AH595" s="32" t="b">
        <f>IFERROR(__xludf.DUMMYFUNCTION("""COMPUTED_VALUE"""),FALSE)</f>
        <v>0</v>
      </c>
      <c r="AI595" s="32"/>
      <c r="AJ595" s="32"/>
      <c r="AK595" s="32"/>
      <c r="AL595" s="32"/>
      <c r="AM595" s="32"/>
      <c r="AN595" s="32"/>
      <c r="AO595" s="32"/>
      <c r="AP595" s="32"/>
      <c r="AQ595" s="32"/>
      <c r="AR595" s="32"/>
      <c r="AS595" s="32"/>
      <c r="AT595" s="32"/>
      <c r="AU595" s="32"/>
      <c r="AV595" s="32"/>
      <c r="AW595" s="32"/>
      <c r="AX595" s="32"/>
    </row>
    <row r="596">
      <c r="A596" s="32" t="str">
        <f>IFERROR(__xludf.DUMMYFUNCTION("""COMPUTED_VALUE"""),"Poison Master's Heavy Duty Gloves")</f>
        <v>Poison Master's Heavy Duty Gloves</v>
      </c>
      <c r="B596" s="32" t="str">
        <f>IFERROR(__xludf.DUMMYFUNCTION("""COMPUTED_VALUE"""),"Arms")</f>
        <v>Arms</v>
      </c>
      <c r="C596"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32"/>
      <c r="E596" s="32">
        <f>IFERROR(__xludf.DUMMYFUNCTION("""COMPUTED_VALUE"""),2500.0)</f>
        <v>2500</v>
      </c>
      <c r="F596" s="44">
        <f>IFERROR(__xludf.DUMMYFUNCTION("""COMPUTED_VALUE"""),3.1125E8)</f>
        <v>311250000</v>
      </c>
      <c r="G596" s="32" t="str">
        <f>IFERROR(__xludf.DUMMYFUNCTION("""COMPUTED_VALUE"""),"DEF")</f>
        <v>DEF</v>
      </c>
      <c r="H596" s="33">
        <f>IFERROR(__xludf.DUMMYFUNCTION("""COMPUTED_VALUE"""),125000.0)</f>
        <v>125000</v>
      </c>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t="str">
        <f>IFERROR(__xludf.DUMMYFUNCTION("""COMPUTED_VALUE"""),"++Poison Immunity")</f>
        <v>++Poison Immunity</v>
      </c>
      <c r="AG596" s="32" t="str">
        <f>IFERROR(__xludf.DUMMYFUNCTION("""COMPUTED_VALUE"""),"Dragonscale Island")</f>
        <v>Dragonscale Island</v>
      </c>
      <c r="AH596" s="32" t="b">
        <f>IFERROR(__xludf.DUMMYFUNCTION("""COMPUTED_VALUE"""),FALSE)</f>
        <v>0</v>
      </c>
      <c r="AI596" s="32"/>
      <c r="AJ596" s="32"/>
      <c r="AK596" s="32"/>
      <c r="AL596" s="32"/>
      <c r="AM596" s="32"/>
      <c r="AN596" s="32"/>
      <c r="AO596" s="32"/>
      <c r="AP596" s="32"/>
      <c r="AQ596" s="32"/>
      <c r="AR596" s="32"/>
      <c r="AS596" s="32"/>
      <c r="AT596" s="32"/>
      <c r="AU596" s="32"/>
      <c r="AV596" s="32"/>
      <c r="AW596" s="32"/>
      <c r="AX596" s="32"/>
    </row>
    <row r="597">
      <c r="A597" s="32" t="str">
        <f>IFERROR(__xludf.DUMMYFUNCTION("""COMPUTED_VALUE"""),"Poison Master's Sarouel")</f>
        <v>Poison Master's Sarouel</v>
      </c>
      <c r="B597" s="32" t="str">
        <f>IFERROR(__xludf.DUMMYFUNCTION("""COMPUTED_VALUE"""),"Legs")</f>
        <v>Legs</v>
      </c>
      <c r="C597"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32"/>
      <c r="E597" s="32">
        <f>IFERROR(__xludf.DUMMYFUNCTION("""COMPUTED_VALUE"""),2500.0)</f>
        <v>2500</v>
      </c>
      <c r="F597" s="44">
        <f>IFERROR(__xludf.DUMMYFUNCTION("""COMPUTED_VALUE"""),3.1125E8)</f>
        <v>311250000</v>
      </c>
      <c r="G597" s="32" t="str">
        <f>IFERROR(__xludf.DUMMYFUNCTION("""COMPUTED_VALUE"""),"DEF")</f>
        <v>DEF</v>
      </c>
      <c r="H597" s="33">
        <f>IFERROR(__xludf.DUMMYFUNCTION("""COMPUTED_VALUE"""),125000.0)</f>
        <v>125000</v>
      </c>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t="str">
        <f>IFERROR(__xludf.DUMMYFUNCTION("""COMPUTED_VALUE"""),"Dragonscale Island")</f>
        <v>Dragonscale Island</v>
      </c>
      <c r="AH597" s="32" t="b">
        <f>IFERROR(__xludf.DUMMYFUNCTION("""COMPUTED_VALUE"""),FALSE)</f>
        <v>0</v>
      </c>
      <c r="AI597" s="32"/>
      <c r="AJ597" s="32"/>
      <c r="AK597" s="32"/>
      <c r="AL597" s="32"/>
      <c r="AM597" s="32"/>
      <c r="AN597" s="32"/>
      <c r="AO597" s="32"/>
      <c r="AP597" s="32"/>
      <c r="AQ597" s="32"/>
      <c r="AR597" s="32"/>
      <c r="AS597" s="32"/>
      <c r="AT597" s="32"/>
      <c r="AU597" s="32"/>
      <c r="AV597" s="32"/>
      <c r="AW597" s="32"/>
      <c r="AX597" s="32"/>
    </row>
    <row r="598">
      <c r="A598" s="32" t="str">
        <f>IFERROR(__xludf.DUMMYFUNCTION("""COMPUTED_VALUE"""),"Poison Master's Boots")</f>
        <v>Poison Master's Boots</v>
      </c>
      <c r="B598" s="32" t="str">
        <f>IFERROR(__xludf.DUMMYFUNCTION("""COMPUTED_VALUE"""),"Feet")</f>
        <v>Feet</v>
      </c>
      <c r="C598" s="3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32"/>
      <c r="E598" s="32">
        <f>IFERROR(__xludf.DUMMYFUNCTION("""COMPUTED_VALUE"""),2500.0)</f>
        <v>2500</v>
      </c>
      <c r="F598" s="44">
        <f>IFERROR(__xludf.DUMMYFUNCTION("""COMPUTED_VALUE"""),3.1125E8)</f>
        <v>311250000</v>
      </c>
      <c r="G598" s="32" t="str">
        <f>IFERROR(__xludf.DUMMYFUNCTION("""COMPUTED_VALUE"""),"DEF")</f>
        <v>DEF</v>
      </c>
      <c r="H598" s="33">
        <f>IFERROR(__xludf.DUMMYFUNCTION("""COMPUTED_VALUE"""),125000.0)</f>
        <v>125000</v>
      </c>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t="str">
        <f>IFERROR(__xludf.DUMMYFUNCTION("""COMPUTED_VALUE"""),"++When an enemy is Poisoned gain Haste 3")</f>
        <v>++When an enemy is Poisoned gain Haste 3</v>
      </c>
      <c r="AG598" s="32" t="str">
        <f>IFERROR(__xludf.DUMMYFUNCTION("""COMPUTED_VALUE"""),"Dragonscale Island")</f>
        <v>Dragonscale Island</v>
      </c>
      <c r="AH598" s="32" t="b">
        <f>IFERROR(__xludf.DUMMYFUNCTION("""COMPUTED_VALUE"""),FALSE)</f>
        <v>0</v>
      </c>
      <c r="AI598" s="32"/>
      <c r="AJ598" s="32"/>
      <c r="AK598" s="32"/>
      <c r="AL598" s="32"/>
      <c r="AM598" s="32"/>
      <c r="AN598" s="32"/>
      <c r="AO598" s="32"/>
      <c r="AP598" s="32"/>
      <c r="AQ598" s="32"/>
      <c r="AR598" s="32"/>
      <c r="AS598" s="32"/>
      <c r="AT598" s="32"/>
      <c r="AU598" s="32"/>
      <c r="AV598" s="32"/>
      <c r="AW598" s="32"/>
      <c r="AX598" s="32"/>
    </row>
    <row r="599">
      <c r="A599" s="32" t="str">
        <f>IFERROR(__xludf.DUMMYFUNCTION("""COMPUTED_VALUE"""),"Ambusher's Cowl")</f>
        <v>Ambusher's Cowl</v>
      </c>
      <c r="B599" s="32" t="str">
        <f>IFERROR(__xludf.DUMMYFUNCTION("""COMPUTED_VALUE"""),"Head")</f>
        <v>Head</v>
      </c>
      <c r="C599" s="32" t="str">
        <f>IFERROR(__xludf.DUMMYFUNCTION("""COMPUTED_VALUE"""),"The armor of intermediate ninja's who have decided to pursue the art of the ambush to the extreme")</f>
        <v>The armor of intermediate ninja's who have decided to pursue the art of the ambush to the extreme</v>
      </c>
      <c r="D599" s="32"/>
      <c r="E599" s="32">
        <f>IFERROR(__xludf.DUMMYFUNCTION("""COMPUTED_VALUE"""),2500.0)</f>
        <v>2500</v>
      </c>
      <c r="F599" s="44">
        <f>IFERROR(__xludf.DUMMYFUNCTION("""COMPUTED_VALUE"""),3.1125E8)</f>
        <v>311250000</v>
      </c>
      <c r="G599" s="32" t="str">
        <f>IFERROR(__xludf.DUMMYFUNCTION("""COMPUTED_VALUE"""),"DEF")</f>
        <v>DEF</v>
      </c>
      <c r="H599" s="33">
        <f>IFERROR(__xludf.DUMMYFUNCTION("""COMPUTED_VALUE"""),125000.0)</f>
        <v>125000</v>
      </c>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t="str">
        <f>IFERROR(__xludf.DUMMYFUNCTION("""COMPUTED_VALUE"""),"++Conceal is Guaranteed to cast if the last action you took was a weapon attack")</f>
        <v>++Conceal is Guaranteed to cast if the last action you took was a weapon attack</v>
      </c>
      <c r="AG599" s="32" t="str">
        <f>IFERROR(__xludf.DUMMYFUNCTION("""COMPUTED_VALUE"""),"Dragonscale Island")</f>
        <v>Dragonscale Island</v>
      </c>
      <c r="AH599" s="32" t="b">
        <f>IFERROR(__xludf.DUMMYFUNCTION("""COMPUTED_VALUE"""),FALSE)</f>
        <v>0</v>
      </c>
      <c r="AI599" s="32"/>
      <c r="AJ599" s="32"/>
      <c r="AK599" s="32"/>
      <c r="AL599" s="32"/>
      <c r="AM599" s="32"/>
      <c r="AN599" s="32"/>
      <c r="AO599" s="32"/>
      <c r="AP599" s="32"/>
      <c r="AQ599" s="32"/>
      <c r="AR599" s="32"/>
      <c r="AS599" s="32"/>
      <c r="AT599" s="32"/>
      <c r="AU599" s="32"/>
      <c r="AV599" s="32"/>
      <c r="AW599" s="32"/>
      <c r="AX599" s="32"/>
    </row>
    <row r="600">
      <c r="A600" s="32" t="str">
        <f>IFERROR(__xludf.DUMMYFUNCTION("""COMPUTED_VALUE"""),"Ambusher's Cape")</f>
        <v>Ambusher's Cape</v>
      </c>
      <c r="B600" s="32" t="str">
        <f>IFERROR(__xludf.DUMMYFUNCTION("""COMPUTED_VALUE"""),"Shoulders")</f>
        <v>Shoulders</v>
      </c>
      <c r="C600" s="32" t="str">
        <f>IFERROR(__xludf.DUMMYFUNCTION("""COMPUTED_VALUE"""),"The armor of intermediate ninja's who have decided to pursue the art of the ambush to the extreme")</f>
        <v>The armor of intermediate ninja's who have decided to pursue the art of the ambush to the extreme</v>
      </c>
      <c r="D600" s="32"/>
      <c r="E600" s="32">
        <f>IFERROR(__xludf.DUMMYFUNCTION("""COMPUTED_VALUE"""),2500.0)</f>
        <v>2500</v>
      </c>
      <c r="F600" s="44">
        <f>IFERROR(__xludf.DUMMYFUNCTION("""COMPUTED_VALUE"""),3.1125E8)</f>
        <v>311250000</v>
      </c>
      <c r="G600" s="32" t="str">
        <f>IFERROR(__xludf.DUMMYFUNCTION("""COMPUTED_VALUE"""),"DEF")</f>
        <v>DEF</v>
      </c>
      <c r="H600" s="33">
        <f>IFERROR(__xludf.DUMMYFUNCTION("""COMPUTED_VALUE"""),125000.0)</f>
        <v>125000</v>
      </c>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t="str">
        <f>IFERROR(__xludf.DUMMYFUNCTION("""COMPUTED_VALUE"""),"++Conceal: upon entering combat you are invulnerable for 1 round or until you attack")</f>
        <v>++Conceal: upon entering combat you are invulnerable for 1 round or until you attack</v>
      </c>
      <c r="AG600" s="32" t="str">
        <f>IFERROR(__xludf.DUMMYFUNCTION("""COMPUTED_VALUE"""),"Dragonscale Island")</f>
        <v>Dragonscale Island</v>
      </c>
      <c r="AH600" s="32" t="b">
        <f>IFERROR(__xludf.DUMMYFUNCTION("""COMPUTED_VALUE"""),FALSE)</f>
        <v>0</v>
      </c>
      <c r="AI600" s="32"/>
      <c r="AJ600" s="32"/>
      <c r="AK600" s="32"/>
      <c r="AL600" s="32"/>
      <c r="AM600" s="32"/>
      <c r="AN600" s="32"/>
      <c r="AO600" s="32"/>
      <c r="AP600" s="32"/>
      <c r="AQ600" s="32"/>
      <c r="AR600" s="32"/>
      <c r="AS600" s="32"/>
      <c r="AT600" s="32"/>
      <c r="AU600" s="32"/>
      <c r="AV600" s="32"/>
      <c r="AW600" s="32"/>
      <c r="AX600" s="32"/>
    </row>
    <row r="601">
      <c r="A601" s="32" t="str">
        <f>IFERROR(__xludf.DUMMYFUNCTION("""COMPUTED_VALUE"""),"Ambusher's Vest")</f>
        <v>Ambusher's Vest</v>
      </c>
      <c r="B601" s="32" t="str">
        <f>IFERROR(__xludf.DUMMYFUNCTION("""COMPUTED_VALUE"""),"Torso")</f>
        <v>Torso</v>
      </c>
      <c r="C601" s="32" t="str">
        <f>IFERROR(__xludf.DUMMYFUNCTION("""COMPUTED_VALUE"""),"The armor of intermediate ninja's who have decided to pursue the art of the ambush to the extreme")</f>
        <v>The armor of intermediate ninja's who have decided to pursue the art of the ambush to the extreme</v>
      </c>
      <c r="D601" s="32"/>
      <c r="E601" s="32">
        <f>IFERROR(__xludf.DUMMYFUNCTION("""COMPUTED_VALUE"""),2500.0)</f>
        <v>2500</v>
      </c>
      <c r="F601" s="44">
        <f>IFERROR(__xludf.DUMMYFUNCTION("""COMPUTED_VALUE"""),3.1125E8)</f>
        <v>311250000</v>
      </c>
      <c r="G601" s="32" t="str">
        <f>IFERROR(__xludf.DUMMYFUNCTION("""COMPUTED_VALUE"""),"DEF")</f>
        <v>DEF</v>
      </c>
      <c r="H601" s="33">
        <f>IFERROR(__xludf.DUMMYFUNCTION("""COMPUTED_VALUE"""),125000.0)</f>
        <v>125000</v>
      </c>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t="str">
        <f>IFERROR(__xludf.DUMMYFUNCTION("""COMPUTED_VALUE"""),"++When breaking concealment deal X2 damage")</f>
        <v>++When breaking concealment deal X2 damage</v>
      </c>
      <c r="AG601" s="32" t="str">
        <f>IFERROR(__xludf.DUMMYFUNCTION("""COMPUTED_VALUE"""),"Dragonscale Island")</f>
        <v>Dragonscale Island</v>
      </c>
      <c r="AH601" s="32" t="b">
        <f>IFERROR(__xludf.DUMMYFUNCTION("""COMPUTED_VALUE"""),FALSE)</f>
        <v>0</v>
      </c>
      <c r="AI601" s="32"/>
      <c r="AJ601" s="32"/>
      <c r="AK601" s="32"/>
      <c r="AL601" s="32"/>
      <c r="AM601" s="32"/>
      <c r="AN601" s="32"/>
      <c r="AO601" s="32"/>
      <c r="AP601" s="32"/>
      <c r="AQ601" s="32"/>
      <c r="AR601" s="32"/>
      <c r="AS601" s="32"/>
      <c r="AT601" s="32"/>
      <c r="AU601" s="32"/>
      <c r="AV601" s="32"/>
      <c r="AW601" s="32"/>
      <c r="AX601" s="32"/>
    </row>
    <row r="602">
      <c r="A602" s="32" t="str">
        <f>IFERROR(__xludf.DUMMYFUNCTION("""COMPUTED_VALUE"""),"Ambusher's Gloves")</f>
        <v>Ambusher's Gloves</v>
      </c>
      <c r="B602" s="32" t="str">
        <f>IFERROR(__xludf.DUMMYFUNCTION("""COMPUTED_VALUE"""),"Arms")</f>
        <v>Arms</v>
      </c>
      <c r="C602" s="32" t="str">
        <f>IFERROR(__xludf.DUMMYFUNCTION("""COMPUTED_VALUE"""),"The armor of intermediate ninja's who have decided to pursue the art of the ambush to the extreme")</f>
        <v>The armor of intermediate ninja's who have decided to pursue the art of the ambush to the extreme</v>
      </c>
      <c r="D602" s="32"/>
      <c r="E602" s="32">
        <f>IFERROR(__xludf.DUMMYFUNCTION("""COMPUTED_VALUE"""),2500.0)</f>
        <v>2500</v>
      </c>
      <c r="F602" s="44">
        <f>IFERROR(__xludf.DUMMYFUNCTION("""COMPUTED_VALUE"""),3.1125E8)</f>
        <v>311250000</v>
      </c>
      <c r="G602" s="32" t="str">
        <f>IFERROR(__xludf.DUMMYFUNCTION("""COMPUTED_VALUE"""),"DEF")</f>
        <v>DEF</v>
      </c>
      <c r="H602" s="33">
        <f>IFERROR(__xludf.DUMMYFUNCTION("""COMPUTED_VALUE"""),125000.0)</f>
        <v>125000</v>
      </c>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t="str">
        <f>IFERROR(__xludf.DUMMYFUNCTION("""COMPUTED_VALUE"""),"++X2 damage with knives, ++Knife ability is 3 times as likely to activate. +-Cannot be forged +-Cannot be duplicated")</f>
        <v>++X2 damage with knives, ++Knife ability is 3 times as likely to activate. +-Cannot be forged +-Cannot be duplicated</v>
      </c>
      <c r="AG602" s="32" t="str">
        <f>IFERROR(__xludf.DUMMYFUNCTION("""COMPUTED_VALUE"""),"Dragonscale Island")</f>
        <v>Dragonscale Island</v>
      </c>
      <c r="AH602" s="32" t="b">
        <f>IFERROR(__xludf.DUMMYFUNCTION("""COMPUTED_VALUE"""),FALSE)</f>
        <v>0</v>
      </c>
      <c r="AI602" s="32"/>
      <c r="AJ602" s="32"/>
      <c r="AK602" s="32"/>
      <c r="AL602" s="32"/>
      <c r="AM602" s="32"/>
      <c r="AN602" s="32"/>
      <c r="AO602" s="32"/>
      <c r="AP602" s="32"/>
      <c r="AQ602" s="32"/>
      <c r="AR602" s="32"/>
      <c r="AS602" s="32"/>
      <c r="AT602" s="32"/>
      <c r="AU602" s="32"/>
      <c r="AV602" s="32"/>
      <c r="AW602" s="32"/>
      <c r="AX602" s="32"/>
    </row>
    <row r="603">
      <c r="A603" s="32" t="str">
        <f>IFERROR(__xludf.DUMMYFUNCTION("""COMPUTED_VALUE"""),"Ambusher's Sarouel")</f>
        <v>Ambusher's Sarouel</v>
      </c>
      <c r="B603" s="32" t="str">
        <f>IFERROR(__xludf.DUMMYFUNCTION("""COMPUTED_VALUE"""),"Legs")</f>
        <v>Legs</v>
      </c>
      <c r="C603" s="32" t="str">
        <f>IFERROR(__xludf.DUMMYFUNCTION("""COMPUTED_VALUE"""),"The armor of intermediate ninja's who have decided to pursue the art of the ambush to the extreme")</f>
        <v>The armor of intermediate ninja's who have decided to pursue the art of the ambush to the extreme</v>
      </c>
      <c r="D603" s="32"/>
      <c r="E603" s="32">
        <f>IFERROR(__xludf.DUMMYFUNCTION("""COMPUTED_VALUE"""),2500.0)</f>
        <v>2500</v>
      </c>
      <c r="F603" s="44">
        <f>IFERROR(__xludf.DUMMYFUNCTION("""COMPUTED_VALUE"""),3.1125E8)</f>
        <v>311250000</v>
      </c>
      <c r="G603" s="32" t="str">
        <f>IFERROR(__xludf.DUMMYFUNCTION("""COMPUTED_VALUE"""),"DEF")</f>
        <v>DEF</v>
      </c>
      <c r="H603" s="33">
        <f>IFERROR(__xludf.DUMMYFUNCTION("""COMPUTED_VALUE"""),125000.0)</f>
        <v>125000</v>
      </c>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t="str">
        <f>IFERROR(__xludf.DUMMYFUNCTION("""COMPUTED_VALUE"""),"++X2 damage with knives")</f>
        <v>++X2 damage with knives</v>
      </c>
      <c r="AG603" s="32" t="str">
        <f>IFERROR(__xludf.DUMMYFUNCTION("""COMPUTED_VALUE"""),"Dragonscale Island")</f>
        <v>Dragonscale Island</v>
      </c>
      <c r="AH603" s="32" t="b">
        <f>IFERROR(__xludf.DUMMYFUNCTION("""COMPUTED_VALUE"""),FALSE)</f>
        <v>0</v>
      </c>
      <c r="AI603" s="32"/>
      <c r="AJ603" s="32"/>
      <c r="AK603" s="32"/>
      <c r="AL603" s="32"/>
      <c r="AM603" s="32"/>
      <c r="AN603" s="32"/>
      <c r="AO603" s="32"/>
      <c r="AP603" s="32"/>
      <c r="AQ603" s="32"/>
      <c r="AR603" s="32"/>
      <c r="AS603" s="32"/>
      <c r="AT603" s="32"/>
      <c r="AU603" s="32"/>
      <c r="AV603" s="32"/>
      <c r="AW603" s="32"/>
      <c r="AX603" s="32"/>
    </row>
    <row r="604">
      <c r="A604" s="32" t="str">
        <f>IFERROR(__xludf.DUMMYFUNCTION("""COMPUTED_VALUE"""),"Ambusher's Sandals")</f>
        <v>Ambusher's Sandals</v>
      </c>
      <c r="B604" s="32" t="str">
        <f>IFERROR(__xludf.DUMMYFUNCTION("""COMPUTED_VALUE"""),"Feet")</f>
        <v>Feet</v>
      </c>
      <c r="C604" s="32" t="str">
        <f>IFERROR(__xludf.DUMMYFUNCTION("""COMPUTED_VALUE"""),"The armor of intermediate ninja's who have decided to pursue the art of the ambush to the extreme")</f>
        <v>The armor of intermediate ninja's who have decided to pursue the art of the ambush to the extreme</v>
      </c>
      <c r="D604" s="32"/>
      <c r="E604" s="32">
        <f>IFERROR(__xludf.DUMMYFUNCTION("""COMPUTED_VALUE"""),2500.0)</f>
        <v>2500</v>
      </c>
      <c r="F604" s="44">
        <f>IFERROR(__xludf.DUMMYFUNCTION("""COMPUTED_VALUE"""),3.1125E8)</f>
        <v>311250000</v>
      </c>
      <c r="G604" s="32" t="str">
        <f>IFERROR(__xludf.DUMMYFUNCTION("""COMPUTED_VALUE"""),"DEF")</f>
        <v>DEF</v>
      </c>
      <c r="H604" s="33">
        <f>IFERROR(__xludf.DUMMYFUNCTION("""COMPUTED_VALUE"""),125000.0)</f>
        <v>125000</v>
      </c>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t="str">
        <f>IFERROR(__xludf.DUMMYFUNCTION("""COMPUTED_VALUE"""),"++When breaking concealment gain invigorate 5")</f>
        <v>++When breaking concealment gain invigorate 5</v>
      </c>
      <c r="AG604" s="32" t="str">
        <f>IFERROR(__xludf.DUMMYFUNCTION("""COMPUTED_VALUE"""),"Dragonscale Island")</f>
        <v>Dragonscale Island</v>
      </c>
      <c r="AH604" s="32" t="b">
        <f>IFERROR(__xludf.DUMMYFUNCTION("""COMPUTED_VALUE"""),FALSE)</f>
        <v>0</v>
      </c>
      <c r="AI604" s="32"/>
      <c r="AJ604" s="32"/>
      <c r="AK604" s="32"/>
      <c r="AL604" s="32"/>
      <c r="AM604" s="32"/>
      <c r="AN604" s="32"/>
      <c r="AO604" s="32"/>
      <c r="AP604" s="32"/>
      <c r="AQ604" s="32"/>
      <c r="AR604" s="32"/>
      <c r="AS604" s="32"/>
      <c r="AT604" s="32"/>
      <c r="AU604" s="32"/>
      <c r="AV604" s="32"/>
      <c r="AW604" s="32"/>
      <c r="AX604" s="32"/>
    </row>
    <row r="605">
      <c r="A605" s="32" t="str">
        <f>IFERROR(__xludf.DUMMYFUNCTION("""COMPUTED_VALUE"""),"Blade of Ancestral Blood")</f>
        <v>Blade of Ancestral Blood</v>
      </c>
      <c r="B605" s="32" t="str">
        <f>IFERROR(__xludf.DUMMYFUNCTION("""COMPUTED_VALUE"""),"Hand")</f>
        <v>Hand</v>
      </c>
      <c r="C605" s="3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32" t="str">
        <f>IFERROR(__xludf.DUMMYFUNCTION("""COMPUTED_VALUE"""),"Knife")</f>
        <v>Knife</v>
      </c>
      <c r="E605" s="32">
        <f>IFERROR(__xludf.DUMMYFUNCTION("""COMPUTED_VALUE"""),200.0)</f>
        <v>200</v>
      </c>
      <c r="F605" s="44">
        <f>IFERROR(__xludf.DUMMYFUNCTION("""COMPUTED_VALUE"""),1.797E9)</f>
        <v>1797000000</v>
      </c>
      <c r="G605" s="32" t="str">
        <f>IFERROR(__xludf.DUMMYFUNCTION("""COMPUTED_VALUE"""),"DMG")</f>
        <v>DMG</v>
      </c>
      <c r="H605" s="32">
        <f>IFERROR(__xludf.DUMMYFUNCTION("""COMPUTED_VALUE"""),50000.0)</f>
        <v>50000</v>
      </c>
      <c r="I605" s="32"/>
      <c r="J605" s="32"/>
      <c r="K605" s="32"/>
      <c r="L605" s="32"/>
      <c r="M605" s="32"/>
      <c r="N605" s="32"/>
      <c r="O605" s="32"/>
      <c r="P605" s="32"/>
      <c r="Q605" s="32"/>
      <c r="R605" s="32">
        <f>IFERROR(__xludf.DUMMYFUNCTION("""COMPUTED_VALUE"""),50000.0)</f>
        <v>50000</v>
      </c>
      <c r="S605" s="32"/>
      <c r="T605" s="32"/>
      <c r="U605" s="32"/>
      <c r="V605" s="32"/>
      <c r="W605" s="32"/>
      <c r="X605" s="32">
        <f>IFERROR(__xludf.DUMMYFUNCTION("""COMPUTED_VALUE"""),50000.0)</f>
        <v>50000</v>
      </c>
      <c r="Y605" s="32">
        <f>IFERROR(__xludf.DUMMYFUNCTION("""COMPUTED_VALUE"""),100000.0)</f>
        <v>100000</v>
      </c>
      <c r="Z605" s="32"/>
      <c r="AA605" s="32"/>
      <c r="AB605" s="32"/>
      <c r="AC605" s="32">
        <f>IFERROR(__xludf.DUMMYFUNCTION("""COMPUTED_VALUE"""),50000.0)</f>
        <v>50000</v>
      </c>
      <c r="AD605" s="32"/>
      <c r="AE605" s="32"/>
      <c r="AF605" s="32"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32" t="str">
        <f>IFERROR(__xludf.DUMMYFUNCTION("""COMPUTED_VALUE"""),"Dragonscale Island")</f>
        <v>Dragonscale Island</v>
      </c>
      <c r="AH605" s="32" t="b">
        <f>IFERROR(__xludf.DUMMYFUNCTION("""COMPUTED_VALUE"""),FALSE)</f>
        <v>0</v>
      </c>
      <c r="AI605" s="32"/>
      <c r="AJ605" s="32"/>
      <c r="AK605" s="32"/>
      <c r="AL605" s="32"/>
      <c r="AM605" s="32"/>
      <c r="AN605" s="32"/>
      <c r="AO605" s="32"/>
      <c r="AP605" s="32"/>
      <c r="AQ605" s="32"/>
      <c r="AR605" s="32"/>
      <c r="AS605" s="32"/>
      <c r="AT605" s="32"/>
      <c r="AU605" s="32"/>
      <c r="AV605" s="32"/>
      <c r="AW605" s="32"/>
      <c r="AX605" s="32"/>
    </row>
    <row r="606">
      <c r="A606" s="32" t="str">
        <f>IFERROR(__xludf.DUMMYFUNCTION("""COMPUTED_VALUE"""),"Lunaris, Sword of The Moon")</f>
        <v>Lunaris, Sword of The Moon</v>
      </c>
      <c r="B606" s="32" t="str">
        <f>IFERROR(__xludf.DUMMYFUNCTION("""COMPUTED_VALUE"""),"Hand")</f>
        <v>Hand</v>
      </c>
      <c r="C606" s="3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32" t="str">
        <f>IFERROR(__xludf.DUMMYFUNCTION("""COMPUTED_VALUE"""),"Sword")</f>
        <v>Sword</v>
      </c>
      <c r="E606" s="32">
        <f>IFERROR(__xludf.DUMMYFUNCTION("""COMPUTED_VALUE"""),200.0)</f>
        <v>200</v>
      </c>
      <c r="F606" s="44">
        <f>IFERROR(__xludf.DUMMYFUNCTION("""COMPUTED_VALUE"""),7.194E9)</f>
        <v>7194000000</v>
      </c>
      <c r="G606" s="32" t="str">
        <f>IFERROR(__xludf.DUMMYFUNCTION("""COMPUTED_VALUE"""),"DEF")</f>
        <v>DEF</v>
      </c>
      <c r="H606" s="33">
        <f>IFERROR(__xludf.DUMMYFUNCTION("""COMPUTED_VALUE"""),200000.0)</f>
        <v>200000</v>
      </c>
      <c r="I606" s="32"/>
      <c r="J606" s="32"/>
      <c r="K606" s="32"/>
      <c r="L606" s="32"/>
      <c r="M606" s="32"/>
      <c r="N606" s="33">
        <f>IFERROR(__xludf.DUMMYFUNCTION("""COMPUTED_VALUE"""),100000.0)</f>
        <v>100000</v>
      </c>
      <c r="O606" s="32"/>
      <c r="P606" s="32"/>
      <c r="Q606" s="32"/>
      <c r="R606" s="32"/>
      <c r="S606" s="32"/>
      <c r="T606" s="32"/>
      <c r="U606" s="32"/>
      <c r="V606" s="32"/>
      <c r="W606" s="32"/>
      <c r="X606" s="32"/>
      <c r="Y606" s="32"/>
      <c r="Z606" s="32"/>
      <c r="AA606" s="32"/>
      <c r="AB606" s="33">
        <f>IFERROR(__xludf.DUMMYFUNCTION("""COMPUTED_VALUE"""),200000.0)</f>
        <v>200000</v>
      </c>
      <c r="AC606" s="33">
        <f>IFERROR(__xludf.DUMMYFUNCTION("""COMPUTED_VALUE"""),100000.0)</f>
        <v>100000</v>
      </c>
      <c r="AD606" s="32"/>
      <c r="AE606" s="32"/>
      <c r="AF606" s="32"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32" t="str">
        <f>IFERROR(__xludf.DUMMYFUNCTION("""COMPUTED_VALUE"""),"Abstara")</f>
        <v>Abstara</v>
      </c>
      <c r="AH606" s="32" t="b">
        <f>IFERROR(__xludf.DUMMYFUNCTION("""COMPUTED_VALUE"""),FALSE)</f>
        <v>0</v>
      </c>
      <c r="AI606" s="32"/>
      <c r="AJ606" s="32"/>
      <c r="AK606" s="32"/>
      <c r="AL606" s="32"/>
      <c r="AM606" s="32"/>
      <c r="AN606" s="32"/>
      <c r="AO606" s="32"/>
      <c r="AP606" s="32"/>
      <c r="AQ606" s="32"/>
      <c r="AR606" s="32"/>
      <c r="AS606" s="32"/>
      <c r="AT606" s="32"/>
      <c r="AU606" s="32"/>
      <c r="AV606" s="32"/>
      <c r="AW606" s="32"/>
      <c r="AX606" s="32"/>
    </row>
    <row r="607">
      <c r="A607" s="32" t="str">
        <f>IFERROR(__xludf.DUMMYFUNCTION("""COMPUTED_VALUE"""),"Master Inugima's Cowl")</f>
        <v>Master Inugima's Cowl</v>
      </c>
      <c r="B607" s="32" t="str">
        <f>IFERROR(__xludf.DUMMYFUNCTION("""COMPUTED_VALUE"""),"Head")</f>
        <v>Head</v>
      </c>
      <c r="C607" s="32" t="str">
        <f>IFERROR(__xludf.DUMMYFUNCTION("""COMPUTED_VALUE"""),"Mob Exclusive")</f>
        <v>Mob Exclusive</v>
      </c>
      <c r="D607" s="32"/>
      <c r="E607" s="32">
        <f>IFERROR(__xludf.DUMMYFUNCTION("""COMPUTED_VALUE"""),1.0)</f>
        <v>1</v>
      </c>
      <c r="F607" s="44">
        <f>IFERROR(__xludf.DUMMYFUNCTION("""COMPUTED_VALUE"""),0.0)</f>
        <v>0</v>
      </c>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t="str">
        <f>IFERROR(__xludf.DUMMYFUNCTION("""COMPUTED_VALUE"""),"Dragonscale Island")</f>
        <v>Dragonscale Island</v>
      </c>
      <c r="AH607" s="32" t="b">
        <f>IFERROR(__xludf.DUMMYFUNCTION("""COMPUTED_VALUE"""),TRUE)</f>
        <v>1</v>
      </c>
      <c r="AI607" s="32"/>
      <c r="AJ607" s="32"/>
      <c r="AK607" s="32"/>
      <c r="AL607" s="32"/>
      <c r="AM607" s="32"/>
      <c r="AN607" s="32"/>
      <c r="AO607" s="32"/>
      <c r="AP607" s="32"/>
      <c r="AQ607" s="32"/>
      <c r="AR607" s="32"/>
      <c r="AS607" s="32"/>
      <c r="AT607" s="32"/>
      <c r="AU607" s="32"/>
      <c r="AV607" s="32"/>
      <c r="AW607" s="32"/>
      <c r="AX607" s="32"/>
    </row>
    <row r="608">
      <c r="A608" s="32" t="str">
        <f>IFERROR(__xludf.DUMMYFUNCTION("""COMPUTED_VALUE"""),"Master Inugima's Cape")</f>
        <v>Master Inugima's Cape</v>
      </c>
      <c r="B608" s="32" t="str">
        <f>IFERROR(__xludf.DUMMYFUNCTION("""COMPUTED_VALUE"""),"Shoulders")</f>
        <v>Shoulders</v>
      </c>
      <c r="C608" s="32" t="str">
        <f>IFERROR(__xludf.DUMMYFUNCTION("""COMPUTED_VALUE"""),"Mob Exclusive")</f>
        <v>Mob Exclusive</v>
      </c>
      <c r="D608" s="32"/>
      <c r="E608" s="32">
        <f>IFERROR(__xludf.DUMMYFUNCTION("""COMPUTED_VALUE"""),1.0)</f>
        <v>1</v>
      </c>
      <c r="F608" s="44">
        <f>IFERROR(__xludf.DUMMYFUNCTION("""COMPUTED_VALUE"""),0.0)</f>
        <v>0</v>
      </c>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t="str">
        <f>IFERROR(__xludf.DUMMYFUNCTION("""COMPUTED_VALUE"""),"Dragonscale Island")</f>
        <v>Dragonscale Island</v>
      </c>
      <c r="AH608" s="32" t="b">
        <f>IFERROR(__xludf.DUMMYFUNCTION("""COMPUTED_VALUE"""),TRUE)</f>
        <v>1</v>
      </c>
      <c r="AI608" s="32"/>
      <c r="AJ608" s="32"/>
      <c r="AK608" s="32"/>
      <c r="AL608" s="32"/>
      <c r="AM608" s="32"/>
      <c r="AN608" s="32"/>
      <c r="AO608" s="32"/>
      <c r="AP608" s="32"/>
      <c r="AQ608" s="32"/>
      <c r="AR608" s="32"/>
      <c r="AS608" s="32"/>
      <c r="AT608" s="32"/>
      <c r="AU608" s="32"/>
      <c r="AV608" s="32"/>
      <c r="AW608" s="32"/>
      <c r="AX608" s="32"/>
    </row>
    <row r="609">
      <c r="A609" s="32" t="str">
        <f>IFERROR(__xludf.DUMMYFUNCTION("""COMPUTED_VALUE"""),"Master Inugima's Cloak")</f>
        <v>Master Inugima's Cloak</v>
      </c>
      <c r="B609" s="32" t="str">
        <f>IFERROR(__xludf.DUMMYFUNCTION("""COMPUTED_VALUE"""),"Torso")</f>
        <v>Torso</v>
      </c>
      <c r="C609" s="32" t="str">
        <f>IFERROR(__xludf.DUMMYFUNCTION("""COMPUTED_VALUE"""),"Mob Exclusive")</f>
        <v>Mob Exclusive</v>
      </c>
      <c r="D609" s="32"/>
      <c r="E609" s="32">
        <f>IFERROR(__xludf.DUMMYFUNCTION("""COMPUTED_VALUE"""),1.0)</f>
        <v>1</v>
      </c>
      <c r="F609" s="44">
        <f>IFERROR(__xludf.DUMMYFUNCTION("""COMPUTED_VALUE"""),0.0)</f>
        <v>0</v>
      </c>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t="str">
        <f>IFERROR(__xludf.DUMMYFUNCTION("""COMPUTED_VALUE"""),"Dragonscale Island")</f>
        <v>Dragonscale Island</v>
      </c>
      <c r="AH609" s="32" t="b">
        <f>IFERROR(__xludf.DUMMYFUNCTION("""COMPUTED_VALUE"""),TRUE)</f>
        <v>1</v>
      </c>
      <c r="AI609" s="32"/>
      <c r="AJ609" s="32"/>
      <c r="AK609" s="32"/>
      <c r="AL609" s="32"/>
      <c r="AM609" s="32"/>
      <c r="AN609" s="32"/>
      <c r="AO609" s="32"/>
      <c r="AP609" s="32"/>
      <c r="AQ609" s="32"/>
      <c r="AR609" s="32"/>
      <c r="AS609" s="32"/>
      <c r="AT609" s="32"/>
      <c r="AU609" s="32"/>
      <c r="AV609" s="32"/>
      <c r="AW609" s="32"/>
      <c r="AX609" s="32"/>
    </row>
    <row r="610">
      <c r="A610" s="32" t="str">
        <f>IFERROR(__xludf.DUMMYFUNCTION("""COMPUTED_VALUE"""),"Master Inugima's Gloves")</f>
        <v>Master Inugima's Gloves</v>
      </c>
      <c r="B610" s="32" t="str">
        <f>IFERROR(__xludf.DUMMYFUNCTION("""COMPUTED_VALUE"""),"Arms")</f>
        <v>Arms</v>
      </c>
      <c r="C610" s="32" t="str">
        <f>IFERROR(__xludf.DUMMYFUNCTION("""COMPUTED_VALUE"""),"Mob Exclusive")</f>
        <v>Mob Exclusive</v>
      </c>
      <c r="D610" s="32"/>
      <c r="E610" s="32">
        <f>IFERROR(__xludf.DUMMYFUNCTION("""COMPUTED_VALUE"""),1.0)</f>
        <v>1</v>
      </c>
      <c r="F610" s="44">
        <f>IFERROR(__xludf.DUMMYFUNCTION("""COMPUTED_VALUE"""),0.0)</f>
        <v>0</v>
      </c>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t="str">
        <f>IFERROR(__xludf.DUMMYFUNCTION("""COMPUTED_VALUE"""),"Dragonscale Island")</f>
        <v>Dragonscale Island</v>
      </c>
      <c r="AH610" s="32" t="b">
        <f>IFERROR(__xludf.DUMMYFUNCTION("""COMPUTED_VALUE"""),TRUE)</f>
        <v>1</v>
      </c>
      <c r="AI610" s="32"/>
      <c r="AJ610" s="32"/>
      <c r="AK610" s="32"/>
      <c r="AL610" s="32"/>
      <c r="AM610" s="32"/>
      <c r="AN610" s="32"/>
      <c r="AO610" s="32"/>
      <c r="AP610" s="32"/>
      <c r="AQ610" s="32"/>
      <c r="AR610" s="32"/>
      <c r="AS610" s="32"/>
      <c r="AT610" s="32"/>
      <c r="AU610" s="32"/>
      <c r="AV610" s="32"/>
      <c r="AW610" s="32"/>
      <c r="AX610" s="32"/>
    </row>
    <row r="611">
      <c r="A611" s="32" t="str">
        <f>IFERROR(__xludf.DUMMYFUNCTION("""COMPUTED_VALUE"""),"Master Inugima's Sarouel")</f>
        <v>Master Inugima's Sarouel</v>
      </c>
      <c r="B611" s="32" t="str">
        <f>IFERROR(__xludf.DUMMYFUNCTION("""COMPUTED_VALUE"""),"Legs")</f>
        <v>Legs</v>
      </c>
      <c r="C611" s="32" t="str">
        <f>IFERROR(__xludf.DUMMYFUNCTION("""COMPUTED_VALUE"""),"Mob Exclusive")</f>
        <v>Mob Exclusive</v>
      </c>
      <c r="D611" s="32"/>
      <c r="E611" s="32">
        <f>IFERROR(__xludf.DUMMYFUNCTION("""COMPUTED_VALUE"""),1.0)</f>
        <v>1</v>
      </c>
      <c r="F611" s="44">
        <f>IFERROR(__xludf.DUMMYFUNCTION("""COMPUTED_VALUE"""),0.0)</f>
        <v>0</v>
      </c>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t="str">
        <f>IFERROR(__xludf.DUMMYFUNCTION("""COMPUTED_VALUE"""),"Dragonscale Island")</f>
        <v>Dragonscale Island</v>
      </c>
      <c r="AH611" s="32" t="b">
        <f>IFERROR(__xludf.DUMMYFUNCTION("""COMPUTED_VALUE"""),TRUE)</f>
        <v>1</v>
      </c>
      <c r="AI611" s="32"/>
      <c r="AJ611" s="32"/>
      <c r="AK611" s="32"/>
      <c r="AL611" s="32"/>
      <c r="AM611" s="32"/>
      <c r="AN611" s="32"/>
      <c r="AO611" s="32"/>
      <c r="AP611" s="32"/>
      <c r="AQ611" s="32"/>
      <c r="AR611" s="32"/>
      <c r="AS611" s="32"/>
      <c r="AT611" s="32"/>
      <c r="AU611" s="32"/>
      <c r="AV611" s="32"/>
      <c r="AW611" s="32"/>
      <c r="AX611" s="32"/>
    </row>
    <row r="612">
      <c r="A612" s="32" t="str">
        <f>IFERROR(__xludf.DUMMYFUNCTION("""COMPUTED_VALUE"""),"Master Inugima's Boots")</f>
        <v>Master Inugima's Boots</v>
      </c>
      <c r="B612" s="32" t="str">
        <f>IFERROR(__xludf.DUMMYFUNCTION("""COMPUTED_VALUE"""),"Feet")</f>
        <v>Feet</v>
      </c>
      <c r="C612" s="32" t="str">
        <f>IFERROR(__xludf.DUMMYFUNCTION("""COMPUTED_VALUE"""),"Mob Exclusive")</f>
        <v>Mob Exclusive</v>
      </c>
      <c r="D612" s="32"/>
      <c r="E612" s="32">
        <f>IFERROR(__xludf.DUMMYFUNCTION("""COMPUTED_VALUE"""),1.0)</f>
        <v>1</v>
      </c>
      <c r="F612" s="44">
        <f>IFERROR(__xludf.DUMMYFUNCTION("""COMPUTED_VALUE"""),0.0)</f>
        <v>0</v>
      </c>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t="str">
        <f>IFERROR(__xludf.DUMMYFUNCTION("""COMPUTED_VALUE"""),"Dragonscale Island")</f>
        <v>Dragonscale Island</v>
      </c>
      <c r="AH612" s="32" t="b">
        <f>IFERROR(__xludf.DUMMYFUNCTION("""COMPUTED_VALUE"""),TRUE)</f>
        <v>1</v>
      </c>
      <c r="AI612" s="32"/>
      <c r="AJ612" s="32"/>
      <c r="AK612" s="32"/>
      <c r="AL612" s="32"/>
      <c r="AM612" s="32"/>
      <c r="AN612" s="32"/>
      <c r="AO612" s="32"/>
      <c r="AP612" s="32"/>
      <c r="AQ612" s="32"/>
      <c r="AR612" s="32"/>
      <c r="AS612" s="32"/>
      <c r="AT612" s="32"/>
      <c r="AU612" s="32"/>
      <c r="AV612" s="32"/>
      <c r="AW612" s="32"/>
      <c r="AX612" s="32"/>
    </row>
    <row r="613">
      <c r="A613" s="32" t="str">
        <f>IFERROR(__xludf.DUMMYFUNCTION("""COMPUTED_VALUE"""),"Master Inugima's Ring")</f>
        <v>Master Inugima's Ring</v>
      </c>
      <c r="B613" s="32" t="str">
        <f>IFERROR(__xludf.DUMMYFUNCTION("""COMPUTED_VALUE"""),"Finger")</f>
        <v>Finger</v>
      </c>
      <c r="C613" s="32" t="str">
        <f>IFERROR(__xludf.DUMMYFUNCTION("""COMPUTED_VALUE"""),"Mob Exclusive")</f>
        <v>Mob Exclusive</v>
      </c>
      <c r="D613" s="32"/>
      <c r="E613" s="32">
        <f>IFERROR(__xludf.DUMMYFUNCTION("""COMPUTED_VALUE"""),1.0)</f>
        <v>1</v>
      </c>
      <c r="F613" s="44">
        <f>IFERROR(__xludf.DUMMYFUNCTION("""COMPUTED_VALUE"""),0.0)</f>
        <v>0</v>
      </c>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32" t="str">
        <f>IFERROR(__xludf.DUMMYFUNCTION("""COMPUTED_VALUE"""),"Dragonscale Island")</f>
        <v>Dragonscale Island</v>
      </c>
      <c r="AH613" s="32" t="b">
        <f>IFERROR(__xludf.DUMMYFUNCTION("""COMPUTED_VALUE"""),TRUE)</f>
        <v>1</v>
      </c>
      <c r="AI613" s="32"/>
      <c r="AJ613" s="32"/>
      <c r="AK613" s="32"/>
      <c r="AL613" s="32"/>
      <c r="AM613" s="32"/>
      <c r="AN613" s="32"/>
      <c r="AO613" s="32"/>
      <c r="AP613" s="32"/>
      <c r="AQ613" s="32"/>
      <c r="AR613" s="32"/>
      <c r="AS613" s="32"/>
      <c r="AT613" s="32"/>
      <c r="AU613" s="32"/>
      <c r="AV613" s="32"/>
      <c r="AW613" s="32"/>
      <c r="AX613" s="32"/>
    </row>
    <row r="614">
      <c r="A614" s="32" t="str">
        <f>IFERROR(__xludf.DUMMYFUNCTION("""COMPUTED_VALUE"""),"Master Inugima's Pendant")</f>
        <v>Master Inugima's Pendant</v>
      </c>
      <c r="B614" s="32" t="str">
        <f>IFERROR(__xludf.DUMMYFUNCTION("""COMPUTED_VALUE"""),"Neck")</f>
        <v>Neck</v>
      </c>
      <c r="C614" s="32" t="str">
        <f>IFERROR(__xludf.DUMMYFUNCTION("""COMPUTED_VALUE"""),"Mob Exclusive")</f>
        <v>Mob Exclusive</v>
      </c>
      <c r="D614" s="32"/>
      <c r="E614" s="32">
        <f>IFERROR(__xludf.DUMMYFUNCTION("""COMPUTED_VALUE"""),1.0)</f>
        <v>1</v>
      </c>
      <c r="F614" s="44">
        <f>IFERROR(__xludf.DUMMYFUNCTION("""COMPUTED_VALUE"""),0.0)</f>
        <v>0</v>
      </c>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t="str">
        <f>IFERROR(__xludf.DUMMYFUNCTION("""COMPUTED_VALUE"""),"Dragonscale Island")</f>
        <v>Dragonscale Island</v>
      </c>
      <c r="AH614" s="32" t="b">
        <f>IFERROR(__xludf.DUMMYFUNCTION("""COMPUTED_VALUE"""),TRUE)</f>
        <v>1</v>
      </c>
      <c r="AI614" s="32"/>
      <c r="AJ614" s="32"/>
      <c r="AK614" s="32"/>
      <c r="AL614" s="32"/>
      <c r="AM614" s="32"/>
      <c r="AN614" s="32"/>
      <c r="AO614" s="32"/>
      <c r="AP614" s="32"/>
      <c r="AQ614" s="32"/>
      <c r="AR614" s="32"/>
      <c r="AS614" s="32"/>
      <c r="AT614" s="32"/>
      <c r="AU614" s="32"/>
      <c r="AV614" s="32"/>
      <c r="AW614" s="32"/>
      <c r="AX614" s="32"/>
    </row>
    <row r="615">
      <c r="A615" s="32" t="str">
        <f>IFERROR(__xludf.DUMMYFUNCTION("""COMPUTED_VALUE"""),"Amulet of Giving")</f>
        <v>Amulet of Giving</v>
      </c>
      <c r="B615" s="32" t="str">
        <f>IFERROR(__xludf.DUMMYFUNCTION("""COMPUTED_VALUE"""),"Neck")</f>
        <v>Neck</v>
      </c>
      <c r="C615" s="32" t="str">
        <f>IFERROR(__xludf.DUMMYFUNCTION("""COMPUTED_VALUE"""),"Thanksgiving Event Item")</f>
        <v>Thanksgiving Event Item</v>
      </c>
      <c r="D615" s="32"/>
      <c r="E615" s="32">
        <f>IFERROR(__xludf.DUMMYFUNCTION("""COMPUTED_VALUE"""),1.0)</f>
        <v>1</v>
      </c>
      <c r="F615" s="44">
        <f>IFERROR(__xludf.DUMMYFUNCTION("""COMPUTED_VALUE"""),0.0)</f>
        <v>0</v>
      </c>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32" t="str">
        <f>IFERROR(__xludf.DUMMYFUNCTION("""COMPUTED_VALUE"""),"Land of Spira")</f>
        <v>Land of Spira</v>
      </c>
      <c r="AH615" s="32" t="b">
        <f>IFERROR(__xludf.DUMMYFUNCTION("""COMPUTED_VALUE"""),FALSE)</f>
        <v>0</v>
      </c>
      <c r="AI615" s="32"/>
      <c r="AJ615" s="32"/>
      <c r="AK615" s="32"/>
      <c r="AL615" s="32"/>
      <c r="AM615" s="32"/>
      <c r="AN615" s="32"/>
      <c r="AO615" s="32"/>
      <c r="AP615" s="32"/>
      <c r="AQ615" s="32"/>
      <c r="AR615" s="32"/>
      <c r="AS615" s="32"/>
      <c r="AT615" s="32"/>
      <c r="AU615" s="32"/>
      <c r="AV615" s="32"/>
      <c r="AW615" s="32"/>
      <c r="AX615" s="32"/>
    </row>
    <row r="616">
      <c r="A616" s="32" t="str">
        <f>IFERROR(__xludf.DUMMYFUNCTION("""COMPUTED_VALUE"""),"Pilgrim's Hat")</f>
        <v>Pilgrim's Hat</v>
      </c>
      <c r="B616" s="32" t="str">
        <f>IFERROR(__xludf.DUMMYFUNCTION("""COMPUTED_VALUE"""),"Head")</f>
        <v>Head</v>
      </c>
      <c r="C616" s="32" t="str">
        <f>IFERROR(__xludf.DUMMYFUNCTION("""COMPUTED_VALUE"""),"Thanksgiving Event Item")</f>
        <v>Thanksgiving Event Item</v>
      </c>
      <c r="D616" s="32"/>
      <c r="E616" s="32">
        <f>IFERROR(__xludf.DUMMYFUNCTION("""COMPUTED_VALUE"""),1.0)</f>
        <v>1</v>
      </c>
      <c r="F616" s="44">
        <f>IFERROR(__xludf.DUMMYFUNCTION("""COMPUTED_VALUE"""),0.0)</f>
        <v>0</v>
      </c>
      <c r="G616" s="32" t="str">
        <f>IFERROR(__xludf.DUMMYFUNCTION("""COMPUTED_VALUE"""),"DEF")</f>
        <v>DEF</v>
      </c>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t="str">
        <f>IFERROR(__xludf.DUMMYFUNCTION("""COMPUTED_VALUE"""),"++Double the hunger, thirst, and energy you receive when consuming a consumable. +-Cannot be duplicated.")</f>
        <v>++Double the hunger, thirst, and energy you receive when consuming a consumable. +-Cannot be duplicated.</v>
      </c>
      <c r="AG616" s="32" t="str">
        <f>IFERROR(__xludf.DUMMYFUNCTION("""COMPUTED_VALUE"""),"Land of Spira")</f>
        <v>Land of Spira</v>
      </c>
      <c r="AH616" s="32" t="b">
        <f>IFERROR(__xludf.DUMMYFUNCTION("""COMPUTED_VALUE"""),FALSE)</f>
        <v>0</v>
      </c>
      <c r="AI616" s="32"/>
      <c r="AJ616" s="32"/>
      <c r="AK616" s="32"/>
      <c r="AL616" s="32"/>
      <c r="AM616" s="32"/>
      <c r="AN616" s="32"/>
      <c r="AO616" s="32"/>
      <c r="AP616" s="32"/>
      <c r="AQ616" s="32"/>
      <c r="AR616" s="32"/>
      <c r="AS616" s="32"/>
      <c r="AT616" s="32"/>
      <c r="AU616" s="32"/>
      <c r="AV616" s="32"/>
      <c r="AW616" s="32"/>
      <c r="AX616" s="32"/>
    </row>
    <row r="617">
      <c r="A617" s="32" t="str">
        <f>IFERROR(__xludf.DUMMYFUNCTION("""COMPUTED_VALUE"""),"Dragon Flute")</f>
        <v>Dragon Flute</v>
      </c>
      <c r="B617" s="32" t="str">
        <f>IFERROR(__xludf.DUMMYFUNCTION("""COMPUTED_VALUE"""),"Hand")</f>
        <v>Hand</v>
      </c>
      <c r="C617" s="3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32" t="str">
        <f>IFERROR(__xludf.DUMMYFUNCTION("""COMPUTED_VALUE"""),"Instrument")</f>
        <v>Instrument</v>
      </c>
      <c r="E617" s="32">
        <f>IFERROR(__xludf.DUMMYFUNCTION("""COMPUTED_VALUE"""),100.0)</f>
        <v>100</v>
      </c>
      <c r="F617" s="44">
        <f>IFERROR(__xludf.DUMMYFUNCTION("""COMPUTED_VALUE"""),450000.0)</f>
        <v>450000</v>
      </c>
      <c r="G617" s="32" t="str">
        <f>IFERROR(__xludf.DUMMYFUNCTION("""COMPUTED_VALUE"""),"DMG")</f>
        <v>DMG</v>
      </c>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f>IFERROR(__xludf.DUMMYFUNCTION("""COMPUTED_VALUE"""),5000.0)</f>
        <v>5000</v>
      </c>
      <c r="AF617" s="32"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32" t="str">
        <f>IFERROR(__xludf.DUMMYFUNCTION("""COMPUTED_VALUE"""),"Dragonscale Island")</f>
        <v>Dragonscale Island</v>
      </c>
      <c r="AH617" s="32" t="b">
        <f>IFERROR(__xludf.DUMMYFUNCTION("""COMPUTED_VALUE"""),FALSE)</f>
        <v>0</v>
      </c>
      <c r="AI617" s="32"/>
      <c r="AJ617" s="32"/>
      <c r="AK617" s="32"/>
      <c r="AL617" s="32"/>
      <c r="AM617" s="32"/>
      <c r="AN617" s="32"/>
      <c r="AO617" s="32"/>
      <c r="AP617" s="32"/>
      <c r="AQ617" s="32"/>
      <c r="AR617" s="32"/>
      <c r="AS617" s="32"/>
      <c r="AT617" s="32"/>
      <c r="AU617" s="32"/>
      <c r="AV617" s="32"/>
      <c r="AW617" s="32"/>
      <c r="AX617" s="32"/>
    </row>
    <row r="618">
      <c r="A618" s="32" t="str">
        <f>IFERROR(__xludf.DUMMYFUNCTION("""COMPUTED_VALUE"""),"Harbingers' Helm of the Unrestrained (Spira)")</f>
        <v>Harbingers' Helm of the Unrestrained (Spira)</v>
      </c>
      <c r="B618" s="32" t="str">
        <f>IFERROR(__xludf.DUMMYFUNCTION("""COMPUTED_VALUE"""),"Head")</f>
        <v>Head</v>
      </c>
      <c r="C618" s="3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32"/>
      <c r="E618" s="32">
        <f>IFERROR(__xludf.DUMMYFUNCTION("""COMPUTED_VALUE"""),200.0)</f>
        <v>200</v>
      </c>
      <c r="F618" s="44">
        <f>IFERROR(__xludf.DUMMYFUNCTION("""COMPUTED_VALUE"""),7.98E8)</f>
        <v>798000000</v>
      </c>
      <c r="G618" s="32" t="str">
        <f>IFERROR(__xludf.DUMMYFUNCTION("""COMPUTED_VALUE"""),"DEF")</f>
        <v>DEF</v>
      </c>
      <c r="H618" s="33">
        <f>IFERROR(__xludf.DUMMYFUNCTION("""COMPUTED_VALUE"""),50000.0)</f>
        <v>50000</v>
      </c>
      <c r="I618" s="32">
        <f>IFERROR(__xludf.DUMMYFUNCTION("""COMPUTED_VALUE"""),10000.0)</f>
        <v>10000</v>
      </c>
      <c r="J618" s="32"/>
      <c r="K618" s="32">
        <f>IFERROR(__xludf.DUMMYFUNCTION("""COMPUTED_VALUE"""),10000.0)</f>
        <v>10000</v>
      </c>
      <c r="L618" s="32">
        <f>IFERROR(__xludf.DUMMYFUNCTION("""COMPUTED_VALUE"""),10000.0)</f>
        <v>10000</v>
      </c>
      <c r="M618" s="32">
        <f>IFERROR(__xludf.DUMMYFUNCTION("""COMPUTED_VALUE"""),10000.0)</f>
        <v>10000</v>
      </c>
      <c r="N618" s="32">
        <f>IFERROR(__xludf.DUMMYFUNCTION("""COMPUTED_VALUE"""),10000.0)</f>
        <v>10000</v>
      </c>
      <c r="O618" s="32">
        <f>IFERROR(__xludf.DUMMYFUNCTION("""COMPUTED_VALUE"""),10000.0)</f>
        <v>10000</v>
      </c>
      <c r="P618" s="32">
        <f>IFERROR(__xludf.DUMMYFUNCTION("""COMPUTED_VALUE"""),10000.0)</f>
        <v>10000</v>
      </c>
      <c r="Q618" s="32">
        <f>IFERROR(__xludf.DUMMYFUNCTION("""COMPUTED_VALUE"""),10000.0)</f>
        <v>10000</v>
      </c>
      <c r="R618" s="32">
        <f>IFERROR(__xludf.DUMMYFUNCTION("""COMPUTED_VALUE"""),10000.0)</f>
        <v>10000</v>
      </c>
      <c r="S618" s="32">
        <f>IFERROR(__xludf.DUMMYFUNCTION("""COMPUTED_VALUE"""),10000.0)</f>
        <v>10000</v>
      </c>
      <c r="T618" s="32"/>
      <c r="U618" s="32"/>
      <c r="V618" s="32"/>
      <c r="W618" s="32"/>
      <c r="X618" s="32">
        <f>IFERROR(__xludf.DUMMYFUNCTION("""COMPUTED_VALUE"""),10000.0)</f>
        <v>10000</v>
      </c>
      <c r="Y618" s="32">
        <f>IFERROR(__xludf.DUMMYFUNCTION("""COMPUTED_VALUE"""),10000.0)</f>
        <v>10000</v>
      </c>
      <c r="Z618" s="32"/>
      <c r="AA618" s="32">
        <f>IFERROR(__xludf.DUMMYFUNCTION("""COMPUTED_VALUE"""),10000.0)</f>
        <v>10000</v>
      </c>
      <c r="AB618" s="32">
        <f>IFERROR(__xludf.DUMMYFUNCTION("""COMPUTED_VALUE"""),10000.0)</f>
        <v>10000</v>
      </c>
      <c r="AC618" s="32">
        <f>IFERROR(__xludf.DUMMYFUNCTION("""COMPUTED_VALUE"""),10000.0)</f>
        <v>10000</v>
      </c>
      <c r="AD618" s="32"/>
      <c r="AE618" s="32"/>
      <c r="AF618" s="32" t="str">
        <f>IFERROR(__xludf.DUMMYFUNCTION("""COMPUTED_VALUE"""),"++Unbroken will - You become immune to all effects that would prevent you from taking your turn.")</f>
        <v>++Unbroken will - You become immune to all effects that would prevent you from taking your turn.</v>
      </c>
      <c r="AG618" s="32" t="str">
        <f>IFERROR(__xludf.DUMMYFUNCTION("""COMPUTED_VALUE"""),"Land of Spira")</f>
        <v>Land of Spira</v>
      </c>
      <c r="AH618" s="32" t="b">
        <f>IFERROR(__xludf.DUMMYFUNCTION("""COMPUTED_VALUE"""),FALSE)</f>
        <v>0</v>
      </c>
      <c r="AI618" s="32"/>
      <c r="AJ618" s="32"/>
      <c r="AK618" s="32"/>
      <c r="AL618" s="32"/>
      <c r="AM618" s="32"/>
      <c r="AN618" s="32"/>
      <c r="AO618" s="32"/>
      <c r="AP618" s="32"/>
      <c r="AQ618" s="32"/>
      <c r="AR618" s="32"/>
      <c r="AS618" s="32"/>
      <c r="AT618" s="32"/>
      <c r="AU618" s="32"/>
      <c r="AV618" s="32"/>
      <c r="AW618" s="32"/>
      <c r="AX618" s="32"/>
    </row>
    <row r="619">
      <c r="A619" s="32" t="str">
        <f>IFERROR(__xludf.DUMMYFUNCTION("""COMPUTED_VALUE"""),"Harbingers' Shifting Pauldrons (Spira)")</f>
        <v>Harbingers' Shifting Pauldrons (Spira)</v>
      </c>
      <c r="B619" s="32" t="str">
        <f>IFERROR(__xludf.DUMMYFUNCTION("""COMPUTED_VALUE"""),"Shoulders")</f>
        <v>Shoulders</v>
      </c>
      <c r="C619" s="3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32"/>
      <c r="E619" s="32">
        <f>IFERROR(__xludf.DUMMYFUNCTION("""COMPUTED_VALUE"""),200.0)</f>
        <v>200</v>
      </c>
      <c r="F619" s="44">
        <f>IFERROR(__xludf.DUMMYFUNCTION("""COMPUTED_VALUE"""),7.98E8)</f>
        <v>798000000</v>
      </c>
      <c r="G619" s="32" t="str">
        <f>IFERROR(__xludf.DUMMYFUNCTION("""COMPUTED_VALUE"""),"DEF")</f>
        <v>DEF</v>
      </c>
      <c r="H619" s="33">
        <f>IFERROR(__xludf.DUMMYFUNCTION("""COMPUTED_VALUE"""),50000.0)</f>
        <v>50000</v>
      </c>
      <c r="I619" s="32">
        <f>IFERROR(__xludf.DUMMYFUNCTION("""COMPUTED_VALUE"""),10000.0)</f>
        <v>10000</v>
      </c>
      <c r="J619" s="32"/>
      <c r="K619" s="32">
        <f>IFERROR(__xludf.DUMMYFUNCTION("""COMPUTED_VALUE"""),10000.0)</f>
        <v>10000</v>
      </c>
      <c r="L619" s="32">
        <f>IFERROR(__xludf.DUMMYFUNCTION("""COMPUTED_VALUE"""),10000.0)</f>
        <v>10000</v>
      </c>
      <c r="M619" s="32">
        <f>IFERROR(__xludf.DUMMYFUNCTION("""COMPUTED_VALUE"""),10000.0)</f>
        <v>10000</v>
      </c>
      <c r="N619" s="32">
        <f>IFERROR(__xludf.DUMMYFUNCTION("""COMPUTED_VALUE"""),10000.0)</f>
        <v>10000</v>
      </c>
      <c r="O619" s="32">
        <f>IFERROR(__xludf.DUMMYFUNCTION("""COMPUTED_VALUE"""),10000.0)</f>
        <v>10000</v>
      </c>
      <c r="P619" s="32">
        <f>IFERROR(__xludf.DUMMYFUNCTION("""COMPUTED_VALUE"""),10000.0)</f>
        <v>10000</v>
      </c>
      <c r="Q619" s="32">
        <f>IFERROR(__xludf.DUMMYFUNCTION("""COMPUTED_VALUE"""),10000.0)</f>
        <v>10000</v>
      </c>
      <c r="R619" s="32">
        <f>IFERROR(__xludf.DUMMYFUNCTION("""COMPUTED_VALUE"""),10000.0)</f>
        <v>10000</v>
      </c>
      <c r="S619" s="32">
        <f>IFERROR(__xludf.DUMMYFUNCTION("""COMPUTED_VALUE"""),10000.0)</f>
        <v>10000</v>
      </c>
      <c r="T619" s="32"/>
      <c r="U619" s="32"/>
      <c r="V619" s="32"/>
      <c r="W619" s="32"/>
      <c r="X619" s="32">
        <f>IFERROR(__xludf.DUMMYFUNCTION("""COMPUTED_VALUE"""),10000.0)</f>
        <v>10000</v>
      </c>
      <c r="Y619" s="32">
        <f>IFERROR(__xludf.DUMMYFUNCTION("""COMPUTED_VALUE"""),10000.0)</f>
        <v>10000</v>
      </c>
      <c r="Z619" s="32"/>
      <c r="AA619" s="32">
        <f>IFERROR(__xludf.DUMMYFUNCTION("""COMPUTED_VALUE"""),10000.0)</f>
        <v>10000</v>
      </c>
      <c r="AB619" s="32">
        <f>IFERROR(__xludf.DUMMYFUNCTION("""COMPUTED_VALUE"""),10000.0)</f>
        <v>10000</v>
      </c>
      <c r="AC619" s="32">
        <f>IFERROR(__xludf.DUMMYFUNCTION("""COMPUTED_VALUE"""),10000.0)</f>
        <v>10000</v>
      </c>
      <c r="AD619" s="32"/>
      <c r="AE619" s="32"/>
      <c r="AF619" s="32" t="str">
        <f>IFERROR(__xludf.DUMMYFUNCTION("""COMPUTED_VALUE"""),"++Adrenaline - Upon being hit with any attack gain 1 stack of Insanity.")</f>
        <v>++Adrenaline - Upon being hit with any attack gain 1 stack of Insanity.</v>
      </c>
      <c r="AG619" s="32" t="str">
        <f>IFERROR(__xludf.DUMMYFUNCTION("""COMPUTED_VALUE"""),"Land of Spira")</f>
        <v>Land of Spira</v>
      </c>
      <c r="AH619" s="32" t="b">
        <f>IFERROR(__xludf.DUMMYFUNCTION("""COMPUTED_VALUE"""),FALSE)</f>
        <v>0</v>
      </c>
      <c r="AI619" s="32"/>
      <c r="AJ619" s="32"/>
      <c r="AK619" s="32"/>
      <c r="AL619" s="32"/>
      <c r="AM619" s="32"/>
      <c r="AN619" s="32"/>
      <c r="AO619" s="32"/>
      <c r="AP619" s="32"/>
      <c r="AQ619" s="32"/>
      <c r="AR619" s="32"/>
      <c r="AS619" s="32"/>
      <c r="AT619" s="32"/>
      <c r="AU619" s="32"/>
      <c r="AV619" s="32"/>
      <c r="AW619" s="32"/>
      <c r="AX619" s="32"/>
    </row>
    <row r="620">
      <c r="A620" s="32" t="str">
        <f>IFERROR(__xludf.DUMMYFUNCTION("""COMPUTED_VALUE"""),"Harbingers' Emblazoned Chest of The Encroaching Void (Spira)")</f>
        <v>Harbingers' Emblazoned Chest of The Encroaching Void (Spira)</v>
      </c>
      <c r="B620" s="32" t="str">
        <f>IFERROR(__xludf.DUMMYFUNCTION("""COMPUTED_VALUE"""),"Torso")</f>
        <v>Torso</v>
      </c>
      <c r="C620" s="3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32"/>
      <c r="E620" s="32">
        <f>IFERROR(__xludf.DUMMYFUNCTION("""COMPUTED_VALUE"""),200.0)</f>
        <v>200</v>
      </c>
      <c r="F620" s="44">
        <f>IFERROR(__xludf.DUMMYFUNCTION("""COMPUTED_VALUE"""),7.98E8)</f>
        <v>798000000</v>
      </c>
      <c r="G620" s="32" t="str">
        <f>IFERROR(__xludf.DUMMYFUNCTION("""COMPUTED_VALUE"""),"DEF")</f>
        <v>DEF</v>
      </c>
      <c r="H620" s="33">
        <f>IFERROR(__xludf.DUMMYFUNCTION("""COMPUTED_VALUE"""),50000.0)</f>
        <v>50000</v>
      </c>
      <c r="I620" s="32">
        <f>IFERROR(__xludf.DUMMYFUNCTION("""COMPUTED_VALUE"""),10000.0)</f>
        <v>10000</v>
      </c>
      <c r="J620" s="32"/>
      <c r="K620" s="32">
        <f>IFERROR(__xludf.DUMMYFUNCTION("""COMPUTED_VALUE"""),10000.0)</f>
        <v>10000</v>
      </c>
      <c r="L620" s="32">
        <f>IFERROR(__xludf.DUMMYFUNCTION("""COMPUTED_VALUE"""),10000.0)</f>
        <v>10000</v>
      </c>
      <c r="M620" s="32">
        <f>IFERROR(__xludf.DUMMYFUNCTION("""COMPUTED_VALUE"""),10000.0)</f>
        <v>10000</v>
      </c>
      <c r="N620" s="32">
        <f>IFERROR(__xludf.DUMMYFUNCTION("""COMPUTED_VALUE"""),10000.0)</f>
        <v>10000</v>
      </c>
      <c r="O620" s="32">
        <f>IFERROR(__xludf.DUMMYFUNCTION("""COMPUTED_VALUE"""),10000.0)</f>
        <v>10000</v>
      </c>
      <c r="P620" s="32">
        <f>IFERROR(__xludf.DUMMYFUNCTION("""COMPUTED_VALUE"""),10000.0)</f>
        <v>10000</v>
      </c>
      <c r="Q620" s="32">
        <f>IFERROR(__xludf.DUMMYFUNCTION("""COMPUTED_VALUE"""),10000.0)</f>
        <v>10000</v>
      </c>
      <c r="R620" s="32">
        <f>IFERROR(__xludf.DUMMYFUNCTION("""COMPUTED_VALUE"""),10000.0)</f>
        <v>10000</v>
      </c>
      <c r="S620" s="32">
        <f>IFERROR(__xludf.DUMMYFUNCTION("""COMPUTED_VALUE"""),10000.0)</f>
        <v>10000</v>
      </c>
      <c r="T620" s="32"/>
      <c r="U620" s="32"/>
      <c r="V620" s="32"/>
      <c r="W620" s="32"/>
      <c r="X620" s="32">
        <f>IFERROR(__xludf.DUMMYFUNCTION("""COMPUTED_VALUE"""),10000.0)</f>
        <v>10000</v>
      </c>
      <c r="Y620" s="32">
        <f>IFERROR(__xludf.DUMMYFUNCTION("""COMPUTED_VALUE"""),10000.0)</f>
        <v>10000</v>
      </c>
      <c r="Z620" s="32"/>
      <c r="AA620" s="32">
        <f>IFERROR(__xludf.DUMMYFUNCTION("""COMPUTED_VALUE"""),10000.0)</f>
        <v>10000</v>
      </c>
      <c r="AB620" s="32">
        <f>IFERROR(__xludf.DUMMYFUNCTION("""COMPUTED_VALUE"""),10000.0)</f>
        <v>10000</v>
      </c>
      <c r="AC620" s="32">
        <f>IFERROR(__xludf.DUMMYFUNCTION("""COMPUTED_VALUE"""),10000.0)</f>
        <v>10000</v>
      </c>
      <c r="AD620" s="32"/>
      <c r="AE620" s="32"/>
      <c r="AF620" s="32" t="str">
        <f>IFERROR(__xludf.DUMMYFUNCTION("""COMPUTED_VALUE"""),"++Bloodlust - Upon targeting any enemy with an attack gain 2 stacks of insanity")</f>
        <v>++Bloodlust - Upon targeting any enemy with an attack gain 2 stacks of insanity</v>
      </c>
      <c r="AG620" s="32" t="str">
        <f>IFERROR(__xludf.DUMMYFUNCTION("""COMPUTED_VALUE"""),"Land of Spira")</f>
        <v>Land of Spira</v>
      </c>
      <c r="AH620" s="32" t="b">
        <f>IFERROR(__xludf.DUMMYFUNCTION("""COMPUTED_VALUE"""),FALSE)</f>
        <v>0</v>
      </c>
      <c r="AI620" s="32"/>
      <c r="AJ620" s="32"/>
      <c r="AK620" s="32"/>
      <c r="AL620" s="32"/>
      <c r="AM620" s="32"/>
      <c r="AN620" s="32"/>
      <c r="AO620" s="32"/>
      <c r="AP620" s="32"/>
      <c r="AQ620" s="32"/>
      <c r="AR620" s="32"/>
      <c r="AS620" s="32"/>
      <c r="AT620" s="32"/>
      <c r="AU620" s="32"/>
      <c r="AV620" s="32"/>
      <c r="AW620" s="32"/>
      <c r="AX620" s="32"/>
    </row>
    <row r="621">
      <c r="A621" s="32" t="str">
        <f>IFERROR(__xludf.DUMMYFUNCTION("""COMPUTED_VALUE"""),"Harbingers' Broken Fettering (Spira)")</f>
        <v>Harbingers' Broken Fettering (Spira)</v>
      </c>
      <c r="B621" s="32" t="str">
        <f>IFERROR(__xludf.DUMMYFUNCTION("""COMPUTED_VALUE"""),"Arms")</f>
        <v>Arms</v>
      </c>
      <c r="C621" s="3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32"/>
      <c r="E621" s="32">
        <f>IFERROR(__xludf.DUMMYFUNCTION("""COMPUTED_VALUE"""),200.0)</f>
        <v>200</v>
      </c>
      <c r="F621" s="44">
        <f>IFERROR(__xludf.DUMMYFUNCTION("""COMPUTED_VALUE"""),7.98E8)</f>
        <v>798000000</v>
      </c>
      <c r="G621" s="32" t="str">
        <f>IFERROR(__xludf.DUMMYFUNCTION("""COMPUTED_VALUE"""),"DEF")</f>
        <v>DEF</v>
      </c>
      <c r="H621" s="33">
        <f>IFERROR(__xludf.DUMMYFUNCTION("""COMPUTED_VALUE"""),50000.0)</f>
        <v>50000</v>
      </c>
      <c r="I621" s="32">
        <f>IFERROR(__xludf.DUMMYFUNCTION("""COMPUTED_VALUE"""),10000.0)</f>
        <v>10000</v>
      </c>
      <c r="J621" s="32"/>
      <c r="K621" s="32">
        <f>IFERROR(__xludf.DUMMYFUNCTION("""COMPUTED_VALUE"""),10000.0)</f>
        <v>10000</v>
      </c>
      <c r="L621" s="32">
        <f>IFERROR(__xludf.DUMMYFUNCTION("""COMPUTED_VALUE"""),10000.0)</f>
        <v>10000</v>
      </c>
      <c r="M621" s="32">
        <f>IFERROR(__xludf.DUMMYFUNCTION("""COMPUTED_VALUE"""),10000.0)</f>
        <v>10000</v>
      </c>
      <c r="N621" s="32">
        <f>IFERROR(__xludf.DUMMYFUNCTION("""COMPUTED_VALUE"""),10000.0)</f>
        <v>10000</v>
      </c>
      <c r="O621" s="32">
        <f>IFERROR(__xludf.DUMMYFUNCTION("""COMPUTED_VALUE"""),10000.0)</f>
        <v>10000</v>
      </c>
      <c r="P621" s="32">
        <f>IFERROR(__xludf.DUMMYFUNCTION("""COMPUTED_VALUE"""),10000.0)</f>
        <v>10000</v>
      </c>
      <c r="Q621" s="32">
        <f>IFERROR(__xludf.DUMMYFUNCTION("""COMPUTED_VALUE"""),10000.0)</f>
        <v>10000</v>
      </c>
      <c r="R621" s="32">
        <f>IFERROR(__xludf.DUMMYFUNCTION("""COMPUTED_VALUE"""),10000.0)</f>
        <v>10000</v>
      </c>
      <c r="S621" s="32">
        <f>IFERROR(__xludf.DUMMYFUNCTION("""COMPUTED_VALUE"""),10000.0)</f>
        <v>10000</v>
      </c>
      <c r="T621" s="32"/>
      <c r="U621" s="32"/>
      <c r="V621" s="32"/>
      <c r="W621" s="32"/>
      <c r="X621" s="32">
        <f>IFERROR(__xludf.DUMMYFUNCTION("""COMPUTED_VALUE"""),10000.0)</f>
        <v>10000</v>
      </c>
      <c r="Y621" s="32">
        <f>IFERROR(__xludf.DUMMYFUNCTION("""COMPUTED_VALUE"""),10000.0)</f>
        <v>10000</v>
      </c>
      <c r="Z621" s="32"/>
      <c r="AA621" s="32">
        <f>IFERROR(__xludf.DUMMYFUNCTION("""COMPUTED_VALUE"""),10000.0)</f>
        <v>10000</v>
      </c>
      <c r="AB621" s="32">
        <f>IFERROR(__xludf.DUMMYFUNCTION("""COMPUTED_VALUE"""),10000.0)</f>
        <v>10000</v>
      </c>
      <c r="AC621" s="32">
        <f>IFERROR(__xludf.DUMMYFUNCTION("""COMPUTED_VALUE"""),10000.0)</f>
        <v>10000</v>
      </c>
      <c r="AD621" s="32"/>
      <c r="AE621" s="32"/>
      <c r="AF621" s="32"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32" t="str">
        <f>IFERROR(__xludf.DUMMYFUNCTION("""COMPUTED_VALUE"""),"Land of Spira")</f>
        <v>Land of Spira</v>
      </c>
      <c r="AH621" s="32" t="b">
        <f>IFERROR(__xludf.DUMMYFUNCTION("""COMPUTED_VALUE"""),FALSE)</f>
        <v>0</v>
      </c>
      <c r="AI621" s="32"/>
      <c r="AJ621" s="32"/>
      <c r="AK621" s="32"/>
      <c r="AL621" s="32"/>
      <c r="AM621" s="32"/>
      <c r="AN621" s="32"/>
      <c r="AO621" s="32"/>
      <c r="AP621" s="32"/>
      <c r="AQ621" s="32"/>
      <c r="AR621" s="32"/>
      <c r="AS621" s="32"/>
      <c r="AT621" s="32"/>
      <c r="AU621" s="32"/>
      <c r="AV621" s="32"/>
      <c r="AW621" s="32"/>
      <c r="AX621" s="32"/>
    </row>
    <row r="622">
      <c r="A622" s="32" t="str">
        <f>IFERROR(__xludf.DUMMYFUNCTION("""COMPUTED_VALUE"""),"Harbingers' Ethereal Chausses (Spira)")</f>
        <v>Harbingers' Ethereal Chausses (Spira)</v>
      </c>
      <c r="B622" s="32" t="str">
        <f>IFERROR(__xludf.DUMMYFUNCTION("""COMPUTED_VALUE"""),"Legs")</f>
        <v>Legs</v>
      </c>
      <c r="C622" s="3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32"/>
      <c r="E622" s="32">
        <f>IFERROR(__xludf.DUMMYFUNCTION("""COMPUTED_VALUE"""),200.0)</f>
        <v>200</v>
      </c>
      <c r="F622" s="44">
        <f>IFERROR(__xludf.DUMMYFUNCTION("""COMPUTED_VALUE"""),7.98E8)</f>
        <v>798000000</v>
      </c>
      <c r="G622" s="32" t="str">
        <f>IFERROR(__xludf.DUMMYFUNCTION("""COMPUTED_VALUE"""),"DEF")</f>
        <v>DEF</v>
      </c>
      <c r="H622" s="33">
        <f>IFERROR(__xludf.DUMMYFUNCTION("""COMPUTED_VALUE"""),50000.0)</f>
        <v>50000</v>
      </c>
      <c r="I622" s="32">
        <f>IFERROR(__xludf.DUMMYFUNCTION("""COMPUTED_VALUE"""),10000.0)</f>
        <v>10000</v>
      </c>
      <c r="J622" s="32"/>
      <c r="K622" s="32">
        <f>IFERROR(__xludf.DUMMYFUNCTION("""COMPUTED_VALUE"""),10000.0)</f>
        <v>10000</v>
      </c>
      <c r="L622" s="32">
        <f>IFERROR(__xludf.DUMMYFUNCTION("""COMPUTED_VALUE"""),10000.0)</f>
        <v>10000</v>
      </c>
      <c r="M622" s="32">
        <f>IFERROR(__xludf.DUMMYFUNCTION("""COMPUTED_VALUE"""),10000.0)</f>
        <v>10000</v>
      </c>
      <c r="N622" s="32">
        <f>IFERROR(__xludf.DUMMYFUNCTION("""COMPUTED_VALUE"""),10000.0)</f>
        <v>10000</v>
      </c>
      <c r="O622" s="32">
        <f>IFERROR(__xludf.DUMMYFUNCTION("""COMPUTED_VALUE"""),10000.0)</f>
        <v>10000</v>
      </c>
      <c r="P622" s="32">
        <f>IFERROR(__xludf.DUMMYFUNCTION("""COMPUTED_VALUE"""),10000.0)</f>
        <v>10000</v>
      </c>
      <c r="Q622" s="32">
        <f>IFERROR(__xludf.DUMMYFUNCTION("""COMPUTED_VALUE"""),10000.0)</f>
        <v>10000</v>
      </c>
      <c r="R622" s="32">
        <f>IFERROR(__xludf.DUMMYFUNCTION("""COMPUTED_VALUE"""),10000.0)</f>
        <v>10000</v>
      </c>
      <c r="S622" s="32">
        <f>IFERROR(__xludf.DUMMYFUNCTION("""COMPUTED_VALUE"""),10000.0)</f>
        <v>10000</v>
      </c>
      <c r="T622" s="32"/>
      <c r="U622" s="32"/>
      <c r="V622" s="32"/>
      <c r="W622" s="32"/>
      <c r="X622" s="32">
        <f>IFERROR(__xludf.DUMMYFUNCTION("""COMPUTED_VALUE"""),10000.0)</f>
        <v>10000</v>
      </c>
      <c r="Y622" s="32">
        <f>IFERROR(__xludf.DUMMYFUNCTION("""COMPUTED_VALUE"""),10000.0)</f>
        <v>10000</v>
      </c>
      <c r="Z622" s="32"/>
      <c r="AA622" s="32">
        <f>IFERROR(__xludf.DUMMYFUNCTION("""COMPUTED_VALUE"""),10000.0)</f>
        <v>10000</v>
      </c>
      <c r="AB622" s="32">
        <f>IFERROR(__xludf.DUMMYFUNCTION("""COMPUTED_VALUE"""),10000.0)</f>
        <v>10000</v>
      </c>
      <c r="AC622" s="32">
        <f>IFERROR(__xludf.DUMMYFUNCTION("""COMPUTED_VALUE"""),10000.0)</f>
        <v>10000</v>
      </c>
      <c r="AD622" s="32"/>
      <c r="AE622" s="32"/>
      <c r="AF622" s="32"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32" t="str">
        <f>IFERROR(__xludf.DUMMYFUNCTION("""COMPUTED_VALUE"""),"Land of Spira")</f>
        <v>Land of Spira</v>
      </c>
      <c r="AH622" s="32" t="b">
        <f>IFERROR(__xludf.DUMMYFUNCTION("""COMPUTED_VALUE"""),FALSE)</f>
        <v>0</v>
      </c>
      <c r="AI622" s="32"/>
      <c r="AJ622" s="32"/>
      <c r="AK622" s="32"/>
      <c r="AL622" s="32"/>
      <c r="AM622" s="32"/>
      <c r="AN622" s="32"/>
      <c r="AO622" s="32"/>
      <c r="AP622" s="32"/>
      <c r="AQ622" s="32"/>
      <c r="AR622" s="32"/>
      <c r="AS622" s="32"/>
      <c r="AT622" s="32"/>
      <c r="AU622" s="32"/>
      <c r="AV622" s="32"/>
      <c r="AW622" s="32"/>
      <c r="AX622" s="32"/>
    </row>
    <row r="623">
      <c r="A623" s="32" t="str">
        <f>IFERROR(__xludf.DUMMYFUNCTION("""COMPUTED_VALUE"""),"Harbingers' Spiked Sabatons (Spira)")</f>
        <v>Harbingers' Spiked Sabatons (Spira)</v>
      </c>
      <c r="B623" s="32" t="str">
        <f>IFERROR(__xludf.DUMMYFUNCTION("""COMPUTED_VALUE"""),"Feet")</f>
        <v>Feet</v>
      </c>
      <c r="C623" s="32"/>
      <c r="D623" s="32"/>
      <c r="E623" s="32">
        <f>IFERROR(__xludf.DUMMYFUNCTION("""COMPUTED_VALUE"""),200.0)</f>
        <v>200</v>
      </c>
      <c r="F623" s="44">
        <f>IFERROR(__xludf.DUMMYFUNCTION("""COMPUTED_VALUE"""),7.98E8)</f>
        <v>798000000</v>
      </c>
      <c r="G623" s="32" t="str">
        <f>IFERROR(__xludf.DUMMYFUNCTION("""COMPUTED_VALUE"""),"DEF")</f>
        <v>DEF</v>
      </c>
      <c r="H623" s="33">
        <f>IFERROR(__xludf.DUMMYFUNCTION("""COMPUTED_VALUE"""),50000.0)</f>
        <v>50000</v>
      </c>
      <c r="I623" s="32">
        <f>IFERROR(__xludf.DUMMYFUNCTION("""COMPUTED_VALUE"""),10000.0)</f>
        <v>10000</v>
      </c>
      <c r="J623" s="32"/>
      <c r="K623" s="32">
        <f>IFERROR(__xludf.DUMMYFUNCTION("""COMPUTED_VALUE"""),10000.0)</f>
        <v>10000</v>
      </c>
      <c r="L623" s="32">
        <f>IFERROR(__xludf.DUMMYFUNCTION("""COMPUTED_VALUE"""),10000.0)</f>
        <v>10000</v>
      </c>
      <c r="M623" s="32">
        <f>IFERROR(__xludf.DUMMYFUNCTION("""COMPUTED_VALUE"""),10000.0)</f>
        <v>10000</v>
      </c>
      <c r="N623" s="32">
        <f>IFERROR(__xludf.DUMMYFUNCTION("""COMPUTED_VALUE"""),10000.0)</f>
        <v>10000</v>
      </c>
      <c r="O623" s="32">
        <f>IFERROR(__xludf.DUMMYFUNCTION("""COMPUTED_VALUE"""),10000.0)</f>
        <v>10000</v>
      </c>
      <c r="P623" s="32">
        <f>IFERROR(__xludf.DUMMYFUNCTION("""COMPUTED_VALUE"""),10000.0)</f>
        <v>10000</v>
      </c>
      <c r="Q623" s="32">
        <f>IFERROR(__xludf.DUMMYFUNCTION("""COMPUTED_VALUE"""),10000.0)</f>
        <v>10000</v>
      </c>
      <c r="R623" s="32">
        <f>IFERROR(__xludf.DUMMYFUNCTION("""COMPUTED_VALUE"""),10000.0)</f>
        <v>10000</v>
      </c>
      <c r="S623" s="32">
        <f>IFERROR(__xludf.DUMMYFUNCTION("""COMPUTED_VALUE"""),10000.0)</f>
        <v>10000</v>
      </c>
      <c r="T623" s="32"/>
      <c r="U623" s="32"/>
      <c r="V623" s="32"/>
      <c r="W623" s="32"/>
      <c r="X623" s="32">
        <f>IFERROR(__xludf.DUMMYFUNCTION("""COMPUTED_VALUE"""),10000.0)</f>
        <v>10000</v>
      </c>
      <c r="Y623" s="32">
        <f>IFERROR(__xludf.DUMMYFUNCTION("""COMPUTED_VALUE"""),10000.0)</f>
        <v>10000</v>
      </c>
      <c r="Z623" s="32"/>
      <c r="AA623" s="32">
        <f>IFERROR(__xludf.DUMMYFUNCTION("""COMPUTED_VALUE"""),10000.0)</f>
        <v>10000</v>
      </c>
      <c r="AB623" s="32">
        <f>IFERROR(__xludf.DUMMYFUNCTION("""COMPUTED_VALUE"""),10000.0)</f>
        <v>10000</v>
      </c>
      <c r="AC623" s="32">
        <f>IFERROR(__xludf.DUMMYFUNCTION("""COMPUTED_VALUE"""),10000.0)</f>
        <v>10000</v>
      </c>
      <c r="AD623" s="32"/>
      <c r="AE623" s="32"/>
      <c r="AF623" s="32"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32" t="str">
        <f>IFERROR(__xludf.DUMMYFUNCTION("""COMPUTED_VALUE"""),"Land of Spira")</f>
        <v>Land of Spira</v>
      </c>
      <c r="AH623" s="32" t="b">
        <f>IFERROR(__xludf.DUMMYFUNCTION("""COMPUTED_VALUE"""),FALSE)</f>
        <v>0</v>
      </c>
      <c r="AI623" s="32"/>
      <c r="AJ623" s="32"/>
      <c r="AK623" s="32"/>
      <c r="AL623" s="32"/>
      <c r="AM623" s="32"/>
      <c r="AN623" s="32"/>
      <c r="AO623" s="32"/>
      <c r="AP623" s="32"/>
      <c r="AQ623" s="32"/>
      <c r="AR623" s="32"/>
      <c r="AS623" s="32"/>
      <c r="AT623" s="32"/>
      <c r="AU623" s="32"/>
      <c r="AV623" s="32"/>
      <c r="AW623" s="32"/>
      <c r="AX623" s="32"/>
    </row>
    <row r="624">
      <c r="A624" s="32" t="str">
        <f>IFERROR(__xludf.DUMMYFUNCTION("""COMPUTED_VALUE"""),"Harbingers' Vow (Spira)")</f>
        <v>Harbingers' Vow (Spira)</v>
      </c>
      <c r="B624" s="32" t="str">
        <f>IFERROR(__xludf.DUMMYFUNCTION("""COMPUTED_VALUE"""),"Finger")</f>
        <v>Finger</v>
      </c>
      <c r="C624" s="32"/>
      <c r="D624" s="32"/>
      <c r="E624" s="32">
        <f>IFERROR(__xludf.DUMMYFUNCTION("""COMPUTED_VALUE"""),1.0)</f>
        <v>1</v>
      </c>
      <c r="F624" s="44">
        <f>IFERROR(__xludf.DUMMYFUNCTION("""COMPUTED_VALUE"""),0.0)</f>
        <v>0</v>
      </c>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32" t="str">
        <f>IFERROR(__xludf.DUMMYFUNCTION("""COMPUTED_VALUE"""),"Land of Spira")</f>
        <v>Land of Spira</v>
      </c>
      <c r="AH624" s="32" t="b">
        <f>IFERROR(__xludf.DUMMYFUNCTION("""COMPUTED_VALUE"""),FALSE)</f>
        <v>0</v>
      </c>
      <c r="AI624" s="32"/>
      <c r="AJ624" s="32"/>
      <c r="AK624" s="32"/>
      <c r="AL624" s="32"/>
      <c r="AM624" s="32"/>
      <c r="AN624" s="32"/>
      <c r="AO624" s="32"/>
      <c r="AP624" s="32"/>
      <c r="AQ624" s="32"/>
      <c r="AR624" s="32"/>
      <c r="AS624" s="32"/>
      <c r="AT624" s="32"/>
      <c r="AU624" s="32"/>
      <c r="AV624" s="32"/>
      <c r="AW624" s="32"/>
      <c r="AX624" s="32"/>
    </row>
    <row r="625">
      <c r="A625" s="32" t="str">
        <f>IFERROR(__xludf.DUMMYFUNCTION("""COMPUTED_VALUE"""),"Harbingers' Resolve (Spira)")</f>
        <v>Harbingers' Resolve (Spira)</v>
      </c>
      <c r="B625" s="32" t="str">
        <f>IFERROR(__xludf.DUMMYFUNCTION("""COMPUTED_VALUE"""),"Neck")</f>
        <v>Neck</v>
      </c>
      <c r="C625" s="32"/>
      <c r="D625" s="32"/>
      <c r="E625" s="32">
        <f>IFERROR(__xludf.DUMMYFUNCTION("""COMPUTED_VALUE"""),1.0)</f>
        <v>1</v>
      </c>
      <c r="F625" s="44">
        <f>IFERROR(__xludf.DUMMYFUNCTION("""COMPUTED_VALUE"""),0.0)</f>
        <v>0</v>
      </c>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t="str">
        <f>IFERROR(__xludf.DUMMYFUNCTION("""COMPUTED_VALUE"""),"++To the Death! - Upon taking lethal damage resist it with 1 hp and gain 10 stacks of insanity (once per battle)")</f>
        <v>++To the Death! - Upon taking lethal damage resist it with 1 hp and gain 10 stacks of insanity (once per battle)</v>
      </c>
      <c r="AG625" s="32" t="str">
        <f>IFERROR(__xludf.DUMMYFUNCTION("""COMPUTED_VALUE"""),"Land of Spira")</f>
        <v>Land of Spira</v>
      </c>
      <c r="AH625" s="32" t="b">
        <f>IFERROR(__xludf.DUMMYFUNCTION("""COMPUTED_VALUE"""),FALSE)</f>
        <v>0</v>
      </c>
      <c r="AI625" s="32"/>
      <c r="AJ625" s="32"/>
      <c r="AK625" s="32"/>
      <c r="AL625" s="32"/>
      <c r="AM625" s="32"/>
      <c r="AN625" s="32"/>
      <c r="AO625" s="32"/>
      <c r="AP625" s="32"/>
      <c r="AQ625" s="32"/>
      <c r="AR625" s="32"/>
      <c r="AS625" s="32"/>
      <c r="AT625" s="32"/>
      <c r="AU625" s="32"/>
      <c r="AV625" s="32"/>
      <c r="AW625" s="32"/>
      <c r="AX625" s="32"/>
    </row>
    <row r="626">
      <c r="A626" s="32" t="str">
        <f>IFERROR(__xludf.DUMMYFUNCTION("""COMPUTED_VALUE"""),"Harbingers' Fist of Iron (Spira)")</f>
        <v>Harbingers' Fist of Iron (Spira)</v>
      </c>
      <c r="B626" s="32" t="str">
        <f>IFERROR(__xludf.DUMMYFUNCTION("""COMPUTED_VALUE"""),"Hand")</f>
        <v>Hand</v>
      </c>
      <c r="C626" s="32"/>
      <c r="D626" s="32" t="str">
        <f>IFERROR(__xludf.DUMMYFUNCTION("""COMPUTED_VALUE"""),"Gauntlet")</f>
        <v>Gauntlet</v>
      </c>
      <c r="E626" s="32">
        <f>IFERROR(__xludf.DUMMYFUNCTION("""COMPUTED_VALUE"""),200.0)</f>
        <v>200</v>
      </c>
      <c r="F626" s="44">
        <f>IFERROR(__xludf.DUMMYFUNCTION("""COMPUTED_VALUE"""),1.99E8)</f>
        <v>199000000</v>
      </c>
      <c r="G626" s="32" t="str">
        <f>IFERROR(__xludf.DUMMYFUNCTION("""COMPUTED_VALUE"""),"DEF")</f>
        <v>DEF</v>
      </c>
      <c r="H626" s="33">
        <f>IFERROR(__xludf.DUMMYFUNCTION("""COMPUTED_VALUE"""),50000.0)</f>
        <v>50000</v>
      </c>
      <c r="I626" s="32"/>
      <c r="J626" s="32"/>
      <c r="K626" s="32"/>
      <c r="L626" s="32"/>
      <c r="M626" s="32"/>
      <c r="N626" s="32"/>
      <c r="O626" s="32"/>
      <c r="P626" s="32"/>
      <c r="Q626" s="32"/>
      <c r="R626" s="32"/>
      <c r="S626" s="32"/>
      <c r="T626" s="32"/>
      <c r="U626" s="32"/>
      <c r="V626" s="32"/>
      <c r="W626" s="32"/>
      <c r="X626" s="32"/>
      <c r="Y626" s="32"/>
      <c r="Z626" s="32"/>
      <c r="AA626" s="32"/>
      <c r="AB626" s="32"/>
      <c r="AC626" s="33">
        <f>IFERROR(__xludf.DUMMYFUNCTION("""COMPUTED_VALUE"""),50000.0)</f>
        <v>50000</v>
      </c>
      <c r="AD626" s="32"/>
      <c r="AE626" s="32"/>
      <c r="AF626" s="32"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32" t="str">
        <f>IFERROR(__xludf.DUMMYFUNCTION("""COMPUTED_VALUE"""),"Land of Spira")</f>
        <v>Land of Spira</v>
      </c>
      <c r="AH626" s="32" t="b">
        <f>IFERROR(__xludf.DUMMYFUNCTION("""COMPUTED_VALUE"""),FALSE)</f>
        <v>0</v>
      </c>
      <c r="AI626" s="32"/>
      <c r="AJ626" s="32"/>
      <c r="AK626" s="32"/>
      <c r="AL626" s="32"/>
      <c r="AM626" s="32"/>
      <c r="AN626" s="32"/>
      <c r="AO626" s="32"/>
      <c r="AP626" s="32"/>
      <c r="AQ626" s="32"/>
      <c r="AR626" s="32"/>
      <c r="AS626" s="32"/>
      <c r="AT626" s="32"/>
      <c r="AU626" s="32"/>
      <c r="AV626" s="32"/>
      <c r="AW626" s="32"/>
      <c r="AX626" s="32"/>
    </row>
    <row r="627">
      <c r="A627" s="32" t="str">
        <f>IFERROR(__xludf.DUMMYFUNCTION("""COMPUTED_VALUE"""),"Harbingers' Claw of Steel (Spira)")</f>
        <v>Harbingers' Claw of Steel (Spira)</v>
      </c>
      <c r="B627" s="32" t="str">
        <f>IFERROR(__xludf.DUMMYFUNCTION("""COMPUTED_VALUE"""),"Hand")</f>
        <v>Hand</v>
      </c>
      <c r="C627" s="32"/>
      <c r="D627" s="32" t="str">
        <f>IFERROR(__xludf.DUMMYFUNCTION("""COMPUTED_VALUE"""),"Claw")</f>
        <v>Claw</v>
      </c>
      <c r="E627" s="32">
        <f>IFERROR(__xludf.DUMMYFUNCTION("""COMPUTED_VALUE"""),200.0)</f>
        <v>200</v>
      </c>
      <c r="F627" s="44">
        <f>IFERROR(__xludf.DUMMYFUNCTION("""COMPUTED_VALUE"""),1.99E8)</f>
        <v>199000000</v>
      </c>
      <c r="G627" s="32" t="str">
        <f>IFERROR(__xludf.DUMMYFUNCTION("""COMPUTED_VALUE"""),"DMG")</f>
        <v>DMG</v>
      </c>
      <c r="H627" s="33">
        <f>IFERROR(__xludf.DUMMYFUNCTION("""COMPUTED_VALUE"""),50000.0)</f>
        <v>50000</v>
      </c>
      <c r="I627" s="32"/>
      <c r="J627" s="32"/>
      <c r="K627" s="32"/>
      <c r="L627" s="32"/>
      <c r="M627" s="32"/>
      <c r="N627" s="32"/>
      <c r="O627" s="32"/>
      <c r="P627" s="32"/>
      <c r="Q627" s="32"/>
      <c r="R627" s="32"/>
      <c r="S627" s="32"/>
      <c r="T627" s="32"/>
      <c r="U627" s="32"/>
      <c r="V627" s="32"/>
      <c r="W627" s="32"/>
      <c r="X627" s="32"/>
      <c r="Y627" s="32"/>
      <c r="Z627" s="32">
        <f>IFERROR(__xludf.DUMMYFUNCTION("""COMPUTED_VALUE"""),25000.0)</f>
        <v>25000</v>
      </c>
      <c r="AA627" s="32"/>
      <c r="AB627" s="32"/>
      <c r="AC627" s="33">
        <f>IFERROR(__xludf.DUMMYFUNCTION("""COMPUTED_VALUE"""),25000.0)</f>
        <v>25000</v>
      </c>
      <c r="AD627" s="32"/>
      <c r="AE627" s="32"/>
      <c r="AF627" s="32"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32" t="str">
        <f>IFERROR(__xludf.DUMMYFUNCTION("""COMPUTED_VALUE"""),"Land of Spira")</f>
        <v>Land of Spira</v>
      </c>
      <c r="AH627" s="32" t="b">
        <f>IFERROR(__xludf.DUMMYFUNCTION("""COMPUTED_VALUE"""),FALSE)</f>
        <v>0</v>
      </c>
      <c r="AI627" s="32"/>
      <c r="AJ627" s="32"/>
      <c r="AK627" s="32"/>
      <c r="AL627" s="32"/>
      <c r="AM627" s="32"/>
      <c r="AN627" s="32"/>
      <c r="AO627" s="32"/>
      <c r="AP627" s="32"/>
      <c r="AQ627" s="32"/>
      <c r="AR627" s="32"/>
      <c r="AS627" s="32"/>
      <c r="AT627" s="32"/>
      <c r="AU627" s="32"/>
      <c r="AV627" s="32"/>
      <c r="AW627" s="32"/>
      <c r="AX627" s="32"/>
    </row>
    <row r="628">
      <c r="A628" s="32" t="str">
        <f>IFERROR(__xludf.DUMMYFUNCTION("""COMPUTED_VALUE"""),"Eagles Claw")</f>
        <v>Eagles Claw</v>
      </c>
      <c r="B628" s="32" t="str">
        <f>IFERROR(__xludf.DUMMYFUNCTION("""COMPUTED_VALUE"""),"Hand")</f>
        <v>Hand</v>
      </c>
      <c r="C628" s="32"/>
      <c r="D628" s="32" t="str">
        <f>IFERROR(__xludf.DUMMYFUNCTION("""COMPUTED_VALUE"""),"Claw")</f>
        <v>Claw</v>
      </c>
      <c r="E628" s="32">
        <f>IFERROR(__xludf.DUMMYFUNCTION("""COMPUTED_VALUE"""),200.0)</f>
        <v>200</v>
      </c>
      <c r="F628" s="44">
        <f>IFERROR(__xludf.DUMMYFUNCTION("""COMPUTED_VALUE"""),1900000.0)</f>
        <v>1900000</v>
      </c>
      <c r="G628" s="32" t="str">
        <f>IFERROR(__xludf.DUMMYFUNCTION("""COMPUTED_VALUE"""),"DMG")</f>
        <v>DMG</v>
      </c>
      <c r="H628" s="33">
        <f>IFERROR(__xludf.DUMMYFUNCTION("""COMPUTED_VALUE"""),10000.0)</f>
        <v>10000</v>
      </c>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t="str">
        <f>IFERROR(__xludf.DUMMYFUNCTION("""COMPUTED_VALUE"""),"++Eagles Removal - 20% Chance to remove the target from battle. ")</f>
        <v>++Eagles Removal - 20% Chance to remove the target from battle. </v>
      </c>
      <c r="AG628" s="32" t="str">
        <f>IFERROR(__xludf.DUMMYFUNCTION("""COMPUTED_VALUE"""),"Land of Spira")</f>
        <v>Land of Spira</v>
      </c>
      <c r="AH628" s="32" t="b">
        <f>IFERROR(__xludf.DUMMYFUNCTION("""COMPUTED_VALUE"""),FALSE)</f>
        <v>0</v>
      </c>
      <c r="AI628" s="32"/>
      <c r="AJ628" s="32"/>
      <c r="AK628" s="32"/>
      <c r="AL628" s="32"/>
      <c r="AM628" s="32"/>
      <c r="AN628" s="32"/>
      <c r="AO628" s="32"/>
      <c r="AP628" s="32"/>
      <c r="AQ628" s="32"/>
      <c r="AR628" s="32"/>
      <c r="AS628" s="32"/>
      <c r="AT628" s="32"/>
      <c r="AU628" s="32"/>
      <c r="AV628" s="32"/>
      <c r="AW628" s="32"/>
      <c r="AX628" s="32"/>
    </row>
    <row r="629">
      <c r="A629" s="32" t="str">
        <f>IFERROR(__xludf.DUMMYFUNCTION("""COMPUTED_VALUE"""),"Golden Gauntlet")</f>
        <v>Golden Gauntlet</v>
      </c>
      <c r="B629" s="32" t="str">
        <f>IFERROR(__xludf.DUMMYFUNCTION("""COMPUTED_VALUE"""),"Hand")</f>
        <v>Hand</v>
      </c>
      <c r="C629" s="32"/>
      <c r="D629" s="32" t="str">
        <f>IFERROR(__xludf.DUMMYFUNCTION("""COMPUTED_VALUE"""),"Gauntlet")</f>
        <v>Gauntlet</v>
      </c>
      <c r="E629" s="32">
        <f>IFERROR(__xludf.DUMMYFUNCTION("""COMPUTED_VALUE"""),200.0)</f>
        <v>200</v>
      </c>
      <c r="F629" s="44">
        <f>IFERROR(__xludf.DUMMYFUNCTION("""COMPUTED_VALUE"""),1900000.0)</f>
        <v>1900000</v>
      </c>
      <c r="G629" s="32" t="str">
        <f>IFERROR(__xludf.DUMMYFUNCTION("""COMPUTED_VALUE"""),"DMG")</f>
        <v>DMG</v>
      </c>
      <c r="H629" s="33">
        <f>IFERROR(__xludf.DUMMYFUNCTION("""COMPUTED_VALUE"""),5000.0)</f>
        <v>5000</v>
      </c>
      <c r="I629" s="32"/>
      <c r="J629" s="32"/>
      <c r="K629" s="32"/>
      <c r="L629" s="32"/>
      <c r="M629" s="32"/>
      <c r="N629" s="33">
        <f>IFERROR(__xludf.DUMMYFUNCTION("""COMPUTED_VALUE"""),2500.0)</f>
        <v>2500</v>
      </c>
      <c r="O629" s="32"/>
      <c r="P629" s="32"/>
      <c r="Q629" s="33">
        <f>IFERROR(__xludf.DUMMYFUNCTION("""COMPUTED_VALUE"""),2500.0)</f>
        <v>2500</v>
      </c>
      <c r="R629" s="32"/>
      <c r="S629" s="32"/>
      <c r="T629" s="32"/>
      <c r="U629" s="32"/>
      <c r="V629" s="32"/>
      <c r="W629" s="32"/>
      <c r="X629" s="32"/>
      <c r="Y629" s="32"/>
      <c r="Z629" s="32"/>
      <c r="AA629" s="32"/>
      <c r="AB629" s="32"/>
      <c r="AC629" s="32"/>
      <c r="AD629" s="32"/>
      <c r="AE629" s="32"/>
      <c r="AF629" s="32"/>
      <c r="AG629" s="32" t="str">
        <f>IFERROR(__xludf.DUMMYFUNCTION("""COMPUTED_VALUE"""),"Land of Spira")</f>
        <v>Land of Spira</v>
      </c>
      <c r="AH629" s="32" t="b">
        <f>IFERROR(__xludf.DUMMYFUNCTION("""COMPUTED_VALUE"""),FALSE)</f>
        <v>0</v>
      </c>
      <c r="AI629" s="32"/>
      <c r="AJ629" s="32"/>
      <c r="AK629" s="32"/>
      <c r="AL629" s="32"/>
      <c r="AM629" s="32"/>
      <c r="AN629" s="32"/>
      <c r="AO629" s="32"/>
      <c r="AP629" s="32"/>
      <c r="AQ629" s="32"/>
      <c r="AR629" s="32"/>
      <c r="AS629" s="32"/>
      <c r="AT629" s="32"/>
      <c r="AU629" s="32"/>
      <c r="AV629" s="32"/>
      <c r="AW629" s="32"/>
      <c r="AX629" s="32"/>
    </row>
    <row r="630">
      <c r="A630" s="32" t="str">
        <f>IFERROR(__xludf.DUMMYFUNCTION("""COMPUTED_VALUE"""),"Hand Crossbow")</f>
        <v>Hand Crossbow</v>
      </c>
      <c r="B630" s="32" t="str">
        <f>IFERROR(__xludf.DUMMYFUNCTION("""COMPUTED_VALUE"""),"Hand")</f>
        <v>Hand</v>
      </c>
      <c r="C630" s="32"/>
      <c r="D630" s="32" t="str">
        <f>IFERROR(__xludf.DUMMYFUNCTION("""COMPUTED_VALUE"""),"Bow")</f>
        <v>Bow</v>
      </c>
      <c r="E630" s="32">
        <f>IFERROR(__xludf.DUMMYFUNCTION("""COMPUTED_VALUE"""),200.0)</f>
        <v>200</v>
      </c>
      <c r="F630" s="44">
        <f>IFERROR(__xludf.DUMMYFUNCTION("""COMPUTED_VALUE"""),1900000.0)</f>
        <v>1900000</v>
      </c>
      <c r="G630" s="32" t="str">
        <f>IFERROR(__xludf.DUMMYFUNCTION("""COMPUTED_VALUE"""),"DMG")</f>
        <v>DMG</v>
      </c>
      <c r="H630" s="33">
        <f>IFERROR(__xludf.DUMMYFUNCTION("""COMPUTED_VALUE"""),10000.0)</f>
        <v>10000</v>
      </c>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t="str">
        <f>IFERROR(__xludf.DUMMYFUNCTION("""COMPUTED_VALUE"""),"Land of Spira")</f>
        <v>Land of Spira</v>
      </c>
      <c r="AH630" s="32" t="b">
        <f>IFERROR(__xludf.DUMMYFUNCTION("""COMPUTED_VALUE"""),FALSE)</f>
        <v>0</v>
      </c>
      <c r="AI630" s="32"/>
      <c r="AJ630" s="32"/>
      <c r="AK630" s="32"/>
      <c r="AL630" s="32"/>
      <c r="AM630" s="32"/>
      <c r="AN630" s="32"/>
      <c r="AO630" s="32"/>
      <c r="AP630" s="32"/>
      <c r="AQ630" s="32"/>
      <c r="AR630" s="32"/>
      <c r="AS630" s="32"/>
      <c r="AT630" s="32"/>
      <c r="AU630" s="32"/>
      <c r="AV630" s="32"/>
      <c r="AW630" s="32"/>
      <c r="AX630" s="32"/>
    </row>
    <row r="631">
      <c r="A631" s="32" t="str">
        <f>IFERROR(__xludf.DUMMYFUNCTION("""COMPUTED_VALUE"""),"Flintlock Pistol")</f>
        <v>Flintlock Pistol</v>
      </c>
      <c r="B631" s="32" t="str">
        <f>IFERROR(__xludf.DUMMYFUNCTION("""COMPUTED_VALUE"""),"Hand")</f>
        <v>Hand</v>
      </c>
      <c r="C631" s="32"/>
      <c r="D631" s="32" t="str">
        <f>IFERROR(__xludf.DUMMYFUNCTION("""COMPUTED_VALUE"""),"Firearm")</f>
        <v>Firearm</v>
      </c>
      <c r="E631" s="32">
        <f>IFERROR(__xludf.DUMMYFUNCTION("""COMPUTED_VALUE"""),200.0)</f>
        <v>200</v>
      </c>
      <c r="F631" s="44">
        <f>IFERROR(__xludf.DUMMYFUNCTION("""COMPUTED_VALUE"""),1900000.0)</f>
        <v>1900000</v>
      </c>
      <c r="G631" s="32" t="str">
        <f>IFERROR(__xludf.DUMMYFUNCTION("""COMPUTED_VALUE"""),"DMG")</f>
        <v>DMG</v>
      </c>
      <c r="H631" s="32">
        <f>IFERROR(__xludf.DUMMYFUNCTION("""COMPUTED_VALUE"""),10000.0)</f>
        <v>10000</v>
      </c>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t="str">
        <f>IFERROR(__xludf.DUMMYFUNCTION("""COMPUTED_VALUE"""),"Land of Spira")</f>
        <v>Land of Spira</v>
      </c>
      <c r="AH631" s="32" t="b">
        <f>IFERROR(__xludf.DUMMYFUNCTION("""COMPUTED_VALUE"""),FALSE)</f>
        <v>0</v>
      </c>
      <c r="AI631" s="32"/>
      <c r="AJ631" s="32"/>
      <c r="AK631" s="32"/>
      <c r="AL631" s="32"/>
      <c r="AM631" s="32"/>
      <c r="AN631" s="32"/>
      <c r="AO631" s="32"/>
      <c r="AP631" s="32"/>
      <c r="AQ631" s="32"/>
      <c r="AR631" s="32"/>
      <c r="AS631" s="32"/>
      <c r="AT631" s="32"/>
      <c r="AU631" s="32"/>
      <c r="AV631" s="32"/>
      <c r="AW631" s="32"/>
      <c r="AX631" s="32"/>
    </row>
    <row r="632">
      <c r="A632" s="32" t="str">
        <f>IFERROR(__xludf.DUMMYFUNCTION("""COMPUTED_VALUE"""),"Head of Gévaudan")</f>
        <v>Head of Gévaudan</v>
      </c>
      <c r="B632" s="32" t="str">
        <f>IFERROR(__xludf.DUMMYFUNCTION("""COMPUTED_VALUE"""),"Head")</f>
        <v>Head</v>
      </c>
      <c r="C632" s="32"/>
      <c r="D632" s="32"/>
      <c r="E632" s="32">
        <f>IFERROR(__xludf.DUMMYFUNCTION("""COMPUTED_VALUE"""),200.0)</f>
        <v>200</v>
      </c>
      <c r="F632" s="44">
        <f>IFERROR(__xludf.DUMMYFUNCTION("""COMPUTED_VALUE"""),1900000.0)</f>
        <v>1900000</v>
      </c>
      <c r="G632" s="32" t="str">
        <f>IFERROR(__xludf.DUMMYFUNCTION("""COMPUTED_VALUE"""),"DEF")</f>
        <v>DEF</v>
      </c>
      <c r="H632" s="32">
        <f>IFERROR(__xludf.DUMMYFUNCTION("""COMPUTED_VALUE"""),10000.0)</f>
        <v>10000</v>
      </c>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t="str">
        <f>IFERROR(__xludf.DUMMYFUNCTION("""COMPUTED_VALUE"""),"++ +5 to intimidation, ++Soul Shake: Allows to cast ""Shaken Soul""")</f>
        <v>++ +5 to intimidation, ++Soul Shake: Allows to cast "Shaken Soul"</v>
      </c>
      <c r="AG632" s="32" t="str">
        <f>IFERROR(__xludf.DUMMYFUNCTION("""COMPUTED_VALUE"""),"Land of Spira")</f>
        <v>Land of Spira</v>
      </c>
      <c r="AH632" s="32" t="b">
        <f>IFERROR(__xludf.DUMMYFUNCTION("""COMPUTED_VALUE"""),FALSE)</f>
        <v>0</v>
      </c>
      <c r="AI632" s="32"/>
      <c r="AJ632" s="32"/>
      <c r="AK632" s="32"/>
      <c r="AL632" s="32"/>
      <c r="AM632" s="32"/>
      <c r="AN632" s="32"/>
      <c r="AO632" s="32"/>
      <c r="AP632" s="32"/>
      <c r="AQ632" s="32"/>
      <c r="AR632" s="32"/>
      <c r="AS632" s="32"/>
      <c r="AT632" s="32"/>
      <c r="AU632" s="32"/>
      <c r="AV632" s="32"/>
      <c r="AW632" s="32"/>
      <c r="AX632" s="32"/>
    </row>
    <row r="633">
      <c r="A633" s="32" t="str">
        <f>IFERROR(__xludf.DUMMYFUNCTION("""COMPUTED_VALUE"""),"Phantasmal Scythe")</f>
        <v>Phantasmal Scythe</v>
      </c>
      <c r="B633" s="32" t="str">
        <f>IFERROR(__xludf.DUMMYFUNCTION("""COMPUTED_VALUE"""),"Hand")</f>
        <v>Hand</v>
      </c>
      <c r="C633" s="32"/>
      <c r="D633" s="32" t="str">
        <f>IFERROR(__xludf.DUMMYFUNCTION("""COMPUTED_VALUE"""),"Scythe")</f>
        <v>Scythe</v>
      </c>
      <c r="E633" s="32">
        <f>IFERROR(__xludf.DUMMYFUNCTION("""COMPUTED_VALUE"""),1000.0)</f>
        <v>1000</v>
      </c>
      <c r="F633" s="44">
        <f>IFERROR(__xludf.DUMMYFUNCTION("""COMPUTED_VALUE"""),4.95E7)</f>
        <v>49500000</v>
      </c>
      <c r="G633" s="32" t="str">
        <f>IFERROR(__xludf.DUMMYFUNCTION("""COMPUTED_VALUE"""),"DMG")</f>
        <v>DMG</v>
      </c>
      <c r="H633" s="32"/>
      <c r="I633" s="32"/>
      <c r="J633" s="32"/>
      <c r="K633" s="32"/>
      <c r="L633" s="32"/>
      <c r="M633" s="32"/>
      <c r="N633" s="32"/>
      <c r="O633" s="32"/>
      <c r="P633" s="32">
        <f>IFERROR(__xludf.DUMMYFUNCTION("""COMPUTED_VALUE"""),50000.0)</f>
        <v>50000</v>
      </c>
      <c r="Q633" s="32"/>
      <c r="R633" s="32"/>
      <c r="S633" s="32"/>
      <c r="T633" s="32"/>
      <c r="U633" s="32"/>
      <c r="V633" s="32"/>
      <c r="W633" s="32"/>
      <c r="X633" s="32"/>
      <c r="Y633" s="32"/>
      <c r="Z633" s="32"/>
      <c r="AA633" s="32"/>
      <c r="AB633" s="32"/>
      <c r="AC633" s="32"/>
      <c r="AD633" s="32"/>
      <c r="AE633" s="32"/>
      <c r="AF633" s="32"/>
      <c r="AG633" s="32" t="str">
        <f>IFERROR(__xludf.DUMMYFUNCTION("""COMPUTED_VALUE"""),"Land of Spira")</f>
        <v>Land of Spira</v>
      </c>
      <c r="AH633" s="32" t="b">
        <f>IFERROR(__xludf.DUMMYFUNCTION("""COMPUTED_VALUE"""),FALSE)</f>
        <v>0</v>
      </c>
      <c r="AI633" s="32"/>
      <c r="AJ633" s="32"/>
      <c r="AK633" s="32"/>
      <c r="AL633" s="32"/>
      <c r="AM633" s="32"/>
      <c r="AN633" s="32"/>
      <c r="AO633" s="32"/>
      <c r="AP633" s="32"/>
      <c r="AQ633" s="32"/>
      <c r="AR633" s="32"/>
      <c r="AS633" s="32"/>
      <c r="AT633" s="32"/>
      <c r="AU633" s="32"/>
      <c r="AV633" s="32"/>
      <c r="AW633" s="32"/>
      <c r="AX633" s="32"/>
    </row>
    <row r="634">
      <c r="A634" s="32" t="str">
        <f>IFERROR(__xludf.DUMMYFUNCTION("""COMPUTED_VALUE"""),"Piranha Tooth Dagger")</f>
        <v>Piranha Tooth Dagger</v>
      </c>
      <c r="B634" s="32" t="str">
        <f>IFERROR(__xludf.DUMMYFUNCTION("""COMPUTED_VALUE"""),"Hand")</f>
        <v>Hand</v>
      </c>
      <c r="C634" s="32"/>
      <c r="D634" s="32" t="str">
        <f>IFERROR(__xludf.DUMMYFUNCTION("""COMPUTED_VALUE"""),"Knife")</f>
        <v>Knife</v>
      </c>
      <c r="E634" s="32">
        <f>IFERROR(__xludf.DUMMYFUNCTION("""COMPUTED_VALUE"""),10.0)</f>
        <v>10</v>
      </c>
      <c r="F634" s="44">
        <f>IFERROR(__xludf.DUMMYFUNCTION("""COMPUTED_VALUE"""),1000.0)</f>
        <v>1000</v>
      </c>
      <c r="G634" s="32" t="str">
        <f>IFERROR(__xludf.DUMMYFUNCTION("""COMPUTED_VALUE"""),"DMG")</f>
        <v>DMG</v>
      </c>
      <c r="H634" s="32">
        <f>IFERROR(__xludf.DUMMYFUNCTION("""COMPUTED_VALUE"""),500.0)</f>
        <v>500</v>
      </c>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32" t="str">
        <f>IFERROR(__xludf.DUMMYFUNCTION("""COMPUTED_VALUE"""),"Land of Spira")</f>
        <v>Land of Spira</v>
      </c>
      <c r="AH634" s="32" t="b">
        <f>IFERROR(__xludf.DUMMYFUNCTION("""COMPUTED_VALUE"""),FALSE)</f>
        <v>0</v>
      </c>
      <c r="AI634" s="32"/>
      <c r="AJ634" s="32"/>
      <c r="AK634" s="32"/>
      <c r="AL634" s="32"/>
      <c r="AM634" s="32"/>
      <c r="AN634" s="32"/>
      <c r="AO634" s="32"/>
      <c r="AP634" s="32"/>
      <c r="AQ634" s="32"/>
      <c r="AR634" s="32"/>
      <c r="AS634" s="32"/>
      <c r="AT634" s="32"/>
      <c r="AU634" s="32"/>
      <c r="AV634" s="32"/>
      <c r="AW634" s="32"/>
      <c r="AX634" s="32"/>
    </row>
    <row r="635">
      <c r="A635" s="32" t="str">
        <f>IFERROR(__xludf.DUMMYFUNCTION("""COMPUTED_VALUE"""),"Rhino Horn Spear")</f>
        <v>Rhino Horn Spear</v>
      </c>
      <c r="B635" s="32" t="str">
        <f>IFERROR(__xludf.DUMMYFUNCTION("""COMPUTED_VALUE"""),"Hand")</f>
        <v>Hand</v>
      </c>
      <c r="C635" s="32"/>
      <c r="D635" s="32" t="str">
        <f>IFERROR(__xludf.DUMMYFUNCTION("""COMPUTED_VALUE"""),"Spear")</f>
        <v>Spear</v>
      </c>
      <c r="E635" s="32">
        <f>IFERROR(__xludf.DUMMYFUNCTION("""COMPUTED_VALUE"""),200.0)</f>
        <v>200</v>
      </c>
      <c r="F635" s="44">
        <f>IFERROR(__xludf.DUMMYFUNCTION("""COMPUTED_VALUE"""),1900000.0)</f>
        <v>1900000</v>
      </c>
      <c r="G635" s="32" t="str">
        <f>IFERROR(__xludf.DUMMYFUNCTION("""COMPUTED_VALUE"""),"DMG")</f>
        <v>DMG</v>
      </c>
      <c r="H635" s="32">
        <f>IFERROR(__xludf.DUMMYFUNCTION("""COMPUTED_VALUE"""),10000.0)</f>
        <v>10000</v>
      </c>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t="str">
        <f>IFERROR(__xludf.DUMMYFUNCTION("""COMPUTED_VALUE"""),"++Charge - The first attack made with this weapon deals X2 damage")</f>
        <v>++Charge - The first attack made with this weapon deals X2 damage</v>
      </c>
      <c r="AG635" s="32" t="str">
        <f>IFERROR(__xludf.DUMMYFUNCTION("""COMPUTED_VALUE"""),"Land of Spira")</f>
        <v>Land of Spira</v>
      </c>
      <c r="AH635" s="32" t="b">
        <f>IFERROR(__xludf.DUMMYFUNCTION("""COMPUTED_VALUE"""),FALSE)</f>
        <v>0</v>
      </c>
      <c r="AI635" s="32"/>
      <c r="AJ635" s="32"/>
      <c r="AK635" s="32"/>
      <c r="AL635" s="32"/>
      <c r="AM635" s="32"/>
      <c r="AN635" s="32"/>
      <c r="AO635" s="32"/>
      <c r="AP635" s="32"/>
      <c r="AQ635" s="32"/>
      <c r="AR635" s="32"/>
      <c r="AS635" s="32"/>
      <c r="AT635" s="32"/>
      <c r="AU635" s="32"/>
      <c r="AV635" s="32"/>
      <c r="AW635" s="32"/>
      <c r="AX635" s="32"/>
    </row>
    <row r="636">
      <c r="A636" s="32" t="str">
        <f>IFERROR(__xludf.DUMMYFUNCTION("""COMPUTED_VALUE"""),"Rock Axe")</f>
        <v>Rock Axe</v>
      </c>
      <c r="B636" s="32" t="str">
        <f>IFERROR(__xludf.DUMMYFUNCTION("""COMPUTED_VALUE"""),"Hand")</f>
        <v>Hand</v>
      </c>
      <c r="C636" s="32"/>
      <c r="D636" s="32" t="str">
        <f>IFERROR(__xludf.DUMMYFUNCTION("""COMPUTED_VALUE"""),"Axe")</f>
        <v>Axe</v>
      </c>
      <c r="E636" s="32">
        <f>IFERROR(__xludf.DUMMYFUNCTION("""COMPUTED_VALUE"""),40.0)</f>
        <v>40</v>
      </c>
      <c r="F636" s="44">
        <f>IFERROR(__xludf.DUMMYFUNCTION("""COMPUTED_VALUE"""),60000.0)</f>
        <v>60000</v>
      </c>
      <c r="G636" s="32" t="str">
        <f>IFERROR(__xludf.DUMMYFUNCTION("""COMPUTED_VALUE"""),"DMG")</f>
        <v>DMG</v>
      </c>
      <c r="H636" s="32">
        <f>IFERROR(__xludf.DUMMYFUNCTION("""COMPUTED_VALUE"""),1000.0)</f>
        <v>1000</v>
      </c>
      <c r="I636" s="32"/>
      <c r="J636" s="32"/>
      <c r="K636" s="32"/>
      <c r="L636" s="32"/>
      <c r="M636" s="32">
        <f>IFERROR(__xludf.DUMMYFUNCTION("""COMPUTED_VALUE"""),1000.0)</f>
        <v>1000</v>
      </c>
      <c r="N636" s="32"/>
      <c r="O636" s="32"/>
      <c r="P636" s="32"/>
      <c r="Q636" s="32"/>
      <c r="R636" s="32"/>
      <c r="S636" s="32"/>
      <c r="T636" s="32"/>
      <c r="U636" s="32"/>
      <c r="V636" s="32"/>
      <c r="W636" s="32"/>
      <c r="X636" s="32"/>
      <c r="Y636" s="32"/>
      <c r="Z636" s="32"/>
      <c r="AA636" s="32"/>
      <c r="AB636" s="32"/>
      <c r="AC636" s="32"/>
      <c r="AD636" s="32"/>
      <c r="AE636" s="32"/>
      <c r="AF636" s="32"/>
      <c r="AG636" s="32" t="str">
        <f>IFERROR(__xludf.DUMMYFUNCTION("""COMPUTED_VALUE"""),"Land of Spira")</f>
        <v>Land of Spira</v>
      </c>
      <c r="AH636" s="32" t="b">
        <f>IFERROR(__xludf.DUMMYFUNCTION("""COMPUTED_VALUE"""),FALSE)</f>
        <v>0</v>
      </c>
      <c r="AI636" s="32"/>
      <c r="AJ636" s="32"/>
      <c r="AK636" s="32"/>
      <c r="AL636" s="32"/>
      <c r="AM636" s="32"/>
      <c r="AN636" s="32"/>
      <c r="AO636" s="32"/>
      <c r="AP636" s="32"/>
      <c r="AQ636" s="32"/>
      <c r="AR636" s="32"/>
      <c r="AS636" s="32"/>
      <c r="AT636" s="32"/>
      <c r="AU636" s="32"/>
      <c r="AV636" s="32"/>
      <c r="AW636" s="32"/>
      <c r="AX636" s="32"/>
    </row>
    <row r="637">
      <c r="A637" s="32" t="str">
        <f>IFERROR(__xludf.DUMMYFUNCTION("""COMPUTED_VALUE"""),"Saber Tooth")</f>
        <v>Saber Tooth</v>
      </c>
      <c r="B637" s="32" t="str">
        <f>IFERROR(__xludf.DUMMYFUNCTION("""COMPUTED_VALUE"""),"Hand")</f>
        <v>Hand</v>
      </c>
      <c r="C637" s="32"/>
      <c r="D637" s="32" t="str">
        <f>IFERROR(__xludf.DUMMYFUNCTION("""COMPUTED_VALUE"""),"Knife")</f>
        <v>Knife</v>
      </c>
      <c r="E637" s="32">
        <f>IFERROR(__xludf.DUMMYFUNCTION("""COMPUTED_VALUE"""),200.0)</f>
        <v>200</v>
      </c>
      <c r="F637" s="44">
        <f>IFERROR(__xludf.DUMMYFUNCTION("""COMPUTED_VALUE"""),1900000.0)</f>
        <v>1900000</v>
      </c>
      <c r="G637" s="32" t="str">
        <f>IFERROR(__xludf.DUMMYFUNCTION("""COMPUTED_VALUE"""),"DMG")</f>
        <v>DMG</v>
      </c>
      <c r="H637" s="33">
        <f>IFERROR(__xludf.DUMMYFUNCTION("""COMPUTED_VALUE"""),10000.0)</f>
        <v>10000</v>
      </c>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t="str">
        <f>IFERROR(__xludf.DUMMYFUNCTION("""COMPUTED_VALUE"""),"Land of Spira")</f>
        <v>Land of Spira</v>
      </c>
      <c r="AH637" s="32" t="b">
        <f>IFERROR(__xludf.DUMMYFUNCTION("""COMPUTED_VALUE"""),FALSE)</f>
        <v>0</v>
      </c>
      <c r="AI637" s="32"/>
      <c r="AJ637" s="32"/>
      <c r="AK637" s="32"/>
      <c r="AL637" s="32"/>
      <c r="AM637" s="32"/>
      <c r="AN637" s="32"/>
      <c r="AO637" s="32"/>
      <c r="AP637" s="32"/>
      <c r="AQ637" s="32"/>
      <c r="AR637" s="32"/>
      <c r="AS637" s="32"/>
      <c r="AT637" s="32"/>
      <c r="AU637" s="32"/>
      <c r="AV637" s="32"/>
      <c r="AW637" s="32"/>
      <c r="AX637" s="32"/>
    </row>
    <row r="638">
      <c r="A638" s="32" t="str">
        <f>IFERROR(__xludf.DUMMYFUNCTION("""COMPUTED_VALUE"""),"Worm Tooth Chainsaw")</f>
        <v>Worm Tooth Chainsaw</v>
      </c>
      <c r="B638" s="32" t="str">
        <f>IFERROR(__xludf.DUMMYFUNCTION("""COMPUTED_VALUE"""),"Hand")</f>
        <v>Hand</v>
      </c>
      <c r="C638" s="32"/>
      <c r="D638" s="32" t="str">
        <f>IFERROR(__xludf.DUMMYFUNCTION("""COMPUTED_VALUE"""),"Axe")</f>
        <v>Axe</v>
      </c>
      <c r="E638" s="32">
        <f>IFERROR(__xludf.DUMMYFUNCTION("""COMPUTED_VALUE"""),1200.0)</f>
        <v>1200</v>
      </c>
      <c r="F638" s="44">
        <f>IFERROR(__xludf.DUMMYFUNCTION("""COMPUTED_VALUE"""),7.14E7)</f>
        <v>71400000</v>
      </c>
      <c r="G638" s="32" t="str">
        <f>IFERROR(__xludf.DUMMYFUNCTION("""COMPUTED_VALUE"""),"DMG")</f>
        <v>DMG</v>
      </c>
      <c r="H638" s="33">
        <f>IFERROR(__xludf.DUMMYFUNCTION("""COMPUTED_VALUE"""),50000.0)</f>
        <v>50000</v>
      </c>
      <c r="I638" s="32"/>
      <c r="J638" s="32"/>
      <c r="K638" s="32"/>
      <c r="L638" s="32"/>
      <c r="M638" s="32"/>
      <c r="N638" s="32"/>
      <c r="O638" s="32"/>
      <c r="P638" s="32"/>
      <c r="Q638" s="32"/>
      <c r="R638" s="32"/>
      <c r="S638" s="32"/>
      <c r="T638" s="32"/>
      <c r="U638" s="32"/>
      <c r="V638" s="32"/>
      <c r="W638" s="32"/>
      <c r="X638" s="32"/>
      <c r="Y638" s="33">
        <f>IFERROR(__xludf.DUMMYFUNCTION("""COMPUTED_VALUE"""),10000.0)</f>
        <v>10000</v>
      </c>
      <c r="Z638" s="32"/>
      <c r="AA638" s="32"/>
      <c r="AB638" s="32"/>
      <c r="AC638" s="32"/>
      <c r="AD638" s="32"/>
      <c r="AE638" s="32"/>
      <c r="AF638" s="32"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32" t="str">
        <f>IFERROR(__xludf.DUMMYFUNCTION("""COMPUTED_VALUE"""),"Land of Spira")</f>
        <v>Land of Spira</v>
      </c>
      <c r="AH638" s="32" t="b">
        <f>IFERROR(__xludf.DUMMYFUNCTION("""COMPUTED_VALUE"""),FALSE)</f>
        <v>0</v>
      </c>
      <c r="AI638" s="32"/>
      <c r="AJ638" s="32"/>
      <c r="AK638" s="32"/>
      <c r="AL638" s="32"/>
      <c r="AM638" s="32"/>
      <c r="AN638" s="32"/>
      <c r="AO638" s="32"/>
      <c r="AP638" s="32"/>
      <c r="AQ638" s="32"/>
      <c r="AR638" s="32"/>
      <c r="AS638" s="32"/>
      <c r="AT638" s="32"/>
      <c r="AU638" s="32"/>
      <c r="AV638" s="32"/>
      <c r="AW638" s="32"/>
      <c r="AX638" s="32"/>
    </row>
    <row r="639">
      <c r="A639" s="32" t="str">
        <f>IFERROR(__xludf.DUMMYFUNCTION("""COMPUTED_VALUE"""),"Shark Tooth Greatclub")</f>
        <v>Shark Tooth Greatclub</v>
      </c>
      <c r="B639" s="32" t="str">
        <f>IFERROR(__xludf.DUMMYFUNCTION("""COMPUTED_VALUE"""),"Hand")</f>
        <v>Hand</v>
      </c>
      <c r="C639" s="32"/>
      <c r="D639" s="32" t="str">
        <f>IFERROR(__xludf.DUMMYFUNCTION("""COMPUTED_VALUE"""),"Club")</f>
        <v>Club</v>
      </c>
      <c r="E639" s="32">
        <f>IFERROR(__xludf.DUMMYFUNCTION("""COMPUTED_VALUE"""),500.0)</f>
        <v>500</v>
      </c>
      <c r="F639" s="44">
        <f>IFERROR(__xludf.DUMMYFUNCTION("""COMPUTED_VALUE"""),1.225E7)</f>
        <v>12250000</v>
      </c>
      <c r="G639" s="32" t="str">
        <f>IFERROR(__xludf.DUMMYFUNCTION("""COMPUTED_VALUE"""),"DMG")</f>
        <v>DMG</v>
      </c>
      <c r="H639" s="33">
        <f>IFERROR(__xludf.DUMMYFUNCTION("""COMPUTED_VALUE"""),25000.0)</f>
        <v>25000</v>
      </c>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32" t="str">
        <f>IFERROR(__xludf.DUMMYFUNCTION("""COMPUTED_VALUE"""),"Land of Spira")</f>
        <v>Land of Spira</v>
      </c>
      <c r="AH639" s="32" t="b">
        <f>IFERROR(__xludf.DUMMYFUNCTION("""COMPUTED_VALUE"""),FALSE)</f>
        <v>0</v>
      </c>
      <c r="AI639" s="32"/>
      <c r="AJ639" s="32"/>
      <c r="AK639" s="32"/>
      <c r="AL639" s="32"/>
      <c r="AM639" s="32"/>
      <c r="AN639" s="32"/>
      <c r="AO639" s="32"/>
      <c r="AP639" s="32"/>
      <c r="AQ639" s="32"/>
      <c r="AR639" s="32"/>
      <c r="AS639" s="32"/>
      <c r="AT639" s="32"/>
      <c r="AU639" s="32"/>
      <c r="AV639" s="32"/>
      <c r="AW639" s="32"/>
      <c r="AX639" s="32"/>
    </row>
    <row r="640">
      <c r="A640" s="32" t="str">
        <f>IFERROR(__xludf.DUMMYFUNCTION("""COMPUTED_VALUE"""),"Sticky Slime Guantlets")</f>
        <v>Sticky Slime Guantlets</v>
      </c>
      <c r="B640" s="32" t="str">
        <f>IFERROR(__xludf.DUMMYFUNCTION("""COMPUTED_VALUE"""),"Hand")</f>
        <v>Hand</v>
      </c>
      <c r="C640" s="32"/>
      <c r="D640" s="32" t="str">
        <f>IFERROR(__xludf.DUMMYFUNCTION("""COMPUTED_VALUE"""),"Gauntlet")</f>
        <v>Gauntlet</v>
      </c>
      <c r="E640" s="32">
        <f>IFERROR(__xludf.DUMMYFUNCTION("""COMPUTED_VALUE"""),400.0)</f>
        <v>400</v>
      </c>
      <c r="F640" s="44">
        <f>IFERROR(__xludf.DUMMYFUNCTION("""COMPUTED_VALUE"""),7800000.0)</f>
        <v>7800000</v>
      </c>
      <c r="G640" s="32" t="str">
        <f>IFERROR(__xludf.DUMMYFUNCTION("""COMPUTED_VALUE"""),"DEF")</f>
        <v>DEF</v>
      </c>
      <c r="H640" s="33">
        <f>IFERROR(__xludf.DUMMYFUNCTION("""COMPUTED_VALUE"""),20000.0)</f>
        <v>20000</v>
      </c>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t="str">
        <f>IFERROR(__xludf.DUMMYFUNCTION("""COMPUTED_VALUE"""),"++Slimey Grasp - When these gloves are equipped the natural power ""take"" Is guaranteed to succeed.")</f>
        <v>++Slimey Grasp - When these gloves are equipped the natural power "take" Is guaranteed to succeed.</v>
      </c>
      <c r="AG640" s="32" t="str">
        <f>IFERROR(__xludf.DUMMYFUNCTION("""COMPUTED_VALUE"""),"Land of Spira")</f>
        <v>Land of Spira</v>
      </c>
      <c r="AH640" s="32" t="b">
        <f>IFERROR(__xludf.DUMMYFUNCTION("""COMPUTED_VALUE"""),FALSE)</f>
        <v>0</v>
      </c>
      <c r="AI640" s="32"/>
      <c r="AJ640" s="32"/>
      <c r="AK640" s="32"/>
      <c r="AL640" s="32"/>
      <c r="AM640" s="32"/>
      <c r="AN640" s="32"/>
      <c r="AO640" s="32"/>
      <c r="AP640" s="32"/>
      <c r="AQ640" s="32"/>
      <c r="AR640" s="32"/>
      <c r="AS640" s="32"/>
      <c r="AT640" s="32"/>
      <c r="AU640" s="32"/>
      <c r="AV640" s="32"/>
      <c r="AW640" s="32"/>
      <c r="AX640" s="32"/>
    </row>
    <row r="641">
      <c r="A641" s="32" t="str">
        <f>IFERROR(__xludf.DUMMYFUNCTION("""COMPUTED_VALUE"""),"Draconic Scythe")</f>
        <v>Draconic Scythe</v>
      </c>
      <c r="B641" s="32" t="str">
        <f>IFERROR(__xludf.DUMMYFUNCTION("""COMPUTED_VALUE"""),"Hand")</f>
        <v>Hand</v>
      </c>
      <c r="C641" s="32"/>
      <c r="D641" s="32" t="str">
        <f>IFERROR(__xludf.DUMMYFUNCTION("""COMPUTED_VALUE"""),"Scythe")</f>
        <v>Scythe</v>
      </c>
      <c r="E641" s="32">
        <f>IFERROR(__xludf.DUMMYFUNCTION("""COMPUTED_VALUE"""),2000.0)</f>
        <v>2000</v>
      </c>
      <c r="F641" s="44">
        <f>IFERROR(__xludf.DUMMYFUNCTION("""COMPUTED_VALUE"""),1.99E8)</f>
        <v>199000000</v>
      </c>
      <c r="G641" s="32" t="str">
        <f>IFERROR(__xludf.DUMMYFUNCTION("""COMPUTED_VALUE"""),"DMG")</f>
        <v>DMG</v>
      </c>
      <c r="H641" s="32"/>
      <c r="I641" s="32"/>
      <c r="J641" s="32"/>
      <c r="K641" s="32"/>
      <c r="L641" s="32"/>
      <c r="M641" s="32"/>
      <c r="N641" s="32"/>
      <c r="O641" s="32"/>
      <c r="P641" s="33">
        <f>IFERROR(__xludf.DUMMYFUNCTION("""COMPUTED_VALUE"""),100000.0)</f>
        <v>100000</v>
      </c>
      <c r="Q641" s="32"/>
      <c r="R641" s="32"/>
      <c r="S641" s="32"/>
      <c r="T641" s="32"/>
      <c r="U641" s="32"/>
      <c r="V641" s="32"/>
      <c r="W641" s="32"/>
      <c r="X641" s="32"/>
      <c r="Y641" s="32"/>
      <c r="Z641" s="32"/>
      <c r="AA641" s="32"/>
      <c r="AB641" s="32"/>
      <c r="AC641" s="32"/>
      <c r="AD641" s="32"/>
      <c r="AE641" s="32"/>
      <c r="AF641" s="32"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32" t="str">
        <f>IFERROR(__xludf.DUMMYFUNCTION("""COMPUTED_VALUE"""),"Land of Spira")</f>
        <v>Land of Spira</v>
      </c>
      <c r="AH641" s="32" t="b">
        <f>IFERROR(__xludf.DUMMYFUNCTION("""COMPUTED_VALUE"""),FALSE)</f>
        <v>0</v>
      </c>
      <c r="AI641" s="32"/>
      <c r="AJ641" s="32"/>
      <c r="AK641" s="32"/>
      <c r="AL641" s="32"/>
      <c r="AM641" s="32"/>
      <c r="AN641" s="32"/>
      <c r="AO641" s="32"/>
      <c r="AP641" s="32"/>
      <c r="AQ641" s="32"/>
      <c r="AR641" s="32"/>
      <c r="AS641" s="32"/>
      <c r="AT641" s="32"/>
      <c r="AU641" s="32"/>
      <c r="AV641" s="32"/>
      <c r="AW641" s="32"/>
      <c r="AX641" s="32"/>
    </row>
    <row r="642">
      <c r="A642" s="32" t="str">
        <f>IFERROR(__xludf.DUMMYFUNCTION("""COMPUTED_VALUE"""),"Elemental Scythe")</f>
        <v>Elemental Scythe</v>
      </c>
      <c r="B642" s="32" t="str">
        <f>IFERROR(__xludf.DUMMYFUNCTION("""COMPUTED_VALUE"""),"Hand")</f>
        <v>Hand</v>
      </c>
      <c r="C642" s="32"/>
      <c r="D642" s="32" t="str">
        <f>IFERROR(__xludf.DUMMYFUNCTION("""COMPUTED_VALUE"""),"Scythe")</f>
        <v>Scythe</v>
      </c>
      <c r="E642" s="32">
        <f>IFERROR(__xludf.DUMMYFUNCTION("""COMPUTED_VALUE"""),2000.0)</f>
        <v>2000</v>
      </c>
      <c r="F642" s="44">
        <f>IFERROR(__xludf.DUMMYFUNCTION("""COMPUTED_VALUE"""),1.99E8)</f>
        <v>199000000</v>
      </c>
      <c r="G642" s="32" t="str">
        <f>IFERROR(__xludf.DUMMYFUNCTION("""COMPUTED_VALUE"""),"DMG")</f>
        <v>DMG</v>
      </c>
      <c r="H642" s="32"/>
      <c r="I642" s="33">
        <f>IFERROR(__xludf.DUMMYFUNCTION("""COMPUTED_VALUE"""),20000.0)</f>
        <v>20000</v>
      </c>
      <c r="J642" s="33">
        <f>IFERROR(__xludf.DUMMYFUNCTION("""COMPUTED_VALUE"""),20000.0)</f>
        <v>20000</v>
      </c>
      <c r="K642" s="33">
        <f>IFERROR(__xludf.DUMMYFUNCTION("""COMPUTED_VALUE"""),20000.0)</f>
        <v>20000</v>
      </c>
      <c r="L642" s="33">
        <f>IFERROR(__xludf.DUMMYFUNCTION("""COMPUTED_VALUE"""),20000.0)</f>
        <v>20000</v>
      </c>
      <c r="M642" s="33">
        <f>IFERROR(__xludf.DUMMYFUNCTION("""COMPUTED_VALUE"""),20000.0)</f>
        <v>20000</v>
      </c>
      <c r="N642" s="32"/>
      <c r="O642" s="32"/>
      <c r="P642" s="32"/>
      <c r="Q642" s="32"/>
      <c r="R642" s="32"/>
      <c r="S642" s="32"/>
      <c r="T642" s="32"/>
      <c r="U642" s="32"/>
      <c r="V642" s="32"/>
      <c r="W642" s="32"/>
      <c r="X642" s="32"/>
      <c r="Y642" s="32"/>
      <c r="Z642" s="32"/>
      <c r="AA642" s="32"/>
      <c r="AB642" s="32"/>
      <c r="AC642" s="32"/>
      <c r="AD642" s="32"/>
      <c r="AE642" s="32"/>
      <c r="AF642" s="32" t="str">
        <f>IFERROR(__xludf.DUMMYFUNCTION("""COMPUTED_VALUE"""),"++This scythe is unnaffected by Immunities to fire, earth, nature, water, or storm.")</f>
        <v>++This scythe is unnaffected by Immunities to fire, earth, nature, water, or storm.</v>
      </c>
      <c r="AG642" s="32" t="str">
        <f>IFERROR(__xludf.DUMMYFUNCTION("""COMPUTED_VALUE"""),"Land of Spira")</f>
        <v>Land of Spira</v>
      </c>
      <c r="AH642" s="32" t="b">
        <f>IFERROR(__xludf.DUMMYFUNCTION("""COMPUTED_VALUE"""),FALSE)</f>
        <v>0</v>
      </c>
      <c r="AI642" s="32"/>
      <c r="AJ642" s="32"/>
      <c r="AK642" s="32"/>
      <c r="AL642" s="32"/>
      <c r="AM642" s="32"/>
      <c r="AN642" s="32"/>
      <c r="AO642" s="32"/>
      <c r="AP642" s="32"/>
      <c r="AQ642" s="32"/>
      <c r="AR642" s="32"/>
      <c r="AS642" s="32"/>
      <c r="AT642" s="32"/>
      <c r="AU642" s="32"/>
      <c r="AV642" s="32"/>
      <c r="AW642" s="32"/>
      <c r="AX642" s="32"/>
    </row>
    <row r="643">
      <c r="A643" s="32" t="str">
        <f>IFERROR(__xludf.DUMMYFUNCTION("""COMPUTED_VALUE"""),"Staff of the Elemental King of Water")</f>
        <v>Staff of the Elemental King of Water</v>
      </c>
      <c r="B643" s="32" t="str">
        <f>IFERROR(__xludf.DUMMYFUNCTION("""COMPUTED_VALUE"""),"Hand")</f>
        <v>Hand</v>
      </c>
      <c r="C643" s="32"/>
      <c r="D643" s="32" t="str">
        <f>IFERROR(__xludf.DUMMYFUNCTION("""COMPUTED_VALUE"""),"Staff")</f>
        <v>Staff</v>
      </c>
      <c r="E643" s="32">
        <f>IFERROR(__xludf.DUMMYFUNCTION("""COMPUTED_VALUE"""),1000.0)</f>
        <v>1000</v>
      </c>
      <c r="F643" s="44">
        <f>IFERROR(__xludf.DUMMYFUNCTION("""COMPUTED_VALUE"""),4.95E7)</f>
        <v>49500000</v>
      </c>
      <c r="G643" s="32" t="str">
        <f>IFERROR(__xludf.DUMMYFUNCTION("""COMPUTED_VALUE"""),"DMG")</f>
        <v>DMG</v>
      </c>
      <c r="H643" s="32"/>
      <c r="I643" s="32"/>
      <c r="J643" s="32"/>
      <c r="K643" s="33">
        <f>IFERROR(__xludf.DUMMYFUNCTION("""COMPUTED_VALUE"""),50000.0)</f>
        <v>50000</v>
      </c>
      <c r="L643" s="32"/>
      <c r="M643" s="32"/>
      <c r="N643" s="32"/>
      <c r="O643" s="32"/>
      <c r="P643" s="32"/>
      <c r="Q643" s="32"/>
      <c r="R643" s="32"/>
      <c r="S643" s="32"/>
      <c r="T643" s="32"/>
      <c r="U643" s="32"/>
      <c r="V643" s="32"/>
      <c r="W643" s="32"/>
      <c r="X643" s="32"/>
      <c r="Y643" s="32"/>
      <c r="Z643" s="32"/>
      <c r="AA643" s="32"/>
      <c r="AB643" s="32"/>
      <c r="AC643" s="32"/>
      <c r="AD643" s="32"/>
      <c r="AE643" s="32"/>
      <c r="AF643" s="32" t="str">
        <f>IFERROR(__xludf.DUMMYFUNCTION("""COMPUTED_VALUE"""),"++Summoned Water Elementals deal 5X water damage")</f>
        <v>++Summoned Water Elementals deal 5X water damage</v>
      </c>
      <c r="AG643" s="32" t="str">
        <f>IFERROR(__xludf.DUMMYFUNCTION("""COMPUTED_VALUE"""),"Land of Spira")</f>
        <v>Land of Spira</v>
      </c>
      <c r="AH643" s="32" t="b">
        <f>IFERROR(__xludf.DUMMYFUNCTION("""COMPUTED_VALUE"""),FALSE)</f>
        <v>0</v>
      </c>
      <c r="AI643" s="32"/>
      <c r="AJ643" s="32"/>
      <c r="AK643" s="32"/>
      <c r="AL643" s="32"/>
      <c r="AM643" s="32"/>
      <c r="AN643" s="32"/>
      <c r="AO643" s="32"/>
      <c r="AP643" s="32"/>
      <c r="AQ643" s="32"/>
      <c r="AR643" s="32"/>
      <c r="AS643" s="32"/>
      <c r="AT643" s="32"/>
      <c r="AU643" s="32"/>
      <c r="AV643" s="32"/>
      <c r="AW643" s="32"/>
      <c r="AX643" s="32"/>
    </row>
    <row r="644">
      <c r="A644" s="32" t="str">
        <f>IFERROR(__xludf.DUMMYFUNCTION("""COMPUTED_VALUE"""),"Bashe's Tail")</f>
        <v>Bashe's Tail</v>
      </c>
      <c r="B644" s="32" t="str">
        <f>IFERROR(__xludf.DUMMYFUNCTION("""COMPUTED_VALUE"""),"Legs")</f>
        <v>Legs</v>
      </c>
      <c r="C644" s="32"/>
      <c r="D644" s="32"/>
      <c r="E644" s="32">
        <f>IFERROR(__xludf.DUMMYFUNCTION("""COMPUTED_VALUE"""),800.0)</f>
        <v>800</v>
      </c>
      <c r="F644" s="44">
        <f>IFERROR(__xludf.DUMMYFUNCTION("""COMPUTED_VALUE"""),3.16E7)</f>
        <v>31600000</v>
      </c>
      <c r="G644" s="32" t="str">
        <f>IFERROR(__xludf.DUMMYFUNCTION("""COMPUTED_VALUE"""),"DEF")</f>
        <v>DEF</v>
      </c>
      <c r="H644" s="33">
        <f>IFERROR(__xludf.DUMMYFUNCTION("""COMPUTED_VALUE"""),40000.0)</f>
        <v>40000</v>
      </c>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t="str">
        <f>IFERROR(__xludf.DUMMYFUNCTION("""COMPUTED_VALUE"""),"++Smash - Allows you to attack with the tail as if it were a club weapon")</f>
        <v>++Smash - Allows you to attack with the tail as if it were a club weapon</v>
      </c>
      <c r="AG644" s="32" t="str">
        <f>IFERROR(__xludf.DUMMYFUNCTION("""COMPUTED_VALUE"""),"Land of Spira")</f>
        <v>Land of Spira</v>
      </c>
      <c r="AH644" s="32" t="b">
        <f>IFERROR(__xludf.DUMMYFUNCTION("""COMPUTED_VALUE"""),FALSE)</f>
        <v>0</v>
      </c>
      <c r="AI644" s="32"/>
      <c r="AJ644" s="32"/>
      <c r="AK644" s="32"/>
      <c r="AL644" s="32"/>
      <c r="AM644" s="32"/>
      <c r="AN644" s="32"/>
      <c r="AO644" s="32"/>
      <c r="AP644" s="32"/>
      <c r="AQ644" s="32"/>
      <c r="AR644" s="32"/>
      <c r="AS644" s="32"/>
      <c r="AT644" s="32"/>
      <c r="AU644" s="32"/>
      <c r="AV644" s="32"/>
      <c r="AW644" s="32"/>
      <c r="AX644" s="32"/>
    </row>
    <row r="645">
      <c r="A645" s="32" t="str">
        <f>IFERROR(__xludf.DUMMYFUNCTION("""COMPUTED_VALUE"""),"Bashe's Flute")</f>
        <v>Bashe's Flute</v>
      </c>
      <c r="B645" s="32" t="str">
        <f>IFERROR(__xludf.DUMMYFUNCTION("""COMPUTED_VALUE"""),"Hand")</f>
        <v>Hand</v>
      </c>
      <c r="C645" s="32"/>
      <c r="D645" s="32" t="str">
        <f>IFERROR(__xludf.DUMMYFUNCTION("""COMPUTED_VALUE"""),"Instrument")</f>
        <v>Instrument</v>
      </c>
      <c r="E645" s="32">
        <f>IFERROR(__xludf.DUMMYFUNCTION("""COMPUTED_VALUE"""),1000.0)</f>
        <v>1000</v>
      </c>
      <c r="F645" s="44">
        <f>IFERROR(__xludf.DUMMYFUNCTION("""COMPUTED_VALUE"""),4.95E7)</f>
        <v>49500000</v>
      </c>
      <c r="G645" s="32" t="str">
        <f>IFERROR(__xludf.DUMMYFUNCTION("""COMPUTED_VALUE"""),"DMG")</f>
        <v>DMG</v>
      </c>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3">
        <f>IFERROR(__xludf.DUMMYFUNCTION("""COMPUTED_VALUE"""),50000.0)</f>
        <v>50000</v>
      </c>
      <c r="AF645" s="32"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32" t="str">
        <f>IFERROR(__xludf.DUMMYFUNCTION("""COMPUTED_VALUE"""),"Land of Spira")</f>
        <v>Land of Spira</v>
      </c>
      <c r="AH645" s="32" t="b">
        <f>IFERROR(__xludf.DUMMYFUNCTION("""COMPUTED_VALUE"""),FALSE)</f>
        <v>0</v>
      </c>
      <c r="AI645" s="32"/>
      <c r="AJ645" s="32"/>
      <c r="AK645" s="32"/>
      <c r="AL645" s="32"/>
      <c r="AM645" s="32"/>
      <c r="AN645" s="32"/>
      <c r="AO645" s="32"/>
      <c r="AP645" s="32"/>
      <c r="AQ645" s="32"/>
      <c r="AR645" s="32"/>
      <c r="AS645" s="32"/>
      <c r="AT645" s="32"/>
      <c r="AU645" s="32"/>
      <c r="AV645" s="32"/>
      <c r="AW645" s="32"/>
      <c r="AX645" s="32"/>
    </row>
    <row r="646">
      <c r="A646" s="32" t="str">
        <f>IFERROR(__xludf.DUMMYFUNCTION("""COMPUTED_VALUE"""),"Grash's Favorite Length Of Iron")</f>
        <v>Grash's Favorite Length Of Iron</v>
      </c>
      <c r="B646" s="32" t="str">
        <f>IFERROR(__xludf.DUMMYFUNCTION("""COMPUTED_VALUE"""),"Hand")</f>
        <v>Hand</v>
      </c>
      <c r="C646" s="32"/>
      <c r="D646" s="32" t="str">
        <f>IFERROR(__xludf.DUMMYFUNCTION("""COMPUTED_VALUE"""),"Club")</f>
        <v>Club</v>
      </c>
      <c r="E646" s="32">
        <f>IFERROR(__xludf.DUMMYFUNCTION("""COMPUTED_VALUE"""),2000.0)</f>
        <v>2000</v>
      </c>
      <c r="F646" s="44">
        <f>IFERROR(__xludf.DUMMYFUNCTION("""COMPUTED_VALUE"""),1.99E8)</f>
        <v>199000000</v>
      </c>
      <c r="G646" s="32" t="str">
        <f>IFERROR(__xludf.DUMMYFUNCTION("""COMPUTED_VALUE"""),"DMG")</f>
        <v>DMG</v>
      </c>
      <c r="H646" s="32">
        <f>IFERROR(__xludf.DUMMYFUNCTION("""COMPUTED_VALUE"""),100000.0)</f>
        <v>100000</v>
      </c>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t="str">
        <f>IFERROR(__xludf.DUMMYFUNCTION("""COMPUTED_VALUE"""),"++When a Samurai Wields this weapon they get access to the ""Grash's Smashing Success"" Natural Power")</f>
        <v>++When a Samurai Wields this weapon they get access to the "Grash's Smashing Success" Natural Power</v>
      </c>
      <c r="AG646" s="32" t="str">
        <f>IFERROR(__xludf.DUMMYFUNCTION("""COMPUTED_VALUE"""),"Land of Spira")</f>
        <v>Land of Spira</v>
      </c>
      <c r="AH646" s="32" t="b">
        <f>IFERROR(__xludf.DUMMYFUNCTION("""COMPUTED_VALUE"""),FALSE)</f>
        <v>0</v>
      </c>
      <c r="AI646" s="32"/>
      <c r="AJ646" s="32"/>
      <c r="AK646" s="32"/>
      <c r="AL646" s="32"/>
      <c r="AM646" s="32"/>
      <c r="AN646" s="32"/>
      <c r="AO646" s="32"/>
      <c r="AP646" s="32"/>
      <c r="AQ646" s="32"/>
      <c r="AR646" s="32"/>
      <c r="AS646" s="32"/>
      <c r="AT646" s="32"/>
      <c r="AU646" s="32"/>
      <c r="AV646" s="32"/>
      <c r="AW646" s="32"/>
      <c r="AX646" s="32"/>
    </row>
    <row r="647">
      <c r="A647" s="32" t="str">
        <f>IFERROR(__xludf.DUMMYFUNCTION("""COMPUTED_VALUE"""),"Wolf Tooth Neclace")</f>
        <v>Wolf Tooth Neclace</v>
      </c>
      <c r="B647" s="32" t="str">
        <f>IFERROR(__xludf.DUMMYFUNCTION("""COMPUTED_VALUE"""),"Neck")</f>
        <v>Neck</v>
      </c>
      <c r="C647" s="32"/>
      <c r="D647" s="32"/>
      <c r="E647" s="32">
        <f>IFERROR(__xludf.DUMMYFUNCTION("""COMPUTED_VALUE"""),1.0)</f>
        <v>1</v>
      </c>
      <c r="F647" s="44">
        <f>IFERROR(__xludf.DUMMYFUNCTION("""COMPUTED_VALUE"""),0.0)</f>
        <v>0</v>
      </c>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32" t="str">
        <f>IFERROR(__xludf.DUMMYFUNCTION("""COMPUTED_VALUE"""),"Land of Spira")</f>
        <v>Land of Spira</v>
      </c>
      <c r="AH647" s="32" t="b">
        <f>IFERROR(__xludf.DUMMYFUNCTION("""COMPUTED_VALUE"""),FALSE)</f>
        <v>0</v>
      </c>
      <c r="AI647" s="32"/>
      <c r="AJ647" s="32"/>
      <c r="AK647" s="32"/>
      <c r="AL647" s="32"/>
      <c r="AM647" s="32"/>
      <c r="AN647" s="32"/>
      <c r="AO647" s="32"/>
      <c r="AP647" s="32"/>
      <c r="AQ647" s="32"/>
      <c r="AR647" s="32"/>
      <c r="AS647" s="32"/>
      <c r="AT647" s="32"/>
      <c r="AU647" s="32"/>
      <c r="AV647" s="32"/>
      <c r="AW647" s="32"/>
      <c r="AX647" s="32"/>
    </row>
    <row r="648">
      <c r="A648" s="32" t="str">
        <f>IFERROR(__xludf.DUMMYFUNCTION("""COMPUTED_VALUE"""),"Dragon Scale Necklace")</f>
        <v>Dragon Scale Necklace</v>
      </c>
      <c r="B648" s="32" t="str">
        <f>IFERROR(__xludf.DUMMYFUNCTION("""COMPUTED_VALUE"""),"Neck")</f>
        <v>Neck</v>
      </c>
      <c r="C648" s="32"/>
      <c r="D648" s="32"/>
      <c r="E648" s="32">
        <f>IFERROR(__xludf.DUMMYFUNCTION("""COMPUTED_VALUE"""),1.0)</f>
        <v>1</v>
      </c>
      <c r="F648" s="44">
        <f>IFERROR(__xludf.DUMMYFUNCTION("""COMPUTED_VALUE"""),0.0)</f>
        <v>0</v>
      </c>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32" t="str">
        <f>IFERROR(__xludf.DUMMYFUNCTION("""COMPUTED_VALUE"""),"Land of Spira")</f>
        <v>Land of Spira</v>
      </c>
      <c r="AH648" s="32" t="b">
        <f>IFERROR(__xludf.DUMMYFUNCTION("""COMPUTED_VALUE"""),FALSE)</f>
        <v>0</v>
      </c>
      <c r="AI648" s="32"/>
      <c r="AJ648" s="32"/>
      <c r="AK648" s="32"/>
      <c r="AL648" s="32"/>
      <c r="AM648" s="32"/>
      <c r="AN648" s="32"/>
      <c r="AO648" s="32"/>
      <c r="AP648" s="32"/>
      <c r="AQ648" s="32"/>
      <c r="AR648" s="32"/>
      <c r="AS648" s="32"/>
      <c r="AT648" s="32"/>
      <c r="AU648" s="32"/>
      <c r="AV648" s="32"/>
      <c r="AW648" s="32"/>
      <c r="AX648" s="32"/>
    </row>
    <row r="649">
      <c r="A649" s="32" t="str">
        <f>IFERROR(__xludf.DUMMYFUNCTION("""COMPUTED_VALUE"""),"Heavenly Necklace")</f>
        <v>Heavenly Necklace</v>
      </c>
      <c r="B649" s="32" t="str">
        <f>IFERROR(__xludf.DUMMYFUNCTION("""COMPUTED_VALUE"""),"Neck")</f>
        <v>Neck</v>
      </c>
      <c r="C649" s="32"/>
      <c r="D649" s="32"/>
      <c r="E649" s="32">
        <f>IFERROR(__xludf.DUMMYFUNCTION("""COMPUTED_VALUE"""),1.0)</f>
        <v>1</v>
      </c>
      <c r="F649" s="44">
        <f>IFERROR(__xludf.DUMMYFUNCTION("""COMPUTED_VALUE"""),0.0)</f>
        <v>0</v>
      </c>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32" t="str">
        <f>IFERROR(__xludf.DUMMYFUNCTION("""COMPUTED_VALUE"""),"Land of Spira")</f>
        <v>Land of Spira</v>
      </c>
      <c r="AH649" s="32" t="b">
        <f>IFERROR(__xludf.DUMMYFUNCTION("""COMPUTED_VALUE"""),FALSE)</f>
        <v>0</v>
      </c>
      <c r="AI649" s="32"/>
      <c r="AJ649" s="32"/>
      <c r="AK649" s="32"/>
      <c r="AL649" s="32"/>
      <c r="AM649" s="32"/>
      <c r="AN649" s="32"/>
      <c r="AO649" s="32"/>
      <c r="AP649" s="32"/>
      <c r="AQ649" s="32"/>
      <c r="AR649" s="32"/>
      <c r="AS649" s="32"/>
      <c r="AT649" s="32"/>
      <c r="AU649" s="32"/>
      <c r="AV649" s="32"/>
      <c r="AW649" s="32"/>
      <c r="AX649" s="32"/>
    </row>
    <row r="650">
      <c r="A650" s="32" t="str">
        <f>IFERROR(__xludf.DUMMYFUNCTION("""COMPUTED_VALUE"""),"Demonic Necklace")</f>
        <v>Demonic Necklace</v>
      </c>
      <c r="B650" s="32" t="str">
        <f>IFERROR(__xludf.DUMMYFUNCTION("""COMPUTED_VALUE"""),"Neck")</f>
        <v>Neck</v>
      </c>
      <c r="C650" s="32"/>
      <c r="D650" s="32"/>
      <c r="E650" s="32">
        <f>IFERROR(__xludf.DUMMYFUNCTION("""COMPUTED_VALUE"""),1.0)</f>
        <v>1</v>
      </c>
      <c r="F650" s="44">
        <f>IFERROR(__xludf.DUMMYFUNCTION("""COMPUTED_VALUE"""),0.0)</f>
        <v>0</v>
      </c>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32" t="str">
        <f>IFERROR(__xludf.DUMMYFUNCTION("""COMPUTED_VALUE"""),"Land of Spira")</f>
        <v>Land of Spira</v>
      </c>
      <c r="AH650" s="32" t="b">
        <f>IFERROR(__xludf.DUMMYFUNCTION("""COMPUTED_VALUE"""),FALSE)</f>
        <v>0</v>
      </c>
      <c r="AI650" s="32"/>
      <c r="AJ650" s="32"/>
      <c r="AK650" s="32"/>
      <c r="AL650" s="32"/>
      <c r="AM650" s="32"/>
      <c r="AN650" s="32"/>
      <c r="AO650" s="32"/>
      <c r="AP650" s="32"/>
      <c r="AQ650" s="32"/>
      <c r="AR650" s="32"/>
      <c r="AS650" s="32"/>
      <c r="AT650" s="32"/>
      <c r="AU650" s="32"/>
      <c r="AV650" s="32"/>
      <c r="AW650" s="32"/>
      <c r="AX650" s="32"/>
    </row>
    <row r="651">
      <c r="A651" s="32" t="str">
        <f>IFERROR(__xludf.DUMMYFUNCTION("""COMPUTED_VALUE"""),"The Cloak of Gévaudan")</f>
        <v>The Cloak of Gévaudan</v>
      </c>
      <c r="B651" s="32" t="str">
        <f>IFERROR(__xludf.DUMMYFUNCTION("""COMPUTED_VALUE"""),"Shoulders")</f>
        <v>Shoulders</v>
      </c>
      <c r="C651" s="32"/>
      <c r="D651" s="32"/>
      <c r="E651" s="32">
        <f>IFERROR(__xludf.DUMMYFUNCTION("""COMPUTED_VALUE"""),800.0)</f>
        <v>800</v>
      </c>
      <c r="F651" s="44">
        <f>IFERROR(__xludf.DUMMYFUNCTION("""COMPUTED_VALUE"""),3.16E7)</f>
        <v>31600000</v>
      </c>
      <c r="G651" s="32" t="str">
        <f>IFERROR(__xludf.DUMMYFUNCTION("""COMPUTED_VALUE"""),"DEF")</f>
        <v>DEF</v>
      </c>
      <c r="H651" s="32">
        <f>IFERROR(__xludf.DUMMYFUNCTION("""COMPUTED_VALUE"""),25000.0)</f>
        <v>25000</v>
      </c>
      <c r="I651" s="32">
        <f>IFERROR(__xludf.DUMMYFUNCTION("""COMPUTED_VALUE"""),15000.0)</f>
        <v>15000</v>
      </c>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t="str">
        <f>IFERROR(__xludf.DUMMYFUNCTION("""COMPUTED_VALUE"""),"++The warm coat grants you immunity to freezing.")</f>
        <v>++The warm coat grants you immunity to freezing.</v>
      </c>
      <c r="AG651" s="32" t="str">
        <f>IFERROR(__xludf.DUMMYFUNCTION("""COMPUTED_VALUE"""),"Land of Spira")</f>
        <v>Land of Spira</v>
      </c>
      <c r="AH651" s="32" t="b">
        <f>IFERROR(__xludf.DUMMYFUNCTION("""COMPUTED_VALUE"""),FALSE)</f>
        <v>0</v>
      </c>
      <c r="AI651" s="32"/>
      <c r="AJ651" s="32"/>
      <c r="AK651" s="32"/>
      <c r="AL651" s="32"/>
      <c r="AM651" s="32"/>
      <c r="AN651" s="32"/>
      <c r="AO651" s="32"/>
      <c r="AP651" s="32"/>
      <c r="AQ651" s="32"/>
      <c r="AR651" s="32"/>
      <c r="AS651" s="32"/>
      <c r="AT651" s="32"/>
      <c r="AU651" s="32"/>
      <c r="AV651" s="32"/>
      <c r="AW651" s="32"/>
      <c r="AX651" s="32"/>
    </row>
    <row r="652">
      <c r="A652" s="32" t="str">
        <f>IFERROR(__xludf.DUMMYFUNCTION("""COMPUTED_VALUE"""),"Spirit Glyph")</f>
        <v>Spirit Glyph</v>
      </c>
      <c r="B652" s="32" t="str">
        <f>IFERROR(__xludf.DUMMYFUNCTION("""COMPUTED_VALUE"""),"Ring")</f>
        <v>Ring</v>
      </c>
      <c r="C652" s="32"/>
      <c r="D652" s="32"/>
      <c r="E652" s="32">
        <f>IFERROR(__xludf.DUMMYFUNCTION("""COMPUTED_VALUE"""),1.0)</f>
        <v>1</v>
      </c>
      <c r="F652" s="44">
        <f>IFERROR(__xludf.DUMMYFUNCTION("""COMPUTED_VALUE"""),0.0)</f>
        <v>0</v>
      </c>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32" t="str">
        <f>IFERROR(__xludf.DUMMYFUNCTION("""COMPUTED_VALUE"""),"Land of Spira")</f>
        <v>Land of Spira</v>
      </c>
      <c r="AH652" s="32" t="b">
        <f>IFERROR(__xludf.DUMMYFUNCTION("""COMPUTED_VALUE"""),FALSE)</f>
        <v>0</v>
      </c>
      <c r="AI652" s="32"/>
      <c r="AJ652" s="32"/>
      <c r="AK652" s="32"/>
      <c r="AL652" s="32"/>
      <c r="AM652" s="32"/>
      <c r="AN652" s="32"/>
      <c r="AO652" s="32"/>
      <c r="AP652" s="32"/>
      <c r="AQ652" s="32"/>
      <c r="AR652" s="32"/>
      <c r="AS652" s="32"/>
      <c r="AT652" s="32"/>
      <c r="AU652" s="32"/>
      <c r="AV652" s="32"/>
      <c r="AW652" s="32"/>
      <c r="AX652" s="32"/>
    </row>
    <row r="653">
      <c r="A653" s="32" t="str">
        <f>IFERROR(__xludf.DUMMYFUNCTION("""COMPUTED_VALUE"""),"Necromantic Sigil")</f>
        <v>Necromantic Sigil</v>
      </c>
      <c r="B653" s="32" t="str">
        <f>IFERROR(__xludf.DUMMYFUNCTION("""COMPUTED_VALUE"""),"Ring")</f>
        <v>Ring</v>
      </c>
      <c r="C653" s="32"/>
      <c r="D653" s="32"/>
      <c r="E653" s="32">
        <f>IFERROR(__xludf.DUMMYFUNCTION("""COMPUTED_VALUE"""),1.0)</f>
        <v>1</v>
      </c>
      <c r="F653" s="44">
        <f>IFERROR(__xludf.DUMMYFUNCTION("""COMPUTED_VALUE"""),0.0)</f>
        <v>0</v>
      </c>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32" t="str">
        <f>IFERROR(__xludf.DUMMYFUNCTION("""COMPUTED_VALUE"""),"Land of Spira")</f>
        <v>Land of Spira</v>
      </c>
      <c r="AH653" s="32" t="b">
        <f>IFERROR(__xludf.DUMMYFUNCTION("""COMPUTED_VALUE"""),FALSE)</f>
        <v>0</v>
      </c>
      <c r="AI653" s="32"/>
      <c r="AJ653" s="32"/>
      <c r="AK653" s="32"/>
      <c r="AL653" s="32"/>
      <c r="AM653" s="32"/>
      <c r="AN653" s="32"/>
      <c r="AO653" s="32"/>
      <c r="AP653" s="32"/>
      <c r="AQ653" s="32"/>
      <c r="AR653" s="32"/>
      <c r="AS653" s="32"/>
      <c r="AT653" s="32"/>
      <c r="AU653" s="32"/>
      <c r="AV653" s="32"/>
      <c r="AW653" s="32"/>
      <c r="AX653" s="32"/>
    </row>
    <row r="654">
      <c r="A654" s="32" t="str">
        <f>IFERROR(__xludf.DUMMYFUNCTION("""COMPUTED_VALUE"""),"Dragonslayer")</f>
        <v>Dragonslayer</v>
      </c>
      <c r="B654" s="32" t="str">
        <f>IFERROR(__xludf.DUMMYFUNCTION("""COMPUTED_VALUE"""),"Hand")</f>
        <v>Hand</v>
      </c>
      <c r="C654" s="32" t="str">
        <f>IFERROR(__xludf.DUMMYFUNCTION("""COMPUTED_VALUE"""),"It was too big to be called a sword. Massive, thick, heavy, and far too rough. Indeed, it was a heap of raw iron.")</f>
        <v>It was too big to be called a sword. Massive, thick, heavy, and far too rough. Indeed, it was a heap of raw iron.</v>
      </c>
      <c r="D654" s="32" t="str">
        <f>IFERROR(__xludf.DUMMYFUNCTION("""COMPUTED_VALUE"""),"Sword")</f>
        <v>Sword</v>
      </c>
      <c r="E654" s="32">
        <f>IFERROR(__xludf.DUMMYFUNCTION("""COMPUTED_VALUE"""),2000.0)</f>
        <v>2000</v>
      </c>
      <c r="F654" s="44">
        <f>IFERROR(__xludf.DUMMYFUNCTION("""COMPUTED_VALUE"""),1.99E8)</f>
        <v>199000000</v>
      </c>
      <c r="G654" s="32" t="str">
        <f>IFERROR(__xludf.DUMMYFUNCTION("""COMPUTED_VALUE"""),"DMG")</f>
        <v>DMG</v>
      </c>
      <c r="H654" s="32">
        <f>IFERROR(__xludf.DUMMYFUNCTION("""COMPUTED_VALUE"""),100000.0)</f>
        <v>100000</v>
      </c>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t="str">
        <f>IFERROR(__xludf.DUMMYFUNCTION("""COMPUTED_VALUE"""),"++Deals X10 damage when fighting a Dragon or Monstrosity")</f>
        <v>++Deals X10 damage when fighting a Dragon or Monstrosity</v>
      </c>
      <c r="AG654" s="32" t="str">
        <f>IFERROR(__xludf.DUMMYFUNCTION("""COMPUTED_VALUE"""),"Land of Spira")</f>
        <v>Land of Spira</v>
      </c>
      <c r="AH654" s="32" t="b">
        <f>IFERROR(__xludf.DUMMYFUNCTION("""COMPUTED_VALUE"""),FALSE)</f>
        <v>0</v>
      </c>
      <c r="AI654" s="32"/>
      <c r="AJ654" s="32"/>
      <c r="AK654" s="32"/>
      <c r="AL654" s="32"/>
      <c r="AM654" s="32"/>
      <c r="AN654" s="32"/>
      <c r="AO654" s="32"/>
      <c r="AP654" s="32"/>
      <c r="AQ654" s="32"/>
      <c r="AR654" s="32"/>
      <c r="AS654" s="32"/>
      <c r="AT654" s="32"/>
      <c r="AU654" s="32"/>
      <c r="AV654" s="32"/>
      <c r="AW654" s="32"/>
      <c r="AX654" s="32"/>
    </row>
    <row r="655">
      <c r="A655" s="32" t="str">
        <f>IFERROR(__xludf.DUMMYFUNCTION("""COMPUTED_VALUE"""),"Rusted Halberd")</f>
        <v>Rusted Halberd</v>
      </c>
      <c r="B655" s="32" t="str">
        <f>IFERROR(__xludf.DUMMYFUNCTION("""COMPUTED_VALUE"""),"Hand")</f>
        <v>Hand</v>
      </c>
      <c r="C655" s="32"/>
      <c r="D655" s="32" t="str">
        <f>IFERROR(__xludf.DUMMYFUNCTION("""COMPUTED_VALUE"""),"Spear")</f>
        <v>Spear</v>
      </c>
      <c r="E655" s="32">
        <f>IFERROR(__xludf.DUMMYFUNCTION("""COMPUTED_VALUE"""),100.0)</f>
        <v>100</v>
      </c>
      <c r="F655" s="44">
        <f>IFERROR(__xludf.DUMMYFUNCTION("""COMPUTED_VALUE"""),450000.0)</f>
        <v>450000</v>
      </c>
      <c r="G655" s="32" t="str">
        <f>IFERROR(__xludf.DUMMYFUNCTION("""COMPUTED_VALUE"""),"DMG")</f>
        <v>DMG</v>
      </c>
      <c r="H655" s="32">
        <f>IFERROR(__xludf.DUMMYFUNCTION("""COMPUTED_VALUE"""),5000.0)</f>
        <v>5000</v>
      </c>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t="str">
        <f>IFERROR(__xludf.DUMMYFUNCTION("""COMPUTED_VALUE"""),"Land of Spira")</f>
        <v>Land of Spira</v>
      </c>
      <c r="AH655" s="32" t="b">
        <f>IFERROR(__xludf.DUMMYFUNCTION("""COMPUTED_VALUE"""),FALSE)</f>
        <v>0</v>
      </c>
      <c r="AI655" s="32"/>
      <c r="AJ655" s="32"/>
      <c r="AK655" s="32"/>
      <c r="AL655" s="32"/>
      <c r="AM655" s="32"/>
      <c r="AN655" s="32"/>
      <c r="AO655" s="32"/>
      <c r="AP655" s="32"/>
      <c r="AQ655" s="32"/>
      <c r="AR655" s="32"/>
      <c r="AS655" s="32"/>
      <c r="AT655" s="32"/>
      <c r="AU655" s="32"/>
      <c r="AV655" s="32"/>
      <c r="AW655" s="32"/>
      <c r="AX655" s="32"/>
    </row>
    <row r="656">
      <c r="A656" s="32" t="str">
        <f>IFERROR(__xludf.DUMMYFUNCTION("""COMPUTED_VALUE"""),"Diseased Rapier")</f>
        <v>Diseased Rapier</v>
      </c>
      <c r="B656" s="32" t="str">
        <f>IFERROR(__xludf.DUMMYFUNCTION("""COMPUTED_VALUE"""),"Hand")</f>
        <v>Hand</v>
      </c>
      <c r="C656" s="32"/>
      <c r="D656" s="32" t="str">
        <f>IFERROR(__xludf.DUMMYFUNCTION("""COMPUTED_VALUE"""),"Sword")</f>
        <v>Sword</v>
      </c>
      <c r="E656" s="32">
        <f>IFERROR(__xludf.DUMMYFUNCTION("""COMPUTED_VALUE"""),50.0)</f>
        <v>50</v>
      </c>
      <c r="F656" s="44">
        <f>IFERROR(__xludf.DUMMYFUNCTION("""COMPUTED_VALUE"""),100000.0)</f>
        <v>100000</v>
      </c>
      <c r="G656" s="32" t="str">
        <f>IFERROR(__xludf.DUMMYFUNCTION("""COMPUTED_VALUE"""),"DMG")</f>
        <v>DMG</v>
      </c>
      <c r="H656" s="32">
        <f>IFERROR(__xludf.DUMMYFUNCTION("""COMPUTED_VALUE"""),2500.0)</f>
        <v>2500</v>
      </c>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t="str">
        <f>IFERROR(__xludf.DUMMYFUNCTION("""COMPUTED_VALUE"""),"++15% chance to inflict the target with a random non-pemanent disease")</f>
        <v>++15% chance to inflict the target with a random non-pemanent disease</v>
      </c>
      <c r="AG656" s="32" t="str">
        <f>IFERROR(__xludf.DUMMYFUNCTION("""COMPUTED_VALUE"""),"Land of Spira")</f>
        <v>Land of Spira</v>
      </c>
      <c r="AH656" s="32" t="b">
        <f>IFERROR(__xludf.DUMMYFUNCTION("""COMPUTED_VALUE"""),FALSE)</f>
        <v>0</v>
      </c>
      <c r="AI656" s="32"/>
      <c r="AJ656" s="32"/>
      <c r="AK656" s="32"/>
      <c r="AL656" s="32"/>
      <c r="AM656" s="32"/>
      <c r="AN656" s="32"/>
      <c r="AO656" s="32"/>
      <c r="AP656" s="32"/>
      <c r="AQ656" s="32"/>
      <c r="AR656" s="32"/>
      <c r="AS656" s="32"/>
      <c r="AT656" s="32"/>
      <c r="AU656" s="32"/>
      <c r="AV656" s="32"/>
      <c r="AW656" s="32"/>
      <c r="AX656" s="32"/>
    </row>
    <row r="657">
      <c r="A657" s="32" t="str">
        <f>IFERROR(__xludf.DUMMYFUNCTION("""COMPUTED_VALUE"""),"Symbol of Greed")</f>
        <v>Symbol of Greed</v>
      </c>
      <c r="B657" s="32" t="str">
        <f>IFERROR(__xludf.DUMMYFUNCTION("""COMPUTED_VALUE"""),"Finger")</f>
        <v>Finger</v>
      </c>
      <c r="C657" s="32"/>
      <c r="D657" s="32"/>
      <c r="E657" s="32">
        <f>IFERROR(__xludf.DUMMYFUNCTION("""COMPUTED_VALUE"""),1.0)</f>
        <v>1</v>
      </c>
      <c r="F657" s="44">
        <f>IFERROR(__xludf.DUMMYFUNCTION("""COMPUTED_VALUE"""),0.0)</f>
        <v>0</v>
      </c>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32" t="str">
        <f>IFERROR(__xludf.DUMMYFUNCTION("""COMPUTED_VALUE"""),"Land of Spira")</f>
        <v>Land of Spira</v>
      </c>
      <c r="AH657" s="32" t="b">
        <f>IFERROR(__xludf.DUMMYFUNCTION("""COMPUTED_VALUE"""),FALSE)</f>
        <v>0</v>
      </c>
      <c r="AI657" s="32"/>
      <c r="AJ657" s="32"/>
      <c r="AK657" s="32"/>
      <c r="AL657" s="32"/>
      <c r="AM657" s="32"/>
      <c r="AN657" s="32"/>
      <c r="AO657" s="32"/>
      <c r="AP657" s="32"/>
      <c r="AQ657" s="32"/>
      <c r="AR657" s="32"/>
      <c r="AS657" s="32"/>
      <c r="AT657" s="32"/>
      <c r="AU657" s="32"/>
      <c r="AV657" s="32"/>
      <c r="AW657" s="32"/>
      <c r="AX657" s="32"/>
    </row>
    <row r="658">
      <c r="A658" s="32" t="str">
        <f>IFERROR(__xludf.DUMMYFUNCTION("""COMPUTED_VALUE"""),"Enchanted Quiver")</f>
        <v>Enchanted Quiver</v>
      </c>
      <c r="B658" s="32" t="str">
        <f>IFERROR(__xludf.DUMMYFUNCTION("""COMPUTED_VALUE"""),"Shoulders")</f>
        <v>Shoulders</v>
      </c>
      <c r="C658" s="32"/>
      <c r="D658" s="32"/>
      <c r="E658" s="32">
        <f>IFERROR(__xludf.DUMMYFUNCTION("""COMPUTED_VALUE"""),1.0)</f>
        <v>1</v>
      </c>
      <c r="F658" s="44">
        <f>IFERROR(__xludf.DUMMYFUNCTION("""COMPUTED_VALUE"""),0.0)</f>
        <v>0</v>
      </c>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t="str">
        <f>IFERROR(__xludf.DUMMYFUNCTION("""COMPUTED_VALUE"""),"++Magic Arrow - ++5 to all attack rolls with a bow +-(Archer Class Only)")</f>
        <v>++Magic Arrow - ++5 to all attack rolls with a bow +-(Archer Class Only)</v>
      </c>
      <c r="AG658" s="32" t="str">
        <f>IFERROR(__xludf.DUMMYFUNCTION("""COMPUTED_VALUE"""),"Land of Spira")</f>
        <v>Land of Spira</v>
      </c>
      <c r="AH658" s="32" t="b">
        <f>IFERROR(__xludf.DUMMYFUNCTION("""COMPUTED_VALUE"""),FALSE)</f>
        <v>0</v>
      </c>
      <c r="AI658" s="32"/>
      <c r="AJ658" s="32"/>
      <c r="AK658" s="32"/>
      <c r="AL658" s="32"/>
      <c r="AM658" s="32"/>
      <c r="AN658" s="32"/>
      <c r="AO658" s="32"/>
      <c r="AP658" s="32"/>
      <c r="AQ658" s="32"/>
      <c r="AR658" s="32"/>
      <c r="AS658" s="32"/>
      <c r="AT658" s="32"/>
      <c r="AU658" s="32"/>
      <c r="AV658" s="32"/>
      <c r="AW658" s="32"/>
      <c r="AX658" s="32"/>
    </row>
    <row r="659">
      <c r="A659" s="32" t="str">
        <f>IFERROR(__xludf.DUMMYFUNCTION("""COMPUTED_VALUE"""),"Ring of the Siren")</f>
        <v>Ring of the Siren</v>
      </c>
      <c r="B659" s="32" t="str">
        <f>IFERROR(__xludf.DUMMYFUNCTION("""COMPUTED_VALUE"""),"Finger")</f>
        <v>Finger</v>
      </c>
      <c r="C659" s="32"/>
      <c r="D659" s="32"/>
      <c r="E659" s="32">
        <f>IFERROR(__xludf.DUMMYFUNCTION("""COMPUTED_VALUE"""),1.0)</f>
        <v>1</v>
      </c>
      <c r="F659" s="44">
        <f>IFERROR(__xludf.DUMMYFUNCTION("""COMPUTED_VALUE"""),0.0)</f>
        <v>0</v>
      </c>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32" t="str">
        <f>IFERROR(__xludf.DUMMYFUNCTION("""COMPUTED_VALUE"""),"Land of Spira")</f>
        <v>Land of Spira</v>
      </c>
      <c r="AH659" s="32" t="b">
        <f>IFERROR(__xludf.DUMMYFUNCTION("""COMPUTED_VALUE"""),FALSE)</f>
        <v>0</v>
      </c>
      <c r="AI659" s="32"/>
      <c r="AJ659" s="32"/>
      <c r="AK659" s="32"/>
      <c r="AL659" s="32"/>
      <c r="AM659" s="32"/>
      <c r="AN659" s="32"/>
      <c r="AO659" s="32"/>
      <c r="AP659" s="32"/>
      <c r="AQ659" s="32"/>
      <c r="AR659" s="32"/>
      <c r="AS659" s="32"/>
      <c r="AT659" s="32"/>
      <c r="AU659" s="32"/>
      <c r="AV659" s="32"/>
      <c r="AW659" s="32"/>
      <c r="AX659" s="32"/>
    </row>
    <row r="660">
      <c r="A660" s="32" t="str">
        <f>IFERROR(__xludf.DUMMYFUNCTION("""COMPUTED_VALUE"""),"Amulet of The Berserker")</f>
        <v>Amulet of The Berserker</v>
      </c>
      <c r="B660" s="32" t="str">
        <f>IFERROR(__xludf.DUMMYFUNCTION("""COMPUTED_VALUE"""),"Neck")</f>
        <v>Neck</v>
      </c>
      <c r="C660" s="32"/>
      <c r="D660" s="32"/>
      <c r="E660" s="32">
        <f>IFERROR(__xludf.DUMMYFUNCTION("""COMPUTED_VALUE"""),1.0)</f>
        <v>1</v>
      </c>
      <c r="F660" s="44">
        <f>IFERROR(__xludf.DUMMYFUNCTION("""COMPUTED_VALUE"""),0.0)</f>
        <v>0</v>
      </c>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t="str">
        <f>IFERROR(__xludf.DUMMYFUNCTION("""COMPUTED_VALUE"""),"++Berserk - When attacking or being attacked gain 1 stack of Insanity +-(Brawler Class Only)")</f>
        <v>++Berserk - When attacking or being attacked gain 1 stack of Insanity +-(Brawler Class Only)</v>
      </c>
      <c r="AG660" s="32" t="str">
        <f>IFERROR(__xludf.DUMMYFUNCTION("""COMPUTED_VALUE"""),"Land of Spira")</f>
        <v>Land of Spira</v>
      </c>
      <c r="AH660" s="32" t="b">
        <f>IFERROR(__xludf.DUMMYFUNCTION("""COMPUTED_VALUE"""),FALSE)</f>
        <v>0</v>
      </c>
      <c r="AI660" s="32"/>
      <c r="AJ660" s="32"/>
      <c r="AK660" s="32"/>
      <c r="AL660" s="32"/>
      <c r="AM660" s="32"/>
      <c r="AN660" s="32"/>
      <c r="AO660" s="32"/>
      <c r="AP660" s="32"/>
      <c r="AQ660" s="32"/>
      <c r="AR660" s="32"/>
      <c r="AS660" s="32"/>
      <c r="AT660" s="32"/>
      <c r="AU660" s="32"/>
      <c r="AV660" s="32"/>
      <c r="AW660" s="32"/>
      <c r="AX660" s="32"/>
    </row>
    <row r="661">
      <c r="A661" s="32" t="str">
        <f>IFERROR(__xludf.DUMMYFUNCTION("""COMPUTED_VALUE"""),"Mask of the Cultist")</f>
        <v>Mask of the Cultist</v>
      </c>
      <c r="B661" s="32" t="str">
        <f>IFERROR(__xludf.DUMMYFUNCTION("""COMPUTED_VALUE"""),"Head")</f>
        <v>Head</v>
      </c>
      <c r="C661" s="32"/>
      <c r="D661" s="32"/>
      <c r="E661" s="32">
        <f>IFERROR(__xludf.DUMMYFUNCTION("""COMPUTED_VALUE"""),1.0)</f>
        <v>1</v>
      </c>
      <c r="F661" s="44">
        <f>IFERROR(__xludf.DUMMYFUNCTION("""COMPUTED_VALUE"""),0.0)</f>
        <v>0</v>
      </c>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32" t="str">
        <f>IFERROR(__xludf.DUMMYFUNCTION("""COMPUTED_VALUE"""),"Land of Spira")</f>
        <v>Land of Spira</v>
      </c>
      <c r="AH661" s="32" t="b">
        <f>IFERROR(__xludf.DUMMYFUNCTION("""COMPUTED_VALUE"""),FALSE)</f>
        <v>0</v>
      </c>
      <c r="AI661" s="32"/>
      <c r="AJ661" s="32"/>
      <c r="AK661" s="32"/>
      <c r="AL661" s="32"/>
      <c r="AM661" s="32"/>
      <c r="AN661" s="32"/>
      <c r="AO661" s="32"/>
      <c r="AP661" s="32"/>
      <c r="AQ661" s="32"/>
      <c r="AR661" s="32"/>
      <c r="AS661" s="32"/>
      <c r="AT661" s="32"/>
      <c r="AU661" s="32"/>
      <c r="AV661" s="32"/>
      <c r="AW661" s="32"/>
      <c r="AX661" s="32"/>
    </row>
    <row r="662">
      <c r="A662" s="32" t="str">
        <f>IFERROR(__xludf.DUMMYFUNCTION("""COMPUTED_VALUE"""),"""Natural"" Cologne")</f>
        <v>"Natural" Cologne</v>
      </c>
      <c r="B662" s="32" t="str">
        <f>IFERROR(__xludf.DUMMYFUNCTION("""COMPUTED_VALUE"""),"Neck")</f>
        <v>Neck</v>
      </c>
      <c r="C662" s="32"/>
      <c r="D662" s="32"/>
      <c r="E662" s="32">
        <f>IFERROR(__xludf.DUMMYFUNCTION("""COMPUTED_VALUE"""),1.0)</f>
        <v>1</v>
      </c>
      <c r="F662" s="44">
        <f>IFERROR(__xludf.DUMMYFUNCTION("""COMPUTED_VALUE"""),0.0)</f>
        <v>0</v>
      </c>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32" t="str">
        <f>IFERROR(__xludf.DUMMYFUNCTION("""COMPUTED_VALUE"""),"Land of Spira")</f>
        <v>Land of Spira</v>
      </c>
      <c r="AH662" s="32" t="b">
        <f>IFERROR(__xludf.DUMMYFUNCTION("""COMPUTED_VALUE"""),FALSE)</f>
        <v>0</v>
      </c>
      <c r="AI662" s="32"/>
      <c r="AJ662" s="32"/>
      <c r="AK662" s="32"/>
      <c r="AL662" s="32"/>
      <c r="AM662" s="32"/>
      <c r="AN662" s="32"/>
      <c r="AO662" s="32"/>
      <c r="AP662" s="32"/>
      <c r="AQ662" s="32"/>
      <c r="AR662" s="32"/>
      <c r="AS662" s="32"/>
      <c r="AT662" s="32"/>
      <c r="AU662" s="32"/>
      <c r="AV662" s="32"/>
      <c r="AW662" s="32"/>
      <c r="AX662" s="32"/>
    </row>
    <row r="663">
      <c r="A663" s="32" t="str">
        <f>IFERROR(__xludf.DUMMYFUNCTION("""COMPUTED_VALUE"""),"Bonded Ring")</f>
        <v>Bonded Ring</v>
      </c>
      <c r="B663" s="32" t="str">
        <f>IFERROR(__xludf.DUMMYFUNCTION("""COMPUTED_VALUE"""),"Finger")</f>
        <v>Finger</v>
      </c>
      <c r="C663" s="32"/>
      <c r="D663" s="32"/>
      <c r="E663" s="32">
        <f>IFERROR(__xludf.DUMMYFUNCTION("""COMPUTED_VALUE"""),1.0)</f>
        <v>1</v>
      </c>
      <c r="F663" s="44">
        <f>IFERROR(__xludf.DUMMYFUNCTION("""COMPUTED_VALUE"""),0.0)</f>
        <v>0</v>
      </c>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32" t="str">
        <f>IFERROR(__xludf.DUMMYFUNCTION("""COMPUTED_VALUE"""),"Land of Spira")</f>
        <v>Land of Spira</v>
      </c>
      <c r="AH663" s="32" t="b">
        <f>IFERROR(__xludf.DUMMYFUNCTION("""COMPUTED_VALUE"""),FALSE)</f>
        <v>0</v>
      </c>
      <c r="AI663" s="32"/>
      <c r="AJ663" s="32"/>
      <c r="AK663" s="32"/>
      <c r="AL663" s="32"/>
      <c r="AM663" s="32"/>
      <c r="AN663" s="32"/>
      <c r="AO663" s="32"/>
      <c r="AP663" s="32"/>
      <c r="AQ663" s="32"/>
      <c r="AR663" s="32"/>
      <c r="AS663" s="32"/>
      <c r="AT663" s="32"/>
      <c r="AU663" s="32"/>
      <c r="AV663" s="32"/>
      <c r="AW663" s="32"/>
      <c r="AX663" s="32"/>
    </row>
    <row r="664">
      <c r="A664" s="32" t="str">
        <f>IFERROR(__xludf.DUMMYFUNCTION("""COMPUTED_VALUE"""),"Deadeye Brooch")</f>
        <v>Deadeye Brooch</v>
      </c>
      <c r="B664" s="32" t="str">
        <f>IFERROR(__xludf.DUMMYFUNCTION("""COMPUTED_VALUE"""),"Neck")</f>
        <v>Neck</v>
      </c>
      <c r="C664" s="32"/>
      <c r="D664" s="32"/>
      <c r="E664" s="32">
        <f>IFERROR(__xludf.DUMMYFUNCTION("""COMPUTED_VALUE"""),1.0)</f>
        <v>1</v>
      </c>
      <c r="F664" s="44">
        <f>IFERROR(__xludf.DUMMYFUNCTION("""COMPUTED_VALUE"""),0.0)</f>
        <v>0</v>
      </c>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32" t="str">
        <f>IFERROR(__xludf.DUMMYFUNCTION("""COMPUTED_VALUE"""),"Land of Spira")</f>
        <v>Land of Spira</v>
      </c>
      <c r="AH664" s="32" t="b">
        <f>IFERROR(__xludf.DUMMYFUNCTION("""COMPUTED_VALUE"""),FALSE)</f>
        <v>0</v>
      </c>
      <c r="AI664" s="32"/>
      <c r="AJ664" s="32"/>
      <c r="AK664" s="32"/>
      <c r="AL664" s="32"/>
      <c r="AM664" s="32"/>
      <c r="AN664" s="32"/>
      <c r="AO664" s="32"/>
      <c r="AP664" s="32"/>
      <c r="AQ664" s="32"/>
      <c r="AR664" s="32"/>
      <c r="AS664" s="32"/>
      <c r="AT664" s="32"/>
      <c r="AU664" s="32"/>
      <c r="AV664" s="32"/>
      <c r="AW664" s="32"/>
      <c r="AX664" s="32"/>
    </row>
    <row r="665">
      <c r="A665" s="32" t="str">
        <f>IFERROR(__xludf.DUMMYFUNCTION("""COMPUTED_VALUE"""),"Tool Kit")</f>
        <v>Tool Kit</v>
      </c>
      <c r="B665" s="32" t="str">
        <f>IFERROR(__xludf.DUMMYFUNCTION("""COMPUTED_VALUE"""),"Ring")</f>
        <v>Ring</v>
      </c>
      <c r="C665" s="32"/>
      <c r="D665" s="32"/>
      <c r="E665" s="32">
        <f>IFERROR(__xludf.DUMMYFUNCTION("""COMPUTED_VALUE"""),1.0)</f>
        <v>1</v>
      </c>
      <c r="F665" s="44">
        <f>IFERROR(__xludf.DUMMYFUNCTION("""COMPUTED_VALUE"""),0.0)</f>
        <v>0</v>
      </c>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t="str">
        <f>IFERROR(__xludf.DUMMYFUNCTION("""COMPUTED_VALUE"""),"++The Right Tool For The Job - once per dungeon you are guaranteed to disable a trap +-(Hunter Class Only)")</f>
        <v>++The Right Tool For The Job - once per dungeon you are guaranteed to disable a trap +-(Hunter Class Only)</v>
      </c>
      <c r="AG665" s="32" t="str">
        <f>IFERROR(__xludf.DUMMYFUNCTION("""COMPUTED_VALUE"""),"Land of Spira")</f>
        <v>Land of Spira</v>
      </c>
      <c r="AH665" s="32" t="b">
        <f>IFERROR(__xludf.DUMMYFUNCTION("""COMPUTED_VALUE"""),FALSE)</f>
        <v>0</v>
      </c>
      <c r="AI665" s="32"/>
      <c r="AJ665" s="32"/>
      <c r="AK665" s="32"/>
      <c r="AL665" s="32"/>
      <c r="AM665" s="32"/>
      <c r="AN665" s="32"/>
      <c r="AO665" s="32"/>
      <c r="AP665" s="32"/>
      <c r="AQ665" s="32"/>
      <c r="AR665" s="32"/>
      <c r="AS665" s="32"/>
      <c r="AT665" s="32"/>
      <c r="AU665" s="32"/>
      <c r="AV665" s="32"/>
      <c r="AW665" s="32"/>
      <c r="AX665" s="32"/>
    </row>
    <row r="666">
      <c r="A666" s="32" t="str">
        <f>IFERROR(__xludf.DUMMYFUNCTION("""COMPUTED_VALUE"""),"Basic Bitch Award")</f>
        <v>Basic Bitch Award</v>
      </c>
      <c r="B666" s="32" t="str">
        <f>IFERROR(__xludf.DUMMYFUNCTION("""COMPUTED_VALUE"""),"Ring")</f>
        <v>Ring</v>
      </c>
      <c r="C666" s="32"/>
      <c r="D666" s="32"/>
      <c r="E666" s="32">
        <f>IFERROR(__xludf.DUMMYFUNCTION("""COMPUTED_VALUE"""),1.0)</f>
        <v>1</v>
      </c>
      <c r="F666" s="44">
        <f>IFERROR(__xludf.DUMMYFUNCTION("""COMPUTED_VALUE"""),0.0)</f>
        <v>0</v>
      </c>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t="str">
        <f>IFERROR(__xludf.DUMMYFUNCTION("""COMPUTED_VALUE"""),"++Joe Schmoe - +5 Charisma +-(Knight Class Only)")</f>
        <v>++Joe Schmoe - +5 Charisma +-(Knight Class Only)</v>
      </c>
      <c r="AG666" s="32" t="str">
        <f>IFERROR(__xludf.DUMMYFUNCTION("""COMPUTED_VALUE"""),"Land of Spira")</f>
        <v>Land of Spira</v>
      </c>
      <c r="AH666" s="32" t="b">
        <f>IFERROR(__xludf.DUMMYFUNCTION("""COMPUTED_VALUE"""),FALSE)</f>
        <v>0</v>
      </c>
      <c r="AI666" s="32"/>
      <c r="AJ666" s="32"/>
      <c r="AK666" s="32"/>
      <c r="AL666" s="32"/>
      <c r="AM666" s="32"/>
      <c r="AN666" s="32"/>
      <c r="AO666" s="32"/>
      <c r="AP666" s="32"/>
      <c r="AQ666" s="32"/>
      <c r="AR666" s="32"/>
      <c r="AS666" s="32"/>
      <c r="AT666" s="32"/>
      <c r="AU666" s="32"/>
      <c r="AV666" s="32"/>
      <c r="AW666" s="32"/>
      <c r="AX666" s="32"/>
    </row>
    <row r="667">
      <c r="A667" s="32" t="str">
        <f>IFERROR(__xludf.DUMMYFUNCTION("""COMPUTED_VALUE"""),"Ring of The Frail Scholar")</f>
        <v>Ring of The Frail Scholar</v>
      </c>
      <c r="B667" s="32" t="str">
        <f>IFERROR(__xludf.DUMMYFUNCTION("""COMPUTED_VALUE"""),"Ring")</f>
        <v>Ring</v>
      </c>
      <c r="C667" s="32"/>
      <c r="D667" s="32"/>
      <c r="E667" s="32">
        <f>IFERROR(__xludf.DUMMYFUNCTION("""COMPUTED_VALUE"""),1.0)</f>
        <v>1</v>
      </c>
      <c r="F667" s="44">
        <f>IFERROR(__xludf.DUMMYFUNCTION("""COMPUTED_VALUE"""),0.0)</f>
        <v>0</v>
      </c>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t="str">
        <f>IFERROR(__xludf.DUMMYFUNCTION("""COMPUTED_VALUE"""),"++Frail Scholar - Lowers HP by half but doubles SP +-(Mage, Wizard, and Sorcerer Class Only)")</f>
        <v>++Frail Scholar - Lowers HP by half but doubles SP +-(Mage, Wizard, and Sorcerer Class Only)</v>
      </c>
      <c r="AG667" s="32" t="str">
        <f>IFERROR(__xludf.DUMMYFUNCTION("""COMPUTED_VALUE"""),"Land of Spira")</f>
        <v>Land of Spira</v>
      </c>
      <c r="AH667" s="32" t="b">
        <f>IFERROR(__xludf.DUMMYFUNCTION("""COMPUTED_VALUE"""),FALSE)</f>
        <v>0</v>
      </c>
      <c r="AI667" s="32"/>
      <c r="AJ667" s="32"/>
      <c r="AK667" s="32"/>
      <c r="AL667" s="32"/>
      <c r="AM667" s="32"/>
      <c r="AN667" s="32"/>
      <c r="AO667" s="32"/>
      <c r="AP667" s="32"/>
      <c r="AQ667" s="32"/>
      <c r="AR667" s="32"/>
      <c r="AS667" s="32"/>
      <c r="AT667" s="32"/>
      <c r="AU667" s="32"/>
      <c r="AV667" s="32"/>
      <c r="AW667" s="32"/>
      <c r="AX667" s="32"/>
    </row>
    <row r="668">
      <c r="A668" s="32" t="str">
        <f>IFERROR(__xludf.DUMMYFUNCTION("""COMPUTED_VALUE"""),"Ring of Sticky FIngers")</f>
        <v>Ring of Sticky FIngers</v>
      </c>
      <c r="B668" s="32" t="str">
        <f>IFERROR(__xludf.DUMMYFUNCTION("""COMPUTED_VALUE"""),"Ring")</f>
        <v>Ring</v>
      </c>
      <c r="C668" s="32"/>
      <c r="D668" s="32"/>
      <c r="E668" s="32">
        <f>IFERROR(__xludf.DUMMYFUNCTION("""COMPUTED_VALUE"""),1.0)</f>
        <v>1</v>
      </c>
      <c r="F668" s="44">
        <f>IFERROR(__xludf.DUMMYFUNCTION("""COMPUTED_VALUE"""),0.0)</f>
        <v>0</v>
      </c>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t="str">
        <f>IFERROR(__xludf.DUMMYFUNCTION("""COMPUTED_VALUE"""),"++Sticky FIngers - Allows you to use confiscate, take, and pickpocket skills twice +-(Marauder Class Only)")</f>
        <v>++Sticky FIngers - Allows you to use confiscate, take, and pickpocket skills twice +-(Marauder Class Only)</v>
      </c>
      <c r="AG668" s="32" t="str">
        <f>IFERROR(__xludf.DUMMYFUNCTION("""COMPUTED_VALUE"""),"Land of Spira")</f>
        <v>Land of Spira</v>
      </c>
      <c r="AH668" s="32" t="b">
        <f>IFERROR(__xludf.DUMMYFUNCTION("""COMPUTED_VALUE"""),FALSE)</f>
        <v>0</v>
      </c>
      <c r="AI668" s="32"/>
      <c r="AJ668" s="32"/>
      <c r="AK668" s="32"/>
      <c r="AL668" s="32"/>
      <c r="AM668" s="32"/>
      <c r="AN668" s="32"/>
      <c r="AO668" s="32"/>
      <c r="AP668" s="32"/>
      <c r="AQ668" s="32"/>
      <c r="AR668" s="32"/>
      <c r="AS668" s="32"/>
      <c r="AT668" s="32"/>
      <c r="AU668" s="32"/>
      <c r="AV668" s="32"/>
      <c r="AW668" s="32"/>
      <c r="AX668" s="32"/>
    </row>
    <row r="669">
      <c r="A669" s="32" t="str">
        <f>IFERROR(__xludf.DUMMYFUNCTION("""COMPUTED_VALUE"""),"Spirit Furnace")</f>
        <v>Spirit Furnace</v>
      </c>
      <c r="B669" s="32" t="str">
        <f>IFERROR(__xludf.DUMMYFUNCTION("""COMPUTED_VALUE"""),"Neck")</f>
        <v>Neck</v>
      </c>
      <c r="C669" s="32"/>
      <c r="D669" s="32"/>
      <c r="E669" s="32">
        <f>IFERROR(__xludf.DUMMYFUNCTION("""COMPUTED_VALUE"""),1.0)</f>
        <v>1</v>
      </c>
      <c r="F669" s="44">
        <f>IFERROR(__xludf.DUMMYFUNCTION("""COMPUTED_VALUE"""),0.0)</f>
        <v>0</v>
      </c>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32" t="str">
        <f>IFERROR(__xludf.DUMMYFUNCTION("""COMPUTED_VALUE"""),"Land of Spira")</f>
        <v>Land of Spira</v>
      </c>
      <c r="AH669" s="32" t="b">
        <f>IFERROR(__xludf.DUMMYFUNCTION("""COMPUTED_VALUE"""),FALSE)</f>
        <v>0</v>
      </c>
      <c r="AI669" s="32"/>
      <c r="AJ669" s="32"/>
      <c r="AK669" s="32"/>
      <c r="AL669" s="32"/>
      <c r="AM669" s="32"/>
      <c r="AN669" s="32"/>
      <c r="AO669" s="32"/>
      <c r="AP669" s="32"/>
      <c r="AQ669" s="32"/>
      <c r="AR669" s="32"/>
      <c r="AS669" s="32"/>
      <c r="AT669" s="32"/>
      <c r="AU669" s="32"/>
      <c r="AV669" s="32"/>
      <c r="AW669" s="32"/>
      <c r="AX669" s="32"/>
    </row>
    <row r="670">
      <c r="A670" s="32" t="str">
        <f>IFERROR(__xludf.DUMMYFUNCTION("""COMPUTED_VALUE"""),"Smokebomb Pouch")</f>
        <v>Smokebomb Pouch</v>
      </c>
      <c r="B670" s="32" t="str">
        <f>IFERROR(__xludf.DUMMYFUNCTION("""COMPUTED_VALUE"""),"Legs")</f>
        <v>Legs</v>
      </c>
      <c r="C670" s="32"/>
      <c r="D670" s="32"/>
      <c r="E670" s="32">
        <f>IFERROR(__xludf.DUMMYFUNCTION("""COMPUTED_VALUE"""),1.0)</f>
        <v>1</v>
      </c>
      <c r="F670" s="44">
        <f>IFERROR(__xludf.DUMMYFUNCTION("""COMPUTED_VALUE"""),0.0)</f>
        <v>0</v>
      </c>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t="str">
        <f>IFERROR(__xludf.DUMMYFUNCTION("""COMPUTED_VALUE"""),"++Smoke Bomb - Conceal abilities are guaranteed to succeed +-(Ninja Class Only)")</f>
        <v>++Smoke Bomb - Conceal abilities are guaranteed to succeed +-(Ninja Class Only)</v>
      </c>
      <c r="AG670" s="32" t="str">
        <f>IFERROR(__xludf.DUMMYFUNCTION("""COMPUTED_VALUE"""),"Land of Spira")</f>
        <v>Land of Spira</v>
      </c>
      <c r="AH670" s="32" t="b">
        <f>IFERROR(__xludf.DUMMYFUNCTION("""COMPUTED_VALUE"""),FALSE)</f>
        <v>0</v>
      </c>
      <c r="AI670" s="32"/>
      <c r="AJ670" s="32"/>
      <c r="AK670" s="32"/>
      <c r="AL670" s="32"/>
      <c r="AM670" s="32"/>
      <c r="AN670" s="32"/>
      <c r="AO670" s="32"/>
      <c r="AP670" s="32"/>
      <c r="AQ670" s="32"/>
      <c r="AR670" s="32"/>
      <c r="AS670" s="32"/>
      <c r="AT670" s="32"/>
      <c r="AU670" s="32"/>
      <c r="AV670" s="32"/>
      <c r="AW670" s="32"/>
      <c r="AX670" s="32"/>
    </row>
    <row r="671">
      <c r="A671" s="32" t="str">
        <f>IFERROR(__xludf.DUMMYFUNCTION("""COMPUTED_VALUE"""),"Certificate of Shield Bashing School")</f>
        <v>Certificate of Shield Bashing School</v>
      </c>
      <c r="B671" s="32" t="str">
        <f>IFERROR(__xludf.DUMMYFUNCTION("""COMPUTED_VALUE"""),"Neck")</f>
        <v>Neck</v>
      </c>
      <c r="C671" s="32"/>
      <c r="D671" s="32"/>
      <c r="E671" s="32">
        <f>IFERROR(__xludf.DUMMYFUNCTION("""COMPUTED_VALUE"""),1.0)</f>
        <v>1</v>
      </c>
      <c r="F671" s="44">
        <f>IFERROR(__xludf.DUMMYFUNCTION("""COMPUTED_VALUE"""),0.0)</f>
        <v>0</v>
      </c>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32" t="str">
        <f>IFERROR(__xludf.DUMMYFUNCTION("""COMPUTED_VALUE"""),"Land of Spira")</f>
        <v>Land of Spira</v>
      </c>
      <c r="AH671" s="32" t="b">
        <f>IFERROR(__xludf.DUMMYFUNCTION("""COMPUTED_VALUE"""),FALSE)</f>
        <v>0</v>
      </c>
      <c r="AI671" s="32"/>
      <c r="AJ671" s="32"/>
      <c r="AK671" s="32"/>
      <c r="AL671" s="32"/>
      <c r="AM671" s="32"/>
      <c r="AN671" s="32"/>
      <c r="AO671" s="32"/>
      <c r="AP671" s="32"/>
      <c r="AQ671" s="32"/>
      <c r="AR671" s="32"/>
      <c r="AS671" s="32"/>
      <c r="AT671" s="32"/>
      <c r="AU671" s="32"/>
      <c r="AV671" s="32"/>
      <c r="AW671" s="32"/>
      <c r="AX671" s="32"/>
    </row>
    <row r="672">
      <c r="A672" s="32" t="str">
        <f>IFERROR(__xludf.DUMMYFUNCTION("""COMPUTED_VALUE"""),"Goblet of Greed")</f>
        <v>Goblet of Greed</v>
      </c>
      <c r="B672" s="32" t="str">
        <f>IFERROR(__xludf.DUMMYFUNCTION("""COMPUTED_VALUE"""),"Neck")</f>
        <v>Neck</v>
      </c>
      <c r="C672" s="32"/>
      <c r="D672" s="32"/>
      <c r="E672" s="32">
        <f>IFERROR(__xludf.DUMMYFUNCTION("""COMPUTED_VALUE"""),1.0)</f>
        <v>1</v>
      </c>
      <c r="F672" s="44">
        <f>IFERROR(__xludf.DUMMYFUNCTION("""COMPUTED_VALUE"""),0.0)</f>
        <v>0</v>
      </c>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32" t="str">
        <f>IFERROR(__xludf.DUMMYFUNCTION("""COMPUTED_VALUE"""),"Land of Spira")</f>
        <v>Land of Spira</v>
      </c>
      <c r="AH672" s="32" t="b">
        <f>IFERROR(__xludf.DUMMYFUNCTION("""COMPUTED_VALUE"""),FALSE)</f>
        <v>0</v>
      </c>
      <c r="AI672" s="32"/>
      <c r="AJ672" s="32"/>
      <c r="AK672" s="32"/>
      <c r="AL672" s="32"/>
      <c r="AM672" s="32"/>
      <c r="AN672" s="32"/>
      <c r="AO672" s="32"/>
      <c r="AP672" s="32"/>
      <c r="AQ672" s="32"/>
      <c r="AR672" s="32"/>
      <c r="AS672" s="32"/>
      <c r="AT672" s="32"/>
      <c r="AU672" s="32"/>
      <c r="AV672" s="32"/>
      <c r="AW672" s="32"/>
      <c r="AX672" s="32"/>
    </row>
    <row r="673">
      <c r="A673" s="32" t="str">
        <f>IFERROR(__xludf.DUMMYFUNCTION("""COMPUTED_VALUE"""),"Holy Symbol")</f>
        <v>Holy Symbol</v>
      </c>
      <c r="B673" s="32" t="str">
        <f>IFERROR(__xludf.DUMMYFUNCTION("""COMPUTED_VALUE"""),"Neck")</f>
        <v>Neck</v>
      </c>
      <c r="C673" s="32"/>
      <c r="D673" s="32"/>
      <c r="E673" s="32">
        <f>IFERROR(__xludf.DUMMYFUNCTION("""COMPUTED_VALUE"""),1.0)</f>
        <v>1</v>
      </c>
      <c r="F673" s="44">
        <f>IFERROR(__xludf.DUMMYFUNCTION("""COMPUTED_VALUE"""),0.0)</f>
        <v>0</v>
      </c>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32" t="str">
        <f>IFERROR(__xludf.DUMMYFUNCTION("""COMPUTED_VALUE"""),"Land of Spira")</f>
        <v>Land of Spira</v>
      </c>
      <c r="AH673" s="32" t="b">
        <f>IFERROR(__xludf.DUMMYFUNCTION("""COMPUTED_VALUE"""),FALSE)</f>
        <v>0</v>
      </c>
      <c r="AI673" s="32"/>
      <c r="AJ673" s="32"/>
      <c r="AK673" s="32"/>
      <c r="AL673" s="32"/>
      <c r="AM673" s="32"/>
      <c r="AN673" s="32"/>
      <c r="AO673" s="32"/>
      <c r="AP673" s="32"/>
      <c r="AQ673" s="32"/>
      <c r="AR673" s="32"/>
      <c r="AS673" s="32"/>
      <c r="AT673" s="32"/>
      <c r="AU673" s="32"/>
      <c r="AV673" s="32"/>
      <c r="AW673" s="32"/>
      <c r="AX673" s="32"/>
    </row>
    <row r="674">
      <c r="A674" s="32" t="str">
        <f>IFERROR(__xludf.DUMMYFUNCTION("""COMPUTED_VALUE"""),"Mysterious Merchant's Scythe")</f>
        <v>Mysterious Merchant's Scythe</v>
      </c>
      <c r="B674" s="32" t="str">
        <f>IFERROR(__xludf.DUMMYFUNCTION("""COMPUTED_VALUE"""),"Hand")</f>
        <v>Hand</v>
      </c>
      <c r="C674" s="32" t="str">
        <f>IFERROR(__xludf.DUMMYFUNCTION("""COMPUTED_VALUE"""),"The scythe of the mysterious merchant himself imbued with a great power")</f>
        <v>The scythe of the mysterious merchant himself imbued with a great power</v>
      </c>
      <c r="D674" s="32" t="str">
        <f>IFERROR(__xludf.DUMMYFUNCTION("""COMPUTED_VALUE"""),"Scythe")</f>
        <v>Scythe</v>
      </c>
      <c r="E674" s="32">
        <f>IFERROR(__xludf.DUMMYFUNCTION("""COMPUTED_VALUE"""),1000.0)</f>
        <v>1000</v>
      </c>
      <c r="F674" s="44">
        <f>IFERROR(__xludf.DUMMYFUNCTION("""COMPUTED_VALUE"""),4.95E7)</f>
        <v>49500000</v>
      </c>
      <c r="G674" s="32" t="str">
        <f>IFERROR(__xludf.DUMMYFUNCTION("""COMPUTED_VALUE"""),"DMG")</f>
        <v>DMG</v>
      </c>
      <c r="H674" s="32"/>
      <c r="I674" s="32"/>
      <c r="J674" s="32"/>
      <c r="K674" s="32"/>
      <c r="L674" s="32"/>
      <c r="M674" s="32"/>
      <c r="N674" s="32"/>
      <c r="O674" s="32"/>
      <c r="P674" s="32">
        <f>IFERROR(__xludf.DUMMYFUNCTION("""COMPUTED_VALUE"""),50000.0)</f>
        <v>50000</v>
      </c>
      <c r="Q674" s="32"/>
      <c r="R674" s="32"/>
      <c r="S674" s="32"/>
      <c r="T674" s="32"/>
      <c r="U674" s="32"/>
      <c r="V674" s="32"/>
      <c r="W674" s="32"/>
      <c r="X674" s="32"/>
      <c r="Y674" s="32"/>
      <c r="Z674" s="32"/>
      <c r="AA674" s="32"/>
      <c r="AB674" s="32"/>
      <c r="AC674" s="32"/>
      <c r="AD674" s="32"/>
      <c r="AE674" s="32"/>
      <c r="AF674" s="32"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32" t="str">
        <f>IFERROR(__xludf.DUMMYFUNCTION("""COMPUTED_VALUE"""),"Land of Spira")</f>
        <v>Land of Spira</v>
      </c>
      <c r="AH674" s="32" t="b">
        <f>IFERROR(__xludf.DUMMYFUNCTION("""COMPUTED_VALUE"""),FALSE)</f>
        <v>0</v>
      </c>
      <c r="AI674" s="32"/>
      <c r="AJ674" s="32"/>
      <c r="AK674" s="32"/>
      <c r="AL674" s="32"/>
      <c r="AM674" s="32"/>
      <c r="AN674" s="32"/>
      <c r="AO674" s="32"/>
      <c r="AP674" s="32"/>
      <c r="AQ674" s="32"/>
      <c r="AR674" s="32"/>
      <c r="AS674" s="32"/>
      <c r="AT674" s="32"/>
      <c r="AU674" s="32"/>
      <c r="AV674" s="32"/>
      <c r="AW674" s="32"/>
      <c r="AX674" s="32"/>
    </row>
    <row r="675">
      <c r="A675" s="32" t="str">
        <f>IFERROR(__xludf.DUMMYFUNCTION("""COMPUTED_VALUE"""),"Cursed Saya")</f>
        <v>Cursed Saya</v>
      </c>
      <c r="B675" s="32" t="str">
        <f>IFERROR(__xludf.DUMMYFUNCTION("""COMPUTED_VALUE"""),"Legs")</f>
        <v>Legs</v>
      </c>
      <c r="C675" s="3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32"/>
      <c r="E675" s="32">
        <f>IFERROR(__xludf.DUMMYFUNCTION("""COMPUTED_VALUE"""),1.0)</f>
        <v>1</v>
      </c>
      <c r="F675" s="44">
        <f>IFERROR(__xludf.DUMMYFUNCTION("""COMPUTED_VALUE"""),0.0)</f>
        <v>0</v>
      </c>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32" t="str">
        <f>IFERROR(__xludf.DUMMYFUNCTION("""COMPUTED_VALUE"""),"Land of Spira")</f>
        <v>Land of Spira</v>
      </c>
      <c r="AH675" s="32" t="b">
        <f>IFERROR(__xludf.DUMMYFUNCTION("""COMPUTED_VALUE"""),FALSE)</f>
        <v>0</v>
      </c>
      <c r="AI675" s="32"/>
      <c r="AJ675" s="32"/>
      <c r="AK675" s="32"/>
      <c r="AL675" s="32"/>
      <c r="AM675" s="32"/>
      <c r="AN675" s="32"/>
      <c r="AO675" s="32"/>
      <c r="AP675" s="32"/>
      <c r="AQ675" s="32"/>
      <c r="AR675" s="32"/>
      <c r="AS675" s="32"/>
      <c r="AT675" s="32"/>
      <c r="AU675" s="32"/>
      <c r="AV675" s="32"/>
      <c r="AW675" s="32"/>
      <c r="AX675" s="32"/>
    </row>
    <row r="676">
      <c r="A676" s="32" t="str">
        <f>IFERROR(__xludf.DUMMYFUNCTION("""COMPUTED_VALUE"""),"Shamanic Staff")</f>
        <v>Shamanic Staff</v>
      </c>
      <c r="B676" s="32" t="str">
        <f>IFERROR(__xludf.DUMMYFUNCTION("""COMPUTED_VALUE"""),"Hand")</f>
        <v>Hand</v>
      </c>
      <c r="C676" s="3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32" t="str">
        <f>IFERROR(__xludf.DUMMYFUNCTION("""COMPUTED_VALUE"""),"Staff")</f>
        <v>Staff</v>
      </c>
      <c r="E676" s="32">
        <f>IFERROR(__xludf.DUMMYFUNCTION("""COMPUTED_VALUE"""),1500.0)</f>
        <v>1500</v>
      </c>
      <c r="F676" s="44">
        <f>IFERROR(__xludf.DUMMYFUNCTION("""COMPUTED_VALUE"""),1.1175E8)</f>
        <v>111750000</v>
      </c>
      <c r="G676" s="32" t="str">
        <f>IFERROR(__xludf.DUMMYFUNCTION("""COMPUTED_VALUE"""),"DMG")</f>
        <v>DMG</v>
      </c>
      <c r="H676" s="32"/>
      <c r="I676" s="32">
        <f>IFERROR(__xludf.DUMMYFUNCTION("""COMPUTED_VALUE"""),25000.0)</f>
        <v>25000</v>
      </c>
      <c r="J676" s="32"/>
      <c r="K676" s="32"/>
      <c r="L676" s="32"/>
      <c r="M676" s="32"/>
      <c r="N676" s="32"/>
      <c r="O676" s="32"/>
      <c r="P676" s="32">
        <f>IFERROR(__xludf.DUMMYFUNCTION("""COMPUTED_VALUE"""),25000.0)</f>
        <v>25000</v>
      </c>
      <c r="Q676" s="32"/>
      <c r="R676" s="32"/>
      <c r="S676" s="32"/>
      <c r="T676" s="32"/>
      <c r="U676" s="32"/>
      <c r="V676" s="32"/>
      <c r="W676" s="32"/>
      <c r="X676" s="32">
        <f>IFERROR(__xludf.DUMMYFUNCTION("""COMPUTED_VALUE"""),25000.0)</f>
        <v>25000</v>
      </c>
      <c r="Y676" s="32"/>
      <c r="Z676" s="32"/>
      <c r="AA676" s="32"/>
      <c r="AB676" s="32"/>
      <c r="AC676" s="32"/>
      <c r="AD676" s="32"/>
      <c r="AE676" s="32"/>
      <c r="AF676" s="32"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32" t="str">
        <f>IFERROR(__xludf.DUMMYFUNCTION("""COMPUTED_VALUE"""),"Land of Spira")</f>
        <v>Land of Spira</v>
      </c>
      <c r="AH676" s="32" t="b">
        <f>IFERROR(__xludf.DUMMYFUNCTION("""COMPUTED_VALUE"""),FALSE)</f>
        <v>0</v>
      </c>
      <c r="AI676" s="32"/>
      <c r="AJ676" s="32"/>
      <c r="AK676" s="32"/>
      <c r="AL676" s="32"/>
      <c r="AM676" s="32"/>
      <c r="AN676" s="32"/>
      <c r="AO676" s="32"/>
      <c r="AP676" s="32"/>
      <c r="AQ676" s="32"/>
      <c r="AR676" s="32"/>
      <c r="AS676" s="32"/>
      <c r="AT676" s="32"/>
      <c r="AU676" s="32"/>
      <c r="AV676" s="32"/>
      <c r="AW676" s="32"/>
      <c r="AX676" s="32"/>
    </row>
    <row r="677">
      <c r="A677" s="32" t="str">
        <f>IFERROR(__xludf.DUMMYFUNCTION("""COMPUTED_VALUE"""),"Rune Necklace")</f>
        <v>Rune Necklace</v>
      </c>
      <c r="B677" s="32" t="str">
        <f>IFERROR(__xludf.DUMMYFUNCTION("""COMPUTED_VALUE"""),"Neck")</f>
        <v>Neck</v>
      </c>
      <c r="C677" s="3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32"/>
      <c r="E677" s="32">
        <f>IFERROR(__xludf.DUMMYFUNCTION("""COMPUTED_VALUE"""),1.0)</f>
        <v>1</v>
      </c>
      <c r="F677" s="44">
        <f>IFERROR(__xludf.DUMMYFUNCTION("""COMPUTED_VALUE"""),0.0)</f>
        <v>0</v>
      </c>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t="str">
        <f>IFERROR(__xludf.DUMMYFUNCTION("""COMPUTED_VALUE"""),"++Spirit's Friend - Any summoned Spirit gains +5 to all perks and X2 base stats +-(Shaman Class Only)")</f>
        <v>++Spirit's Friend - Any summoned Spirit gains +5 to all perks and X2 base stats +-(Shaman Class Only)</v>
      </c>
      <c r="AG677" s="32" t="str">
        <f>IFERROR(__xludf.DUMMYFUNCTION("""COMPUTED_VALUE"""),"Land of Spira")</f>
        <v>Land of Spira</v>
      </c>
      <c r="AH677" s="32" t="b">
        <f>IFERROR(__xludf.DUMMYFUNCTION("""COMPUTED_VALUE"""),FALSE)</f>
        <v>0</v>
      </c>
      <c r="AI677" s="32"/>
      <c r="AJ677" s="32"/>
      <c r="AK677" s="32"/>
      <c r="AL677" s="32"/>
      <c r="AM677" s="32"/>
      <c r="AN677" s="32"/>
      <c r="AO677" s="32"/>
      <c r="AP677" s="32"/>
      <c r="AQ677" s="32"/>
      <c r="AR677" s="32"/>
      <c r="AS677" s="32"/>
      <c r="AT677" s="32"/>
      <c r="AU677" s="32"/>
      <c r="AV677" s="32"/>
      <c r="AW677" s="32"/>
      <c r="AX677" s="32"/>
    </row>
    <row r="678">
      <c r="A678" s="32" t="str">
        <f>IFERROR(__xludf.DUMMYFUNCTION("""COMPUTED_VALUE"""),"Spell Sponge")</f>
        <v>Spell Sponge</v>
      </c>
      <c r="B678" s="32" t="str">
        <f>IFERROR(__xludf.DUMMYFUNCTION("""COMPUTED_VALUE"""),"Neck")</f>
        <v>Neck</v>
      </c>
      <c r="C678" s="3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32"/>
      <c r="E678" s="32">
        <f>IFERROR(__xludf.DUMMYFUNCTION("""COMPUTED_VALUE"""),1.0)</f>
        <v>1</v>
      </c>
      <c r="F678" s="44">
        <f>IFERROR(__xludf.DUMMYFUNCTION("""COMPUTED_VALUE"""),0.0)</f>
        <v>0</v>
      </c>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32" t="str">
        <f>IFERROR(__xludf.DUMMYFUNCTION("""COMPUTED_VALUE"""),"Land of Spira")</f>
        <v>Land of Spira</v>
      </c>
      <c r="AH678" s="32" t="b">
        <f>IFERROR(__xludf.DUMMYFUNCTION("""COMPUTED_VALUE"""),FALSE)</f>
        <v>0</v>
      </c>
      <c r="AI678" s="32"/>
      <c r="AJ678" s="32"/>
      <c r="AK678" s="32"/>
      <c r="AL678" s="32"/>
      <c r="AM678" s="32"/>
      <c r="AN678" s="32"/>
      <c r="AO678" s="32"/>
      <c r="AP678" s="32"/>
      <c r="AQ678" s="32"/>
      <c r="AR678" s="32"/>
      <c r="AS678" s="32"/>
      <c r="AT678" s="32"/>
      <c r="AU678" s="32"/>
      <c r="AV678" s="32"/>
      <c r="AW678" s="32"/>
      <c r="AX678" s="32"/>
    </row>
    <row r="679">
      <c r="A679" s="32" t="str">
        <f>IFERROR(__xludf.DUMMYFUNCTION("""COMPUTED_VALUE"""),"Viking's Warpaint")</f>
        <v>Viking's Warpaint</v>
      </c>
      <c r="B679" s="32" t="str">
        <f>IFERROR(__xludf.DUMMYFUNCTION("""COMPUTED_VALUE"""),"Head")</f>
        <v>Head</v>
      </c>
      <c r="C679" s="32" t="str">
        <f>IFERROR(__xludf.DUMMYFUNCTION("""COMPUTED_VALUE"""),"A set of primitive paint imported from Knappadalr, for some reason these paints fill you with rage.")</f>
        <v>A set of primitive paint imported from Knappadalr, for some reason these paints fill you with rage.</v>
      </c>
      <c r="D679" s="32"/>
      <c r="E679" s="32">
        <f>IFERROR(__xludf.DUMMYFUNCTION("""COMPUTED_VALUE"""),1.0)</f>
        <v>1</v>
      </c>
      <c r="F679" s="44">
        <f>IFERROR(__xludf.DUMMYFUNCTION("""COMPUTED_VALUE"""),0.0)</f>
        <v>0</v>
      </c>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32" t="str">
        <f>IFERROR(__xludf.DUMMYFUNCTION("""COMPUTED_VALUE"""),"Land of Spira")</f>
        <v>Land of Spira</v>
      </c>
      <c r="AH679" s="32" t="b">
        <f>IFERROR(__xludf.DUMMYFUNCTION("""COMPUTED_VALUE"""),FALSE)</f>
        <v>0</v>
      </c>
      <c r="AI679" s="32"/>
      <c r="AJ679" s="32"/>
      <c r="AK679" s="32"/>
      <c r="AL679" s="32"/>
      <c r="AM679" s="32"/>
      <c r="AN679" s="32"/>
      <c r="AO679" s="32"/>
      <c r="AP679" s="32"/>
      <c r="AQ679" s="32"/>
      <c r="AR679" s="32"/>
      <c r="AS679" s="32"/>
      <c r="AT679" s="32"/>
      <c r="AU679" s="32"/>
      <c r="AV679" s="32"/>
      <c r="AW679" s="32"/>
      <c r="AX679" s="32"/>
    </row>
    <row r="680">
      <c r="A680" s="32" t="str">
        <f>IFERROR(__xludf.DUMMYFUNCTION("""COMPUTED_VALUE"""),"Speed Shoes")</f>
        <v>Speed Shoes</v>
      </c>
      <c r="B680" s="32" t="str">
        <f>IFERROR(__xludf.DUMMYFUNCTION("""COMPUTED_VALUE"""),"Feet")</f>
        <v>Feet</v>
      </c>
      <c r="C680" s="32" t="str">
        <f>IFERROR(__xludf.DUMMYFUNCTION("""COMPUTED_VALUE"""),"A pair of red shoes that make you feel like dancing.")</f>
        <v>A pair of red shoes that make you feel like dancing.</v>
      </c>
      <c r="D680" s="32"/>
      <c r="E680" s="32">
        <f>IFERROR(__xludf.DUMMYFUNCTION("""COMPUTED_VALUE"""),1.0)</f>
        <v>1</v>
      </c>
      <c r="F680" s="44">
        <f>IFERROR(__xludf.DUMMYFUNCTION("""COMPUTED_VALUE"""),0.0)</f>
        <v>0</v>
      </c>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32" t="str">
        <f>IFERROR(__xludf.DUMMYFUNCTION("""COMPUTED_VALUE"""),"Land of Spira")</f>
        <v>Land of Spira</v>
      </c>
      <c r="AH680" s="32" t="b">
        <f>IFERROR(__xludf.DUMMYFUNCTION("""COMPUTED_VALUE"""),FALSE)</f>
        <v>0</v>
      </c>
      <c r="AI680" s="32"/>
      <c r="AJ680" s="32"/>
      <c r="AK680" s="32"/>
      <c r="AL680" s="32"/>
      <c r="AM680" s="32"/>
      <c r="AN680" s="32"/>
      <c r="AO680" s="32"/>
      <c r="AP680" s="32"/>
      <c r="AQ680" s="32"/>
      <c r="AR680" s="32"/>
      <c r="AS680" s="32"/>
      <c r="AT680" s="32"/>
      <c r="AU680" s="32"/>
      <c r="AV680" s="32"/>
      <c r="AW680" s="32"/>
      <c r="AX680" s="32"/>
    </row>
    <row r="681">
      <c r="A681" s="32" t="str">
        <f>IFERROR(__xludf.DUMMYFUNCTION("""COMPUTED_VALUE"""),"Book of Hexes")</f>
        <v>Book of Hexes</v>
      </c>
      <c r="B681" s="32" t="str">
        <f>IFERROR(__xludf.DUMMYFUNCTION("""COMPUTED_VALUE"""),"Legs")</f>
        <v>Legs</v>
      </c>
      <c r="C681" s="32" t="str">
        <f>IFERROR(__xludf.DUMMYFUNCTION("""COMPUTED_VALUE"""),"The staple item for a witch.")</f>
        <v>The staple item for a witch.</v>
      </c>
      <c r="D681" s="32"/>
      <c r="E681" s="32">
        <f>IFERROR(__xludf.DUMMYFUNCTION("""COMPUTED_VALUE"""),1.0)</f>
        <v>1</v>
      </c>
      <c r="F681" s="44">
        <f>IFERROR(__xludf.DUMMYFUNCTION("""COMPUTED_VALUE"""),0.0)</f>
        <v>0</v>
      </c>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32" t="str">
        <f>IFERROR(__xludf.DUMMYFUNCTION("""COMPUTED_VALUE"""),"Land of Spira")</f>
        <v>Land of Spira</v>
      </c>
      <c r="AH681" s="32" t="b">
        <f>IFERROR(__xludf.DUMMYFUNCTION("""COMPUTED_VALUE"""),FALSE)</f>
        <v>0</v>
      </c>
      <c r="AI681" s="32"/>
      <c r="AJ681" s="32"/>
      <c r="AK681" s="32"/>
      <c r="AL681" s="32"/>
      <c r="AM681" s="32"/>
      <c r="AN681" s="32"/>
      <c r="AO681" s="32"/>
      <c r="AP681" s="32"/>
      <c r="AQ681" s="32"/>
      <c r="AR681" s="32"/>
      <c r="AS681" s="32"/>
      <c r="AT681" s="32"/>
      <c r="AU681" s="32"/>
      <c r="AV681" s="32"/>
      <c r="AW681" s="32"/>
      <c r="AX681" s="32"/>
    </row>
    <row r="682">
      <c r="A682" s="32" t="str">
        <f>IFERROR(__xludf.DUMMYFUNCTION("""COMPUTED_VALUE"""),"Ring of Boring")</f>
        <v>Ring of Boring</v>
      </c>
      <c r="B682" s="32" t="str">
        <f>IFERROR(__xludf.DUMMYFUNCTION("""COMPUTED_VALUE"""),"Finger")</f>
        <v>Finger</v>
      </c>
      <c r="C682" s="32" t="str">
        <f>IFERROR(__xludf.DUMMYFUNCTION("""COMPUTED_VALUE"""),"The item for people who made a character but decided they were ""too good"" for it's abilities.")</f>
        <v>The item for people who made a character but decided they were "too good" for it's abilities.</v>
      </c>
      <c r="D682" s="32"/>
      <c r="E682" s="32">
        <f>IFERROR(__xludf.DUMMYFUNCTION("""COMPUTED_VALUE"""),1.0)</f>
        <v>1</v>
      </c>
      <c r="F682" s="44">
        <f>IFERROR(__xludf.DUMMYFUNCTION("""COMPUTED_VALUE"""),0.0)</f>
        <v>0</v>
      </c>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t="str">
        <f>IFERROR(__xludf.DUMMYFUNCTION("""COMPUTED_VALUE"""),"++Why are you so boring? - X2 additional damage.")</f>
        <v>++Why are you so boring? - X2 additional damage.</v>
      </c>
      <c r="AG682" s="32" t="str">
        <f>IFERROR(__xludf.DUMMYFUNCTION("""COMPUTED_VALUE"""),"Land of Spira")</f>
        <v>Land of Spira</v>
      </c>
      <c r="AH682" s="32" t="b">
        <f>IFERROR(__xludf.DUMMYFUNCTION("""COMPUTED_VALUE"""),FALSE)</f>
        <v>0</v>
      </c>
      <c r="AI682" s="32"/>
      <c r="AJ682" s="32"/>
      <c r="AK682" s="32"/>
      <c r="AL682" s="32"/>
      <c r="AM682" s="32"/>
      <c r="AN682" s="32"/>
      <c r="AO682" s="32"/>
      <c r="AP682" s="32"/>
      <c r="AQ682" s="32"/>
      <c r="AR682" s="32"/>
      <c r="AS682" s="32"/>
      <c r="AT682" s="32"/>
      <c r="AU682" s="32"/>
      <c r="AV682" s="32"/>
      <c r="AW682" s="32"/>
      <c r="AX682" s="32"/>
    </row>
    <row r="683">
      <c r="A683" s="32" t="str">
        <f>IFERROR(__xludf.DUMMYFUNCTION("""COMPUTED_VALUE"""),"Frozen Spearman's High-Low Dress")</f>
        <v>Frozen Spearman's High-Low Dress</v>
      </c>
      <c r="B683" s="32" t="str">
        <f>IFERROR(__xludf.DUMMYFUNCTION("""COMPUTED_VALUE"""),"Torso")</f>
        <v>Torso</v>
      </c>
      <c r="C683" s="32"/>
      <c r="D683" s="32"/>
      <c r="E683" s="32">
        <f>IFERROR(__xludf.DUMMYFUNCTION("""COMPUTED_VALUE"""),200.0)</f>
        <v>200</v>
      </c>
      <c r="F683" s="44">
        <f>IFERROR(__xludf.DUMMYFUNCTION("""COMPUTED_VALUE"""),1.99E8)</f>
        <v>199000000</v>
      </c>
      <c r="G683" s="32" t="str">
        <f>IFERROR(__xludf.DUMMYFUNCTION("""COMPUTED_VALUE"""),"DEF")</f>
        <v>DEF</v>
      </c>
      <c r="H683" s="32">
        <f>IFERROR(__xludf.DUMMYFUNCTION("""COMPUTED_VALUE"""),25000.0)</f>
        <v>25000</v>
      </c>
      <c r="I683" s="32"/>
      <c r="J683" s="32"/>
      <c r="K683" s="32"/>
      <c r="L683" s="32"/>
      <c r="M683" s="32">
        <f>IFERROR(__xludf.DUMMYFUNCTION("""COMPUTED_VALUE"""),25000.0)</f>
        <v>25000</v>
      </c>
      <c r="N683" s="32"/>
      <c r="O683" s="32"/>
      <c r="P683" s="32"/>
      <c r="Q683" s="32"/>
      <c r="R683" s="32"/>
      <c r="S683" s="32">
        <f>IFERROR(__xludf.DUMMYFUNCTION("""COMPUTED_VALUE"""),25000.0)</f>
        <v>25000</v>
      </c>
      <c r="T683" s="32"/>
      <c r="U683" s="32"/>
      <c r="V683" s="32"/>
      <c r="W683" s="32"/>
      <c r="X683" s="32"/>
      <c r="Y683" s="32"/>
      <c r="Z683" s="32"/>
      <c r="AA683" s="32"/>
      <c r="AB683" s="32"/>
      <c r="AC683" s="32">
        <f>IFERROR(__xludf.DUMMYFUNCTION("""COMPUTED_VALUE"""),25000.0)</f>
        <v>25000</v>
      </c>
      <c r="AD683" s="32"/>
      <c r="AE683" s="32"/>
      <c r="AF683" s="32"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32" t="str">
        <f>IFERROR(__xludf.DUMMYFUNCTION("""COMPUTED_VALUE"""),"Land of Spira")</f>
        <v>Land of Spira</v>
      </c>
      <c r="AH683" s="32" t="b">
        <f>IFERROR(__xludf.DUMMYFUNCTION("""COMPUTED_VALUE"""),FALSE)</f>
        <v>0</v>
      </c>
      <c r="AI683" s="32"/>
      <c r="AJ683" s="32"/>
      <c r="AK683" s="32"/>
      <c r="AL683" s="32"/>
      <c r="AM683" s="32"/>
      <c r="AN683" s="32"/>
      <c r="AO683" s="32"/>
      <c r="AP683" s="32"/>
      <c r="AQ683" s="32"/>
      <c r="AR683" s="32"/>
      <c r="AS683" s="32"/>
      <c r="AT683" s="32"/>
      <c r="AU683" s="32"/>
      <c r="AV683" s="32"/>
      <c r="AW683" s="32"/>
      <c r="AX683" s="32"/>
    </row>
    <row r="684">
      <c r="A684" s="32" t="str">
        <f>IFERROR(__xludf.DUMMYFUNCTION("""COMPUTED_VALUE"""),"Frozen Spearman's Jhodpur's")</f>
        <v>Frozen Spearman's Jhodpur's</v>
      </c>
      <c r="B684" s="32" t="str">
        <f>IFERROR(__xludf.DUMMYFUNCTION("""COMPUTED_VALUE"""),"Legs")</f>
        <v>Legs</v>
      </c>
      <c r="C684" s="32"/>
      <c r="D684" s="32"/>
      <c r="E684" s="32">
        <f>IFERROR(__xludf.DUMMYFUNCTION("""COMPUTED_VALUE"""),200.0)</f>
        <v>200</v>
      </c>
      <c r="F684" s="44">
        <f>IFERROR(__xludf.DUMMYFUNCTION("""COMPUTED_VALUE"""),1.99E8)</f>
        <v>199000000</v>
      </c>
      <c r="G684" s="32" t="str">
        <f>IFERROR(__xludf.DUMMYFUNCTION("""COMPUTED_VALUE"""),"DEF")</f>
        <v>DEF</v>
      </c>
      <c r="H684" s="32">
        <f>IFERROR(__xludf.DUMMYFUNCTION("""COMPUTED_VALUE"""),25000.0)</f>
        <v>25000</v>
      </c>
      <c r="I684" s="32"/>
      <c r="J684" s="32"/>
      <c r="K684" s="32"/>
      <c r="L684" s="32"/>
      <c r="M684" s="32">
        <f>IFERROR(__xludf.DUMMYFUNCTION("""COMPUTED_VALUE"""),25000.0)</f>
        <v>25000</v>
      </c>
      <c r="N684" s="32"/>
      <c r="O684" s="32"/>
      <c r="P684" s="32"/>
      <c r="Q684" s="32"/>
      <c r="R684" s="32"/>
      <c r="S684" s="32">
        <f>IFERROR(__xludf.DUMMYFUNCTION("""COMPUTED_VALUE"""),25000.0)</f>
        <v>25000</v>
      </c>
      <c r="T684" s="32"/>
      <c r="U684" s="32"/>
      <c r="V684" s="32"/>
      <c r="W684" s="32"/>
      <c r="X684" s="32"/>
      <c r="Y684" s="32"/>
      <c r="Z684" s="32"/>
      <c r="AA684" s="32"/>
      <c r="AB684" s="32"/>
      <c r="AC684" s="32">
        <f>IFERROR(__xludf.DUMMYFUNCTION("""COMPUTED_VALUE"""),25000.0)</f>
        <v>25000</v>
      </c>
      <c r="AD684" s="32"/>
      <c r="AE684" s="32"/>
      <c r="AF684" s="32"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32" t="str">
        <f>IFERROR(__xludf.DUMMYFUNCTION("""COMPUTED_VALUE"""),"Land of Spira")</f>
        <v>Land of Spira</v>
      </c>
      <c r="AH684" s="32" t="b">
        <f>IFERROR(__xludf.DUMMYFUNCTION("""COMPUTED_VALUE"""),FALSE)</f>
        <v>0</v>
      </c>
      <c r="AI684" s="32"/>
      <c r="AJ684" s="32"/>
      <c r="AK684" s="32"/>
      <c r="AL684" s="32"/>
      <c r="AM684" s="32"/>
      <c r="AN684" s="32"/>
      <c r="AO684" s="32"/>
      <c r="AP684" s="32"/>
      <c r="AQ684" s="32"/>
      <c r="AR684" s="32"/>
      <c r="AS684" s="32"/>
      <c r="AT684" s="32"/>
      <c r="AU684" s="32"/>
      <c r="AV684" s="32"/>
      <c r="AW684" s="32"/>
      <c r="AX684" s="32"/>
    </row>
    <row r="685">
      <c r="A685" s="32" t="str">
        <f>IFERROR(__xludf.DUMMYFUNCTION("""COMPUTED_VALUE"""),"Frozen Spearman's Fur Boots")</f>
        <v>Frozen Spearman's Fur Boots</v>
      </c>
      <c r="B685" s="32" t="str">
        <f>IFERROR(__xludf.DUMMYFUNCTION("""COMPUTED_VALUE"""),"Feet")</f>
        <v>Feet</v>
      </c>
      <c r="C685" s="32"/>
      <c r="D685" s="32"/>
      <c r="E685" s="32">
        <f>IFERROR(__xludf.DUMMYFUNCTION("""COMPUTED_VALUE"""),200.0)</f>
        <v>200</v>
      </c>
      <c r="F685" s="44">
        <f>IFERROR(__xludf.DUMMYFUNCTION("""COMPUTED_VALUE"""),1.99E8)</f>
        <v>199000000</v>
      </c>
      <c r="G685" s="32" t="str">
        <f>IFERROR(__xludf.DUMMYFUNCTION("""COMPUTED_VALUE"""),"DEF")</f>
        <v>DEF</v>
      </c>
      <c r="H685" s="32">
        <f>IFERROR(__xludf.DUMMYFUNCTION("""COMPUTED_VALUE"""),25000.0)</f>
        <v>25000</v>
      </c>
      <c r="I685" s="32"/>
      <c r="J685" s="32"/>
      <c r="K685" s="32"/>
      <c r="L685" s="32"/>
      <c r="M685" s="32">
        <f>IFERROR(__xludf.DUMMYFUNCTION("""COMPUTED_VALUE"""),25000.0)</f>
        <v>25000</v>
      </c>
      <c r="N685" s="32"/>
      <c r="O685" s="32"/>
      <c r="P685" s="32"/>
      <c r="Q685" s="32"/>
      <c r="R685" s="32"/>
      <c r="S685" s="32">
        <f>IFERROR(__xludf.DUMMYFUNCTION("""COMPUTED_VALUE"""),25000.0)</f>
        <v>25000</v>
      </c>
      <c r="T685" s="32"/>
      <c r="U685" s="32"/>
      <c r="V685" s="32"/>
      <c r="W685" s="32"/>
      <c r="X685" s="32"/>
      <c r="Y685" s="32"/>
      <c r="Z685" s="32"/>
      <c r="AA685" s="32"/>
      <c r="AB685" s="32"/>
      <c r="AC685" s="32">
        <f>IFERROR(__xludf.DUMMYFUNCTION("""COMPUTED_VALUE"""),25000.0)</f>
        <v>25000</v>
      </c>
      <c r="AD685" s="32"/>
      <c r="AE685" s="32"/>
      <c r="AF685" s="32" t="str">
        <f>IFERROR(__xludf.DUMMYFUNCTION("""COMPUTED_VALUE"""),"++Frosty Footwork - Upon successfully hitting an enemy you can make a second attack")</f>
        <v>++Frosty Footwork - Upon successfully hitting an enemy you can make a second attack</v>
      </c>
      <c r="AG685" s="32" t="str">
        <f>IFERROR(__xludf.DUMMYFUNCTION("""COMPUTED_VALUE"""),"Land of Spira")</f>
        <v>Land of Spira</v>
      </c>
      <c r="AH685" s="32" t="b">
        <f>IFERROR(__xludf.DUMMYFUNCTION("""COMPUTED_VALUE"""),FALSE)</f>
        <v>0</v>
      </c>
      <c r="AI685" s="32"/>
      <c r="AJ685" s="32"/>
      <c r="AK685" s="32"/>
      <c r="AL685" s="32"/>
      <c r="AM685" s="32"/>
      <c r="AN685" s="32"/>
      <c r="AO685" s="32"/>
      <c r="AP685" s="32"/>
      <c r="AQ685" s="32"/>
      <c r="AR685" s="32"/>
      <c r="AS685" s="32"/>
      <c r="AT685" s="32"/>
      <c r="AU685" s="32"/>
      <c r="AV685" s="32"/>
      <c r="AW685" s="32"/>
      <c r="AX685" s="32"/>
    </row>
    <row r="686">
      <c r="A686" s="32" t="str">
        <f>IFERROR(__xludf.DUMMYFUNCTION("""COMPUTED_VALUE"""),"Frozen Spearman's Bracers")</f>
        <v>Frozen Spearman's Bracers</v>
      </c>
      <c r="B686" s="32" t="str">
        <f>IFERROR(__xludf.DUMMYFUNCTION("""COMPUTED_VALUE"""),"Arms")</f>
        <v>Arms</v>
      </c>
      <c r="C686" s="32"/>
      <c r="D686" s="32"/>
      <c r="E686" s="32">
        <f>IFERROR(__xludf.DUMMYFUNCTION("""COMPUTED_VALUE"""),200.0)</f>
        <v>200</v>
      </c>
      <c r="F686" s="44">
        <f>IFERROR(__xludf.DUMMYFUNCTION("""COMPUTED_VALUE"""),1.99E8)</f>
        <v>199000000</v>
      </c>
      <c r="G686" s="32" t="str">
        <f>IFERROR(__xludf.DUMMYFUNCTION("""COMPUTED_VALUE"""),"DEF")</f>
        <v>DEF</v>
      </c>
      <c r="H686" s="32">
        <f>IFERROR(__xludf.DUMMYFUNCTION("""COMPUTED_VALUE"""),25000.0)</f>
        <v>25000</v>
      </c>
      <c r="I686" s="32"/>
      <c r="J686" s="32"/>
      <c r="K686" s="32"/>
      <c r="L686" s="32"/>
      <c r="M686" s="32">
        <f>IFERROR(__xludf.DUMMYFUNCTION("""COMPUTED_VALUE"""),25000.0)</f>
        <v>25000</v>
      </c>
      <c r="N686" s="32"/>
      <c r="O686" s="32"/>
      <c r="P686" s="32"/>
      <c r="Q686" s="32"/>
      <c r="R686" s="32"/>
      <c r="S686" s="32">
        <f>IFERROR(__xludf.DUMMYFUNCTION("""COMPUTED_VALUE"""),25000.0)</f>
        <v>25000</v>
      </c>
      <c r="T686" s="32"/>
      <c r="U686" s="32"/>
      <c r="V686" s="32"/>
      <c r="W686" s="32"/>
      <c r="X686" s="32"/>
      <c r="Y686" s="32"/>
      <c r="Z686" s="32"/>
      <c r="AA686" s="32"/>
      <c r="AB686" s="32"/>
      <c r="AC686" s="32">
        <f>IFERROR(__xludf.DUMMYFUNCTION("""COMPUTED_VALUE"""),25000.0)</f>
        <v>25000</v>
      </c>
      <c r="AD686" s="32"/>
      <c r="AE686" s="32"/>
      <c r="AF686" s="32" t="str">
        <f>IFERROR(__xludf.DUMMYFUNCTION("""COMPUTED_VALUE"""),"++Queen's Counter - Upon successfully evading an attack you can Immediately attack the person who attacked you.")</f>
        <v>++Queen's Counter - Upon successfully evading an attack you can Immediately attack the person who attacked you.</v>
      </c>
      <c r="AG686" s="32" t="str">
        <f>IFERROR(__xludf.DUMMYFUNCTION("""COMPUTED_VALUE"""),"Land of Spira")</f>
        <v>Land of Spira</v>
      </c>
      <c r="AH686" s="32" t="b">
        <f>IFERROR(__xludf.DUMMYFUNCTION("""COMPUTED_VALUE"""),FALSE)</f>
        <v>0</v>
      </c>
      <c r="AI686" s="32"/>
      <c r="AJ686" s="32"/>
      <c r="AK686" s="32"/>
      <c r="AL686" s="32"/>
      <c r="AM686" s="32"/>
      <c r="AN686" s="32"/>
      <c r="AO686" s="32"/>
      <c r="AP686" s="32"/>
      <c r="AQ686" s="32"/>
      <c r="AR686" s="32"/>
      <c r="AS686" s="32"/>
      <c r="AT686" s="32"/>
      <c r="AU686" s="32"/>
      <c r="AV686" s="32"/>
      <c r="AW686" s="32"/>
      <c r="AX686" s="32"/>
    </row>
    <row r="687">
      <c r="A687" s="32" t="str">
        <f>IFERROR(__xludf.DUMMYFUNCTION("""COMPUTED_VALUE"""),"Frozen Spearman's Fur Cloak")</f>
        <v>Frozen Spearman's Fur Cloak</v>
      </c>
      <c r="B687" s="32" t="str">
        <f>IFERROR(__xludf.DUMMYFUNCTION("""COMPUTED_VALUE"""),"Pauldrons")</f>
        <v>Pauldrons</v>
      </c>
      <c r="C687" s="32"/>
      <c r="D687" s="32"/>
      <c r="E687" s="32">
        <f>IFERROR(__xludf.DUMMYFUNCTION("""COMPUTED_VALUE"""),200.0)</f>
        <v>200</v>
      </c>
      <c r="F687" s="44">
        <f>IFERROR(__xludf.DUMMYFUNCTION("""COMPUTED_VALUE"""),1.99E8)</f>
        <v>199000000</v>
      </c>
      <c r="G687" s="32" t="str">
        <f>IFERROR(__xludf.DUMMYFUNCTION("""COMPUTED_VALUE"""),"DEF")</f>
        <v>DEF</v>
      </c>
      <c r="H687" s="32">
        <f>IFERROR(__xludf.DUMMYFUNCTION("""COMPUTED_VALUE"""),25000.0)</f>
        <v>25000</v>
      </c>
      <c r="I687" s="32"/>
      <c r="J687" s="32"/>
      <c r="K687" s="32"/>
      <c r="L687" s="32"/>
      <c r="M687" s="32">
        <f>IFERROR(__xludf.DUMMYFUNCTION("""COMPUTED_VALUE"""),25000.0)</f>
        <v>25000</v>
      </c>
      <c r="N687" s="32"/>
      <c r="O687" s="32"/>
      <c r="P687" s="32"/>
      <c r="Q687" s="32"/>
      <c r="R687" s="32"/>
      <c r="S687" s="32">
        <f>IFERROR(__xludf.DUMMYFUNCTION("""COMPUTED_VALUE"""),25000.0)</f>
        <v>25000</v>
      </c>
      <c r="T687" s="32"/>
      <c r="U687" s="32"/>
      <c r="V687" s="32"/>
      <c r="W687" s="32"/>
      <c r="X687" s="32"/>
      <c r="Y687" s="32"/>
      <c r="Z687" s="32"/>
      <c r="AA687" s="32"/>
      <c r="AB687" s="32"/>
      <c r="AC687" s="32">
        <f>IFERROR(__xludf.DUMMYFUNCTION("""COMPUTED_VALUE"""),25000.0)</f>
        <v>25000</v>
      </c>
      <c r="AD687" s="32"/>
      <c r="AE687" s="32"/>
      <c r="AF687" s="32" t="str">
        <f>IFERROR(__xludf.DUMMYFUNCTION("""COMPUTED_VALUE"""),"++A Land of Ice and Snow - X4 Storm and Water damage")</f>
        <v>++A Land of Ice and Snow - X4 Storm and Water damage</v>
      </c>
      <c r="AG687" s="32" t="str">
        <f>IFERROR(__xludf.DUMMYFUNCTION("""COMPUTED_VALUE"""),"Land of Spira")</f>
        <v>Land of Spira</v>
      </c>
      <c r="AH687" s="32" t="b">
        <f>IFERROR(__xludf.DUMMYFUNCTION("""COMPUTED_VALUE"""),FALSE)</f>
        <v>0</v>
      </c>
      <c r="AI687" s="32"/>
      <c r="AJ687" s="32"/>
      <c r="AK687" s="32"/>
      <c r="AL687" s="32"/>
      <c r="AM687" s="32"/>
      <c r="AN687" s="32"/>
      <c r="AO687" s="32"/>
      <c r="AP687" s="32"/>
      <c r="AQ687" s="32"/>
      <c r="AR687" s="32"/>
      <c r="AS687" s="32"/>
      <c r="AT687" s="32"/>
      <c r="AU687" s="32"/>
      <c r="AV687" s="32"/>
      <c r="AW687" s="32"/>
      <c r="AX687" s="32"/>
    </row>
    <row r="688">
      <c r="A688" s="32" t="str">
        <f>IFERROR(__xludf.DUMMYFUNCTION("""COMPUTED_VALUE"""),"Frost Mage's Cloak")</f>
        <v>Frost Mage's Cloak</v>
      </c>
      <c r="B688" s="32" t="str">
        <f>IFERROR(__xludf.DUMMYFUNCTION("""COMPUTED_VALUE"""),"Torso")</f>
        <v>Torso</v>
      </c>
      <c r="C688" s="32"/>
      <c r="D688" s="32"/>
      <c r="E688" s="32">
        <f>IFERROR(__xludf.DUMMYFUNCTION("""COMPUTED_VALUE"""),200.0)</f>
        <v>200</v>
      </c>
      <c r="F688" s="44">
        <f>IFERROR(__xludf.DUMMYFUNCTION("""COMPUTED_VALUE"""),4350000.0)</f>
        <v>4350000</v>
      </c>
      <c r="G688" s="32" t="str">
        <f>IFERROR(__xludf.DUMMYFUNCTION("""COMPUTED_VALUE"""),"DEF")</f>
        <v>DEF</v>
      </c>
      <c r="H688" s="32"/>
      <c r="I688" s="32"/>
      <c r="J688" s="32"/>
      <c r="K688" s="32">
        <f>IFERROR(__xludf.DUMMYFUNCTION("""COMPUTED_VALUE"""),5000.0)</f>
        <v>5000</v>
      </c>
      <c r="L688" s="32">
        <f>IFERROR(__xludf.DUMMYFUNCTION("""COMPUTED_VALUE"""),5000.0)</f>
        <v>5000</v>
      </c>
      <c r="M688" s="32"/>
      <c r="N688" s="32"/>
      <c r="O688" s="32"/>
      <c r="P688" s="32"/>
      <c r="Q688" s="32"/>
      <c r="R688" s="32"/>
      <c r="S688" s="32"/>
      <c r="T688" s="32"/>
      <c r="U688" s="32"/>
      <c r="V688" s="32"/>
      <c r="W688" s="32"/>
      <c r="X688" s="32"/>
      <c r="Y688" s="32"/>
      <c r="Z688" s="32"/>
      <c r="AA688" s="32"/>
      <c r="AB688" s="32"/>
      <c r="AC688" s="32">
        <f>IFERROR(__xludf.DUMMYFUNCTION("""COMPUTED_VALUE"""),5000.0)</f>
        <v>5000</v>
      </c>
      <c r="AD688" s="32"/>
      <c r="AE688" s="32"/>
      <c r="AF688" s="32" t="str">
        <f>IFERROR(__xludf.DUMMYFUNCTION("""COMPUTED_VALUE"""),"++500HP, ++500SP, ++X4 Water and Storm Damage, ++Immunity to Freezing, +-Cannot be Duplicated.")</f>
        <v>++500HP, ++500SP, ++X4 Water and Storm Damage, ++Immunity to Freezing, +-Cannot be Duplicated.</v>
      </c>
      <c r="AG688" s="32" t="str">
        <f>IFERROR(__xludf.DUMMYFUNCTION("""COMPUTED_VALUE"""),"Land of Spira")</f>
        <v>Land of Spira</v>
      </c>
      <c r="AH688" s="32" t="b">
        <f>IFERROR(__xludf.DUMMYFUNCTION("""COMPUTED_VALUE"""),FALSE)</f>
        <v>0</v>
      </c>
      <c r="AI688" s="32"/>
      <c r="AJ688" s="32"/>
      <c r="AK688" s="32"/>
      <c r="AL688" s="32"/>
      <c r="AM688" s="32"/>
      <c r="AN688" s="32"/>
      <c r="AO688" s="32"/>
      <c r="AP688" s="32"/>
      <c r="AQ688" s="32"/>
      <c r="AR688" s="32"/>
      <c r="AS688" s="32"/>
      <c r="AT688" s="32"/>
      <c r="AU688" s="32"/>
      <c r="AV688" s="32"/>
      <c r="AW688" s="32"/>
      <c r="AX688" s="32"/>
    </row>
    <row r="689">
      <c r="A689" s="32" t="str">
        <f>IFERROR(__xludf.DUMMYFUNCTION("""COMPUTED_VALUE"""),"Frost Mage's Boots")</f>
        <v>Frost Mage's Boots</v>
      </c>
      <c r="B689" s="32" t="str">
        <f>IFERROR(__xludf.DUMMYFUNCTION("""COMPUTED_VALUE"""),"Feet")</f>
        <v>Feet</v>
      </c>
      <c r="C689" s="32"/>
      <c r="D689" s="32"/>
      <c r="E689" s="32">
        <f>IFERROR(__xludf.DUMMYFUNCTION("""COMPUTED_VALUE"""),200.0)</f>
        <v>200</v>
      </c>
      <c r="F689" s="44">
        <f>IFERROR(__xludf.DUMMYFUNCTION("""COMPUTED_VALUE"""),4350000.0)</f>
        <v>4350000</v>
      </c>
      <c r="G689" s="32" t="str">
        <f>IFERROR(__xludf.DUMMYFUNCTION("""COMPUTED_VALUE"""),"DEF")</f>
        <v>DEF</v>
      </c>
      <c r="H689" s="32"/>
      <c r="I689" s="32"/>
      <c r="J689" s="32"/>
      <c r="K689" s="32">
        <f>IFERROR(__xludf.DUMMYFUNCTION("""COMPUTED_VALUE"""),5000.0)</f>
        <v>5000</v>
      </c>
      <c r="L689" s="32">
        <f>IFERROR(__xludf.DUMMYFUNCTION("""COMPUTED_VALUE"""),5000.0)</f>
        <v>5000</v>
      </c>
      <c r="M689" s="32"/>
      <c r="N689" s="32"/>
      <c r="O689" s="32"/>
      <c r="P689" s="32"/>
      <c r="Q689" s="32"/>
      <c r="R689" s="32"/>
      <c r="S689" s="32"/>
      <c r="T689" s="32"/>
      <c r="U689" s="32"/>
      <c r="V689" s="32"/>
      <c r="W689" s="32"/>
      <c r="X689" s="32"/>
      <c r="Y689" s="32"/>
      <c r="Z689" s="32"/>
      <c r="AA689" s="32"/>
      <c r="AB689" s="32"/>
      <c r="AC689" s="32">
        <f>IFERROR(__xludf.DUMMYFUNCTION("""COMPUTED_VALUE"""),5000.0)</f>
        <v>5000</v>
      </c>
      <c r="AD689" s="32"/>
      <c r="AE689" s="32"/>
      <c r="AF689" s="32" t="str">
        <f>IFERROR(__xludf.DUMMYFUNCTION("""COMPUTED_VALUE"""),"++500HP, ++500SP, ++X4 Water and Storm Damage, ++Immunity to Freezing, +-Cannot be Duplicated.")</f>
        <v>++500HP, ++500SP, ++X4 Water and Storm Damage, ++Immunity to Freezing, +-Cannot be Duplicated.</v>
      </c>
      <c r="AG689" s="32" t="str">
        <f>IFERROR(__xludf.DUMMYFUNCTION("""COMPUTED_VALUE"""),"Land of Spira")</f>
        <v>Land of Spira</v>
      </c>
      <c r="AH689" s="32" t="b">
        <f>IFERROR(__xludf.DUMMYFUNCTION("""COMPUTED_VALUE"""),FALSE)</f>
        <v>0</v>
      </c>
      <c r="AI689" s="32"/>
      <c r="AJ689" s="32"/>
      <c r="AK689" s="32"/>
      <c r="AL689" s="32"/>
      <c r="AM689" s="32"/>
      <c r="AN689" s="32"/>
      <c r="AO689" s="32"/>
      <c r="AP689" s="32"/>
      <c r="AQ689" s="32"/>
      <c r="AR689" s="32"/>
      <c r="AS689" s="32"/>
      <c r="AT689" s="32"/>
      <c r="AU689" s="32"/>
      <c r="AV689" s="32"/>
      <c r="AW689" s="32"/>
      <c r="AX689" s="32"/>
    </row>
    <row r="690">
      <c r="A690" s="32" t="str">
        <f>IFERROR(__xludf.DUMMYFUNCTION("""COMPUTED_VALUE"""),"Frost Mage's Hood")</f>
        <v>Frost Mage's Hood</v>
      </c>
      <c r="B690" s="32" t="str">
        <f>IFERROR(__xludf.DUMMYFUNCTION("""COMPUTED_VALUE"""),"Head")</f>
        <v>Head</v>
      </c>
      <c r="C690" s="32"/>
      <c r="D690" s="32"/>
      <c r="E690" s="32">
        <f>IFERROR(__xludf.DUMMYFUNCTION("""COMPUTED_VALUE"""),200.0)</f>
        <v>200</v>
      </c>
      <c r="F690" s="44">
        <f>IFERROR(__xludf.DUMMYFUNCTION("""COMPUTED_VALUE"""),4350000.0)</f>
        <v>4350000</v>
      </c>
      <c r="G690" s="32" t="str">
        <f>IFERROR(__xludf.DUMMYFUNCTION("""COMPUTED_VALUE"""),"DEF")</f>
        <v>DEF</v>
      </c>
      <c r="H690" s="32"/>
      <c r="I690" s="32"/>
      <c r="J690" s="32"/>
      <c r="K690" s="32">
        <f>IFERROR(__xludf.DUMMYFUNCTION("""COMPUTED_VALUE"""),5000.0)</f>
        <v>5000</v>
      </c>
      <c r="L690" s="32">
        <f>IFERROR(__xludf.DUMMYFUNCTION("""COMPUTED_VALUE"""),5000.0)</f>
        <v>5000</v>
      </c>
      <c r="M690" s="32"/>
      <c r="N690" s="32"/>
      <c r="O690" s="32"/>
      <c r="P690" s="32"/>
      <c r="Q690" s="32"/>
      <c r="R690" s="32"/>
      <c r="S690" s="32"/>
      <c r="T690" s="32"/>
      <c r="U690" s="32"/>
      <c r="V690" s="32"/>
      <c r="W690" s="32"/>
      <c r="X690" s="32"/>
      <c r="Y690" s="32"/>
      <c r="Z690" s="32"/>
      <c r="AA690" s="32"/>
      <c r="AB690" s="32"/>
      <c r="AC690" s="32">
        <f>IFERROR(__xludf.DUMMYFUNCTION("""COMPUTED_VALUE"""),5000.0)</f>
        <v>5000</v>
      </c>
      <c r="AD690" s="32"/>
      <c r="AE690" s="32"/>
      <c r="AF690" s="32" t="str">
        <f>IFERROR(__xludf.DUMMYFUNCTION("""COMPUTED_VALUE"""),"++500HP, ++500SP, ++X4 Water and Storm Damage, ++Immunity to Freezing, +-Cannot be Duplicated.")</f>
        <v>++500HP, ++500SP, ++X4 Water and Storm Damage, ++Immunity to Freezing, +-Cannot be Duplicated.</v>
      </c>
      <c r="AG690" s="32" t="str">
        <f>IFERROR(__xludf.DUMMYFUNCTION("""COMPUTED_VALUE"""),"Land of Spira")</f>
        <v>Land of Spira</v>
      </c>
      <c r="AH690" s="32" t="b">
        <f>IFERROR(__xludf.DUMMYFUNCTION("""COMPUTED_VALUE"""),FALSE)</f>
        <v>0</v>
      </c>
      <c r="AI690" s="32"/>
      <c r="AJ690" s="32"/>
      <c r="AK690" s="32"/>
      <c r="AL690" s="32"/>
      <c r="AM690" s="32"/>
      <c r="AN690" s="32"/>
      <c r="AO690" s="32"/>
      <c r="AP690" s="32"/>
      <c r="AQ690" s="32"/>
      <c r="AR690" s="32"/>
      <c r="AS690" s="32"/>
      <c r="AT690" s="32"/>
      <c r="AU690" s="32"/>
      <c r="AV690" s="32"/>
      <c r="AW690" s="32"/>
      <c r="AX690" s="32"/>
    </row>
    <row r="691">
      <c r="A691" s="32" t="str">
        <f>IFERROR(__xludf.DUMMYFUNCTION("""COMPUTED_VALUE"""),"Crown of Frozen Swords")</f>
        <v>Crown of Frozen Swords</v>
      </c>
      <c r="B691" s="32" t="str">
        <f>IFERROR(__xludf.DUMMYFUNCTION("""COMPUTED_VALUE"""),"Head")</f>
        <v>Head</v>
      </c>
      <c r="C691" s="32"/>
      <c r="D691" s="32"/>
      <c r="E691" s="32">
        <f>IFERROR(__xludf.DUMMYFUNCTION("""COMPUTED_VALUE"""),200.0)</f>
        <v>200</v>
      </c>
      <c r="F691" s="44">
        <f>IFERROR(__xludf.DUMMYFUNCTION("""COMPUTED_VALUE"""),7.98E8)</f>
        <v>798000000</v>
      </c>
      <c r="G691" s="32" t="str">
        <f>IFERROR(__xludf.DUMMYFUNCTION("""COMPUTED_VALUE"""),"DEF")</f>
        <v>DEF</v>
      </c>
      <c r="H691" s="32">
        <f>IFERROR(__xludf.DUMMYFUNCTION("""COMPUTED_VALUE"""),50000.0)</f>
        <v>50000</v>
      </c>
      <c r="I691" s="32"/>
      <c r="J691" s="32"/>
      <c r="K691" s="32"/>
      <c r="L691" s="32"/>
      <c r="M691" s="32">
        <f>IFERROR(__xludf.DUMMYFUNCTION("""COMPUTED_VALUE"""),50000.0)</f>
        <v>50000</v>
      </c>
      <c r="N691" s="32"/>
      <c r="O691" s="32"/>
      <c r="P691" s="32"/>
      <c r="Q691" s="32"/>
      <c r="R691" s="32"/>
      <c r="S691" s="32">
        <f>IFERROR(__xludf.DUMMYFUNCTION("""COMPUTED_VALUE"""),50000.0)</f>
        <v>50000</v>
      </c>
      <c r="T691" s="32"/>
      <c r="U691" s="32"/>
      <c r="V691" s="32"/>
      <c r="W691" s="32"/>
      <c r="X691" s="32"/>
      <c r="Y691" s="32"/>
      <c r="Z691" s="32"/>
      <c r="AA691" s="32"/>
      <c r="AB691" s="32"/>
      <c r="AC691" s="32">
        <f>IFERROR(__xludf.DUMMYFUNCTION("""COMPUTED_VALUE"""),50000.0)</f>
        <v>50000</v>
      </c>
      <c r="AD691" s="32"/>
      <c r="AE691" s="32"/>
      <c r="AF691" s="32" t="str">
        <f>IFERROR(__xludf.DUMMYFUNCTION("""COMPUTED_VALUE"""),"++King of The Frozen Wastes - X2 Storm damage ++15% chance to hit all enemies with a weapon attack")</f>
        <v>++King of The Frozen Wastes - X2 Storm damage ++15% chance to hit all enemies with a weapon attack</v>
      </c>
      <c r="AG691" s="32" t="str">
        <f>IFERROR(__xludf.DUMMYFUNCTION("""COMPUTED_VALUE"""),"Land of Spira")</f>
        <v>Land of Spira</v>
      </c>
      <c r="AH691" s="32" t="b">
        <f>IFERROR(__xludf.DUMMYFUNCTION("""COMPUTED_VALUE"""),FALSE)</f>
        <v>0</v>
      </c>
      <c r="AI691" s="32"/>
      <c r="AJ691" s="32"/>
      <c r="AK691" s="32"/>
      <c r="AL691" s="32"/>
      <c r="AM691" s="32"/>
      <c r="AN691" s="32"/>
      <c r="AO691" s="32"/>
      <c r="AP691" s="32"/>
      <c r="AQ691" s="32"/>
      <c r="AR691" s="32"/>
      <c r="AS691" s="32"/>
      <c r="AT691" s="32"/>
      <c r="AU691" s="32"/>
      <c r="AV691" s="32"/>
      <c r="AW691" s="32"/>
      <c r="AX691" s="32"/>
    </row>
    <row r="692">
      <c r="A692" s="32" t="str">
        <f>IFERROR(__xludf.DUMMYFUNCTION("""COMPUTED_VALUE"""),"Frost-bitten Cape")</f>
        <v>Frost-bitten Cape</v>
      </c>
      <c r="B692" s="32" t="str">
        <f>IFERROR(__xludf.DUMMYFUNCTION("""COMPUTED_VALUE"""),"Shoulders")</f>
        <v>Shoulders</v>
      </c>
      <c r="C692" s="32"/>
      <c r="D692" s="32"/>
      <c r="E692" s="32">
        <f>IFERROR(__xludf.DUMMYFUNCTION("""COMPUTED_VALUE"""),200.0)</f>
        <v>200</v>
      </c>
      <c r="F692" s="44">
        <f>IFERROR(__xludf.DUMMYFUNCTION("""COMPUTED_VALUE"""),7.98E8)</f>
        <v>798000000</v>
      </c>
      <c r="G692" s="32" t="str">
        <f>IFERROR(__xludf.DUMMYFUNCTION("""COMPUTED_VALUE"""),"DEF")</f>
        <v>DEF</v>
      </c>
      <c r="H692" s="32">
        <f>IFERROR(__xludf.DUMMYFUNCTION("""COMPUTED_VALUE"""),50000.0)</f>
        <v>50000</v>
      </c>
      <c r="I692" s="32"/>
      <c r="J692" s="32"/>
      <c r="K692" s="32"/>
      <c r="L692" s="32"/>
      <c r="M692" s="32">
        <f>IFERROR(__xludf.DUMMYFUNCTION("""COMPUTED_VALUE"""),50000.0)</f>
        <v>50000</v>
      </c>
      <c r="N692" s="32"/>
      <c r="O692" s="32"/>
      <c r="P692" s="32"/>
      <c r="Q692" s="32"/>
      <c r="R692" s="32"/>
      <c r="S692" s="32">
        <f>IFERROR(__xludf.DUMMYFUNCTION("""COMPUTED_VALUE"""),50000.0)</f>
        <v>50000</v>
      </c>
      <c r="T692" s="32"/>
      <c r="U692" s="32"/>
      <c r="V692" s="32"/>
      <c r="W692" s="32"/>
      <c r="X692" s="32"/>
      <c r="Y692" s="32"/>
      <c r="Z692" s="32"/>
      <c r="AA692" s="32"/>
      <c r="AB692" s="32"/>
      <c r="AC692" s="32">
        <f>IFERROR(__xludf.DUMMYFUNCTION("""COMPUTED_VALUE"""),50000.0)</f>
        <v>50000</v>
      </c>
      <c r="AD692" s="32"/>
      <c r="AE692" s="32"/>
      <c r="AF692" s="32" t="str">
        <f>IFERROR(__xludf.DUMMYFUNCTION("""COMPUTED_VALUE"""),"++Frostbite - Enemies hit with a weapon attack take 5000 Storm damage per round for 3 rounds")</f>
        <v>++Frostbite - Enemies hit with a weapon attack take 5000 Storm damage per round for 3 rounds</v>
      </c>
      <c r="AG692" s="32" t="str">
        <f>IFERROR(__xludf.DUMMYFUNCTION("""COMPUTED_VALUE"""),"Land of Spira")</f>
        <v>Land of Spira</v>
      </c>
      <c r="AH692" s="32" t="b">
        <f>IFERROR(__xludf.DUMMYFUNCTION("""COMPUTED_VALUE"""),FALSE)</f>
        <v>0</v>
      </c>
      <c r="AI692" s="32"/>
      <c r="AJ692" s="32"/>
      <c r="AK692" s="32"/>
      <c r="AL692" s="32"/>
      <c r="AM692" s="32"/>
      <c r="AN692" s="32"/>
      <c r="AO692" s="32"/>
      <c r="AP692" s="32"/>
      <c r="AQ692" s="32"/>
      <c r="AR692" s="32"/>
      <c r="AS692" s="32"/>
      <c r="AT692" s="32"/>
      <c r="AU692" s="32"/>
      <c r="AV692" s="32"/>
      <c r="AW692" s="32"/>
      <c r="AX692" s="32"/>
    </row>
    <row r="693">
      <c r="A693" s="32" t="str">
        <f>IFERROR(__xludf.DUMMYFUNCTION("""COMPUTED_VALUE"""),"Ice-steel Pauldrons")</f>
        <v>Ice-steel Pauldrons</v>
      </c>
      <c r="B693" s="32" t="str">
        <f>IFERROR(__xludf.DUMMYFUNCTION("""COMPUTED_VALUE"""),"Shoulders")</f>
        <v>Shoulders</v>
      </c>
      <c r="C693" s="32"/>
      <c r="D693" s="32"/>
      <c r="E693" s="32">
        <f>IFERROR(__xludf.DUMMYFUNCTION("""COMPUTED_VALUE"""),200.0)</f>
        <v>200</v>
      </c>
      <c r="F693" s="44">
        <f>IFERROR(__xludf.DUMMYFUNCTION("""COMPUTED_VALUE"""),7.98E8)</f>
        <v>798000000</v>
      </c>
      <c r="G693" s="32" t="str">
        <f>IFERROR(__xludf.DUMMYFUNCTION("""COMPUTED_VALUE"""),"DEF")</f>
        <v>DEF</v>
      </c>
      <c r="H693" s="32">
        <f>IFERROR(__xludf.DUMMYFUNCTION("""COMPUTED_VALUE"""),50000.0)</f>
        <v>50000</v>
      </c>
      <c r="I693" s="32"/>
      <c r="J693" s="32"/>
      <c r="K693" s="32"/>
      <c r="L693" s="32"/>
      <c r="M693" s="32">
        <f>IFERROR(__xludf.DUMMYFUNCTION("""COMPUTED_VALUE"""),50000.0)</f>
        <v>50000</v>
      </c>
      <c r="N693" s="32"/>
      <c r="O693" s="32"/>
      <c r="P693" s="32"/>
      <c r="Q693" s="32"/>
      <c r="R693" s="32"/>
      <c r="S693" s="32">
        <f>IFERROR(__xludf.DUMMYFUNCTION("""COMPUTED_VALUE"""),50000.0)</f>
        <v>50000</v>
      </c>
      <c r="T693" s="32"/>
      <c r="U693" s="32"/>
      <c r="V693" s="32"/>
      <c r="W693" s="32"/>
      <c r="X693" s="32"/>
      <c r="Y693" s="32"/>
      <c r="Z693" s="32"/>
      <c r="AA693" s="32"/>
      <c r="AB693" s="32"/>
      <c r="AC693" s="32">
        <f>IFERROR(__xludf.DUMMYFUNCTION("""COMPUTED_VALUE"""),50000.0)</f>
        <v>50000</v>
      </c>
      <c r="AD693" s="32"/>
      <c r="AE693" s="32"/>
      <c r="AF693" s="32" t="str">
        <f>IFERROR(__xludf.DUMMYFUNCTION("""COMPUTED_VALUE"""),"++Cold Shoulder - Immunity to freeze")</f>
        <v>++Cold Shoulder - Immunity to freeze</v>
      </c>
      <c r="AG693" s="32" t="str">
        <f>IFERROR(__xludf.DUMMYFUNCTION("""COMPUTED_VALUE"""),"Land of Spira")</f>
        <v>Land of Spira</v>
      </c>
      <c r="AH693" s="32" t="b">
        <f>IFERROR(__xludf.DUMMYFUNCTION("""COMPUTED_VALUE"""),FALSE)</f>
        <v>0</v>
      </c>
      <c r="AI693" s="32"/>
      <c r="AJ693" s="32"/>
      <c r="AK693" s="32"/>
      <c r="AL693" s="32"/>
      <c r="AM693" s="32"/>
      <c r="AN693" s="32"/>
      <c r="AO693" s="32"/>
      <c r="AP693" s="32"/>
      <c r="AQ693" s="32"/>
      <c r="AR693" s="32"/>
      <c r="AS693" s="32"/>
      <c r="AT693" s="32"/>
      <c r="AU693" s="32"/>
      <c r="AV693" s="32"/>
      <c r="AW693" s="32"/>
      <c r="AX693" s="32"/>
    </row>
    <row r="694">
      <c r="A694" s="32" t="str">
        <f>IFERROR(__xludf.DUMMYFUNCTION("""COMPUTED_VALUE"""),"Ice-steel Bracers")</f>
        <v>Ice-steel Bracers</v>
      </c>
      <c r="B694" s="32" t="str">
        <f>IFERROR(__xludf.DUMMYFUNCTION("""COMPUTED_VALUE"""),"Arms")</f>
        <v>Arms</v>
      </c>
      <c r="C694" s="32"/>
      <c r="D694" s="32"/>
      <c r="E694" s="32">
        <f>IFERROR(__xludf.DUMMYFUNCTION("""COMPUTED_VALUE"""),200.0)</f>
        <v>200</v>
      </c>
      <c r="F694" s="44">
        <f>IFERROR(__xludf.DUMMYFUNCTION("""COMPUTED_VALUE"""),7.98E8)</f>
        <v>798000000</v>
      </c>
      <c r="G694" s="32" t="str">
        <f>IFERROR(__xludf.DUMMYFUNCTION("""COMPUTED_VALUE"""),"DEF")</f>
        <v>DEF</v>
      </c>
      <c r="H694" s="32">
        <f>IFERROR(__xludf.DUMMYFUNCTION("""COMPUTED_VALUE"""),50000.0)</f>
        <v>50000</v>
      </c>
      <c r="I694" s="32"/>
      <c r="J694" s="32"/>
      <c r="K694" s="32"/>
      <c r="L694" s="32"/>
      <c r="M694" s="32">
        <f>IFERROR(__xludf.DUMMYFUNCTION("""COMPUTED_VALUE"""),50000.0)</f>
        <v>50000</v>
      </c>
      <c r="N694" s="32"/>
      <c r="O694" s="32"/>
      <c r="P694" s="32"/>
      <c r="Q694" s="32"/>
      <c r="R694" s="32"/>
      <c r="S694" s="32">
        <f>IFERROR(__xludf.DUMMYFUNCTION("""COMPUTED_VALUE"""),50000.0)</f>
        <v>50000</v>
      </c>
      <c r="T694" s="32"/>
      <c r="U694" s="32"/>
      <c r="V694" s="32"/>
      <c r="W694" s="32"/>
      <c r="X694" s="32"/>
      <c r="Y694" s="32"/>
      <c r="Z694" s="32"/>
      <c r="AA694" s="32"/>
      <c r="AB694" s="32"/>
      <c r="AC694" s="32">
        <f>IFERROR(__xludf.DUMMYFUNCTION("""COMPUTED_VALUE"""),50000.0)</f>
        <v>50000</v>
      </c>
      <c r="AD694" s="32"/>
      <c r="AE694" s="32"/>
      <c r="AF694" s="32"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32" t="str">
        <f>IFERROR(__xludf.DUMMYFUNCTION("""COMPUTED_VALUE"""),"Land of Spira")</f>
        <v>Land of Spira</v>
      </c>
      <c r="AH694" s="32" t="b">
        <f>IFERROR(__xludf.DUMMYFUNCTION("""COMPUTED_VALUE"""),FALSE)</f>
        <v>0</v>
      </c>
      <c r="AI694" s="32"/>
      <c r="AJ694" s="32"/>
      <c r="AK694" s="32"/>
      <c r="AL694" s="32"/>
      <c r="AM694" s="32"/>
      <c r="AN694" s="32"/>
      <c r="AO694" s="32"/>
      <c r="AP694" s="32"/>
      <c r="AQ694" s="32"/>
      <c r="AR694" s="32"/>
      <c r="AS694" s="32"/>
      <c r="AT694" s="32"/>
      <c r="AU694" s="32"/>
      <c r="AV694" s="32"/>
      <c r="AW694" s="32"/>
      <c r="AX694" s="32"/>
    </row>
    <row r="695">
      <c r="A695" s="32" t="str">
        <f>IFERROR(__xludf.DUMMYFUNCTION("""COMPUTED_VALUE"""),"Ice-steel Chausses")</f>
        <v>Ice-steel Chausses</v>
      </c>
      <c r="B695" s="32" t="str">
        <f>IFERROR(__xludf.DUMMYFUNCTION("""COMPUTED_VALUE"""),"Legs")</f>
        <v>Legs</v>
      </c>
      <c r="C695" s="32" t="str">
        <f>IFERROR(__xludf.DUMMYFUNCTION("""COMPUTED_VALUE"""),"The chinks in the armor suggest a lack of care over the past years.")</f>
        <v>The chinks in the armor suggest a lack of care over the past years.</v>
      </c>
      <c r="D695" s="32"/>
      <c r="E695" s="32">
        <f>IFERROR(__xludf.DUMMYFUNCTION("""COMPUTED_VALUE"""),200.0)</f>
        <v>200</v>
      </c>
      <c r="F695" s="44">
        <f>IFERROR(__xludf.DUMMYFUNCTION("""COMPUTED_VALUE"""),7.98E8)</f>
        <v>798000000</v>
      </c>
      <c r="G695" s="32" t="str">
        <f>IFERROR(__xludf.DUMMYFUNCTION("""COMPUTED_VALUE"""),"DEF")</f>
        <v>DEF</v>
      </c>
      <c r="H695" s="32">
        <f>IFERROR(__xludf.DUMMYFUNCTION("""COMPUTED_VALUE"""),50000.0)</f>
        <v>50000</v>
      </c>
      <c r="I695" s="32"/>
      <c r="J695" s="32"/>
      <c r="K695" s="32"/>
      <c r="L695" s="32"/>
      <c r="M695" s="32">
        <f>IFERROR(__xludf.DUMMYFUNCTION("""COMPUTED_VALUE"""),50000.0)</f>
        <v>50000</v>
      </c>
      <c r="N695" s="32"/>
      <c r="O695" s="32"/>
      <c r="P695" s="32"/>
      <c r="Q695" s="32"/>
      <c r="R695" s="32"/>
      <c r="S695" s="32">
        <f>IFERROR(__xludf.DUMMYFUNCTION("""COMPUTED_VALUE"""),50000.0)</f>
        <v>50000</v>
      </c>
      <c r="T695" s="32"/>
      <c r="U695" s="32"/>
      <c r="V695" s="32"/>
      <c r="W695" s="32"/>
      <c r="X695" s="32"/>
      <c r="Y695" s="32"/>
      <c r="Z695" s="32"/>
      <c r="AA695" s="32"/>
      <c r="AB695" s="32"/>
      <c r="AC695" s="32">
        <f>IFERROR(__xludf.DUMMYFUNCTION("""COMPUTED_VALUE"""),50000.0)</f>
        <v>50000</v>
      </c>
      <c r="AD695" s="32"/>
      <c r="AE695" s="32"/>
      <c r="AF695" s="32" t="str">
        <f>IFERROR(__xludf.DUMMYFUNCTION("""COMPUTED_VALUE"""),"++X2 Weapon Damage")</f>
        <v>++X2 Weapon Damage</v>
      </c>
      <c r="AG695" s="32" t="str">
        <f>IFERROR(__xludf.DUMMYFUNCTION("""COMPUTED_VALUE"""),"Land of Spira")</f>
        <v>Land of Spira</v>
      </c>
      <c r="AH695" s="32" t="b">
        <f>IFERROR(__xludf.DUMMYFUNCTION("""COMPUTED_VALUE"""),FALSE)</f>
        <v>0</v>
      </c>
      <c r="AI695" s="32"/>
      <c r="AJ695" s="32"/>
      <c r="AK695" s="32"/>
      <c r="AL695" s="32"/>
      <c r="AM695" s="32"/>
      <c r="AN695" s="32"/>
      <c r="AO695" s="32"/>
      <c r="AP695" s="32"/>
      <c r="AQ695" s="32"/>
      <c r="AR695" s="32"/>
      <c r="AS695" s="32"/>
      <c r="AT695" s="32"/>
      <c r="AU695" s="32"/>
      <c r="AV695" s="32"/>
      <c r="AW695" s="32"/>
      <c r="AX695" s="32"/>
    </row>
    <row r="696">
      <c r="A696" s="32" t="str">
        <f>IFERROR(__xludf.DUMMYFUNCTION("""COMPUTED_VALUE"""),"Frost Stompers")</f>
        <v>Frost Stompers</v>
      </c>
      <c r="B696" s="32" t="str">
        <f>IFERROR(__xludf.DUMMYFUNCTION("""COMPUTED_VALUE"""),"Feet")</f>
        <v>Feet</v>
      </c>
      <c r="C696" s="32" t="str">
        <f>IFERROR(__xludf.DUMMYFUNCTION("""COMPUTED_VALUE"""),"These frozen iron boots are covered in a layer of permafrost, it seems as though they'll never thaw.")</f>
        <v>These frozen iron boots are covered in a layer of permafrost, it seems as though they'll never thaw.</v>
      </c>
      <c r="D696" s="32"/>
      <c r="E696" s="32">
        <f>IFERROR(__xludf.DUMMYFUNCTION("""COMPUTED_VALUE"""),200.0)</f>
        <v>200</v>
      </c>
      <c r="F696" s="44">
        <f>IFERROR(__xludf.DUMMYFUNCTION("""COMPUTED_VALUE"""),7.98E8)</f>
        <v>798000000</v>
      </c>
      <c r="G696" s="32" t="str">
        <f>IFERROR(__xludf.DUMMYFUNCTION("""COMPUTED_VALUE"""),"DEF")</f>
        <v>DEF</v>
      </c>
      <c r="H696" s="32">
        <f>IFERROR(__xludf.DUMMYFUNCTION("""COMPUTED_VALUE"""),50000.0)</f>
        <v>50000</v>
      </c>
      <c r="I696" s="32"/>
      <c r="J696" s="32"/>
      <c r="K696" s="32"/>
      <c r="L696" s="32"/>
      <c r="M696" s="32">
        <f>IFERROR(__xludf.DUMMYFUNCTION("""COMPUTED_VALUE"""),50000.0)</f>
        <v>50000</v>
      </c>
      <c r="N696" s="32"/>
      <c r="O696" s="32"/>
      <c r="P696" s="32"/>
      <c r="Q696" s="32"/>
      <c r="R696" s="32"/>
      <c r="S696" s="32">
        <f>IFERROR(__xludf.DUMMYFUNCTION("""COMPUTED_VALUE"""),50000.0)</f>
        <v>50000</v>
      </c>
      <c r="T696" s="32"/>
      <c r="U696" s="32"/>
      <c r="V696" s="32"/>
      <c r="W696" s="32"/>
      <c r="X696" s="32"/>
      <c r="Y696" s="32"/>
      <c r="Z696" s="32"/>
      <c r="AA696" s="32"/>
      <c r="AB696" s="32"/>
      <c r="AC696" s="32">
        <f>IFERROR(__xludf.DUMMYFUNCTION("""COMPUTED_VALUE"""),50000.0)</f>
        <v>50000</v>
      </c>
      <c r="AD696" s="32"/>
      <c r="AE696" s="32"/>
      <c r="AF696" s="32" t="str">
        <f>IFERROR(__xludf.DUMMYFUNCTION("""COMPUTED_VALUE"""),"++X2 Storm Damage")</f>
        <v>++X2 Storm Damage</v>
      </c>
      <c r="AG696" s="32" t="str">
        <f>IFERROR(__xludf.DUMMYFUNCTION("""COMPUTED_VALUE"""),"Land of Spira")</f>
        <v>Land of Spira</v>
      </c>
      <c r="AH696" s="32" t="b">
        <f>IFERROR(__xludf.DUMMYFUNCTION("""COMPUTED_VALUE"""),FALSE)</f>
        <v>0</v>
      </c>
      <c r="AI696" s="32"/>
      <c r="AJ696" s="32"/>
      <c r="AK696" s="32"/>
      <c r="AL696" s="32"/>
      <c r="AM696" s="32"/>
      <c r="AN696" s="32"/>
      <c r="AO696" s="32"/>
      <c r="AP696" s="32"/>
      <c r="AQ696" s="32"/>
      <c r="AR696" s="32"/>
      <c r="AS696" s="32"/>
      <c r="AT696" s="32"/>
      <c r="AU696" s="32"/>
      <c r="AV696" s="32"/>
      <c r="AW696" s="32"/>
      <c r="AX696" s="32"/>
    </row>
    <row r="697">
      <c r="A697" s="32" t="str">
        <f>IFERROR(__xludf.DUMMYFUNCTION("""COMPUTED_VALUE"""),"Plate of the Frozen Sun")</f>
        <v>Plate of the Frozen Sun</v>
      </c>
      <c r="B697" s="32" t="str">
        <f>IFERROR(__xludf.DUMMYFUNCTION("""COMPUTED_VALUE"""),"Torso")</f>
        <v>Torso</v>
      </c>
      <c r="C697" s="32" t="str">
        <f>IFERROR(__xludf.DUMMYFUNCTION("""COMPUTED_VALUE"""),"""The king was not always as he is now, but the yearly curse of the ice mage has him colder than usual"" ~old man")</f>
        <v>"The king was not always as he is now, but the yearly curse of the ice mage has him colder than usual" ~old man</v>
      </c>
      <c r="D697" s="32"/>
      <c r="E697" s="32">
        <f>IFERROR(__xludf.DUMMYFUNCTION("""COMPUTED_VALUE"""),200.0)</f>
        <v>200</v>
      </c>
      <c r="F697" s="44">
        <f>IFERROR(__xludf.DUMMYFUNCTION("""COMPUTED_VALUE"""),7.98E8)</f>
        <v>798000000</v>
      </c>
      <c r="G697" s="32" t="str">
        <f>IFERROR(__xludf.DUMMYFUNCTION("""COMPUTED_VALUE"""),"DEF")</f>
        <v>DEF</v>
      </c>
      <c r="H697" s="32">
        <f>IFERROR(__xludf.DUMMYFUNCTION("""COMPUTED_VALUE"""),50000.0)</f>
        <v>50000</v>
      </c>
      <c r="I697" s="32"/>
      <c r="J697" s="32"/>
      <c r="K697" s="32"/>
      <c r="L697" s="32"/>
      <c r="M697" s="32">
        <f>IFERROR(__xludf.DUMMYFUNCTION("""COMPUTED_VALUE"""),50000.0)</f>
        <v>50000</v>
      </c>
      <c r="N697" s="32"/>
      <c r="O697" s="32"/>
      <c r="P697" s="32"/>
      <c r="Q697" s="32"/>
      <c r="R697" s="32"/>
      <c r="S697" s="32">
        <f>IFERROR(__xludf.DUMMYFUNCTION("""COMPUTED_VALUE"""),50000.0)</f>
        <v>50000</v>
      </c>
      <c r="T697" s="32"/>
      <c r="U697" s="32"/>
      <c r="V697" s="32"/>
      <c r="W697" s="32"/>
      <c r="X697" s="32"/>
      <c r="Y697" s="32"/>
      <c r="Z697" s="32"/>
      <c r="AA697" s="32"/>
      <c r="AB697" s="32"/>
      <c r="AC697" s="32">
        <f>IFERROR(__xludf.DUMMYFUNCTION("""COMPUTED_VALUE"""),50000.0)</f>
        <v>50000</v>
      </c>
      <c r="AD697" s="32"/>
      <c r="AE697" s="32"/>
      <c r="AF697" s="32"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32" t="str">
        <f>IFERROR(__xludf.DUMMYFUNCTION("""COMPUTED_VALUE"""),"Land of Spira")</f>
        <v>Land of Spira</v>
      </c>
      <c r="AH697" s="32" t="b">
        <f>IFERROR(__xludf.DUMMYFUNCTION("""COMPUTED_VALUE"""),FALSE)</f>
        <v>0</v>
      </c>
      <c r="AI697" s="32"/>
      <c r="AJ697" s="32"/>
      <c r="AK697" s="32"/>
      <c r="AL697" s="32"/>
      <c r="AM697" s="32"/>
      <c r="AN697" s="32"/>
      <c r="AO697" s="32"/>
      <c r="AP697" s="32"/>
      <c r="AQ697" s="32"/>
      <c r="AR697" s="32"/>
      <c r="AS697" s="32"/>
      <c r="AT697" s="32"/>
      <c r="AU697" s="32"/>
      <c r="AV697" s="32"/>
      <c r="AW697" s="32"/>
      <c r="AX697" s="32"/>
    </row>
    <row r="698">
      <c r="A698" s="32" t="str">
        <f>IFERROR(__xludf.DUMMYFUNCTION("""COMPUTED_VALUE"""),"Frost Mage's Staff")</f>
        <v>Frost Mage's Staff</v>
      </c>
      <c r="B698" s="32" t="str">
        <f>IFERROR(__xludf.DUMMYFUNCTION("""COMPUTED_VALUE"""),"Hand")</f>
        <v>Hand</v>
      </c>
      <c r="C698" s="32" t="str">
        <f>IFERROR(__xludf.DUMMYFUNCTION("""COMPUTED_VALUE"""),"""FREEZE"" ~Frost mage")</f>
        <v>"FREEZE" ~Frost mage</v>
      </c>
      <c r="D698" s="32" t="str">
        <f>IFERROR(__xludf.DUMMYFUNCTION("""COMPUTED_VALUE"""),"Staff")</f>
        <v>Staff</v>
      </c>
      <c r="E698" s="32">
        <f>IFERROR(__xludf.DUMMYFUNCTION("""COMPUTED_VALUE"""),200.0)</f>
        <v>200</v>
      </c>
      <c r="F698" s="44">
        <f>IFERROR(__xludf.DUMMYFUNCTION("""COMPUTED_VALUE"""),4.485E8)</f>
        <v>448500000</v>
      </c>
      <c r="G698" s="32" t="str">
        <f>IFERROR(__xludf.DUMMYFUNCTION("""COMPUTED_VALUE"""),"DMG")</f>
        <v>DMG</v>
      </c>
      <c r="H698" s="32"/>
      <c r="I698" s="32"/>
      <c r="J698" s="32"/>
      <c r="K698" s="33">
        <f>IFERROR(__xludf.DUMMYFUNCTION("""COMPUTED_VALUE"""),50000.0)</f>
        <v>50000</v>
      </c>
      <c r="L698" s="33">
        <f>IFERROR(__xludf.DUMMYFUNCTION("""COMPUTED_VALUE"""),50000.0)</f>
        <v>50000</v>
      </c>
      <c r="M698" s="32"/>
      <c r="N698" s="32"/>
      <c r="O698" s="32"/>
      <c r="P698" s="32"/>
      <c r="Q698" s="32"/>
      <c r="R698" s="32"/>
      <c r="S698" s="32"/>
      <c r="T698" s="32"/>
      <c r="U698" s="32"/>
      <c r="V698" s="32"/>
      <c r="W698" s="32"/>
      <c r="X698" s="32"/>
      <c r="Y698" s="32"/>
      <c r="Z698" s="32"/>
      <c r="AA698" s="32"/>
      <c r="AB698" s="32"/>
      <c r="AC698" s="33">
        <f>IFERROR(__xludf.DUMMYFUNCTION("""COMPUTED_VALUE"""),50000.0)</f>
        <v>50000</v>
      </c>
      <c r="AD698" s="32"/>
      <c r="AE698" s="32"/>
      <c r="AF698" s="32"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32" t="str">
        <f>IFERROR(__xludf.DUMMYFUNCTION("""COMPUTED_VALUE"""),"Land of Spira")</f>
        <v>Land of Spira</v>
      </c>
      <c r="AH698" s="32" t="b">
        <f>IFERROR(__xludf.DUMMYFUNCTION("""COMPUTED_VALUE"""),FALSE)</f>
        <v>0</v>
      </c>
      <c r="AI698" s="32"/>
      <c r="AJ698" s="32"/>
      <c r="AK698" s="32"/>
      <c r="AL698" s="32"/>
      <c r="AM698" s="32"/>
      <c r="AN698" s="32"/>
      <c r="AO698" s="32"/>
      <c r="AP698" s="32"/>
      <c r="AQ698" s="32"/>
      <c r="AR698" s="32"/>
      <c r="AS698" s="32"/>
      <c r="AT698" s="32"/>
      <c r="AU698" s="32"/>
      <c r="AV698" s="32"/>
      <c r="AW698" s="32"/>
      <c r="AX698" s="32"/>
    </row>
    <row r="699">
      <c r="A699" s="32" t="str">
        <f>IFERROR(__xludf.DUMMYFUNCTION("""COMPUTED_VALUE"""),"Snowball")</f>
        <v>Snowball</v>
      </c>
      <c r="B699" s="32" t="str">
        <f>IFERROR(__xludf.DUMMYFUNCTION("""COMPUTED_VALUE"""),"Hand")</f>
        <v>Hand</v>
      </c>
      <c r="C699" s="32" t="str">
        <f>IFERROR(__xludf.DUMMYFUNCTION("""COMPUTED_VALUE"""),"""If you even think about hitting me with that I'll fill one with lead and bash your skull with it"" ~Gwennivir")</f>
        <v>"If you even think about hitting me with that I'll fill one with lead and bash your skull with it" ~Gwennivir</v>
      </c>
      <c r="D699" s="32" t="str">
        <f>IFERROR(__xludf.DUMMYFUNCTION("""COMPUTED_VALUE"""),"Boomerang")</f>
        <v>Boomerang</v>
      </c>
      <c r="E699" s="32">
        <f>IFERROR(__xludf.DUMMYFUNCTION("""COMPUTED_VALUE"""),200.0)</f>
        <v>200</v>
      </c>
      <c r="F699" s="44">
        <f>IFERROR(__xludf.DUMMYFUNCTION("""COMPUTED_VALUE"""),1900000.0)</f>
        <v>1900000</v>
      </c>
      <c r="G699" s="32" t="str">
        <f>IFERROR(__xludf.DUMMYFUNCTION("""COMPUTED_VALUE"""),"DMG")</f>
        <v>DMG</v>
      </c>
      <c r="H699" s="32"/>
      <c r="I699" s="32"/>
      <c r="J699" s="32"/>
      <c r="K699" s="33">
        <f>IFERROR(__xludf.DUMMYFUNCTION("""COMPUTED_VALUE"""),10000.0)</f>
        <v>10000</v>
      </c>
      <c r="L699" s="32"/>
      <c r="M699" s="32"/>
      <c r="N699" s="32"/>
      <c r="O699" s="32"/>
      <c r="P699" s="32"/>
      <c r="Q699" s="32"/>
      <c r="R699" s="32"/>
      <c r="S699" s="32"/>
      <c r="T699" s="32"/>
      <c r="U699" s="32"/>
      <c r="V699" s="32"/>
      <c r="W699" s="32"/>
      <c r="X699" s="32"/>
      <c r="Y699" s="32"/>
      <c r="Z699" s="32"/>
      <c r="AA699" s="32"/>
      <c r="AB699" s="32"/>
      <c r="AC699" s="32"/>
      <c r="AD699" s="32"/>
      <c r="AE699" s="32"/>
      <c r="AF699" s="32"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32" t="str">
        <f>IFERROR(__xludf.DUMMYFUNCTION("""COMPUTED_VALUE"""),"Land of Spira")</f>
        <v>Land of Spira</v>
      </c>
      <c r="AH699" s="32" t="b">
        <f>IFERROR(__xludf.DUMMYFUNCTION("""COMPUTED_VALUE"""),FALSE)</f>
        <v>0</v>
      </c>
      <c r="AI699" s="32"/>
      <c r="AJ699" s="32"/>
      <c r="AK699" s="32"/>
      <c r="AL699" s="32"/>
      <c r="AM699" s="32"/>
      <c r="AN699" s="32"/>
      <c r="AO699" s="32"/>
      <c r="AP699" s="32"/>
      <c r="AQ699" s="32"/>
      <c r="AR699" s="32"/>
      <c r="AS699" s="32"/>
      <c r="AT699" s="32"/>
      <c r="AU699" s="32"/>
      <c r="AV699" s="32"/>
      <c r="AW699" s="32"/>
      <c r="AX699" s="32"/>
    </row>
    <row r="700">
      <c r="A700" s="32" t="str">
        <f>IFERROR(__xludf.DUMMYFUNCTION("""COMPUTED_VALUE"""),"Corvid Cloak")</f>
        <v>Corvid Cloak</v>
      </c>
      <c r="B700" s="32" t="str">
        <f>IFERROR(__xludf.DUMMYFUNCTION("""COMPUTED_VALUE"""),"Shoulders")</f>
        <v>Shoulders</v>
      </c>
      <c r="C700" s="32" t="str">
        <f>IFERROR(__xludf.DUMMYFUNCTION("""COMPUTED_VALUE"""),"Formed from the feathers of many crows and ravens, this cloak has an imposing presence.")</f>
        <v>Formed from the feathers of many crows and ravens, this cloak has an imposing presence.</v>
      </c>
      <c r="D700" s="32"/>
      <c r="E700" s="32">
        <f>IFERROR(__xludf.DUMMYFUNCTION("""COMPUTED_VALUE"""),1.0)</f>
        <v>1</v>
      </c>
      <c r="F700" s="44">
        <f>IFERROR(__xludf.DUMMYFUNCTION("""COMPUTED_VALUE"""),0.0)</f>
        <v>0</v>
      </c>
      <c r="G700" s="32" t="str">
        <f>IFERROR(__xludf.DUMMYFUNCTION("""COMPUTED_VALUE"""),"DEF")</f>
        <v>DEF</v>
      </c>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32" t="str">
        <f>IFERROR(__xludf.DUMMYFUNCTION("""COMPUTED_VALUE"""),"Land of Spira")</f>
        <v>Land of Spira</v>
      </c>
      <c r="AH700" s="32" t="b">
        <f>IFERROR(__xludf.DUMMYFUNCTION("""COMPUTED_VALUE"""),FALSE)</f>
        <v>0</v>
      </c>
      <c r="AI700" s="32"/>
      <c r="AJ700" s="32"/>
      <c r="AK700" s="32"/>
      <c r="AL700" s="32"/>
      <c r="AM700" s="32"/>
      <c r="AN700" s="32"/>
      <c r="AO700" s="32"/>
      <c r="AP700" s="32"/>
      <c r="AQ700" s="32"/>
      <c r="AR700" s="32"/>
      <c r="AS700" s="32"/>
      <c r="AT700" s="32"/>
      <c r="AU700" s="32"/>
      <c r="AV700" s="32"/>
      <c r="AW700" s="32"/>
      <c r="AX700" s="32"/>
    </row>
    <row r="701">
      <c r="A701" s="32" t="str">
        <f>IFERROR(__xludf.DUMMYFUNCTION("""COMPUTED_VALUE"""),"Plague Doctor's Mask")</f>
        <v>Plague Doctor's Mask</v>
      </c>
      <c r="B701" s="32" t="str">
        <f>IFERROR(__xludf.DUMMYFUNCTION("""COMPUTED_VALUE"""),"Head")</f>
        <v>Head</v>
      </c>
      <c r="C701" s="3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32"/>
      <c r="E701" s="32">
        <f>IFERROR(__xludf.DUMMYFUNCTION("""COMPUTED_VALUE"""),1.0)</f>
        <v>1</v>
      </c>
      <c r="F701" s="44">
        <f>IFERROR(__xludf.DUMMYFUNCTION("""COMPUTED_VALUE"""),0.0)</f>
        <v>0</v>
      </c>
      <c r="G701" s="32" t="str">
        <f>IFERROR(__xludf.DUMMYFUNCTION("""COMPUTED_VALUE"""),"DEF")</f>
        <v>DEF</v>
      </c>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t="str">
        <f>IFERROR(__xludf.DUMMYFUNCTION("""COMPUTED_VALUE"""),"++Plague Doctor: 25% chance to be unaffected by a disease +-Cannot be Duplicated")</f>
        <v>++Plague Doctor: 25% chance to be unaffected by a disease +-Cannot be Duplicated</v>
      </c>
      <c r="AG701" s="32" t="str">
        <f>IFERROR(__xludf.DUMMYFUNCTION("""COMPUTED_VALUE"""),"Land of Spira")</f>
        <v>Land of Spira</v>
      </c>
      <c r="AH701" s="32" t="b">
        <f>IFERROR(__xludf.DUMMYFUNCTION("""COMPUTED_VALUE"""),FALSE)</f>
        <v>0</v>
      </c>
      <c r="AI701" s="32"/>
      <c r="AJ701" s="32"/>
      <c r="AK701" s="32"/>
      <c r="AL701" s="32"/>
      <c r="AM701" s="32"/>
      <c r="AN701" s="32"/>
      <c r="AO701" s="32"/>
      <c r="AP701" s="32"/>
      <c r="AQ701" s="32"/>
      <c r="AR701" s="32"/>
      <c r="AS701" s="32"/>
      <c r="AT701" s="32"/>
      <c r="AU701" s="32"/>
      <c r="AV701" s="32"/>
      <c r="AW701" s="32"/>
      <c r="AX701" s="32"/>
    </row>
    <row r="702">
      <c r="A702" s="32" t="str">
        <f>IFERROR(__xludf.DUMMYFUNCTION("""COMPUTED_VALUE"""),"""The Only Cure""")</f>
        <v>"The Only Cure"</v>
      </c>
      <c r="B702" s="32" t="str">
        <f>IFERROR(__xludf.DUMMYFUNCTION("""COMPUTED_VALUE"""),"Neck")</f>
        <v>Neck</v>
      </c>
      <c r="C702" s="3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32"/>
      <c r="E702" s="32">
        <f>IFERROR(__xludf.DUMMYFUNCTION("""COMPUTED_VALUE"""),1.0)</f>
        <v>1</v>
      </c>
      <c r="F702" s="44">
        <f>IFERROR(__xludf.DUMMYFUNCTION("""COMPUTED_VALUE"""),0.0)</f>
        <v>0</v>
      </c>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32" t="str">
        <f>IFERROR(__xludf.DUMMYFUNCTION("""COMPUTED_VALUE"""),"Land of Spira")</f>
        <v>Land of Spira</v>
      </c>
      <c r="AH702" s="32" t="b">
        <f>IFERROR(__xludf.DUMMYFUNCTION("""COMPUTED_VALUE"""),FALSE)</f>
        <v>0</v>
      </c>
      <c r="AI702" s="32"/>
      <c r="AJ702" s="32"/>
      <c r="AK702" s="32"/>
      <c r="AL702" s="32"/>
      <c r="AM702" s="32"/>
      <c r="AN702" s="32"/>
      <c r="AO702" s="32"/>
      <c r="AP702" s="32"/>
      <c r="AQ702" s="32"/>
      <c r="AR702" s="32"/>
      <c r="AS702" s="32"/>
      <c r="AT702" s="32"/>
      <c r="AU702" s="32"/>
      <c r="AV702" s="32"/>
      <c r="AW702" s="32"/>
      <c r="AX702" s="32"/>
    </row>
    <row r="703">
      <c r="A703" s="32" t="str">
        <f>IFERROR(__xludf.DUMMYFUNCTION("""COMPUTED_VALUE"""),"Plague Doctor's Gloves")</f>
        <v>Plague Doctor's Gloves</v>
      </c>
      <c r="B703" s="32" t="str">
        <f>IFERROR(__xludf.DUMMYFUNCTION("""COMPUTED_VALUE"""),"Arms")</f>
        <v>Arms</v>
      </c>
      <c r="C703" s="32" t="str">
        <f>IFERROR(__xludf.DUMMYFUNCTION("""COMPUTED_VALUE"""),"These gloves have been stained with blood and potions over the years.")</f>
        <v>These gloves have been stained with blood and potions over the years.</v>
      </c>
      <c r="D703" s="32"/>
      <c r="E703" s="32">
        <f>IFERROR(__xludf.DUMMYFUNCTION("""COMPUTED_VALUE"""),1.0)</f>
        <v>1</v>
      </c>
      <c r="F703" s="44">
        <f>IFERROR(__xludf.DUMMYFUNCTION("""COMPUTED_VALUE"""),0.0)</f>
        <v>0</v>
      </c>
      <c r="G703" s="32" t="str">
        <f>IFERROR(__xludf.DUMMYFUNCTION("""COMPUTED_VALUE"""),"DEF")</f>
        <v>DEF</v>
      </c>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t="str">
        <f>IFERROR(__xludf.DUMMYFUNCTION("""COMPUTED_VALUE"""),"++Poisoner I:X2 damage +-Cannot be Duplicated")</f>
        <v>++Poisoner I:X2 damage +-Cannot be Duplicated</v>
      </c>
      <c r="AG703" s="32" t="str">
        <f>IFERROR(__xludf.DUMMYFUNCTION("""COMPUTED_VALUE"""),"Land of Spira")</f>
        <v>Land of Spira</v>
      </c>
      <c r="AH703" s="32" t="b">
        <f>IFERROR(__xludf.DUMMYFUNCTION("""COMPUTED_VALUE"""),FALSE)</f>
        <v>0</v>
      </c>
      <c r="AI703" s="32"/>
      <c r="AJ703" s="32"/>
      <c r="AK703" s="32"/>
      <c r="AL703" s="32"/>
      <c r="AM703" s="32"/>
      <c r="AN703" s="32"/>
      <c r="AO703" s="32"/>
      <c r="AP703" s="32"/>
      <c r="AQ703" s="32"/>
      <c r="AR703" s="32"/>
      <c r="AS703" s="32"/>
      <c r="AT703" s="32"/>
      <c r="AU703" s="32"/>
      <c r="AV703" s="32"/>
      <c r="AW703" s="32"/>
      <c r="AX703" s="32"/>
    </row>
    <row r="704">
      <c r="A704" s="32" t="str">
        <f>IFERROR(__xludf.DUMMYFUNCTION("""COMPUTED_VALUE"""),"Plague Doctor's Sarouel")</f>
        <v>Plague Doctor's Sarouel</v>
      </c>
      <c r="B704" s="32" t="str">
        <f>IFERROR(__xludf.DUMMYFUNCTION("""COMPUTED_VALUE"""),"Legs")</f>
        <v>Legs</v>
      </c>
      <c r="C704" s="3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32"/>
      <c r="E704" s="32">
        <f>IFERROR(__xludf.DUMMYFUNCTION("""COMPUTED_VALUE"""),1.0)</f>
        <v>1</v>
      </c>
      <c r="F704" s="44">
        <f>IFERROR(__xludf.DUMMYFUNCTION("""COMPUTED_VALUE"""),0.0)</f>
        <v>0</v>
      </c>
      <c r="G704" s="32" t="str">
        <f>IFERROR(__xludf.DUMMYFUNCTION("""COMPUTED_VALUE"""),"DEF")</f>
        <v>DEF</v>
      </c>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t="str">
        <f>IFERROR(__xludf.DUMMYFUNCTION("""COMPUTED_VALUE"""),"++Poisoner I:X2 damage +-Cannot be Duplicated")</f>
        <v>++Poisoner I:X2 damage +-Cannot be Duplicated</v>
      </c>
      <c r="AG704" s="32" t="str">
        <f>IFERROR(__xludf.DUMMYFUNCTION("""COMPUTED_VALUE"""),"Land of Spira")</f>
        <v>Land of Spira</v>
      </c>
      <c r="AH704" s="32" t="b">
        <f>IFERROR(__xludf.DUMMYFUNCTION("""COMPUTED_VALUE"""),FALSE)</f>
        <v>0</v>
      </c>
      <c r="AI704" s="32"/>
      <c r="AJ704" s="32"/>
      <c r="AK704" s="32"/>
      <c r="AL704" s="32"/>
      <c r="AM704" s="32"/>
      <c r="AN704" s="32"/>
      <c r="AO704" s="32"/>
      <c r="AP704" s="32"/>
      <c r="AQ704" s="32"/>
      <c r="AR704" s="32"/>
      <c r="AS704" s="32"/>
      <c r="AT704" s="32"/>
      <c r="AU704" s="32"/>
      <c r="AV704" s="32"/>
      <c r="AW704" s="32"/>
      <c r="AX704" s="32"/>
    </row>
    <row r="705">
      <c r="A705" s="32" t="str">
        <f>IFERROR(__xludf.DUMMYFUNCTION("""COMPUTED_VALUE"""),"Plague Doctor's Boots")</f>
        <v>Plague Doctor's Boots</v>
      </c>
      <c r="B705" s="32" t="str">
        <f>IFERROR(__xludf.DUMMYFUNCTION("""COMPUTED_VALUE"""),"Feet")</f>
        <v>Feet</v>
      </c>
      <c r="C705" s="32" t="str">
        <f>IFERROR(__xludf.DUMMYFUNCTION("""COMPUTED_VALUE"""),"These boots have been designed for optimal movement through all kinds of hazards.")</f>
        <v>These boots have been designed for optimal movement through all kinds of hazards.</v>
      </c>
      <c r="D705" s="32"/>
      <c r="E705" s="32">
        <f>IFERROR(__xludf.DUMMYFUNCTION("""COMPUTED_VALUE"""),1.0)</f>
        <v>1</v>
      </c>
      <c r="F705" s="44">
        <f>IFERROR(__xludf.DUMMYFUNCTION("""COMPUTED_VALUE"""),0.0)</f>
        <v>0</v>
      </c>
      <c r="G705" s="32" t="str">
        <f>IFERROR(__xludf.DUMMYFUNCTION("""COMPUTED_VALUE"""),"DEF")</f>
        <v>DEF</v>
      </c>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t="str">
        <f>IFERROR(__xludf.DUMMYFUNCTION("""COMPUTED_VALUE"""),"++Swamp Stompers: You take only half the effect of environmental hazards +-Cannot be Duplicated")</f>
        <v>++Swamp Stompers: You take only half the effect of environmental hazards +-Cannot be Duplicated</v>
      </c>
      <c r="AG705" s="32" t="str">
        <f>IFERROR(__xludf.DUMMYFUNCTION("""COMPUTED_VALUE"""),"Land of Spira")</f>
        <v>Land of Spira</v>
      </c>
      <c r="AH705" s="32" t="b">
        <f>IFERROR(__xludf.DUMMYFUNCTION("""COMPUTED_VALUE"""),FALSE)</f>
        <v>0</v>
      </c>
      <c r="AI705" s="32"/>
      <c r="AJ705" s="32"/>
      <c r="AK705" s="32"/>
      <c r="AL705" s="32"/>
      <c r="AM705" s="32"/>
      <c r="AN705" s="32"/>
      <c r="AO705" s="32"/>
      <c r="AP705" s="32"/>
      <c r="AQ705" s="32"/>
      <c r="AR705" s="32"/>
      <c r="AS705" s="32"/>
      <c r="AT705" s="32"/>
      <c r="AU705" s="32"/>
      <c r="AV705" s="32"/>
      <c r="AW705" s="32"/>
      <c r="AX705" s="32"/>
    </row>
    <row r="706">
      <c r="A706" s="32" t="str">
        <f>IFERROR(__xludf.DUMMYFUNCTION("""COMPUTED_VALUE"""),"Plague Doctor's Apron")</f>
        <v>Plague Doctor's Apron</v>
      </c>
      <c r="B706" s="32" t="str">
        <f>IFERROR(__xludf.DUMMYFUNCTION("""COMPUTED_VALUE"""),"Torso")</f>
        <v>Torso</v>
      </c>
      <c r="C706" s="32" t="str">
        <f>IFERROR(__xludf.DUMMYFUNCTION("""COMPUTED_VALUE"""),"The thick leather of this apron ensures that accidents with poison are minimalized.")</f>
        <v>The thick leather of this apron ensures that accidents with poison are minimalized.</v>
      </c>
      <c r="D706" s="32"/>
      <c r="E706" s="32">
        <f>IFERROR(__xludf.DUMMYFUNCTION("""COMPUTED_VALUE"""),1.0)</f>
        <v>1</v>
      </c>
      <c r="F706" s="44">
        <f>IFERROR(__xludf.DUMMYFUNCTION("""COMPUTED_VALUE"""),0.0)</f>
        <v>0</v>
      </c>
      <c r="G706" s="32" t="str">
        <f>IFERROR(__xludf.DUMMYFUNCTION("""COMPUTED_VALUE"""),"DEF")</f>
        <v>DEF</v>
      </c>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t="str">
        <f>IFERROR(__xludf.DUMMYFUNCTION("""COMPUTED_VALUE"""),"++Spllatter Proof: Immune to poison +-Cannot be Duplicated")</f>
        <v>++Spllatter Proof: Immune to poison +-Cannot be Duplicated</v>
      </c>
      <c r="AG706" s="32" t="str">
        <f>IFERROR(__xludf.DUMMYFUNCTION("""COMPUTED_VALUE"""),"Land of Spira")</f>
        <v>Land of Spira</v>
      </c>
      <c r="AH706" s="32" t="b">
        <f>IFERROR(__xludf.DUMMYFUNCTION("""COMPUTED_VALUE"""),FALSE)</f>
        <v>0</v>
      </c>
      <c r="AI706" s="32"/>
      <c r="AJ706" s="32"/>
      <c r="AK706" s="32"/>
      <c r="AL706" s="32"/>
      <c r="AM706" s="32"/>
      <c r="AN706" s="32"/>
      <c r="AO706" s="32"/>
      <c r="AP706" s="32"/>
      <c r="AQ706" s="32"/>
      <c r="AR706" s="32"/>
      <c r="AS706" s="32"/>
      <c r="AT706" s="32"/>
      <c r="AU706" s="32"/>
      <c r="AV706" s="32"/>
      <c r="AW706" s="32"/>
      <c r="AX706" s="32"/>
    </row>
    <row r="707">
      <c r="A707" s="32" t="str">
        <f>IFERROR(__xludf.DUMMYFUNCTION("""COMPUTED_VALUE"""),"Poisonous Hand Crossbow")</f>
        <v>Poisonous Hand Crossbow</v>
      </c>
      <c r="B707" s="32" t="str">
        <f>IFERROR(__xludf.DUMMYFUNCTION("""COMPUTED_VALUE"""),"Hand")</f>
        <v>Hand</v>
      </c>
      <c r="C707" s="32" t="str">
        <f>IFERROR(__xludf.DUMMYFUNCTION("""COMPUTED_VALUE"""),"""Because sometimes the only viable tactic, is a dirty one"" ~Gwennivir")</f>
        <v>"Because sometimes the only viable tactic, is a dirty one" ~Gwennivir</v>
      </c>
      <c r="D707" s="32" t="str">
        <f>IFERROR(__xludf.DUMMYFUNCTION("""COMPUTED_VALUE"""),"Bow")</f>
        <v>Bow</v>
      </c>
      <c r="E707" s="32">
        <f>IFERROR(__xludf.DUMMYFUNCTION("""COMPUTED_VALUE"""),1000.0)</f>
        <v>1000</v>
      </c>
      <c r="F707" s="44">
        <f>IFERROR(__xludf.DUMMYFUNCTION("""COMPUTED_VALUE"""),4.95E7)</f>
        <v>49500000</v>
      </c>
      <c r="G707" s="32" t="str">
        <f>IFERROR(__xludf.DUMMYFUNCTION("""COMPUTED_VALUE"""),"DMG")</f>
        <v>DMG</v>
      </c>
      <c r="H707" s="33">
        <f>IFERROR(__xludf.DUMMYFUNCTION("""COMPUTED_VALUE"""),50000.0)</f>
        <v>50000</v>
      </c>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t="str">
        <f>IFERROR(__xludf.DUMMYFUNCTION("""COMPUTED_VALUE"""),"++Poisoned I: Hitting an enemy with this weapon inflicts 500 poison")</f>
        <v>++Poisoned I: Hitting an enemy with this weapon inflicts 500 poison</v>
      </c>
      <c r="AG707" s="32" t="str">
        <f>IFERROR(__xludf.DUMMYFUNCTION("""COMPUTED_VALUE"""),"Land of Spira")</f>
        <v>Land of Spira</v>
      </c>
      <c r="AH707" s="32" t="b">
        <f>IFERROR(__xludf.DUMMYFUNCTION("""COMPUTED_VALUE"""),FALSE)</f>
        <v>0</v>
      </c>
      <c r="AI707" s="32"/>
      <c r="AJ707" s="32"/>
      <c r="AK707" s="32"/>
      <c r="AL707" s="32"/>
      <c r="AM707" s="32"/>
      <c r="AN707" s="32"/>
      <c r="AO707" s="32"/>
      <c r="AP707" s="32"/>
      <c r="AQ707" s="32"/>
      <c r="AR707" s="32"/>
      <c r="AS707" s="32"/>
      <c r="AT707" s="32"/>
      <c r="AU707" s="32"/>
      <c r="AV707" s="32"/>
      <c r="AW707" s="32"/>
      <c r="AX707" s="32"/>
    </row>
    <row r="708">
      <c r="A708" s="32" t="str">
        <f>IFERROR(__xludf.DUMMYFUNCTION("""COMPUTED_VALUE"""),"Poison Tipped Knife")</f>
        <v>Poison Tipped Knife</v>
      </c>
      <c r="B708" s="32" t="str">
        <f>IFERROR(__xludf.DUMMYFUNCTION("""COMPUTED_VALUE"""),"Hand")</f>
        <v>Hand</v>
      </c>
      <c r="C708" s="32" t="str">
        <f>IFERROR(__xludf.DUMMYFUNCTION("""COMPUTED_VALUE"""),"""It isn't the most graceful end, and it isn't quick by any means... What, you thought I'd defend it?"" ~Gwennivir")</f>
        <v>"It isn't the most graceful end, and it isn't quick by any means... What, you thought I'd defend it?" ~Gwennivir</v>
      </c>
      <c r="D708" s="32" t="str">
        <f>IFERROR(__xludf.DUMMYFUNCTION("""COMPUTED_VALUE"""),"Knife")</f>
        <v>Knife</v>
      </c>
      <c r="E708" s="32">
        <f>IFERROR(__xludf.DUMMYFUNCTION("""COMPUTED_VALUE"""),1000.0)</f>
        <v>1000</v>
      </c>
      <c r="F708" s="44">
        <f>IFERROR(__xludf.DUMMYFUNCTION("""COMPUTED_VALUE"""),4.95E7)</f>
        <v>49500000</v>
      </c>
      <c r="G708" s="32" t="str">
        <f>IFERROR(__xludf.DUMMYFUNCTION("""COMPUTED_VALUE"""),"DMG")</f>
        <v>DMG</v>
      </c>
      <c r="H708" s="33">
        <f>IFERROR(__xludf.DUMMYFUNCTION("""COMPUTED_VALUE"""),50000.0)</f>
        <v>50000</v>
      </c>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t="str">
        <f>IFERROR(__xludf.DUMMYFUNCTION("""COMPUTED_VALUE"""),"++Poisoned I: Hitting an enemy with this weapon inflicts 500 poison")</f>
        <v>++Poisoned I: Hitting an enemy with this weapon inflicts 500 poison</v>
      </c>
      <c r="AG708" s="32" t="str">
        <f>IFERROR(__xludf.DUMMYFUNCTION("""COMPUTED_VALUE"""),"Land of Spira")</f>
        <v>Land of Spira</v>
      </c>
      <c r="AH708" s="32" t="b">
        <f>IFERROR(__xludf.DUMMYFUNCTION("""COMPUTED_VALUE"""),FALSE)</f>
        <v>0</v>
      </c>
      <c r="AI708" s="32"/>
      <c r="AJ708" s="32"/>
      <c r="AK708" s="32"/>
      <c r="AL708" s="32"/>
      <c r="AM708" s="32"/>
      <c r="AN708" s="32"/>
      <c r="AO708" s="32"/>
      <c r="AP708" s="32"/>
      <c r="AQ708" s="32"/>
      <c r="AR708" s="32"/>
      <c r="AS708" s="32"/>
      <c r="AT708" s="32"/>
      <c r="AU708" s="32"/>
      <c r="AV708" s="32"/>
      <c r="AW708" s="32"/>
      <c r="AX708" s="32"/>
    </row>
    <row r="709">
      <c r="A709" s="32" t="str">
        <f>IFERROR(__xludf.DUMMYFUNCTION("""COMPUTED_VALUE"""),"Frozen Head-Splitter")</f>
        <v>Frozen Head-Splitter</v>
      </c>
      <c r="B709" s="32" t="str">
        <f>IFERROR(__xludf.DUMMYFUNCTION("""COMPUTED_VALUE"""),"Hand")</f>
        <v>Hand</v>
      </c>
      <c r="C709" s="3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32" t="str">
        <f>IFERROR(__xludf.DUMMYFUNCTION("""COMPUTED_VALUE"""),"Club")</f>
        <v>Club</v>
      </c>
      <c r="E709" s="32">
        <f>IFERROR(__xludf.DUMMYFUNCTION("""COMPUTED_VALUE"""),1200.0)</f>
        <v>1200</v>
      </c>
      <c r="F709" s="44">
        <f>IFERROR(__xludf.DUMMYFUNCTION("""COMPUTED_VALUE"""),7.14E7)</f>
        <v>71400000</v>
      </c>
      <c r="G709" s="32" t="str">
        <f>IFERROR(__xludf.DUMMYFUNCTION("""COMPUTED_VALUE"""),"DMG")</f>
        <v>DMG</v>
      </c>
      <c r="H709" s="33">
        <f>IFERROR(__xludf.DUMMYFUNCTION("""COMPUTED_VALUE"""),50000.0)</f>
        <v>50000</v>
      </c>
      <c r="I709" s="32"/>
      <c r="J709" s="32"/>
      <c r="K709" s="32"/>
      <c r="L709" s="33">
        <f>IFERROR(__xludf.DUMMYFUNCTION("""COMPUTED_VALUE"""),10000.0)</f>
        <v>10000</v>
      </c>
      <c r="M709" s="32"/>
      <c r="N709" s="32"/>
      <c r="O709" s="32"/>
      <c r="P709" s="32"/>
      <c r="Q709" s="32"/>
      <c r="R709" s="32"/>
      <c r="S709" s="32"/>
      <c r="T709" s="32"/>
      <c r="U709" s="32"/>
      <c r="V709" s="32"/>
      <c r="W709" s="32"/>
      <c r="X709" s="32"/>
      <c r="Y709" s="32"/>
      <c r="Z709" s="32"/>
      <c r="AA709" s="32"/>
      <c r="AB709" s="32"/>
      <c r="AC709" s="32"/>
      <c r="AD709" s="32"/>
      <c r="AE709" s="32"/>
      <c r="AF709" s="32"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32" t="str">
        <f>IFERROR(__xludf.DUMMYFUNCTION("""COMPUTED_VALUE"""),"Land of Spira")</f>
        <v>Land of Spira</v>
      </c>
      <c r="AH709" s="32" t="b">
        <f>IFERROR(__xludf.DUMMYFUNCTION("""COMPUTED_VALUE"""),FALSE)</f>
        <v>0</v>
      </c>
      <c r="AI709" s="32"/>
      <c r="AJ709" s="32"/>
      <c r="AK709" s="32"/>
      <c r="AL709" s="32"/>
      <c r="AM709" s="32"/>
      <c r="AN709" s="32"/>
      <c r="AO709" s="32"/>
      <c r="AP709" s="32"/>
      <c r="AQ709" s="32"/>
      <c r="AR709" s="32"/>
      <c r="AS709" s="32"/>
      <c r="AT709" s="32"/>
      <c r="AU709" s="32"/>
      <c r="AV709" s="32"/>
      <c r="AW709" s="32"/>
      <c r="AX709" s="32"/>
    </row>
    <row r="710">
      <c r="A710" s="32" t="str">
        <f>IFERROR(__xludf.DUMMYFUNCTION("""COMPUTED_VALUE"""),"Fireball Cannon")</f>
        <v>Fireball Cannon</v>
      </c>
      <c r="B710" s="32" t="str">
        <f>IFERROR(__xludf.DUMMYFUNCTION("""COMPUTED_VALUE"""),"BoatGun")</f>
        <v>BoatGun</v>
      </c>
      <c r="C710" s="32" t="str">
        <f>IFERROR(__xludf.DUMMYFUNCTION("""COMPUTED_VALUE"""),"""Sometimes fire is the only answer to the question,"" ~Gwennivir")</f>
        <v>"Sometimes fire is the only answer to the question," ~Gwennivir</v>
      </c>
      <c r="D710" s="32" t="str">
        <f>IFERROR(__xludf.DUMMYFUNCTION("""COMPUTED_VALUE"""),"Firearm")</f>
        <v>Firearm</v>
      </c>
      <c r="E710" s="32">
        <f>IFERROR(__xludf.DUMMYFUNCTION("""COMPUTED_VALUE"""),1000.0)</f>
        <v>1000</v>
      </c>
      <c r="F710" s="44">
        <f>IFERROR(__xludf.DUMMYFUNCTION("""COMPUTED_VALUE"""),4.95E7)</f>
        <v>49500000</v>
      </c>
      <c r="G710" s="33" t="str">
        <f>IFERROR(__xludf.DUMMYFUNCTION("""COMPUTED_VALUE"""),"DMG")</f>
        <v>DMG</v>
      </c>
      <c r="H710" s="33">
        <f>IFERROR(__xludf.DUMMYFUNCTION("""COMPUTED_VALUE"""),30000.0)</f>
        <v>30000</v>
      </c>
      <c r="I710" s="33">
        <f>IFERROR(__xludf.DUMMYFUNCTION("""COMPUTED_VALUE"""),20000.0)</f>
        <v>20000</v>
      </c>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t="str">
        <f>IFERROR(__xludf.DUMMYFUNCTION("""COMPUTED_VALUE"""),"++Burn 10,000. ++Requires Fire Cannon Balls")</f>
        <v>++Burn 10,000. ++Requires Fire Cannon Balls</v>
      </c>
      <c r="AG710" s="32" t="str">
        <f>IFERROR(__xludf.DUMMYFUNCTION("""COMPUTED_VALUE"""),"Land of Spira")</f>
        <v>Land of Spira</v>
      </c>
      <c r="AH710" s="32" t="b">
        <f>IFERROR(__xludf.DUMMYFUNCTION("""COMPUTED_VALUE"""),FALSE)</f>
        <v>0</v>
      </c>
      <c r="AI710" s="32"/>
      <c r="AJ710" s="32"/>
      <c r="AK710" s="32"/>
      <c r="AL710" s="32"/>
      <c r="AM710" s="32"/>
      <c r="AN710" s="32"/>
      <c r="AO710" s="32"/>
      <c r="AP710" s="32"/>
      <c r="AQ710" s="32"/>
      <c r="AR710" s="32"/>
      <c r="AS710" s="32"/>
      <c r="AT710" s="32"/>
      <c r="AU710" s="32"/>
      <c r="AV710" s="32"/>
      <c r="AW710" s="32"/>
      <c r="AX710" s="32"/>
    </row>
    <row r="711">
      <c r="A711" s="32" t="str">
        <f>IFERROR(__xludf.DUMMYFUNCTION("""COMPUTED_VALUE"""),"Harpoon Gun")</f>
        <v>Harpoon Gun</v>
      </c>
      <c r="B711" s="32" t="str">
        <f>IFERROR(__xludf.DUMMYFUNCTION("""COMPUTED_VALUE"""),"BoatGun")</f>
        <v>BoatGun</v>
      </c>
      <c r="C711" s="3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32" t="str">
        <f>IFERROR(__xludf.DUMMYFUNCTION("""COMPUTED_VALUE"""),"Spear")</f>
        <v>Spear</v>
      </c>
      <c r="E711" s="32">
        <f>IFERROR(__xludf.DUMMYFUNCTION("""COMPUTED_VALUE"""),400.0)</f>
        <v>400</v>
      </c>
      <c r="F711" s="44">
        <f>IFERROR(__xludf.DUMMYFUNCTION("""COMPUTED_VALUE"""),7800000.0)</f>
        <v>7800000</v>
      </c>
      <c r="G711" s="32" t="str">
        <f>IFERROR(__xludf.DUMMYFUNCTION("""COMPUTED_VALUE"""),"DMG")</f>
        <v>DMG</v>
      </c>
      <c r="H711" s="33">
        <f>IFERROR(__xludf.DUMMYFUNCTION("""COMPUTED_VALUE"""),10000.0)</f>
        <v>10000</v>
      </c>
      <c r="I711" s="32"/>
      <c r="J711" s="32"/>
      <c r="K711" s="32"/>
      <c r="L711" s="32"/>
      <c r="M711" s="32"/>
      <c r="N711" s="32"/>
      <c r="O711" s="32"/>
      <c r="P711" s="32"/>
      <c r="Q711" s="32"/>
      <c r="R711" s="32"/>
      <c r="S711" s="32"/>
      <c r="T711" s="32"/>
      <c r="U711" s="32"/>
      <c r="V711" s="32"/>
      <c r="W711" s="32"/>
      <c r="X711" s="32"/>
      <c r="Y711" s="33">
        <f>IFERROR(__xludf.DUMMYFUNCTION("""COMPUTED_VALUE"""),10000.0)</f>
        <v>10000</v>
      </c>
      <c r="Z711" s="32"/>
      <c r="AA711" s="32"/>
      <c r="AB711" s="32"/>
      <c r="AC711" s="32"/>
      <c r="AD711" s="32"/>
      <c r="AE711" s="32"/>
      <c r="AF711" s="32" t="str">
        <f>IFERROR(__xludf.DUMMYFUNCTION("""COMPUTED_VALUE"""),"++Bleed 10,000. ")</f>
        <v>++Bleed 10,000. </v>
      </c>
      <c r="AG711" s="32" t="str">
        <f>IFERROR(__xludf.DUMMYFUNCTION("""COMPUTED_VALUE"""),"Land of Spira")</f>
        <v>Land of Spira</v>
      </c>
      <c r="AH711" s="32" t="b">
        <f>IFERROR(__xludf.DUMMYFUNCTION("""COMPUTED_VALUE"""),FALSE)</f>
        <v>0</v>
      </c>
      <c r="AI711" s="32"/>
      <c r="AJ711" s="32"/>
      <c r="AK711" s="32"/>
      <c r="AL711" s="32"/>
      <c r="AM711" s="32"/>
      <c r="AN711" s="32"/>
      <c r="AO711" s="32"/>
      <c r="AP711" s="32"/>
      <c r="AQ711" s="32"/>
      <c r="AR711" s="32"/>
      <c r="AS711" s="32"/>
      <c r="AT711" s="32"/>
      <c r="AU711" s="32"/>
      <c r="AV711" s="32"/>
      <c r="AW711" s="32"/>
      <c r="AX711" s="32"/>
    </row>
    <row r="712">
      <c r="A712" s="32" t="str">
        <f>IFERROR(__xludf.DUMMYFUNCTION("""COMPUTED_VALUE"""),"Torpedo Launcher")</f>
        <v>Torpedo Launcher</v>
      </c>
      <c r="B712" s="32" t="str">
        <f>IFERROR(__xludf.DUMMYFUNCTION("""COMPUTED_VALUE"""),"BoatGun")</f>
        <v>BoatGun</v>
      </c>
      <c r="C712" s="32" t="str">
        <f>IFERROR(__xludf.DUMMYFUNCTION("""COMPUTED_VALUE"""),"""Sometimes you need a little more bang for your buck, in those times you need a torpedo,"" ~Gwennivir")</f>
        <v>"Sometimes you need a little more bang for your buck, in those times you need a torpedo," ~Gwennivir</v>
      </c>
      <c r="D712" s="32" t="str">
        <f>IFERROR(__xludf.DUMMYFUNCTION("""COMPUTED_VALUE"""),"Firearm")</f>
        <v>Firearm</v>
      </c>
      <c r="E712" s="32">
        <f>IFERROR(__xludf.DUMMYFUNCTION("""COMPUTED_VALUE"""),1000.0)</f>
        <v>1000</v>
      </c>
      <c r="F712" s="44">
        <f>IFERROR(__xludf.DUMMYFUNCTION("""COMPUTED_VALUE"""),4.95E7)</f>
        <v>49500000</v>
      </c>
      <c r="G712" s="32" t="str">
        <f>IFERROR(__xludf.DUMMYFUNCTION("""COMPUTED_VALUE"""),"DMG")</f>
        <v>DMG</v>
      </c>
      <c r="H712" s="33">
        <f>IFERROR(__xludf.DUMMYFUNCTION("""COMPUTED_VALUE"""),50000.0)</f>
        <v>50000</v>
      </c>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t="str">
        <f>IFERROR(__xludf.DUMMYFUNCTION("""COMPUTED_VALUE"""),"++ Requires Torpedos")</f>
        <v>++ Requires Torpedos</v>
      </c>
      <c r="AG712" s="32" t="str">
        <f>IFERROR(__xludf.DUMMYFUNCTION("""COMPUTED_VALUE"""),"Land of Spira")</f>
        <v>Land of Spira</v>
      </c>
      <c r="AH712" s="32" t="b">
        <f>IFERROR(__xludf.DUMMYFUNCTION("""COMPUTED_VALUE"""),FALSE)</f>
        <v>0</v>
      </c>
      <c r="AI712" s="32"/>
      <c r="AJ712" s="32"/>
      <c r="AK712" s="32"/>
      <c r="AL712" s="32"/>
      <c r="AM712" s="32"/>
      <c r="AN712" s="32"/>
      <c r="AO712" s="32"/>
      <c r="AP712" s="32"/>
      <c r="AQ712" s="32"/>
      <c r="AR712" s="32"/>
      <c r="AS712" s="32"/>
      <c r="AT712" s="32"/>
      <c r="AU712" s="32"/>
      <c r="AV712" s="32"/>
      <c r="AW712" s="32"/>
      <c r="AX712" s="32"/>
    </row>
    <row r="713">
      <c r="A713" s="32" t="str">
        <f>IFERROR(__xludf.DUMMYFUNCTION("""COMPUTED_VALUE"""),"Double Barrel Shotgun")</f>
        <v>Double Barrel Shotgun</v>
      </c>
      <c r="B713" s="32" t="str">
        <f>IFERROR(__xludf.DUMMYFUNCTION("""COMPUTED_VALUE"""),"Hand")</f>
        <v>Hand</v>
      </c>
      <c r="C713" s="32" t="str">
        <f>IFERROR(__xludf.DUMMYFUNCTION("""COMPUTED_VALUE"""),"""Because what's better than one barrel? Two,"" ~Gwennivir")</f>
        <v>"Because what's better than one barrel? Two," ~Gwennivir</v>
      </c>
      <c r="D713" s="32" t="str">
        <f>IFERROR(__xludf.DUMMYFUNCTION("""COMPUTED_VALUE"""),"Firearm")</f>
        <v>Firearm</v>
      </c>
      <c r="E713" s="32">
        <f>IFERROR(__xludf.DUMMYFUNCTION("""COMPUTED_VALUE"""),800.0)</f>
        <v>800</v>
      </c>
      <c r="F713" s="44">
        <f>IFERROR(__xludf.DUMMYFUNCTION("""COMPUTED_VALUE"""),3.16E7)</f>
        <v>31600000</v>
      </c>
      <c r="G713" s="32" t="str">
        <f>IFERROR(__xludf.DUMMYFUNCTION("""COMPUTED_VALUE"""),"DMG")</f>
        <v>DMG</v>
      </c>
      <c r="H713" s="33">
        <f>IFERROR(__xludf.DUMMYFUNCTION("""COMPUTED_VALUE"""),20000.0)</f>
        <v>20000</v>
      </c>
      <c r="I713" s="32"/>
      <c r="J713" s="32"/>
      <c r="K713" s="32"/>
      <c r="L713" s="32"/>
      <c r="M713" s="32"/>
      <c r="N713" s="32"/>
      <c r="O713" s="32"/>
      <c r="P713" s="32"/>
      <c r="Q713" s="32"/>
      <c r="R713" s="32"/>
      <c r="S713" s="32"/>
      <c r="T713" s="32"/>
      <c r="U713" s="32"/>
      <c r="V713" s="32"/>
      <c r="W713" s="32"/>
      <c r="X713" s="32"/>
      <c r="Y713" s="33">
        <f>IFERROR(__xludf.DUMMYFUNCTION("""COMPUTED_VALUE"""),20000.0)</f>
        <v>20000</v>
      </c>
      <c r="Z713" s="32"/>
      <c r="AA713" s="32"/>
      <c r="AB713" s="32"/>
      <c r="AC713" s="32"/>
      <c r="AD713" s="32"/>
      <c r="AE713" s="32"/>
      <c r="AF713" s="32"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32" t="str">
        <f>IFERROR(__xludf.DUMMYFUNCTION("""COMPUTED_VALUE"""),"Land of Spira")</f>
        <v>Land of Spira</v>
      </c>
      <c r="AH713" s="32" t="b">
        <f>IFERROR(__xludf.DUMMYFUNCTION("""COMPUTED_VALUE"""),FALSE)</f>
        <v>0</v>
      </c>
      <c r="AI713" s="32"/>
      <c r="AJ713" s="32"/>
      <c r="AK713" s="32"/>
      <c r="AL713" s="32"/>
      <c r="AM713" s="32"/>
      <c r="AN713" s="32"/>
      <c r="AO713" s="32"/>
      <c r="AP713" s="32"/>
      <c r="AQ713" s="32"/>
      <c r="AR713" s="32"/>
      <c r="AS713" s="32"/>
      <c r="AT713" s="32"/>
      <c r="AU713" s="32"/>
      <c r="AV713" s="32"/>
      <c r="AW713" s="32"/>
      <c r="AX713" s="32"/>
    </row>
    <row r="714">
      <c r="A714" s="32" t="str">
        <f>IFERROR(__xludf.DUMMYFUNCTION("""COMPUTED_VALUE"""),"Single Barrel Shotgun")</f>
        <v>Single Barrel Shotgun</v>
      </c>
      <c r="B714" s="32" t="str">
        <f>IFERROR(__xludf.DUMMYFUNCTION("""COMPUTED_VALUE"""),"Hand")</f>
        <v>Hand</v>
      </c>
      <c r="C714" s="32" t="str">
        <f>IFERROR(__xludf.DUMMYFUNCTION("""COMPUTED_VALUE"""),"""For when you want to put more than one hole in your enemies at a time"" ~Gwennivir")</f>
        <v>"For when you want to put more than one hole in your enemies at a time" ~Gwennivir</v>
      </c>
      <c r="D714" s="32" t="str">
        <f>IFERROR(__xludf.DUMMYFUNCTION("""COMPUTED_VALUE"""),"Firearm")</f>
        <v>Firearm</v>
      </c>
      <c r="E714" s="32">
        <f>IFERROR(__xludf.DUMMYFUNCTION("""COMPUTED_VALUE"""),400.0)</f>
        <v>400</v>
      </c>
      <c r="F714" s="44">
        <f>IFERROR(__xludf.DUMMYFUNCTION("""COMPUTED_VALUE"""),7800000.0)</f>
        <v>7800000</v>
      </c>
      <c r="G714" s="32" t="str">
        <f>IFERROR(__xludf.DUMMYFUNCTION("""COMPUTED_VALUE"""),"DMG")</f>
        <v>DMG</v>
      </c>
      <c r="H714" s="33">
        <f>IFERROR(__xludf.DUMMYFUNCTION("""COMPUTED_VALUE"""),10000.0)</f>
        <v>10000</v>
      </c>
      <c r="I714" s="32"/>
      <c r="J714" s="32"/>
      <c r="K714" s="32"/>
      <c r="L714" s="32"/>
      <c r="M714" s="32"/>
      <c r="N714" s="32"/>
      <c r="O714" s="32"/>
      <c r="P714" s="32"/>
      <c r="Q714" s="32"/>
      <c r="R714" s="32"/>
      <c r="S714" s="32"/>
      <c r="T714" s="32"/>
      <c r="U714" s="32"/>
      <c r="V714" s="32"/>
      <c r="W714" s="32"/>
      <c r="X714" s="32"/>
      <c r="Y714" s="33">
        <f>IFERROR(__xludf.DUMMYFUNCTION("""COMPUTED_VALUE"""),10000.0)</f>
        <v>10000</v>
      </c>
      <c r="Z714" s="32"/>
      <c r="AA714" s="32"/>
      <c r="AB714" s="32"/>
      <c r="AC714" s="32"/>
      <c r="AD714" s="32"/>
      <c r="AE714" s="32"/>
      <c r="AF714" s="32"/>
      <c r="AG714" s="32" t="str">
        <f>IFERROR(__xludf.DUMMYFUNCTION("""COMPUTED_VALUE"""),"Land of Spira")</f>
        <v>Land of Spira</v>
      </c>
      <c r="AH714" s="32" t="b">
        <f>IFERROR(__xludf.DUMMYFUNCTION("""COMPUTED_VALUE"""),FALSE)</f>
        <v>0</v>
      </c>
      <c r="AI714" s="32"/>
      <c r="AJ714" s="32"/>
      <c r="AK714" s="32"/>
      <c r="AL714" s="32"/>
      <c r="AM714" s="32"/>
      <c r="AN714" s="32"/>
      <c r="AO714" s="32"/>
      <c r="AP714" s="32"/>
      <c r="AQ714" s="32"/>
      <c r="AR714" s="32"/>
      <c r="AS714" s="32"/>
      <c r="AT714" s="32"/>
      <c r="AU714" s="32"/>
      <c r="AV714" s="32"/>
      <c r="AW714" s="32"/>
      <c r="AX714" s="32"/>
    </row>
    <row r="715">
      <c r="A715" s="32" t="str">
        <f>IFERROR(__xludf.DUMMYFUNCTION("""COMPUTED_VALUE"""),"Poison Staff")</f>
        <v>Poison Staff</v>
      </c>
      <c r="B715" s="32" t="str">
        <f>IFERROR(__xludf.DUMMYFUNCTION("""COMPUTED_VALUE"""),"Hand")</f>
        <v>Hand</v>
      </c>
      <c r="C715" s="3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32" t="str">
        <f>IFERROR(__xludf.DUMMYFUNCTION("""COMPUTED_VALUE"""),"Staff")</f>
        <v>Staff</v>
      </c>
      <c r="E715" s="32">
        <f>IFERROR(__xludf.DUMMYFUNCTION("""COMPUTED_VALUE"""),2000.0)</f>
        <v>2000</v>
      </c>
      <c r="F715" s="44">
        <f>IFERROR(__xludf.DUMMYFUNCTION("""COMPUTED_VALUE"""),1.99E8)</f>
        <v>199000000</v>
      </c>
      <c r="G715" s="32" t="str">
        <f>IFERROR(__xludf.DUMMYFUNCTION("""COMPUTED_VALUE"""),"DMG")</f>
        <v>DMG</v>
      </c>
      <c r="H715" s="32"/>
      <c r="I715" s="32"/>
      <c r="J715" s="32"/>
      <c r="K715" s="32"/>
      <c r="L715" s="32"/>
      <c r="M715" s="32"/>
      <c r="N715" s="32"/>
      <c r="O715" s="32"/>
      <c r="P715" s="32"/>
      <c r="Q715" s="32"/>
      <c r="R715" s="32"/>
      <c r="S715" s="33">
        <f>IFERROR(__xludf.DUMMYFUNCTION("""COMPUTED_VALUE"""),100000.0)</f>
        <v>100000</v>
      </c>
      <c r="T715" s="32"/>
      <c r="U715" s="32"/>
      <c r="V715" s="32"/>
      <c r="W715" s="32"/>
      <c r="X715" s="32"/>
      <c r="Y715" s="32"/>
      <c r="Z715" s="32"/>
      <c r="AA715" s="32"/>
      <c r="AB715" s="32"/>
      <c r="AC715" s="32"/>
      <c r="AD715" s="32"/>
      <c r="AE715" s="32"/>
      <c r="AF715" s="32" t="str">
        <f>IFERROR(__xludf.DUMMYFUNCTION("""COMPUTED_VALUE"""),"++ Poison 20,000")</f>
        <v>++ Poison 20,000</v>
      </c>
      <c r="AG715" s="32" t="str">
        <f>IFERROR(__xludf.DUMMYFUNCTION("""COMPUTED_VALUE"""),"Dragonscale Island")</f>
        <v>Dragonscale Island</v>
      </c>
      <c r="AH715" s="32" t="b">
        <f>IFERROR(__xludf.DUMMYFUNCTION("""COMPUTED_VALUE"""),FALSE)</f>
        <v>0</v>
      </c>
      <c r="AI715" s="32"/>
      <c r="AJ715" s="32"/>
      <c r="AK715" s="32"/>
      <c r="AL715" s="32"/>
      <c r="AM715" s="32"/>
      <c r="AN715" s="32"/>
      <c r="AO715" s="32"/>
      <c r="AP715" s="32"/>
      <c r="AQ715" s="32"/>
      <c r="AR715" s="32"/>
      <c r="AS715" s="32"/>
      <c r="AT715" s="32"/>
      <c r="AU715" s="32"/>
      <c r="AV715" s="32"/>
      <c r="AW715" s="32"/>
      <c r="AX715" s="32"/>
    </row>
    <row r="716">
      <c r="A716" s="32" t="str">
        <f>IFERROR(__xludf.DUMMYFUNCTION("""COMPUTED_VALUE"""),"Chameldrians Staff of Thriving Blossoms")</f>
        <v>Chameldrians Staff of Thriving Blossoms</v>
      </c>
      <c r="B716" s="32" t="str">
        <f>IFERROR(__xludf.DUMMYFUNCTION("""COMPUTED_VALUE"""),"Hand")</f>
        <v>Hand</v>
      </c>
      <c r="C716" s="3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32" t="str">
        <f>IFERROR(__xludf.DUMMYFUNCTION("""COMPUTED_VALUE"""),"Staff")</f>
        <v>Staff</v>
      </c>
      <c r="E716" s="32">
        <f>IFERROR(__xludf.DUMMYFUNCTION("""COMPUTED_VALUE"""),2000.0)</f>
        <v>2000</v>
      </c>
      <c r="F716" s="44">
        <f>IFERROR(__xludf.DUMMYFUNCTION("""COMPUTED_VALUE"""),1.99E8)</f>
        <v>199000000</v>
      </c>
      <c r="G716" s="32"/>
      <c r="H716" s="32"/>
      <c r="I716" s="32"/>
      <c r="J716" s="32"/>
      <c r="K716" s="32"/>
      <c r="L716" s="32"/>
      <c r="M716" s="32"/>
      <c r="N716" s="32"/>
      <c r="O716" s="32"/>
      <c r="P716" s="32"/>
      <c r="Q716" s="32"/>
      <c r="R716" s="32"/>
      <c r="S716" s="33">
        <f>IFERROR(__xludf.DUMMYFUNCTION("""COMPUTED_VALUE"""),100000.0)</f>
        <v>100000</v>
      </c>
      <c r="T716" s="32"/>
      <c r="U716" s="32"/>
      <c r="V716" s="32"/>
      <c r="W716" s="32"/>
      <c r="X716" s="32"/>
      <c r="Y716" s="32"/>
      <c r="Z716" s="32"/>
      <c r="AA716" s="32"/>
      <c r="AB716" s="32"/>
      <c r="AC716" s="32"/>
      <c r="AD716" s="32"/>
      <c r="AE716" s="32"/>
      <c r="AF716" s="32"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32" t="str">
        <f>IFERROR(__xludf.DUMMYFUNCTION("""COMPUTED_VALUE"""),"Dragonscale Island")</f>
        <v>Dragonscale Island</v>
      </c>
      <c r="AH716" s="32" t="b">
        <f>IFERROR(__xludf.DUMMYFUNCTION("""COMPUTED_VALUE"""),FALSE)</f>
        <v>0</v>
      </c>
      <c r="AI716" s="32"/>
      <c r="AJ716" s="32"/>
      <c r="AK716" s="32"/>
      <c r="AL716" s="32"/>
      <c r="AM716" s="32"/>
      <c r="AN716" s="32"/>
      <c r="AO716" s="32"/>
      <c r="AP716" s="32"/>
      <c r="AQ716" s="32"/>
      <c r="AR716" s="32"/>
      <c r="AS716" s="32"/>
      <c r="AT716" s="32"/>
      <c r="AU716" s="32"/>
      <c r="AV716" s="32"/>
      <c r="AW716" s="32"/>
      <c r="AX716" s="32"/>
    </row>
    <row r="717">
      <c r="A717" s="32" t="str">
        <f>IFERROR(__xludf.DUMMYFUNCTION("""COMPUTED_VALUE"""),"Cooper's Memento")</f>
        <v>Cooper's Memento</v>
      </c>
      <c r="B717" s="32" t="str">
        <f>IFERROR(__xludf.DUMMYFUNCTION("""COMPUTED_VALUE"""),"Arms")</f>
        <v>Arms</v>
      </c>
      <c r="C717" s="32" t="str">
        <f>IFERROR(__xludf.DUMMYFUNCTION("""COMPUTED_VALUE"""),"A small stopwatch, the ticking has stopped.")</f>
        <v>A small stopwatch, the ticking has stopped.</v>
      </c>
      <c r="D717" s="32" t="str">
        <f>IFERROR(__xludf.DUMMYFUNCTION("""COMPUTED_VALUE"""),"Item")</f>
        <v>Item</v>
      </c>
      <c r="E717" s="32">
        <f>IFERROR(__xludf.DUMMYFUNCTION("""COMPUTED_VALUE"""),1.0)</f>
        <v>1</v>
      </c>
      <c r="F717" s="44">
        <f>IFERROR(__xludf.DUMMYFUNCTION("""COMPUTED_VALUE"""),0.0)</f>
        <v>0</v>
      </c>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t="str">
        <f>IFERROR(__xludf.DUMMYFUNCTION("""COMPUTED_VALUE"""),"++15% chance to be unaffected by a curse")</f>
        <v>++15% chance to be unaffected by a curse</v>
      </c>
      <c r="AG717" s="32" t="str">
        <f>IFERROR(__xludf.DUMMYFUNCTION("""COMPUTED_VALUE"""),"Land of Spira")</f>
        <v>Land of Spira</v>
      </c>
      <c r="AH717" s="32" t="b">
        <f>IFERROR(__xludf.DUMMYFUNCTION("""COMPUTED_VALUE"""),FALSE)</f>
        <v>0</v>
      </c>
      <c r="AI717" s="32"/>
      <c r="AJ717" s="32"/>
      <c r="AK717" s="32"/>
      <c r="AL717" s="32"/>
      <c r="AM717" s="32"/>
      <c r="AN717" s="32"/>
      <c r="AO717" s="32"/>
      <c r="AP717" s="32"/>
      <c r="AQ717" s="32"/>
      <c r="AR717" s="32"/>
      <c r="AS717" s="32"/>
      <c r="AT717" s="32"/>
      <c r="AU717" s="32"/>
      <c r="AV717" s="32"/>
      <c r="AW717" s="32"/>
      <c r="AX717" s="32"/>
    </row>
    <row r="718">
      <c r="A718" s="32" t="str">
        <f>IFERROR(__xludf.DUMMYFUNCTION("""COMPUTED_VALUE"""),"Gaian Champion's Shield")</f>
        <v>Gaian Champion's Shield</v>
      </c>
      <c r="B718" s="32" t="str">
        <f>IFERROR(__xludf.DUMMYFUNCTION("""COMPUTED_VALUE"""),"Hand")</f>
        <v>Hand</v>
      </c>
      <c r="C718" s="32" t="str">
        <f>IFERROR(__xludf.DUMMYFUNCTION("""COMPUTED_VALUE"""),"""We are born to be the shield of the people, too many paladins forget this simple fact"" ~Grisaia")</f>
        <v>"We are born to be the shield of the people, too many paladins forget this simple fact" ~Grisaia</v>
      </c>
      <c r="D718" s="32" t="str">
        <f>IFERROR(__xludf.DUMMYFUNCTION("""COMPUTED_VALUE"""),"Towershield")</f>
        <v>Towershield</v>
      </c>
      <c r="E718" s="32">
        <f>IFERROR(__xludf.DUMMYFUNCTION("""COMPUTED_VALUE"""),200.0)</f>
        <v>200</v>
      </c>
      <c r="F718" s="44">
        <f>IFERROR(__xludf.DUMMYFUNCTION("""COMPUTED_VALUE"""),1.2475E9)</f>
        <v>1247500000</v>
      </c>
      <c r="G718" s="32" t="str">
        <f>IFERROR(__xludf.DUMMYFUNCTION("""COMPUTED_VALUE"""),"DEF")</f>
        <v>DEF</v>
      </c>
      <c r="H718" s="33">
        <f>IFERROR(__xludf.DUMMYFUNCTION("""COMPUTED_VALUE"""),50000.0)</f>
        <v>50000</v>
      </c>
      <c r="I718" s="33">
        <f>IFERROR(__xludf.DUMMYFUNCTION("""COMPUTED_VALUE"""),50000.0)</f>
        <v>50000</v>
      </c>
      <c r="J718" s="32"/>
      <c r="K718" s="32"/>
      <c r="L718" s="33">
        <f>IFERROR(__xludf.DUMMYFUNCTION("""COMPUTED_VALUE"""),50000.0)</f>
        <v>50000</v>
      </c>
      <c r="M718" s="33">
        <f>IFERROR(__xludf.DUMMYFUNCTION("""COMPUTED_VALUE"""),50000.0)</f>
        <v>50000</v>
      </c>
      <c r="N718" s="32"/>
      <c r="O718" s="32"/>
      <c r="P718" s="32"/>
      <c r="Q718" s="32"/>
      <c r="R718" s="32"/>
      <c r="S718" s="32"/>
      <c r="T718" s="32"/>
      <c r="U718" s="32"/>
      <c r="V718" s="32"/>
      <c r="W718" s="32"/>
      <c r="X718" s="32"/>
      <c r="Y718" s="32"/>
      <c r="Z718" s="32"/>
      <c r="AA718" s="32"/>
      <c r="AB718" s="32"/>
      <c r="AC718" s="33">
        <f>IFERROR(__xludf.DUMMYFUNCTION("""COMPUTED_VALUE"""),50000.0)</f>
        <v>50000</v>
      </c>
      <c r="AD718" s="32"/>
      <c r="AE718" s="32"/>
      <c r="AF718" s="32" t="str">
        <f>IFERROR(__xludf.DUMMYFUNCTION("""COMPUTED_VALUE"""),"++15% chance to prevent an ally from taking damage when hit by an attack. ++X6 Earth Damage +-Cannot be Duplicated")</f>
        <v>++15% chance to prevent an ally from taking damage when hit by an attack. ++X6 Earth Damage +-Cannot be Duplicated</v>
      </c>
      <c r="AG718" s="32" t="str">
        <f>IFERROR(__xludf.DUMMYFUNCTION("""COMPUTED_VALUE"""),"Land of Spira")</f>
        <v>Land of Spira</v>
      </c>
      <c r="AH718" s="32" t="b">
        <f>IFERROR(__xludf.DUMMYFUNCTION("""COMPUTED_VALUE"""),FALSE)</f>
        <v>0</v>
      </c>
      <c r="AI718" s="32"/>
      <c r="AJ718" s="32"/>
      <c r="AK718" s="32"/>
      <c r="AL718" s="32"/>
      <c r="AM718" s="32"/>
      <c r="AN718" s="32"/>
      <c r="AO718" s="32"/>
      <c r="AP718" s="32"/>
      <c r="AQ718" s="32"/>
      <c r="AR718" s="32"/>
      <c r="AS718" s="32"/>
      <c r="AT718" s="32"/>
      <c r="AU718" s="32"/>
      <c r="AV718" s="32"/>
      <c r="AW718" s="32"/>
      <c r="AX718" s="32"/>
    </row>
    <row r="719">
      <c r="A719" s="32" t="str">
        <f>IFERROR(__xludf.DUMMYFUNCTION("""COMPUTED_VALUE"""),"The Billowing Bludgeon")</f>
        <v>The Billowing Bludgeon</v>
      </c>
      <c r="B719" s="32" t="str">
        <f>IFERROR(__xludf.DUMMYFUNCTION("""COMPUTED_VALUE"""),"Hand")</f>
        <v>Hand</v>
      </c>
      <c r="C719" s="3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32" t="str">
        <f>IFERROR(__xludf.DUMMYFUNCTION("""COMPUTED_VALUE"""),"Staff")</f>
        <v>Staff</v>
      </c>
      <c r="E719" s="32">
        <f>IFERROR(__xludf.DUMMYFUNCTION("""COMPUTED_VALUE"""),200.0)</f>
        <v>200</v>
      </c>
      <c r="F719" s="44">
        <f>IFERROR(__xludf.DUMMYFUNCTION("""COMPUTED_VALUE"""),1.797E9)</f>
        <v>1797000000</v>
      </c>
      <c r="G719" s="32" t="str">
        <f>IFERROR(__xludf.DUMMYFUNCTION("""COMPUTED_VALUE"""),"DMG")</f>
        <v>DMG</v>
      </c>
      <c r="H719" s="33">
        <f>IFERROR(__xludf.DUMMYFUNCTION("""COMPUTED_VALUE"""),75000.0)</f>
        <v>75000</v>
      </c>
      <c r="I719" s="33">
        <f>IFERROR(__xludf.DUMMYFUNCTION("""COMPUTED_VALUE"""),75000.0)</f>
        <v>75000</v>
      </c>
      <c r="J719" s="32"/>
      <c r="K719" s="32"/>
      <c r="L719" s="32"/>
      <c r="M719" s="33">
        <f>IFERROR(__xludf.DUMMYFUNCTION("""COMPUTED_VALUE"""),75000.0)</f>
        <v>75000</v>
      </c>
      <c r="N719" s="32"/>
      <c r="O719" s="32"/>
      <c r="P719" s="32"/>
      <c r="Q719" s="32"/>
      <c r="R719" s="32"/>
      <c r="S719" s="32"/>
      <c r="T719" s="32"/>
      <c r="U719" s="32"/>
      <c r="V719" s="32"/>
      <c r="W719" s="32"/>
      <c r="X719" s="32"/>
      <c r="Y719" s="32"/>
      <c r="Z719" s="32"/>
      <c r="AA719" s="32"/>
      <c r="AB719" s="32"/>
      <c r="AC719" s="33">
        <f>IFERROR(__xludf.DUMMYFUNCTION("""COMPUTED_VALUE"""),75000.0)</f>
        <v>75000</v>
      </c>
      <c r="AD719" s="32"/>
      <c r="AE719" s="32"/>
      <c r="AF719" s="32"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32" t="str">
        <f>IFERROR(__xludf.DUMMYFUNCTION("""COMPUTED_VALUE"""),"Land of Spira")</f>
        <v>Land of Spira</v>
      </c>
      <c r="AH719" s="32" t="b">
        <f>IFERROR(__xludf.DUMMYFUNCTION("""COMPUTED_VALUE"""),FALSE)</f>
        <v>0</v>
      </c>
      <c r="AI719" s="32"/>
      <c r="AJ719" s="32"/>
      <c r="AK719" s="32"/>
      <c r="AL719" s="32"/>
      <c r="AM719" s="32"/>
      <c r="AN719" s="32"/>
      <c r="AO719" s="32"/>
      <c r="AP719" s="32"/>
      <c r="AQ719" s="32"/>
      <c r="AR719" s="32"/>
      <c r="AS719" s="32"/>
      <c r="AT719" s="32"/>
      <c r="AU719" s="32"/>
      <c r="AV719" s="32"/>
      <c r="AW719" s="32"/>
      <c r="AX719" s="32"/>
    </row>
    <row r="720">
      <c r="A720" s="32" t="str">
        <f>IFERROR(__xludf.DUMMYFUNCTION("""COMPUTED_VALUE"""),"Home Run Bat")</f>
        <v>Home Run Bat</v>
      </c>
      <c r="B720" s="32" t="str">
        <f>IFERROR(__xludf.DUMMYFUNCTION("""COMPUTED_VALUE"""),"Hand")</f>
        <v>Hand</v>
      </c>
      <c r="C720" s="32"/>
      <c r="D720" s="32" t="str">
        <f>IFERROR(__xludf.DUMMYFUNCTION("""COMPUTED_VALUE"""),"Club")</f>
        <v>Club</v>
      </c>
      <c r="E720" s="32">
        <f>IFERROR(__xludf.DUMMYFUNCTION("""COMPUTED_VALUE"""),200.0)</f>
        <v>200</v>
      </c>
      <c r="F720" s="44">
        <f>IFERROR(__xludf.DUMMYFUNCTION("""COMPUTED_VALUE"""),7.98E8)</f>
        <v>798000000</v>
      </c>
      <c r="G720" s="32" t="str">
        <f>IFERROR(__xludf.DUMMYFUNCTION("""COMPUTED_VALUE"""),"DMG")</f>
        <v>DMG</v>
      </c>
      <c r="H720" s="33">
        <f>IFERROR(__xludf.DUMMYFUNCTION("""COMPUTED_VALUE"""),100000.0)</f>
        <v>100000</v>
      </c>
      <c r="I720" s="32"/>
      <c r="J720" s="32"/>
      <c r="K720" s="32"/>
      <c r="L720" s="32"/>
      <c r="M720" s="32"/>
      <c r="N720" s="32"/>
      <c r="O720" s="32"/>
      <c r="P720" s="32"/>
      <c r="Q720" s="32"/>
      <c r="R720" s="32"/>
      <c r="S720" s="32"/>
      <c r="T720" s="32"/>
      <c r="U720" s="32"/>
      <c r="V720" s="32"/>
      <c r="W720" s="32"/>
      <c r="X720" s="32"/>
      <c r="Y720" s="32"/>
      <c r="Z720" s="32"/>
      <c r="AA720" s="32"/>
      <c r="AB720" s="32"/>
      <c r="AC720" s="33">
        <f>IFERROR(__xludf.DUMMYFUNCTION("""COMPUTED_VALUE"""),100000.0)</f>
        <v>100000</v>
      </c>
      <c r="AD720" s="32"/>
      <c r="AE720" s="32"/>
      <c r="AF720" s="32"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32" t="str">
        <f>IFERROR(__xludf.DUMMYFUNCTION("""COMPUTED_VALUE"""),"Land of Spira")</f>
        <v>Land of Spira</v>
      </c>
      <c r="AH720" s="32" t="b">
        <f>IFERROR(__xludf.DUMMYFUNCTION("""COMPUTED_VALUE"""),FALSE)</f>
        <v>0</v>
      </c>
      <c r="AI720" s="32"/>
      <c r="AJ720" s="32"/>
      <c r="AK720" s="32"/>
      <c r="AL720" s="32"/>
      <c r="AM720" s="32"/>
      <c r="AN720" s="32"/>
      <c r="AO720" s="32"/>
      <c r="AP720" s="32"/>
      <c r="AQ720" s="32"/>
      <c r="AR720" s="32"/>
      <c r="AS720" s="32"/>
      <c r="AT720" s="32"/>
      <c r="AU720" s="32"/>
      <c r="AV720" s="32"/>
      <c r="AW720" s="32"/>
      <c r="AX720" s="32"/>
    </row>
    <row r="721">
      <c r="A721" s="32" t="str">
        <f>IFERROR(__xludf.DUMMYFUNCTION("""COMPUTED_VALUE"""),"Lunar New Year Dragon Head")</f>
        <v>Lunar New Year Dragon Head</v>
      </c>
      <c r="B721" s="32" t="str">
        <f>IFERROR(__xludf.DUMMYFUNCTION("""COMPUTED_VALUE"""),"Head")</f>
        <v>Head</v>
      </c>
      <c r="C721" s="32"/>
      <c r="D721" s="32" t="str">
        <f>IFERROR(__xludf.DUMMYFUNCTION("""COMPUTED_VALUE"""),"Item")</f>
        <v>Item</v>
      </c>
      <c r="E721" s="32">
        <f>IFERROR(__xludf.DUMMYFUNCTION("""COMPUTED_VALUE"""),200.0)</f>
        <v>200</v>
      </c>
      <c r="F721" s="44">
        <f>IFERROR(__xludf.DUMMYFUNCTION("""COMPUTED_VALUE"""),1.1175E8)</f>
        <v>111750000</v>
      </c>
      <c r="G721" s="32" t="str">
        <f>IFERROR(__xludf.DUMMYFUNCTION("""COMPUTED_VALUE"""),"DEF")</f>
        <v>DEF</v>
      </c>
      <c r="H721" s="33">
        <f>IFERROR(__xludf.DUMMYFUNCTION("""COMPUTED_VALUE"""),25000.0)</f>
        <v>25000</v>
      </c>
      <c r="I721" s="33">
        <f>IFERROR(__xludf.DUMMYFUNCTION("""COMPUTED_VALUE"""),25000.0)</f>
        <v>25000</v>
      </c>
      <c r="J721" s="32"/>
      <c r="K721" s="32"/>
      <c r="L721" s="32"/>
      <c r="M721" s="32"/>
      <c r="N721" s="32"/>
      <c r="O721" s="32"/>
      <c r="P721" s="32"/>
      <c r="Q721" s="32"/>
      <c r="R721" s="32"/>
      <c r="S721" s="32"/>
      <c r="T721" s="32"/>
      <c r="U721" s="32"/>
      <c r="V721" s="32"/>
      <c r="W721" s="32"/>
      <c r="X721" s="32"/>
      <c r="Y721" s="32"/>
      <c r="Z721" s="32"/>
      <c r="AA721" s="32"/>
      <c r="AB721" s="32"/>
      <c r="AC721" s="33">
        <f>IFERROR(__xludf.DUMMYFUNCTION("""COMPUTED_VALUE"""),25000.0)</f>
        <v>25000</v>
      </c>
      <c r="AD721" s="32"/>
      <c r="AE721" s="32"/>
      <c r="AF721" s="32" t="str">
        <f>IFERROR(__xludf.DUMMYFUNCTION("""COMPUTED_VALUE"""),"++Gain ""Greater Dragon's Breath"" Power. ++X2 additional Fire Damage.")</f>
        <v>++Gain "Greater Dragon's Breath" Power. ++X2 additional Fire Damage.</v>
      </c>
      <c r="AG721" s="32" t="str">
        <f>IFERROR(__xludf.DUMMYFUNCTION("""COMPUTED_VALUE"""),"Land of Spira")</f>
        <v>Land of Spira</v>
      </c>
      <c r="AH721" s="32" t="b">
        <f>IFERROR(__xludf.DUMMYFUNCTION("""COMPUTED_VALUE"""),FALSE)</f>
        <v>0</v>
      </c>
      <c r="AI721" s="32"/>
      <c r="AJ721" s="32"/>
      <c r="AK721" s="32"/>
      <c r="AL721" s="32"/>
      <c r="AM721" s="32"/>
      <c r="AN721" s="32"/>
      <c r="AO721" s="32"/>
      <c r="AP721" s="32"/>
      <c r="AQ721" s="32"/>
      <c r="AR721" s="32"/>
      <c r="AS721" s="32"/>
      <c r="AT721" s="32"/>
      <c r="AU721" s="32"/>
      <c r="AV721" s="32"/>
      <c r="AW721" s="32"/>
      <c r="AX721" s="32"/>
    </row>
    <row r="722">
      <c r="A722" s="32" t="str">
        <f>IFERROR(__xludf.DUMMYFUNCTION("""COMPUTED_VALUE"""),"Lunar New Year Dragon Shoulders")</f>
        <v>Lunar New Year Dragon Shoulders</v>
      </c>
      <c r="B722" s="32" t="str">
        <f>IFERROR(__xludf.DUMMYFUNCTION("""COMPUTED_VALUE"""),"Shoulders")</f>
        <v>Shoulders</v>
      </c>
      <c r="C722" s="32"/>
      <c r="D722" s="32" t="str">
        <f>IFERROR(__xludf.DUMMYFUNCTION("""COMPUTED_VALUE"""),"Item")</f>
        <v>Item</v>
      </c>
      <c r="E722" s="32">
        <f>IFERROR(__xludf.DUMMYFUNCTION("""COMPUTED_VALUE"""),200.0)</f>
        <v>200</v>
      </c>
      <c r="F722" s="44">
        <f>IFERROR(__xludf.DUMMYFUNCTION("""COMPUTED_VALUE"""),1.1175E8)</f>
        <v>111750000</v>
      </c>
      <c r="G722" s="32" t="str">
        <f>IFERROR(__xludf.DUMMYFUNCTION("""COMPUTED_VALUE"""),"DEF")</f>
        <v>DEF</v>
      </c>
      <c r="H722" s="33">
        <f>IFERROR(__xludf.DUMMYFUNCTION("""COMPUTED_VALUE"""),25000.0)</f>
        <v>25000</v>
      </c>
      <c r="I722" s="33">
        <f>IFERROR(__xludf.DUMMYFUNCTION("""COMPUTED_VALUE"""),25000.0)</f>
        <v>25000</v>
      </c>
      <c r="J722" s="32"/>
      <c r="K722" s="32"/>
      <c r="L722" s="32"/>
      <c r="M722" s="32"/>
      <c r="N722" s="32"/>
      <c r="O722" s="32"/>
      <c r="P722" s="32"/>
      <c r="Q722" s="32"/>
      <c r="R722" s="32"/>
      <c r="S722" s="32"/>
      <c r="T722" s="32"/>
      <c r="U722" s="32"/>
      <c r="V722" s="32"/>
      <c r="W722" s="32"/>
      <c r="X722" s="32"/>
      <c r="Y722" s="32"/>
      <c r="Z722" s="32"/>
      <c r="AA722" s="32"/>
      <c r="AB722" s="32"/>
      <c r="AC722" s="33">
        <f>IFERROR(__xludf.DUMMYFUNCTION("""COMPUTED_VALUE"""),25000.0)</f>
        <v>25000</v>
      </c>
      <c r="AD722" s="32"/>
      <c r="AE722" s="32"/>
      <c r="AF722" s="32" t="str">
        <f>IFERROR(__xludf.DUMMYFUNCTION("""COMPUTED_VALUE"""),"++X2 additional Fire Damage.")</f>
        <v>++X2 additional Fire Damage.</v>
      </c>
      <c r="AG722" s="32" t="str">
        <f>IFERROR(__xludf.DUMMYFUNCTION("""COMPUTED_VALUE"""),"Land of Spira")</f>
        <v>Land of Spira</v>
      </c>
      <c r="AH722" s="32" t="b">
        <f>IFERROR(__xludf.DUMMYFUNCTION("""COMPUTED_VALUE"""),FALSE)</f>
        <v>0</v>
      </c>
      <c r="AI722" s="32"/>
      <c r="AJ722" s="32"/>
      <c r="AK722" s="32"/>
      <c r="AL722" s="32"/>
      <c r="AM722" s="32"/>
      <c r="AN722" s="32"/>
      <c r="AO722" s="32"/>
      <c r="AP722" s="32"/>
      <c r="AQ722" s="32"/>
      <c r="AR722" s="32"/>
      <c r="AS722" s="32"/>
      <c r="AT722" s="32"/>
      <c r="AU722" s="32"/>
      <c r="AV722" s="32"/>
      <c r="AW722" s="32"/>
      <c r="AX722" s="32"/>
    </row>
    <row r="723">
      <c r="A723" s="32" t="str">
        <f>IFERROR(__xludf.DUMMYFUNCTION("""COMPUTED_VALUE"""),"Lunar New Year Dragon Arms")</f>
        <v>Lunar New Year Dragon Arms</v>
      </c>
      <c r="B723" s="32" t="str">
        <f>IFERROR(__xludf.DUMMYFUNCTION("""COMPUTED_VALUE"""),"Arms")</f>
        <v>Arms</v>
      </c>
      <c r="C723" s="32"/>
      <c r="D723" s="32" t="str">
        <f>IFERROR(__xludf.DUMMYFUNCTION("""COMPUTED_VALUE"""),"Item")</f>
        <v>Item</v>
      </c>
      <c r="E723" s="32">
        <f>IFERROR(__xludf.DUMMYFUNCTION("""COMPUTED_VALUE"""),200.0)</f>
        <v>200</v>
      </c>
      <c r="F723" s="44">
        <f>IFERROR(__xludf.DUMMYFUNCTION("""COMPUTED_VALUE"""),1.1175E8)</f>
        <v>111750000</v>
      </c>
      <c r="G723" s="32" t="str">
        <f>IFERROR(__xludf.DUMMYFUNCTION("""COMPUTED_VALUE"""),"DEF")</f>
        <v>DEF</v>
      </c>
      <c r="H723" s="33">
        <f>IFERROR(__xludf.DUMMYFUNCTION("""COMPUTED_VALUE"""),25000.0)</f>
        <v>25000</v>
      </c>
      <c r="I723" s="33">
        <f>IFERROR(__xludf.DUMMYFUNCTION("""COMPUTED_VALUE"""),25000.0)</f>
        <v>25000</v>
      </c>
      <c r="J723" s="32"/>
      <c r="K723" s="32"/>
      <c r="L723" s="32"/>
      <c r="M723" s="32"/>
      <c r="N723" s="32"/>
      <c r="O723" s="32"/>
      <c r="P723" s="32"/>
      <c r="Q723" s="32"/>
      <c r="R723" s="32"/>
      <c r="S723" s="32"/>
      <c r="T723" s="32"/>
      <c r="U723" s="32"/>
      <c r="V723" s="32"/>
      <c r="W723" s="32"/>
      <c r="X723" s="32"/>
      <c r="Y723" s="32"/>
      <c r="Z723" s="32"/>
      <c r="AA723" s="32"/>
      <c r="AB723" s="32"/>
      <c r="AC723" s="33">
        <f>IFERROR(__xludf.DUMMYFUNCTION("""COMPUTED_VALUE"""),25000.0)</f>
        <v>25000</v>
      </c>
      <c r="AD723" s="32"/>
      <c r="AE723" s="32"/>
      <c r="AF723" s="32" t="str">
        <f>IFERROR(__xludf.DUMMYFUNCTION("""COMPUTED_VALUE"""),"++X2 additional Fire Damage.")</f>
        <v>++X2 additional Fire Damage.</v>
      </c>
      <c r="AG723" s="32" t="str">
        <f>IFERROR(__xludf.DUMMYFUNCTION("""COMPUTED_VALUE"""),"Land of Spira")</f>
        <v>Land of Spira</v>
      </c>
      <c r="AH723" s="32" t="b">
        <f>IFERROR(__xludf.DUMMYFUNCTION("""COMPUTED_VALUE"""),FALSE)</f>
        <v>0</v>
      </c>
      <c r="AI723" s="32"/>
      <c r="AJ723" s="32"/>
      <c r="AK723" s="32"/>
      <c r="AL723" s="32"/>
      <c r="AM723" s="32"/>
      <c r="AN723" s="32"/>
      <c r="AO723" s="32"/>
      <c r="AP723" s="32"/>
      <c r="AQ723" s="32"/>
      <c r="AR723" s="32"/>
      <c r="AS723" s="32"/>
      <c r="AT723" s="32"/>
      <c r="AU723" s="32"/>
      <c r="AV723" s="32"/>
      <c r="AW723" s="32"/>
      <c r="AX723" s="32"/>
    </row>
    <row r="724">
      <c r="A724" s="32" t="str">
        <f>IFERROR(__xludf.DUMMYFUNCTION("""COMPUTED_VALUE"""),"Lunar New Year Dragon Torso")</f>
        <v>Lunar New Year Dragon Torso</v>
      </c>
      <c r="B724" s="32" t="str">
        <f>IFERROR(__xludf.DUMMYFUNCTION("""COMPUTED_VALUE"""),"Torso")</f>
        <v>Torso</v>
      </c>
      <c r="C724" s="32"/>
      <c r="D724" s="32" t="str">
        <f>IFERROR(__xludf.DUMMYFUNCTION("""COMPUTED_VALUE"""),"Item")</f>
        <v>Item</v>
      </c>
      <c r="E724" s="32">
        <f>IFERROR(__xludf.DUMMYFUNCTION("""COMPUTED_VALUE"""),200.0)</f>
        <v>200</v>
      </c>
      <c r="F724" s="44">
        <f>IFERROR(__xludf.DUMMYFUNCTION("""COMPUTED_VALUE"""),1.1175E8)</f>
        <v>111750000</v>
      </c>
      <c r="G724" s="32" t="str">
        <f>IFERROR(__xludf.DUMMYFUNCTION("""COMPUTED_VALUE"""),"DEF")</f>
        <v>DEF</v>
      </c>
      <c r="H724" s="33">
        <f>IFERROR(__xludf.DUMMYFUNCTION("""COMPUTED_VALUE"""),25000.0)</f>
        <v>25000</v>
      </c>
      <c r="I724" s="33">
        <f>IFERROR(__xludf.DUMMYFUNCTION("""COMPUTED_VALUE"""),25000.0)</f>
        <v>25000</v>
      </c>
      <c r="J724" s="32"/>
      <c r="K724" s="32"/>
      <c r="L724" s="32"/>
      <c r="M724" s="32"/>
      <c r="N724" s="32"/>
      <c r="O724" s="32"/>
      <c r="P724" s="32"/>
      <c r="Q724" s="32"/>
      <c r="R724" s="32"/>
      <c r="S724" s="32"/>
      <c r="T724" s="32"/>
      <c r="U724" s="32"/>
      <c r="V724" s="32"/>
      <c r="W724" s="32"/>
      <c r="X724" s="32"/>
      <c r="Y724" s="32"/>
      <c r="Z724" s="32"/>
      <c r="AA724" s="32"/>
      <c r="AB724" s="32"/>
      <c r="AC724" s="33">
        <f>IFERROR(__xludf.DUMMYFUNCTION("""COMPUTED_VALUE"""),25000.0)</f>
        <v>25000</v>
      </c>
      <c r="AD724" s="32"/>
      <c r="AE724" s="32"/>
      <c r="AF724" s="32" t="str">
        <f>IFERROR(__xludf.DUMMYFUNCTION("""COMPUTED_VALUE"""),"++X2 additional Fire Damage.")</f>
        <v>++X2 additional Fire Damage.</v>
      </c>
      <c r="AG724" s="32" t="str">
        <f>IFERROR(__xludf.DUMMYFUNCTION("""COMPUTED_VALUE"""),"Land of Spira")</f>
        <v>Land of Spira</v>
      </c>
      <c r="AH724" s="32" t="b">
        <f>IFERROR(__xludf.DUMMYFUNCTION("""COMPUTED_VALUE"""),FALSE)</f>
        <v>0</v>
      </c>
      <c r="AI724" s="32"/>
      <c r="AJ724" s="32"/>
      <c r="AK724" s="32"/>
      <c r="AL724" s="32"/>
      <c r="AM724" s="32"/>
      <c r="AN724" s="32"/>
      <c r="AO724" s="32"/>
      <c r="AP724" s="32"/>
      <c r="AQ724" s="32"/>
      <c r="AR724" s="32"/>
      <c r="AS724" s="32"/>
      <c r="AT724" s="32"/>
      <c r="AU724" s="32"/>
      <c r="AV724" s="32"/>
      <c r="AW724" s="32"/>
      <c r="AX724" s="32"/>
    </row>
    <row r="725">
      <c r="A725" s="32" t="str">
        <f>IFERROR(__xludf.DUMMYFUNCTION("""COMPUTED_VALUE"""),"Lunar New Year Dragon Legs")</f>
        <v>Lunar New Year Dragon Legs</v>
      </c>
      <c r="B725" s="32" t="str">
        <f>IFERROR(__xludf.DUMMYFUNCTION("""COMPUTED_VALUE"""),"Legs")</f>
        <v>Legs</v>
      </c>
      <c r="C725" s="32"/>
      <c r="D725" s="32" t="str">
        <f>IFERROR(__xludf.DUMMYFUNCTION("""COMPUTED_VALUE"""),"Item")</f>
        <v>Item</v>
      </c>
      <c r="E725" s="32">
        <f>IFERROR(__xludf.DUMMYFUNCTION("""COMPUTED_VALUE"""),200.0)</f>
        <v>200</v>
      </c>
      <c r="F725" s="44">
        <f>IFERROR(__xludf.DUMMYFUNCTION("""COMPUTED_VALUE"""),1.1175E8)</f>
        <v>111750000</v>
      </c>
      <c r="G725" s="32" t="str">
        <f>IFERROR(__xludf.DUMMYFUNCTION("""COMPUTED_VALUE"""),"DEF")</f>
        <v>DEF</v>
      </c>
      <c r="H725" s="33">
        <f>IFERROR(__xludf.DUMMYFUNCTION("""COMPUTED_VALUE"""),25000.0)</f>
        <v>25000</v>
      </c>
      <c r="I725" s="33">
        <f>IFERROR(__xludf.DUMMYFUNCTION("""COMPUTED_VALUE"""),25000.0)</f>
        <v>25000</v>
      </c>
      <c r="J725" s="32"/>
      <c r="K725" s="32"/>
      <c r="L725" s="32"/>
      <c r="M725" s="32"/>
      <c r="N725" s="32"/>
      <c r="O725" s="32"/>
      <c r="P725" s="32"/>
      <c r="Q725" s="32"/>
      <c r="R725" s="32"/>
      <c r="S725" s="32"/>
      <c r="T725" s="32"/>
      <c r="U725" s="32"/>
      <c r="V725" s="32"/>
      <c r="W725" s="32"/>
      <c r="X725" s="32"/>
      <c r="Y725" s="32"/>
      <c r="Z725" s="32"/>
      <c r="AA725" s="32"/>
      <c r="AB725" s="32"/>
      <c r="AC725" s="33">
        <f>IFERROR(__xludf.DUMMYFUNCTION("""COMPUTED_VALUE"""),25000.0)</f>
        <v>25000</v>
      </c>
      <c r="AD725" s="32"/>
      <c r="AE725" s="32"/>
      <c r="AF725" s="32" t="str">
        <f>IFERROR(__xludf.DUMMYFUNCTION("""COMPUTED_VALUE"""),"++X2 additional Fire Damage.")</f>
        <v>++X2 additional Fire Damage.</v>
      </c>
      <c r="AG725" s="32" t="str">
        <f>IFERROR(__xludf.DUMMYFUNCTION("""COMPUTED_VALUE"""),"Land of Spira")</f>
        <v>Land of Spira</v>
      </c>
      <c r="AH725" s="32" t="b">
        <f>IFERROR(__xludf.DUMMYFUNCTION("""COMPUTED_VALUE"""),FALSE)</f>
        <v>0</v>
      </c>
      <c r="AI725" s="32"/>
      <c r="AJ725" s="32"/>
      <c r="AK725" s="32"/>
      <c r="AL725" s="32"/>
      <c r="AM725" s="32"/>
      <c r="AN725" s="32"/>
      <c r="AO725" s="32"/>
      <c r="AP725" s="32"/>
      <c r="AQ725" s="32"/>
      <c r="AR725" s="32"/>
      <c r="AS725" s="32"/>
      <c r="AT725" s="32"/>
      <c r="AU725" s="32"/>
      <c r="AV725" s="32"/>
      <c r="AW725" s="32"/>
      <c r="AX725" s="32"/>
    </row>
    <row r="726">
      <c r="A726" s="32" t="str">
        <f>IFERROR(__xludf.DUMMYFUNCTION("""COMPUTED_VALUE"""),"Lunar New Year Dragon Feet")</f>
        <v>Lunar New Year Dragon Feet</v>
      </c>
      <c r="B726" s="32" t="str">
        <f>IFERROR(__xludf.DUMMYFUNCTION("""COMPUTED_VALUE"""),"Feet")</f>
        <v>Feet</v>
      </c>
      <c r="C726" s="32"/>
      <c r="D726" s="32" t="str">
        <f>IFERROR(__xludf.DUMMYFUNCTION("""COMPUTED_VALUE"""),"Item")</f>
        <v>Item</v>
      </c>
      <c r="E726" s="32">
        <f>IFERROR(__xludf.DUMMYFUNCTION("""COMPUTED_VALUE"""),200.0)</f>
        <v>200</v>
      </c>
      <c r="F726" s="44">
        <f>IFERROR(__xludf.DUMMYFUNCTION("""COMPUTED_VALUE"""),1.1175E8)</f>
        <v>111750000</v>
      </c>
      <c r="G726" s="32" t="str">
        <f>IFERROR(__xludf.DUMMYFUNCTION("""COMPUTED_VALUE"""),"DEF")</f>
        <v>DEF</v>
      </c>
      <c r="H726" s="33">
        <f>IFERROR(__xludf.DUMMYFUNCTION("""COMPUTED_VALUE"""),25000.0)</f>
        <v>25000</v>
      </c>
      <c r="I726" s="33">
        <f>IFERROR(__xludf.DUMMYFUNCTION("""COMPUTED_VALUE"""),25000.0)</f>
        <v>25000</v>
      </c>
      <c r="J726" s="32"/>
      <c r="K726" s="32"/>
      <c r="L726" s="32"/>
      <c r="M726" s="32"/>
      <c r="N726" s="32"/>
      <c r="O726" s="32"/>
      <c r="P726" s="32"/>
      <c r="Q726" s="32"/>
      <c r="R726" s="32"/>
      <c r="S726" s="32"/>
      <c r="T726" s="32"/>
      <c r="U726" s="32"/>
      <c r="V726" s="32"/>
      <c r="W726" s="32"/>
      <c r="X726" s="32"/>
      <c r="Y726" s="32"/>
      <c r="Z726" s="32"/>
      <c r="AA726" s="32"/>
      <c r="AB726" s="32"/>
      <c r="AC726" s="33">
        <f>IFERROR(__xludf.DUMMYFUNCTION("""COMPUTED_VALUE"""),25000.0)</f>
        <v>25000</v>
      </c>
      <c r="AD726" s="32"/>
      <c r="AE726" s="32"/>
      <c r="AF726" s="32" t="str">
        <f>IFERROR(__xludf.DUMMYFUNCTION("""COMPUTED_VALUE"""),"++X2 additional Fire Damage.")</f>
        <v>++X2 additional Fire Damage.</v>
      </c>
      <c r="AG726" s="32" t="str">
        <f>IFERROR(__xludf.DUMMYFUNCTION("""COMPUTED_VALUE"""),"Land of Spira")</f>
        <v>Land of Spira</v>
      </c>
      <c r="AH726" s="32" t="b">
        <f>IFERROR(__xludf.DUMMYFUNCTION("""COMPUTED_VALUE"""),FALSE)</f>
        <v>0</v>
      </c>
      <c r="AI726" s="32"/>
      <c r="AJ726" s="32"/>
      <c r="AK726" s="32"/>
      <c r="AL726" s="32"/>
      <c r="AM726" s="32"/>
      <c r="AN726" s="32"/>
      <c r="AO726" s="32"/>
      <c r="AP726" s="32"/>
      <c r="AQ726" s="32"/>
      <c r="AR726" s="32"/>
      <c r="AS726" s="32"/>
      <c r="AT726" s="32"/>
      <c r="AU726" s="32"/>
      <c r="AV726" s="32"/>
      <c r="AW726" s="32"/>
      <c r="AX726" s="32"/>
    </row>
    <row r="727">
      <c r="A727" s="32" t="str">
        <f>IFERROR(__xludf.DUMMYFUNCTION("""COMPUTED_VALUE"""),"Spirit Blade")</f>
        <v>Spirit Blade</v>
      </c>
      <c r="B727" s="32" t="str">
        <f>IFERROR(__xludf.DUMMYFUNCTION("""COMPUTED_VALUE"""),"Hand")</f>
        <v>Hand</v>
      </c>
      <c r="C727" s="32"/>
      <c r="D727" s="32" t="str">
        <f>IFERROR(__xludf.DUMMYFUNCTION("""COMPUTED_VALUE"""),"Sword")</f>
        <v>Sword</v>
      </c>
      <c r="E727" s="32">
        <f>IFERROR(__xludf.DUMMYFUNCTION("""COMPUTED_VALUE"""),600.0)</f>
        <v>600</v>
      </c>
      <c r="F727" s="44">
        <f>IFERROR(__xludf.DUMMYFUNCTION("""COMPUTED_VALUE"""),1.77E7)</f>
        <v>17700000</v>
      </c>
      <c r="G727" s="32" t="str">
        <f>IFERROR(__xludf.DUMMYFUNCTION("""COMPUTED_VALUE"""),"DMG")</f>
        <v>DMG</v>
      </c>
      <c r="H727" s="33">
        <f>IFERROR(__xludf.DUMMYFUNCTION("""COMPUTED_VALUE"""),20000.0)</f>
        <v>20000</v>
      </c>
      <c r="I727" s="32"/>
      <c r="J727" s="32"/>
      <c r="K727" s="32"/>
      <c r="L727" s="32"/>
      <c r="M727" s="32"/>
      <c r="N727" s="33">
        <f>IFERROR(__xludf.DUMMYFUNCTION("""COMPUTED_VALUE"""),10000.0)</f>
        <v>10000</v>
      </c>
      <c r="O727" s="32"/>
      <c r="P727" s="32"/>
      <c r="Q727" s="32"/>
      <c r="R727" s="32"/>
      <c r="S727" s="32"/>
      <c r="T727" s="32"/>
      <c r="U727" s="32"/>
      <c r="V727" s="32"/>
      <c r="W727" s="32"/>
      <c r="X727" s="32"/>
      <c r="Y727" s="32"/>
      <c r="Z727" s="32"/>
      <c r="AA727" s="32"/>
      <c r="AB727" s="32"/>
      <c r="AC727" s="32"/>
      <c r="AD727" s="32"/>
      <c r="AE727" s="32"/>
      <c r="AF727" s="32"/>
      <c r="AG727" s="32" t="str">
        <f>IFERROR(__xludf.DUMMYFUNCTION("""COMPUTED_VALUE"""),"Land of Spira")</f>
        <v>Land of Spira</v>
      </c>
      <c r="AH727" s="32" t="b">
        <f>IFERROR(__xludf.DUMMYFUNCTION("""COMPUTED_VALUE"""),FALSE)</f>
        <v>0</v>
      </c>
      <c r="AI727" s="32"/>
      <c r="AJ727" s="32"/>
      <c r="AK727" s="32"/>
      <c r="AL727" s="32"/>
      <c r="AM727" s="32"/>
      <c r="AN727" s="32"/>
      <c r="AO727" s="32"/>
      <c r="AP727" s="32"/>
      <c r="AQ727" s="32"/>
      <c r="AR727" s="32"/>
      <c r="AS727" s="32"/>
      <c r="AT727" s="32"/>
      <c r="AU727" s="32"/>
      <c r="AV727" s="32"/>
      <c r="AW727" s="32"/>
      <c r="AX727" s="32"/>
    </row>
    <row r="728">
      <c r="A728" s="32" t="str">
        <f>IFERROR(__xludf.DUMMYFUNCTION("""COMPUTED_VALUE"""),"Spirit Shield")</f>
        <v>Spirit Shield</v>
      </c>
      <c r="B728" s="32" t="str">
        <f>IFERROR(__xludf.DUMMYFUNCTION("""COMPUTED_VALUE"""),"Hand")</f>
        <v>Hand</v>
      </c>
      <c r="C728" s="32"/>
      <c r="D728" s="32" t="str">
        <f>IFERROR(__xludf.DUMMYFUNCTION("""COMPUTED_VALUE"""),"Buckler")</f>
        <v>Buckler</v>
      </c>
      <c r="E728" s="32">
        <f>IFERROR(__xludf.DUMMYFUNCTION("""COMPUTED_VALUE"""),600.0)</f>
        <v>600</v>
      </c>
      <c r="F728" s="44">
        <f>IFERROR(__xludf.DUMMYFUNCTION("""COMPUTED_VALUE"""),1.77E7)</f>
        <v>17700000</v>
      </c>
      <c r="G728" s="32" t="str">
        <f>IFERROR(__xludf.DUMMYFUNCTION("""COMPUTED_VALUE"""),"DEF")</f>
        <v>DEF</v>
      </c>
      <c r="H728" s="33">
        <f>IFERROR(__xludf.DUMMYFUNCTION("""COMPUTED_VALUE"""),20000.0)</f>
        <v>20000</v>
      </c>
      <c r="I728" s="32"/>
      <c r="J728" s="32"/>
      <c r="K728" s="32"/>
      <c r="L728" s="32"/>
      <c r="M728" s="32"/>
      <c r="N728" s="33">
        <f>IFERROR(__xludf.DUMMYFUNCTION("""COMPUTED_VALUE"""),10000.0)</f>
        <v>10000</v>
      </c>
      <c r="O728" s="32"/>
      <c r="P728" s="32"/>
      <c r="Q728" s="32"/>
      <c r="R728" s="32"/>
      <c r="S728" s="32"/>
      <c r="T728" s="32"/>
      <c r="U728" s="32"/>
      <c r="V728" s="32"/>
      <c r="W728" s="32"/>
      <c r="X728" s="32"/>
      <c r="Y728" s="32"/>
      <c r="Z728" s="32"/>
      <c r="AA728" s="32"/>
      <c r="AB728" s="32"/>
      <c r="AC728" s="32"/>
      <c r="AD728" s="32"/>
      <c r="AE728" s="32"/>
      <c r="AF728" s="32"/>
      <c r="AG728" s="32" t="str">
        <f>IFERROR(__xludf.DUMMYFUNCTION("""COMPUTED_VALUE"""),"Land of Spira")</f>
        <v>Land of Spira</v>
      </c>
      <c r="AH728" s="32" t="b">
        <f>IFERROR(__xludf.DUMMYFUNCTION("""COMPUTED_VALUE"""),FALSE)</f>
        <v>0</v>
      </c>
      <c r="AI728" s="32"/>
      <c r="AJ728" s="32"/>
      <c r="AK728" s="32"/>
      <c r="AL728" s="32"/>
      <c r="AM728" s="32"/>
      <c r="AN728" s="32"/>
      <c r="AO728" s="32"/>
      <c r="AP728" s="32"/>
      <c r="AQ728" s="32"/>
      <c r="AR728" s="32"/>
      <c r="AS728" s="32"/>
      <c r="AT728" s="32"/>
      <c r="AU728" s="32"/>
      <c r="AV728" s="32"/>
      <c r="AW728" s="32"/>
      <c r="AX728" s="32"/>
    </row>
    <row r="729">
      <c r="A729" s="32" t="str">
        <f>IFERROR(__xludf.DUMMYFUNCTION("""COMPUTED_VALUE"""),"Mage's Hood")</f>
        <v>Mage's Hood</v>
      </c>
      <c r="B729" s="32" t="str">
        <f>IFERROR(__xludf.DUMMYFUNCTION("""COMPUTED_VALUE"""),"Head")</f>
        <v>Head</v>
      </c>
      <c r="C729" s="32"/>
      <c r="D729" s="32" t="str">
        <f>IFERROR(__xludf.DUMMYFUNCTION("""COMPUTED_VALUE"""),"Item")</f>
        <v>Item</v>
      </c>
      <c r="E729" s="32">
        <f>IFERROR(__xludf.DUMMYFUNCTION("""COMPUTED_VALUE"""),1.0)</f>
        <v>1</v>
      </c>
      <c r="F729" s="44">
        <f>IFERROR(__xludf.DUMMYFUNCTION("""COMPUTED_VALUE"""),0.0)</f>
        <v>0</v>
      </c>
      <c r="G729" s="32" t="str">
        <f>IFERROR(__xludf.DUMMYFUNCTION("""COMPUTED_VALUE"""),"DEF")</f>
        <v>DEF</v>
      </c>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t="str">
        <f>IFERROR(__xludf.DUMMYFUNCTION("""COMPUTED_VALUE"""),"++5000 additional HP and SP. ++Plus 2 Wisdom. +-Cannot be forged. +-Cannot be duplicateed.")</f>
        <v>++5000 additional HP and SP. ++Plus 2 Wisdom. +-Cannot be forged. +-Cannot be duplicateed.</v>
      </c>
      <c r="AG729" s="32" t="str">
        <f>IFERROR(__xludf.DUMMYFUNCTION("""COMPUTED_VALUE"""),"Land of Spira")</f>
        <v>Land of Spira</v>
      </c>
      <c r="AH729" s="32" t="b">
        <f>IFERROR(__xludf.DUMMYFUNCTION("""COMPUTED_VALUE"""),FALSE)</f>
        <v>0</v>
      </c>
      <c r="AI729" s="32"/>
      <c r="AJ729" s="32"/>
      <c r="AK729" s="32"/>
      <c r="AL729" s="32"/>
      <c r="AM729" s="32"/>
      <c r="AN729" s="32"/>
      <c r="AO729" s="32"/>
      <c r="AP729" s="32"/>
      <c r="AQ729" s="32"/>
      <c r="AR729" s="32"/>
      <c r="AS729" s="32"/>
      <c r="AT729" s="32"/>
      <c r="AU729" s="32"/>
      <c r="AV729" s="32"/>
      <c r="AW729" s="32"/>
      <c r="AX729" s="32"/>
    </row>
    <row r="730">
      <c r="A730" s="32" t="str">
        <f>IFERROR(__xludf.DUMMYFUNCTION("""COMPUTED_VALUE"""),"Mage's Cloak")</f>
        <v>Mage's Cloak</v>
      </c>
      <c r="B730" s="32" t="str">
        <f>IFERROR(__xludf.DUMMYFUNCTION("""COMPUTED_VALUE"""),"Torso")</f>
        <v>Torso</v>
      </c>
      <c r="C730" s="32"/>
      <c r="D730" s="32" t="str">
        <f>IFERROR(__xludf.DUMMYFUNCTION("""COMPUTED_VALUE"""),"Item")</f>
        <v>Item</v>
      </c>
      <c r="E730" s="32">
        <f>IFERROR(__xludf.DUMMYFUNCTION("""COMPUTED_VALUE"""),1.0)</f>
        <v>1</v>
      </c>
      <c r="F730" s="44">
        <f>IFERROR(__xludf.DUMMYFUNCTION("""COMPUTED_VALUE"""),0.0)</f>
        <v>0</v>
      </c>
      <c r="G730" s="32" t="str">
        <f>IFERROR(__xludf.DUMMYFUNCTION("""COMPUTED_VALUE"""),"DEF")</f>
        <v>DEF</v>
      </c>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t="str">
        <f>IFERROR(__xludf.DUMMYFUNCTION("""COMPUTED_VALUE"""),"++5000 additional HP and SP. ++Plus 2 Wisdom. +-Cannot be forged. +-Cannot be duplicateed.")</f>
        <v>++5000 additional HP and SP. ++Plus 2 Wisdom. +-Cannot be forged. +-Cannot be duplicateed.</v>
      </c>
      <c r="AG730" s="32" t="str">
        <f>IFERROR(__xludf.DUMMYFUNCTION("""COMPUTED_VALUE"""),"Land of Spira")</f>
        <v>Land of Spira</v>
      </c>
      <c r="AH730" s="32" t="b">
        <f>IFERROR(__xludf.DUMMYFUNCTION("""COMPUTED_VALUE"""),FALSE)</f>
        <v>0</v>
      </c>
      <c r="AI730" s="32"/>
      <c r="AJ730" s="32"/>
      <c r="AK730" s="32"/>
      <c r="AL730" s="32"/>
      <c r="AM730" s="32"/>
      <c r="AN730" s="32"/>
      <c r="AO730" s="32"/>
      <c r="AP730" s="32"/>
      <c r="AQ730" s="32"/>
      <c r="AR730" s="32"/>
      <c r="AS730" s="32"/>
      <c r="AT730" s="32"/>
      <c r="AU730" s="32"/>
      <c r="AV730" s="32"/>
      <c r="AW730" s="32"/>
      <c r="AX730" s="32"/>
    </row>
    <row r="731">
      <c r="A731" s="32" t="str">
        <f>IFERROR(__xludf.DUMMYFUNCTION("""COMPUTED_VALUE"""),"Mage's Shoes")</f>
        <v>Mage's Shoes</v>
      </c>
      <c r="B731" s="32" t="str">
        <f>IFERROR(__xludf.DUMMYFUNCTION("""COMPUTED_VALUE"""),"Feet")</f>
        <v>Feet</v>
      </c>
      <c r="C731" s="32"/>
      <c r="D731" s="32" t="str">
        <f>IFERROR(__xludf.DUMMYFUNCTION("""COMPUTED_VALUE"""),"Item")</f>
        <v>Item</v>
      </c>
      <c r="E731" s="32">
        <f>IFERROR(__xludf.DUMMYFUNCTION("""COMPUTED_VALUE"""),1.0)</f>
        <v>1</v>
      </c>
      <c r="F731" s="44">
        <f>IFERROR(__xludf.DUMMYFUNCTION("""COMPUTED_VALUE"""),0.0)</f>
        <v>0</v>
      </c>
      <c r="G731" s="32" t="str">
        <f>IFERROR(__xludf.DUMMYFUNCTION("""COMPUTED_VALUE"""),"DEF")</f>
        <v>DEF</v>
      </c>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t="str">
        <f>IFERROR(__xludf.DUMMYFUNCTION("""COMPUTED_VALUE"""),"++5000 additional HP and SP. ++Plus 1 Wisdom. +-Cannot be forged. +-Cannot be duplicateed.")</f>
        <v>++5000 additional HP and SP. ++Plus 1 Wisdom. +-Cannot be forged. +-Cannot be duplicateed.</v>
      </c>
      <c r="AG731" s="32" t="str">
        <f>IFERROR(__xludf.DUMMYFUNCTION("""COMPUTED_VALUE"""),"Land of Spira")</f>
        <v>Land of Spira</v>
      </c>
      <c r="AH731" s="32" t="b">
        <f>IFERROR(__xludf.DUMMYFUNCTION("""COMPUTED_VALUE"""),FALSE)</f>
        <v>0</v>
      </c>
      <c r="AI731" s="32"/>
      <c r="AJ731" s="32"/>
      <c r="AK731" s="32"/>
      <c r="AL731" s="32"/>
      <c r="AM731" s="32"/>
      <c r="AN731" s="32"/>
      <c r="AO731" s="32"/>
      <c r="AP731" s="32"/>
      <c r="AQ731" s="32"/>
      <c r="AR731" s="32"/>
      <c r="AS731" s="32"/>
      <c r="AT731" s="32"/>
      <c r="AU731" s="32"/>
      <c r="AV731" s="32"/>
      <c r="AW731" s="32"/>
      <c r="AX731" s="32"/>
    </row>
    <row r="732">
      <c r="A732" s="32" t="str">
        <f>IFERROR(__xludf.DUMMYFUNCTION("""COMPUTED_VALUE"""),"Sorcerer's Hood")</f>
        <v>Sorcerer's Hood</v>
      </c>
      <c r="B732" s="32" t="str">
        <f>IFERROR(__xludf.DUMMYFUNCTION("""COMPUTED_VALUE"""),"Head")</f>
        <v>Head</v>
      </c>
      <c r="C732" s="32"/>
      <c r="D732" s="32" t="str">
        <f>IFERROR(__xludf.DUMMYFUNCTION("""COMPUTED_VALUE"""),"Item")</f>
        <v>Item</v>
      </c>
      <c r="E732" s="32">
        <f>IFERROR(__xludf.DUMMYFUNCTION("""COMPUTED_VALUE"""),1.0)</f>
        <v>1</v>
      </c>
      <c r="F732" s="44">
        <f>IFERROR(__xludf.DUMMYFUNCTION("""COMPUTED_VALUE"""),0.0)</f>
        <v>0</v>
      </c>
      <c r="G732" s="32" t="str">
        <f>IFERROR(__xludf.DUMMYFUNCTION("""COMPUTED_VALUE"""),"DEF")</f>
        <v>DEF</v>
      </c>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t="str">
        <f>IFERROR(__xludf.DUMMYFUNCTION("""COMPUTED_VALUE"""),"++2500 additional HP and SP. ++Plus 2 Wisdom. +-Cannot be forged. +-Cannot be duplicateed.")</f>
        <v>++2500 additional HP and SP. ++Plus 2 Wisdom. +-Cannot be forged. +-Cannot be duplicateed.</v>
      </c>
      <c r="AG732" s="32" t="str">
        <f>IFERROR(__xludf.DUMMYFUNCTION("""COMPUTED_VALUE"""),"Land of Spira")</f>
        <v>Land of Spira</v>
      </c>
      <c r="AH732" s="32" t="b">
        <f>IFERROR(__xludf.DUMMYFUNCTION("""COMPUTED_VALUE"""),FALSE)</f>
        <v>0</v>
      </c>
      <c r="AI732" s="32"/>
      <c r="AJ732" s="32"/>
      <c r="AK732" s="32"/>
      <c r="AL732" s="32"/>
      <c r="AM732" s="32"/>
      <c r="AN732" s="32"/>
      <c r="AO732" s="32"/>
      <c r="AP732" s="32"/>
      <c r="AQ732" s="32"/>
      <c r="AR732" s="32"/>
      <c r="AS732" s="32"/>
      <c r="AT732" s="32"/>
      <c r="AU732" s="32"/>
      <c r="AV732" s="32"/>
      <c r="AW732" s="32"/>
      <c r="AX732" s="32"/>
    </row>
    <row r="733">
      <c r="A733" s="32" t="str">
        <f>IFERROR(__xludf.DUMMYFUNCTION("""COMPUTED_VALUE"""),"Sorcerer's Cloak")</f>
        <v>Sorcerer's Cloak</v>
      </c>
      <c r="B733" s="32" t="str">
        <f>IFERROR(__xludf.DUMMYFUNCTION("""COMPUTED_VALUE"""),"Torso")</f>
        <v>Torso</v>
      </c>
      <c r="C733" s="32"/>
      <c r="D733" s="32" t="str">
        <f>IFERROR(__xludf.DUMMYFUNCTION("""COMPUTED_VALUE"""),"Item")</f>
        <v>Item</v>
      </c>
      <c r="E733" s="32">
        <f>IFERROR(__xludf.DUMMYFUNCTION("""COMPUTED_VALUE"""),1.0)</f>
        <v>1</v>
      </c>
      <c r="F733" s="44">
        <f>IFERROR(__xludf.DUMMYFUNCTION("""COMPUTED_VALUE"""),0.0)</f>
        <v>0</v>
      </c>
      <c r="G733" s="32" t="str">
        <f>IFERROR(__xludf.DUMMYFUNCTION("""COMPUTED_VALUE"""),"DEF")</f>
        <v>DEF</v>
      </c>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t="str">
        <f>IFERROR(__xludf.DUMMYFUNCTION("""COMPUTED_VALUE"""),"++2500 additional HP and SP. ++Plus 2 Wisdom. +-Cannot be forged. +-Cannot be duplicateed.")</f>
        <v>++2500 additional HP and SP. ++Plus 2 Wisdom. +-Cannot be forged. +-Cannot be duplicateed.</v>
      </c>
      <c r="AG733" s="32" t="str">
        <f>IFERROR(__xludf.DUMMYFUNCTION("""COMPUTED_VALUE"""),"Land of Spira")</f>
        <v>Land of Spira</v>
      </c>
      <c r="AH733" s="32" t="b">
        <f>IFERROR(__xludf.DUMMYFUNCTION("""COMPUTED_VALUE"""),FALSE)</f>
        <v>0</v>
      </c>
      <c r="AI733" s="32"/>
      <c r="AJ733" s="32"/>
      <c r="AK733" s="32"/>
      <c r="AL733" s="32"/>
      <c r="AM733" s="32"/>
      <c r="AN733" s="32"/>
      <c r="AO733" s="32"/>
      <c r="AP733" s="32"/>
      <c r="AQ733" s="32"/>
      <c r="AR733" s="32"/>
      <c r="AS733" s="32"/>
      <c r="AT733" s="32"/>
      <c r="AU733" s="32"/>
      <c r="AV733" s="32"/>
      <c r="AW733" s="32"/>
      <c r="AX733" s="32"/>
    </row>
    <row r="734">
      <c r="A734" s="32" t="str">
        <f>IFERROR(__xludf.DUMMYFUNCTION("""COMPUTED_VALUE"""),"Sorcerer's Shoes")</f>
        <v>Sorcerer's Shoes</v>
      </c>
      <c r="B734" s="32" t="str">
        <f>IFERROR(__xludf.DUMMYFUNCTION("""COMPUTED_VALUE"""),"Feet")</f>
        <v>Feet</v>
      </c>
      <c r="C734" s="32"/>
      <c r="D734" s="32" t="str">
        <f>IFERROR(__xludf.DUMMYFUNCTION("""COMPUTED_VALUE"""),"Item")</f>
        <v>Item</v>
      </c>
      <c r="E734" s="32">
        <f>IFERROR(__xludf.DUMMYFUNCTION("""COMPUTED_VALUE"""),1.0)</f>
        <v>1</v>
      </c>
      <c r="F734" s="44">
        <f>IFERROR(__xludf.DUMMYFUNCTION("""COMPUTED_VALUE"""),0.0)</f>
        <v>0</v>
      </c>
      <c r="G734" s="32" t="str">
        <f>IFERROR(__xludf.DUMMYFUNCTION("""COMPUTED_VALUE"""),"DEF")</f>
        <v>DEF</v>
      </c>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t="str">
        <f>IFERROR(__xludf.DUMMYFUNCTION("""COMPUTED_VALUE"""),"++2500 additional HP and SP. ++Plus 1 Wisdom. +-Cannot be forged. +-Cannot be duplicateed.")</f>
        <v>++2500 additional HP and SP. ++Plus 1 Wisdom. +-Cannot be forged. +-Cannot be duplicateed.</v>
      </c>
      <c r="AG734" s="32" t="str">
        <f>IFERROR(__xludf.DUMMYFUNCTION("""COMPUTED_VALUE"""),"Land of Spira")</f>
        <v>Land of Spira</v>
      </c>
      <c r="AH734" s="32" t="b">
        <f>IFERROR(__xludf.DUMMYFUNCTION("""COMPUTED_VALUE"""),FALSE)</f>
        <v>0</v>
      </c>
      <c r="AI734" s="32"/>
      <c r="AJ734" s="32"/>
      <c r="AK734" s="32"/>
      <c r="AL734" s="32"/>
      <c r="AM734" s="32"/>
      <c r="AN734" s="32"/>
      <c r="AO734" s="32"/>
      <c r="AP734" s="32"/>
      <c r="AQ734" s="32"/>
      <c r="AR734" s="32"/>
      <c r="AS734" s="32"/>
      <c r="AT734" s="32"/>
      <c r="AU734" s="32"/>
      <c r="AV734" s="32"/>
      <c r="AW734" s="32"/>
      <c r="AX734" s="32"/>
    </row>
    <row r="735">
      <c r="A735" s="32" t="str">
        <f>IFERROR(__xludf.DUMMYFUNCTION("""COMPUTED_VALUE"""),"Wizard's Hood")</f>
        <v>Wizard's Hood</v>
      </c>
      <c r="B735" s="32" t="str">
        <f>IFERROR(__xludf.DUMMYFUNCTION("""COMPUTED_VALUE"""),"Head")</f>
        <v>Head</v>
      </c>
      <c r="C735" s="32"/>
      <c r="D735" s="32" t="str">
        <f>IFERROR(__xludf.DUMMYFUNCTION("""COMPUTED_VALUE"""),"Item")</f>
        <v>Item</v>
      </c>
      <c r="E735" s="32">
        <f>IFERROR(__xludf.DUMMYFUNCTION("""COMPUTED_VALUE"""),1.0)</f>
        <v>1</v>
      </c>
      <c r="F735" s="44">
        <f>IFERROR(__xludf.DUMMYFUNCTION("""COMPUTED_VALUE"""),0.0)</f>
        <v>0</v>
      </c>
      <c r="G735" s="32" t="str">
        <f>IFERROR(__xludf.DUMMYFUNCTION("""COMPUTED_VALUE"""),"DEF")</f>
        <v>DEF</v>
      </c>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t="str">
        <f>IFERROR(__xludf.DUMMYFUNCTION("""COMPUTED_VALUE"""),"++1000 additional HP and SP. ++X2 Spell Damage. +-Cannot be forged. +-Cannot be duplicateed.")</f>
        <v>++1000 additional HP and SP. ++X2 Spell Damage. +-Cannot be forged. +-Cannot be duplicateed.</v>
      </c>
      <c r="AG735" s="32" t="str">
        <f>IFERROR(__xludf.DUMMYFUNCTION("""COMPUTED_VALUE"""),"Land of Spira")</f>
        <v>Land of Spira</v>
      </c>
      <c r="AH735" s="32" t="b">
        <f>IFERROR(__xludf.DUMMYFUNCTION("""COMPUTED_VALUE"""),FALSE)</f>
        <v>0</v>
      </c>
      <c r="AI735" s="32"/>
      <c r="AJ735" s="32"/>
      <c r="AK735" s="32"/>
      <c r="AL735" s="32"/>
      <c r="AM735" s="32"/>
      <c r="AN735" s="32"/>
      <c r="AO735" s="32"/>
      <c r="AP735" s="32"/>
      <c r="AQ735" s="32"/>
      <c r="AR735" s="32"/>
      <c r="AS735" s="32"/>
      <c r="AT735" s="32"/>
      <c r="AU735" s="32"/>
      <c r="AV735" s="32"/>
      <c r="AW735" s="32"/>
      <c r="AX735" s="32"/>
    </row>
    <row r="736">
      <c r="A736" s="32" t="str">
        <f>IFERROR(__xludf.DUMMYFUNCTION("""COMPUTED_VALUE"""),"Wizard's Cloak")</f>
        <v>Wizard's Cloak</v>
      </c>
      <c r="B736" s="32" t="str">
        <f>IFERROR(__xludf.DUMMYFUNCTION("""COMPUTED_VALUE"""),"Torso")</f>
        <v>Torso</v>
      </c>
      <c r="C736" s="32"/>
      <c r="D736" s="32" t="str">
        <f>IFERROR(__xludf.DUMMYFUNCTION("""COMPUTED_VALUE"""),"Item")</f>
        <v>Item</v>
      </c>
      <c r="E736" s="32">
        <f>IFERROR(__xludf.DUMMYFUNCTION("""COMPUTED_VALUE"""),1.0)</f>
        <v>1</v>
      </c>
      <c r="F736" s="44">
        <f>IFERROR(__xludf.DUMMYFUNCTION("""COMPUTED_VALUE"""),0.0)</f>
        <v>0</v>
      </c>
      <c r="G736" s="32" t="str">
        <f>IFERROR(__xludf.DUMMYFUNCTION("""COMPUTED_VALUE"""),"DEF")</f>
        <v>DEF</v>
      </c>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t="str">
        <f>IFERROR(__xludf.DUMMYFUNCTION("""COMPUTED_VALUE"""),"++1000 additional HP and SP. ++X2 Spell Damage. +-Cannot be forged. +-Cannot be duplicateed.")</f>
        <v>++1000 additional HP and SP. ++X2 Spell Damage. +-Cannot be forged. +-Cannot be duplicateed.</v>
      </c>
      <c r="AG736" s="32" t="str">
        <f>IFERROR(__xludf.DUMMYFUNCTION("""COMPUTED_VALUE"""),"Land of Spira")</f>
        <v>Land of Spira</v>
      </c>
      <c r="AH736" s="32" t="b">
        <f>IFERROR(__xludf.DUMMYFUNCTION("""COMPUTED_VALUE"""),FALSE)</f>
        <v>0</v>
      </c>
      <c r="AI736" s="32"/>
      <c r="AJ736" s="32"/>
      <c r="AK736" s="32"/>
      <c r="AL736" s="32"/>
      <c r="AM736" s="32"/>
      <c r="AN736" s="32"/>
      <c r="AO736" s="32"/>
      <c r="AP736" s="32"/>
      <c r="AQ736" s="32"/>
      <c r="AR736" s="32"/>
      <c r="AS736" s="32"/>
      <c r="AT736" s="32"/>
      <c r="AU736" s="32"/>
      <c r="AV736" s="32"/>
      <c r="AW736" s="32"/>
      <c r="AX736" s="32"/>
    </row>
    <row r="737">
      <c r="A737" s="32" t="str">
        <f>IFERROR(__xludf.DUMMYFUNCTION("""COMPUTED_VALUE"""),"Wizard's Shoes")</f>
        <v>Wizard's Shoes</v>
      </c>
      <c r="B737" s="32" t="str">
        <f>IFERROR(__xludf.DUMMYFUNCTION("""COMPUTED_VALUE"""),"Feet")</f>
        <v>Feet</v>
      </c>
      <c r="C737" s="32"/>
      <c r="D737" s="32" t="str">
        <f>IFERROR(__xludf.DUMMYFUNCTION("""COMPUTED_VALUE"""),"Item")</f>
        <v>Item</v>
      </c>
      <c r="E737" s="32">
        <f>IFERROR(__xludf.DUMMYFUNCTION("""COMPUTED_VALUE"""),1.0)</f>
        <v>1</v>
      </c>
      <c r="F737" s="44">
        <f>IFERROR(__xludf.DUMMYFUNCTION("""COMPUTED_VALUE"""),0.0)</f>
        <v>0</v>
      </c>
      <c r="G737" s="32" t="str">
        <f>IFERROR(__xludf.DUMMYFUNCTION("""COMPUTED_VALUE"""),"DEF")</f>
        <v>DEF</v>
      </c>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t="str">
        <f>IFERROR(__xludf.DUMMYFUNCTION("""COMPUTED_VALUE"""),"++1000 additional HP and SP. ++X2 Spell Damage. +-Cannot be forged. +-Cannot be duplicateed.")</f>
        <v>++1000 additional HP and SP. ++X2 Spell Damage. +-Cannot be forged. +-Cannot be duplicateed.</v>
      </c>
      <c r="AG737" s="32" t="str">
        <f>IFERROR(__xludf.DUMMYFUNCTION("""COMPUTED_VALUE"""),"Land of Spira")</f>
        <v>Land of Spira</v>
      </c>
      <c r="AH737" s="32" t="b">
        <f>IFERROR(__xludf.DUMMYFUNCTION("""COMPUTED_VALUE"""),FALSE)</f>
        <v>0</v>
      </c>
      <c r="AI737" s="32"/>
      <c r="AJ737" s="32"/>
      <c r="AK737" s="32"/>
      <c r="AL737" s="32"/>
      <c r="AM737" s="32"/>
      <c r="AN737" s="32"/>
      <c r="AO737" s="32"/>
      <c r="AP737" s="32"/>
      <c r="AQ737" s="32"/>
      <c r="AR737" s="32"/>
      <c r="AS737" s="32"/>
      <c r="AT737" s="32"/>
      <c r="AU737" s="32"/>
      <c r="AV737" s="32"/>
      <c r="AW737" s="32"/>
      <c r="AX737" s="32"/>
    </row>
    <row r="738">
      <c r="A738" s="32" t="str">
        <f>IFERROR(__xludf.DUMMYFUNCTION("""COMPUTED_VALUE"""),"Gunslinger's Cap")</f>
        <v>Gunslinger's Cap</v>
      </c>
      <c r="B738" s="32" t="str">
        <f>IFERROR(__xludf.DUMMYFUNCTION("""COMPUTED_VALUE"""),"Head")</f>
        <v>Head</v>
      </c>
      <c r="C738" s="32"/>
      <c r="D738" s="32" t="str">
        <f>IFERROR(__xludf.DUMMYFUNCTION("""COMPUTED_VALUE"""),"Item")</f>
        <v>Item</v>
      </c>
      <c r="E738" s="32">
        <f>IFERROR(__xludf.DUMMYFUNCTION("""COMPUTED_VALUE"""),1.0)</f>
        <v>1</v>
      </c>
      <c r="F738" s="44">
        <f>IFERROR(__xludf.DUMMYFUNCTION("""COMPUTED_VALUE"""),0.0)</f>
        <v>0</v>
      </c>
      <c r="G738" s="32" t="str">
        <f>IFERROR(__xludf.DUMMYFUNCTION("""COMPUTED_VALUE"""),"DEF")</f>
        <v>DEF</v>
      </c>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t="str">
        <f>IFERROR(__xludf.DUMMYFUNCTION("""COMPUTED_VALUE"""),"++10,000 ACC and ATK. ++2 Mobility +-Cannot be forged or duplicated")</f>
        <v>++10,000 ACC and ATK. ++2 Mobility +-Cannot be forged or duplicated</v>
      </c>
      <c r="AG738" s="32" t="str">
        <f>IFERROR(__xludf.DUMMYFUNCTION("""COMPUTED_VALUE"""),"Land of Spira")</f>
        <v>Land of Spira</v>
      </c>
      <c r="AH738" s="32" t="b">
        <f>IFERROR(__xludf.DUMMYFUNCTION("""COMPUTED_VALUE"""),FALSE)</f>
        <v>0</v>
      </c>
      <c r="AI738" s="32"/>
      <c r="AJ738" s="32"/>
      <c r="AK738" s="32"/>
      <c r="AL738" s="32"/>
      <c r="AM738" s="32"/>
      <c r="AN738" s="32"/>
      <c r="AO738" s="32"/>
      <c r="AP738" s="32"/>
      <c r="AQ738" s="32"/>
      <c r="AR738" s="32"/>
      <c r="AS738" s="32"/>
      <c r="AT738" s="32"/>
      <c r="AU738" s="32"/>
      <c r="AV738" s="32"/>
      <c r="AW738" s="32"/>
      <c r="AX738" s="32"/>
    </row>
    <row r="739">
      <c r="A739" s="32" t="str">
        <f>IFERROR(__xludf.DUMMYFUNCTION("""COMPUTED_VALUE"""),"Gunslinger's Shirt")</f>
        <v>Gunslinger's Shirt</v>
      </c>
      <c r="B739" s="32" t="str">
        <f>IFERROR(__xludf.DUMMYFUNCTION("""COMPUTED_VALUE"""),"Torso")</f>
        <v>Torso</v>
      </c>
      <c r="C739" s="32"/>
      <c r="D739" s="32" t="str">
        <f>IFERROR(__xludf.DUMMYFUNCTION("""COMPUTED_VALUE"""),"Item")</f>
        <v>Item</v>
      </c>
      <c r="E739" s="32">
        <f>IFERROR(__xludf.DUMMYFUNCTION("""COMPUTED_VALUE"""),1.0)</f>
        <v>1</v>
      </c>
      <c r="F739" s="44">
        <f>IFERROR(__xludf.DUMMYFUNCTION("""COMPUTED_VALUE"""),0.0)</f>
        <v>0</v>
      </c>
      <c r="G739" s="32" t="str">
        <f>IFERROR(__xludf.DUMMYFUNCTION("""COMPUTED_VALUE"""),"DEF")</f>
        <v>DEF</v>
      </c>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t="str">
        <f>IFERROR(__xludf.DUMMYFUNCTION("""COMPUTED_VALUE"""),"++10,000 ACC and ATK. ++2 Mobility +-Cannot be forged or duplicated")</f>
        <v>++10,000 ACC and ATK. ++2 Mobility +-Cannot be forged or duplicated</v>
      </c>
      <c r="AG739" s="32" t="str">
        <f>IFERROR(__xludf.DUMMYFUNCTION("""COMPUTED_VALUE"""),"Land of Spira")</f>
        <v>Land of Spira</v>
      </c>
      <c r="AH739" s="32" t="b">
        <f>IFERROR(__xludf.DUMMYFUNCTION("""COMPUTED_VALUE"""),FALSE)</f>
        <v>0</v>
      </c>
      <c r="AI739" s="32"/>
      <c r="AJ739" s="32"/>
      <c r="AK739" s="32"/>
      <c r="AL739" s="32"/>
      <c r="AM739" s="32"/>
      <c r="AN739" s="32"/>
      <c r="AO739" s="32"/>
      <c r="AP739" s="32"/>
      <c r="AQ739" s="32"/>
      <c r="AR739" s="32"/>
      <c r="AS739" s="32"/>
      <c r="AT739" s="32"/>
      <c r="AU739" s="32"/>
      <c r="AV739" s="32"/>
      <c r="AW739" s="32"/>
      <c r="AX739" s="32"/>
    </row>
    <row r="740">
      <c r="A740" s="32" t="str">
        <f>IFERROR(__xludf.DUMMYFUNCTION("""COMPUTED_VALUE"""),"Gunslinger's Boots")</f>
        <v>Gunslinger's Boots</v>
      </c>
      <c r="B740" s="32" t="str">
        <f>IFERROR(__xludf.DUMMYFUNCTION("""COMPUTED_VALUE"""),"Feet")</f>
        <v>Feet</v>
      </c>
      <c r="C740" s="32"/>
      <c r="D740" s="32" t="str">
        <f>IFERROR(__xludf.DUMMYFUNCTION("""COMPUTED_VALUE"""),"Item")</f>
        <v>Item</v>
      </c>
      <c r="E740" s="32">
        <f>IFERROR(__xludf.DUMMYFUNCTION("""COMPUTED_VALUE"""),1.0)</f>
        <v>1</v>
      </c>
      <c r="F740" s="44">
        <f>IFERROR(__xludf.DUMMYFUNCTION("""COMPUTED_VALUE"""),0.0)</f>
        <v>0</v>
      </c>
      <c r="G740" s="32" t="str">
        <f>IFERROR(__xludf.DUMMYFUNCTION("""COMPUTED_VALUE"""),"DEF")</f>
        <v>DEF</v>
      </c>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t="str">
        <f>IFERROR(__xludf.DUMMYFUNCTION("""COMPUTED_VALUE"""),"++10,000 ACC and ATK. ++1 Mobility +-Cannot be forged or duplicated")</f>
        <v>++10,000 ACC and ATK. ++1 Mobility +-Cannot be forged or duplicated</v>
      </c>
      <c r="AG740" s="32" t="str">
        <f>IFERROR(__xludf.DUMMYFUNCTION("""COMPUTED_VALUE"""),"Land of Spira")</f>
        <v>Land of Spira</v>
      </c>
      <c r="AH740" s="32" t="b">
        <f>IFERROR(__xludf.DUMMYFUNCTION("""COMPUTED_VALUE"""),FALSE)</f>
        <v>0</v>
      </c>
      <c r="AI740" s="32"/>
      <c r="AJ740" s="32"/>
      <c r="AK740" s="32"/>
      <c r="AL740" s="32"/>
      <c r="AM740" s="32"/>
      <c r="AN740" s="32"/>
      <c r="AO740" s="32"/>
      <c r="AP740" s="32"/>
      <c r="AQ740" s="32"/>
      <c r="AR740" s="32"/>
      <c r="AS740" s="32"/>
      <c r="AT740" s="32"/>
      <c r="AU740" s="32"/>
      <c r="AV740" s="32"/>
      <c r="AW740" s="32"/>
      <c r="AX740" s="32"/>
    </row>
    <row r="741">
      <c r="A741" s="32" t="str">
        <f>IFERROR(__xludf.DUMMYFUNCTION("""COMPUTED_VALUE"""),"Bard's Coif")</f>
        <v>Bard's Coif</v>
      </c>
      <c r="B741" s="32" t="str">
        <f>IFERROR(__xludf.DUMMYFUNCTION("""COMPUTED_VALUE"""),"Head")</f>
        <v>Head</v>
      </c>
      <c r="C741" s="32"/>
      <c r="D741" s="32" t="str">
        <f>IFERROR(__xludf.DUMMYFUNCTION("""COMPUTED_VALUE"""),"Item")</f>
        <v>Item</v>
      </c>
      <c r="E741" s="32">
        <f>IFERROR(__xludf.DUMMYFUNCTION("""COMPUTED_VALUE"""),1.0)</f>
        <v>1</v>
      </c>
      <c r="F741" s="44">
        <f>IFERROR(__xludf.DUMMYFUNCTION("""COMPUTED_VALUE"""),0.0)</f>
        <v>0</v>
      </c>
      <c r="G741" s="32" t="str">
        <f>IFERROR(__xludf.DUMMYFUNCTION("""COMPUTED_VALUE"""),"DEF")</f>
        <v>DEF</v>
      </c>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t="str">
        <f>IFERROR(__xludf.DUMMYFUNCTION("""COMPUTED_VALUE"""),"++10,000 ACC and ATK. ++2 Charisma +-Cannot be forged or duplicated")</f>
        <v>++10,000 ACC and ATK. ++2 Charisma +-Cannot be forged or duplicated</v>
      </c>
      <c r="AG741" s="32" t="str">
        <f>IFERROR(__xludf.DUMMYFUNCTION("""COMPUTED_VALUE"""),"Land of Spira")</f>
        <v>Land of Spira</v>
      </c>
      <c r="AH741" s="32" t="b">
        <f>IFERROR(__xludf.DUMMYFUNCTION("""COMPUTED_VALUE"""),FALSE)</f>
        <v>0</v>
      </c>
      <c r="AI741" s="32"/>
      <c r="AJ741" s="32"/>
      <c r="AK741" s="32"/>
      <c r="AL741" s="32"/>
      <c r="AM741" s="32"/>
      <c r="AN741" s="32"/>
      <c r="AO741" s="32"/>
      <c r="AP741" s="32"/>
      <c r="AQ741" s="32"/>
      <c r="AR741" s="32"/>
      <c r="AS741" s="32"/>
      <c r="AT741" s="32"/>
      <c r="AU741" s="32"/>
      <c r="AV741" s="32"/>
      <c r="AW741" s="32"/>
      <c r="AX741" s="32"/>
    </row>
    <row r="742">
      <c r="A742" s="32" t="str">
        <f>IFERROR(__xludf.DUMMYFUNCTION("""COMPUTED_VALUE"""),"Bard's Gambeson")</f>
        <v>Bard's Gambeson</v>
      </c>
      <c r="B742" s="32" t="str">
        <f>IFERROR(__xludf.DUMMYFUNCTION("""COMPUTED_VALUE"""),"Torso")</f>
        <v>Torso</v>
      </c>
      <c r="C742" s="32"/>
      <c r="D742" s="32" t="str">
        <f>IFERROR(__xludf.DUMMYFUNCTION("""COMPUTED_VALUE"""),"Item")</f>
        <v>Item</v>
      </c>
      <c r="E742" s="32">
        <f>IFERROR(__xludf.DUMMYFUNCTION("""COMPUTED_VALUE"""),1.0)</f>
        <v>1</v>
      </c>
      <c r="F742" s="44">
        <f>IFERROR(__xludf.DUMMYFUNCTION("""COMPUTED_VALUE"""),0.0)</f>
        <v>0</v>
      </c>
      <c r="G742" s="32" t="str">
        <f>IFERROR(__xludf.DUMMYFUNCTION("""COMPUTED_VALUE"""),"DEF")</f>
        <v>DEF</v>
      </c>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t="str">
        <f>IFERROR(__xludf.DUMMYFUNCTION("""COMPUTED_VALUE"""),"++10,000 ACC and ATK. ++2 Charisma +-Cannot be forged or duplicated")</f>
        <v>++10,000 ACC and ATK. ++2 Charisma +-Cannot be forged or duplicated</v>
      </c>
      <c r="AG742" s="32" t="str">
        <f>IFERROR(__xludf.DUMMYFUNCTION("""COMPUTED_VALUE"""),"Land of Spira")</f>
        <v>Land of Spira</v>
      </c>
      <c r="AH742" s="32" t="b">
        <f>IFERROR(__xludf.DUMMYFUNCTION("""COMPUTED_VALUE"""),FALSE)</f>
        <v>0</v>
      </c>
      <c r="AI742" s="32"/>
      <c r="AJ742" s="32"/>
      <c r="AK742" s="32"/>
      <c r="AL742" s="32"/>
      <c r="AM742" s="32"/>
      <c r="AN742" s="32"/>
      <c r="AO742" s="32"/>
      <c r="AP742" s="32"/>
      <c r="AQ742" s="32"/>
      <c r="AR742" s="32"/>
      <c r="AS742" s="32"/>
      <c r="AT742" s="32"/>
      <c r="AU742" s="32"/>
      <c r="AV742" s="32"/>
      <c r="AW742" s="32"/>
      <c r="AX742" s="32"/>
    </row>
    <row r="743">
      <c r="A743" s="32" t="str">
        <f>IFERROR(__xludf.DUMMYFUNCTION("""COMPUTED_VALUE"""),"Bard's Shoes")</f>
        <v>Bard's Shoes</v>
      </c>
      <c r="B743" s="32" t="str">
        <f>IFERROR(__xludf.DUMMYFUNCTION("""COMPUTED_VALUE"""),"Feet")</f>
        <v>Feet</v>
      </c>
      <c r="C743" s="32"/>
      <c r="D743" s="32" t="str">
        <f>IFERROR(__xludf.DUMMYFUNCTION("""COMPUTED_VALUE"""),"Item")</f>
        <v>Item</v>
      </c>
      <c r="E743" s="32">
        <f>IFERROR(__xludf.DUMMYFUNCTION("""COMPUTED_VALUE"""),1.0)</f>
        <v>1</v>
      </c>
      <c r="F743" s="44">
        <f>IFERROR(__xludf.DUMMYFUNCTION("""COMPUTED_VALUE"""),0.0)</f>
        <v>0</v>
      </c>
      <c r="G743" s="32" t="str">
        <f>IFERROR(__xludf.DUMMYFUNCTION("""COMPUTED_VALUE"""),"DEF")</f>
        <v>DEF</v>
      </c>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t="str">
        <f>IFERROR(__xludf.DUMMYFUNCTION("""COMPUTED_VALUE"""),"++10,000 ACC and ATK. ++1 Charisma +-Cannot be forged or duplicated")</f>
        <v>++10,000 ACC and ATK. ++1 Charisma +-Cannot be forged or duplicated</v>
      </c>
      <c r="AG743" s="32" t="str">
        <f>IFERROR(__xludf.DUMMYFUNCTION("""COMPUTED_VALUE"""),"Land of Spira")</f>
        <v>Land of Spira</v>
      </c>
      <c r="AH743" s="32" t="b">
        <f>IFERROR(__xludf.DUMMYFUNCTION("""COMPUTED_VALUE"""),FALSE)</f>
        <v>0</v>
      </c>
      <c r="AI743" s="32"/>
      <c r="AJ743" s="32"/>
      <c r="AK743" s="32"/>
      <c r="AL743" s="32"/>
      <c r="AM743" s="32"/>
      <c r="AN743" s="32"/>
      <c r="AO743" s="32"/>
      <c r="AP743" s="32"/>
      <c r="AQ743" s="32"/>
      <c r="AR743" s="32"/>
      <c r="AS743" s="32"/>
      <c r="AT743" s="32"/>
      <c r="AU743" s="32"/>
      <c r="AV743" s="32"/>
      <c r="AW743" s="32"/>
      <c r="AX743" s="32"/>
    </row>
    <row r="744">
      <c r="A744" s="32" t="str">
        <f>IFERROR(__xludf.DUMMYFUNCTION("""COMPUTED_VALUE"""),"Dragonscale Skirt")</f>
        <v>Dragonscale Skirt</v>
      </c>
      <c r="B744" s="32" t="str">
        <f>IFERROR(__xludf.DUMMYFUNCTION("""COMPUTED_VALUE"""),"Legs")</f>
        <v>Legs</v>
      </c>
      <c r="C744" s="32"/>
      <c r="D744" s="32" t="str">
        <f>IFERROR(__xludf.DUMMYFUNCTION("""COMPUTED_VALUE"""),"Item")</f>
        <v>Item</v>
      </c>
      <c r="E744" s="32">
        <f>IFERROR(__xludf.DUMMYFUNCTION("""COMPUTED_VALUE"""),1.0)</f>
        <v>1</v>
      </c>
      <c r="F744" s="44">
        <f>IFERROR(__xludf.DUMMYFUNCTION("""COMPUTED_VALUE"""),0.0)</f>
        <v>0</v>
      </c>
      <c r="G744" s="32" t="str">
        <f>IFERROR(__xludf.DUMMYFUNCTION("""COMPUTED_VALUE"""),"DEF")</f>
        <v>DEF</v>
      </c>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t="str">
        <f>IFERROR(__xludf.DUMMYFUNCTION("""COMPUTED_VALUE"""),"++7,000 additional HP and SP, ++2 Mobility +-Cannot be forged or duplicated")</f>
        <v>++7,000 additional HP and SP, ++2 Mobility +-Cannot be forged or duplicated</v>
      </c>
      <c r="AG744" s="32" t="str">
        <f>IFERROR(__xludf.DUMMYFUNCTION("""COMPUTED_VALUE"""),"Dragonscale Island")</f>
        <v>Dragonscale Island</v>
      </c>
      <c r="AH744" s="32" t="b">
        <f>IFERROR(__xludf.DUMMYFUNCTION("""COMPUTED_VALUE"""),FALSE)</f>
        <v>0</v>
      </c>
      <c r="AI744" s="32"/>
      <c r="AJ744" s="32"/>
      <c r="AK744" s="32"/>
      <c r="AL744" s="32"/>
      <c r="AM744" s="32"/>
      <c r="AN744" s="32"/>
      <c r="AO744" s="32"/>
      <c r="AP744" s="32"/>
      <c r="AQ744" s="32"/>
      <c r="AR744" s="32"/>
      <c r="AS744" s="32"/>
      <c r="AT744" s="32"/>
      <c r="AU744" s="32"/>
      <c r="AV744" s="32"/>
      <c r="AW744" s="32"/>
      <c r="AX744" s="32"/>
    </row>
    <row r="745">
      <c r="A745" s="32" t="str">
        <f>IFERROR(__xludf.DUMMYFUNCTION("""COMPUTED_VALUE"""),"Dragonscale Cape")</f>
        <v>Dragonscale Cape</v>
      </c>
      <c r="B745" s="32" t="str">
        <f>IFERROR(__xludf.DUMMYFUNCTION("""COMPUTED_VALUE"""),"Shoulders")</f>
        <v>Shoulders</v>
      </c>
      <c r="C745" s="32"/>
      <c r="D745" s="32" t="str">
        <f>IFERROR(__xludf.DUMMYFUNCTION("""COMPUTED_VALUE"""),"Item")</f>
        <v>Item</v>
      </c>
      <c r="E745" s="32">
        <f>IFERROR(__xludf.DUMMYFUNCTION("""COMPUTED_VALUE"""),1.0)</f>
        <v>1</v>
      </c>
      <c r="F745" s="44">
        <f>IFERROR(__xludf.DUMMYFUNCTION("""COMPUTED_VALUE"""),0.0)</f>
        <v>0</v>
      </c>
      <c r="G745" s="32" t="str">
        <f>IFERROR(__xludf.DUMMYFUNCTION("""COMPUTED_VALUE"""),"DEF")</f>
        <v>DEF</v>
      </c>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t="str">
        <f>IFERROR(__xludf.DUMMYFUNCTION("""COMPUTED_VALUE"""),"++8,300 additional HP and SP, +-Cannot be forged or duplicated")</f>
        <v>++8,300 additional HP and SP, +-Cannot be forged or duplicated</v>
      </c>
      <c r="AG745" s="32" t="str">
        <f>IFERROR(__xludf.DUMMYFUNCTION("""COMPUTED_VALUE"""),"Dragonscale Island")</f>
        <v>Dragonscale Island</v>
      </c>
      <c r="AH745" s="32" t="b">
        <f>IFERROR(__xludf.DUMMYFUNCTION("""COMPUTED_VALUE"""),FALSE)</f>
        <v>0</v>
      </c>
      <c r="AI745" s="32"/>
      <c r="AJ745" s="32"/>
      <c r="AK745" s="32"/>
      <c r="AL745" s="32"/>
      <c r="AM745" s="32"/>
      <c r="AN745" s="32"/>
      <c r="AO745" s="32"/>
      <c r="AP745" s="32"/>
      <c r="AQ745" s="32"/>
      <c r="AR745" s="32"/>
      <c r="AS745" s="32"/>
      <c r="AT745" s="32"/>
      <c r="AU745" s="32"/>
      <c r="AV745" s="32"/>
      <c r="AW745" s="32"/>
      <c r="AX745" s="32"/>
    </row>
    <row r="746">
      <c r="A746" s="32" t="str">
        <f>IFERROR(__xludf.DUMMYFUNCTION("""COMPUTED_VALUE"""),"Broken Dragonscale Mail")</f>
        <v>Broken Dragonscale Mail</v>
      </c>
      <c r="B746" s="32" t="str">
        <f>IFERROR(__xludf.DUMMYFUNCTION("""COMPUTED_VALUE"""),"Torso")</f>
        <v>Torso</v>
      </c>
      <c r="C746" s="32"/>
      <c r="D746" s="32" t="str">
        <f>IFERROR(__xludf.DUMMYFUNCTION("""COMPUTED_VALUE"""),"Item")</f>
        <v>Item</v>
      </c>
      <c r="E746" s="32">
        <f>IFERROR(__xludf.DUMMYFUNCTION("""COMPUTED_VALUE"""),980.0)</f>
        <v>980</v>
      </c>
      <c r="F746" s="44">
        <f>IFERROR(__xludf.DUMMYFUNCTION("""COMPUTED_VALUE"""),4.656E7)</f>
        <v>46560000</v>
      </c>
      <c r="G746" s="32" t="str">
        <f>IFERROR(__xludf.DUMMYFUNCTION("""COMPUTED_VALUE"""),"DEF")</f>
        <v>DEF</v>
      </c>
      <c r="H746" s="33">
        <f>IFERROR(__xludf.DUMMYFUNCTION("""COMPUTED_VALUE"""),48900.0)</f>
        <v>48900</v>
      </c>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t="str">
        <f>IFERROR(__xludf.DUMMYFUNCTION("""COMPUTED_VALUE"""),"+-5% chance of breaking when wearer is attacked")</f>
        <v>+-5% chance of breaking when wearer is attacked</v>
      </c>
      <c r="AG746" s="32" t="str">
        <f>IFERROR(__xludf.DUMMYFUNCTION("""COMPUTED_VALUE"""),"Land of Spira")</f>
        <v>Land of Spira</v>
      </c>
      <c r="AH746" s="32" t="b">
        <f>IFERROR(__xludf.DUMMYFUNCTION("""COMPUTED_VALUE"""),FALSE)</f>
        <v>0</v>
      </c>
      <c r="AI746" s="32"/>
      <c r="AJ746" s="32"/>
      <c r="AK746" s="32"/>
      <c r="AL746" s="32"/>
      <c r="AM746" s="32"/>
      <c r="AN746" s="32"/>
      <c r="AO746" s="32"/>
      <c r="AP746" s="32"/>
      <c r="AQ746" s="32"/>
      <c r="AR746" s="32"/>
      <c r="AS746" s="32"/>
      <c r="AT746" s="32"/>
      <c r="AU746" s="32"/>
      <c r="AV746" s="32"/>
      <c r="AW746" s="32"/>
      <c r="AX746" s="32"/>
    </row>
    <row r="747">
      <c r="A747" s="32" t="str">
        <f>IFERROR(__xludf.DUMMYFUNCTION("""COMPUTED_VALUE"""),"Dragonscale Mail")</f>
        <v>Dragonscale Mail</v>
      </c>
      <c r="B747" s="32" t="str">
        <f>IFERROR(__xludf.DUMMYFUNCTION("""COMPUTED_VALUE"""),"Torso")</f>
        <v>Torso</v>
      </c>
      <c r="C747" s="32"/>
      <c r="D747" s="32" t="str">
        <f>IFERROR(__xludf.DUMMYFUNCTION("""COMPUTED_VALUE"""),"Item")</f>
        <v>Item</v>
      </c>
      <c r="E747" s="32">
        <f>IFERROR(__xludf.DUMMYFUNCTION("""COMPUTED_VALUE"""),3000.0)</f>
        <v>3000</v>
      </c>
      <c r="F747" s="44">
        <f>IFERROR(__xludf.DUMMYFUNCTION("""COMPUTED_VALUE"""),4.485E8)</f>
        <v>448500000</v>
      </c>
      <c r="G747" s="32" t="str">
        <f>IFERROR(__xludf.DUMMYFUNCTION("""COMPUTED_VALUE"""),"DEF")</f>
        <v>DEF</v>
      </c>
      <c r="H747" s="32">
        <f>IFERROR(__xludf.DUMMYFUNCTION("""COMPUTED_VALUE"""),150000.0)</f>
        <v>150000</v>
      </c>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t="str">
        <f>IFERROR(__xludf.DUMMYFUNCTION("""COMPUTED_VALUE"""),"Dragonscale Island")</f>
        <v>Dragonscale Island</v>
      </c>
      <c r="AH747" s="32" t="b">
        <f>IFERROR(__xludf.DUMMYFUNCTION("""COMPUTED_VALUE"""),FALSE)</f>
        <v>0</v>
      </c>
      <c r="AI747" s="32"/>
      <c r="AJ747" s="32"/>
      <c r="AK747" s="32"/>
      <c r="AL747" s="32"/>
      <c r="AM747" s="32"/>
      <c r="AN747" s="32"/>
      <c r="AO747" s="32"/>
      <c r="AP747" s="32"/>
      <c r="AQ747" s="32"/>
      <c r="AR747" s="32"/>
      <c r="AS747" s="32"/>
      <c r="AT747" s="32"/>
      <c r="AU747" s="32"/>
      <c r="AV747" s="32"/>
      <c r="AW747" s="32"/>
      <c r="AX747" s="32"/>
    </row>
    <row r="748">
      <c r="A748" s="32" t="str">
        <f>IFERROR(__xludf.DUMMYFUNCTION("""COMPUTED_VALUE"""),"Dragonscale Charm")</f>
        <v>Dragonscale Charm</v>
      </c>
      <c r="B748" s="32" t="str">
        <f>IFERROR(__xludf.DUMMYFUNCTION("""COMPUTED_VALUE"""),"Neck")</f>
        <v>Neck</v>
      </c>
      <c r="C748" s="32"/>
      <c r="D748" s="32" t="str">
        <f>IFERROR(__xludf.DUMMYFUNCTION("""COMPUTED_VALUE"""),"Item")</f>
        <v>Item</v>
      </c>
      <c r="E748" s="32">
        <f>IFERROR(__xludf.DUMMYFUNCTION("""COMPUTED_VALUE"""),1.0)</f>
        <v>1</v>
      </c>
      <c r="F748" s="44">
        <f>IFERROR(__xludf.DUMMYFUNCTION("""COMPUTED_VALUE"""),0.0)</f>
        <v>0</v>
      </c>
      <c r="G748" s="32" t="str">
        <f>IFERROR(__xludf.DUMMYFUNCTION("""COMPUTED_VALUE"""),"DEF")</f>
        <v>DEF</v>
      </c>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t="str">
        <f>IFERROR(__xludf.DUMMYFUNCTION("""COMPUTED_VALUE"""),"++1000 additional HP and SP for every piece of Dragonscale equipment equipped +-Cannot be forged or duplicated")</f>
        <v>++1000 additional HP and SP for every piece of Dragonscale equipment equipped +-Cannot be forged or duplicated</v>
      </c>
      <c r="AG748" s="32" t="str">
        <f>IFERROR(__xludf.DUMMYFUNCTION("""COMPUTED_VALUE"""),"Dragonscale Island")</f>
        <v>Dragonscale Island</v>
      </c>
      <c r="AH748" s="32" t="b">
        <f>IFERROR(__xludf.DUMMYFUNCTION("""COMPUTED_VALUE"""),FALSE)</f>
        <v>0</v>
      </c>
      <c r="AI748" s="32"/>
      <c r="AJ748" s="32"/>
      <c r="AK748" s="32"/>
      <c r="AL748" s="32"/>
      <c r="AM748" s="32"/>
      <c r="AN748" s="32"/>
      <c r="AO748" s="32"/>
      <c r="AP748" s="32"/>
      <c r="AQ748" s="32"/>
      <c r="AR748" s="32"/>
      <c r="AS748" s="32"/>
      <c r="AT748" s="32"/>
      <c r="AU748" s="32"/>
      <c r="AV748" s="32"/>
      <c r="AW748" s="32"/>
      <c r="AX748" s="32"/>
    </row>
    <row r="749">
      <c r="A749" s="32" t="str">
        <f>IFERROR(__xludf.DUMMYFUNCTION("""COMPUTED_VALUE"""),"Dragonscale Sandals")</f>
        <v>Dragonscale Sandals</v>
      </c>
      <c r="B749" s="32" t="str">
        <f>IFERROR(__xludf.DUMMYFUNCTION("""COMPUTED_VALUE"""),"Feet")</f>
        <v>Feet</v>
      </c>
      <c r="C749" s="32"/>
      <c r="D749" s="32" t="str">
        <f>IFERROR(__xludf.DUMMYFUNCTION("""COMPUTED_VALUE"""),"Item")</f>
        <v>Item</v>
      </c>
      <c r="E749" s="32">
        <f>IFERROR(__xludf.DUMMYFUNCTION("""COMPUTED_VALUE"""),1.0)</f>
        <v>1</v>
      </c>
      <c r="F749" s="44">
        <f>IFERROR(__xludf.DUMMYFUNCTION("""COMPUTED_VALUE"""),0.0)</f>
        <v>0</v>
      </c>
      <c r="G749" s="32" t="str">
        <f>IFERROR(__xludf.DUMMYFUNCTION("""COMPUTED_VALUE"""),"DEF")</f>
        <v>DEF</v>
      </c>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t="str">
        <f>IFERROR(__xludf.DUMMYFUNCTION("""COMPUTED_VALUE"""),"++2 Mobility +-Cannot be forged or duplicated")</f>
        <v>++2 Mobility +-Cannot be forged or duplicated</v>
      </c>
      <c r="AG749" s="32" t="str">
        <f>IFERROR(__xludf.DUMMYFUNCTION("""COMPUTED_VALUE"""),"Dragonscale Island")</f>
        <v>Dragonscale Island</v>
      </c>
      <c r="AH749" s="32" t="b">
        <f>IFERROR(__xludf.DUMMYFUNCTION("""COMPUTED_VALUE"""),FALSE)</f>
        <v>0</v>
      </c>
      <c r="AI749" s="32"/>
      <c r="AJ749" s="32"/>
      <c r="AK749" s="32"/>
      <c r="AL749" s="32"/>
      <c r="AM749" s="32"/>
      <c r="AN749" s="32"/>
      <c r="AO749" s="32"/>
      <c r="AP749" s="32"/>
      <c r="AQ749" s="32"/>
      <c r="AR749" s="32"/>
      <c r="AS749" s="32"/>
      <c r="AT749" s="32"/>
      <c r="AU749" s="32"/>
      <c r="AV749" s="32"/>
      <c r="AW749" s="32"/>
      <c r="AX749" s="32"/>
    </row>
    <row r="750">
      <c r="A750" s="32" t="str">
        <f>IFERROR(__xludf.DUMMYFUNCTION("""COMPUTED_VALUE"""),"Dragonscale Talisman")</f>
        <v>Dragonscale Talisman</v>
      </c>
      <c r="B750" s="32" t="str">
        <f>IFERROR(__xludf.DUMMYFUNCTION("""COMPUTED_VALUE"""),"Neck")</f>
        <v>Neck</v>
      </c>
      <c r="C750" s="32"/>
      <c r="D750" s="32" t="str">
        <f>IFERROR(__xludf.DUMMYFUNCTION("""COMPUTED_VALUE"""),"Item")</f>
        <v>Item</v>
      </c>
      <c r="E750" s="32">
        <f>IFERROR(__xludf.DUMMYFUNCTION("""COMPUTED_VALUE"""),1.0)</f>
        <v>1</v>
      </c>
      <c r="F750" s="44">
        <f>IFERROR(__xludf.DUMMYFUNCTION("""COMPUTED_VALUE"""),0.0)</f>
        <v>0</v>
      </c>
      <c r="G750" s="32" t="str">
        <f>IFERROR(__xludf.DUMMYFUNCTION("""COMPUTED_VALUE"""),"DEF")</f>
        <v>DEF</v>
      </c>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t="str">
        <f>IFERROR(__xludf.DUMMYFUNCTION("""COMPUTED_VALUE"""),"++10000 additional HP and SP, +-Cannot be forged or duplicated")</f>
        <v>++10000 additional HP and SP, +-Cannot be forged or duplicated</v>
      </c>
      <c r="AG750" s="32" t="str">
        <f>IFERROR(__xludf.DUMMYFUNCTION("""COMPUTED_VALUE"""),"Dragonscale Island")</f>
        <v>Dragonscale Island</v>
      </c>
      <c r="AH750" s="32" t="b">
        <f>IFERROR(__xludf.DUMMYFUNCTION("""COMPUTED_VALUE"""),FALSE)</f>
        <v>0</v>
      </c>
      <c r="AI750" s="32"/>
      <c r="AJ750" s="32"/>
      <c r="AK750" s="32"/>
      <c r="AL750" s="32"/>
      <c r="AM750" s="32"/>
      <c r="AN750" s="32"/>
      <c r="AO750" s="32"/>
      <c r="AP750" s="32"/>
      <c r="AQ750" s="32"/>
      <c r="AR750" s="32"/>
      <c r="AS750" s="32"/>
      <c r="AT750" s="32"/>
      <c r="AU750" s="32"/>
      <c r="AV750" s="32"/>
      <c r="AW750" s="32"/>
      <c r="AX750" s="32"/>
    </row>
    <row r="751">
      <c r="A751" s="32" t="str">
        <f>IFERROR(__xludf.DUMMYFUNCTION("""COMPUTED_VALUE"""),"Dragonscale Water Ring")</f>
        <v>Dragonscale Water Ring</v>
      </c>
      <c r="B751" s="32" t="str">
        <f>IFERROR(__xludf.DUMMYFUNCTION("""COMPUTED_VALUE"""),"Finger")</f>
        <v>Finger</v>
      </c>
      <c r="C751" s="32"/>
      <c r="D751" s="32" t="str">
        <f>IFERROR(__xludf.DUMMYFUNCTION("""COMPUTED_VALUE"""),"Item")</f>
        <v>Item</v>
      </c>
      <c r="E751" s="32">
        <f>IFERROR(__xludf.DUMMYFUNCTION("""COMPUTED_VALUE"""),1.0)</f>
        <v>1</v>
      </c>
      <c r="F751" s="44">
        <f>IFERROR(__xludf.DUMMYFUNCTION("""COMPUTED_VALUE"""),0.0)</f>
        <v>0</v>
      </c>
      <c r="G751" s="32" t="str">
        <f>IFERROR(__xludf.DUMMYFUNCTION("""COMPUTED_VALUE"""),"DEF")</f>
        <v>DEF</v>
      </c>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t="str">
        <f>IFERROR(__xludf.DUMMYFUNCTION("""COMPUTED_VALUE"""),"++Converts all Natural damage to Water damage +-Cannot be duplicated")</f>
        <v>++Converts all Natural damage to Water damage +-Cannot be duplicated</v>
      </c>
      <c r="AG751" s="32" t="str">
        <f>IFERROR(__xludf.DUMMYFUNCTION("""COMPUTED_VALUE"""),"Dragonscale Island")</f>
        <v>Dragonscale Island</v>
      </c>
      <c r="AH751" s="32" t="b">
        <f>IFERROR(__xludf.DUMMYFUNCTION("""COMPUTED_VALUE"""),FALSE)</f>
        <v>0</v>
      </c>
      <c r="AI751" s="32"/>
      <c r="AJ751" s="32"/>
      <c r="AK751" s="32"/>
      <c r="AL751" s="32"/>
      <c r="AM751" s="32"/>
      <c r="AN751" s="32"/>
      <c r="AO751" s="32"/>
      <c r="AP751" s="32"/>
      <c r="AQ751" s="32"/>
      <c r="AR751" s="32"/>
      <c r="AS751" s="32"/>
      <c r="AT751" s="32"/>
      <c r="AU751" s="32"/>
      <c r="AV751" s="32"/>
      <c r="AW751" s="32"/>
      <c r="AX751" s="32"/>
    </row>
    <row r="752">
      <c r="A752" s="32" t="str">
        <f>IFERROR(__xludf.DUMMYFUNCTION("""COMPUTED_VALUE"""),"Dragonscale Gauntlets")</f>
        <v>Dragonscale Gauntlets</v>
      </c>
      <c r="B752" s="32" t="str">
        <f>IFERROR(__xludf.DUMMYFUNCTION("""COMPUTED_VALUE"""),"Hand")</f>
        <v>Hand</v>
      </c>
      <c r="C752" s="32"/>
      <c r="D752" s="32" t="str">
        <f>IFERROR(__xludf.DUMMYFUNCTION("""COMPUTED_VALUE"""),"Gauntlet")</f>
        <v>Gauntlet</v>
      </c>
      <c r="E752" s="32">
        <f>IFERROR(__xludf.DUMMYFUNCTION("""COMPUTED_VALUE"""),2000.0)</f>
        <v>2000</v>
      </c>
      <c r="F752" s="44">
        <f>IFERROR(__xludf.DUMMYFUNCTION("""COMPUTED_VALUE"""),1.99E8)</f>
        <v>199000000</v>
      </c>
      <c r="G752" s="32" t="str">
        <f>IFERROR(__xludf.DUMMYFUNCTION("""COMPUTED_VALUE"""),"DEF")</f>
        <v>DEF</v>
      </c>
      <c r="H752" s="32">
        <f>IFERROR(__xludf.DUMMYFUNCTION("""COMPUTED_VALUE"""),100000.0)</f>
        <v>100000</v>
      </c>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t="str">
        <f>IFERROR(__xludf.DUMMYFUNCTION("""COMPUTED_VALUE"""),"Dragonscale Island")</f>
        <v>Dragonscale Island</v>
      </c>
      <c r="AH752" s="32" t="b">
        <f>IFERROR(__xludf.DUMMYFUNCTION("""COMPUTED_VALUE"""),FALSE)</f>
        <v>0</v>
      </c>
      <c r="AI752" s="32"/>
      <c r="AJ752" s="32"/>
      <c r="AK752" s="32"/>
      <c r="AL752" s="32"/>
      <c r="AM752" s="32"/>
      <c r="AN752" s="32"/>
      <c r="AO752" s="32"/>
      <c r="AP752" s="32"/>
      <c r="AQ752" s="32"/>
      <c r="AR752" s="32"/>
      <c r="AS752" s="32"/>
      <c r="AT752" s="32"/>
      <c r="AU752" s="32"/>
      <c r="AV752" s="32"/>
      <c r="AW752" s="32"/>
      <c r="AX752" s="32"/>
    </row>
    <row r="753">
      <c r="A753" s="32" t="str">
        <f>IFERROR(__xludf.DUMMYFUNCTION("""COMPUTED_VALUE"""),"Fire Dragonscale Bow")</f>
        <v>Fire Dragonscale Bow</v>
      </c>
      <c r="B753" s="32" t="str">
        <f>IFERROR(__xludf.DUMMYFUNCTION("""COMPUTED_VALUE"""),"Hand")</f>
        <v>Hand</v>
      </c>
      <c r="C753" s="32"/>
      <c r="D753" s="32" t="str">
        <f>IFERROR(__xludf.DUMMYFUNCTION("""COMPUTED_VALUE"""),"Bow")</f>
        <v>Bow</v>
      </c>
      <c r="E753" s="32">
        <f>IFERROR(__xludf.DUMMYFUNCTION("""COMPUTED_VALUE"""),3000.0)</f>
        <v>3000</v>
      </c>
      <c r="F753" s="44">
        <f>IFERROR(__xludf.DUMMYFUNCTION("""COMPUTED_VALUE"""),4.485E8)</f>
        <v>448500000</v>
      </c>
      <c r="G753" s="32" t="str">
        <f>IFERROR(__xludf.DUMMYFUNCTION("""COMPUTED_VALUE"""),"DMG")</f>
        <v>DMG</v>
      </c>
      <c r="H753" s="32">
        <f>IFERROR(__xludf.DUMMYFUNCTION("""COMPUTED_VALUE"""),20000.0)</f>
        <v>20000</v>
      </c>
      <c r="I753" s="32">
        <f>IFERROR(__xludf.DUMMYFUNCTION("""COMPUTED_VALUE"""),130000.0)</f>
        <v>130000</v>
      </c>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t="str">
        <f>IFERROR(__xludf.DUMMYFUNCTION("""COMPUTED_VALUE"""),"Dragonscale Island")</f>
        <v>Dragonscale Island</v>
      </c>
      <c r="AH753" s="32" t="b">
        <f>IFERROR(__xludf.DUMMYFUNCTION("""COMPUTED_VALUE"""),FALSE)</f>
        <v>0</v>
      </c>
      <c r="AI753" s="32"/>
      <c r="AJ753" s="32"/>
      <c r="AK753" s="32"/>
      <c r="AL753" s="32"/>
      <c r="AM753" s="32"/>
      <c r="AN753" s="32"/>
      <c r="AO753" s="32"/>
      <c r="AP753" s="32"/>
      <c r="AQ753" s="32"/>
      <c r="AR753" s="32"/>
      <c r="AS753" s="32"/>
      <c r="AT753" s="32"/>
      <c r="AU753" s="32"/>
      <c r="AV753" s="32"/>
      <c r="AW753" s="32"/>
      <c r="AX753" s="32"/>
    </row>
    <row r="754">
      <c r="A754" s="32" t="str">
        <f>IFERROR(__xludf.DUMMYFUNCTION("""COMPUTED_VALUE"""),"Storm Dragonscale Flail")</f>
        <v>Storm Dragonscale Flail</v>
      </c>
      <c r="B754" s="32" t="str">
        <f>IFERROR(__xludf.DUMMYFUNCTION("""COMPUTED_VALUE"""),"Hand")</f>
        <v>Hand</v>
      </c>
      <c r="C754" s="32"/>
      <c r="D754" s="32" t="str">
        <f>IFERROR(__xludf.DUMMYFUNCTION("""COMPUTED_VALUE"""),"Club")</f>
        <v>Club</v>
      </c>
      <c r="E754" s="32">
        <f>IFERROR(__xludf.DUMMYFUNCTION("""COMPUTED_VALUE"""),2400.0)</f>
        <v>2400</v>
      </c>
      <c r="F754" s="44">
        <f>IFERROR(__xludf.DUMMYFUNCTION("""COMPUTED_VALUE"""),2.868E8)</f>
        <v>286800000</v>
      </c>
      <c r="G754" s="32" t="str">
        <f>IFERROR(__xludf.DUMMYFUNCTION("""COMPUTED_VALUE"""),"DMG")</f>
        <v>DMG</v>
      </c>
      <c r="H754" s="32">
        <f>IFERROR(__xludf.DUMMYFUNCTION("""COMPUTED_VALUE"""),20000.0)</f>
        <v>20000</v>
      </c>
      <c r="I754" s="32"/>
      <c r="J754" s="32"/>
      <c r="K754" s="32"/>
      <c r="L754" s="32">
        <f>IFERROR(__xludf.DUMMYFUNCTION("""COMPUTED_VALUE"""),100000.0)</f>
        <v>100000</v>
      </c>
      <c r="M754" s="32"/>
      <c r="N754" s="32"/>
      <c r="O754" s="32"/>
      <c r="P754" s="32"/>
      <c r="Q754" s="32"/>
      <c r="R754" s="32"/>
      <c r="S754" s="32"/>
      <c r="T754" s="32"/>
      <c r="U754" s="32"/>
      <c r="V754" s="32"/>
      <c r="W754" s="32"/>
      <c r="X754" s="32"/>
      <c r="Y754" s="32"/>
      <c r="Z754" s="32"/>
      <c r="AA754" s="32"/>
      <c r="AB754" s="32"/>
      <c r="AC754" s="32"/>
      <c r="AD754" s="32"/>
      <c r="AE754" s="32"/>
      <c r="AF754" s="32"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32" t="str">
        <f>IFERROR(__xludf.DUMMYFUNCTION("""COMPUTED_VALUE"""),"Dragonscale Island")</f>
        <v>Dragonscale Island</v>
      </c>
      <c r="AH754" s="32" t="b">
        <f>IFERROR(__xludf.DUMMYFUNCTION("""COMPUTED_VALUE"""),FALSE)</f>
        <v>0</v>
      </c>
      <c r="AI754" s="32"/>
      <c r="AJ754" s="32"/>
      <c r="AK754" s="32"/>
      <c r="AL754" s="32"/>
      <c r="AM754" s="32"/>
      <c r="AN754" s="32"/>
      <c r="AO754" s="32"/>
      <c r="AP754" s="32"/>
      <c r="AQ754" s="32"/>
      <c r="AR754" s="32"/>
      <c r="AS754" s="32"/>
      <c r="AT754" s="32"/>
      <c r="AU754" s="32"/>
      <c r="AV754" s="32"/>
      <c r="AW754" s="32"/>
      <c r="AX754" s="32"/>
    </row>
    <row r="755">
      <c r="A755" s="32" t="str">
        <f>IFERROR(__xludf.DUMMYFUNCTION("""COMPUTED_VALUE"""),"Dragonscale Spear")</f>
        <v>Dragonscale Spear</v>
      </c>
      <c r="B755" s="32" t="str">
        <f>IFERROR(__xludf.DUMMYFUNCTION("""COMPUTED_VALUE"""),"Hand")</f>
        <v>Hand</v>
      </c>
      <c r="C755" s="32"/>
      <c r="D755" s="32" t="str">
        <f>IFERROR(__xludf.DUMMYFUNCTION("""COMPUTED_VALUE"""),"Spear")</f>
        <v>Spear</v>
      </c>
      <c r="E755" s="32">
        <f>IFERROR(__xludf.DUMMYFUNCTION("""COMPUTED_VALUE"""),2800.0)</f>
        <v>2800</v>
      </c>
      <c r="F755" s="44">
        <f>IFERROR(__xludf.DUMMYFUNCTION("""COMPUTED_VALUE"""),3.906E8)</f>
        <v>390600000</v>
      </c>
      <c r="G755" s="32" t="str">
        <f>IFERROR(__xludf.DUMMYFUNCTION("""COMPUTED_VALUE"""),"DMG")</f>
        <v>DMG</v>
      </c>
      <c r="H755" s="32">
        <f>IFERROR(__xludf.DUMMYFUNCTION("""COMPUTED_VALUE"""),140000.0)</f>
        <v>140000</v>
      </c>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t="str">
        <f>IFERROR(__xludf.DUMMYFUNCTION("""COMPUTED_VALUE"""),"Dragonscale Island")</f>
        <v>Dragonscale Island</v>
      </c>
      <c r="AH755" s="32" t="b">
        <f>IFERROR(__xludf.DUMMYFUNCTION("""COMPUTED_VALUE"""),FALSE)</f>
        <v>0</v>
      </c>
      <c r="AI755" s="32"/>
      <c r="AJ755" s="32"/>
      <c r="AK755" s="32"/>
      <c r="AL755" s="32"/>
      <c r="AM755" s="32"/>
      <c r="AN755" s="32"/>
      <c r="AO755" s="32"/>
      <c r="AP755" s="32"/>
      <c r="AQ755" s="32"/>
      <c r="AR755" s="32"/>
      <c r="AS755" s="32"/>
      <c r="AT755" s="32"/>
      <c r="AU755" s="32"/>
      <c r="AV755" s="32"/>
      <c r="AW755" s="32"/>
      <c r="AX755" s="32"/>
    </row>
    <row r="756">
      <c r="A756" s="32" t="str">
        <f>IFERROR(__xludf.DUMMYFUNCTION("""COMPUTED_VALUE"""),"Dragonscale Scythe")</f>
        <v>Dragonscale Scythe</v>
      </c>
      <c r="B756" s="32" t="str">
        <f>IFERROR(__xludf.DUMMYFUNCTION("""COMPUTED_VALUE"""),"Hand")</f>
        <v>Hand</v>
      </c>
      <c r="C756" s="32"/>
      <c r="D756" s="32" t="str">
        <f>IFERROR(__xludf.DUMMYFUNCTION("""COMPUTED_VALUE"""),"Scythe")</f>
        <v>Scythe</v>
      </c>
      <c r="E756" s="32">
        <f>IFERROR(__xludf.DUMMYFUNCTION("""COMPUTED_VALUE"""),2500.0)</f>
        <v>2500</v>
      </c>
      <c r="F756" s="44">
        <f>IFERROR(__xludf.DUMMYFUNCTION("""COMPUTED_VALUE"""),3.1125E8)</f>
        <v>311250000</v>
      </c>
      <c r="G756" s="32" t="str">
        <f>IFERROR(__xludf.DUMMYFUNCTION("""COMPUTED_VALUE"""),"DMG")</f>
        <v>DMG</v>
      </c>
      <c r="H756" s="32">
        <f>IFERROR(__xludf.DUMMYFUNCTION("""COMPUTED_VALUE"""),125000.0)</f>
        <v>125000</v>
      </c>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t="str">
        <f>IFERROR(__xludf.DUMMYFUNCTION("""COMPUTED_VALUE"""),"++If used to kill a dragon, 100% chance to get its soul. +-Cannot be forged or duplicated")</f>
        <v>++If used to kill a dragon, 100% chance to get its soul. +-Cannot be forged or duplicated</v>
      </c>
      <c r="AG756" s="32" t="str">
        <f>IFERROR(__xludf.DUMMYFUNCTION("""COMPUTED_VALUE"""),"Dragonscale Island")</f>
        <v>Dragonscale Island</v>
      </c>
      <c r="AH756" s="32" t="b">
        <f>IFERROR(__xludf.DUMMYFUNCTION("""COMPUTED_VALUE"""),FALSE)</f>
        <v>0</v>
      </c>
      <c r="AI756" s="32"/>
      <c r="AJ756" s="32"/>
      <c r="AK756" s="32"/>
      <c r="AL756" s="32"/>
      <c r="AM756" s="32"/>
      <c r="AN756" s="32"/>
      <c r="AO756" s="32"/>
      <c r="AP756" s="32"/>
      <c r="AQ756" s="32"/>
      <c r="AR756" s="32"/>
      <c r="AS756" s="32"/>
      <c r="AT756" s="32"/>
      <c r="AU756" s="32"/>
      <c r="AV756" s="32"/>
      <c r="AW756" s="32"/>
      <c r="AX756" s="32"/>
    </row>
    <row r="757">
      <c r="A757" s="32" t="str">
        <f>IFERROR(__xludf.DUMMYFUNCTION("""COMPUTED_VALUE"""),"Dark Dragonscale Claws")</f>
        <v>Dark Dragonscale Claws</v>
      </c>
      <c r="B757" s="32" t="str">
        <f>IFERROR(__xludf.DUMMYFUNCTION("""COMPUTED_VALUE"""),"Hand")</f>
        <v>Hand</v>
      </c>
      <c r="C757" s="32"/>
      <c r="D757" s="32" t="str">
        <f>IFERROR(__xludf.DUMMYFUNCTION("""COMPUTED_VALUE"""),"Claw")</f>
        <v>Claw</v>
      </c>
      <c r="E757" s="32">
        <f>IFERROR(__xludf.DUMMYFUNCTION("""COMPUTED_VALUE"""),2900.0)</f>
        <v>2900</v>
      </c>
      <c r="F757" s="44">
        <f>IFERROR(__xludf.DUMMYFUNCTION("""COMPUTED_VALUE"""),4.1905E8)</f>
        <v>419050000</v>
      </c>
      <c r="G757" s="32" t="str">
        <f>IFERROR(__xludf.DUMMYFUNCTION("""COMPUTED_VALUE"""),"DMG")</f>
        <v>DMG</v>
      </c>
      <c r="H757" s="32"/>
      <c r="I757" s="32"/>
      <c r="J757" s="32"/>
      <c r="K757" s="32"/>
      <c r="L757" s="32"/>
      <c r="M757" s="32"/>
      <c r="N757" s="32"/>
      <c r="O757" s="32">
        <f>IFERROR(__xludf.DUMMYFUNCTION("""COMPUTED_VALUE"""),145000.0)</f>
        <v>145000</v>
      </c>
      <c r="P757" s="32"/>
      <c r="Q757" s="32"/>
      <c r="R757" s="32"/>
      <c r="S757" s="32"/>
      <c r="T757" s="32"/>
      <c r="U757" s="32"/>
      <c r="V757" s="32"/>
      <c r="W757" s="32"/>
      <c r="X757" s="32"/>
      <c r="Y757" s="32"/>
      <c r="Z757" s="32"/>
      <c r="AA757" s="32"/>
      <c r="AB757" s="32"/>
      <c r="AC757" s="32"/>
      <c r="AD757" s="32"/>
      <c r="AE757" s="32"/>
      <c r="AF757" s="32" t="str">
        <f>IFERROR(__xludf.DUMMYFUNCTION("""COMPUTED_VALUE"""),"++ 30% chance to remove enemy from battle")</f>
        <v>++ 30% chance to remove enemy from battle</v>
      </c>
      <c r="AG757" s="32" t="str">
        <f>IFERROR(__xludf.DUMMYFUNCTION("""COMPUTED_VALUE"""),"Dragonscale Island")</f>
        <v>Dragonscale Island</v>
      </c>
      <c r="AH757" s="32" t="b">
        <f>IFERROR(__xludf.DUMMYFUNCTION("""COMPUTED_VALUE"""),FALSE)</f>
        <v>0</v>
      </c>
      <c r="AI757" s="32"/>
      <c r="AJ757" s="32"/>
      <c r="AK757" s="32"/>
      <c r="AL757" s="32"/>
      <c r="AM757" s="32"/>
      <c r="AN757" s="32"/>
      <c r="AO757" s="32"/>
      <c r="AP757" s="32"/>
      <c r="AQ757" s="32"/>
      <c r="AR757" s="32"/>
      <c r="AS757" s="32"/>
      <c r="AT757" s="32"/>
      <c r="AU757" s="32"/>
      <c r="AV757" s="32"/>
      <c r="AW757" s="32"/>
      <c r="AX757" s="32"/>
    </row>
    <row r="758">
      <c r="A758" s="32" t="str">
        <f>IFERROR(__xludf.DUMMYFUNCTION("""COMPUTED_VALUE"""),"Chaotic Dragonscale Claw")</f>
        <v>Chaotic Dragonscale Claw</v>
      </c>
      <c r="B758" s="32" t="str">
        <f>IFERROR(__xludf.DUMMYFUNCTION("""COMPUTED_VALUE"""),"Hand")</f>
        <v>Hand</v>
      </c>
      <c r="C758" s="32"/>
      <c r="D758" s="32" t="str">
        <f>IFERROR(__xludf.DUMMYFUNCTION("""COMPUTED_VALUE"""),"Claw")</f>
        <v>Claw</v>
      </c>
      <c r="E758" s="32">
        <f>IFERROR(__xludf.DUMMYFUNCTION("""COMPUTED_VALUE"""),2350.0)</f>
        <v>2350</v>
      </c>
      <c r="F758" s="44">
        <f>IFERROR(__xludf.DUMMYFUNCTION("""COMPUTED_VALUE"""),2.7261E8)</f>
        <v>272610000</v>
      </c>
      <c r="G758" s="32" t="str">
        <f>IFERROR(__xludf.DUMMYFUNCTION("""COMPUTED_VALUE"""),"DMG")</f>
        <v>DMG</v>
      </c>
      <c r="H758" s="32">
        <f>IFERROR(__xludf.DUMMYFUNCTION("""COMPUTED_VALUE"""),1.0)</f>
        <v>1</v>
      </c>
      <c r="I758" s="32"/>
      <c r="J758" s="32"/>
      <c r="K758" s="32"/>
      <c r="L758" s="32"/>
      <c r="M758" s="32"/>
      <c r="N758" s="32"/>
      <c r="O758" s="32"/>
      <c r="P758" s="32"/>
      <c r="Q758" s="32"/>
      <c r="R758" s="32">
        <f>IFERROR(__xludf.DUMMYFUNCTION("""COMPUTED_VALUE"""),117000.0)</f>
        <v>117000</v>
      </c>
      <c r="S758" s="32"/>
      <c r="T758" s="32"/>
      <c r="U758" s="32"/>
      <c r="V758" s="32"/>
      <c r="W758" s="32"/>
      <c r="X758" s="32"/>
      <c r="Y758" s="32"/>
      <c r="Z758" s="32"/>
      <c r="AA758" s="32"/>
      <c r="AB758" s="32"/>
      <c r="AC758" s="32"/>
      <c r="AD758" s="32"/>
      <c r="AE758" s="32"/>
      <c r="AF758" s="32" t="str">
        <f>IFERROR(__xludf.DUMMYFUNCTION("""COMPUTED_VALUE"""),"+-5% chance of dealing 1 damage when attacking")</f>
        <v>+-5% chance of dealing 1 damage when attacking</v>
      </c>
      <c r="AG758" s="32" t="str">
        <f>IFERROR(__xludf.DUMMYFUNCTION("""COMPUTED_VALUE"""),"Dragonscale Island")</f>
        <v>Dragonscale Island</v>
      </c>
      <c r="AH758" s="32" t="b">
        <f>IFERROR(__xludf.DUMMYFUNCTION("""COMPUTED_VALUE"""),FALSE)</f>
        <v>0</v>
      </c>
      <c r="AI758" s="32"/>
      <c r="AJ758" s="32"/>
      <c r="AK758" s="32"/>
      <c r="AL758" s="32"/>
      <c r="AM758" s="32"/>
      <c r="AN758" s="32"/>
      <c r="AO758" s="32"/>
      <c r="AP758" s="32"/>
      <c r="AQ758" s="32"/>
      <c r="AR758" s="32"/>
      <c r="AS758" s="32"/>
      <c r="AT758" s="32"/>
      <c r="AU758" s="32"/>
      <c r="AV758" s="32"/>
      <c r="AW758" s="32"/>
      <c r="AX758" s="32"/>
    </row>
    <row r="759">
      <c r="A759" s="32" t="str">
        <f>IFERROR(__xludf.DUMMYFUNCTION("""COMPUTED_VALUE"""),"Earthen Dragonscale Boots")</f>
        <v>Earthen Dragonscale Boots</v>
      </c>
      <c r="B759" s="32" t="str">
        <f>IFERROR(__xludf.DUMMYFUNCTION("""COMPUTED_VALUE"""),"Feet")</f>
        <v>Feet</v>
      </c>
      <c r="C759" s="32"/>
      <c r="D759" s="32" t="str">
        <f>IFERROR(__xludf.DUMMYFUNCTION("""COMPUTED_VALUE"""),"Item")</f>
        <v>Item</v>
      </c>
      <c r="E759" s="32">
        <f>IFERROR(__xludf.DUMMYFUNCTION("""COMPUTED_VALUE"""),3000.0)</f>
        <v>3000</v>
      </c>
      <c r="F759" s="44">
        <f>IFERROR(__xludf.DUMMYFUNCTION("""COMPUTED_VALUE"""),4.485E8)</f>
        <v>448500000</v>
      </c>
      <c r="G759" s="32" t="str">
        <f>IFERROR(__xludf.DUMMYFUNCTION("""COMPUTED_VALUE"""),"DEF")</f>
        <v>DEF</v>
      </c>
      <c r="H759" s="32">
        <f>IFERROR(__xludf.DUMMYFUNCTION("""COMPUTED_VALUE"""),60000.0)</f>
        <v>60000</v>
      </c>
      <c r="I759" s="32"/>
      <c r="J759" s="32"/>
      <c r="K759" s="32"/>
      <c r="L759" s="32"/>
      <c r="M759" s="32">
        <f>IFERROR(__xludf.DUMMYFUNCTION("""COMPUTED_VALUE"""),90000.0)</f>
        <v>90000</v>
      </c>
      <c r="N759" s="32"/>
      <c r="O759" s="32"/>
      <c r="P759" s="32"/>
      <c r="Q759" s="32"/>
      <c r="R759" s="32"/>
      <c r="S759" s="32"/>
      <c r="T759" s="32"/>
      <c r="U759" s="32"/>
      <c r="V759" s="32"/>
      <c r="W759" s="32"/>
      <c r="X759" s="32"/>
      <c r="Y759" s="32"/>
      <c r="Z759" s="32"/>
      <c r="AA759" s="32"/>
      <c r="AB759" s="32"/>
      <c r="AC759" s="32"/>
      <c r="AD759" s="32"/>
      <c r="AE759" s="32"/>
      <c r="AF759" s="32" t="str">
        <f>IFERROR(__xludf.DUMMYFUNCTION("""COMPUTED_VALUE"""),"++Immune to Earth spells")</f>
        <v>++Immune to Earth spells</v>
      </c>
      <c r="AG759" s="32" t="str">
        <f>IFERROR(__xludf.DUMMYFUNCTION("""COMPUTED_VALUE"""),"Dragonscale Island")</f>
        <v>Dragonscale Island</v>
      </c>
      <c r="AH759" s="32" t="b">
        <f>IFERROR(__xludf.DUMMYFUNCTION("""COMPUTED_VALUE"""),FALSE)</f>
        <v>0</v>
      </c>
      <c r="AI759" s="32"/>
      <c r="AJ759" s="32"/>
      <c r="AK759" s="32"/>
      <c r="AL759" s="32"/>
      <c r="AM759" s="32"/>
      <c r="AN759" s="32"/>
      <c r="AO759" s="32"/>
      <c r="AP759" s="32"/>
      <c r="AQ759" s="32"/>
      <c r="AR759" s="32"/>
      <c r="AS759" s="32"/>
      <c r="AT759" s="32"/>
      <c r="AU759" s="32"/>
      <c r="AV759" s="32"/>
      <c r="AW759" s="32"/>
      <c r="AX759" s="32"/>
    </row>
    <row r="760">
      <c r="A760" s="32" t="str">
        <f>IFERROR(__xludf.DUMMYFUNCTION("""COMPUTED_VALUE"""),"Dragonscale Harp")</f>
        <v>Dragonscale Harp</v>
      </c>
      <c r="B760" s="32" t="str">
        <f>IFERROR(__xludf.DUMMYFUNCTION("""COMPUTED_VALUE"""),"Hand")</f>
        <v>Hand</v>
      </c>
      <c r="C760" s="32"/>
      <c r="D760" s="32" t="str">
        <f>IFERROR(__xludf.DUMMYFUNCTION("""COMPUTED_VALUE"""),"Instrument")</f>
        <v>Instrument</v>
      </c>
      <c r="E760" s="32">
        <f>IFERROR(__xludf.DUMMYFUNCTION("""COMPUTED_VALUE"""),2620.0)</f>
        <v>2620</v>
      </c>
      <c r="F760" s="44">
        <f>IFERROR(__xludf.DUMMYFUNCTION("""COMPUTED_VALUE"""),3.4191E8)</f>
        <v>341910000</v>
      </c>
      <c r="G760" s="32" t="str">
        <f>IFERROR(__xludf.DUMMYFUNCTION("""COMPUTED_VALUE"""),"DMG")</f>
        <v>DMG</v>
      </c>
      <c r="H760" s="32">
        <f>IFERROR(__xludf.DUMMYFUNCTION("""COMPUTED_VALUE"""),1000.0)</f>
        <v>1000</v>
      </c>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f>IFERROR(__xludf.DUMMYFUNCTION("""COMPUTED_VALUE"""),130000.0)</f>
        <v>130000</v>
      </c>
      <c r="AF760" s="32" t="str">
        <f>IFERROR(__xludf.DUMMYFUNCTION("""COMPUTED_VALUE"""),"++Causes any dragon enemies to skip its next turn when attacked.")</f>
        <v>++Causes any dragon enemies to skip its next turn when attacked.</v>
      </c>
      <c r="AG760" s="32" t="str">
        <f>IFERROR(__xludf.DUMMYFUNCTION("""COMPUTED_VALUE"""),"Dragonscale Island")</f>
        <v>Dragonscale Island</v>
      </c>
      <c r="AH760" s="32" t="b">
        <f>IFERROR(__xludf.DUMMYFUNCTION("""COMPUTED_VALUE"""),FALSE)</f>
        <v>0</v>
      </c>
      <c r="AI760" s="32"/>
      <c r="AJ760" s="32"/>
      <c r="AK760" s="32"/>
      <c r="AL760" s="32"/>
      <c r="AM760" s="32"/>
      <c r="AN760" s="32"/>
      <c r="AO760" s="32"/>
      <c r="AP760" s="32"/>
      <c r="AQ760" s="32"/>
      <c r="AR760" s="32"/>
      <c r="AS760" s="32"/>
      <c r="AT760" s="32"/>
      <c r="AU760" s="32"/>
      <c r="AV760" s="32"/>
      <c r="AW760" s="32"/>
      <c r="AX760" s="32"/>
    </row>
    <row r="761">
      <c r="A761" s="32" t="str">
        <f>IFERROR(__xludf.DUMMYFUNCTION("""COMPUTED_VALUE"""),"Dragonscale Bracers")</f>
        <v>Dragonscale Bracers</v>
      </c>
      <c r="B761" s="32" t="str">
        <f>IFERROR(__xludf.DUMMYFUNCTION("""COMPUTED_VALUE"""),"Arms")</f>
        <v>Arms</v>
      </c>
      <c r="C761" s="32"/>
      <c r="D761" s="32" t="str">
        <f>IFERROR(__xludf.DUMMYFUNCTION("""COMPUTED_VALUE"""),"Item")</f>
        <v>Item</v>
      </c>
      <c r="E761" s="32">
        <f>IFERROR(__xludf.DUMMYFUNCTION("""COMPUTED_VALUE"""),2000.0)</f>
        <v>2000</v>
      </c>
      <c r="F761" s="44">
        <f>IFERROR(__xludf.DUMMYFUNCTION("""COMPUTED_VALUE"""),1.99E8)</f>
        <v>199000000</v>
      </c>
      <c r="G761" s="32" t="str">
        <f>IFERROR(__xludf.DUMMYFUNCTION("""COMPUTED_VALUE"""),"DEF")</f>
        <v>DEF</v>
      </c>
      <c r="H761" s="32">
        <f>IFERROR(__xludf.DUMMYFUNCTION("""COMPUTED_VALUE"""),100000.0)</f>
        <v>100000</v>
      </c>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t="str">
        <f>IFERROR(__xludf.DUMMYFUNCTION("""COMPUTED_VALUE"""),"++X2 DEF when fighting a dragon(s).")</f>
        <v>++X2 DEF when fighting a dragon(s).</v>
      </c>
      <c r="AG761" s="32" t="str">
        <f>IFERROR(__xludf.DUMMYFUNCTION("""COMPUTED_VALUE"""),"Dragonscale Island")</f>
        <v>Dragonscale Island</v>
      </c>
      <c r="AH761" s="32" t="b">
        <f>IFERROR(__xludf.DUMMYFUNCTION("""COMPUTED_VALUE"""),FALSE)</f>
        <v>0</v>
      </c>
      <c r="AI761" s="32"/>
      <c r="AJ761" s="32"/>
      <c r="AK761" s="32"/>
      <c r="AL761" s="32"/>
      <c r="AM761" s="32"/>
      <c r="AN761" s="32"/>
      <c r="AO761" s="32"/>
      <c r="AP761" s="32"/>
      <c r="AQ761" s="32"/>
      <c r="AR761" s="32"/>
      <c r="AS761" s="32"/>
      <c r="AT761" s="32"/>
      <c r="AU761" s="32"/>
      <c r="AV761" s="32"/>
      <c r="AW761" s="32"/>
      <c r="AX761" s="32"/>
    </row>
    <row r="762">
      <c r="A762" s="32" t="str">
        <f>IFERROR(__xludf.DUMMYFUNCTION("""COMPUTED_VALUE"""),"Dragonscale Crown")</f>
        <v>Dragonscale Crown</v>
      </c>
      <c r="B762" s="32" t="str">
        <f>IFERROR(__xludf.DUMMYFUNCTION("""COMPUTED_VALUE"""),"Head")</f>
        <v>Head</v>
      </c>
      <c r="C762" s="32"/>
      <c r="D762" s="32" t="str">
        <f>IFERROR(__xludf.DUMMYFUNCTION("""COMPUTED_VALUE"""),"Item")</f>
        <v>Item</v>
      </c>
      <c r="E762" s="32">
        <f>IFERROR(__xludf.DUMMYFUNCTION("""COMPUTED_VALUE"""),1.0)</f>
        <v>1</v>
      </c>
      <c r="F762" s="44">
        <f>IFERROR(__xludf.DUMMYFUNCTION("""COMPUTED_VALUE"""),0.0)</f>
        <v>0</v>
      </c>
      <c r="G762" s="32" t="str">
        <f>IFERROR(__xludf.DUMMYFUNCTION("""COMPUTED_VALUE"""),"DEF")</f>
        <v>DEF</v>
      </c>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t="str">
        <f>IFERROR(__xludf.DUMMYFUNCTION("""COMPUTED_VALUE"""),"++7,500 additional HP and SP, +-Cannot be forged or duplicated")</f>
        <v>++7,500 additional HP and SP, +-Cannot be forged or duplicated</v>
      </c>
      <c r="AG762" s="32" t="str">
        <f>IFERROR(__xludf.DUMMYFUNCTION("""COMPUTED_VALUE"""),"Dragonscale Island")</f>
        <v>Dragonscale Island</v>
      </c>
      <c r="AH762" s="32" t="b">
        <f>IFERROR(__xludf.DUMMYFUNCTION("""COMPUTED_VALUE"""),FALSE)</f>
        <v>0</v>
      </c>
      <c r="AI762" s="32"/>
      <c r="AJ762" s="32"/>
      <c r="AK762" s="32"/>
      <c r="AL762" s="32"/>
      <c r="AM762" s="32"/>
      <c r="AN762" s="32"/>
      <c r="AO762" s="32"/>
      <c r="AP762" s="32"/>
      <c r="AQ762" s="32"/>
      <c r="AR762" s="32"/>
      <c r="AS762" s="32"/>
      <c r="AT762" s="32"/>
      <c r="AU762" s="32"/>
      <c r="AV762" s="32"/>
      <c r="AW762" s="32"/>
      <c r="AX762" s="32"/>
    </row>
    <row r="763">
      <c r="A763" s="32" t="str">
        <f>IFERROR(__xludf.DUMMYFUNCTION("""COMPUTED_VALUE"""),"Dragonscale Helm")</f>
        <v>Dragonscale Helm</v>
      </c>
      <c r="B763" s="32" t="str">
        <f>IFERROR(__xludf.DUMMYFUNCTION("""COMPUTED_VALUE"""),"Head")</f>
        <v>Head</v>
      </c>
      <c r="C763" s="32"/>
      <c r="D763" s="32" t="str">
        <f>IFERROR(__xludf.DUMMYFUNCTION("""COMPUTED_VALUE"""),"Item")</f>
        <v>Item</v>
      </c>
      <c r="E763" s="32">
        <f>IFERROR(__xludf.DUMMYFUNCTION("""COMPUTED_VALUE"""),2600.0)</f>
        <v>2600</v>
      </c>
      <c r="F763" s="44">
        <f>IFERROR(__xludf.DUMMYFUNCTION("""COMPUTED_VALUE"""),3.367E8)</f>
        <v>336700000</v>
      </c>
      <c r="G763" s="32" t="str">
        <f>IFERROR(__xludf.DUMMYFUNCTION("""COMPUTED_VALUE"""),"DEF")</f>
        <v>DEF</v>
      </c>
      <c r="H763" s="32">
        <f>IFERROR(__xludf.DUMMYFUNCTION("""COMPUTED_VALUE"""),130000.0)</f>
        <v>130000</v>
      </c>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t="str">
        <f>IFERROR(__xludf.DUMMYFUNCTION("""COMPUTED_VALUE"""),"Dragonscale Island")</f>
        <v>Dragonscale Island</v>
      </c>
      <c r="AH763" s="32" t="b">
        <f>IFERROR(__xludf.DUMMYFUNCTION("""COMPUTED_VALUE"""),FALSE)</f>
        <v>0</v>
      </c>
      <c r="AI763" s="32"/>
      <c r="AJ763" s="32"/>
      <c r="AK763" s="32"/>
      <c r="AL763" s="32"/>
      <c r="AM763" s="32"/>
      <c r="AN763" s="32"/>
      <c r="AO763" s="32"/>
      <c r="AP763" s="32"/>
      <c r="AQ763" s="32"/>
      <c r="AR763" s="32"/>
      <c r="AS763" s="32"/>
      <c r="AT763" s="32"/>
      <c r="AU763" s="32"/>
      <c r="AV763" s="32"/>
      <c r="AW763" s="32"/>
      <c r="AX763" s="32"/>
    </row>
    <row r="764">
      <c r="A764" s="32" t="str">
        <f>IFERROR(__xludf.DUMMYFUNCTION("""COMPUTED_VALUE"""),"Dragonscale Rifle")</f>
        <v>Dragonscale Rifle</v>
      </c>
      <c r="B764" s="32" t="str">
        <f>IFERROR(__xludf.DUMMYFUNCTION("""COMPUTED_VALUE"""),"Hand")</f>
        <v>Hand</v>
      </c>
      <c r="C764" s="32"/>
      <c r="D764" s="32" t="str">
        <f>IFERROR(__xludf.DUMMYFUNCTION("""COMPUTED_VALUE"""),"Firearm")</f>
        <v>Firearm</v>
      </c>
      <c r="E764" s="32">
        <f>IFERROR(__xludf.DUMMYFUNCTION("""COMPUTED_VALUE"""),3400.0)</f>
        <v>3400</v>
      </c>
      <c r="F764" s="44">
        <f>IFERROR(__xludf.DUMMYFUNCTION("""COMPUTED_VALUE"""),5.763E8)</f>
        <v>576300000</v>
      </c>
      <c r="G764" s="32" t="str">
        <f>IFERROR(__xludf.DUMMYFUNCTION("""COMPUTED_VALUE"""),"DMG")</f>
        <v>DMG</v>
      </c>
      <c r="H764" s="32">
        <f>IFERROR(__xludf.DUMMYFUNCTION("""COMPUTED_VALUE"""),170000.0)</f>
        <v>170000</v>
      </c>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t="str">
        <f>IFERROR(__xludf.DUMMYFUNCTION("""COMPUTED_VALUE""")," +-Uses bullets")</f>
        <v> +-Uses bullets</v>
      </c>
      <c r="AG764" s="32" t="str">
        <f>IFERROR(__xludf.DUMMYFUNCTION("""COMPUTED_VALUE"""),"Dragonscale Island")</f>
        <v>Dragonscale Island</v>
      </c>
      <c r="AH764" s="32" t="b">
        <f>IFERROR(__xludf.DUMMYFUNCTION("""COMPUTED_VALUE"""),FALSE)</f>
        <v>0</v>
      </c>
      <c r="AI764" s="32"/>
      <c r="AJ764" s="32"/>
      <c r="AK764" s="32"/>
      <c r="AL764" s="32"/>
      <c r="AM764" s="32"/>
      <c r="AN764" s="32"/>
      <c r="AO764" s="32"/>
      <c r="AP764" s="32"/>
      <c r="AQ764" s="32"/>
      <c r="AR764" s="32"/>
      <c r="AS764" s="32"/>
      <c r="AT764" s="32"/>
      <c r="AU764" s="32"/>
      <c r="AV764" s="32"/>
      <c r="AW764" s="32"/>
      <c r="AX764" s="32"/>
    </row>
    <row r="765">
      <c r="A765" s="32" t="str">
        <f>IFERROR(__xludf.DUMMYFUNCTION("""COMPUTED_VALUE"""),"Searing Dragonscale Staff")</f>
        <v>Searing Dragonscale Staff</v>
      </c>
      <c r="B765" s="32" t="str">
        <f>IFERROR(__xludf.DUMMYFUNCTION("""COMPUTED_VALUE"""),"Hand")</f>
        <v>Hand</v>
      </c>
      <c r="C765" s="32"/>
      <c r="D765" s="32" t="str">
        <f>IFERROR(__xludf.DUMMYFUNCTION("""COMPUTED_VALUE"""),"Staff")</f>
        <v>Staff</v>
      </c>
      <c r="E765" s="32">
        <f>IFERROR(__xludf.DUMMYFUNCTION("""COMPUTED_VALUE"""),3000.0)</f>
        <v>3000</v>
      </c>
      <c r="F765" s="44">
        <f>IFERROR(__xludf.DUMMYFUNCTION("""COMPUTED_VALUE"""),4.485E8)</f>
        <v>448500000</v>
      </c>
      <c r="G765" s="32" t="str">
        <f>IFERROR(__xludf.DUMMYFUNCTION("""COMPUTED_VALUE"""),"DMG")</f>
        <v>DMG</v>
      </c>
      <c r="H765" s="32"/>
      <c r="I765" s="32"/>
      <c r="J765" s="32"/>
      <c r="K765" s="32"/>
      <c r="L765" s="32"/>
      <c r="M765" s="32"/>
      <c r="N765" s="32">
        <f>IFERROR(__xludf.DUMMYFUNCTION("""COMPUTED_VALUE"""),150000.0)</f>
        <v>150000</v>
      </c>
      <c r="O765" s="32"/>
      <c r="P765" s="32"/>
      <c r="Q765" s="32"/>
      <c r="R765" s="32"/>
      <c r="S765" s="32"/>
      <c r="T765" s="32"/>
      <c r="U765" s="32"/>
      <c r="V765" s="32"/>
      <c r="W765" s="32"/>
      <c r="X765" s="32"/>
      <c r="Y765" s="32"/>
      <c r="Z765" s="32"/>
      <c r="AA765" s="32"/>
      <c r="AB765" s="32"/>
      <c r="AC765" s="32"/>
      <c r="AD765" s="32"/>
      <c r="AE765" s="32"/>
      <c r="AF765" s="32"/>
      <c r="AG765" s="32" t="str">
        <f>IFERROR(__xludf.DUMMYFUNCTION("""COMPUTED_VALUE"""),"Dragonscale Island")</f>
        <v>Dragonscale Island</v>
      </c>
      <c r="AH765" s="32" t="b">
        <f>IFERROR(__xludf.DUMMYFUNCTION("""COMPUTED_VALUE"""),FALSE)</f>
        <v>0</v>
      </c>
      <c r="AI765" s="32"/>
      <c r="AJ765" s="32"/>
      <c r="AK765" s="32"/>
      <c r="AL765" s="32"/>
      <c r="AM765" s="32"/>
      <c r="AN765" s="32"/>
      <c r="AO765" s="32"/>
      <c r="AP765" s="32"/>
      <c r="AQ765" s="32"/>
      <c r="AR765" s="32"/>
      <c r="AS765" s="32"/>
      <c r="AT765" s="32"/>
      <c r="AU765" s="32"/>
      <c r="AV765" s="32"/>
      <c r="AW765" s="32"/>
      <c r="AX765" s="32"/>
    </row>
    <row r="766">
      <c r="A766" s="32" t="str">
        <f>IFERROR(__xludf.DUMMYFUNCTION("""COMPUTED_VALUE"""),"Forgotten Scythe")</f>
        <v>Forgotten Scythe</v>
      </c>
      <c r="B766" s="32" t="str">
        <f>IFERROR(__xludf.DUMMYFUNCTION("""COMPUTED_VALUE"""),"Hand")</f>
        <v>Hand</v>
      </c>
      <c r="C766" s="32"/>
      <c r="D766" s="32" t="str">
        <f>IFERROR(__xludf.DUMMYFUNCTION("""COMPUTED_VALUE"""),"Scythe")</f>
        <v>Scythe</v>
      </c>
      <c r="E766" s="32">
        <f>IFERROR(__xludf.DUMMYFUNCTION("""COMPUTED_VALUE"""),5800.0)</f>
        <v>5800</v>
      </c>
      <c r="F766" s="44">
        <f>IFERROR(__xludf.DUMMYFUNCTION("""COMPUTED_VALUE"""),1.6791E9)</f>
        <v>1679100000</v>
      </c>
      <c r="G766" s="32" t="str">
        <f>IFERROR(__xludf.DUMMYFUNCTION("""COMPUTED_VALUE"""),"DMG")</f>
        <v>DMG</v>
      </c>
      <c r="H766" s="32"/>
      <c r="I766" s="32"/>
      <c r="J766" s="32"/>
      <c r="K766" s="32"/>
      <c r="L766" s="32"/>
      <c r="M766" s="32"/>
      <c r="N766" s="32"/>
      <c r="O766" s="32"/>
      <c r="P766" s="32"/>
      <c r="Q766" s="32"/>
      <c r="R766" s="32">
        <f>IFERROR(__xludf.DUMMYFUNCTION("""COMPUTED_VALUE"""),290000.0)</f>
        <v>290000</v>
      </c>
      <c r="S766" s="32"/>
      <c r="T766" s="32"/>
      <c r="U766" s="32"/>
      <c r="V766" s="32"/>
      <c r="W766" s="32"/>
      <c r="X766" s="32"/>
      <c r="Y766" s="32"/>
      <c r="Z766" s="32"/>
      <c r="AA766" s="32"/>
      <c r="AB766" s="32"/>
      <c r="AC766" s="32"/>
      <c r="AD766" s="32"/>
      <c r="AE766" s="32"/>
      <c r="AF766" s="32"/>
      <c r="AG766" s="32" t="str">
        <f>IFERROR(__xludf.DUMMYFUNCTION("""COMPUTED_VALUE"""),"Abstara")</f>
        <v>Abstara</v>
      </c>
      <c r="AH766" s="32" t="b">
        <f>IFERROR(__xludf.DUMMYFUNCTION("""COMPUTED_VALUE"""),FALSE)</f>
        <v>0</v>
      </c>
      <c r="AI766" s="32"/>
      <c r="AJ766" s="32"/>
      <c r="AK766" s="32"/>
      <c r="AL766" s="32"/>
      <c r="AM766" s="32"/>
      <c r="AN766" s="32"/>
      <c r="AO766" s="32"/>
      <c r="AP766" s="32"/>
      <c r="AQ766" s="32"/>
      <c r="AR766" s="32"/>
      <c r="AS766" s="32"/>
      <c r="AT766" s="32"/>
      <c r="AU766" s="32"/>
      <c r="AV766" s="32"/>
      <c r="AW766" s="32"/>
      <c r="AX766" s="32"/>
    </row>
    <row r="767">
      <c r="A767" s="32" t="str">
        <f>IFERROR(__xludf.DUMMYFUNCTION("""COMPUTED_VALUE"""),"Forsaken Club")</f>
        <v>Forsaken Club</v>
      </c>
      <c r="B767" s="32" t="str">
        <f>IFERROR(__xludf.DUMMYFUNCTION("""COMPUTED_VALUE"""),"Hand")</f>
        <v>Hand</v>
      </c>
      <c r="C767" s="32"/>
      <c r="D767" s="32" t="str">
        <f>IFERROR(__xludf.DUMMYFUNCTION("""COMPUTED_VALUE"""),"Club")</f>
        <v>Club</v>
      </c>
      <c r="E767" s="32">
        <f>IFERROR(__xludf.DUMMYFUNCTION("""COMPUTED_VALUE"""),5000.0)</f>
        <v>5000</v>
      </c>
      <c r="F767" s="44">
        <f>IFERROR(__xludf.DUMMYFUNCTION("""COMPUTED_VALUE"""),1.2475E9)</f>
        <v>1247500000</v>
      </c>
      <c r="G767" s="32" t="str">
        <f>IFERROR(__xludf.DUMMYFUNCTION("""COMPUTED_VALUE"""),"DMG")</f>
        <v>DMG</v>
      </c>
      <c r="H767" s="32">
        <f>IFERROR(__xludf.DUMMYFUNCTION("""COMPUTED_VALUE"""),250000.0)</f>
        <v>250000</v>
      </c>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t="str">
        <f>IFERROR(__xludf.DUMMYFUNCTION("""COMPUTED_VALUE"""),"Abstara")</f>
        <v>Abstara</v>
      </c>
      <c r="AH767" s="32" t="b">
        <f>IFERROR(__xludf.DUMMYFUNCTION("""COMPUTED_VALUE"""),FALSE)</f>
        <v>0</v>
      </c>
      <c r="AI767" s="32"/>
      <c r="AJ767" s="32"/>
      <c r="AK767" s="32"/>
      <c r="AL767" s="32"/>
      <c r="AM767" s="32"/>
      <c r="AN767" s="32"/>
      <c r="AO767" s="32"/>
      <c r="AP767" s="32"/>
      <c r="AQ767" s="32"/>
      <c r="AR767" s="32"/>
      <c r="AS767" s="32"/>
      <c r="AT767" s="32"/>
      <c r="AU767" s="32"/>
      <c r="AV767" s="32"/>
      <c r="AW767" s="32"/>
      <c r="AX767" s="32"/>
    </row>
    <row r="768">
      <c r="A768" s="32" t="str">
        <f>IFERROR(__xludf.DUMMYFUNCTION("""COMPUTED_VALUE"""),"Demonic Breastplate")</f>
        <v>Demonic Breastplate</v>
      </c>
      <c r="B768" s="32" t="str">
        <f>IFERROR(__xludf.DUMMYFUNCTION("""COMPUTED_VALUE"""),"Torso")</f>
        <v>Torso</v>
      </c>
      <c r="C768" s="32"/>
      <c r="D768" s="32" t="str">
        <f>IFERROR(__xludf.DUMMYFUNCTION("""COMPUTED_VALUE"""),"Item")</f>
        <v>Item</v>
      </c>
      <c r="E768" s="32">
        <f>IFERROR(__xludf.DUMMYFUNCTION("""COMPUTED_VALUE"""),4000.0)</f>
        <v>4000</v>
      </c>
      <c r="F768" s="44">
        <f>IFERROR(__xludf.DUMMYFUNCTION("""COMPUTED_VALUE"""),7.98E8)</f>
        <v>798000000</v>
      </c>
      <c r="G768" s="32" t="str">
        <f>IFERROR(__xludf.DUMMYFUNCTION("""COMPUTED_VALUE"""),"DEF")</f>
        <v>DEF</v>
      </c>
      <c r="H768" s="32">
        <f>IFERROR(__xludf.DUMMYFUNCTION("""COMPUTED_VALUE"""),50000.0)</f>
        <v>50000</v>
      </c>
      <c r="I768" s="32">
        <f>IFERROR(__xludf.DUMMYFUNCTION("""COMPUTED_VALUE"""),50000.0)</f>
        <v>50000</v>
      </c>
      <c r="J768" s="32"/>
      <c r="K768" s="32"/>
      <c r="L768" s="32"/>
      <c r="M768" s="32"/>
      <c r="N768" s="32"/>
      <c r="O768" s="32">
        <f>IFERROR(__xludf.DUMMYFUNCTION("""COMPUTED_VALUE"""),50000.0)</f>
        <v>50000</v>
      </c>
      <c r="P768" s="32"/>
      <c r="Q768" s="32"/>
      <c r="R768" s="32">
        <f>IFERROR(__xludf.DUMMYFUNCTION("""COMPUTED_VALUE"""),50000.0)</f>
        <v>50000</v>
      </c>
      <c r="S768" s="32"/>
      <c r="T768" s="32"/>
      <c r="U768" s="32"/>
      <c r="V768" s="32"/>
      <c r="W768" s="32"/>
      <c r="X768" s="32"/>
      <c r="Y768" s="32"/>
      <c r="Z768" s="32"/>
      <c r="AA768" s="32"/>
      <c r="AB768" s="32"/>
      <c r="AC768" s="32"/>
      <c r="AD768" s="32"/>
      <c r="AE768" s="32"/>
      <c r="AF768" s="32"/>
      <c r="AG768" s="32" t="str">
        <f>IFERROR(__xludf.DUMMYFUNCTION("""COMPUTED_VALUE"""),"Abstara")</f>
        <v>Abstara</v>
      </c>
      <c r="AH768" s="32" t="b">
        <f>IFERROR(__xludf.DUMMYFUNCTION("""COMPUTED_VALUE"""),FALSE)</f>
        <v>0</v>
      </c>
      <c r="AI768" s="32"/>
      <c r="AJ768" s="32"/>
      <c r="AK768" s="32"/>
      <c r="AL768" s="32"/>
      <c r="AM768" s="32"/>
      <c r="AN768" s="32"/>
      <c r="AO768" s="32"/>
      <c r="AP768" s="32"/>
      <c r="AQ768" s="32"/>
      <c r="AR768" s="32"/>
      <c r="AS768" s="32"/>
      <c r="AT768" s="32"/>
      <c r="AU768" s="32"/>
      <c r="AV768" s="32"/>
      <c r="AW768" s="32"/>
      <c r="AX768" s="32"/>
    </row>
    <row r="769">
      <c r="A769" s="32" t="str">
        <f>IFERROR(__xludf.DUMMYFUNCTION("""COMPUTED_VALUE"""),"Fallen Ruler's Crown")</f>
        <v>Fallen Ruler's Crown</v>
      </c>
      <c r="B769" s="32" t="str">
        <f>IFERROR(__xludf.DUMMYFUNCTION("""COMPUTED_VALUE"""),"Head")</f>
        <v>Head</v>
      </c>
      <c r="C769" s="32"/>
      <c r="D769" s="32" t="str">
        <f>IFERROR(__xludf.DUMMYFUNCTION("""COMPUTED_VALUE"""),"Item")</f>
        <v>Item</v>
      </c>
      <c r="E769" s="32">
        <f>IFERROR(__xludf.DUMMYFUNCTION("""COMPUTED_VALUE"""),1.0)</f>
        <v>1</v>
      </c>
      <c r="F769" s="44">
        <f>IFERROR(__xludf.DUMMYFUNCTION("""COMPUTED_VALUE"""),0.0)</f>
        <v>0</v>
      </c>
      <c r="G769" s="32" t="str">
        <f>IFERROR(__xludf.DUMMYFUNCTION("""COMPUTED_VALUE"""),"DEF")</f>
        <v>DEF</v>
      </c>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t="str">
        <f>IFERROR(__xludf.DUMMYFUNCTION("""COMPUTED_VALUE"""),"++5% chance undead enemies will willingly surrender +-Cannot be forged or duplicated")</f>
        <v>++5% chance undead enemies will willingly surrender +-Cannot be forged or duplicated</v>
      </c>
      <c r="AG769" s="32" t="str">
        <f>IFERROR(__xludf.DUMMYFUNCTION("""COMPUTED_VALUE"""),"Abstara")</f>
        <v>Abstara</v>
      </c>
      <c r="AH769" s="32" t="b">
        <f>IFERROR(__xludf.DUMMYFUNCTION("""COMPUTED_VALUE"""),FALSE)</f>
        <v>0</v>
      </c>
      <c r="AI769" s="32"/>
      <c r="AJ769" s="32"/>
      <c r="AK769" s="32"/>
      <c r="AL769" s="32"/>
      <c r="AM769" s="32"/>
      <c r="AN769" s="32"/>
      <c r="AO769" s="32"/>
      <c r="AP769" s="32"/>
      <c r="AQ769" s="32"/>
      <c r="AR769" s="32"/>
      <c r="AS769" s="32"/>
      <c r="AT769" s="32"/>
      <c r="AU769" s="32"/>
      <c r="AV769" s="32"/>
      <c r="AW769" s="32"/>
      <c r="AX769" s="32"/>
    </row>
    <row r="770">
      <c r="A770" s="32" t="str">
        <f>IFERROR(__xludf.DUMMYFUNCTION("""COMPUTED_VALUE"""),"Old Knife")</f>
        <v>Old Knife</v>
      </c>
      <c r="B770" s="32" t="str">
        <f>IFERROR(__xludf.DUMMYFUNCTION("""COMPUTED_VALUE"""),"Hand")</f>
        <v>Hand</v>
      </c>
      <c r="C770" s="32"/>
      <c r="D770" s="32" t="str">
        <f>IFERROR(__xludf.DUMMYFUNCTION("""COMPUTED_VALUE"""),"Knife")</f>
        <v>Knife</v>
      </c>
      <c r="E770" s="32">
        <f>IFERROR(__xludf.DUMMYFUNCTION("""COMPUTED_VALUE"""),3640.0)</f>
        <v>3640</v>
      </c>
      <c r="F770" s="44">
        <f>IFERROR(__xludf.DUMMYFUNCTION("""COMPUTED_VALUE"""),6.6066E8)</f>
        <v>660660000</v>
      </c>
      <c r="G770" s="32" t="str">
        <f>IFERROR(__xludf.DUMMYFUNCTION("""COMPUTED_VALUE"""),"DMG")</f>
        <v>DMG</v>
      </c>
      <c r="H770" s="32">
        <f>IFERROR(__xludf.DUMMYFUNCTION("""COMPUTED_VALUE"""),12000.0)</f>
        <v>12000</v>
      </c>
      <c r="I770" s="32"/>
      <c r="J770" s="32"/>
      <c r="K770" s="32"/>
      <c r="L770" s="32"/>
      <c r="M770" s="32"/>
      <c r="N770" s="32"/>
      <c r="O770" s="32"/>
      <c r="P770" s="32"/>
      <c r="Q770" s="32"/>
      <c r="R770" s="32"/>
      <c r="S770" s="32"/>
      <c r="T770" s="32"/>
      <c r="U770" s="32"/>
      <c r="V770" s="32"/>
      <c r="W770" s="32"/>
      <c r="X770" s="32"/>
      <c r="Y770" s="32">
        <f>IFERROR(__xludf.DUMMYFUNCTION("""COMPUTED_VALUE"""),170000.0)</f>
        <v>170000</v>
      </c>
      <c r="Z770" s="32"/>
      <c r="AA770" s="32"/>
      <c r="AB770" s="32"/>
      <c r="AC770" s="32"/>
      <c r="AD770" s="32"/>
      <c r="AE770" s="32"/>
      <c r="AF770" s="32"/>
      <c r="AG770" s="32" t="str">
        <f>IFERROR(__xludf.DUMMYFUNCTION("""COMPUTED_VALUE"""),"Abstara")</f>
        <v>Abstara</v>
      </c>
      <c r="AH770" s="32" t="b">
        <f>IFERROR(__xludf.DUMMYFUNCTION("""COMPUTED_VALUE"""),FALSE)</f>
        <v>0</v>
      </c>
      <c r="AI770" s="32"/>
      <c r="AJ770" s="32"/>
      <c r="AK770" s="32"/>
      <c r="AL770" s="32"/>
      <c r="AM770" s="32"/>
      <c r="AN770" s="32"/>
      <c r="AO770" s="32"/>
      <c r="AP770" s="32"/>
      <c r="AQ770" s="32"/>
      <c r="AR770" s="32"/>
      <c r="AS770" s="32"/>
      <c r="AT770" s="32"/>
      <c r="AU770" s="32"/>
      <c r="AV770" s="32"/>
      <c r="AW770" s="32"/>
      <c r="AX770" s="32"/>
    </row>
    <row r="771">
      <c r="A771" s="32" t="str">
        <f>IFERROR(__xludf.DUMMYFUNCTION("""COMPUTED_VALUE"""),"Plunderbuss")</f>
        <v>Plunderbuss</v>
      </c>
      <c r="B771" s="32" t="str">
        <f>IFERROR(__xludf.DUMMYFUNCTION("""COMPUTED_VALUE"""),"Hand")</f>
        <v>Hand</v>
      </c>
      <c r="C771" s="32"/>
      <c r="D771" s="32" t="str">
        <f>IFERROR(__xludf.DUMMYFUNCTION("""COMPUTED_VALUE"""),"Firearm")</f>
        <v>Firearm</v>
      </c>
      <c r="E771" s="32">
        <f>IFERROR(__xludf.DUMMYFUNCTION("""COMPUTED_VALUE"""),3800.0)</f>
        <v>3800</v>
      </c>
      <c r="F771" s="44">
        <f>IFERROR(__xludf.DUMMYFUNCTION("""COMPUTED_VALUE"""),7.201E8)</f>
        <v>720100000</v>
      </c>
      <c r="G771" s="32" t="str">
        <f>IFERROR(__xludf.DUMMYFUNCTION("""COMPUTED_VALUE"""),"DMG")</f>
        <v>DMG</v>
      </c>
      <c r="H771" s="32">
        <f>IFERROR(__xludf.DUMMYFUNCTION("""COMPUTED_VALUE"""),190000.0)</f>
        <v>190000</v>
      </c>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t="str">
        <f>IFERROR(__xludf.DUMMYFUNCTION("""COMPUTED_VALUE"""),"+-Uses bullets, ++Get two of every loot drop you roll. +-Cannot be forged or duplicated")</f>
        <v>+-Uses bullets, ++Get two of every loot drop you roll. +-Cannot be forged or duplicated</v>
      </c>
      <c r="AG771" s="32" t="str">
        <f>IFERROR(__xludf.DUMMYFUNCTION("""COMPUTED_VALUE"""),"Abstara")</f>
        <v>Abstara</v>
      </c>
      <c r="AH771" s="32" t="b">
        <f>IFERROR(__xludf.DUMMYFUNCTION("""COMPUTED_VALUE"""),FALSE)</f>
        <v>0</v>
      </c>
      <c r="AI771" s="32"/>
      <c r="AJ771" s="32"/>
      <c r="AK771" s="32"/>
      <c r="AL771" s="32"/>
      <c r="AM771" s="32"/>
      <c r="AN771" s="32"/>
      <c r="AO771" s="32"/>
      <c r="AP771" s="32"/>
      <c r="AQ771" s="32"/>
      <c r="AR771" s="32"/>
      <c r="AS771" s="32"/>
      <c r="AT771" s="32"/>
      <c r="AU771" s="32"/>
      <c r="AV771" s="32"/>
      <c r="AW771" s="32"/>
      <c r="AX771" s="32"/>
    </row>
    <row r="772">
      <c r="A772" s="32" t="str">
        <f>IFERROR(__xludf.DUMMYFUNCTION("""COMPUTED_VALUE"""),"Dragon Destroyer")</f>
        <v>Dragon Destroyer</v>
      </c>
      <c r="B772" s="32" t="str">
        <f>IFERROR(__xludf.DUMMYFUNCTION("""COMPUTED_VALUE"""),"Hand")</f>
        <v>Hand</v>
      </c>
      <c r="C772" s="32"/>
      <c r="D772" s="32" t="str">
        <f>IFERROR(__xludf.DUMMYFUNCTION("""COMPUTED_VALUE"""),"Axe")</f>
        <v>Axe</v>
      </c>
      <c r="E772" s="32">
        <f>IFERROR(__xludf.DUMMYFUNCTION("""COMPUTED_VALUE"""),6000.0)</f>
        <v>6000</v>
      </c>
      <c r="F772" s="44">
        <f>IFERROR(__xludf.DUMMYFUNCTION("""COMPUTED_VALUE"""),1.797E9)</f>
        <v>1797000000</v>
      </c>
      <c r="G772" s="32" t="str">
        <f>IFERROR(__xludf.DUMMYFUNCTION("""COMPUTED_VALUE"""),"DMG")</f>
        <v>DMG</v>
      </c>
      <c r="H772" s="32">
        <f>IFERROR(__xludf.DUMMYFUNCTION("""COMPUTED_VALUE"""),300000.0)</f>
        <v>300000</v>
      </c>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t="str">
        <f>IFERROR(__xludf.DUMMYFUNCTION("""COMPUTED_VALUE"""),"++deals unblockable damage to dragons +-Cannot be forged or duplicated")</f>
        <v>++deals unblockable damage to dragons +-Cannot be forged or duplicated</v>
      </c>
      <c r="AG772" s="32" t="str">
        <f>IFERROR(__xludf.DUMMYFUNCTION("""COMPUTED_VALUE"""),"Abstara")</f>
        <v>Abstara</v>
      </c>
      <c r="AH772" s="32" t="b">
        <f>IFERROR(__xludf.DUMMYFUNCTION("""COMPUTED_VALUE"""),FALSE)</f>
        <v>0</v>
      </c>
      <c r="AI772" s="32"/>
      <c r="AJ772" s="32"/>
      <c r="AK772" s="32"/>
      <c r="AL772" s="32"/>
      <c r="AM772" s="32"/>
      <c r="AN772" s="32"/>
      <c r="AO772" s="32"/>
      <c r="AP772" s="32"/>
      <c r="AQ772" s="32"/>
      <c r="AR772" s="32"/>
      <c r="AS772" s="32"/>
      <c r="AT772" s="32"/>
      <c r="AU772" s="32"/>
      <c r="AV772" s="32"/>
      <c r="AW772" s="32"/>
      <c r="AX772" s="32"/>
    </row>
    <row r="773">
      <c r="A773" s="32" t="str">
        <f>IFERROR(__xludf.DUMMYFUNCTION("""COMPUTED_VALUE"""),"Dragonscale of Returns")</f>
        <v>Dragonscale of Returns</v>
      </c>
      <c r="B773" s="32" t="str">
        <f>IFERROR(__xludf.DUMMYFUNCTION("""COMPUTED_VALUE"""),"Hand")</f>
        <v>Hand</v>
      </c>
      <c r="C773" s="32"/>
      <c r="D773" s="32" t="str">
        <f>IFERROR(__xludf.DUMMYFUNCTION("""COMPUTED_VALUE"""),"Boomerang")</f>
        <v>Boomerang</v>
      </c>
      <c r="E773" s="32">
        <f>IFERROR(__xludf.DUMMYFUNCTION("""COMPUTED_VALUE"""),1500.0)</f>
        <v>1500</v>
      </c>
      <c r="F773" s="44">
        <f>IFERROR(__xludf.DUMMYFUNCTION("""COMPUTED_VALUE"""),1.1175E8)</f>
        <v>111750000</v>
      </c>
      <c r="G773" s="32" t="str">
        <f>IFERROR(__xludf.DUMMYFUNCTION("""COMPUTED_VALUE"""),"DMG")</f>
        <v>DMG</v>
      </c>
      <c r="H773" s="32">
        <f>IFERROR(__xludf.DUMMYFUNCTION("""COMPUTED_VALUE"""),75000.0)</f>
        <v>75000</v>
      </c>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t="str">
        <f>IFERROR(__xludf.DUMMYFUNCTION("""COMPUTED_VALUE"""),"++Receive a dragon scale when thrown at a dragon, +-Cannot be forged or duplicated")</f>
        <v>++Receive a dragon scale when thrown at a dragon, +-Cannot be forged or duplicated</v>
      </c>
      <c r="AG773" s="32" t="str">
        <f>IFERROR(__xludf.DUMMYFUNCTION("""COMPUTED_VALUE"""),"Dragonscale Island")</f>
        <v>Dragonscale Island</v>
      </c>
      <c r="AH773" s="32" t="b">
        <f>IFERROR(__xludf.DUMMYFUNCTION("""COMPUTED_VALUE"""),FALSE)</f>
        <v>0</v>
      </c>
      <c r="AI773" s="32"/>
      <c r="AJ773" s="32"/>
      <c r="AK773" s="32"/>
      <c r="AL773" s="32"/>
      <c r="AM773" s="32"/>
      <c r="AN773" s="32"/>
      <c r="AO773" s="32"/>
      <c r="AP773" s="32"/>
      <c r="AQ773" s="32"/>
      <c r="AR773" s="32"/>
      <c r="AS773" s="32"/>
      <c r="AT773" s="32"/>
      <c r="AU773" s="32"/>
      <c r="AV773" s="32"/>
      <c r="AW773" s="32"/>
      <c r="AX773" s="32"/>
    </row>
    <row r="774">
      <c r="A774" s="32" t="str">
        <f>IFERROR(__xludf.DUMMYFUNCTION("""COMPUTED_VALUE"""),"Brimstone Staff")</f>
        <v>Brimstone Staff</v>
      </c>
      <c r="B774" s="32" t="str">
        <f>IFERROR(__xludf.DUMMYFUNCTION("""COMPUTED_VALUE"""),"Hand")</f>
        <v>Hand</v>
      </c>
      <c r="C774" s="32"/>
      <c r="D774" s="32" t="str">
        <f>IFERROR(__xludf.DUMMYFUNCTION("""COMPUTED_VALUE"""),"Staff")</f>
        <v>Staff</v>
      </c>
      <c r="E774" s="32">
        <f>IFERROR(__xludf.DUMMYFUNCTION("""COMPUTED_VALUE"""),4600.0)</f>
        <v>4600</v>
      </c>
      <c r="F774" s="44">
        <f>IFERROR(__xludf.DUMMYFUNCTION("""COMPUTED_VALUE"""),1.0557E9)</f>
        <v>1055700000</v>
      </c>
      <c r="G774" s="32" t="str">
        <f>IFERROR(__xludf.DUMMYFUNCTION("""COMPUTED_VALUE"""),"DMG")</f>
        <v>DMG</v>
      </c>
      <c r="H774" s="32"/>
      <c r="I774" s="32">
        <f>IFERROR(__xludf.DUMMYFUNCTION("""COMPUTED_VALUE"""),230000.0)</f>
        <v>230000</v>
      </c>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t="str">
        <f>IFERROR(__xludf.DUMMYFUNCTION("""COMPUTED_VALUE"""),"++Fire spells cost half SP, +-Cannot be forged or duplicated")</f>
        <v>++Fire spells cost half SP, +-Cannot be forged or duplicated</v>
      </c>
      <c r="AG774" s="32" t="str">
        <f>IFERROR(__xludf.DUMMYFUNCTION("""COMPUTED_VALUE"""),"Abstara")</f>
        <v>Abstara</v>
      </c>
      <c r="AH774" s="32" t="b">
        <f>IFERROR(__xludf.DUMMYFUNCTION("""COMPUTED_VALUE"""),FALSE)</f>
        <v>0</v>
      </c>
      <c r="AI774" s="32"/>
      <c r="AJ774" s="32"/>
      <c r="AK774" s="32"/>
      <c r="AL774" s="32"/>
      <c r="AM774" s="32"/>
      <c r="AN774" s="32"/>
      <c r="AO774" s="32"/>
      <c r="AP774" s="32"/>
      <c r="AQ774" s="32"/>
      <c r="AR774" s="32"/>
      <c r="AS774" s="32"/>
      <c r="AT774" s="32"/>
      <c r="AU774" s="32"/>
      <c r="AV774" s="32"/>
      <c r="AW774" s="32"/>
      <c r="AX774" s="32"/>
    </row>
    <row r="775">
      <c r="A775" s="32" t="str">
        <f>IFERROR(__xludf.DUMMYFUNCTION("""COMPUTED_VALUE"""),"Eternal Ember")</f>
        <v>Eternal Ember</v>
      </c>
      <c r="B775" s="32" t="str">
        <f>IFERROR(__xludf.DUMMYFUNCTION("""COMPUTED_VALUE"""),"Neck")</f>
        <v>Neck</v>
      </c>
      <c r="C775" s="32"/>
      <c r="D775" s="32" t="str">
        <f>IFERROR(__xludf.DUMMYFUNCTION("""COMPUTED_VALUE"""),"Item")</f>
        <v>Item</v>
      </c>
      <c r="E775" s="32">
        <f>IFERROR(__xludf.DUMMYFUNCTION("""COMPUTED_VALUE"""),3000.0)</f>
        <v>3000</v>
      </c>
      <c r="F775" s="44">
        <f>IFERROR(__xludf.DUMMYFUNCTION("""COMPUTED_VALUE"""),4.485E8)</f>
        <v>448500000</v>
      </c>
      <c r="G775" s="32" t="str">
        <f>IFERROR(__xludf.DUMMYFUNCTION("""COMPUTED_VALUE"""),"DEF")</f>
        <v>DEF</v>
      </c>
      <c r="H775" s="32"/>
      <c r="I775" s="32">
        <f>IFERROR(__xludf.DUMMYFUNCTION("""COMPUTED_VALUE"""),150000.0)</f>
        <v>150000</v>
      </c>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32" t="str">
        <f>IFERROR(__xludf.DUMMYFUNCTION("""COMPUTED_VALUE"""),"Abstara")</f>
        <v>Abstara</v>
      </c>
      <c r="AH775" s="32" t="b">
        <f>IFERROR(__xludf.DUMMYFUNCTION("""COMPUTED_VALUE"""),FALSE)</f>
        <v>0</v>
      </c>
      <c r="AI775" s="32"/>
      <c r="AJ775" s="32"/>
      <c r="AK775" s="32"/>
      <c r="AL775" s="32"/>
      <c r="AM775" s="32"/>
      <c r="AN775" s="32"/>
      <c r="AO775" s="32"/>
      <c r="AP775" s="32"/>
      <c r="AQ775" s="32"/>
      <c r="AR775" s="32"/>
      <c r="AS775" s="32"/>
      <c r="AT775" s="32"/>
      <c r="AU775" s="32"/>
      <c r="AV775" s="32"/>
      <c r="AW775" s="32"/>
      <c r="AX775" s="32"/>
    </row>
    <row r="776">
      <c r="A776" s="32" t="str">
        <f>IFERROR(__xludf.DUMMYFUNCTION("""COMPUTED_VALUE"""),"Crystal Blood")</f>
        <v>Crystal Blood</v>
      </c>
      <c r="B776" s="32" t="str">
        <f>IFERROR(__xludf.DUMMYFUNCTION("""COMPUTED_VALUE"""),"Neck")</f>
        <v>Neck</v>
      </c>
      <c r="C776" s="32"/>
      <c r="D776" s="32" t="str">
        <f>IFERROR(__xludf.DUMMYFUNCTION("""COMPUTED_VALUE"""),"Item")</f>
        <v>Item</v>
      </c>
      <c r="E776" s="32">
        <f>IFERROR(__xludf.DUMMYFUNCTION("""COMPUTED_VALUE"""),1.0)</f>
        <v>1</v>
      </c>
      <c r="F776" s="44">
        <f>IFERROR(__xludf.DUMMYFUNCTION("""COMPUTED_VALUE"""),0.0)</f>
        <v>0</v>
      </c>
      <c r="G776" s="32" t="str">
        <f>IFERROR(__xludf.DUMMYFUNCTION("""COMPUTED_VALUE"""),"DEF")</f>
        <v>DEF</v>
      </c>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t="str">
        <f>IFERROR(__xludf.DUMMYFUNCTION("""COMPUTED_VALUE"""),"++Wearer's first non-XHP cost blood spell of the battle has no HP cost , +-Cannot be forged or duplicated")</f>
        <v>++Wearer's first non-XHP cost blood spell of the battle has no HP cost , +-Cannot be forged or duplicated</v>
      </c>
      <c r="AG776" s="32" t="str">
        <f>IFERROR(__xludf.DUMMYFUNCTION("""COMPUTED_VALUE"""),"Abstara")</f>
        <v>Abstara</v>
      </c>
      <c r="AH776" s="32" t="b">
        <f>IFERROR(__xludf.DUMMYFUNCTION("""COMPUTED_VALUE"""),FALSE)</f>
        <v>0</v>
      </c>
      <c r="AI776" s="32"/>
      <c r="AJ776" s="32"/>
      <c r="AK776" s="32"/>
      <c r="AL776" s="32"/>
      <c r="AM776" s="32"/>
      <c r="AN776" s="32"/>
      <c r="AO776" s="32"/>
      <c r="AP776" s="32"/>
      <c r="AQ776" s="32"/>
      <c r="AR776" s="32"/>
      <c r="AS776" s="32"/>
      <c r="AT776" s="32"/>
      <c r="AU776" s="32"/>
      <c r="AV776" s="32"/>
      <c r="AW776" s="32"/>
      <c r="AX776" s="32"/>
    </row>
    <row r="777">
      <c r="A777" s="32" t="str">
        <f>IFERROR(__xludf.DUMMYFUNCTION("""COMPUTED_VALUE"""),"Ultimate Gamble")</f>
        <v>Ultimate Gamble</v>
      </c>
      <c r="B777" s="32" t="str">
        <f>IFERROR(__xludf.DUMMYFUNCTION("""COMPUTED_VALUE"""),"Hand")</f>
        <v>Hand</v>
      </c>
      <c r="C777" s="32"/>
      <c r="D777" s="32" t="str">
        <f>IFERROR(__xludf.DUMMYFUNCTION("""COMPUTED_VALUE"""),"Sword")</f>
        <v>Sword</v>
      </c>
      <c r="E777" s="32">
        <f>IFERROR(__xludf.DUMMYFUNCTION("""COMPUTED_VALUE"""),12000.0)</f>
        <v>12000</v>
      </c>
      <c r="F777" s="44">
        <f>IFERROR(__xludf.DUMMYFUNCTION("""COMPUTED_VALUE"""),7.194E9)</f>
        <v>7194000000</v>
      </c>
      <c r="G777" s="32" t="str">
        <f>IFERROR(__xludf.DUMMYFUNCTION("""COMPUTED_VALUE"""),"DMG")</f>
        <v>DMG</v>
      </c>
      <c r="H777" s="32">
        <f>IFERROR(__xludf.DUMMYFUNCTION("""COMPUTED_VALUE"""),600000.0)</f>
        <v>600000</v>
      </c>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32" t="str">
        <f>IFERROR(__xludf.DUMMYFUNCTION("""COMPUTED_VALUE"""),"Abstara")</f>
        <v>Abstara</v>
      </c>
      <c r="AH777" s="32" t="b">
        <f>IFERROR(__xludf.DUMMYFUNCTION("""COMPUTED_VALUE"""),FALSE)</f>
        <v>0</v>
      </c>
      <c r="AI777" s="32"/>
      <c r="AJ777" s="32"/>
      <c r="AK777" s="32"/>
      <c r="AL777" s="32"/>
      <c r="AM777" s="32"/>
      <c r="AN777" s="32"/>
      <c r="AO777" s="32"/>
      <c r="AP777" s="32"/>
      <c r="AQ777" s="32"/>
      <c r="AR777" s="32"/>
      <c r="AS777" s="32"/>
      <c r="AT777" s="32"/>
      <c r="AU777" s="32"/>
      <c r="AV777" s="32"/>
      <c r="AW777" s="32"/>
      <c r="AX777" s="32"/>
    </row>
    <row r="778">
      <c r="A778" s="32" t="str">
        <f>IFERROR(__xludf.DUMMYFUNCTION("""COMPUTED_VALUE"""),"Awakened Evil")</f>
        <v>Awakened Evil</v>
      </c>
      <c r="B778" s="32" t="str">
        <f>IFERROR(__xludf.DUMMYFUNCTION("""COMPUTED_VALUE"""),"Hand")</f>
        <v>Hand</v>
      </c>
      <c r="C778" s="32"/>
      <c r="D778" s="32" t="str">
        <f>IFERROR(__xludf.DUMMYFUNCTION("""COMPUTED_VALUE"""),"Claw")</f>
        <v>Claw</v>
      </c>
      <c r="E778" s="32">
        <f>IFERROR(__xludf.DUMMYFUNCTION("""COMPUTED_VALUE"""),9000.0)</f>
        <v>9000</v>
      </c>
      <c r="F778" s="44">
        <f>IFERROR(__xludf.DUMMYFUNCTION("""COMPUTED_VALUE"""),4.0455E9)</f>
        <v>4045500000</v>
      </c>
      <c r="G778" s="32" t="str">
        <f>IFERROR(__xludf.DUMMYFUNCTION("""COMPUTED_VALUE"""),"DMG")</f>
        <v>DMG</v>
      </c>
      <c r="H778" s="32">
        <f>IFERROR(__xludf.DUMMYFUNCTION("""COMPUTED_VALUE"""),450000.0)</f>
        <v>450000</v>
      </c>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t="str">
        <f>IFERROR(__xludf.DUMMYFUNCTION("""COMPUTED_VALUE"""),"Abstara")</f>
        <v>Abstara</v>
      </c>
      <c r="AH778" s="32" t="b">
        <f>IFERROR(__xludf.DUMMYFUNCTION("""COMPUTED_VALUE"""),FALSE)</f>
        <v>0</v>
      </c>
      <c r="AI778" s="32"/>
      <c r="AJ778" s="32"/>
      <c r="AK778" s="32"/>
      <c r="AL778" s="32"/>
      <c r="AM778" s="32"/>
      <c r="AN778" s="32"/>
      <c r="AO778" s="32"/>
      <c r="AP778" s="32"/>
      <c r="AQ778" s="32"/>
      <c r="AR778" s="32"/>
      <c r="AS778" s="32"/>
      <c r="AT778" s="32"/>
      <c r="AU778" s="32"/>
      <c r="AV778" s="32"/>
      <c r="AW778" s="32"/>
      <c r="AX778" s="32"/>
    </row>
    <row r="779">
      <c r="A779" s="32" t="str">
        <f>IFERROR(__xludf.DUMMYFUNCTION("""COMPUTED_VALUE"""),"Soldier's Charge")</f>
        <v>Soldier's Charge</v>
      </c>
      <c r="B779" s="32" t="str">
        <f>IFERROR(__xludf.DUMMYFUNCTION("""COMPUTED_VALUE"""),"Hand")</f>
        <v>Hand</v>
      </c>
      <c r="C779" s="32"/>
      <c r="D779" s="32" t="str">
        <f>IFERROR(__xludf.DUMMYFUNCTION("""COMPUTED_VALUE"""),"Firearm")</f>
        <v>Firearm</v>
      </c>
      <c r="E779" s="32">
        <f>IFERROR(__xludf.DUMMYFUNCTION("""COMPUTED_VALUE"""),4400.0)</f>
        <v>4400</v>
      </c>
      <c r="F779" s="44">
        <f>IFERROR(__xludf.DUMMYFUNCTION("""COMPUTED_VALUE"""),9.658E8)</f>
        <v>965800000</v>
      </c>
      <c r="G779" s="32" t="str">
        <f>IFERROR(__xludf.DUMMYFUNCTION("""COMPUTED_VALUE"""),"DMG")</f>
        <v>DMG</v>
      </c>
      <c r="H779" s="32">
        <f>IFERROR(__xludf.DUMMYFUNCTION("""COMPUTED_VALUE"""),60000.0)</f>
        <v>60000</v>
      </c>
      <c r="I779" s="32">
        <f>IFERROR(__xludf.DUMMYFUNCTION("""COMPUTED_VALUE"""),60000.0)</f>
        <v>60000</v>
      </c>
      <c r="J779" s="32"/>
      <c r="K779" s="32"/>
      <c r="L779" s="32"/>
      <c r="M779" s="32"/>
      <c r="N779" s="32"/>
      <c r="O779" s="32"/>
      <c r="P779" s="32">
        <f>IFERROR(__xludf.DUMMYFUNCTION("""COMPUTED_VALUE"""),100000.0)</f>
        <v>100000</v>
      </c>
      <c r="Q779" s="32"/>
      <c r="R779" s="32"/>
      <c r="S779" s="32"/>
      <c r="T779" s="32"/>
      <c r="U779" s="32"/>
      <c r="V779" s="32"/>
      <c r="W779" s="32"/>
      <c r="X779" s="32"/>
      <c r="Y779" s="32"/>
      <c r="Z779" s="32"/>
      <c r="AA779" s="32"/>
      <c r="AB779" s="32"/>
      <c r="AC779" s="32"/>
      <c r="AD779" s="32"/>
      <c r="AE779" s="32"/>
      <c r="AF779" s="32"/>
      <c r="AG779" s="32" t="str">
        <f>IFERROR(__xludf.DUMMYFUNCTION("""COMPUTED_VALUE"""),"Abstara")</f>
        <v>Abstara</v>
      </c>
      <c r="AH779" s="32" t="b">
        <f>IFERROR(__xludf.DUMMYFUNCTION("""COMPUTED_VALUE"""),FALSE)</f>
        <v>0</v>
      </c>
      <c r="AI779" s="32"/>
      <c r="AJ779" s="32"/>
      <c r="AK779" s="32"/>
      <c r="AL779" s="32"/>
      <c r="AM779" s="32"/>
      <c r="AN779" s="32"/>
      <c r="AO779" s="32"/>
      <c r="AP779" s="32"/>
      <c r="AQ779" s="32"/>
      <c r="AR779" s="32"/>
      <c r="AS779" s="32"/>
      <c r="AT779" s="32"/>
      <c r="AU779" s="32"/>
      <c r="AV779" s="32"/>
      <c r="AW779" s="32"/>
      <c r="AX779" s="32"/>
    </row>
    <row r="780">
      <c r="A780" s="32"/>
      <c r="B780" s="32"/>
      <c r="C780" s="32"/>
      <c r="D780" s="32"/>
      <c r="E780" s="32">
        <f>IFERROR(__xludf.DUMMYFUNCTION("""COMPUTED_VALUE"""),1.0)</f>
        <v>1</v>
      </c>
      <c r="F780" s="44">
        <f>IFERROR(__xludf.DUMMYFUNCTION("""COMPUTED_VALUE"""),0.0)</f>
        <v>0</v>
      </c>
      <c r="G780" s="32" t="str">
        <f>IFERROR(__xludf.DUMMYFUNCTION("""COMPUTED_VALUE"""),"DMG")</f>
        <v>DMG</v>
      </c>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t="b">
        <f>IFERROR(__xludf.DUMMYFUNCTION("""COMPUTED_VALUE"""),FALSE)</f>
        <v>0</v>
      </c>
      <c r="AI780" s="32"/>
      <c r="AJ780" s="32"/>
      <c r="AK780" s="32"/>
      <c r="AL780" s="32"/>
      <c r="AM780" s="32"/>
      <c r="AN780" s="32"/>
      <c r="AO780" s="32"/>
      <c r="AP780" s="32"/>
      <c r="AQ780" s="32"/>
      <c r="AR780" s="32"/>
      <c r="AS780" s="32"/>
      <c r="AT780" s="32"/>
      <c r="AU780" s="32"/>
      <c r="AV780" s="32"/>
      <c r="AW780" s="32"/>
      <c r="AX780" s="32"/>
    </row>
    <row r="781">
      <c r="A781" s="32" t="str">
        <f>IFERROR(__xludf.DUMMYFUNCTION("""COMPUTED_VALUE"""),"Weight of Sin")</f>
        <v>Weight of Sin</v>
      </c>
      <c r="B781" s="32" t="str">
        <f>IFERROR(__xludf.DUMMYFUNCTION("""COMPUTED_VALUE"""),"Torso")</f>
        <v>Torso</v>
      </c>
      <c r="C781" s="32"/>
      <c r="D781" s="32" t="str">
        <f>IFERROR(__xludf.DUMMYFUNCTION("""COMPUTED_VALUE"""),"Item")</f>
        <v>Item</v>
      </c>
      <c r="E781" s="32">
        <f>IFERROR(__xludf.DUMMYFUNCTION("""COMPUTED_VALUE"""),11200.0)</f>
        <v>11200</v>
      </c>
      <c r="F781" s="44">
        <f>IFERROR(__xludf.DUMMYFUNCTION("""COMPUTED_VALUE"""),6.2664E9)</f>
        <v>6266400000</v>
      </c>
      <c r="G781" s="32" t="str">
        <f>IFERROR(__xludf.DUMMYFUNCTION("""COMPUTED_VALUE"""),"DEF")</f>
        <v>DEF</v>
      </c>
      <c r="H781" s="32">
        <f>IFERROR(__xludf.DUMMYFUNCTION("""COMPUTED_VALUE"""),560000.0)</f>
        <v>560000</v>
      </c>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t="str">
        <f>IFERROR(__xludf.DUMMYFUNCTION("""COMPUTED_VALUE"""),"+-Always go last in turn order, +-Cannot be removed")</f>
        <v>+-Always go last in turn order, +-Cannot be removed</v>
      </c>
      <c r="AG781" s="32" t="str">
        <f>IFERROR(__xludf.DUMMYFUNCTION("""COMPUTED_VALUE"""),"Abstara")</f>
        <v>Abstara</v>
      </c>
      <c r="AH781" s="32" t="b">
        <f>IFERROR(__xludf.DUMMYFUNCTION("""COMPUTED_VALUE"""),FALSE)</f>
        <v>0</v>
      </c>
      <c r="AI781" s="32"/>
      <c r="AJ781" s="32"/>
      <c r="AK781" s="32"/>
      <c r="AL781" s="32"/>
      <c r="AM781" s="32"/>
      <c r="AN781" s="32"/>
      <c r="AO781" s="32"/>
      <c r="AP781" s="32"/>
      <c r="AQ781" s="32"/>
      <c r="AR781" s="32"/>
      <c r="AS781" s="32"/>
      <c r="AT781" s="32"/>
      <c r="AU781" s="32"/>
      <c r="AV781" s="32"/>
      <c r="AW781" s="32"/>
      <c r="AX781" s="32"/>
    </row>
    <row r="782">
      <c r="A782" s="32" t="str">
        <f>IFERROR(__xludf.DUMMYFUNCTION("""COMPUTED_VALUE"""),"Volcano's Summit")</f>
        <v>Volcano's Summit</v>
      </c>
      <c r="B782" s="32" t="str">
        <f>IFERROR(__xludf.DUMMYFUNCTION("""COMPUTED_VALUE"""),"Head")</f>
        <v>Head</v>
      </c>
      <c r="C782" s="32"/>
      <c r="D782" s="32" t="str">
        <f>IFERROR(__xludf.DUMMYFUNCTION("""COMPUTED_VALUE"""),"Item")</f>
        <v>Item</v>
      </c>
      <c r="E782" s="32">
        <f>IFERROR(__xludf.DUMMYFUNCTION("""COMPUTED_VALUE"""),4000.0)</f>
        <v>4000</v>
      </c>
      <c r="F782" s="44">
        <f>IFERROR(__xludf.DUMMYFUNCTION("""COMPUTED_VALUE"""),7.98E8)</f>
        <v>798000000</v>
      </c>
      <c r="G782" s="32" t="str">
        <f>IFERROR(__xludf.DUMMYFUNCTION("""COMPUTED_VALUE"""),"DEF")</f>
        <v>DEF</v>
      </c>
      <c r="H782" s="32"/>
      <c r="I782" s="32">
        <f>IFERROR(__xludf.DUMMYFUNCTION("""COMPUTED_VALUE"""),200000.0)</f>
        <v>200000</v>
      </c>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t="str">
        <f>IFERROR(__xludf.DUMMYFUNCTION("""COMPUTED_VALUE"""),"++X2 Fire damage")</f>
        <v>++X2 Fire damage</v>
      </c>
      <c r="AG782" s="32" t="str">
        <f>IFERROR(__xludf.DUMMYFUNCTION("""COMPUTED_VALUE"""),"Abstara")</f>
        <v>Abstara</v>
      </c>
      <c r="AH782" s="32" t="b">
        <f>IFERROR(__xludf.DUMMYFUNCTION("""COMPUTED_VALUE"""),FALSE)</f>
        <v>0</v>
      </c>
      <c r="AI782" s="32"/>
      <c r="AJ782" s="32"/>
      <c r="AK782" s="32"/>
      <c r="AL782" s="32"/>
      <c r="AM782" s="32"/>
      <c r="AN782" s="32"/>
      <c r="AO782" s="32"/>
      <c r="AP782" s="32"/>
      <c r="AQ782" s="32"/>
      <c r="AR782" s="32"/>
      <c r="AS782" s="32"/>
      <c r="AT782" s="32"/>
      <c r="AU782" s="32"/>
      <c r="AV782" s="32"/>
      <c r="AW782" s="32"/>
      <c r="AX782" s="32"/>
    </row>
    <row r="783">
      <c r="A783" s="32"/>
      <c r="B783" s="32"/>
      <c r="C783" s="32"/>
      <c r="D783" s="32"/>
      <c r="E783" s="32">
        <f>IFERROR(__xludf.DUMMYFUNCTION("""COMPUTED_VALUE"""),1.0)</f>
        <v>1</v>
      </c>
      <c r="F783" s="44">
        <f>IFERROR(__xludf.DUMMYFUNCTION("""COMPUTED_VALUE"""),0.0)</f>
        <v>0</v>
      </c>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t="b">
        <f>IFERROR(__xludf.DUMMYFUNCTION("""COMPUTED_VALUE"""),FALSE)</f>
        <v>0</v>
      </c>
      <c r="AI783" s="32"/>
      <c r="AJ783" s="32"/>
      <c r="AK783" s="32"/>
      <c r="AL783" s="32"/>
      <c r="AM783" s="32"/>
      <c r="AN783" s="32"/>
      <c r="AO783" s="32"/>
      <c r="AP783" s="32"/>
      <c r="AQ783" s="32"/>
      <c r="AR783" s="32"/>
      <c r="AS783" s="32"/>
      <c r="AT783" s="32"/>
      <c r="AU783" s="32"/>
      <c r="AV783" s="32"/>
      <c r="AW783" s="32"/>
      <c r="AX783" s="32"/>
    </row>
    <row r="784">
      <c r="A784" s="32" t="str">
        <f>IFERROR(__xludf.DUMMYFUNCTION("""COMPUTED_VALUE"""),"Long Distance Loveletter")</f>
        <v>Long Distance Loveletter</v>
      </c>
      <c r="B784" s="32" t="str">
        <f>IFERROR(__xludf.DUMMYFUNCTION("""COMPUTED_VALUE"""),"Hand")</f>
        <v>Hand</v>
      </c>
      <c r="C784" s="32"/>
      <c r="D784" s="32" t="str">
        <f>IFERROR(__xludf.DUMMYFUNCTION("""COMPUTED_VALUE"""),"Firearm")</f>
        <v>Firearm</v>
      </c>
      <c r="E784" s="32">
        <f>IFERROR(__xludf.DUMMYFUNCTION("""COMPUTED_VALUE"""),12000.0)</f>
        <v>12000</v>
      </c>
      <c r="F784" s="44">
        <f>IFERROR(__xludf.DUMMYFUNCTION("""COMPUTED_VALUE"""),7.194E9)</f>
        <v>7194000000</v>
      </c>
      <c r="G784" s="32" t="str">
        <f>IFERROR(__xludf.DUMMYFUNCTION("""COMPUTED_VALUE"""),"DMG")</f>
        <v>DMG</v>
      </c>
      <c r="H784" s="32">
        <f>IFERROR(__xludf.DUMMYFUNCTION("""COMPUTED_VALUE"""),600000.0)</f>
        <v>600000</v>
      </c>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t="str">
        <f>IFERROR(__xludf.DUMMYFUNCTION("""COMPUTED_VALUE"""),"++10% chance for 1 enemy to become an ally at the beginning of battle.")</f>
        <v>++10% chance for 1 enemy to become an ally at the beginning of battle.</v>
      </c>
      <c r="AG784" s="32" t="str">
        <f>IFERROR(__xludf.DUMMYFUNCTION("""COMPUTED_VALUE"""),"Abstara")</f>
        <v>Abstara</v>
      </c>
      <c r="AH784" s="32" t="b">
        <f>IFERROR(__xludf.DUMMYFUNCTION("""COMPUTED_VALUE"""),FALSE)</f>
        <v>0</v>
      </c>
      <c r="AI784" s="32"/>
      <c r="AJ784" s="32"/>
      <c r="AK784" s="32"/>
      <c r="AL784" s="32"/>
      <c r="AM784" s="32"/>
      <c r="AN784" s="32"/>
      <c r="AO784" s="32"/>
      <c r="AP784" s="32"/>
      <c r="AQ784" s="32"/>
      <c r="AR784" s="32"/>
      <c r="AS784" s="32"/>
      <c r="AT784" s="32"/>
      <c r="AU784" s="32"/>
      <c r="AV784" s="32"/>
      <c r="AW784" s="32"/>
      <c r="AX784" s="32"/>
    </row>
    <row r="785">
      <c r="A785" s="32" t="str">
        <f>IFERROR(__xludf.DUMMYFUNCTION("""COMPUTED_VALUE"""),"Cursed Child's Hatchet")</f>
        <v>Cursed Child's Hatchet</v>
      </c>
      <c r="B785" s="32" t="str">
        <f>IFERROR(__xludf.DUMMYFUNCTION("""COMPUTED_VALUE"""),"Hand")</f>
        <v>Hand</v>
      </c>
      <c r="C785" s="32"/>
      <c r="D785" s="32" t="str">
        <f>IFERROR(__xludf.DUMMYFUNCTION("""COMPUTED_VALUE"""),"Axe")</f>
        <v>Axe</v>
      </c>
      <c r="E785" s="32">
        <f>IFERROR(__xludf.DUMMYFUNCTION("""COMPUTED_VALUE"""),3000.0)</f>
        <v>3000</v>
      </c>
      <c r="F785" s="44">
        <f>IFERROR(__xludf.DUMMYFUNCTION("""COMPUTED_VALUE"""),4.485E8)</f>
        <v>448500000</v>
      </c>
      <c r="G785" s="32" t="str">
        <f>IFERROR(__xludf.DUMMYFUNCTION("""COMPUTED_VALUE"""),"DMG")</f>
        <v>DMG</v>
      </c>
      <c r="H785" s="32">
        <f>IFERROR(__xludf.DUMMYFUNCTION("""COMPUTED_VALUE"""),150000.0)</f>
        <v>150000</v>
      </c>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t="str">
        <f>IFERROR(__xludf.DUMMYFUNCTION("""COMPUTED_VALUE"""),"+- 15% chance of attacking a random ally")</f>
        <v>+- 15% chance of attacking a random ally</v>
      </c>
      <c r="AG785" s="32" t="str">
        <f>IFERROR(__xludf.DUMMYFUNCTION("""COMPUTED_VALUE"""),"Abstara")</f>
        <v>Abstara</v>
      </c>
      <c r="AH785" s="32" t="b">
        <f>IFERROR(__xludf.DUMMYFUNCTION("""COMPUTED_VALUE"""),FALSE)</f>
        <v>0</v>
      </c>
      <c r="AI785" s="32"/>
      <c r="AJ785" s="32"/>
      <c r="AK785" s="32"/>
      <c r="AL785" s="32"/>
      <c r="AM785" s="32"/>
      <c r="AN785" s="32"/>
      <c r="AO785" s="32"/>
      <c r="AP785" s="32"/>
      <c r="AQ785" s="32"/>
      <c r="AR785" s="32"/>
      <c r="AS785" s="32"/>
      <c r="AT785" s="32"/>
      <c r="AU785" s="32"/>
      <c r="AV785" s="32"/>
      <c r="AW785" s="32"/>
      <c r="AX785" s="32"/>
    </row>
    <row r="786">
      <c r="A786" s="32" t="str">
        <f>IFERROR(__xludf.DUMMYFUNCTION("""COMPUTED_VALUE"""),"Helm of Lost Hope")</f>
        <v>Helm of Lost Hope</v>
      </c>
      <c r="B786" s="32" t="str">
        <f>IFERROR(__xludf.DUMMYFUNCTION("""COMPUTED_VALUE"""),"Head")</f>
        <v>Head</v>
      </c>
      <c r="C786" s="32"/>
      <c r="D786" s="32" t="str">
        <f>IFERROR(__xludf.DUMMYFUNCTION("""COMPUTED_VALUE"""),"Item")</f>
        <v>Item</v>
      </c>
      <c r="E786" s="32">
        <f>IFERROR(__xludf.DUMMYFUNCTION("""COMPUTED_VALUE"""),6800.0)</f>
        <v>6800</v>
      </c>
      <c r="F786" s="44">
        <f>IFERROR(__xludf.DUMMYFUNCTION("""COMPUTED_VALUE"""),2.3086E9)</f>
        <v>2308600000</v>
      </c>
      <c r="G786" s="32" t="str">
        <f>IFERROR(__xludf.DUMMYFUNCTION("""COMPUTED_VALUE"""),"DEF")</f>
        <v>DEF</v>
      </c>
      <c r="H786" s="32">
        <f>IFERROR(__xludf.DUMMYFUNCTION("""COMPUTED_VALUE"""),340000.0)</f>
        <v>340000</v>
      </c>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t="str">
        <f>IFERROR(__xludf.DUMMYFUNCTION("""COMPUTED_VALUE"""),"Abstara")</f>
        <v>Abstara</v>
      </c>
      <c r="AH786" s="32" t="b">
        <f>IFERROR(__xludf.DUMMYFUNCTION("""COMPUTED_VALUE"""),FALSE)</f>
        <v>0</v>
      </c>
      <c r="AI786" s="32"/>
      <c r="AJ786" s="32"/>
      <c r="AK786" s="32"/>
      <c r="AL786" s="32"/>
      <c r="AM786" s="32"/>
      <c r="AN786" s="32"/>
      <c r="AO786" s="32"/>
      <c r="AP786" s="32"/>
      <c r="AQ786" s="32"/>
      <c r="AR786" s="32"/>
      <c r="AS786" s="32"/>
      <c r="AT786" s="32"/>
      <c r="AU786" s="32"/>
      <c r="AV786" s="32"/>
      <c r="AW786" s="32"/>
      <c r="AX786" s="32"/>
    </row>
    <row r="787">
      <c r="A787" s="32" t="str">
        <f>IFERROR(__xludf.DUMMYFUNCTION("""COMPUTED_VALUE"""),"Cursed Shield")</f>
        <v>Cursed Shield</v>
      </c>
      <c r="B787" s="32" t="str">
        <f>IFERROR(__xludf.DUMMYFUNCTION("""COMPUTED_VALUE"""),"Hand")</f>
        <v>Hand</v>
      </c>
      <c r="C787" s="32"/>
      <c r="D787" s="32" t="str">
        <f>IFERROR(__xludf.DUMMYFUNCTION("""COMPUTED_VALUE"""),"Towershield")</f>
        <v>Towershield</v>
      </c>
      <c r="E787" s="32">
        <f>IFERROR(__xludf.DUMMYFUNCTION("""COMPUTED_VALUE"""),3200.0)</f>
        <v>3200</v>
      </c>
      <c r="F787" s="44">
        <f>IFERROR(__xludf.DUMMYFUNCTION("""COMPUTED_VALUE"""),5.104E8)</f>
        <v>510400000</v>
      </c>
      <c r="G787" s="32" t="str">
        <f>IFERROR(__xludf.DUMMYFUNCTION("""COMPUTED_VALUE"""),"DEF")</f>
        <v>DEF</v>
      </c>
      <c r="H787" s="32">
        <f>IFERROR(__xludf.DUMMYFUNCTION("""COMPUTED_VALUE"""),160000.0)</f>
        <v>160000</v>
      </c>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t="str">
        <f>IFERROR(__xludf.DUMMYFUNCTION("""COMPUTED_VALUE"""),"+-Unequipping destroys the item")</f>
        <v>+-Unequipping destroys the item</v>
      </c>
      <c r="AG787" s="32" t="str">
        <f>IFERROR(__xludf.DUMMYFUNCTION("""COMPUTED_VALUE"""),"Abstara")</f>
        <v>Abstara</v>
      </c>
      <c r="AH787" s="32" t="b">
        <f>IFERROR(__xludf.DUMMYFUNCTION("""COMPUTED_VALUE"""),FALSE)</f>
        <v>0</v>
      </c>
      <c r="AI787" s="32"/>
      <c r="AJ787" s="32"/>
      <c r="AK787" s="32"/>
      <c r="AL787" s="32"/>
      <c r="AM787" s="32"/>
      <c r="AN787" s="32"/>
      <c r="AO787" s="32"/>
      <c r="AP787" s="32"/>
      <c r="AQ787" s="32"/>
      <c r="AR787" s="32"/>
      <c r="AS787" s="32"/>
      <c r="AT787" s="32"/>
      <c r="AU787" s="32"/>
      <c r="AV787" s="32"/>
      <c r="AW787" s="32"/>
      <c r="AX787" s="32"/>
    </row>
    <row r="788">
      <c r="A788" s="32" t="str">
        <f>IFERROR(__xludf.DUMMYFUNCTION("""COMPUTED_VALUE"""),"Dragonscale Buckler")</f>
        <v>Dragonscale Buckler</v>
      </c>
      <c r="B788" s="32" t="str">
        <f>IFERROR(__xludf.DUMMYFUNCTION("""COMPUTED_VALUE"""),"Hand")</f>
        <v>Hand</v>
      </c>
      <c r="C788" s="32"/>
      <c r="D788" s="32" t="str">
        <f>IFERROR(__xludf.DUMMYFUNCTION("""COMPUTED_VALUE"""),"Buckler")</f>
        <v>Buckler</v>
      </c>
      <c r="E788" s="32">
        <f>IFERROR(__xludf.DUMMYFUNCTION("""COMPUTED_VALUE"""),2140.0)</f>
        <v>2140</v>
      </c>
      <c r="F788" s="44">
        <f>IFERROR(__xludf.DUMMYFUNCTION("""COMPUTED_VALUE"""),2.2791E8)</f>
        <v>227910000</v>
      </c>
      <c r="G788" s="32" t="str">
        <f>IFERROR(__xludf.DUMMYFUNCTION("""COMPUTED_VALUE"""),"DEF")</f>
        <v>DEF</v>
      </c>
      <c r="H788" s="32">
        <f>IFERROR(__xludf.DUMMYFUNCTION("""COMPUTED_VALUE"""),107000.0)</f>
        <v>107000</v>
      </c>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t="str">
        <f>IFERROR(__xludf.DUMMYFUNCTION("""COMPUTED_VALUE"""),"Dragonscale Island")</f>
        <v>Dragonscale Island</v>
      </c>
      <c r="AH788" s="32" t="b">
        <f>IFERROR(__xludf.DUMMYFUNCTION("""COMPUTED_VALUE"""),FALSE)</f>
        <v>0</v>
      </c>
      <c r="AI788" s="32"/>
      <c r="AJ788" s="32"/>
      <c r="AK788" s="32"/>
      <c r="AL788" s="32"/>
      <c r="AM788" s="32"/>
      <c r="AN788" s="32"/>
      <c r="AO788" s="32"/>
      <c r="AP788" s="32"/>
      <c r="AQ788" s="32"/>
      <c r="AR788" s="32"/>
      <c r="AS788" s="32"/>
      <c r="AT788" s="32"/>
      <c r="AU788" s="32"/>
      <c r="AV788" s="32"/>
      <c r="AW788" s="32"/>
      <c r="AX788" s="32"/>
    </row>
    <row r="789">
      <c r="A789" s="32" t="str">
        <f>IFERROR(__xludf.DUMMYFUNCTION("""COMPUTED_VALUE"""),"Magma Trident")</f>
        <v>Magma Trident</v>
      </c>
      <c r="B789" s="32" t="str">
        <f>IFERROR(__xludf.DUMMYFUNCTION("""COMPUTED_VALUE"""),"Hand")</f>
        <v>Hand</v>
      </c>
      <c r="C789" s="32"/>
      <c r="D789" s="32" t="str">
        <f>IFERROR(__xludf.DUMMYFUNCTION("""COMPUTED_VALUE"""),"Spear")</f>
        <v>Spear</v>
      </c>
      <c r="E789" s="32">
        <f>IFERROR(__xludf.DUMMYFUNCTION("""COMPUTED_VALUE"""),4000.0)</f>
        <v>4000</v>
      </c>
      <c r="F789" s="44">
        <f>IFERROR(__xludf.DUMMYFUNCTION("""COMPUTED_VALUE"""),7.98E8)</f>
        <v>798000000</v>
      </c>
      <c r="G789" s="32" t="str">
        <f>IFERROR(__xludf.DUMMYFUNCTION("""COMPUTED_VALUE"""),"DMG")</f>
        <v>DMG</v>
      </c>
      <c r="H789" s="32">
        <f>IFERROR(__xludf.DUMMYFUNCTION("""COMPUTED_VALUE"""),100000.0)</f>
        <v>100000</v>
      </c>
      <c r="I789" s="32">
        <f>IFERROR(__xludf.DUMMYFUNCTION("""COMPUTED_VALUE"""),100000.0)</f>
        <v>100000</v>
      </c>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t="str">
        <f>IFERROR(__xludf.DUMMYFUNCTION("""COMPUTED_VALUE"""),"Abstara")</f>
        <v>Abstara</v>
      </c>
      <c r="AH789" s="32" t="b">
        <f>IFERROR(__xludf.DUMMYFUNCTION("""COMPUTED_VALUE"""),FALSE)</f>
        <v>0</v>
      </c>
      <c r="AI789" s="32"/>
      <c r="AJ789" s="32"/>
      <c r="AK789" s="32"/>
      <c r="AL789" s="32"/>
      <c r="AM789" s="32"/>
      <c r="AN789" s="32"/>
      <c r="AO789" s="32"/>
      <c r="AP789" s="32"/>
      <c r="AQ789" s="32"/>
      <c r="AR789" s="32"/>
      <c r="AS789" s="32"/>
      <c r="AT789" s="32"/>
      <c r="AU789" s="32"/>
      <c r="AV789" s="32"/>
      <c r="AW789" s="32"/>
      <c r="AX789" s="32"/>
    </row>
    <row r="790">
      <c r="A790" s="32" t="str">
        <f>IFERROR(__xludf.DUMMYFUNCTION("""COMPUTED_VALUE"""),"Bonemerang")</f>
        <v>Bonemerang</v>
      </c>
      <c r="B790" s="32" t="str">
        <f>IFERROR(__xludf.DUMMYFUNCTION("""COMPUTED_VALUE"""),"Hand")</f>
        <v>Hand</v>
      </c>
      <c r="C790" s="32"/>
      <c r="D790" s="32" t="str">
        <f>IFERROR(__xludf.DUMMYFUNCTION("""COMPUTED_VALUE"""),"Boomerang")</f>
        <v>Boomerang</v>
      </c>
      <c r="E790" s="32">
        <f>IFERROR(__xludf.DUMMYFUNCTION("""COMPUTED_VALUE"""),5200.0)</f>
        <v>5200</v>
      </c>
      <c r="F790" s="44">
        <f>IFERROR(__xludf.DUMMYFUNCTION("""COMPUTED_VALUE"""),1.3494E9)</f>
        <v>1349400000</v>
      </c>
      <c r="G790" s="32" t="str">
        <f>IFERROR(__xludf.DUMMYFUNCTION("""COMPUTED_VALUE"""),"DMG")</f>
        <v>DMG</v>
      </c>
      <c r="H790" s="32">
        <f>IFERROR(__xludf.DUMMYFUNCTION("""COMPUTED_VALUE"""),250000.0)</f>
        <v>250000</v>
      </c>
      <c r="I790" s="32"/>
      <c r="J790" s="32"/>
      <c r="K790" s="32"/>
      <c r="L790" s="32"/>
      <c r="M790" s="32"/>
      <c r="N790" s="32"/>
      <c r="O790" s="32"/>
      <c r="P790" s="32"/>
      <c r="Q790" s="32"/>
      <c r="R790" s="32">
        <f>IFERROR(__xludf.DUMMYFUNCTION("""COMPUTED_VALUE"""),10000.0)</f>
        <v>10000</v>
      </c>
      <c r="S790" s="32"/>
      <c r="T790" s="32"/>
      <c r="U790" s="32"/>
      <c r="V790" s="32"/>
      <c r="W790" s="32"/>
      <c r="X790" s="32"/>
      <c r="Y790" s="32"/>
      <c r="Z790" s="32"/>
      <c r="AA790" s="32"/>
      <c r="AB790" s="32"/>
      <c r="AC790" s="32"/>
      <c r="AD790" s="32"/>
      <c r="AE790" s="32"/>
      <c r="AF790" s="32"/>
      <c r="AG790" s="32" t="str">
        <f>IFERROR(__xludf.DUMMYFUNCTION("""COMPUTED_VALUE"""),"Abstara")</f>
        <v>Abstara</v>
      </c>
      <c r="AH790" s="32" t="b">
        <f>IFERROR(__xludf.DUMMYFUNCTION("""COMPUTED_VALUE"""),FALSE)</f>
        <v>0</v>
      </c>
      <c r="AI790" s="32"/>
      <c r="AJ790" s="32"/>
      <c r="AK790" s="32"/>
      <c r="AL790" s="32"/>
      <c r="AM790" s="32"/>
      <c r="AN790" s="32"/>
      <c r="AO790" s="32"/>
      <c r="AP790" s="32"/>
      <c r="AQ790" s="32"/>
      <c r="AR790" s="32"/>
      <c r="AS790" s="32"/>
      <c r="AT790" s="32"/>
      <c r="AU790" s="32"/>
      <c r="AV790" s="32"/>
      <c r="AW790" s="32"/>
      <c r="AX790" s="32"/>
    </row>
    <row r="791">
      <c r="A791" s="32" t="str">
        <f>IFERROR(__xludf.DUMMYFUNCTION("""COMPUTED_VALUE"""),"Blamerang")</f>
        <v>Blamerang</v>
      </c>
      <c r="B791" s="32" t="str">
        <f>IFERROR(__xludf.DUMMYFUNCTION("""COMPUTED_VALUE"""),"Hand")</f>
        <v>Hand</v>
      </c>
      <c r="C791" s="32"/>
      <c r="D791" s="32" t="str">
        <f>IFERROR(__xludf.DUMMYFUNCTION("""COMPUTED_VALUE"""),"Boomerang")</f>
        <v>Boomerang</v>
      </c>
      <c r="E791" s="32">
        <f>IFERROR(__xludf.DUMMYFUNCTION("""COMPUTED_VALUE"""),4400.0)</f>
        <v>4400</v>
      </c>
      <c r="F791" s="44">
        <f>IFERROR(__xludf.DUMMYFUNCTION("""COMPUTED_VALUE"""),9.658E8)</f>
        <v>965800000</v>
      </c>
      <c r="G791" s="32" t="str">
        <f>IFERROR(__xludf.DUMMYFUNCTION("""COMPUTED_VALUE"""),"DMG")</f>
        <v>DMG</v>
      </c>
      <c r="H791" s="32">
        <f>IFERROR(__xludf.DUMMYFUNCTION("""COMPUTED_VALUE"""),20000.0)</f>
        <v>20000</v>
      </c>
      <c r="I791" s="32">
        <f>IFERROR(__xludf.DUMMYFUNCTION("""COMPUTED_VALUE"""),200000.0)</f>
        <v>200000</v>
      </c>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t="str">
        <f>IFERROR(__xludf.DUMMYFUNCTION("""COMPUTED_VALUE"""),"++Explodes when thrown at an enemy, hitting other enemies")</f>
        <v>++Explodes when thrown at an enemy, hitting other enemies</v>
      </c>
      <c r="AG791" s="32" t="str">
        <f>IFERROR(__xludf.DUMMYFUNCTION("""COMPUTED_VALUE"""),"Abstara")</f>
        <v>Abstara</v>
      </c>
      <c r="AH791" s="32" t="b">
        <f>IFERROR(__xludf.DUMMYFUNCTION("""COMPUTED_VALUE"""),FALSE)</f>
        <v>0</v>
      </c>
      <c r="AI791" s="32"/>
      <c r="AJ791" s="32"/>
      <c r="AK791" s="32"/>
      <c r="AL791" s="32"/>
      <c r="AM791" s="32"/>
      <c r="AN791" s="32"/>
      <c r="AO791" s="32"/>
      <c r="AP791" s="32"/>
      <c r="AQ791" s="32"/>
      <c r="AR791" s="32"/>
      <c r="AS791" s="32"/>
      <c r="AT791" s="32"/>
      <c r="AU791" s="32"/>
      <c r="AV791" s="32"/>
      <c r="AW791" s="32"/>
      <c r="AX791" s="32"/>
    </row>
    <row r="792">
      <c r="A792" s="32" t="str">
        <f>IFERROR(__xludf.DUMMYFUNCTION("""COMPUTED_VALUE"""),"Condemned Bow")</f>
        <v>Condemned Bow</v>
      </c>
      <c r="B792" s="32" t="str">
        <f>IFERROR(__xludf.DUMMYFUNCTION("""COMPUTED_VALUE"""),"Hand")</f>
        <v>Hand</v>
      </c>
      <c r="C792" s="32"/>
      <c r="D792" s="32" t="str">
        <f>IFERROR(__xludf.DUMMYFUNCTION("""COMPUTED_VALUE"""),"Bow")</f>
        <v>Bow</v>
      </c>
      <c r="E792" s="32">
        <f>IFERROR(__xludf.DUMMYFUNCTION("""COMPUTED_VALUE"""),6000.0)</f>
        <v>6000</v>
      </c>
      <c r="F792" s="44">
        <f>IFERROR(__xludf.DUMMYFUNCTION("""COMPUTED_VALUE"""),1.797E9)</f>
        <v>1797000000</v>
      </c>
      <c r="G792" s="32" t="str">
        <f>IFERROR(__xludf.DUMMYFUNCTION("""COMPUTED_VALUE"""),"DMG")</f>
        <v>DMG</v>
      </c>
      <c r="H792" s="32">
        <f>IFERROR(__xludf.DUMMYFUNCTION("""COMPUTED_VALUE"""),300000.0)</f>
        <v>300000</v>
      </c>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t="str">
        <f>IFERROR(__xludf.DUMMYFUNCTION("""COMPUTED_VALUE"""),"+-5% chance for the DM to take control of your turn")</f>
        <v>+-5% chance for the DM to take control of your turn</v>
      </c>
      <c r="AG792" s="32" t="str">
        <f>IFERROR(__xludf.DUMMYFUNCTION("""COMPUTED_VALUE"""),"Abstara")</f>
        <v>Abstara</v>
      </c>
      <c r="AH792" s="32" t="b">
        <f>IFERROR(__xludf.DUMMYFUNCTION("""COMPUTED_VALUE"""),FALSE)</f>
        <v>0</v>
      </c>
      <c r="AI792" s="32"/>
      <c r="AJ792" s="32"/>
      <c r="AK792" s="32"/>
      <c r="AL792" s="32"/>
      <c r="AM792" s="32"/>
      <c r="AN792" s="32"/>
      <c r="AO792" s="32"/>
      <c r="AP792" s="32"/>
      <c r="AQ792" s="32"/>
      <c r="AR792" s="32"/>
      <c r="AS792" s="32"/>
      <c r="AT792" s="32"/>
      <c r="AU792" s="32"/>
      <c r="AV792" s="32"/>
      <c r="AW792" s="32"/>
      <c r="AX792" s="32"/>
    </row>
    <row r="793">
      <c r="A793" s="32" t="str">
        <f>IFERROR(__xludf.DUMMYFUNCTION("""COMPUTED_VALUE"""),"Ancient Blacksmith's Soul In A Bottle")</f>
        <v>Ancient Blacksmith's Soul In A Bottle</v>
      </c>
      <c r="B793" s="32" t="str">
        <f>IFERROR(__xludf.DUMMYFUNCTION("""COMPUTED_VALUE"""),"Neck")</f>
        <v>Neck</v>
      </c>
      <c r="C793" s="32"/>
      <c r="D793" s="32" t="str">
        <f>IFERROR(__xludf.DUMMYFUNCTION("""COMPUTED_VALUE"""),"Item")</f>
        <v>Item</v>
      </c>
      <c r="E793" s="32">
        <f>IFERROR(__xludf.DUMMYFUNCTION("""COMPUTED_VALUE"""),1.0)</f>
        <v>1</v>
      </c>
      <c r="F793" s="44">
        <f>IFERROR(__xludf.DUMMYFUNCTION("""COMPUTED_VALUE"""),0.0)</f>
        <v>0</v>
      </c>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32" t="str">
        <f>IFERROR(__xludf.DUMMYFUNCTION("""COMPUTED_VALUE"""),"Dragonscale Island")</f>
        <v>Dragonscale Island</v>
      </c>
      <c r="AH793" s="32" t="b">
        <f>IFERROR(__xludf.DUMMYFUNCTION("""COMPUTED_VALUE"""),FALSE)</f>
        <v>0</v>
      </c>
      <c r="AI793" s="32"/>
      <c r="AJ793" s="32"/>
      <c r="AK793" s="32"/>
      <c r="AL793" s="32"/>
      <c r="AM793" s="32"/>
      <c r="AN793" s="32"/>
      <c r="AO793" s="32"/>
      <c r="AP793" s="32"/>
      <c r="AQ793" s="32"/>
      <c r="AR793" s="32"/>
      <c r="AS793" s="32"/>
      <c r="AT793" s="32"/>
      <c r="AU793" s="32"/>
      <c r="AV793" s="32"/>
      <c r="AW793" s="32"/>
      <c r="AX793" s="32"/>
    </row>
    <row r="794">
      <c r="A794" s="32" t="str">
        <f>IFERROR(__xludf.DUMMYFUNCTION("""COMPUTED_VALUE"""),"Ancient Breeder's Soul In A Bottle")</f>
        <v>Ancient Breeder's Soul In A Bottle</v>
      </c>
      <c r="B794" s="32" t="str">
        <f>IFERROR(__xludf.DUMMYFUNCTION("""COMPUTED_VALUE"""),"Neck")</f>
        <v>Neck</v>
      </c>
      <c r="C794" s="32"/>
      <c r="D794" s="32" t="str">
        <f>IFERROR(__xludf.DUMMYFUNCTION("""COMPUTED_VALUE"""),"Item")</f>
        <v>Item</v>
      </c>
      <c r="E794" s="32">
        <f>IFERROR(__xludf.DUMMYFUNCTION("""COMPUTED_VALUE"""),1.0)</f>
        <v>1</v>
      </c>
      <c r="F794" s="44">
        <f>IFERROR(__xludf.DUMMYFUNCTION("""COMPUTED_VALUE"""),0.0)</f>
        <v>0</v>
      </c>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t="str">
        <f>IFERROR(__xludf.DUMMYFUNCTION("""COMPUTED_VALUE"""),"++All creatures hatched from an egg deal X5 damage of all types.")</f>
        <v>++All creatures hatched from an egg deal X5 damage of all types.</v>
      </c>
      <c r="AG794" s="32" t="str">
        <f>IFERROR(__xludf.DUMMYFUNCTION("""COMPUTED_VALUE"""),"Dragonscale Island")</f>
        <v>Dragonscale Island</v>
      </c>
      <c r="AH794" s="32" t="b">
        <f>IFERROR(__xludf.DUMMYFUNCTION("""COMPUTED_VALUE"""),FALSE)</f>
        <v>0</v>
      </c>
      <c r="AI794" s="32"/>
      <c r="AJ794" s="32"/>
      <c r="AK794" s="32"/>
      <c r="AL794" s="32"/>
      <c r="AM794" s="32"/>
      <c r="AN794" s="32"/>
      <c r="AO794" s="32"/>
      <c r="AP794" s="32"/>
      <c r="AQ794" s="32"/>
      <c r="AR794" s="32"/>
      <c r="AS794" s="32"/>
      <c r="AT794" s="32"/>
      <c r="AU794" s="32"/>
      <c r="AV794" s="32"/>
      <c r="AW794" s="32"/>
      <c r="AX794" s="32"/>
    </row>
    <row r="795">
      <c r="A795" s="32" t="str">
        <f>IFERROR(__xludf.DUMMYFUNCTION("""COMPUTED_VALUE"""),"Ancient Crafter's Soul In A Bottle")</f>
        <v>Ancient Crafter's Soul In A Bottle</v>
      </c>
      <c r="B795" s="32" t="str">
        <f>IFERROR(__xludf.DUMMYFUNCTION("""COMPUTED_VALUE"""),"Neck")</f>
        <v>Neck</v>
      </c>
      <c r="C795" s="32"/>
      <c r="D795" s="32" t="str">
        <f>IFERROR(__xludf.DUMMYFUNCTION("""COMPUTED_VALUE"""),"Item")</f>
        <v>Item</v>
      </c>
      <c r="E795" s="32">
        <f>IFERROR(__xludf.DUMMYFUNCTION("""COMPUTED_VALUE"""),1.0)</f>
        <v>1</v>
      </c>
      <c r="F795" s="44">
        <f>IFERROR(__xludf.DUMMYFUNCTION("""COMPUTED_VALUE"""),0.0)</f>
        <v>0</v>
      </c>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t="str">
        <f>IFERROR(__xludf.DUMMYFUNCTION("""COMPUTED_VALUE"""),"++Triples all crafting materials gathered")</f>
        <v>++Triples all crafting materials gathered</v>
      </c>
      <c r="AG795" s="32" t="str">
        <f>IFERROR(__xludf.DUMMYFUNCTION("""COMPUTED_VALUE"""),"Dragonscale Island")</f>
        <v>Dragonscale Island</v>
      </c>
      <c r="AH795" s="32" t="b">
        <f>IFERROR(__xludf.DUMMYFUNCTION("""COMPUTED_VALUE"""),FALSE)</f>
        <v>0</v>
      </c>
      <c r="AI795" s="32"/>
      <c r="AJ795" s="32"/>
      <c r="AK795" s="32"/>
      <c r="AL795" s="32"/>
      <c r="AM795" s="32"/>
      <c r="AN795" s="32"/>
      <c r="AO795" s="32"/>
      <c r="AP795" s="32"/>
      <c r="AQ795" s="32"/>
      <c r="AR795" s="32"/>
      <c r="AS795" s="32"/>
      <c r="AT795" s="32"/>
      <c r="AU795" s="32"/>
      <c r="AV795" s="32"/>
      <c r="AW795" s="32"/>
      <c r="AX795" s="32"/>
    </row>
    <row r="796">
      <c r="A796" s="32" t="str">
        <f>IFERROR(__xludf.DUMMYFUNCTION("""COMPUTED_VALUE"""),"Ancient Alchemist's Soul In A Bottle")</f>
        <v>Ancient Alchemist's Soul In A Bottle</v>
      </c>
      <c r="B796" s="32" t="str">
        <f>IFERROR(__xludf.DUMMYFUNCTION("""COMPUTED_VALUE"""),"Neck")</f>
        <v>Neck</v>
      </c>
      <c r="C796" s="32"/>
      <c r="D796" s="32" t="str">
        <f>IFERROR(__xludf.DUMMYFUNCTION("""COMPUTED_VALUE"""),"Item")</f>
        <v>Item</v>
      </c>
      <c r="E796" s="32">
        <f>IFERROR(__xludf.DUMMYFUNCTION("""COMPUTED_VALUE"""),1.0)</f>
        <v>1</v>
      </c>
      <c r="F796" s="44">
        <f>IFERROR(__xludf.DUMMYFUNCTION("""COMPUTED_VALUE"""),0.0)</f>
        <v>0</v>
      </c>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t="str">
        <f>IFERROR(__xludf.DUMMYFUNCTION("""COMPUTED_VALUE"""),"++Doubles the effect of all herbs and potions")</f>
        <v>++Doubles the effect of all herbs and potions</v>
      </c>
      <c r="AG796" s="32" t="str">
        <f>IFERROR(__xludf.DUMMYFUNCTION("""COMPUTED_VALUE"""),"Dragonscale Island")</f>
        <v>Dragonscale Island</v>
      </c>
      <c r="AH796" s="32" t="b">
        <f>IFERROR(__xludf.DUMMYFUNCTION("""COMPUTED_VALUE"""),FALSE)</f>
        <v>0</v>
      </c>
      <c r="AI796" s="32"/>
      <c r="AJ796" s="32"/>
      <c r="AK796" s="32"/>
      <c r="AL796" s="32"/>
      <c r="AM796" s="32"/>
      <c r="AN796" s="32"/>
      <c r="AO796" s="32"/>
      <c r="AP796" s="32"/>
      <c r="AQ796" s="32"/>
      <c r="AR796" s="32"/>
      <c r="AS796" s="32"/>
      <c r="AT796" s="32"/>
      <c r="AU796" s="32"/>
      <c r="AV796" s="32"/>
      <c r="AW796" s="32"/>
      <c r="AX796" s="32"/>
    </row>
    <row r="797">
      <c r="A797" s="32" t="str">
        <f>IFERROR(__xludf.DUMMYFUNCTION("""COMPUTED_VALUE"""),"Ancient Farmer's Soul In A Bottle")</f>
        <v>Ancient Farmer's Soul In A Bottle</v>
      </c>
      <c r="B797" s="32" t="str">
        <f>IFERROR(__xludf.DUMMYFUNCTION("""COMPUTED_VALUE"""),"Neck")</f>
        <v>Neck</v>
      </c>
      <c r="C797" s="32"/>
      <c r="D797" s="32" t="str">
        <f>IFERROR(__xludf.DUMMYFUNCTION("""COMPUTED_VALUE"""),"Item")</f>
        <v>Item</v>
      </c>
      <c r="E797" s="32">
        <f>IFERROR(__xludf.DUMMYFUNCTION("""COMPUTED_VALUE"""),1.0)</f>
        <v>1</v>
      </c>
      <c r="F797" s="44">
        <f>IFERROR(__xludf.DUMMYFUNCTION("""COMPUTED_VALUE"""),0.0)</f>
        <v>0</v>
      </c>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t="str">
        <f>IFERROR(__xludf.DUMMYFUNCTION("""COMPUTED_VALUE"""),"++Doubles all items harvested from your farms")</f>
        <v>++Doubles all items harvested from your farms</v>
      </c>
      <c r="AG797" s="32" t="str">
        <f>IFERROR(__xludf.DUMMYFUNCTION("""COMPUTED_VALUE"""),"Dragonscale Island")</f>
        <v>Dragonscale Island</v>
      </c>
      <c r="AH797" s="32" t="b">
        <f>IFERROR(__xludf.DUMMYFUNCTION("""COMPUTED_VALUE"""),FALSE)</f>
        <v>0</v>
      </c>
      <c r="AI797" s="32"/>
      <c r="AJ797" s="32"/>
      <c r="AK797" s="32"/>
      <c r="AL797" s="32"/>
      <c r="AM797" s="32"/>
      <c r="AN797" s="32"/>
      <c r="AO797" s="32"/>
      <c r="AP797" s="32"/>
      <c r="AQ797" s="32"/>
      <c r="AR797" s="32"/>
      <c r="AS797" s="32"/>
      <c r="AT797" s="32"/>
      <c r="AU797" s="32"/>
      <c r="AV797" s="32"/>
      <c r="AW797" s="32"/>
      <c r="AX797" s="32"/>
    </row>
    <row r="798">
      <c r="A798" s="32" t="str">
        <f>IFERROR(__xludf.DUMMYFUNCTION("""COMPUTED_VALUE"""),"Ancient Chef's Soul In A Bottle")</f>
        <v>Ancient Chef's Soul In A Bottle</v>
      </c>
      <c r="B798" s="32" t="str">
        <f>IFERROR(__xludf.DUMMYFUNCTION("""COMPUTED_VALUE"""),"Neck")</f>
        <v>Neck</v>
      </c>
      <c r="C798" s="32"/>
      <c r="D798" s="32" t="str">
        <f>IFERROR(__xludf.DUMMYFUNCTION("""COMPUTED_VALUE"""),"Item")</f>
        <v>Item</v>
      </c>
      <c r="E798" s="32">
        <f>IFERROR(__xludf.DUMMYFUNCTION("""COMPUTED_VALUE"""),1.0)</f>
        <v>1</v>
      </c>
      <c r="F798" s="44">
        <f>IFERROR(__xludf.DUMMYFUNCTION("""COMPUTED_VALUE"""),0.0)</f>
        <v>0</v>
      </c>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t="str">
        <f>IFERROR(__xludf.DUMMYFUNCTION("""COMPUTED_VALUE"""),"++Doubles the effect of all food items cooked")</f>
        <v>++Doubles the effect of all food items cooked</v>
      </c>
      <c r="AG798" s="32" t="str">
        <f>IFERROR(__xludf.DUMMYFUNCTION("""COMPUTED_VALUE"""),"Dragonscale Island")</f>
        <v>Dragonscale Island</v>
      </c>
      <c r="AH798" s="32" t="b">
        <f>IFERROR(__xludf.DUMMYFUNCTION("""COMPUTED_VALUE"""),FALSE)</f>
        <v>0</v>
      </c>
      <c r="AI798" s="32"/>
      <c r="AJ798" s="32"/>
      <c r="AK798" s="32"/>
      <c r="AL798" s="32"/>
      <c r="AM798" s="32"/>
      <c r="AN798" s="32"/>
      <c r="AO798" s="32"/>
      <c r="AP798" s="32"/>
      <c r="AQ798" s="32"/>
      <c r="AR798" s="32"/>
      <c r="AS798" s="32"/>
      <c r="AT798" s="32"/>
      <c r="AU798" s="32"/>
      <c r="AV798" s="32"/>
      <c r="AW798" s="32"/>
      <c r="AX798" s="32"/>
    </row>
    <row r="799">
      <c r="A799" s="32" t="str">
        <f>IFERROR(__xludf.DUMMYFUNCTION("""COMPUTED_VALUE"""),"Ancient Miner's Soul In A Bottle")</f>
        <v>Ancient Miner's Soul In A Bottle</v>
      </c>
      <c r="B799" s="32" t="str">
        <f>IFERROR(__xludf.DUMMYFUNCTION("""COMPUTED_VALUE"""),"Neck")</f>
        <v>Neck</v>
      </c>
      <c r="C799" s="32"/>
      <c r="D799" s="32" t="str">
        <f>IFERROR(__xludf.DUMMYFUNCTION("""COMPUTED_VALUE"""),"Item")</f>
        <v>Item</v>
      </c>
      <c r="E799" s="32">
        <f>IFERROR(__xludf.DUMMYFUNCTION("""COMPUTED_VALUE"""),1.0)</f>
        <v>1</v>
      </c>
      <c r="F799" s="44">
        <f>IFERROR(__xludf.DUMMYFUNCTION("""COMPUTED_VALUE"""),0.0)</f>
        <v>0</v>
      </c>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t="str">
        <f>IFERROR(__xludf.DUMMYFUNCTION("""COMPUTED_VALUE"""),"++Doubles all minerals obtained while mining")</f>
        <v>++Doubles all minerals obtained while mining</v>
      </c>
      <c r="AG799" s="32" t="str">
        <f>IFERROR(__xludf.DUMMYFUNCTION("""COMPUTED_VALUE"""),"Dragonscale Island")</f>
        <v>Dragonscale Island</v>
      </c>
      <c r="AH799" s="32" t="b">
        <f>IFERROR(__xludf.DUMMYFUNCTION("""COMPUTED_VALUE"""),FALSE)</f>
        <v>0</v>
      </c>
      <c r="AI799" s="32"/>
      <c r="AJ799" s="32"/>
      <c r="AK799" s="32"/>
      <c r="AL799" s="32"/>
      <c r="AM799" s="32"/>
      <c r="AN799" s="32"/>
      <c r="AO799" s="32"/>
      <c r="AP799" s="32"/>
      <c r="AQ799" s="32"/>
      <c r="AR799" s="32"/>
      <c r="AS799" s="32"/>
      <c r="AT799" s="32"/>
      <c r="AU799" s="32"/>
      <c r="AV799" s="32"/>
      <c r="AW799" s="32"/>
      <c r="AX799" s="32"/>
    </row>
    <row r="800">
      <c r="A800" s="32" t="str">
        <f>IFERROR(__xludf.DUMMYFUNCTION("""COMPUTED_VALUE"""),"Ancient Spira Guard's Soul In A Bottle")</f>
        <v>Ancient Spira Guard's Soul In A Bottle</v>
      </c>
      <c r="B800" s="32" t="str">
        <f>IFERROR(__xludf.DUMMYFUNCTION("""COMPUTED_VALUE"""),"Neck")</f>
        <v>Neck</v>
      </c>
      <c r="C800" s="32"/>
      <c r="D800" s="32" t="str">
        <f>IFERROR(__xludf.DUMMYFUNCTION("""COMPUTED_VALUE"""),"Item")</f>
        <v>Item</v>
      </c>
      <c r="E800" s="32">
        <f>IFERROR(__xludf.DUMMYFUNCTION("""COMPUTED_VALUE"""),1.0)</f>
        <v>1</v>
      </c>
      <c r="F800" s="44">
        <f>IFERROR(__xludf.DUMMYFUNCTION("""COMPUTED_VALUE"""),0.0)</f>
        <v>0</v>
      </c>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t="str">
        <f>IFERROR(__xludf.DUMMYFUNCTION("""COMPUTED_VALUE"""),"++Add +5 to all rolls to arrest")</f>
        <v>++Add +5 to all rolls to arrest</v>
      </c>
      <c r="AG800" s="32" t="str">
        <f>IFERROR(__xludf.DUMMYFUNCTION("""COMPUTED_VALUE"""),"Dragonscale Island")</f>
        <v>Dragonscale Island</v>
      </c>
      <c r="AH800" s="32" t="b">
        <f>IFERROR(__xludf.DUMMYFUNCTION("""COMPUTED_VALUE"""),FALSE)</f>
        <v>0</v>
      </c>
      <c r="AI800" s="32"/>
      <c r="AJ800" s="32"/>
      <c r="AK800" s="32"/>
      <c r="AL800" s="32"/>
      <c r="AM800" s="32"/>
      <c r="AN800" s="32"/>
      <c r="AO800" s="32"/>
      <c r="AP800" s="32"/>
      <c r="AQ800" s="32"/>
      <c r="AR800" s="32"/>
      <c r="AS800" s="32"/>
      <c r="AT800" s="32"/>
      <c r="AU800" s="32"/>
      <c r="AV800" s="32"/>
      <c r="AW800" s="32"/>
      <c r="AX800" s="32"/>
    </row>
    <row r="801">
      <c r="A801" s="32" t="str">
        <f>IFERROR(__xludf.DUMMYFUNCTION("""COMPUTED_VALUE"""),"Ancient Fisherman's Soul In A Bottle")</f>
        <v>Ancient Fisherman's Soul In A Bottle</v>
      </c>
      <c r="B801" s="32" t="str">
        <f>IFERROR(__xludf.DUMMYFUNCTION("""COMPUTED_VALUE"""),"Neck")</f>
        <v>Neck</v>
      </c>
      <c r="C801" s="32"/>
      <c r="D801" s="32" t="str">
        <f>IFERROR(__xludf.DUMMYFUNCTION("""COMPUTED_VALUE"""),"Item")</f>
        <v>Item</v>
      </c>
      <c r="E801" s="32">
        <f>IFERROR(__xludf.DUMMYFUNCTION("""COMPUTED_VALUE"""),1.0)</f>
        <v>1</v>
      </c>
      <c r="F801" s="44">
        <f>IFERROR(__xludf.DUMMYFUNCTION("""COMPUTED_VALUE"""),0.0)</f>
        <v>0</v>
      </c>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t="str">
        <f>IFERROR(__xludf.DUMMYFUNCTION("""COMPUTED_VALUE"""),"++Doubles all fish obtained while fishing")</f>
        <v>++Doubles all fish obtained while fishing</v>
      </c>
      <c r="AG801" s="32" t="str">
        <f>IFERROR(__xludf.DUMMYFUNCTION("""COMPUTED_VALUE"""),"Dragonscale Island")</f>
        <v>Dragonscale Island</v>
      </c>
      <c r="AH801" s="32" t="b">
        <f>IFERROR(__xludf.DUMMYFUNCTION("""COMPUTED_VALUE"""),FALSE)</f>
        <v>0</v>
      </c>
      <c r="AI801" s="32"/>
      <c r="AJ801" s="32"/>
      <c r="AK801" s="32"/>
      <c r="AL801" s="32"/>
      <c r="AM801" s="32"/>
      <c r="AN801" s="32"/>
      <c r="AO801" s="32"/>
      <c r="AP801" s="32"/>
      <c r="AQ801" s="32"/>
      <c r="AR801" s="32"/>
      <c r="AS801" s="32"/>
      <c r="AT801" s="32"/>
      <c r="AU801" s="32"/>
      <c r="AV801" s="32"/>
      <c r="AW801" s="32"/>
      <c r="AX801" s="32"/>
    </row>
    <row r="802">
      <c r="A802" s="32" t="str">
        <f>IFERROR(__xludf.DUMMYFUNCTION("""COMPUTED_VALUE"""),"The Thumper")</f>
        <v>The Thumper</v>
      </c>
      <c r="B802" s="32" t="str">
        <f>IFERROR(__xludf.DUMMYFUNCTION("""COMPUTED_VALUE"""),"Hand")</f>
        <v>Hand</v>
      </c>
      <c r="C802" s="32"/>
      <c r="D802" s="32" t="str">
        <f>IFERROR(__xludf.DUMMYFUNCTION("""COMPUTED_VALUE"""),"Firearm")</f>
        <v>Firearm</v>
      </c>
      <c r="E802" s="32">
        <f>IFERROR(__xludf.DUMMYFUNCTION("""COMPUTED_VALUE"""),200.0)</f>
        <v>200</v>
      </c>
      <c r="F802" s="44">
        <f>IFERROR(__xludf.DUMMYFUNCTION("""COMPUTED_VALUE"""),1900000.0)</f>
        <v>1900000</v>
      </c>
      <c r="G802" s="32" t="str">
        <f>IFERROR(__xludf.DUMMYFUNCTION("""COMPUTED_VALUE"""),"Dmg")</f>
        <v>Dmg</v>
      </c>
      <c r="H802" s="32">
        <f>IFERROR(__xludf.DUMMYFUNCTION("""COMPUTED_VALUE"""),5000.0)</f>
        <v>5000</v>
      </c>
      <c r="I802" s="32"/>
      <c r="J802" s="32">
        <f>IFERROR(__xludf.DUMMYFUNCTION("""COMPUTED_VALUE"""),5000.0)</f>
        <v>5000</v>
      </c>
      <c r="K802" s="32"/>
      <c r="L802" s="32"/>
      <c r="M802" s="32"/>
      <c r="N802" s="32"/>
      <c r="O802" s="32"/>
      <c r="P802" s="32"/>
      <c r="Q802" s="32"/>
      <c r="R802" s="32"/>
      <c r="S802" s="32"/>
      <c r="T802" s="32"/>
      <c r="U802" s="32"/>
      <c r="V802" s="32"/>
      <c r="W802" s="32"/>
      <c r="X802" s="32"/>
      <c r="Y802" s="32"/>
      <c r="Z802" s="32"/>
      <c r="AA802" s="32"/>
      <c r="AB802" s="32"/>
      <c r="AC802" s="32"/>
      <c r="AD802" s="32"/>
      <c r="AE802" s="32"/>
      <c r="AF802" s="32" t="str">
        <f>IFERROR(__xludf.DUMMYFUNCTION("""COMPUTED_VALUE"""),"++Fires 3 Grenades, +-Uses Grenades as Ammo +-Cannot Be Forged or Duplicated")</f>
        <v>++Fires 3 Grenades, +-Uses Grenades as Ammo +-Cannot Be Forged or Duplicated</v>
      </c>
      <c r="AG802" s="32" t="str">
        <f>IFERROR(__xludf.DUMMYFUNCTION("""COMPUTED_VALUE"""),"Land of Spira")</f>
        <v>Land of Spira</v>
      </c>
      <c r="AH802" s="32" t="b">
        <f>IFERROR(__xludf.DUMMYFUNCTION("""COMPUTED_VALUE"""),FALSE)</f>
        <v>0</v>
      </c>
      <c r="AI802" s="32"/>
      <c r="AJ802" s="32"/>
      <c r="AK802" s="32"/>
      <c r="AL802" s="32"/>
      <c r="AM802" s="32"/>
      <c r="AN802" s="32"/>
      <c r="AO802" s="32"/>
      <c r="AP802" s="32"/>
      <c r="AQ802" s="32"/>
      <c r="AR802" s="32"/>
      <c r="AS802" s="32"/>
      <c r="AT802" s="32"/>
      <c r="AU802" s="32"/>
      <c r="AV802" s="32"/>
      <c r="AW802" s="32"/>
      <c r="AX802" s="32"/>
    </row>
    <row r="803">
      <c r="A803" s="32" t="str">
        <f>IFERROR(__xludf.DUMMYFUNCTION("""COMPUTED_VALUE"""),"Undead King's Sword")</f>
        <v>Undead King's Sword</v>
      </c>
      <c r="B803" s="32" t="str">
        <f>IFERROR(__xludf.DUMMYFUNCTION("""COMPUTED_VALUE"""),"Hand")</f>
        <v>Hand</v>
      </c>
      <c r="C803" s="32"/>
      <c r="D803" s="32" t="str">
        <f>IFERROR(__xludf.DUMMYFUNCTION("""COMPUTED_VALUE"""),"Sword")</f>
        <v>Sword</v>
      </c>
      <c r="E803" s="32">
        <f>IFERROR(__xludf.DUMMYFUNCTION("""COMPUTED_VALUE"""),1.0)</f>
        <v>1</v>
      </c>
      <c r="F803" s="44">
        <f>IFERROR(__xludf.DUMMYFUNCTION("""COMPUTED_VALUE"""),0.0)</f>
        <v>0</v>
      </c>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t="str">
        <f>IFERROR(__xludf.DUMMYFUNCTION("""COMPUTED_VALUE"""),"Land of Spira")</f>
        <v>Land of Spira</v>
      </c>
      <c r="AH803" s="32" t="b">
        <f>IFERROR(__xludf.DUMMYFUNCTION("""COMPUTED_VALUE"""),TRUE)</f>
        <v>1</v>
      </c>
      <c r="AI803" s="32"/>
      <c r="AJ803" s="32"/>
      <c r="AK803" s="32"/>
      <c r="AL803" s="32"/>
      <c r="AM803" s="32"/>
      <c r="AN803" s="32"/>
      <c r="AO803" s="32"/>
      <c r="AP803" s="32"/>
      <c r="AQ803" s="32"/>
      <c r="AR803" s="32"/>
      <c r="AS803" s="32"/>
      <c r="AT803" s="32"/>
      <c r="AU803" s="32"/>
      <c r="AV803" s="32"/>
      <c r="AW803" s="32"/>
      <c r="AX803" s="32"/>
    </row>
    <row r="804">
      <c r="A804" s="32" t="str">
        <f>IFERROR(__xludf.DUMMYFUNCTION("""COMPUTED_VALUE"""),"Trapper's Monocle")</f>
        <v>Trapper's Monocle</v>
      </c>
      <c r="B804" s="32" t="str">
        <f>IFERROR(__xludf.DUMMYFUNCTION("""COMPUTED_VALUE"""),"Head")</f>
        <v>Head</v>
      </c>
      <c r="C804" s="32"/>
      <c r="D804" s="32" t="str">
        <f>IFERROR(__xludf.DUMMYFUNCTION("""COMPUTED_VALUE"""),"Item")</f>
        <v>Item</v>
      </c>
      <c r="E804" s="32">
        <f>IFERROR(__xludf.DUMMYFUNCTION("""COMPUTED_VALUE"""),1.0)</f>
        <v>1</v>
      </c>
      <c r="F804" s="44">
        <f>IFERROR(__xludf.DUMMYFUNCTION("""COMPUTED_VALUE"""),0.0)</f>
        <v>0</v>
      </c>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t="str">
        <f>IFERROR(__xludf.DUMMYFUNCTION("""COMPUTED_VALUE"""),"++5 to any roll to disarm or avoid a trap.")</f>
        <v>++5 to any roll to disarm or avoid a trap.</v>
      </c>
      <c r="AG804" s="32" t="str">
        <f>IFERROR(__xludf.DUMMYFUNCTION("""COMPUTED_VALUE"""),"Dragonscale Island")</f>
        <v>Dragonscale Island</v>
      </c>
      <c r="AH804" s="32" t="b">
        <f>IFERROR(__xludf.DUMMYFUNCTION("""COMPUTED_VALUE"""),FALSE)</f>
        <v>0</v>
      </c>
      <c r="AI804" s="32"/>
      <c r="AJ804" s="32"/>
      <c r="AK804" s="32"/>
      <c r="AL804" s="32"/>
      <c r="AM804" s="32"/>
      <c r="AN804" s="32"/>
      <c r="AO804" s="32"/>
      <c r="AP804" s="32"/>
      <c r="AQ804" s="32"/>
      <c r="AR804" s="32"/>
      <c r="AS804" s="32"/>
      <c r="AT804" s="32"/>
      <c r="AU804" s="32"/>
      <c r="AV804" s="32"/>
      <c r="AW804" s="32"/>
      <c r="AX804" s="32"/>
    </row>
    <row r="805">
      <c r="A805" s="32" t="str">
        <f>IFERROR(__xludf.DUMMYFUNCTION("""COMPUTED_VALUE"""),"Dragon's Dogma")</f>
        <v>Dragon's Dogma</v>
      </c>
      <c r="B805" s="32" t="str">
        <f>IFERROR(__xludf.DUMMYFUNCTION("""COMPUTED_VALUE"""),"Hand")</f>
        <v>Hand</v>
      </c>
      <c r="C805" s="32"/>
      <c r="D805" s="32" t="str">
        <f>IFERROR(__xludf.DUMMYFUNCTION("""COMPUTED_VALUE"""),"Sword")</f>
        <v>Sword</v>
      </c>
      <c r="E805" s="32">
        <f>IFERROR(__xludf.DUMMYFUNCTION("""COMPUTED_VALUE"""),200.0)</f>
        <v>200</v>
      </c>
      <c r="F805" s="44">
        <f>IFERROR(__xludf.DUMMYFUNCTION("""COMPUTED_VALUE"""),1.797E9)</f>
        <v>1797000000</v>
      </c>
      <c r="G805" s="32" t="str">
        <f>IFERROR(__xludf.DUMMYFUNCTION("""COMPUTED_VALUE"""),"DMG")</f>
        <v>DMG</v>
      </c>
      <c r="H805" s="32">
        <f>IFERROR(__xludf.DUMMYFUNCTION("""COMPUTED_VALUE"""),250000.0)</f>
        <v>250000</v>
      </c>
      <c r="I805" s="32"/>
      <c r="J805" s="32"/>
      <c r="K805" s="32"/>
      <c r="L805" s="32"/>
      <c r="M805" s="32"/>
      <c r="N805" s="32"/>
      <c r="O805" s="32"/>
      <c r="P805" s="32"/>
      <c r="Q805" s="32"/>
      <c r="R805" s="32"/>
      <c r="S805" s="32"/>
      <c r="T805" s="32"/>
      <c r="U805" s="32"/>
      <c r="V805" s="32"/>
      <c r="W805" s="32"/>
      <c r="X805" s="32"/>
      <c r="Y805" s="32"/>
      <c r="Z805" s="32"/>
      <c r="AA805" s="32"/>
      <c r="AB805" s="32"/>
      <c r="AC805" s="32">
        <f>IFERROR(__xludf.DUMMYFUNCTION("""COMPUTED_VALUE"""),50000.0)</f>
        <v>50000</v>
      </c>
      <c r="AD805" s="32"/>
      <c r="AE805" s="32"/>
      <c r="AF805" s="32" t="str">
        <f>IFERROR(__xludf.DUMMYFUNCTION("""COMPUTED_VALUE"""),"TBD")</f>
        <v>TBD</v>
      </c>
      <c r="AG805" s="32" t="str">
        <f>IFERROR(__xludf.DUMMYFUNCTION("""COMPUTED_VALUE"""),"Dragonscale Island")</f>
        <v>Dragonscale Island</v>
      </c>
      <c r="AH805" s="32" t="b">
        <f>IFERROR(__xludf.DUMMYFUNCTION("""COMPUTED_VALUE"""),TRUE)</f>
        <v>1</v>
      </c>
      <c r="AI805" s="32"/>
      <c r="AJ805" s="32"/>
      <c r="AK805" s="32"/>
      <c r="AL805" s="32"/>
      <c r="AM805" s="32"/>
      <c r="AN805" s="32"/>
      <c r="AO805" s="32"/>
      <c r="AP805" s="32"/>
      <c r="AQ805" s="32"/>
      <c r="AR805" s="32"/>
      <c r="AS805" s="32"/>
      <c r="AT805" s="32"/>
      <c r="AU805" s="32"/>
      <c r="AV805" s="32"/>
      <c r="AW805" s="32"/>
      <c r="AX805" s="32"/>
    </row>
    <row r="806">
      <c r="A806" s="32" t="str">
        <f>IFERROR(__xludf.DUMMYFUNCTION("""COMPUTED_VALUE"""),"Dragon's Dread")</f>
        <v>Dragon's Dread</v>
      </c>
      <c r="B806" s="32" t="str">
        <f>IFERROR(__xludf.DUMMYFUNCTION("""COMPUTED_VALUE"""),"Hand")</f>
        <v>Hand</v>
      </c>
      <c r="C806" s="32"/>
      <c r="D806" s="32" t="str">
        <f>IFERROR(__xludf.DUMMYFUNCTION("""COMPUTED_VALUE"""),"Bow")</f>
        <v>Bow</v>
      </c>
      <c r="E806" s="32">
        <f>IFERROR(__xludf.DUMMYFUNCTION("""COMPUTED_VALUE"""),200.0)</f>
        <v>200</v>
      </c>
      <c r="F806" s="44">
        <f>IFERROR(__xludf.DUMMYFUNCTION("""COMPUTED_VALUE"""),7.194E9)</f>
        <v>7194000000</v>
      </c>
      <c r="G806" s="32" t="str">
        <f>IFERROR(__xludf.DUMMYFUNCTION("""COMPUTED_VALUE"""),"DMG")</f>
        <v>DMG</v>
      </c>
      <c r="H806" s="32">
        <f>IFERROR(__xludf.DUMMYFUNCTION("""COMPUTED_VALUE"""),50000.0)</f>
        <v>50000</v>
      </c>
      <c r="I806" s="32">
        <f>IFERROR(__xludf.DUMMYFUNCTION("""COMPUTED_VALUE"""),50000.0)</f>
        <v>50000</v>
      </c>
      <c r="J806" s="32"/>
      <c r="K806" s="32">
        <f>IFERROR(__xludf.DUMMYFUNCTION("""COMPUTED_VALUE"""),50000.0)</f>
        <v>50000</v>
      </c>
      <c r="L806" s="32">
        <f>IFERROR(__xludf.DUMMYFUNCTION("""COMPUTED_VALUE"""),50000.0)</f>
        <v>50000</v>
      </c>
      <c r="M806" s="32">
        <f>IFERROR(__xludf.DUMMYFUNCTION("""COMPUTED_VALUE"""),50000.0)</f>
        <v>50000</v>
      </c>
      <c r="N806" s="32">
        <f>IFERROR(__xludf.DUMMYFUNCTION("""COMPUTED_VALUE"""),50000.0)</f>
        <v>50000</v>
      </c>
      <c r="O806" s="32">
        <f>IFERROR(__xludf.DUMMYFUNCTION("""COMPUTED_VALUE"""),50000.0)</f>
        <v>50000</v>
      </c>
      <c r="P806" s="32"/>
      <c r="Q806" s="32">
        <f>IFERROR(__xludf.DUMMYFUNCTION("""COMPUTED_VALUE"""),50000.0)</f>
        <v>50000</v>
      </c>
      <c r="R806" s="32">
        <f>IFERROR(__xludf.DUMMYFUNCTION("""COMPUTED_VALUE"""),50000.0)</f>
        <v>50000</v>
      </c>
      <c r="S806" s="32">
        <f>IFERROR(__xludf.DUMMYFUNCTION("""COMPUTED_VALUE"""),50000.0)</f>
        <v>50000</v>
      </c>
      <c r="T806" s="32"/>
      <c r="U806" s="32"/>
      <c r="V806" s="32"/>
      <c r="W806" s="32"/>
      <c r="X806" s="32"/>
      <c r="Y806" s="32"/>
      <c r="Z806" s="32">
        <f>IFERROR(__xludf.DUMMYFUNCTION("""COMPUTED_VALUE"""),50000.0)</f>
        <v>50000</v>
      </c>
      <c r="AA806" s="32"/>
      <c r="AB806" s="32"/>
      <c r="AC806" s="32">
        <f>IFERROR(__xludf.DUMMYFUNCTION("""COMPUTED_VALUE"""),50000.0)</f>
        <v>50000</v>
      </c>
      <c r="AD806" s="32"/>
      <c r="AE806" s="32"/>
      <c r="AF806" s="32" t="str">
        <f>IFERROR(__xludf.DUMMYFUNCTION("""COMPUTED_VALUE"""),"TBD")</f>
        <v>TBD</v>
      </c>
      <c r="AG806" s="32" t="str">
        <f>IFERROR(__xludf.DUMMYFUNCTION("""COMPUTED_VALUE"""),"Dragonscale Island")</f>
        <v>Dragonscale Island</v>
      </c>
      <c r="AH806" s="32" t="b">
        <f>IFERROR(__xludf.DUMMYFUNCTION("""COMPUTED_VALUE"""),TRUE)</f>
        <v>1</v>
      </c>
      <c r="AI806" s="32"/>
      <c r="AJ806" s="32"/>
      <c r="AK806" s="32"/>
      <c r="AL806" s="32"/>
      <c r="AM806" s="32"/>
      <c r="AN806" s="32"/>
      <c r="AO806" s="32"/>
      <c r="AP806" s="32"/>
      <c r="AQ806" s="32"/>
      <c r="AR806" s="32"/>
      <c r="AS806" s="32"/>
      <c r="AT806" s="32"/>
      <c r="AU806" s="32"/>
      <c r="AV806" s="32"/>
      <c r="AW806" s="32"/>
      <c r="AX806" s="32"/>
    </row>
    <row r="807">
      <c r="A807" s="32" t="str">
        <f>IFERROR(__xludf.DUMMYFUNCTION("""COMPUTED_VALUE"""),"Dragon's Dream Breaker")</f>
        <v>Dragon's Dream Breaker</v>
      </c>
      <c r="B807" s="32" t="str">
        <f>IFERROR(__xludf.DUMMYFUNCTION("""COMPUTED_VALUE"""),"Hand")</f>
        <v>Hand</v>
      </c>
      <c r="C807" s="32"/>
      <c r="D807" s="32" t="str">
        <f>IFERROR(__xludf.DUMMYFUNCTION("""COMPUTED_VALUE"""),"Claw")</f>
        <v>Claw</v>
      </c>
      <c r="E807" s="32">
        <f>IFERROR(__xludf.DUMMYFUNCTION("""COMPUTED_VALUE"""),200.0)</f>
        <v>200</v>
      </c>
      <c r="F807" s="44">
        <f>IFERROR(__xludf.DUMMYFUNCTION("""COMPUTED_VALUE"""),2.8788E10)</f>
        <v>28788000000</v>
      </c>
      <c r="G807" s="32" t="str">
        <f>IFERROR(__xludf.DUMMYFUNCTION("""COMPUTED_VALUE"""),"DMG")</f>
        <v>DMG</v>
      </c>
      <c r="H807" s="32">
        <f>IFERROR(__xludf.DUMMYFUNCTION("""COMPUTED_VALUE"""),600000.0)</f>
        <v>600000</v>
      </c>
      <c r="I807" s="32"/>
      <c r="J807" s="32"/>
      <c r="K807" s="32"/>
      <c r="L807" s="32"/>
      <c r="M807" s="32"/>
      <c r="N807" s="32"/>
      <c r="O807" s="32"/>
      <c r="P807" s="32"/>
      <c r="Q807" s="32"/>
      <c r="R807" s="32"/>
      <c r="S807" s="32"/>
      <c r="T807" s="32"/>
      <c r="U807" s="32"/>
      <c r="V807" s="32"/>
      <c r="W807" s="32"/>
      <c r="X807" s="32"/>
      <c r="Y807" s="32"/>
      <c r="Z807" s="32"/>
      <c r="AA807" s="32"/>
      <c r="AB807" s="32"/>
      <c r="AC807" s="32">
        <f>IFERROR(__xludf.DUMMYFUNCTION("""COMPUTED_VALUE"""),600000.0)</f>
        <v>600000</v>
      </c>
      <c r="AD807" s="32"/>
      <c r="AE807" s="32"/>
      <c r="AF807" s="32" t="str">
        <f>IFERROR(__xludf.DUMMYFUNCTION("""COMPUTED_VALUE"""),"TBD")</f>
        <v>TBD</v>
      </c>
      <c r="AG807" s="32" t="str">
        <f>IFERROR(__xludf.DUMMYFUNCTION("""COMPUTED_VALUE"""),"Dragonscale Island")</f>
        <v>Dragonscale Island</v>
      </c>
      <c r="AH807" s="32" t="b">
        <f>IFERROR(__xludf.DUMMYFUNCTION("""COMPUTED_VALUE"""),TRUE)</f>
        <v>1</v>
      </c>
      <c r="AI807" s="32"/>
      <c r="AJ807" s="32"/>
      <c r="AK807" s="32"/>
      <c r="AL807" s="32"/>
      <c r="AM807" s="32"/>
      <c r="AN807" s="32"/>
      <c r="AO807" s="32"/>
      <c r="AP807" s="32"/>
      <c r="AQ807" s="32"/>
      <c r="AR807" s="32"/>
      <c r="AS807" s="32"/>
      <c r="AT807" s="32"/>
      <c r="AU807" s="32"/>
      <c r="AV807" s="32"/>
      <c r="AW807" s="32"/>
      <c r="AX807" s="32"/>
    </row>
    <row r="808">
      <c r="A808" s="32" t="str">
        <f>IFERROR(__xludf.DUMMYFUNCTION("""COMPUTED_VALUE"""),"Dragon's Draught")</f>
        <v>Dragon's Draught</v>
      </c>
      <c r="B808" s="32" t="str">
        <f>IFERROR(__xludf.DUMMYFUNCTION("""COMPUTED_VALUE"""),"Hand")</f>
        <v>Hand</v>
      </c>
      <c r="C808" s="32"/>
      <c r="D808" s="32" t="str">
        <f>IFERROR(__xludf.DUMMYFUNCTION("""COMPUTED_VALUE"""),"Staff")</f>
        <v>Staff</v>
      </c>
      <c r="E808" s="32">
        <f>IFERROR(__xludf.DUMMYFUNCTION("""COMPUTED_VALUE"""),1.0)</f>
        <v>1</v>
      </c>
      <c r="F808" s="44">
        <f>IFERROR(__xludf.DUMMYFUNCTION("""COMPUTED_VALUE"""),0.0)</f>
        <v>0</v>
      </c>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t="str">
        <f>IFERROR(__xludf.DUMMYFUNCTION("""COMPUTED_VALUE"""),"TBD")</f>
        <v>TBD</v>
      </c>
      <c r="AG808" s="32" t="str">
        <f>IFERROR(__xludf.DUMMYFUNCTION("""COMPUTED_VALUE"""),"Dragonscale Island")</f>
        <v>Dragonscale Island</v>
      </c>
      <c r="AH808" s="32" t="b">
        <f>IFERROR(__xludf.DUMMYFUNCTION("""COMPUTED_VALUE"""),TRUE)</f>
        <v>1</v>
      </c>
      <c r="AI808" s="32"/>
      <c r="AJ808" s="32"/>
      <c r="AK808" s="32"/>
      <c r="AL808" s="32"/>
      <c r="AM808" s="32"/>
      <c r="AN808" s="32"/>
      <c r="AO808" s="32"/>
      <c r="AP808" s="32"/>
      <c r="AQ808" s="32"/>
      <c r="AR808" s="32"/>
      <c r="AS808" s="32"/>
      <c r="AT808" s="32"/>
      <c r="AU808" s="32"/>
      <c r="AV808" s="32"/>
      <c r="AW808" s="32"/>
      <c r="AX808" s="32"/>
    </row>
    <row r="809">
      <c r="A809" s="32" t="str">
        <f>IFERROR(__xludf.DUMMYFUNCTION("""COMPUTED_VALUE"""),"Dragon's Damnation")</f>
        <v>Dragon's Damnation</v>
      </c>
      <c r="B809" s="32" t="str">
        <f>IFERROR(__xludf.DUMMYFUNCTION("""COMPUTED_VALUE"""),"Hand")</f>
        <v>Hand</v>
      </c>
      <c r="C809" s="32"/>
      <c r="D809" s="32" t="str">
        <f>IFERROR(__xludf.DUMMYFUNCTION("""COMPUTED_VALUE"""),"Gauntlet")</f>
        <v>Gauntlet</v>
      </c>
      <c r="E809" s="32">
        <f>IFERROR(__xludf.DUMMYFUNCTION("""COMPUTED_VALUE"""),200.0)</f>
        <v>200</v>
      </c>
      <c r="F809" s="44">
        <f>IFERROR(__xludf.DUMMYFUNCTION("""COMPUTED_VALUE"""),2.8788E10)</f>
        <v>28788000000</v>
      </c>
      <c r="G809" s="32" t="str">
        <f>IFERROR(__xludf.DUMMYFUNCTION("""COMPUTED_VALUE"""),"DEF")</f>
        <v>DEF</v>
      </c>
      <c r="H809" s="32">
        <f>IFERROR(__xludf.DUMMYFUNCTION("""COMPUTED_VALUE"""),100000.0)</f>
        <v>100000</v>
      </c>
      <c r="I809" s="32">
        <f>IFERROR(__xludf.DUMMYFUNCTION("""COMPUTED_VALUE"""),100000.0)</f>
        <v>100000</v>
      </c>
      <c r="J809" s="32"/>
      <c r="K809" s="32">
        <f>IFERROR(__xludf.DUMMYFUNCTION("""COMPUTED_VALUE"""),100000.0)</f>
        <v>100000</v>
      </c>
      <c r="L809" s="32">
        <f>IFERROR(__xludf.DUMMYFUNCTION("""COMPUTED_VALUE"""),100000.0)</f>
        <v>100000</v>
      </c>
      <c r="M809" s="32">
        <f>IFERROR(__xludf.DUMMYFUNCTION("""COMPUTED_VALUE"""),100000.0)</f>
        <v>100000</v>
      </c>
      <c r="N809" s="32">
        <f>IFERROR(__xludf.DUMMYFUNCTION("""COMPUTED_VALUE"""),100000.0)</f>
        <v>100000</v>
      </c>
      <c r="O809" s="32">
        <f>IFERROR(__xludf.DUMMYFUNCTION("""COMPUTED_VALUE"""),100000.0)</f>
        <v>100000</v>
      </c>
      <c r="P809" s="32"/>
      <c r="Q809" s="32">
        <f>IFERROR(__xludf.DUMMYFUNCTION("""COMPUTED_VALUE"""),100000.0)</f>
        <v>100000</v>
      </c>
      <c r="R809" s="32">
        <f>IFERROR(__xludf.DUMMYFUNCTION("""COMPUTED_VALUE"""),100000.0)</f>
        <v>100000</v>
      </c>
      <c r="S809" s="32">
        <f>IFERROR(__xludf.DUMMYFUNCTION("""COMPUTED_VALUE"""),100000.0)</f>
        <v>100000</v>
      </c>
      <c r="T809" s="32"/>
      <c r="U809" s="32"/>
      <c r="V809" s="32"/>
      <c r="W809" s="32"/>
      <c r="X809" s="32"/>
      <c r="Y809" s="32"/>
      <c r="Z809" s="32">
        <f>IFERROR(__xludf.DUMMYFUNCTION("""COMPUTED_VALUE"""),100000.0)</f>
        <v>100000</v>
      </c>
      <c r="AA809" s="32"/>
      <c r="AB809" s="32"/>
      <c r="AC809" s="32">
        <f>IFERROR(__xludf.DUMMYFUNCTION("""COMPUTED_VALUE"""),100000.0)</f>
        <v>100000</v>
      </c>
      <c r="AD809" s="32"/>
      <c r="AE809" s="32"/>
      <c r="AF809" s="32" t="str">
        <f>IFERROR(__xludf.DUMMYFUNCTION("""COMPUTED_VALUE"""),"TBD")</f>
        <v>TBD</v>
      </c>
      <c r="AG809" s="32" t="str">
        <f>IFERROR(__xludf.DUMMYFUNCTION("""COMPUTED_VALUE"""),"Dragonscale Island")</f>
        <v>Dragonscale Island</v>
      </c>
      <c r="AH809" s="32" t="b">
        <f>IFERROR(__xludf.DUMMYFUNCTION("""COMPUTED_VALUE"""),TRUE)</f>
        <v>1</v>
      </c>
      <c r="AI809" s="32"/>
      <c r="AJ809" s="32"/>
      <c r="AK809" s="32"/>
      <c r="AL809" s="32"/>
      <c r="AM809" s="32"/>
      <c r="AN809" s="32"/>
      <c r="AO809" s="32"/>
      <c r="AP809" s="32"/>
      <c r="AQ809" s="32"/>
      <c r="AR809" s="32"/>
      <c r="AS809" s="32"/>
      <c r="AT809" s="32"/>
      <c r="AU809" s="32"/>
      <c r="AV809" s="32"/>
      <c r="AW809" s="32"/>
      <c r="AX809" s="32"/>
    </row>
    <row r="810">
      <c r="A810" s="32" t="str">
        <f>IFERROR(__xludf.DUMMYFUNCTION("""COMPUTED_VALUE"""),"Dragon's Destruction")</f>
        <v>Dragon's Destruction</v>
      </c>
      <c r="B810" s="32" t="str">
        <f>IFERROR(__xludf.DUMMYFUNCTION("""COMPUTED_VALUE"""),"Hand")</f>
        <v>Hand</v>
      </c>
      <c r="C810" s="32"/>
      <c r="D810" s="32" t="str">
        <f>IFERROR(__xludf.DUMMYFUNCTION("""COMPUTED_VALUE"""),"Spear")</f>
        <v>Spear</v>
      </c>
      <c r="E810" s="32">
        <f>IFERROR(__xludf.DUMMYFUNCTION("""COMPUTED_VALUE"""),200.0)</f>
        <v>200</v>
      </c>
      <c r="F810" s="44">
        <f>IFERROR(__xludf.DUMMYFUNCTION("""COMPUTED_VALUE"""),2.8788E10)</f>
        <v>28788000000</v>
      </c>
      <c r="G810" s="32" t="str">
        <f>IFERROR(__xludf.DUMMYFUNCTION("""COMPUTED_VALUE"""),"DMG")</f>
        <v>DMG</v>
      </c>
      <c r="H810" s="32">
        <f>IFERROR(__xludf.DUMMYFUNCTION("""COMPUTED_VALUE"""),400000.0)</f>
        <v>400000</v>
      </c>
      <c r="I810" s="32">
        <f>IFERROR(__xludf.DUMMYFUNCTION("""COMPUTED_VALUE"""),100000.0)</f>
        <v>100000</v>
      </c>
      <c r="J810" s="32"/>
      <c r="K810" s="32">
        <f>IFERROR(__xludf.DUMMYFUNCTION("""COMPUTED_VALUE"""),100000.0)</f>
        <v>100000</v>
      </c>
      <c r="L810" s="32">
        <f>IFERROR(__xludf.DUMMYFUNCTION("""COMPUTED_VALUE"""),100000.0)</f>
        <v>100000</v>
      </c>
      <c r="M810" s="32">
        <f>IFERROR(__xludf.DUMMYFUNCTION("""COMPUTED_VALUE"""),100000.0)</f>
        <v>100000</v>
      </c>
      <c r="N810" s="32">
        <f>IFERROR(__xludf.DUMMYFUNCTION("""COMPUTED_VALUE"""),150000.0)</f>
        <v>150000</v>
      </c>
      <c r="O810" s="32">
        <f>IFERROR(__xludf.DUMMYFUNCTION("""COMPUTED_VALUE"""),150000.0)</f>
        <v>150000</v>
      </c>
      <c r="P810" s="32">
        <f>IFERROR(__xludf.DUMMYFUNCTION("""COMPUTED_VALUE"""),100000.0)</f>
        <v>100000</v>
      </c>
      <c r="Q810" s="32">
        <f>IFERROR(__xludf.DUMMYFUNCTION("""COMPUTED_VALUE"""),150000.0)</f>
        <v>150000</v>
      </c>
      <c r="R810" s="32">
        <f>IFERROR(__xludf.DUMMYFUNCTION("""COMPUTED_VALUE"""),150000.0)</f>
        <v>150000</v>
      </c>
      <c r="S810" s="32">
        <f>IFERROR(__xludf.DUMMYFUNCTION("""COMPUTED_VALUE"""),100000.0)</f>
        <v>100000</v>
      </c>
      <c r="T810" s="32"/>
      <c r="U810" s="32"/>
      <c r="V810" s="32"/>
      <c r="W810" s="32"/>
      <c r="X810" s="32">
        <f>IFERROR(__xludf.DUMMYFUNCTION("""COMPUTED_VALUE"""),100000.0)</f>
        <v>100000</v>
      </c>
      <c r="Y810" s="32">
        <f>IFERROR(__xludf.DUMMYFUNCTION("""COMPUTED_VALUE"""),100000.0)</f>
        <v>100000</v>
      </c>
      <c r="Z810" s="32">
        <f>IFERROR(__xludf.DUMMYFUNCTION("""COMPUTED_VALUE"""),100000.0)</f>
        <v>100000</v>
      </c>
      <c r="AA810" s="32">
        <f>IFERROR(__xludf.DUMMYFUNCTION("""COMPUTED_VALUE"""),100000.0)</f>
        <v>100000</v>
      </c>
      <c r="AB810" s="32">
        <f>IFERROR(__xludf.DUMMYFUNCTION("""COMPUTED_VALUE"""),100000.0)</f>
        <v>100000</v>
      </c>
      <c r="AC810" s="32">
        <f>IFERROR(__xludf.DUMMYFUNCTION("""COMPUTED_VALUE"""),100000.0)</f>
        <v>100000</v>
      </c>
      <c r="AD810" s="32">
        <f>IFERROR(__xludf.DUMMYFUNCTION("""COMPUTED_VALUE"""),100000.0)</f>
        <v>100000</v>
      </c>
      <c r="AE810" s="32">
        <f>IFERROR(__xludf.DUMMYFUNCTION("""COMPUTED_VALUE"""),100000.0)</f>
        <v>100000</v>
      </c>
      <c r="AF810" s="32" t="str">
        <f>IFERROR(__xludf.DUMMYFUNCTION("""COMPUTED_VALUE"""),"TBD")</f>
        <v>TBD</v>
      </c>
      <c r="AG810" s="32" t="str">
        <f>IFERROR(__xludf.DUMMYFUNCTION("""COMPUTED_VALUE"""),"Dragonscale Island")</f>
        <v>Dragonscale Island</v>
      </c>
      <c r="AH810" s="32" t="b">
        <f>IFERROR(__xludf.DUMMYFUNCTION("""COMPUTED_VALUE"""),TRUE)</f>
        <v>1</v>
      </c>
      <c r="AI810" s="32"/>
      <c r="AJ810" s="32"/>
      <c r="AK810" s="32"/>
      <c r="AL810" s="32"/>
      <c r="AM810" s="32"/>
      <c r="AN810" s="32"/>
      <c r="AO810" s="32"/>
      <c r="AP810" s="32"/>
      <c r="AQ810" s="32"/>
      <c r="AR810" s="32"/>
      <c r="AS810" s="32"/>
      <c r="AT810" s="32"/>
      <c r="AU810" s="32"/>
      <c r="AV810" s="32"/>
      <c r="AW810" s="32"/>
      <c r="AX810" s="32"/>
    </row>
    <row r="811">
      <c r="A811" s="32" t="str">
        <f>IFERROR(__xludf.DUMMYFUNCTION("""COMPUTED_VALUE"""),"Confining Collar")</f>
        <v>Confining Collar</v>
      </c>
      <c r="B811" s="32" t="str">
        <f>IFERROR(__xludf.DUMMYFUNCTION("""COMPUTED_VALUE"""),"Neck")</f>
        <v>Neck</v>
      </c>
      <c r="C811" s="3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32" t="str">
        <f>IFERROR(__xludf.DUMMYFUNCTION("""COMPUTED_VALUE"""),"Item")</f>
        <v>Item</v>
      </c>
      <c r="E811" s="32">
        <f>IFERROR(__xludf.DUMMYFUNCTION("""COMPUTED_VALUE"""),100.0)</f>
        <v>100</v>
      </c>
      <c r="F811" s="44">
        <f>IFERROR(__xludf.DUMMYFUNCTION("""COMPUTED_VALUE"""),450000.0)</f>
        <v>450000</v>
      </c>
      <c r="G811" s="32" t="str">
        <f>IFERROR(__xludf.DUMMYFUNCTION("""COMPUTED_VALUE"""),"DEF")</f>
        <v>DEF</v>
      </c>
      <c r="H811" s="32">
        <f>IFERROR(__xludf.DUMMYFUNCTION("""COMPUTED_VALUE"""),5000.0)</f>
        <v>5000</v>
      </c>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t="str">
        <f>IFERROR(__xludf.DUMMYFUNCTION("""COMPUTED_VALUE"""),"+-5 to all rolls, +-Upon being worn can only be removed after 15 days of travel")</f>
        <v>+-5 to all rolls, +-Upon being worn can only be removed after 15 days of travel</v>
      </c>
      <c r="AG811" s="32" t="str">
        <f>IFERROR(__xludf.DUMMYFUNCTION("""COMPUTED_VALUE"""),"Dragonscale Island")</f>
        <v>Dragonscale Island</v>
      </c>
      <c r="AH811" s="32" t="b">
        <f>IFERROR(__xludf.DUMMYFUNCTION("""COMPUTED_VALUE"""),FALSE)</f>
        <v>0</v>
      </c>
      <c r="AI811" s="32"/>
      <c r="AJ811" s="32"/>
      <c r="AK811" s="32"/>
      <c r="AL811" s="32"/>
      <c r="AM811" s="32"/>
      <c r="AN811" s="32"/>
      <c r="AO811" s="32"/>
      <c r="AP811" s="32"/>
      <c r="AQ811" s="32"/>
      <c r="AR811" s="32"/>
      <c r="AS811" s="32"/>
      <c r="AT811" s="32"/>
      <c r="AU811" s="32"/>
      <c r="AV811" s="32"/>
      <c r="AW811" s="32"/>
      <c r="AX811" s="32"/>
    </row>
    <row r="812">
      <c r="A812" s="32" t="str">
        <f>IFERROR(__xludf.DUMMYFUNCTION("""COMPUTED_VALUE"""),"Shiv")</f>
        <v>Shiv</v>
      </c>
      <c r="B812" s="32" t="str">
        <f>IFERROR(__xludf.DUMMYFUNCTION("""COMPUTED_VALUE"""),"Hand")</f>
        <v>Hand</v>
      </c>
      <c r="C812" s="32"/>
      <c r="D812" s="32" t="str">
        <f>IFERROR(__xludf.DUMMYFUNCTION("""COMPUTED_VALUE"""),"Knife")</f>
        <v>Knife</v>
      </c>
      <c r="E812" s="32">
        <f>IFERROR(__xludf.DUMMYFUNCTION("""COMPUTED_VALUE"""),4000.0)</f>
        <v>4000</v>
      </c>
      <c r="F812" s="44">
        <f>IFERROR(__xludf.DUMMYFUNCTION("""COMPUTED_VALUE"""),7.98E8)</f>
        <v>798000000</v>
      </c>
      <c r="G812" s="32" t="str">
        <f>IFERROR(__xludf.DUMMYFUNCTION("""COMPUTED_VALUE"""),"DMG")</f>
        <v>DMG</v>
      </c>
      <c r="H812" s="32">
        <f>IFERROR(__xludf.DUMMYFUNCTION("""COMPUTED_VALUE"""),200000.0)</f>
        <v>200000</v>
      </c>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t="str">
        <f>IFERROR(__xludf.DUMMYFUNCTION("""COMPUTED_VALUE"""),"++has a 5% chance to give a random disease to any creature hit with this weapon.")</f>
        <v>++has a 5% chance to give a random disease to any creature hit with this weapon.</v>
      </c>
      <c r="AG812" s="32" t="str">
        <f>IFERROR(__xludf.DUMMYFUNCTION("""COMPUTED_VALUE"""),"Dragonscale Island")</f>
        <v>Dragonscale Island</v>
      </c>
      <c r="AH812" s="32" t="b">
        <f>IFERROR(__xludf.DUMMYFUNCTION("""COMPUTED_VALUE"""),FALSE)</f>
        <v>0</v>
      </c>
      <c r="AI812" s="32"/>
      <c r="AJ812" s="32"/>
      <c r="AK812" s="32"/>
      <c r="AL812" s="32"/>
      <c r="AM812" s="32"/>
      <c r="AN812" s="32"/>
      <c r="AO812" s="32"/>
      <c r="AP812" s="32"/>
      <c r="AQ812" s="32"/>
      <c r="AR812" s="32"/>
      <c r="AS812" s="32"/>
      <c r="AT812" s="32"/>
      <c r="AU812" s="32"/>
      <c r="AV812" s="32"/>
      <c r="AW812" s="32"/>
      <c r="AX812" s="32"/>
    </row>
    <row r="813">
      <c r="A813" s="32" t="str">
        <f>IFERROR(__xludf.DUMMYFUNCTION("""COMPUTED_VALUE"""),"Inmate's Cap")</f>
        <v>Inmate's Cap</v>
      </c>
      <c r="B813" s="32" t="str">
        <f>IFERROR(__xludf.DUMMYFUNCTION("""COMPUTED_VALUE"""),"Head")</f>
        <v>Head</v>
      </c>
      <c r="C813" s="32"/>
      <c r="D813" s="32" t="str">
        <f>IFERROR(__xludf.DUMMYFUNCTION("""COMPUTED_VALUE"""),"Item")</f>
        <v>Item</v>
      </c>
      <c r="E813" s="32">
        <f>IFERROR(__xludf.DUMMYFUNCTION("""COMPUTED_VALUE"""),2000.0)</f>
        <v>2000</v>
      </c>
      <c r="F813" s="44">
        <f>IFERROR(__xludf.DUMMYFUNCTION("""COMPUTED_VALUE"""),1.99E8)</f>
        <v>199000000</v>
      </c>
      <c r="G813" s="32" t="str">
        <f>IFERROR(__xludf.DUMMYFUNCTION("""COMPUTED_VALUE"""),"DEF")</f>
        <v>DEF</v>
      </c>
      <c r="H813" s="32">
        <f>IFERROR(__xludf.DUMMYFUNCTION("""COMPUTED_VALUE"""),100000.0)</f>
        <v>100000</v>
      </c>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t="str">
        <f>IFERROR(__xludf.DUMMYFUNCTION("""COMPUTED_VALUE"""),"++has a 5% chance to avoid beng arrested without fail.")</f>
        <v>++has a 5% chance to avoid beng arrested without fail.</v>
      </c>
      <c r="AG813" s="32" t="str">
        <f>IFERROR(__xludf.DUMMYFUNCTION("""COMPUTED_VALUE"""),"Dragonscale Island")</f>
        <v>Dragonscale Island</v>
      </c>
      <c r="AH813" s="32" t="b">
        <f>IFERROR(__xludf.DUMMYFUNCTION("""COMPUTED_VALUE"""),FALSE)</f>
        <v>0</v>
      </c>
      <c r="AI813" s="32"/>
      <c r="AJ813" s="32"/>
      <c r="AK813" s="32"/>
      <c r="AL813" s="32"/>
      <c r="AM813" s="32"/>
      <c r="AN813" s="32"/>
      <c r="AO813" s="32"/>
      <c r="AP813" s="32"/>
      <c r="AQ813" s="32"/>
      <c r="AR813" s="32"/>
      <c r="AS813" s="32"/>
      <c r="AT813" s="32"/>
      <c r="AU813" s="32"/>
      <c r="AV813" s="32"/>
      <c r="AW813" s="32"/>
      <c r="AX813" s="32"/>
    </row>
    <row r="814">
      <c r="A814" s="32" t="str">
        <f>IFERROR(__xludf.DUMMYFUNCTION("""COMPUTED_VALUE"""),"Inmate's Shirt")</f>
        <v>Inmate's Shirt</v>
      </c>
      <c r="B814" s="32" t="str">
        <f>IFERROR(__xludf.DUMMYFUNCTION("""COMPUTED_VALUE"""),"Torso")</f>
        <v>Torso</v>
      </c>
      <c r="C814" s="32"/>
      <c r="D814" s="32" t="str">
        <f>IFERROR(__xludf.DUMMYFUNCTION("""COMPUTED_VALUE"""),"Item")</f>
        <v>Item</v>
      </c>
      <c r="E814" s="32">
        <f>IFERROR(__xludf.DUMMYFUNCTION("""COMPUTED_VALUE"""),2000.0)</f>
        <v>2000</v>
      </c>
      <c r="F814" s="44">
        <f>IFERROR(__xludf.DUMMYFUNCTION("""COMPUTED_VALUE"""),1.99E8)</f>
        <v>199000000</v>
      </c>
      <c r="G814" s="32" t="str">
        <f>IFERROR(__xludf.DUMMYFUNCTION("""COMPUTED_VALUE"""),"DEF")</f>
        <v>DEF</v>
      </c>
      <c r="H814" s="32">
        <f>IFERROR(__xludf.DUMMYFUNCTION("""COMPUTED_VALUE"""),100000.0)</f>
        <v>100000</v>
      </c>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t="str">
        <f>IFERROR(__xludf.DUMMYFUNCTION("""COMPUTED_VALUE"""),"++has a 5% chance to avoid beng arrested without fail.")</f>
        <v>++has a 5% chance to avoid beng arrested without fail.</v>
      </c>
      <c r="AG814" s="32" t="str">
        <f>IFERROR(__xludf.DUMMYFUNCTION("""COMPUTED_VALUE"""),"Dragonscale Island")</f>
        <v>Dragonscale Island</v>
      </c>
      <c r="AH814" s="32" t="b">
        <f>IFERROR(__xludf.DUMMYFUNCTION("""COMPUTED_VALUE"""),FALSE)</f>
        <v>0</v>
      </c>
      <c r="AI814" s="32"/>
      <c r="AJ814" s="32"/>
      <c r="AK814" s="32"/>
      <c r="AL814" s="32"/>
      <c r="AM814" s="32"/>
      <c r="AN814" s="32"/>
      <c r="AO814" s="32"/>
      <c r="AP814" s="32"/>
      <c r="AQ814" s="32"/>
      <c r="AR814" s="32"/>
      <c r="AS814" s="32"/>
      <c r="AT814" s="32"/>
      <c r="AU814" s="32"/>
      <c r="AV814" s="32"/>
      <c r="AW814" s="32"/>
      <c r="AX814" s="32"/>
    </row>
    <row r="815">
      <c r="A815" s="32" t="str">
        <f>IFERROR(__xludf.DUMMYFUNCTION("""COMPUTED_VALUE"""),"Inmate's Pants")</f>
        <v>Inmate's Pants</v>
      </c>
      <c r="B815" s="32" t="str">
        <f>IFERROR(__xludf.DUMMYFUNCTION("""COMPUTED_VALUE"""),"Legs")</f>
        <v>Legs</v>
      </c>
      <c r="C815" s="32"/>
      <c r="D815" s="32" t="str">
        <f>IFERROR(__xludf.DUMMYFUNCTION("""COMPUTED_VALUE"""),"Item")</f>
        <v>Item</v>
      </c>
      <c r="E815" s="32">
        <f>IFERROR(__xludf.DUMMYFUNCTION("""COMPUTED_VALUE"""),2000.0)</f>
        <v>2000</v>
      </c>
      <c r="F815" s="44">
        <f>IFERROR(__xludf.DUMMYFUNCTION("""COMPUTED_VALUE"""),1.99E8)</f>
        <v>199000000</v>
      </c>
      <c r="G815" s="32" t="str">
        <f>IFERROR(__xludf.DUMMYFUNCTION("""COMPUTED_VALUE"""),"DEF")</f>
        <v>DEF</v>
      </c>
      <c r="H815" s="32">
        <f>IFERROR(__xludf.DUMMYFUNCTION("""COMPUTED_VALUE"""),100000.0)</f>
        <v>100000</v>
      </c>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t="str">
        <f>IFERROR(__xludf.DUMMYFUNCTION("""COMPUTED_VALUE"""),"++has a 5% chance to avoid beng arrested without fail.")</f>
        <v>++has a 5% chance to avoid beng arrested without fail.</v>
      </c>
      <c r="AG815" s="32" t="str">
        <f>IFERROR(__xludf.DUMMYFUNCTION("""COMPUTED_VALUE"""),"Dragonscale Island")</f>
        <v>Dragonscale Island</v>
      </c>
      <c r="AH815" s="32" t="b">
        <f>IFERROR(__xludf.DUMMYFUNCTION("""COMPUTED_VALUE"""),FALSE)</f>
        <v>0</v>
      </c>
      <c r="AI815" s="32"/>
      <c r="AJ815" s="32"/>
      <c r="AK815" s="32"/>
      <c r="AL815" s="32"/>
      <c r="AM815" s="32"/>
      <c r="AN815" s="32"/>
      <c r="AO815" s="32"/>
      <c r="AP815" s="32"/>
      <c r="AQ815" s="32"/>
      <c r="AR815" s="32"/>
      <c r="AS815" s="32"/>
      <c r="AT815" s="32"/>
      <c r="AU815" s="32"/>
      <c r="AV815" s="32"/>
      <c r="AW815" s="32"/>
      <c r="AX815" s="32"/>
    </row>
    <row r="816">
      <c r="A816" s="32" t="str">
        <f>IFERROR(__xludf.DUMMYFUNCTION("""COMPUTED_VALUE"""),"Warden's Cap")</f>
        <v>Warden's Cap</v>
      </c>
      <c r="B816" s="32" t="str">
        <f>IFERROR(__xludf.DUMMYFUNCTION("""COMPUTED_VALUE"""),"Head")</f>
        <v>Head</v>
      </c>
      <c r="C816" s="32"/>
      <c r="D816" s="32" t="str">
        <f>IFERROR(__xludf.DUMMYFUNCTION("""COMPUTED_VALUE"""),"Item")</f>
        <v>Item</v>
      </c>
      <c r="E816" s="32">
        <f>IFERROR(__xludf.DUMMYFUNCTION("""COMPUTED_VALUE"""),2000.0)</f>
        <v>2000</v>
      </c>
      <c r="F816" s="44">
        <f>IFERROR(__xludf.DUMMYFUNCTION("""COMPUTED_VALUE"""),1.99E8)</f>
        <v>199000000</v>
      </c>
      <c r="G816" s="32" t="str">
        <f>IFERROR(__xludf.DUMMYFUNCTION("""COMPUTED_VALUE"""),"DEF")</f>
        <v>DEF</v>
      </c>
      <c r="H816" s="32">
        <f>IFERROR(__xludf.DUMMYFUNCTION("""COMPUTED_VALUE"""),100000.0)</f>
        <v>100000</v>
      </c>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t="str">
        <f>IFERROR(__xludf.DUMMYFUNCTION("""COMPUTED_VALUE"""),"++X2 Damage with Clubs")</f>
        <v>++X2 Damage with Clubs</v>
      </c>
      <c r="AG816" s="32" t="str">
        <f>IFERROR(__xludf.DUMMYFUNCTION("""COMPUTED_VALUE"""),"Dragonscale Island")</f>
        <v>Dragonscale Island</v>
      </c>
      <c r="AH816" s="32" t="b">
        <f>IFERROR(__xludf.DUMMYFUNCTION("""COMPUTED_VALUE"""),FALSE)</f>
        <v>0</v>
      </c>
      <c r="AI816" s="32"/>
      <c r="AJ816" s="32"/>
      <c r="AK816" s="32"/>
      <c r="AL816" s="32"/>
      <c r="AM816" s="32"/>
      <c r="AN816" s="32"/>
      <c r="AO816" s="32"/>
      <c r="AP816" s="32"/>
      <c r="AQ816" s="32"/>
      <c r="AR816" s="32"/>
      <c r="AS816" s="32"/>
      <c r="AT816" s="32"/>
      <c r="AU816" s="32"/>
      <c r="AV816" s="32"/>
      <c r="AW816" s="32"/>
      <c r="AX816" s="32"/>
    </row>
    <row r="817">
      <c r="A817" s="32" t="str">
        <f>IFERROR(__xludf.DUMMYFUNCTION("""COMPUTED_VALUE"""),"Warden's Shirt")</f>
        <v>Warden's Shirt</v>
      </c>
      <c r="B817" s="32" t="str">
        <f>IFERROR(__xludf.DUMMYFUNCTION("""COMPUTED_VALUE"""),"Torso")</f>
        <v>Torso</v>
      </c>
      <c r="C817" s="32"/>
      <c r="D817" s="32" t="str">
        <f>IFERROR(__xludf.DUMMYFUNCTION("""COMPUTED_VALUE"""),"Item")</f>
        <v>Item</v>
      </c>
      <c r="E817" s="32">
        <f>IFERROR(__xludf.DUMMYFUNCTION("""COMPUTED_VALUE"""),2000.0)</f>
        <v>2000</v>
      </c>
      <c r="F817" s="44">
        <f>IFERROR(__xludf.DUMMYFUNCTION("""COMPUTED_VALUE"""),1.99E8)</f>
        <v>199000000</v>
      </c>
      <c r="G817" s="32" t="str">
        <f>IFERROR(__xludf.DUMMYFUNCTION("""COMPUTED_VALUE"""),"DEF")</f>
        <v>DEF</v>
      </c>
      <c r="H817" s="32">
        <f>IFERROR(__xludf.DUMMYFUNCTION("""COMPUTED_VALUE"""),100000.0)</f>
        <v>100000</v>
      </c>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t="str">
        <f>IFERROR(__xludf.DUMMYFUNCTION("""COMPUTED_VALUE"""),"++X2 Damage with Clubs")</f>
        <v>++X2 Damage with Clubs</v>
      </c>
      <c r="AG817" s="32" t="str">
        <f>IFERROR(__xludf.DUMMYFUNCTION("""COMPUTED_VALUE"""),"Dragonscale Island")</f>
        <v>Dragonscale Island</v>
      </c>
      <c r="AH817" s="32" t="b">
        <f>IFERROR(__xludf.DUMMYFUNCTION("""COMPUTED_VALUE"""),FALSE)</f>
        <v>0</v>
      </c>
      <c r="AI817" s="32"/>
      <c r="AJ817" s="32"/>
      <c r="AK817" s="32"/>
      <c r="AL817" s="32"/>
      <c r="AM817" s="32"/>
      <c r="AN817" s="32"/>
      <c r="AO817" s="32"/>
      <c r="AP817" s="32"/>
      <c r="AQ817" s="32"/>
      <c r="AR817" s="32"/>
      <c r="AS817" s="32"/>
      <c r="AT817" s="32"/>
      <c r="AU817" s="32"/>
      <c r="AV817" s="32"/>
      <c r="AW817" s="32"/>
      <c r="AX817" s="32"/>
    </row>
    <row r="818">
      <c r="A818" s="32" t="str">
        <f>IFERROR(__xludf.DUMMYFUNCTION("""COMPUTED_VALUE"""),"Warden's Pants")</f>
        <v>Warden's Pants</v>
      </c>
      <c r="B818" s="32" t="str">
        <f>IFERROR(__xludf.DUMMYFUNCTION("""COMPUTED_VALUE"""),"Legs")</f>
        <v>Legs</v>
      </c>
      <c r="C818" s="32"/>
      <c r="D818" s="32" t="str">
        <f>IFERROR(__xludf.DUMMYFUNCTION("""COMPUTED_VALUE"""),"Item")</f>
        <v>Item</v>
      </c>
      <c r="E818" s="32">
        <f>IFERROR(__xludf.DUMMYFUNCTION("""COMPUTED_VALUE"""),2000.0)</f>
        <v>2000</v>
      </c>
      <c r="F818" s="44">
        <f>IFERROR(__xludf.DUMMYFUNCTION("""COMPUTED_VALUE"""),1.99E8)</f>
        <v>199000000</v>
      </c>
      <c r="G818" s="32" t="str">
        <f>IFERROR(__xludf.DUMMYFUNCTION("""COMPUTED_VALUE"""),"DEF")</f>
        <v>DEF</v>
      </c>
      <c r="H818" s="32">
        <f>IFERROR(__xludf.DUMMYFUNCTION("""COMPUTED_VALUE"""),100000.0)</f>
        <v>100000</v>
      </c>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t="str">
        <f>IFERROR(__xludf.DUMMYFUNCTION("""COMPUTED_VALUE"""),"++X2 Damage with Clubs")</f>
        <v>++X2 Damage with Clubs</v>
      </c>
      <c r="AG818" s="32" t="str">
        <f>IFERROR(__xludf.DUMMYFUNCTION("""COMPUTED_VALUE"""),"Dragonscale Island")</f>
        <v>Dragonscale Island</v>
      </c>
      <c r="AH818" s="32" t="b">
        <f>IFERROR(__xludf.DUMMYFUNCTION("""COMPUTED_VALUE"""),FALSE)</f>
        <v>0</v>
      </c>
      <c r="AI818" s="32"/>
      <c r="AJ818" s="32"/>
      <c r="AK818" s="32"/>
      <c r="AL818" s="32"/>
      <c r="AM818" s="32"/>
      <c r="AN818" s="32"/>
      <c r="AO818" s="32"/>
      <c r="AP818" s="32"/>
      <c r="AQ818" s="32"/>
      <c r="AR818" s="32"/>
      <c r="AS818" s="32"/>
      <c r="AT818" s="32"/>
      <c r="AU818" s="32"/>
      <c r="AV818" s="32"/>
      <c r="AW818" s="32"/>
      <c r="AX818" s="32"/>
    </row>
    <row r="819">
      <c r="A819" s="32" t="str">
        <f>IFERROR(__xludf.DUMMYFUNCTION("""COMPUTED_VALUE"""),"Warden's Boots")</f>
        <v>Warden's Boots</v>
      </c>
      <c r="B819" s="32" t="str">
        <f>IFERROR(__xludf.DUMMYFUNCTION("""COMPUTED_VALUE"""),"Feet")</f>
        <v>Feet</v>
      </c>
      <c r="C819" s="32"/>
      <c r="D819" s="32" t="str">
        <f>IFERROR(__xludf.DUMMYFUNCTION("""COMPUTED_VALUE"""),"Item")</f>
        <v>Item</v>
      </c>
      <c r="E819" s="32">
        <f>IFERROR(__xludf.DUMMYFUNCTION("""COMPUTED_VALUE"""),2000.0)</f>
        <v>2000</v>
      </c>
      <c r="F819" s="44">
        <f>IFERROR(__xludf.DUMMYFUNCTION("""COMPUTED_VALUE"""),1.99E8)</f>
        <v>199000000</v>
      </c>
      <c r="G819" s="32" t="str">
        <f>IFERROR(__xludf.DUMMYFUNCTION("""COMPUTED_VALUE"""),"DEF")</f>
        <v>DEF</v>
      </c>
      <c r="H819" s="32">
        <f>IFERROR(__xludf.DUMMYFUNCTION("""COMPUTED_VALUE"""),100000.0)</f>
        <v>100000</v>
      </c>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t="str">
        <f>IFERROR(__xludf.DUMMYFUNCTION("""COMPUTED_VALUE"""),"++X2 Damage with Clubs")</f>
        <v>++X2 Damage with Clubs</v>
      </c>
      <c r="AG819" s="32" t="str">
        <f>IFERROR(__xludf.DUMMYFUNCTION("""COMPUTED_VALUE"""),"Dragonscale Island")</f>
        <v>Dragonscale Island</v>
      </c>
      <c r="AH819" s="32" t="b">
        <f>IFERROR(__xludf.DUMMYFUNCTION("""COMPUTED_VALUE"""),FALSE)</f>
        <v>0</v>
      </c>
      <c r="AI819" s="32"/>
      <c r="AJ819" s="32"/>
      <c r="AK819" s="32"/>
      <c r="AL819" s="32"/>
      <c r="AM819" s="32"/>
      <c r="AN819" s="32"/>
      <c r="AO819" s="32"/>
      <c r="AP819" s="32"/>
      <c r="AQ819" s="32"/>
      <c r="AR819" s="32"/>
      <c r="AS819" s="32"/>
      <c r="AT819" s="32"/>
      <c r="AU819" s="32"/>
      <c r="AV819" s="32"/>
      <c r="AW819" s="32"/>
      <c r="AX819" s="32"/>
    </row>
    <row r="820">
      <c r="A820" s="32" t="str">
        <f>IFERROR(__xludf.DUMMYFUNCTION("""COMPUTED_VALUE"""),"Warden's Baton")</f>
        <v>Warden's Baton</v>
      </c>
      <c r="B820" s="32" t="str">
        <f>IFERROR(__xludf.DUMMYFUNCTION("""COMPUTED_VALUE"""),"Hand")</f>
        <v>Hand</v>
      </c>
      <c r="C820" s="32"/>
      <c r="D820" s="32" t="str">
        <f>IFERROR(__xludf.DUMMYFUNCTION("""COMPUTED_VALUE"""),"Club")</f>
        <v>Club</v>
      </c>
      <c r="E820" s="32">
        <f>IFERROR(__xludf.DUMMYFUNCTION("""COMPUTED_VALUE"""),4000.0)</f>
        <v>4000</v>
      </c>
      <c r="F820" s="44">
        <f>IFERROR(__xludf.DUMMYFUNCTION("""COMPUTED_VALUE"""),7.98E8)</f>
        <v>798000000</v>
      </c>
      <c r="G820" s="32" t="str">
        <f>IFERROR(__xludf.DUMMYFUNCTION("""COMPUTED_VALUE"""),"DMG")</f>
        <v>DMG</v>
      </c>
      <c r="H820" s="32">
        <f>IFERROR(__xludf.DUMMYFUNCTION("""COMPUTED_VALUE"""),200000.0)</f>
        <v>200000</v>
      </c>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t="str">
        <f>IFERROR(__xludf.DUMMYFUNCTION("""COMPUTED_VALUE"""),"++X20 damage to any enemy wearing a confining collar.")</f>
        <v>++X20 damage to any enemy wearing a confining collar.</v>
      </c>
      <c r="AG820" s="32" t="str">
        <f>IFERROR(__xludf.DUMMYFUNCTION("""COMPUTED_VALUE"""),"Dragonscale Island")</f>
        <v>Dragonscale Island</v>
      </c>
      <c r="AH820" s="32" t="b">
        <f>IFERROR(__xludf.DUMMYFUNCTION("""COMPUTED_VALUE"""),FALSE)</f>
        <v>0</v>
      </c>
      <c r="AI820" s="32"/>
      <c r="AJ820" s="32"/>
      <c r="AK820" s="32"/>
      <c r="AL820" s="32"/>
      <c r="AM820" s="32"/>
      <c r="AN820" s="32"/>
      <c r="AO820" s="32"/>
      <c r="AP820" s="32"/>
      <c r="AQ820" s="32"/>
      <c r="AR820" s="32"/>
      <c r="AS820" s="32"/>
      <c r="AT820" s="32"/>
      <c r="AU820" s="32"/>
      <c r="AV820" s="32"/>
      <c r="AW820" s="32"/>
      <c r="AX820" s="32"/>
    </row>
    <row r="821">
      <c r="A821" s="32" t="str">
        <f>IFERROR(__xludf.DUMMYFUNCTION("""COMPUTED_VALUE"""),"Gentleman's Club")</f>
        <v>Gentleman's Club</v>
      </c>
      <c r="B821" s="32" t="str">
        <f>IFERROR(__xludf.DUMMYFUNCTION("""COMPUTED_VALUE"""),"Hand")</f>
        <v>Hand</v>
      </c>
      <c r="C821" s="32"/>
      <c r="D821" s="32" t="str">
        <f>IFERROR(__xludf.DUMMYFUNCTION("""COMPUTED_VALUE"""),"Club")</f>
        <v>Club</v>
      </c>
      <c r="E821" s="32">
        <f>IFERROR(__xludf.DUMMYFUNCTION("""COMPUTED_VALUE"""),3000.0)</f>
        <v>3000</v>
      </c>
      <c r="F821" s="44">
        <f>IFERROR(__xludf.DUMMYFUNCTION("""COMPUTED_VALUE"""),4.485E8)</f>
        <v>448500000</v>
      </c>
      <c r="G821" s="32" t="str">
        <f>IFERROR(__xludf.DUMMYFUNCTION("""COMPUTED_VALUE"""),"DMG")</f>
        <v>DMG</v>
      </c>
      <c r="H821" s="32">
        <f>IFERROR(__xludf.DUMMYFUNCTION("""COMPUTED_VALUE"""),150000.0)</f>
        <v>150000</v>
      </c>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t="str">
        <f>IFERROR(__xludf.DUMMYFUNCTION("""COMPUTED_VALUE"""),"++Enemies hit with this weapon cannot cast spells for 2 rounds. +-Cannot be duplicated.")</f>
        <v>++Enemies hit with this weapon cannot cast spells for 2 rounds. +-Cannot be duplicated.</v>
      </c>
      <c r="AG821" s="32" t="str">
        <f>IFERROR(__xludf.DUMMYFUNCTION("""COMPUTED_VALUE"""),"Abstara")</f>
        <v>Abstara</v>
      </c>
      <c r="AH821" s="32" t="b">
        <f>IFERROR(__xludf.DUMMYFUNCTION("""COMPUTED_VALUE"""),FALSE)</f>
        <v>0</v>
      </c>
      <c r="AI821" s="32"/>
      <c r="AJ821" s="32"/>
      <c r="AK821" s="32"/>
      <c r="AL821" s="32"/>
      <c r="AM821" s="32"/>
      <c r="AN821" s="32"/>
      <c r="AO821" s="32"/>
      <c r="AP821" s="32"/>
      <c r="AQ821" s="32"/>
      <c r="AR821" s="32"/>
      <c r="AS821" s="32"/>
      <c r="AT821" s="32"/>
      <c r="AU821" s="32"/>
      <c r="AV821" s="32"/>
      <c r="AW821" s="32"/>
      <c r="AX821" s="32"/>
    </row>
    <row r="822">
      <c r="A822" s="32" t="str">
        <f>IFERROR(__xludf.DUMMYFUNCTION("""COMPUTED_VALUE"""),"Honest Shirt")</f>
        <v>Honest Shirt</v>
      </c>
      <c r="B822" s="32" t="str">
        <f>IFERROR(__xludf.DUMMYFUNCTION("""COMPUTED_VALUE"""),"Torso")</f>
        <v>Torso</v>
      </c>
      <c r="C822" s="32"/>
      <c r="D822" s="32" t="str">
        <f>IFERROR(__xludf.DUMMYFUNCTION("""COMPUTED_VALUE"""),"Item")</f>
        <v>Item</v>
      </c>
      <c r="E822" s="32">
        <f>IFERROR(__xludf.DUMMYFUNCTION("""COMPUTED_VALUE"""),2000.0)</f>
        <v>2000</v>
      </c>
      <c r="F822" s="44">
        <f>IFERROR(__xludf.DUMMYFUNCTION("""COMPUTED_VALUE"""),1.99E8)</f>
        <v>199000000</v>
      </c>
      <c r="G822" s="32" t="str">
        <f>IFERROR(__xludf.DUMMYFUNCTION("""COMPUTED_VALUE"""),"DEF")</f>
        <v>DEF</v>
      </c>
      <c r="H822" s="32">
        <f>IFERROR(__xludf.DUMMYFUNCTION("""COMPUTED_VALUE"""),100000.0)</f>
        <v>100000</v>
      </c>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t="str">
        <f>IFERROR(__xludf.DUMMYFUNCTION("""COMPUTED_VALUE"""),"++25% chance any spell targeting the wearer fails.")</f>
        <v>++25% chance any spell targeting the wearer fails.</v>
      </c>
      <c r="AG822" s="32" t="str">
        <f>IFERROR(__xludf.DUMMYFUNCTION("""COMPUTED_VALUE"""),"Dragonscale Island")</f>
        <v>Dragonscale Island</v>
      </c>
      <c r="AH822" s="32" t="b">
        <f>IFERROR(__xludf.DUMMYFUNCTION("""COMPUTED_VALUE"""),FALSE)</f>
        <v>0</v>
      </c>
      <c r="AI822" s="32"/>
      <c r="AJ822" s="32"/>
      <c r="AK822" s="32"/>
      <c r="AL822" s="32"/>
      <c r="AM822" s="32"/>
      <c r="AN822" s="32"/>
      <c r="AO822" s="32"/>
      <c r="AP822" s="32"/>
      <c r="AQ822" s="32"/>
      <c r="AR822" s="32"/>
      <c r="AS822" s="32"/>
      <c r="AT822" s="32"/>
      <c r="AU822" s="32"/>
      <c r="AV822" s="32"/>
      <c r="AW822" s="32"/>
      <c r="AX822" s="32"/>
    </row>
    <row r="823">
      <c r="A823" s="32" t="str">
        <f>IFERROR(__xludf.DUMMYFUNCTION("""COMPUTED_VALUE"""),"Tinfoil Hat")</f>
        <v>Tinfoil Hat</v>
      </c>
      <c r="B823" s="32" t="str">
        <f>IFERROR(__xludf.DUMMYFUNCTION("""COMPUTED_VALUE"""),"Head")</f>
        <v>Head</v>
      </c>
      <c r="C823" s="32"/>
      <c r="D823" s="32" t="str">
        <f>IFERROR(__xludf.DUMMYFUNCTION("""COMPUTED_VALUE"""),"Item")</f>
        <v>Item</v>
      </c>
      <c r="E823" s="32">
        <f>IFERROR(__xludf.DUMMYFUNCTION("""COMPUTED_VALUE"""),1.0)</f>
        <v>1</v>
      </c>
      <c r="F823" s="44">
        <f>IFERROR(__xludf.DUMMYFUNCTION("""COMPUTED_VALUE"""),0.0)</f>
        <v>0</v>
      </c>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t="str">
        <f>IFERROR(__xludf.DUMMYFUNCTION("""COMPUTED_VALUE"""),"++Immunity to Possession. +-Cannot be duplicated.")</f>
        <v>++Immunity to Possession. +-Cannot be duplicated.</v>
      </c>
      <c r="AG823" s="32" t="str">
        <f>IFERROR(__xludf.DUMMYFUNCTION("""COMPUTED_VALUE"""),"Abstara")</f>
        <v>Abstara</v>
      </c>
      <c r="AH823" s="32" t="b">
        <f>IFERROR(__xludf.DUMMYFUNCTION("""COMPUTED_VALUE"""),FALSE)</f>
        <v>0</v>
      </c>
      <c r="AI823" s="32"/>
      <c r="AJ823" s="32"/>
      <c r="AK823" s="32"/>
      <c r="AL823" s="32"/>
      <c r="AM823" s="32"/>
      <c r="AN823" s="32"/>
      <c r="AO823" s="32"/>
      <c r="AP823" s="32"/>
      <c r="AQ823" s="32"/>
      <c r="AR823" s="32"/>
      <c r="AS823" s="32"/>
      <c r="AT823" s="32"/>
      <c r="AU823" s="32"/>
      <c r="AV823" s="32"/>
      <c r="AW823" s="32"/>
      <c r="AX823" s="32"/>
    </row>
    <row r="824">
      <c r="A824" s="32" t="str">
        <f>IFERROR(__xludf.DUMMYFUNCTION("""COMPUTED_VALUE"""),"Anti-Magic Glasses")</f>
        <v>Anti-Magic Glasses</v>
      </c>
      <c r="B824" s="32" t="str">
        <f>IFERROR(__xludf.DUMMYFUNCTION("""COMPUTED_VALUE"""),"Head")</f>
        <v>Head</v>
      </c>
      <c r="C824" s="32"/>
      <c r="D824" s="32" t="str">
        <f>IFERROR(__xludf.DUMMYFUNCTION("""COMPUTED_VALUE"""),"Item")</f>
        <v>Item</v>
      </c>
      <c r="E824" s="32">
        <f>IFERROR(__xludf.DUMMYFUNCTION("""COMPUTED_VALUE"""),1.0)</f>
        <v>1</v>
      </c>
      <c r="F824" s="44">
        <f>IFERROR(__xludf.DUMMYFUNCTION("""COMPUTED_VALUE"""),0.0)</f>
        <v>0</v>
      </c>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t="str">
        <f>IFERROR(__xludf.DUMMYFUNCTION("""COMPUTED_VALUE"""),"++Immunity to Blindness, Disorient, and Twilight. +-Cannot be duplicated")</f>
        <v>++Immunity to Blindness, Disorient, and Twilight. +-Cannot be duplicated</v>
      </c>
      <c r="AG824" s="32" t="str">
        <f>IFERROR(__xludf.DUMMYFUNCTION("""COMPUTED_VALUE"""),"Abstara")</f>
        <v>Abstara</v>
      </c>
      <c r="AH824" s="32" t="b">
        <f>IFERROR(__xludf.DUMMYFUNCTION("""COMPUTED_VALUE"""),FALSE)</f>
        <v>0</v>
      </c>
      <c r="AI824" s="32"/>
      <c r="AJ824" s="32"/>
      <c r="AK824" s="32"/>
      <c r="AL824" s="32"/>
      <c r="AM824" s="32"/>
      <c r="AN824" s="32"/>
      <c r="AO824" s="32"/>
      <c r="AP824" s="32"/>
      <c r="AQ824" s="32"/>
      <c r="AR824" s="32"/>
      <c r="AS824" s="32"/>
      <c r="AT824" s="32"/>
      <c r="AU824" s="32"/>
      <c r="AV824" s="32"/>
      <c r="AW824" s="32"/>
      <c r="AX824" s="32"/>
    </row>
    <row r="825">
      <c r="A825" s="32" t="str">
        <f>IFERROR(__xludf.DUMMYFUNCTION("""COMPUTED_VALUE"""),"Null Ring")</f>
        <v>Null Ring</v>
      </c>
      <c r="B825" s="32" t="str">
        <f>IFERROR(__xludf.DUMMYFUNCTION("""COMPUTED_VALUE"""),"Finger")</f>
        <v>Finger</v>
      </c>
      <c r="C825" s="32"/>
      <c r="D825" s="32" t="str">
        <f>IFERROR(__xludf.DUMMYFUNCTION("""COMPUTED_VALUE"""),"Item")</f>
        <v>Item</v>
      </c>
      <c r="E825" s="32">
        <f>IFERROR(__xludf.DUMMYFUNCTION("""COMPUTED_VALUE"""),1.0)</f>
        <v>1</v>
      </c>
      <c r="F825" s="44">
        <f>IFERROR(__xludf.DUMMYFUNCTION("""COMPUTED_VALUE"""),0.0)</f>
        <v>0</v>
      </c>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32" t="str">
        <f>IFERROR(__xludf.DUMMYFUNCTION("""COMPUTED_VALUE"""),"Abstara")</f>
        <v>Abstara</v>
      </c>
      <c r="AH825" s="32" t="b">
        <f>IFERROR(__xludf.DUMMYFUNCTION("""COMPUTED_VALUE"""),FALSE)</f>
        <v>0</v>
      </c>
      <c r="AI825" s="32"/>
      <c r="AJ825" s="32"/>
      <c r="AK825" s="32"/>
      <c r="AL825" s="32"/>
      <c r="AM825" s="32"/>
      <c r="AN825" s="32"/>
      <c r="AO825" s="32"/>
      <c r="AP825" s="32"/>
      <c r="AQ825" s="32"/>
      <c r="AR825" s="32"/>
      <c r="AS825" s="32"/>
      <c r="AT825" s="32"/>
      <c r="AU825" s="32"/>
      <c r="AV825" s="32"/>
      <c r="AW825" s="32"/>
      <c r="AX825" s="32"/>
    </row>
    <row r="826">
      <c r="A826" s="32" t="str">
        <f>IFERROR(__xludf.DUMMYFUNCTION("""COMPUTED_VALUE"""),"Quickdraw Bow")</f>
        <v>Quickdraw Bow</v>
      </c>
      <c r="B826" s="32" t="str">
        <f>IFERROR(__xludf.DUMMYFUNCTION("""COMPUTED_VALUE"""),"Hand")</f>
        <v>Hand</v>
      </c>
      <c r="C826" s="32"/>
      <c r="D826" s="32" t="str">
        <f>IFERROR(__xludf.DUMMYFUNCTION("""COMPUTED_VALUE"""),"Bow")</f>
        <v>Bow</v>
      </c>
      <c r="E826" s="32">
        <f>IFERROR(__xludf.DUMMYFUNCTION("""COMPUTED_VALUE"""),2000.0)</f>
        <v>2000</v>
      </c>
      <c r="F826" s="44">
        <f>IFERROR(__xludf.DUMMYFUNCTION("""COMPUTED_VALUE"""),1.99E8)</f>
        <v>199000000</v>
      </c>
      <c r="G826" s="32" t="str">
        <f>IFERROR(__xludf.DUMMYFUNCTION("""COMPUTED_VALUE"""),"DMG")</f>
        <v>DMG</v>
      </c>
      <c r="H826" s="32">
        <f>IFERROR(__xludf.DUMMYFUNCTION("""COMPUTED_VALUE"""),99500.0)</f>
        <v>99500</v>
      </c>
      <c r="I826" s="32"/>
      <c r="J826" s="32"/>
      <c r="K826" s="32"/>
      <c r="L826" s="32"/>
      <c r="M826" s="32"/>
      <c r="N826" s="32"/>
      <c r="O826" s="32"/>
      <c r="P826" s="32">
        <f>IFERROR(__xludf.DUMMYFUNCTION("""COMPUTED_VALUE"""),500.0)</f>
        <v>500</v>
      </c>
      <c r="Q826" s="32"/>
      <c r="R826" s="32"/>
      <c r="S826" s="32"/>
      <c r="T826" s="32"/>
      <c r="U826" s="32"/>
      <c r="V826" s="32"/>
      <c r="W826" s="32"/>
      <c r="X826" s="32"/>
      <c r="Y826" s="32"/>
      <c r="Z826" s="32"/>
      <c r="AA826" s="32"/>
      <c r="AB826" s="32"/>
      <c r="AC826" s="32"/>
      <c r="AD826" s="32"/>
      <c r="AE826" s="32"/>
      <c r="AF826" s="32" t="str">
        <f>IFERROR(__xludf.DUMMYFUNCTION("""COMPUTED_VALUE"""),"++Plus 2 to turn order roll +-Cannot be forged or duplicated")</f>
        <v>++Plus 2 to turn order roll +-Cannot be forged or duplicated</v>
      </c>
      <c r="AG826" s="32" t="str">
        <f>IFERROR(__xludf.DUMMYFUNCTION("""COMPUTED_VALUE"""),"Dragonscale Island")</f>
        <v>Dragonscale Island</v>
      </c>
      <c r="AH826" s="32" t="b">
        <f>IFERROR(__xludf.DUMMYFUNCTION("""COMPUTED_VALUE"""),FALSE)</f>
        <v>0</v>
      </c>
      <c r="AI826" s="32"/>
      <c r="AJ826" s="32"/>
      <c r="AK826" s="32"/>
      <c r="AL826" s="32"/>
      <c r="AM826" s="32"/>
      <c r="AN826" s="32"/>
      <c r="AO826" s="32"/>
      <c r="AP826" s="32"/>
      <c r="AQ826" s="32"/>
      <c r="AR826" s="32"/>
      <c r="AS826" s="32"/>
      <c r="AT826" s="32"/>
      <c r="AU826" s="32"/>
      <c r="AV826" s="32"/>
      <c r="AW826" s="32"/>
      <c r="AX826" s="32"/>
    </row>
    <row r="827">
      <c r="A827" s="32" t="str">
        <f>IFERROR(__xludf.DUMMYFUNCTION("""COMPUTED_VALUE"""),"Chaos Bow")</f>
        <v>Chaos Bow</v>
      </c>
      <c r="B827" s="32" t="str">
        <f>IFERROR(__xludf.DUMMYFUNCTION("""COMPUTED_VALUE"""),"Hand")</f>
        <v>Hand</v>
      </c>
      <c r="C827" s="32"/>
      <c r="D827" s="32" t="str">
        <f>IFERROR(__xludf.DUMMYFUNCTION("""COMPUTED_VALUE"""),"Bow")</f>
        <v>Bow</v>
      </c>
      <c r="E827" s="32">
        <f>IFERROR(__xludf.DUMMYFUNCTION("""COMPUTED_VALUE"""),2600.0)</f>
        <v>2600</v>
      </c>
      <c r="F827" s="44">
        <f>IFERROR(__xludf.DUMMYFUNCTION("""COMPUTED_VALUE"""),3.367E8)</f>
        <v>336700000</v>
      </c>
      <c r="G827" s="32" t="str">
        <f>IFERROR(__xludf.DUMMYFUNCTION("""COMPUTED_VALUE"""),"DMG")</f>
        <v>DMG</v>
      </c>
      <c r="H827" s="32">
        <f>IFERROR(__xludf.DUMMYFUNCTION("""COMPUTED_VALUE"""),50000.0)</f>
        <v>50000</v>
      </c>
      <c r="I827" s="32"/>
      <c r="J827" s="32"/>
      <c r="K827" s="32"/>
      <c r="L827" s="32"/>
      <c r="M827" s="32"/>
      <c r="N827" s="32"/>
      <c r="O827" s="32"/>
      <c r="P827" s="32"/>
      <c r="Q827" s="32"/>
      <c r="R827" s="32">
        <f>IFERROR(__xludf.DUMMYFUNCTION("""COMPUTED_VALUE"""),80000.0)</f>
        <v>80000</v>
      </c>
      <c r="S827" s="32"/>
      <c r="T827" s="32"/>
      <c r="U827" s="32"/>
      <c r="V827" s="32"/>
      <c r="W827" s="32"/>
      <c r="X827" s="32"/>
      <c r="Y827" s="32"/>
      <c r="Z827" s="32"/>
      <c r="AA827" s="32"/>
      <c r="AB827" s="32"/>
      <c r="AC827" s="32"/>
      <c r="AD827" s="32"/>
      <c r="AE827" s="32"/>
      <c r="AF827" s="32" t="str">
        <f>IFERROR(__xludf.DUMMYFUNCTION("""COMPUTED_VALUE"""),"++This bow targets a random enemy.")</f>
        <v>++This bow targets a random enemy.</v>
      </c>
      <c r="AG827" s="32" t="str">
        <f>IFERROR(__xludf.DUMMYFUNCTION("""COMPUTED_VALUE"""),"Dragonscale Island")</f>
        <v>Dragonscale Island</v>
      </c>
      <c r="AH827" s="32" t="b">
        <f>IFERROR(__xludf.DUMMYFUNCTION("""COMPUTED_VALUE"""),FALSE)</f>
        <v>0</v>
      </c>
      <c r="AI827" s="32"/>
      <c r="AJ827" s="32"/>
      <c r="AK827" s="32"/>
      <c r="AL827" s="32"/>
      <c r="AM827" s="32"/>
      <c r="AN827" s="32"/>
      <c r="AO827" s="32"/>
      <c r="AP827" s="32"/>
      <c r="AQ827" s="32"/>
      <c r="AR827" s="32"/>
      <c r="AS827" s="32"/>
      <c r="AT827" s="32"/>
      <c r="AU827" s="32"/>
      <c r="AV827" s="32"/>
      <c r="AW827" s="32"/>
      <c r="AX827" s="32"/>
    </row>
    <row r="828">
      <c r="A828" s="32" t="str">
        <f>IFERROR(__xludf.DUMMYFUNCTION("""COMPUTED_VALUE"""),"Crit Shot Bow")</f>
        <v>Crit Shot Bow</v>
      </c>
      <c r="B828" s="32" t="str">
        <f>IFERROR(__xludf.DUMMYFUNCTION("""COMPUTED_VALUE"""),"Hand")</f>
        <v>Hand</v>
      </c>
      <c r="C828" s="32"/>
      <c r="D828" s="32" t="str">
        <f>IFERROR(__xludf.DUMMYFUNCTION("""COMPUTED_VALUE"""),"Bow")</f>
        <v>Bow</v>
      </c>
      <c r="E828" s="32">
        <f>IFERROR(__xludf.DUMMYFUNCTION("""COMPUTED_VALUE"""),4000.0)</f>
        <v>4000</v>
      </c>
      <c r="F828" s="44">
        <f>IFERROR(__xludf.DUMMYFUNCTION("""COMPUTED_VALUE"""),7.98E8)</f>
        <v>798000000</v>
      </c>
      <c r="G828" s="32" t="str">
        <f>IFERROR(__xludf.DUMMYFUNCTION("""COMPUTED_VALUE"""),"DMG")</f>
        <v>DMG</v>
      </c>
      <c r="H828" s="32">
        <f>IFERROR(__xludf.DUMMYFUNCTION("""COMPUTED_VALUE"""),200000.0)</f>
        <v>200000</v>
      </c>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t="str">
        <f>IFERROR(__xludf.DUMMYFUNCTION("""COMPUTED_VALUE"""),"++Deals 3x damage +-Accuracy halved")</f>
        <v>++Deals 3x damage +-Accuracy halved</v>
      </c>
      <c r="AG828" s="32" t="str">
        <f>IFERROR(__xludf.DUMMYFUNCTION("""COMPUTED_VALUE"""),"Abstara")</f>
        <v>Abstara</v>
      </c>
      <c r="AH828" s="32" t="b">
        <f>IFERROR(__xludf.DUMMYFUNCTION("""COMPUTED_VALUE"""),FALSE)</f>
        <v>0</v>
      </c>
      <c r="AI828" s="32"/>
      <c r="AJ828" s="32"/>
      <c r="AK828" s="32"/>
      <c r="AL828" s="32"/>
      <c r="AM828" s="32"/>
      <c r="AN828" s="32"/>
      <c r="AO828" s="32"/>
      <c r="AP828" s="32"/>
      <c r="AQ828" s="32"/>
      <c r="AR828" s="32"/>
      <c r="AS828" s="32"/>
      <c r="AT828" s="32"/>
      <c r="AU828" s="32"/>
      <c r="AV828" s="32"/>
      <c r="AW828" s="32"/>
      <c r="AX828" s="32"/>
    </row>
    <row r="829">
      <c r="A829" s="32" t="str">
        <f>IFERROR(__xludf.DUMMYFUNCTION("""COMPUTED_VALUE"""),"Incinerating Bow")</f>
        <v>Incinerating Bow</v>
      </c>
      <c r="B829" s="32" t="str">
        <f>IFERROR(__xludf.DUMMYFUNCTION("""COMPUTED_VALUE"""),"Hand")</f>
        <v>Hand</v>
      </c>
      <c r="C829" s="32"/>
      <c r="D829" s="32" t="str">
        <f>IFERROR(__xludf.DUMMYFUNCTION("""COMPUTED_VALUE"""),"Bow")</f>
        <v>Bow</v>
      </c>
      <c r="E829" s="32">
        <f>IFERROR(__xludf.DUMMYFUNCTION("""COMPUTED_VALUE"""),3800.0)</f>
        <v>3800</v>
      </c>
      <c r="F829" s="44">
        <f>IFERROR(__xludf.DUMMYFUNCTION("""COMPUTED_VALUE"""),7.201E8)</f>
        <v>720100000</v>
      </c>
      <c r="G829" s="32" t="str">
        <f>IFERROR(__xludf.DUMMYFUNCTION("""COMPUTED_VALUE"""),"DMG")</f>
        <v>DMG</v>
      </c>
      <c r="H829" s="32">
        <f>IFERROR(__xludf.DUMMYFUNCTION("""COMPUTED_VALUE"""),90000.0)</f>
        <v>90000</v>
      </c>
      <c r="I829" s="32">
        <f>IFERROR(__xludf.DUMMYFUNCTION("""COMPUTED_VALUE"""),100000.0)</f>
        <v>100000</v>
      </c>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32" t="str">
        <f>IFERROR(__xludf.DUMMYFUNCTION("""COMPUTED_VALUE"""),"Abstara")</f>
        <v>Abstara</v>
      </c>
      <c r="AH829" s="32" t="b">
        <f>IFERROR(__xludf.DUMMYFUNCTION("""COMPUTED_VALUE"""),FALSE)</f>
        <v>0</v>
      </c>
      <c r="AI829" s="32"/>
      <c r="AJ829" s="32"/>
      <c r="AK829" s="32"/>
      <c r="AL829" s="32"/>
      <c r="AM829" s="32"/>
      <c r="AN829" s="32"/>
      <c r="AO829" s="32"/>
      <c r="AP829" s="32"/>
      <c r="AQ829" s="32"/>
      <c r="AR829" s="32"/>
      <c r="AS829" s="32"/>
      <c r="AT829" s="32"/>
      <c r="AU829" s="32"/>
      <c r="AV829" s="32"/>
      <c r="AW829" s="32"/>
      <c r="AX829" s="32"/>
    </row>
    <row r="830">
      <c r="A830" s="32" t="str">
        <f>IFERROR(__xludf.DUMMYFUNCTION("""COMPUTED_VALUE"""),"Bone Bow")</f>
        <v>Bone Bow</v>
      </c>
      <c r="B830" s="32" t="str">
        <f>IFERROR(__xludf.DUMMYFUNCTION("""COMPUTED_VALUE"""),"Hand")</f>
        <v>Hand</v>
      </c>
      <c r="C830" s="32"/>
      <c r="D830" s="32" t="str">
        <f>IFERROR(__xludf.DUMMYFUNCTION("""COMPUTED_VALUE"""),"Bow")</f>
        <v>Bow</v>
      </c>
      <c r="E830" s="32">
        <f>IFERROR(__xludf.DUMMYFUNCTION("""COMPUTED_VALUE"""),3400.0)</f>
        <v>3400</v>
      </c>
      <c r="F830" s="44">
        <f>IFERROR(__xludf.DUMMYFUNCTION("""COMPUTED_VALUE"""),5.763E8)</f>
        <v>576300000</v>
      </c>
      <c r="G830" s="32" t="str">
        <f>IFERROR(__xludf.DUMMYFUNCTION("""COMPUTED_VALUE"""),"DMG")</f>
        <v>DMG</v>
      </c>
      <c r="H830" s="32">
        <f>IFERROR(__xludf.DUMMYFUNCTION("""COMPUTED_VALUE"""),10000.0)</f>
        <v>10000</v>
      </c>
      <c r="I830" s="32"/>
      <c r="J830" s="32"/>
      <c r="K830" s="32"/>
      <c r="L830" s="32"/>
      <c r="M830" s="32"/>
      <c r="N830" s="32"/>
      <c r="O830" s="32"/>
      <c r="P830" s="32"/>
      <c r="Q830" s="32"/>
      <c r="R830" s="32"/>
      <c r="S830" s="32"/>
      <c r="T830" s="32"/>
      <c r="U830" s="32"/>
      <c r="V830" s="32"/>
      <c r="W830" s="32"/>
      <c r="X830" s="32"/>
      <c r="Y830" s="32">
        <f>IFERROR(__xludf.DUMMYFUNCTION("""COMPUTED_VALUE"""),160000.0)</f>
        <v>160000</v>
      </c>
      <c r="Z830" s="32"/>
      <c r="AA830" s="32"/>
      <c r="AB830" s="32"/>
      <c r="AC830" s="32"/>
      <c r="AD830" s="32"/>
      <c r="AE830" s="32"/>
      <c r="AF830" s="32" t="str">
        <f>IFERROR(__xludf.DUMMYFUNCTION("""COMPUTED_VALUE"""),"++ 2x damage when user isundead")</f>
        <v>++ 2x damage when user isundead</v>
      </c>
      <c r="AG830" s="32" t="str">
        <f>IFERROR(__xludf.DUMMYFUNCTION("""COMPUTED_VALUE"""),"Abstara")</f>
        <v>Abstara</v>
      </c>
      <c r="AH830" s="32" t="b">
        <f>IFERROR(__xludf.DUMMYFUNCTION("""COMPUTED_VALUE"""),FALSE)</f>
        <v>0</v>
      </c>
      <c r="AI830" s="32"/>
      <c r="AJ830" s="32"/>
      <c r="AK830" s="32"/>
      <c r="AL830" s="32"/>
      <c r="AM830" s="32"/>
      <c r="AN830" s="32"/>
      <c r="AO830" s="32"/>
      <c r="AP830" s="32"/>
      <c r="AQ830" s="32"/>
      <c r="AR830" s="32"/>
      <c r="AS830" s="32"/>
      <c r="AT830" s="32"/>
      <c r="AU830" s="32"/>
      <c r="AV830" s="32"/>
      <c r="AW830" s="32"/>
      <c r="AX830" s="32"/>
    </row>
    <row r="831">
      <c r="A831" s="32" t="str">
        <f>IFERROR(__xludf.DUMMYFUNCTION("""COMPUTED_VALUE"""),"Assassin's Fake Harp")</f>
        <v>Assassin's Fake Harp</v>
      </c>
      <c r="B831" s="32" t="str">
        <f>IFERROR(__xludf.DUMMYFUNCTION("""COMPUTED_VALUE"""),"Hand")</f>
        <v>Hand</v>
      </c>
      <c r="C831" s="32"/>
      <c r="D831" s="32" t="str">
        <f>IFERROR(__xludf.DUMMYFUNCTION("""COMPUTED_VALUE"""),"Bow")</f>
        <v>Bow</v>
      </c>
      <c r="E831" s="32">
        <f>IFERROR(__xludf.DUMMYFUNCTION("""COMPUTED_VALUE"""),3000.0)</f>
        <v>3000</v>
      </c>
      <c r="F831" s="44">
        <f>IFERROR(__xludf.DUMMYFUNCTION("""COMPUTED_VALUE"""),4.485E8)</f>
        <v>448500000</v>
      </c>
      <c r="G831" s="32" t="str">
        <f>IFERROR(__xludf.DUMMYFUNCTION("""COMPUTED_VALUE"""),"DMG")</f>
        <v>DMG</v>
      </c>
      <c r="H831" s="32">
        <f>IFERROR(__xludf.DUMMYFUNCTION("""COMPUTED_VALUE"""),50000.0)</f>
        <v>50000</v>
      </c>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f>IFERROR(__xludf.DUMMYFUNCTION("""COMPUTED_VALUE"""),100000.0)</f>
        <v>100000</v>
      </c>
      <c r="AF831" s="32" t="str">
        <f>IFERROR(__xludf.DUMMYFUNCTION("""COMPUTED_VALUE"""),"++Deals X2 additional damage for the first round of battle.")</f>
        <v>++Deals X2 additional damage for the first round of battle.</v>
      </c>
      <c r="AG831" s="32" t="str">
        <f>IFERROR(__xludf.DUMMYFUNCTION("""COMPUTED_VALUE"""),"Dragonscale Island")</f>
        <v>Dragonscale Island</v>
      </c>
      <c r="AH831" s="32" t="b">
        <f>IFERROR(__xludf.DUMMYFUNCTION("""COMPUTED_VALUE"""),FALSE)</f>
        <v>0</v>
      </c>
      <c r="AI831" s="32"/>
      <c r="AJ831" s="32"/>
      <c r="AK831" s="32"/>
      <c r="AL831" s="32"/>
      <c r="AM831" s="32"/>
      <c r="AN831" s="32"/>
      <c r="AO831" s="32"/>
      <c r="AP831" s="32"/>
      <c r="AQ831" s="32"/>
      <c r="AR831" s="32"/>
      <c r="AS831" s="32"/>
      <c r="AT831" s="32"/>
      <c r="AU831" s="32"/>
      <c r="AV831" s="32"/>
      <c r="AW831" s="32"/>
      <c r="AX831" s="32"/>
    </row>
    <row r="832">
      <c r="A832" s="32" t="str">
        <f>IFERROR(__xludf.DUMMYFUNCTION("""COMPUTED_VALUE"""),"Broken Bow")</f>
        <v>Broken Bow</v>
      </c>
      <c r="B832" s="32" t="str">
        <f>IFERROR(__xludf.DUMMYFUNCTION("""COMPUTED_VALUE"""),"Hand")</f>
        <v>Hand</v>
      </c>
      <c r="C832" s="32"/>
      <c r="D832" s="32" t="str">
        <f>IFERROR(__xludf.DUMMYFUNCTION("""COMPUTED_VALUE"""),"Club")</f>
        <v>Club</v>
      </c>
      <c r="E832" s="32">
        <f>IFERROR(__xludf.DUMMYFUNCTION("""COMPUTED_VALUE"""),20.0)</f>
        <v>20</v>
      </c>
      <c r="F832" s="44">
        <f>IFERROR(__xludf.DUMMYFUNCTION("""COMPUTED_VALUE"""),10000.0)</f>
        <v>10000</v>
      </c>
      <c r="G832" s="32" t="str">
        <f>IFERROR(__xludf.DUMMYFUNCTION("""COMPUTED_VALUE"""),"DMG")</f>
        <v>DMG</v>
      </c>
      <c r="H832" s="32">
        <f>IFERROR(__xludf.DUMMYFUNCTION("""COMPUTED_VALUE"""),1000.0)</f>
        <v>1000</v>
      </c>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t="str">
        <f>IFERROR(__xludf.DUMMYFUNCTION("""COMPUTED_VALUE"""),"Land of Spira")</f>
        <v>Land of Spira</v>
      </c>
      <c r="AH832" s="32" t="b">
        <f>IFERROR(__xludf.DUMMYFUNCTION("""COMPUTED_VALUE"""),FALSE)</f>
        <v>0</v>
      </c>
      <c r="AI832" s="32"/>
      <c r="AJ832" s="32"/>
      <c r="AK832" s="32"/>
      <c r="AL832" s="32"/>
      <c r="AM832" s="32"/>
      <c r="AN832" s="32"/>
      <c r="AO832" s="32"/>
      <c r="AP832" s="32"/>
      <c r="AQ832" s="32"/>
      <c r="AR832" s="32"/>
      <c r="AS832" s="32"/>
      <c r="AT832" s="32"/>
      <c r="AU832" s="32"/>
      <c r="AV832" s="32"/>
      <c r="AW832" s="32"/>
      <c r="AX832" s="32"/>
    </row>
    <row r="833">
      <c r="A833" s="32" t="str">
        <f>IFERROR(__xludf.DUMMYFUNCTION("""COMPUTED_VALUE"""),"Lizard Wizard Hat")</f>
        <v>Lizard Wizard Hat</v>
      </c>
      <c r="B833" s="32" t="str">
        <f>IFERROR(__xludf.DUMMYFUNCTION("""COMPUTED_VALUE"""),"Head")</f>
        <v>Head</v>
      </c>
      <c r="C833" s="32"/>
      <c r="D833" s="32" t="str">
        <f>IFERROR(__xludf.DUMMYFUNCTION("""COMPUTED_VALUE"""),"Item")</f>
        <v>Item</v>
      </c>
      <c r="E833" s="32">
        <f>IFERROR(__xludf.DUMMYFUNCTION("""COMPUTED_VALUE"""),200.0)</f>
        <v>200</v>
      </c>
      <c r="F833" s="44">
        <f>IFERROR(__xludf.DUMMYFUNCTION("""COMPUTED_VALUE"""),1900000.0)</f>
        <v>1900000</v>
      </c>
      <c r="G833" s="32" t="str">
        <f>IFERROR(__xludf.DUMMYFUNCTION("""COMPUTED_VALUE"""),"DEF")</f>
        <v>DEF</v>
      </c>
      <c r="H833" s="32">
        <f>IFERROR(__xludf.DUMMYFUNCTION("""COMPUTED_VALUE"""),10000.0)</f>
        <v>10000</v>
      </c>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t="str">
        <f>IFERROR(__xludf.DUMMYFUNCTION("""COMPUTED_VALUE"""),"++7500 hp and sp, X2 poison damage")</f>
        <v>++7500 hp and sp, X2 poison damage</v>
      </c>
      <c r="AG833" s="32" t="str">
        <f>IFERROR(__xludf.DUMMYFUNCTION("""COMPUTED_VALUE"""),"Dragonscale Island")</f>
        <v>Dragonscale Island</v>
      </c>
      <c r="AH833" s="32" t="b">
        <f>IFERROR(__xludf.DUMMYFUNCTION("""COMPUTED_VALUE"""),FALSE)</f>
        <v>0</v>
      </c>
      <c r="AI833" s="32"/>
      <c r="AJ833" s="32"/>
      <c r="AK833" s="32"/>
      <c r="AL833" s="32"/>
      <c r="AM833" s="32"/>
      <c r="AN833" s="32"/>
      <c r="AO833" s="32"/>
      <c r="AP833" s="32"/>
      <c r="AQ833" s="32"/>
      <c r="AR833" s="32"/>
      <c r="AS833" s="32"/>
      <c r="AT833" s="32"/>
      <c r="AU833" s="32"/>
      <c r="AV833" s="32"/>
      <c r="AW833" s="32"/>
      <c r="AX833" s="32"/>
    </row>
    <row r="834">
      <c r="A834" s="32" t="str">
        <f>IFERROR(__xludf.DUMMYFUNCTION("""COMPUTED_VALUE"""),"Lizard Wizard Robes")</f>
        <v>Lizard Wizard Robes</v>
      </c>
      <c r="B834" s="32" t="str">
        <f>IFERROR(__xludf.DUMMYFUNCTION("""COMPUTED_VALUE"""),"Torso")</f>
        <v>Torso</v>
      </c>
      <c r="C834" s="32"/>
      <c r="D834" s="32" t="str">
        <f>IFERROR(__xludf.DUMMYFUNCTION("""COMPUTED_VALUE"""),"Item")</f>
        <v>Item</v>
      </c>
      <c r="E834" s="32">
        <f>IFERROR(__xludf.DUMMYFUNCTION("""COMPUTED_VALUE"""),200.0)</f>
        <v>200</v>
      </c>
      <c r="F834" s="44">
        <f>IFERROR(__xludf.DUMMYFUNCTION("""COMPUTED_VALUE"""),1900000.0)</f>
        <v>1900000</v>
      </c>
      <c r="G834" s="32" t="str">
        <f>IFERROR(__xludf.DUMMYFUNCTION("""COMPUTED_VALUE"""),"DEF")</f>
        <v>DEF</v>
      </c>
      <c r="H834" s="32">
        <f>IFERROR(__xludf.DUMMYFUNCTION("""COMPUTED_VALUE"""),10000.0)</f>
        <v>10000</v>
      </c>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t="str">
        <f>IFERROR(__xludf.DUMMYFUNCTION("""COMPUTED_VALUE"""),"++7500 hp and sp, X2 poison damage")</f>
        <v>++7500 hp and sp, X2 poison damage</v>
      </c>
      <c r="AG834" s="32" t="str">
        <f>IFERROR(__xludf.DUMMYFUNCTION("""COMPUTED_VALUE"""),"Dragonscale Island")</f>
        <v>Dragonscale Island</v>
      </c>
      <c r="AH834" s="32" t="b">
        <f>IFERROR(__xludf.DUMMYFUNCTION("""COMPUTED_VALUE"""),FALSE)</f>
        <v>0</v>
      </c>
      <c r="AI834" s="32"/>
      <c r="AJ834" s="32"/>
      <c r="AK834" s="32"/>
      <c r="AL834" s="32"/>
      <c r="AM834" s="32"/>
      <c r="AN834" s="32"/>
      <c r="AO834" s="32"/>
      <c r="AP834" s="32"/>
      <c r="AQ834" s="32"/>
      <c r="AR834" s="32"/>
      <c r="AS834" s="32"/>
      <c r="AT834" s="32"/>
      <c r="AU834" s="32"/>
      <c r="AV834" s="32"/>
      <c r="AW834" s="32"/>
      <c r="AX834" s="32"/>
    </row>
    <row r="835">
      <c r="A835" s="32" t="str">
        <f>IFERROR(__xludf.DUMMYFUNCTION("""COMPUTED_VALUE"""),"Lizard Wizard Leggings")</f>
        <v>Lizard Wizard Leggings</v>
      </c>
      <c r="B835" s="32" t="str">
        <f>IFERROR(__xludf.DUMMYFUNCTION("""COMPUTED_VALUE"""),"Legs")</f>
        <v>Legs</v>
      </c>
      <c r="C835" s="32"/>
      <c r="D835" s="32" t="str">
        <f>IFERROR(__xludf.DUMMYFUNCTION("""COMPUTED_VALUE"""),"Item")</f>
        <v>Item</v>
      </c>
      <c r="E835" s="32">
        <f>IFERROR(__xludf.DUMMYFUNCTION("""COMPUTED_VALUE"""),200.0)</f>
        <v>200</v>
      </c>
      <c r="F835" s="44">
        <f>IFERROR(__xludf.DUMMYFUNCTION("""COMPUTED_VALUE"""),1900000.0)</f>
        <v>1900000</v>
      </c>
      <c r="G835" s="32" t="str">
        <f>IFERROR(__xludf.DUMMYFUNCTION("""COMPUTED_VALUE"""),"DEF")</f>
        <v>DEF</v>
      </c>
      <c r="H835" s="32">
        <f>IFERROR(__xludf.DUMMYFUNCTION("""COMPUTED_VALUE"""),10000.0)</f>
        <v>10000</v>
      </c>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t="str">
        <f>IFERROR(__xludf.DUMMYFUNCTION("""COMPUTED_VALUE"""),"++7500 hp and sp, X2 poison damage")</f>
        <v>++7500 hp and sp, X2 poison damage</v>
      </c>
      <c r="AG835" s="32" t="str">
        <f>IFERROR(__xludf.DUMMYFUNCTION("""COMPUTED_VALUE"""),"Dragonscale Island")</f>
        <v>Dragonscale Island</v>
      </c>
      <c r="AH835" s="32" t="b">
        <f>IFERROR(__xludf.DUMMYFUNCTION("""COMPUTED_VALUE"""),FALSE)</f>
        <v>0</v>
      </c>
      <c r="AI835" s="32"/>
      <c r="AJ835" s="32"/>
      <c r="AK835" s="32"/>
      <c r="AL835" s="32"/>
      <c r="AM835" s="32"/>
      <c r="AN835" s="32"/>
      <c r="AO835" s="32"/>
      <c r="AP835" s="32"/>
      <c r="AQ835" s="32"/>
      <c r="AR835" s="32"/>
      <c r="AS835" s="32"/>
      <c r="AT835" s="32"/>
      <c r="AU835" s="32"/>
      <c r="AV835" s="32"/>
      <c r="AW835" s="32"/>
      <c r="AX835" s="32"/>
    </row>
    <row r="836">
      <c r="A836" s="32" t="str">
        <f>IFERROR(__xludf.DUMMYFUNCTION("""COMPUTED_VALUE"""),"Lizard Wizard Pointed Shoes")</f>
        <v>Lizard Wizard Pointed Shoes</v>
      </c>
      <c r="B836" s="32" t="str">
        <f>IFERROR(__xludf.DUMMYFUNCTION("""COMPUTED_VALUE"""),"Feet")</f>
        <v>Feet</v>
      </c>
      <c r="C836" s="32"/>
      <c r="D836" s="32" t="str">
        <f>IFERROR(__xludf.DUMMYFUNCTION("""COMPUTED_VALUE"""),"Item")</f>
        <v>Item</v>
      </c>
      <c r="E836" s="32">
        <f>IFERROR(__xludf.DUMMYFUNCTION("""COMPUTED_VALUE"""),200.0)</f>
        <v>200</v>
      </c>
      <c r="F836" s="44">
        <f>IFERROR(__xludf.DUMMYFUNCTION("""COMPUTED_VALUE"""),1900000.0)</f>
        <v>1900000</v>
      </c>
      <c r="G836" s="32" t="str">
        <f>IFERROR(__xludf.DUMMYFUNCTION("""COMPUTED_VALUE"""),"DEF")</f>
        <v>DEF</v>
      </c>
      <c r="H836" s="32">
        <f>IFERROR(__xludf.DUMMYFUNCTION("""COMPUTED_VALUE"""),10000.0)</f>
        <v>10000</v>
      </c>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t="str">
        <f>IFERROR(__xludf.DUMMYFUNCTION("""COMPUTED_VALUE"""),"++7500 hp and sp, X2 poison damage")</f>
        <v>++7500 hp and sp, X2 poison damage</v>
      </c>
      <c r="AG836" s="32" t="str">
        <f>IFERROR(__xludf.DUMMYFUNCTION("""COMPUTED_VALUE"""),"Dragonscale Island")</f>
        <v>Dragonscale Island</v>
      </c>
      <c r="AH836" s="32" t="b">
        <f>IFERROR(__xludf.DUMMYFUNCTION("""COMPUTED_VALUE"""),FALSE)</f>
        <v>0</v>
      </c>
      <c r="AI836" s="32"/>
      <c r="AJ836" s="32"/>
      <c r="AK836" s="32"/>
      <c r="AL836" s="32"/>
      <c r="AM836" s="32"/>
      <c r="AN836" s="32"/>
      <c r="AO836" s="32"/>
      <c r="AP836" s="32"/>
      <c r="AQ836" s="32"/>
      <c r="AR836" s="32"/>
      <c r="AS836" s="32"/>
      <c r="AT836" s="32"/>
      <c r="AU836" s="32"/>
      <c r="AV836" s="32"/>
      <c r="AW836" s="32"/>
      <c r="AX836" s="32"/>
    </row>
    <row r="837">
      <c r="A837" s="32" t="str">
        <f>IFERROR(__xludf.DUMMYFUNCTION("""COMPUTED_VALUE"""),"Lizard Wizard Staff of Corroding Blizzard")</f>
        <v>Lizard Wizard Staff of Corroding Blizzard</v>
      </c>
      <c r="B837" s="32" t="str">
        <f>IFERROR(__xludf.DUMMYFUNCTION("""COMPUTED_VALUE"""),"Hand")</f>
        <v>Hand</v>
      </c>
      <c r="C837" s="32"/>
      <c r="D837" s="32" t="str">
        <f>IFERROR(__xludf.DUMMYFUNCTION("""COMPUTED_VALUE"""),"Staff")</f>
        <v>Staff</v>
      </c>
      <c r="E837" s="32">
        <f>IFERROR(__xludf.DUMMYFUNCTION("""COMPUTED_VALUE"""),3000.0)</f>
        <v>3000</v>
      </c>
      <c r="F837" s="44">
        <f>IFERROR(__xludf.DUMMYFUNCTION("""COMPUTED_VALUE"""),4.485E8)</f>
        <v>448500000</v>
      </c>
      <c r="G837" s="32" t="str">
        <f>IFERROR(__xludf.DUMMYFUNCTION("""COMPUTED_VALUE"""),"DMG")</f>
        <v>DMG</v>
      </c>
      <c r="H837" s="32"/>
      <c r="I837" s="32"/>
      <c r="J837" s="32"/>
      <c r="K837" s="32"/>
      <c r="L837" s="32"/>
      <c r="M837" s="32"/>
      <c r="N837" s="32">
        <f>IFERROR(__xludf.DUMMYFUNCTION("""COMPUTED_VALUE"""),50000.0)</f>
        <v>50000</v>
      </c>
      <c r="O837" s="32"/>
      <c r="P837" s="32"/>
      <c r="Q837" s="32"/>
      <c r="R837" s="32"/>
      <c r="S837" s="32">
        <f>IFERROR(__xludf.DUMMYFUNCTION("""COMPUTED_VALUE"""),100000.0)</f>
        <v>100000</v>
      </c>
      <c r="T837" s="32"/>
      <c r="U837" s="32"/>
      <c r="V837" s="32"/>
      <c r="W837" s="32"/>
      <c r="X837" s="32"/>
      <c r="Y837" s="32"/>
      <c r="Z837" s="32"/>
      <c r="AA837" s="32"/>
      <c r="AB837" s="32"/>
      <c r="AC837" s="32"/>
      <c r="AD837" s="32"/>
      <c r="AE837" s="32"/>
      <c r="AF837" s="32"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32" t="str">
        <f>IFERROR(__xludf.DUMMYFUNCTION("""COMPUTED_VALUE"""),"Dragonscale Island")</f>
        <v>Dragonscale Island</v>
      </c>
      <c r="AH837" s="32" t="b">
        <f>IFERROR(__xludf.DUMMYFUNCTION("""COMPUTED_VALUE"""),FALSE)</f>
        <v>0</v>
      </c>
      <c r="AI837" s="32"/>
      <c r="AJ837" s="32"/>
      <c r="AK837" s="32"/>
      <c r="AL837" s="32"/>
      <c r="AM837" s="32"/>
      <c r="AN837" s="32"/>
      <c r="AO837" s="32"/>
      <c r="AP837" s="32"/>
      <c r="AQ837" s="32"/>
      <c r="AR837" s="32"/>
      <c r="AS837" s="32"/>
      <c r="AT837" s="32"/>
      <c r="AU837" s="32"/>
      <c r="AV837" s="32"/>
      <c r="AW837" s="32"/>
      <c r="AX837" s="32"/>
    </row>
    <row r="838">
      <c r="A838" s="32" t="str">
        <f>IFERROR(__xludf.DUMMYFUNCTION("""COMPUTED_VALUE"""),"Lizard Wizard's Prized Ring")</f>
        <v>Lizard Wizard's Prized Ring</v>
      </c>
      <c r="B838" s="32" t="str">
        <f>IFERROR(__xludf.DUMMYFUNCTION("""COMPUTED_VALUE"""),"Finger")</f>
        <v>Finger</v>
      </c>
      <c r="C838" s="32" t="str">
        <f>IFERROR(__xludf.DUMMYFUNCTION("""COMPUTED_VALUE"""),"""The Most Prized shiny of all lizard wizard kind!"" ~Lizard Wizzard Gizzard")</f>
        <v>"The Most Prized shiny of all lizard wizard kind!" ~Lizard Wizzard Gizzard</v>
      </c>
      <c r="D838" s="32" t="str">
        <f>IFERROR(__xludf.DUMMYFUNCTION("""COMPUTED_VALUE"""),"Item")</f>
        <v>Item</v>
      </c>
      <c r="E838" s="32">
        <f>IFERROR(__xludf.DUMMYFUNCTION("""COMPUTED_VALUE"""),2000.0)</f>
        <v>2000</v>
      </c>
      <c r="F838" s="44">
        <f>IFERROR(__xludf.DUMMYFUNCTION("""COMPUTED_VALUE"""),1.99E8)</f>
        <v>199000000</v>
      </c>
      <c r="G838" s="32" t="str">
        <f>IFERROR(__xludf.DUMMYFUNCTION("""COMPUTED_VALUE"""),"DEF")</f>
        <v>DEF</v>
      </c>
      <c r="H838" s="32">
        <f>IFERROR(__xludf.DUMMYFUNCTION("""COMPUTED_VALUE"""),100000.0)</f>
        <v>100000</v>
      </c>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t="str">
        <f>IFERROR(__xludf.DUMMYFUNCTION("""COMPUTED_VALUE"""),"++X5 Poison and Nature damage, +5 Wisdom for every enemy poisoned.")</f>
        <v>++X5 Poison and Nature damage, +5 Wisdom for every enemy poisoned.</v>
      </c>
      <c r="AG838" s="32" t="str">
        <f>IFERROR(__xludf.DUMMYFUNCTION("""COMPUTED_VALUE"""),"Dragonscale Island")</f>
        <v>Dragonscale Island</v>
      </c>
      <c r="AH838" s="32" t="b">
        <f>IFERROR(__xludf.DUMMYFUNCTION("""COMPUTED_VALUE"""),FALSE)</f>
        <v>0</v>
      </c>
      <c r="AI838" s="32"/>
      <c r="AJ838" s="32"/>
      <c r="AK838" s="32"/>
      <c r="AL838" s="32"/>
      <c r="AM838" s="32"/>
      <c r="AN838" s="32"/>
      <c r="AO838" s="32"/>
      <c r="AP838" s="32"/>
      <c r="AQ838" s="32"/>
      <c r="AR838" s="32"/>
      <c r="AS838" s="32"/>
      <c r="AT838" s="32"/>
      <c r="AU838" s="32"/>
      <c r="AV838" s="32"/>
      <c r="AW838" s="32"/>
      <c r="AX838" s="32"/>
    </row>
    <row r="839">
      <c r="A839" s="32" t="str">
        <f>IFERROR(__xludf.DUMMYFUNCTION("""COMPUTED_VALUE"""),"Lizard Thief's Bandana")</f>
        <v>Lizard Thief's Bandana</v>
      </c>
      <c r="B839" s="32" t="str">
        <f>IFERROR(__xludf.DUMMYFUNCTION("""COMPUTED_VALUE"""),"Head")</f>
        <v>Head</v>
      </c>
      <c r="C839" s="32"/>
      <c r="D839" s="32" t="str">
        <f>IFERROR(__xludf.DUMMYFUNCTION("""COMPUTED_VALUE"""),"Item")</f>
        <v>Item</v>
      </c>
      <c r="E839" s="32">
        <f>IFERROR(__xludf.DUMMYFUNCTION("""COMPUTED_VALUE"""),2000.0)</f>
        <v>2000</v>
      </c>
      <c r="F839" s="44">
        <f>IFERROR(__xludf.DUMMYFUNCTION("""COMPUTED_VALUE"""),1.99E8)</f>
        <v>199000000</v>
      </c>
      <c r="G839" s="32" t="str">
        <f>IFERROR(__xludf.DUMMYFUNCTION("""COMPUTED_VALUE"""),"DEF")</f>
        <v>DEF</v>
      </c>
      <c r="H839" s="32">
        <f>IFERROR(__xludf.DUMMYFUNCTION("""COMPUTED_VALUE"""),100000.0)</f>
        <v>100000</v>
      </c>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t="str">
        <f>IFERROR(__xludf.DUMMYFUNCTION("""COMPUTED_VALUE"""),"++15000 ATK and ACC  ++X4 Knife Damage")</f>
        <v>++15000 ATK and ACC  ++X4 Knife Damage</v>
      </c>
      <c r="AG839" s="32" t="str">
        <f>IFERROR(__xludf.DUMMYFUNCTION("""COMPUTED_VALUE"""),"Dragonscale Island")</f>
        <v>Dragonscale Island</v>
      </c>
      <c r="AH839" s="32" t="b">
        <f>IFERROR(__xludf.DUMMYFUNCTION("""COMPUTED_VALUE"""),FALSE)</f>
        <v>0</v>
      </c>
      <c r="AI839" s="32"/>
      <c r="AJ839" s="32"/>
      <c r="AK839" s="32"/>
      <c r="AL839" s="32"/>
      <c r="AM839" s="32"/>
      <c r="AN839" s="32"/>
      <c r="AO839" s="32"/>
      <c r="AP839" s="32"/>
      <c r="AQ839" s="32"/>
      <c r="AR839" s="32"/>
      <c r="AS839" s="32"/>
      <c r="AT839" s="32"/>
      <c r="AU839" s="32"/>
      <c r="AV839" s="32"/>
      <c r="AW839" s="32"/>
      <c r="AX839" s="32"/>
    </row>
    <row r="840">
      <c r="A840" s="32" t="str">
        <f>IFERROR(__xludf.DUMMYFUNCTION("""COMPUTED_VALUE"""),"Lizard Thief's Leathers")</f>
        <v>Lizard Thief's Leathers</v>
      </c>
      <c r="B840" s="32" t="str">
        <f>IFERROR(__xludf.DUMMYFUNCTION("""COMPUTED_VALUE"""),"Torso")</f>
        <v>Torso</v>
      </c>
      <c r="C840" s="32"/>
      <c r="D840" s="32" t="str">
        <f>IFERROR(__xludf.DUMMYFUNCTION("""COMPUTED_VALUE"""),"Item")</f>
        <v>Item</v>
      </c>
      <c r="E840" s="32">
        <f>IFERROR(__xludf.DUMMYFUNCTION("""COMPUTED_VALUE"""),2000.0)</f>
        <v>2000</v>
      </c>
      <c r="F840" s="44">
        <f>IFERROR(__xludf.DUMMYFUNCTION("""COMPUTED_VALUE"""),1.99E8)</f>
        <v>199000000</v>
      </c>
      <c r="G840" s="32" t="str">
        <f>IFERROR(__xludf.DUMMYFUNCTION("""COMPUTED_VALUE"""),"DEF")</f>
        <v>DEF</v>
      </c>
      <c r="H840" s="32">
        <f>IFERROR(__xludf.DUMMYFUNCTION("""COMPUTED_VALUE"""),100000.0)</f>
        <v>100000</v>
      </c>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t="str">
        <f>IFERROR(__xludf.DUMMYFUNCTION("""COMPUTED_VALUE"""),"++15000 ATK and ACC ++X4 Knife Damage")</f>
        <v>++15000 ATK and ACC ++X4 Knife Damage</v>
      </c>
      <c r="AG840" s="32" t="str">
        <f>IFERROR(__xludf.DUMMYFUNCTION("""COMPUTED_VALUE"""),"Dragonscale Island")</f>
        <v>Dragonscale Island</v>
      </c>
      <c r="AH840" s="32" t="b">
        <f>IFERROR(__xludf.DUMMYFUNCTION("""COMPUTED_VALUE"""),FALSE)</f>
        <v>0</v>
      </c>
      <c r="AI840" s="32"/>
      <c r="AJ840" s="32"/>
      <c r="AK840" s="32"/>
      <c r="AL840" s="32"/>
      <c r="AM840" s="32"/>
      <c r="AN840" s="32"/>
      <c r="AO840" s="32"/>
      <c r="AP840" s="32"/>
      <c r="AQ840" s="32"/>
      <c r="AR840" s="32"/>
      <c r="AS840" s="32"/>
      <c r="AT840" s="32"/>
      <c r="AU840" s="32"/>
      <c r="AV840" s="32"/>
      <c r="AW840" s="32"/>
      <c r="AX840" s="32"/>
    </row>
    <row r="841">
      <c r="A841" s="32" t="str">
        <f>IFERROR(__xludf.DUMMYFUNCTION("""COMPUTED_VALUE"""),"Lizard Thief's Pants")</f>
        <v>Lizard Thief's Pants</v>
      </c>
      <c r="B841" s="32" t="str">
        <f>IFERROR(__xludf.DUMMYFUNCTION("""COMPUTED_VALUE"""),"Legs")</f>
        <v>Legs</v>
      </c>
      <c r="C841" s="32"/>
      <c r="D841" s="32" t="str">
        <f>IFERROR(__xludf.DUMMYFUNCTION("""COMPUTED_VALUE"""),"Item")</f>
        <v>Item</v>
      </c>
      <c r="E841" s="32">
        <f>IFERROR(__xludf.DUMMYFUNCTION("""COMPUTED_VALUE"""),2000.0)</f>
        <v>2000</v>
      </c>
      <c r="F841" s="44">
        <f>IFERROR(__xludf.DUMMYFUNCTION("""COMPUTED_VALUE"""),1.99E8)</f>
        <v>199000000</v>
      </c>
      <c r="G841" s="32" t="str">
        <f>IFERROR(__xludf.DUMMYFUNCTION("""COMPUTED_VALUE"""),"DEF")</f>
        <v>DEF</v>
      </c>
      <c r="H841" s="32">
        <f>IFERROR(__xludf.DUMMYFUNCTION("""COMPUTED_VALUE"""),100000.0)</f>
        <v>100000</v>
      </c>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t="str">
        <f>IFERROR(__xludf.DUMMYFUNCTION("""COMPUTED_VALUE"""),"++15000 ATK and ACC ++X4 Knife Damage")</f>
        <v>++15000 ATK and ACC ++X4 Knife Damage</v>
      </c>
      <c r="AG841" s="32" t="str">
        <f>IFERROR(__xludf.DUMMYFUNCTION("""COMPUTED_VALUE"""),"Dragonscale Island")</f>
        <v>Dragonscale Island</v>
      </c>
      <c r="AH841" s="32" t="b">
        <f>IFERROR(__xludf.DUMMYFUNCTION("""COMPUTED_VALUE"""),FALSE)</f>
        <v>0</v>
      </c>
      <c r="AI841" s="32"/>
      <c r="AJ841" s="32"/>
      <c r="AK841" s="32"/>
      <c r="AL841" s="32"/>
      <c r="AM841" s="32"/>
      <c r="AN841" s="32"/>
      <c r="AO841" s="32"/>
      <c r="AP841" s="32"/>
      <c r="AQ841" s="32"/>
      <c r="AR841" s="32"/>
      <c r="AS841" s="32"/>
      <c r="AT841" s="32"/>
      <c r="AU841" s="32"/>
      <c r="AV841" s="32"/>
      <c r="AW841" s="32"/>
      <c r="AX841" s="32"/>
    </row>
    <row r="842">
      <c r="A842" s="32" t="str">
        <f>IFERROR(__xludf.DUMMYFUNCTION("""COMPUTED_VALUE"""),"Lizard Thief's Boots")</f>
        <v>Lizard Thief's Boots</v>
      </c>
      <c r="B842" s="32" t="str">
        <f>IFERROR(__xludf.DUMMYFUNCTION("""COMPUTED_VALUE"""),"Feet")</f>
        <v>Feet</v>
      </c>
      <c r="C842" s="32"/>
      <c r="D842" s="32" t="str">
        <f>IFERROR(__xludf.DUMMYFUNCTION("""COMPUTED_VALUE"""),"Item")</f>
        <v>Item</v>
      </c>
      <c r="E842" s="32">
        <f>IFERROR(__xludf.DUMMYFUNCTION("""COMPUTED_VALUE"""),2000.0)</f>
        <v>2000</v>
      </c>
      <c r="F842" s="44">
        <f>IFERROR(__xludf.DUMMYFUNCTION("""COMPUTED_VALUE"""),1.99E8)</f>
        <v>199000000</v>
      </c>
      <c r="G842" s="32" t="str">
        <f>IFERROR(__xludf.DUMMYFUNCTION("""COMPUTED_VALUE"""),"DEF")</f>
        <v>DEF</v>
      </c>
      <c r="H842" s="32">
        <f>IFERROR(__xludf.DUMMYFUNCTION("""COMPUTED_VALUE"""),100000.0)</f>
        <v>100000</v>
      </c>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t="str">
        <f>IFERROR(__xludf.DUMMYFUNCTION("""COMPUTED_VALUE"""),"++15000 ATK and ACC ++X4 Knife Damage")</f>
        <v>++15000 ATK and ACC ++X4 Knife Damage</v>
      </c>
      <c r="AG842" s="32" t="str">
        <f>IFERROR(__xludf.DUMMYFUNCTION("""COMPUTED_VALUE"""),"Dragonscale Island")</f>
        <v>Dragonscale Island</v>
      </c>
      <c r="AH842" s="32" t="b">
        <f>IFERROR(__xludf.DUMMYFUNCTION("""COMPUTED_VALUE"""),FALSE)</f>
        <v>0</v>
      </c>
      <c r="AI842" s="32"/>
      <c r="AJ842" s="32"/>
      <c r="AK842" s="32"/>
      <c r="AL842" s="32"/>
      <c r="AM842" s="32"/>
      <c r="AN842" s="32"/>
      <c r="AO842" s="32"/>
      <c r="AP842" s="32"/>
      <c r="AQ842" s="32"/>
      <c r="AR842" s="32"/>
      <c r="AS842" s="32"/>
      <c r="AT842" s="32"/>
      <c r="AU842" s="32"/>
      <c r="AV842" s="32"/>
      <c r="AW842" s="32"/>
      <c r="AX842" s="32"/>
    </row>
    <row r="843">
      <c r="A843" s="32" t="str">
        <f>IFERROR(__xludf.DUMMYFUNCTION("""COMPUTED_VALUE"""),"Lizard Thief's Shiny Swiper")</f>
        <v>Lizard Thief's Shiny Swiper</v>
      </c>
      <c r="B843" s="32" t="str">
        <f>IFERROR(__xludf.DUMMYFUNCTION("""COMPUTED_VALUE"""),"Hand")</f>
        <v>Hand</v>
      </c>
      <c r="C843" s="32"/>
      <c r="D843" s="32" t="str">
        <f>IFERROR(__xludf.DUMMYFUNCTION("""COMPUTED_VALUE"""),"Knife")</f>
        <v>Knife</v>
      </c>
      <c r="E843" s="32">
        <f>IFERROR(__xludf.DUMMYFUNCTION("""COMPUTED_VALUE"""),3000.0)</f>
        <v>3000</v>
      </c>
      <c r="F843" s="44">
        <f>IFERROR(__xludf.DUMMYFUNCTION("""COMPUTED_VALUE"""),4.485E8)</f>
        <v>448500000</v>
      </c>
      <c r="G843" s="32" t="str">
        <f>IFERROR(__xludf.DUMMYFUNCTION("""COMPUTED_VALUE"""),"DMG")</f>
        <v>DMG</v>
      </c>
      <c r="H843" s="32">
        <f>IFERROR(__xludf.DUMMYFUNCTION("""COMPUTED_VALUE"""),150000.0)</f>
        <v>150000</v>
      </c>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32" t="str">
        <f>IFERROR(__xludf.DUMMYFUNCTION("""COMPUTED_VALUE"""),"Dragonscale Island")</f>
        <v>Dragonscale Island</v>
      </c>
      <c r="AH843" s="32" t="b">
        <f>IFERROR(__xludf.DUMMYFUNCTION("""COMPUTED_VALUE"""),FALSE)</f>
        <v>0</v>
      </c>
      <c r="AI843" s="32"/>
      <c r="AJ843" s="32"/>
      <c r="AK843" s="32"/>
      <c r="AL843" s="32"/>
      <c r="AM843" s="32"/>
      <c r="AN843" s="32"/>
      <c r="AO843" s="32"/>
      <c r="AP843" s="32"/>
      <c r="AQ843" s="32"/>
      <c r="AR843" s="32"/>
      <c r="AS843" s="32"/>
      <c r="AT843" s="32"/>
      <c r="AU843" s="32"/>
      <c r="AV843" s="32"/>
      <c r="AW843" s="32"/>
      <c r="AX843" s="32"/>
    </row>
    <row r="844">
      <c r="A844" s="32" t="str">
        <f>IFERROR(__xludf.DUMMYFUNCTION("""COMPUTED_VALUE"""),"Wyrmstone Club")</f>
        <v>Wyrmstone Club</v>
      </c>
      <c r="B844" s="32" t="str">
        <f>IFERROR(__xludf.DUMMYFUNCTION("""COMPUTED_VALUE"""),"Hand")</f>
        <v>Hand</v>
      </c>
      <c r="C844" s="32"/>
      <c r="D844" s="32" t="str">
        <f>IFERROR(__xludf.DUMMYFUNCTION("""COMPUTED_VALUE"""),"Club")</f>
        <v>Club</v>
      </c>
      <c r="E844" s="32">
        <f>IFERROR(__xludf.DUMMYFUNCTION("""COMPUTED_VALUE"""),2000.0)</f>
        <v>2000</v>
      </c>
      <c r="F844" s="44">
        <f>IFERROR(__xludf.DUMMYFUNCTION("""COMPUTED_VALUE"""),1.99E8)</f>
        <v>199000000</v>
      </c>
      <c r="G844" s="32" t="str">
        <f>IFERROR(__xludf.DUMMYFUNCTION("""COMPUTED_VALUE"""),"DMG")</f>
        <v>DMG</v>
      </c>
      <c r="H844" s="32">
        <f>IFERROR(__xludf.DUMMYFUNCTION("""COMPUTED_VALUE"""),100000.0)</f>
        <v>100000</v>
      </c>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t="str">
        <f>IFERROR(__xludf.DUMMYFUNCTION("""COMPUTED_VALUE"""),"+- Half damage against dragons")</f>
        <v>+- Half damage against dragons</v>
      </c>
      <c r="AG844" s="32" t="str">
        <f>IFERROR(__xludf.DUMMYFUNCTION("""COMPUTED_VALUE"""),"Dragonscale Island")</f>
        <v>Dragonscale Island</v>
      </c>
      <c r="AH844" s="32" t="b">
        <f>IFERROR(__xludf.DUMMYFUNCTION("""COMPUTED_VALUE"""),FALSE)</f>
        <v>0</v>
      </c>
      <c r="AI844" s="32"/>
      <c r="AJ844" s="32"/>
      <c r="AK844" s="32"/>
      <c r="AL844" s="32"/>
      <c r="AM844" s="32"/>
      <c r="AN844" s="32"/>
      <c r="AO844" s="32"/>
      <c r="AP844" s="32"/>
      <c r="AQ844" s="32"/>
      <c r="AR844" s="32"/>
      <c r="AS844" s="32"/>
      <c r="AT844" s="32"/>
      <c r="AU844" s="32"/>
      <c r="AV844" s="32"/>
      <c r="AW844" s="32"/>
      <c r="AX844" s="32"/>
    </row>
    <row r="845">
      <c r="A845" s="32" t="str">
        <f>IFERROR(__xludf.DUMMYFUNCTION("""COMPUTED_VALUE"""),"Wyrmstone Mail")</f>
        <v>Wyrmstone Mail</v>
      </c>
      <c r="B845" s="32" t="str">
        <f>IFERROR(__xludf.DUMMYFUNCTION("""COMPUTED_VALUE"""),"Torso")</f>
        <v>Torso</v>
      </c>
      <c r="C845" s="32"/>
      <c r="D845" s="32" t="str">
        <f>IFERROR(__xludf.DUMMYFUNCTION("""COMPUTED_VALUE"""),"Item")</f>
        <v>Item</v>
      </c>
      <c r="E845" s="32">
        <f>IFERROR(__xludf.DUMMYFUNCTION("""COMPUTED_VALUE"""),2800.0)</f>
        <v>2800</v>
      </c>
      <c r="F845" s="44">
        <f>IFERROR(__xludf.DUMMYFUNCTION("""COMPUTED_VALUE"""),3.906E8)</f>
        <v>390600000</v>
      </c>
      <c r="G845" s="32" t="str">
        <f>IFERROR(__xludf.DUMMYFUNCTION("""COMPUTED_VALUE"""),"DEF")</f>
        <v>DEF</v>
      </c>
      <c r="H845" s="32">
        <f>IFERROR(__xludf.DUMMYFUNCTION("""COMPUTED_VALUE"""),140000.0)</f>
        <v>140000</v>
      </c>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t="str">
        <f>IFERROR(__xludf.DUMMYFUNCTION("""COMPUTED_VALUE"""),"++Half damage received from dragons +-Cannot be forged or duplicated")</f>
        <v>++Half damage received from dragons +-Cannot be forged or duplicated</v>
      </c>
      <c r="AG845" s="32" t="str">
        <f>IFERROR(__xludf.DUMMYFUNCTION("""COMPUTED_VALUE"""),"Dragonscale Island")</f>
        <v>Dragonscale Island</v>
      </c>
      <c r="AH845" s="32" t="b">
        <f>IFERROR(__xludf.DUMMYFUNCTION("""COMPUTED_VALUE"""),FALSE)</f>
        <v>0</v>
      </c>
      <c r="AI845" s="32"/>
      <c r="AJ845" s="32"/>
      <c r="AK845" s="32"/>
      <c r="AL845" s="32"/>
      <c r="AM845" s="32"/>
      <c r="AN845" s="32"/>
      <c r="AO845" s="32"/>
      <c r="AP845" s="32"/>
      <c r="AQ845" s="32"/>
      <c r="AR845" s="32"/>
      <c r="AS845" s="32"/>
      <c r="AT845" s="32"/>
      <c r="AU845" s="32"/>
      <c r="AV845" s="32"/>
      <c r="AW845" s="32"/>
      <c r="AX845" s="32"/>
    </row>
    <row r="846">
      <c r="A846" s="32" t="str">
        <f>IFERROR(__xludf.DUMMYFUNCTION("""COMPUTED_VALUE"""),"Wyrmstone Helm")</f>
        <v>Wyrmstone Helm</v>
      </c>
      <c r="B846" s="32" t="str">
        <f>IFERROR(__xludf.DUMMYFUNCTION("""COMPUTED_VALUE"""),"Head")</f>
        <v>Head</v>
      </c>
      <c r="C846" s="32"/>
      <c r="D846" s="32" t="str">
        <f>IFERROR(__xludf.DUMMYFUNCTION("""COMPUTED_VALUE"""),"Item")</f>
        <v>Item</v>
      </c>
      <c r="E846" s="32">
        <f>IFERROR(__xludf.DUMMYFUNCTION("""COMPUTED_VALUE"""),2400.0)</f>
        <v>2400</v>
      </c>
      <c r="F846" s="44">
        <f>IFERROR(__xludf.DUMMYFUNCTION("""COMPUTED_VALUE"""),2.868E8)</f>
        <v>286800000</v>
      </c>
      <c r="G846" s="32" t="str">
        <f>IFERROR(__xludf.DUMMYFUNCTION("""COMPUTED_VALUE"""),"DEF")</f>
        <v>DEF</v>
      </c>
      <c r="H846" s="32">
        <f>IFERROR(__xludf.DUMMYFUNCTION("""COMPUTED_VALUE"""),120000.0)</f>
        <v>120000</v>
      </c>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t="str">
        <f>IFERROR(__xludf.DUMMYFUNCTION("""COMPUTED_VALUE"""),"+-Cannot be forged or duplicated")</f>
        <v>+-Cannot be forged or duplicated</v>
      </c>
      <c r="AG846" s="32" t="str">
        <f>IFERROR(__xludf.DUMMYFUNCTION("""COMPUTED_VALUE"""),"Dragonscale Island")</f>
        <v>Dragonscale Island</v>
      </c>
      <c r="AH846" s="32" t="b">
        <f>IFERROR(__xludf.DUMMYFUNCTION("""COMPUTED_VALUE"""),FALSE)</f>
        <v>0</v>
      </c>
      <c r="AI846" s="32"/>
      <c r="AJ846" s="32"/>
      <c r="AK846" s="32"/>
      <c r="AL846" s="32"/>
      <c r="AM846" s="32"/>
      <c r="AN846" s="32"/>
      <c r="AO846" s="32"/>
      <c r="AP846" s="32"/>
      <c r="AQ846" s="32"/>
      <c r="AR846" s="32"/>
      <c r="AS846" s="32"/>
      <c r="AT846" s="32"/>
      <c r="AU846" s="32"/>
      <c r="AV846" s="32"/>
      <c r="AW846" s="32"/>
      <c r="AX846" s="32"/>
    </row>
    <row r="847">
      <c r="A847" s="32" t="str">
        <f>IFERROR(__xludf.DUMMYFUNCTION("""COMPUTED_VALUE"""),"Wyrmstone Buckler")</f>
        <v>Wyrmstone Buckler</v>
      </c>
      <c r="B847" s="32" t="str">
        <f>IFERROR(__xludf.DUMMYFUNCTION("""COMPUTED_VALUE"""),"Hand")</f>
        <v>Hand</v>
      </c>
      <c r="C847" s="32"/>
      <c r="D847" s="32" t="str">
        <f>IFERROR(__xludf.DUMMYFUNCTION("""COMPUTED_VALUE"""),"Buckler")</f>
        <v>Buckler</v>
      </c>
      <c r="E847" s="32">
        <f>IFERROR(__xludf.DUMMYFUNCTION("""COMPUTED_VALUE"""),3000.0)</f>
        <v>3000</v>
      </c>
      <c r="F847" s="44">
        <f>IFERROR(__xludf.DUMMYFUNCTION("""COMPUTED_VALUE"""),4.485E8)</f>
        <v>448500000</v>
      </c>
      <c r="G847" s="32" t="str">
        <f>IFERROR(__xludf.DUMMYFUNCTION("""COMPUTED_VALUE"""),"DEF")</f>
        <v>DEF</v>
      </c>
      <c r="H847" s="32">
        <f>IFERROR(__xludf.DUMMYFUNCTION("""COMPUTED_VALUE"""),150000.0)</f>
        <v>150000</v>
      </c>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t="str">
        <f>IFERROR(__xludf.DUMMYFUNCTION("""COMPUTED_VALUE"""),"++25% chance to parry dragons' attacks +-Cannot be forged or duplicated")</f>
        <v>++25% chance to parry dragons' attacks +-Cannot be forged or duplicated</v>
      </c>
      <c r="AG847" s="32" t="str">
        <f>IFERROR(__xludf.DUMMYFUNCTION("""COMPUTED_VALUE"""),"Dragonscale Island")</f>
        <v>Dragonscale Island</v>
      </c>
      <c r="AH847" s="32" t="b">
        <f>IFERROR(__xludf.DUMMYFUNCTION("""COMPUTED_VALUE"""),FALSE)</f>
        <v>0</v>
      </c>
      <c r="AI847" s="32"/>
      <c r="AJ847" s="32"/>
      <c r="AK847" s="32"/>
      <c r="AL847" s="32"/>
      <c r="AM847" s="32"/>
      <c r="AN847" s="32"/>
      <c r="AO847" s="32"/>
      <c r="AP847" s="32"/>
      <c r="AQ847" s="32"/>
      <c r="AR847" s="32"/>
      <c r="AS847" s="32"/>
      <c r="AT847" s="32"/>
      <c r="AU847" s="32"/>
      <c r="AV847" s="32"/>
      <c r="AW847" s="32"/>
      <c r="AX847" s="32"/>
    </row>
    <row r="848">
      <c r="A848" s="32" t="str">
        <f>IFERROR(__xludf.DUMMYFUNCTION("""COMPUTED_VALUE"""),"Wyrmstone Gauntlet")</f>
        <v>Wyrmstone Gauntlet</v>
      </c>
      <c r="B848" s="32" t="str">
        <f>IFERROR(__xludf.DUMMYFUNCTION("""COMPUTED_VALUE"""),"Hand")</f>
        <v>Hand</v>
      </c>
      <c r="C848" s="32"/>
      <c r="D848" s="32" t="str">
        <f>IFERROR(__xludf.DUMMYFUNCTION("""COMPUTED_VALUE"""),"Gauntlet")</f>
        <v>Gauntlet</v>
      </c>
      <c r="E848" s="32">
        <f>IFERROR(__xludf.DUMMYFUNCTION("""COMPUTED_VALUE"""),3000.0)</f>
        <v>3000</v>
      </c>
      <c r="F848" s="44">
        <f>IFERROR(__xludf.DUMMYFUNCTION("""COMPUTED_VALUE"""),4.485E8)</f>
        <v>448500000</v>
      </c>
      <c r="G848" s="32" t="str">
        <f>IFERROR(__xludf.DUMMYFUNCTION("""COMPUTED_VALUE"""),"DEF")</f>
        <v>DEF</v>
      </c>
      <c r="H848" s="32">
        <f>IFERROR(__xludf.DUMMYFUNCTION("""COMPUTED_VALUE"""),125000.0)</f>
        <v>125000</v>
      </c>
      <c r="I848" s="32"/>
      <c r="J848" s="32"/>
      <c r="K848" s="32"/>
      <c r="L848" s="32"/>
      <c r="M848" s="32"/>
      <c r="N848" s="32">
        <f>IFERROR(__xludf.DUMMYFUNCTION("""COMPUTED_VALUE"""),25000.0)</f>
        <v>25000</v>
      </c>
      <c r="O848" s="32"/>
      <c r="P848" s="32"/>
      <c r="Q848" s="32"/>
      <c r="R848" s="32"/>
      <c r="S848" s="32"/>
      <c r="T848" s="32"/>
      <c r="U848" s="32"/>
      <c r="V848" s="32"/>
      <c r="W848" s="32"/>
      <c r="X848" s="32"/>
      <c r="Y848" s="32"/>
      <c r="Z848" s="32"/>
      <c r="AA848" s="32"/>
      <c r="AB848" s="32"/>
      <c r="AC848" s="32"/>
      <c r="AD848" s="32"/>
      <c r="AE848" s="32"/>
      <c r="AF848" s="32"/>
      <c r="AG848" s="32" t="str">
        <f>IFERROR(__xludf.DUMMYFUNCTION("""COMPUTED_VALUE"""),"Dragonscale Island")</f>
        <v>Dragonscale Island</v>
      </c>
      <c r="AH848" s="32" t="b">
        <f>IFERROR(__xludf.DUMMYFUNCTION("""COMPUTED_VALUE"""),FALSE)</f>
        <v>0</v>
      </c>
      <c r="AI848" s="32"/>
      <c r="AJ848" s="32"/>
      <c r="AK848" s="32"/>
      <c r="AL848" s="32"/>
      <c r="AM848" s="32"/>
      <c r="AN848" s="32"/>
      <c r="AO848" s="32"/>
      <c r="AP848" s="32"/>
      <c r="AQ848" s="32"/>
      <c r="AR848" s="32"/>
      <c r="AS848" s="32"/>
      <c r="AT848" s="32"/>
      <c r="AU848" s="32"/>
      <c r="AV848" s="32"/>
      <c r="AW848" s="32"/>
      <c r="AX848" s="32"/>
    </row>
    <row r="849">
      <c r="A849" s="32" t="str">
        <f>IFERROR(__xludf.DUMMYFUNCTION("""COMPUTED_VALUE"""),"Wyrmstone Leggings")</f>
        <v>Wyrmstone Leggings</v>
      </c>
      <c r="B849" s="32" t="str">
        <f>IFERROR(__xludf.DUMMYFUNCTION("""COMPUTED_VALUE"""),"Legs")</f>
        <v>Legs</v>
      </c>
      <c r="C849" s="32"/>
      <c r="D849" s="32" t="str">
        <f>IFERROR(__xludf.DUMMYFUNCTION("""COMPUTED_VALUE"""),"Item")</f>
        <v>Item</v>
      </c>
      <c r="E849" s="32">
        <f>IFERROR(__xludf.DUMMYFUNCTION("""COMPUTED_VALUE"""),2000.0)</f>
        <v>2000</v>
      </c>
      <c r="F849" s="44">
        <f>IFERROR(__xludf.DUMMYFUNCTION("""COMPUTED_VALUE"""),1.99E8)</f>
        <v>199000000</v>
      </c>
      <c r="G849" s="32" t="str">
        <f>IFERROR(__xludf.DUMMYFUNCTION("""COMPUTED_VALUE"""),"DEF")</f>
        <v>DEF</v>
      </c>
      <c r="H849" s="32">
        <f>IFERROR(__xludf.DUMMYFUNCTION("""COMPUTED_VALUE"""),100000.0)</f>
        <v>100000</v>
      </c>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t="str">
        <f>IFERROR(__xludf.DUMMYFUNCTION("""COMPUTED_VALUE"""),"Dragonscale Island")</f>
        <v>Dragonscale Island</v>
      </c>
      <c r="AH849" s="32" t="b">
        <f>IFERROR(__xludf.DUMMYFUNCTION("""COMPUTED_VALUE"""),FALSE)</f>
        <v>0</v>
      </c>
      <c r="AI849" s="32"/>
      <c r="AJ849" s="32"/>
      <c r="AK849" s="32"/>
      <c r="AL849" s="32"/>
      <c r="AM849" s="32"/>
      <c r="AN849" s="32"/>
      <c r="AO849" s="32"/>
      <c r="AP849" s="32"/>
      <c r="AQ849" s="32"/>
      <c r="AR849" s="32"/>
      <c r="AS849" s="32"/>
      <c r="AT849" s="32"/>
      <c r="AU849" s="32"/>
      <c r="AV849" s="32"/>
      <c r="AW849" s="32"/>
      <c r="AX849" s="32"/>
    </row>
    <row r="850">
      <c r="A850" s="32" t="str">
        <f>IFERROR(__xludf.DUMMYFUNCTION("""COMPUTED_VALUE"""),"Wyrmstone Lance")</f>
        <v>Wyrmstone Lance</v>
      </c>
      <c r="B850" s="32" t="str">
        <f>IFERROR(__xludf.DUMMYFUNCTION("""COMPUTED_VALUE"""),"Hand")</f>
        <v>Hand</v>
      </c>
      <c r="C850" s="32"/>
      <c r="D850" s="32" t="str">
        <f>IFERROR(__xludf.DUMMYFUNCTION("""COMPUTED_VALUE"""),"Spear")</f>
        <v>Spear</v>
      </c>
      <c r="E850" s="32">
        <f>IFERROR(__xludf.DUMMYFUNCTION("""COMPUTED_VALUE"""),2000.0)</f>
        <v>2000</v>
      </c>
      <c r="F850" s="44">
        <f>IFERROR(__xludf.DUMMYFUNCTION("""COMPUTED_VALUE"""),1.99E8)</f>
        <v>199000000</v>
      </c>
      <c r="G850" s="32" t="str">
        <f>IFERROR(__xludf.DUMMYFUNCTION("""COMPUTED_VALUE"""),"DMG")</f>
        <v>DMG</v>
      </c>
      <c r="H850" s="32">
        <f>IFERROR(__xludf.DUMMYFUNCTION("""COMPUTED_VALUE"""),100000.0)</f>
        <v>100000</v>
      </c>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t="str">
        <f>IFERROR(__xludf.DUMMYFUNCTION("""COMPUTED_VALUE"""),"++Damage doubles if used two turns in a row +-Cannot be forged or duplicated")</f>
        <v>++Damage doubles if used two turns in a row +-Cannot be forged or duplicated</v>
      </c>
      <c r="AG850" s="32" t="str">
        <f>IFERROR(__xludf.DUMMYFUNCTION("""COMPUTED_VALUE"""),"Dragonscale Island")</f>
        <v>Dragonscale Island</v>
      </c>
      <c r="AH850" s="32" t="b">
        <f>IFERROR(__xludf.DUMMYFUNCTION("""COMPUTED_VALUE"""),FALSE)</f>
        <v>0</v>
      </c>
      <c r="AI850" s="32"/>
      <c r="AJ850" s="32"/>
      <c r="AK850" s="32"/>
      <c r="AL850" s="32"/>
      <c r="AM850" s="32"/>
      <c r="AN850" s="32"/>
      <c r="AO850" s="32"/>
      <c r="AP850" s="32"/>
      <c r="AQ850" s="32"/>
      <c r="AR850" s="32"/>
      <c r="AS850" s="32"/>
      <c r="AT850" s="32"/>
      <c r="AU850" s="32"/>
      <c r="AV850" s="32"/>
      <c r="AW850" s="32"/>
      <c r="AX850" s="32"/>
    </row>
    <row r="851">
      <c r="A851" s="32" t="str">
        <f>IFERROR(__xludf.DUMMYFUNCTION("""COMPUTED_VALUE"""),"Wyrmstone Nails")</f>
        <v>Wyrmstone Nails</v>
      </c>
      <c r="B851" s="32" t="str">
        <f>IFERROR(__xludf.DUMMYFUNCTION("""COMPUTED_VALUE"""),"Hand")</f>
        <v>Hand</v>
      </c>
      <c r="C851" s="32"/>
      <c r="D851" s="32" t="str">
        <f>IFERROR(__xludf.DUMMYFUNCTION("""COMPUTED_VALUE"""),"Claw")</f>
        <v>Claw</v>
      </c>
      <c r="E851" s="32">
        <f>IFERROR(__xludf.DUMMYFUNCTION("""COMPUTED_VALUE"""),2600.0)</f>
        <v>2600</v>
      </c>
      <c r="F851" s="44">
        <f>IFERROR(__xludf.DUMMYFUNCTION("""COMPUTED_VALUE"""),3.367E8)</f>
        <v>336700000</v>
      </c>
      <c r="G851" s="32" t="str">
        <f>IFERROR(__xludf.DUMMYFUNCTION("""COMPUTED_VALUE"""),"DMG")</f>
        <v>DMG</v>
      </c>
      <c r="H851" s="32">
        <f>IFERROR(__xludf.DUMMYFUNCTION("""COMPUTED_VALUE"""),130000.0)</f>
        <v>130000</v>
      </c>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t="str">
        <f>IFERROR(__xludf.DUMMYFUNCTION("""COMPUTED_VALUE"""),"Dragonscale Island")</f>
        <v>Dragonscale Island</v>
      </c>
      <c r="AH851" s="32" t="b">
        <f>IFERROR(__xludf.DUMMYFUNCTION("""COMPUTED_VALUE"""),FALSE)</f>
        <v>0</v>
      </c>
      <c r="AI851" s="32"/>
      <c r="AJ851" s="32"/>
      <c r="AK851" s="32"/>
      <c r="AL851" s="32"/>
      <c r="AM851" s="32"/>
      <c r="AN851" s="32"/>
      <c r="AO851" s="32"/>
      <c r="AP851" s="32"/>
      <c r="AQ851" s="32"/>
      <c r="AR851" s="32"/>
      <c r="AS851" s="32"/>
      <c r="AT851" s="32"/>
      <c r="AU851" s="32"/>
      <c r="AV851" s="32"/>
      <c r="AW851" s="32"/>
      <c r="AX851" s="32"/>
    </row>
    <row r="852">
      <c r="A852" s="32" t="str">
        <f>IFERROR(__xludf.DUMMYFUNCTION("""COMPUTED_VALUE"""),"Lizard Warrior's Scale Helm")</f>
        <v>Lizard Warrior's Scale Helm</v>
      </c>
      <c r="B852" s="32" t="str">
        <f>IFERROR(__xludf.DUMMYFUNCTION("""COMPUTED_VALUE"""),"Head")</f>
        <v>Head</v>
      </c>
      <c r="C852" s="32"/>
      <c r="D852" s="32" t="str">
        <f>IFERROR(__xludf.DUMMYFUNCTION("""COMPUTED_VALUE"""),"Item")</f>
        <v>Item</v>
      </c>
      <c r="E852" s="32">
        <f>IFERROR(__xludf.DUMMYFUNCTION("""COMPUTED_VALUE"""),3000.0)</f>
        <v>3000</v>
      </c>
      <c r="F852" s="44">
        <f>IFERROR(__xludf.DUMMYFUNCTION("""COMPUTED_VALUE"""),4.485E8)</f>
        <v>448500000</v>
      </c>
      <c r="G852" s="32" t="str">
        <f>IFERROR(__xludf.DUMMYFUNCTION("""COMPUTED_VALUE"""),"DEF")</f>
        <v>DEF</v>
      </c>
      <c r="H852" s="32">
        <f>IFERROR(__xludf.DUMMYFUNCTION("""COMPUTED_VALUE"""),100000.0)</f>
        <v>100000</v>
      </c>
      <c r="I852" s="32"/>
      <c r="J852" s="32"/>
      <c r="K852" s="32"/>
      <c r="L852" s="32"/>
      <c r="M852" s="32"/>
      <c r="N852" s="32"/>
      <c r="O852" s="32"/>
      <c r="P852" s="32"/>
      <c r="Q852" s="32"/>
      <c r="R852" s="32"/>
      <c r="S852" s="32">
        <f>IFERROR(__xludf.DUMMYFUNCTION("""COMPUTED_VALUE"""),50000.0)</f>
        <v>50000</v>
      </c>
      <c r="T852" s="32"/>
      <c r="U852" s="32"/>
      <c r="V852" s="32"/>
      <c r="W852" s="32"/>
      <c r="X852" s="32"/>
      <c r="Y852" s="32"/>
      <c r="Z852" s="32"/>
      <c r="AA852" s="32"/>
      <c r="AB852" s="32"/>
      <c r="AC852" s="32"/>
      <c r="AD852" s="32"/>
      <c r="AE852" s="32"/>
      <c r="AF852" s="32"/>
      <c r="AG852" s="32" t="str">
        <f>IFERROR(__xludf.DUMMYFUNCTION("""COMPUTED_VALUE"""),"Dragonscale Island")</f>
        <v>Dragonscale Island</v>
      </c>
      <c r="AH852" s="32" t="b">
        <f>IFERROR(__xludf.DUMMYFUNCTION("""COMPUTED_VALUE"""),FALSE)</f>
        <v>0</v>
      </c>
      <c r="AI852" s="32"/>
      <c r="AJ852" s="32"/>
      <c r="AK852" s="32"/>
      <c r="AL852" s="32"/>
      <c r="AM852" s="32"/>
      <c r="AN852" s="32"/>
      <c r="AO852" s="32"/>
      <c r="AP852" s="32"/>
      <c r="AQ852" s="32"/>
      <c r="AR852" s="32"/>
      <c r="AS852" s="32"/>
      <c r="AT852" s="32"/>
      <c r="AU852" s="32"/>
      <c r="AV852" s="32"/>
      <c r="AW852" s="32"/>
      <c r="AX852" s="32"/>
    </row>
    <row r="853">
      <c r="A853" s="32" t="str">
        <f>IFERROR(__xludf.DUMMYFUNCTION("""COMPUTED_VALUE"""),"Lizard Warrior's Scaled Pauldrons")</f>
        <v>Lizard Warrior's Scaled Pauldrons</v>
      </c>
      <c r="B853" s="32" t="str">
        <f>IFERROR(__xludf.DUMMYFUNCTION("""COMPUTED_VALUE"""),"Shoulders")</f>
        <v>Shoulders</v>
      </c>
      <c r="C853" s="32"/>
      <c r="D853" s="32" t="str">
        <f>IFERROR(__xludf.DUMMYFUNCTION("""COMPUTED_VALUE"""),"Item")</f>
        <v>Item</v>
      </c>
      <c r="E853" s="32">
        <f>IFERROR(__xludf.DUMMYFUNCTION("""COMPUTED_VALUE"""),3000.0)</f>
        <v>3000</v>
      </c>
      <c r="F853" s="44">
        <f>IFERROR(__xludf.DUMMYFUNCTION("""COMPUTED_VALUE"""),4.485E8)</f>
        <v>448500000</v>
      </c>
      <c r="G853" s="32" t="str">
        <f>IFERROR(__xludf.DUMMYFUNCTION("""COMPUTED_VALUE"""),"DEF")</f>
        <v>DEF</v>
      </c>
      <c r="H853" s="32">
        <f>IFERROR(__xludf.DUMMYFUNCTION("""COMPUTED_VALUE"""),100000.0)</f>
        <v>100000</v>
      </c>
      <c r="I853" s="32"/>
      <c r="J853" s="32"/>
      <c r="K853" s="32"/>
      <c r="L853" s="32"/>
      <c r="M853" s="32"/>
      <c r="N853" s="32"/>
      <c r="O853" s="32"/>
      <c r="P853" s="32"/>
      <c r="Q853" s="32"/>
      <c r="R853" s="32"/>
      <c r="S853" s="32">
        <f>IFERROR(__xludf.DUMMYFUNCTION("""COMPUTED_VALUE"""),50000.0)</f>
        <v>50000</v>
      </c>
      <c r="T853" s="32"/>
      <c r="U853" s="32"/>
      <c r="V853" s="32"/>
      <c r="W853" s="32"/>
      <c r="X853" s="32"/>
      <c r="Y853" s="32"/>
      <c r="Z853" s="32"/>
      <c r="AA853" s="32"/>
      <c r="AB853" s="32"/>
      <c r="AC853" s="32"/>
      <c r="AD853" s="32"/>
      <c r="AE853" s="32"/>
      <c r="AF853" s="32"/>
      <c r="AG853" s="32" t="str">
        <f>IFERROR(__xludf.DUMMYFUNCTION("""COMPUTED_VALUE"""),"Dragonscale Island")</f>
        <v>Dragonscale Island</v>
      </c>
      <c r="AH853" s="32" t="b">
        <f>IFERROR(__xludf.DUMMYFUNCTION("""COMPUTED_VALUE"""),FALSE)</f>
        <v>0</v>
      </c>
      <c r="AI853" s="32"/>
      <c r="AJ853" s="32"/>
      <c r="AK853" s="32"/>
      <c r="AL853" s="32"/>
      <c r="AM853" s="32"/>
      <c r="AN853" s="32"/>
      <c r="AO853" s="32"/>
      <c r="AP853" s="32"/>
      <c r="AQ853" s="32"/>
      <c r="AR853" s="32"/>
      <c r="AS853" s="32"/>
      <c r="AT853" s="32"/>
      <c r="AU853" s="32"/>
      <c r="AV853" s="32"/>
      <c r="AW853" s="32"/>
      <c r="AX853" s="32"/>
    </row>
    <row r="854">
      <c r="A854" s="32" t="str">
        <f>IFERROR(__xludf.DUMMYFUNCTION("""COMPUTED_VALUE"""),"Lizard Warrior's Scaled Chest")</f>
        <v>Lizard Warrior's Scaled Chest</v>
      </c>
      <c r="B854" s="32" t="str">
        <f>IFERROR(__xludf.DUMMYFUNCTION("""COMPUTED_VALUE"""),"Torso")</f>
        <v>Torso</v>
      </c>
      <c r="C854" s="32"/>
      <c r="D854" s="32" t="str">
        <f>IFERROR(__xludf.DUMMYFUNCTION("""COMPUTED_VALUE"""),"Item")</f>
        <v>Item</v>
      </c>
      <c r="E854" s="32">
        <f>IFERROR(__xludf.DUMMYFUNCTION("""COMPUTED_VALUE"""),3000.0)</f>
        <v>3000</v>
      </c>
      <c r="F854" s="44">
        <f>IFERROR(__xludf.DUMMYFUNCTION("""COMPUTED_VALUE"""),4.485E8)</f>
        <v>448500000</v>
      </c>
      <c r="G854" s="32" t="str">
        <f>IFERROR(__xludf.DUMMYFUNCTION("""COMPUTED_VALUE"""),"DEF")</f>
        <v>DEF</v>
      </c>
      <c r="H854" s="32">
        <f>IFERROR(__xludf.DUMMYFUNCTION("""COMPUTED_VALUE"""),100000.0)</f>
        <v>100000</v>
      </c>
      <c r="I854" s="32"/>
      <c r="J854" s="32"/>
      <c r="K854" s="32"/>
      <c r="L854" s="32"/>
      <c r="M854" s="32"/>
      <c r="N854" s="32"/>
      <c r="O854" s="32"/>
      <c r="P854" s="32"/>
      <c r="Q854" s="32"/>
      <c r="R854" s="32"/>
      <c r="S854" s="32">
        <f>IFERROR(__xludf.DUMMYFUNCTION("""COMPUTED_VALUE"""),50000.0)</f>
        <v>50000</v>
      </c>
      <c r="T854" s="32"/>
      <c r="U854" s="32"/>
      <c r="V854" s="32"/>
      <c r="W854" s="32"/>
      <c r="X854" s="32"/>
      <c r="Y854" s="32"/>
      <c r="Z854" s="32"/>
      <c r="AA854" s="32"/>
      <c r="AB854" s="32"/>
      <c r="AC854" s="32"/>
      <c r="AD854" s="32"/>
      <c r="AE854" s="32"/>
      <c r="AF854" s="32" t="str">
        <f>IFERROR(__xludf.DUMMYFUNCTION("""COMPUTED_VALUE"""),"++When the wearer is attacked, the one that attacked them takes 15000 poison for 3 rounds")</f>
        <v>++When the wearer is attacked, the one that attacked them takes 15000 poison for 3 rounds</v>
      </c>
      <c r="AG854" s="32" t="str">
        <f>IFERROR(__xludf.DUMMYFUNCTION("""COMPUTED_VALUE"""),"Dragonscale Island")</f>
        <v>Dragonscale Island</v>
      </c>
      <c r="AH854" s="32" t="b">
        <f>IFERROR(__xludf.DUMMYFUNCTION("""COMPUTED_VALUE"""),FALSE)</f>
        <v>0</v>
      </c>
      <c r="AI854" s="32"/>
      <c r="AJ854" s="32"/>
      <c r="AK854" s="32"/>
      <c r="AL854" s="32"/>
      <c r="AM854" s="32"/>
      <c r="AN854" s="32"/>
      <c r="AO854" s="32"/>
      <c r="AP854" s="32"/>
      <c r="AQ854" s="32"/>
      <c r="AR854" s="32"/>
      <c r="AS854" s="32"/>
      <c r="AT854" s="32"/>
      <c r="AU854" s="32"/>
      <c r="AV854" s="32"/>
      <c r="AW854" s="32"/>
      <c r="AX854" s="32"/>
    </row>
    <row r="855">
      <c r="A855" s="32" t="str">
        <f>IFERROR(__xludf.DUMMYFUNCTION("""COMPUTED_VALUE"""),"Lizard Warrior's Scaled Arms")</f>
        <v>Lizard Warrior's Scaled Arms</v>
      </c>
      <c r="B855" s="32" t="str">
        <f>IFERROR(__xludf.DUMMYFUNCTION("""COMPUTED_VALUE"""),"Arms")</f>
        <v>Arms</v>
      </c>
      <c r="C855" s="32"/>
      <c r="D855" s="32" t="str">
        <f>IFERROR(__xludf.DUMMYFUNCTION("""COMPUTED_VALUE"""),"Item")</f>
        <v>Item</v>
      </c>
      <c r="E855" s="32">
        <f>IFERROR(__xludf.DUMMYFUNCTION("""COMPUTED_VALUE"""),3000.0)</f>
        <v>3000</v>
      </c>
      <c r="F855" s="44">
        <f>IFERROR(__xludf.DUMMYFUNCTION("""COMPUTED_VALUE"""),4.485E8)</f>
        <v>448500000</v>
      </c>
      <c r="G855" s="32" t="str">
        <f>IFERROR(__xludf.DUMMYFUNCTION("""COMPUTED_VALUE"""),"DEF")</f>
        <v>DEF</v>
      </c>
      <c r="H855" s="32">
        <f>IFERROR(__xludf.DUMMYFUNCTION("""COMPUTED_VALUE"""),100000.0)</f>
        <v>100000</v>
      </c>
      <c r="I855" s="32"/>
      <c r="J855" s="32"/>
      <c r="K855" s="32"/>
      <c r="L855" s="32"/>
      <c r="M855" s="32"/>
      <c r="N855" s="32"/>
      <c r="O855" s="32"/>
      <c r="P855" s="32"/>
      <c r="Q855" s="32"/>
      <c r="R855" s="32"/>
      <c r="S855" s="32">
        <f>IFERROR(__xludf.DUMMYFUNCTION("""COMPUTED_VALUE"""),50000.0)</f>
        <v>50000</v>
      </c>
      <c r="T855" s="32"/>
      <c r="U855" s="32"/>
      <c r="V855" s="32"/>
      <c r="W855" s="32"/>
      <c r="X855" s="32"/>
      <c r="Y855" s="32"/>
      <c r="Z855" s="32"/>
      <c r="AA855" s="32"/>
      <c r="AB855" s="32"/>
      <c r="AC855" s="32"/>
      <c r="AD855" s="32"/>
      <c r="AE855" s="32"/>
      <c r="AF855" s="32" t="str">
        <f>IFERROR(__xludf.DUMMYFUNCTION("""COMPUTED_VALUE"""),"++7500 DEF for every enemy currently poisoned (Max 37500)")</f>
        <v>++7500 DEF for every enemy currently poisoned (Max 37500)</v>
      </c>
      <c r="AG855" s="32" t="str">
        <f>IFERROR(__xludf.DUMMYFUNCTION("""COMPUTED_VALUE"""),"Dragonscale Island")</f>
        <v>Dragonscale Island</v>
      </c>
      <c r="AH855" s="32" t="b">
        <f>IFERROR(__xludf.DUMMYFUNCTION("""COMPUTED_VALUE"""),FALSE)</f>
        <v>0</v>
      </c>
      <c r="AI855" s="32"/>
      <c r="AJ855" s="32"/>
      <c r="AK855" s="32"/>
      <c r="AL855" s="32"/>
      <c r="AM855" s="32"/>
      <c r="AN855" s="32"/>
      <c r="AO855" s="32"/>
      <c r="AP855" s="32"/>
      <c r="AQ855" s="32"/>
      <c r="AR855" s="32"/>
      <c r="AS855" s="32"/>
      <c r="AT855" s="32"/>
      <c r="AU855" s="32"/>
      <c r="AV855" s="32"/>
      <c r="AW855" s="32"/>
      <c r="AX855" s="32"/>
    </row>
    <row r="856">
      <c r="A856" s="32" t="str">
        <f>IFERROR(__xludf.DUMMYFUNCTION("""COMPUTED_VALUE"""),"Lizard Warrior's Bracelets")</f>
        <v>Lizard Warrior's Bracelets</v>
      </c>
      <c r="B856" s="32" t="str">
        <f>IFERROR(__xludf.DUMMYFUNCTION("""COMPUTED_VALUE"""),"Arms")</f>
        <v>Arms</v>
      </c>
      <c r="C856" s="32"/>
      <c r="D856" s="32" t="str">
        <f>IFERROR(__xludf.DUMMYFUNCTION("""COMPUTED_VALUE"""),"Item")</f>
        <v>Item</v>
      </c>
      <c r="E856" s="32">
        <f>IFERROR(__xludf.DUMMYFUNCTION("""COMPUTED_VALUE"""),3000.0)</f>
        <v>3000</v>
      </c>
      <c r="F856" s="44">
        <f>IFERROR(__xludf.DUMMYFUNCTION("""COMPUTED_VALUE"""),4.485E8)</f>
        <v>448500000</v>
      </c>
      <c r="G856" s="32" t="str">
        <f>IFERROR(__xludf.DUMMYFUNCTION("""COMPUTED_VALUE"""),"DEF")</f>
        <v>DEF</v>
      </c>
      <c r="H856" s="32">
        <f>IFERROR(__xludf.DUMMYFUNCTION("""COMPUTED_VALUE"""),100000.0)</f>
        <v>100000</v>
      </c>
      <c r="I856" s="32"/>
      <c r="J856" s="32"/>
      <c r="K856" s="32"/>
      <c r="L856" s="32"/>
      <c r="M856" s="32"/>
      <c r="N856" s="32"/>
      <c r="O856" s="32"/>
      <c r="P856" s="32"/>
      <c r="Q856" s="32"/>
      <c r="R856" s="32"/>
      <c r="S856" s="32">
        <f>IFERROR(__xludf.DUMMYFUNCTION("""COMPUTED_VALUE"""),50000.0)</f>
        <v>50000</v>
      </c>
      <c r="T856" s="32"/>
      <c r="U856" s="32"/>
      <c r="V856" s="32"/>
      <c r="W856" s="32"/>
      <c r="X856" s="32"/>
      <c r="Y856" s="32"/>
      <c r="Z856" s="32"/>
      <c r="AA856" s="32"/>
      <c r="AB856" s="32"/>
      <c r="AC856" s="32"/>
      <c r="AD856" s="32"/>
      <c r="AE856" s="32"/>
      <c r="AF856" s="32" t="str">
        <f>IFERROR(__xludf.DUMMYFUNCTION("""COMPUTED_VALUE"""),"++5000 ACC for every enemy currently poisoned (Max 25000)")</f>
        <v>++5000 ACC for every enemy currently poisoned (Max 25000)</v>
      </c>
      <c r="AG856" s="32" t="str">
        <f>IFERROR(__xludf.DUMMYFUNCTION("""COMPUTED_VALUE"""),"Dragonscale Island")</f>
        <v>Dragonscale Island</v>
      </c>
      <c r="AH856" s="32" t="b">
        <f>IFERROR(__xludf.DUMMYFUNCTION("""COMPUTED_VALUE"""),FALSE)</f>
        <v>0</v>
      </c>
      <c r="AI856" s="32"/>
      <c r="AJ856" s="32"/>
      <c r="AK856" s="32"/>
      <c r="AL856" s="32"/>
      <c r="AM856" s="32"/>
      <c r="AN856" s="32"/>
      <c r="AO856" s="32"/>
      <c r="AP856" s="32"/>
      <c r="AQ856" s="32"/>
      <c r="AR856" s="32"/>
      <c r="AS856" s="32"/>
      <c r="AT856" s="32"/>
      <c r="AU856" s="32"/>
      <c r="AV856" s="32"/>
      <c r="AW856" s="32"/>
      <c r="AX856" s="32"/>
    </row>
    <row r="857">
      <c r="A857" s="32" t="str">
        <f>IFERROR(__xludf.DUMMYFUNCTION("""COMPUTED_VALUE"""),"Lizard Warrior's Scaled Legs")</f>
        <v>Lizard Warrior's Scaled Legs</v>
      </c>
      <c r="B857" s="32" t="str">
        <f>IFERROR(__xludf.DUMMYFUNCTION("""COMPUTED_VALUE"""),"Legs")</f>
        <v>Legs</v>
      </c>
      <c r="C857" s="32"/>
      <c r="D857" s="32" t="str">
        <f>IFERROR(__xludf.DUMMYFUNCTION("""COMPUTED_VALUE"""),"Item")</f>
        <v>Item</v>
      </c>
      <c r="E857" s="32">
        <f>IFERROR(__xludf.DUMMYFUNCTION("""COMPUTED_VALUE"""),3000.0)</f>
        <v>3000</v>
      </c>
      <c r="F857" s="44">
        <f>IFERROR(__xludf.DUMMYFUNCTION("""COMPUTED_VALUE"""),4.485E8)</f>
        <v>448500000</v>
      </c>
      <c r="G857" s="32" t="str">
        <f>IFERROR(__xludf.DUMMYFUNCTION("""COMPUTED_VALUE"""),"DEF")</f>
        <v>DEF</v>
      </c>
      <c r="H857" s="32">
        <f>IFERROR(__xludf.DUMMYFUNCTION("""COMPUTED_VALUE"""),100000.0)</f>
        <v>100000</v>
      </c>
      <c r="I857" s="32"/>
      <c r="J857" s="32"/>
      <c r="K857" s="32"/>
      <c r="L857" s="32"/>
      <c r="M857" s="32"/>
      <c r="N857" s="32"/>
      <c r="O857" s="32"/>
      <c r="P857" s="32"/>
      <c r="Q857" s="32"/>
      <c r="R857" s="32"/>
      <c r="S857" s="32">
        <f>IFERROR(__xludf.DUMMYFUNCTION("""COMPUTED_VALUE"""),50000.0)</f>
        <v>50000</v>
      </c>
      <c r="T857" s="32"/>
      <c r="U857" s="32"/>
      <c r="V857" s="32"/>
      <c r="W857" s="32"/>
      <c r="X857" s="32"/>
      <c r="Y857" s="32"/>
      <c r="Z857" s="32"/>
      <c r="AA857" s="32"/>
      <c r="AB857" s="32"/>
      <c r="AC857" s="32"/>
      <c r="AD857" s="32"/>
      <c r="AE857" s="32"/>
      <c r="AF857" s="32" t="str">
        <f>IFERROR(__xludf.DUMMYFUNCTION("""COMPUTED_VALUE"""),"++5000 ATK for every enemy currently poisoned (Max 25000)")</f>
        <v>++5000 ATK for every enemy currently poisoned (Max 25000)</v>
      </c>
      <c r="AG857" s="32" t="str">
        <f>IFERROR(__xludf.DUMMYFUNCTION("""COMPUTED_VALUE"""),"Dragonscale Island")</f>
        <v>Dragonscale Island</v>
      </c>
      <c r="AH857" s="32" t="b">
        <f>IFERROR(__xludf.DUMMYFUNCTION("""COMPUTED_VALUE"""),FALSE)</f>
        <v>0</v>
      </c>
      <c r="AI857" s="32"/>
      <c r="AJ857" s="32"/>
      <c r="AK857" s="32"/>
      <c r="AL857" s="32"/>
      <c r="AM857" s="32"/>
      <c r="AN857" s="32"/>
      <c r="AO857" s="32"/>
      <c r="AP857" s="32"/>
      <c r="AQ857" s="32"/>
      <c r="AR857" s="32"/>
      <c r="AS857" s="32"/>
      <c r="AT857" s="32"/>
      <c r="AU857" s="32"/>
      <c r="AV857" s="32"/>
      <c r="AW857" s="32"/>
      <c r="AX857" s="32"/>
    </row>
    <row r="858">
      <c r="A858" s="32" t="str">
        <f>IFERROR(__xludf.DUMMYFUNCTION("""COMPUTED_VALUE"""),"Lizard Warrior's Scaled Boots")</f>
        <v>Lizard Warrior's Scaled Boots</v>
      </c>
      <c r="B858" s="32" t="str">
        <f>IFERROR(__xludf.DUMMYFUNCTION("""COMPUTED_VALUE"""),"Feet")</f>
        <v>Feet</v>
      </c>
      <c r="C858" s="32"/>
      <c r="D858" s="32" t="str">
        <f>IFERROR(__xludf.DUMMYFUNCTION("""COMPUTED_VALUE"""),"Item")</f>
        <v>Item</v>
      </c>
      <c r="E858" s="32">
        <f>IFERROR(__xludf.DUMMYFUNCTION("""COMPUTED_VALUE"""),3000.0)</f>
        <v>3000</v>
      </c>
      <c r="F858" s="44">
        <f>IFERROR(__xludf.DUMMYFUNCTION("""COMPUTED_VALUE"""),4.485E8)</f>
        <v>448500000</v>
      </c>
      <c r="G858" s="32" t="str">
        <f>IFERROR(__xludf.DUMMYFUNCTION("""COMPUTED_VALUE"""),"DEF")</f>
        <v>DEF</v>
      </c>
      <c r="H858" s="32">
        <f>IFERROR(__xludf.DUMMYFUNCTION("""COMPUTED_VALUE"""),100000.0)</f>
        <v>100000</v>
      </c>
      <c r="I858" s="32"/>
      <c r="J858" s="32"/>
      <c r="K858" s="32"/>
      <c r="L858" s="32"/>
      <c r="M858" s="32"/>
      <c r="N858" s="32"/>
      <c r="O858" s="32"/>
      <c r="P858" s="32"/>
      <c r="Q858" s="32"/>
      <c r="R858" s="32"/>
      <c r="S858" s="32">
        <f>IFERROR(__xludf.DUMMYFUNCTION("""COMPUTED_VALUE"""),50000.0)</f>
        <v>50000</v>
      </c>
      <c r="T858" s="32"/>
      <c r="U858" s="32"/>
      <c r="V858" s="32"/>
      <c r="W858" s="32"/>
      <c r="X858" s="32"/>
      <c r="Y858" s="32"/>
      <c r="Z858" s="32"/>
      <c r="AA858" s="32"/>
      <c r="AB858" s="32"/>
      <c r="AC858" s="32"/>
      <c r="AD858" s="32"/>
      <c r="AE858" s="32"/>
      <c r="AF858" s="32" t="str">
        <f>IFERROR(__xludf.DUMMYFUNCTION("""COMPUTED_VALUE"""),"++1 Mobility for every enemy currently poisoned (Max 5)")</f>
        <v>++1 Mobility for every enemy currently poisoned (Max 5)</v>
      </c>
      <c r="AG858" s="32" t="str">
        <f>IFERROR(__xludf.DUMMYFUNCTION("""COMPUTED_VALUE"""),"Dragonscale Island")</f>
        <v>Dragonscale Island</v>
      </c>
      <c r="AH858" s="32" t="b">
        <f>IFERROR(__xludf.DUMMYFUNCTION("""COMPUTED_VALUE"""),FALSE)</f>
        <v>0</v>
      </c>
      <c r="AI858" s="32"/>
      <c r="AJ858" s="32"/>
      <c r="AK858" s="32"/>
      <c r="AL858" s="32"/>
      <c r="AM858" s="32"/>
      <c r="AN858" s="32"/>
      <c r="AO858" s="32"/>
      <c r="AP858" s="32"/>
      <c r="AQ858" s="32"/>
      <c r="AR858" s="32"/>
      <c r="AS858" s="32"/>
      <c r="AT858" s="32"/>
      <c r="AU858" s="32"/>
      <c r="AV858" s="32"/>
      <c r="AW858" s="32"/>
      <c r="AX858" s="32"/>
    </row>
    <row r="859">
      <c r="A859" s="32" t="str">
        <f>IFERROR(__xludf.DUMMYFUNCTION("""COMPUTED_VALUE"""),"Lizard Warrior's Claw")</f>
        <v>Lizard Warrior's Claw</v>
      </c>
      <c r="B859" s="32" t="str">
        <f>IFERROR(__xludf.DUMMYFUNCTION("""COMPUTED_VALUE"""),"Hand")</f>
        <v>Hand</v>
      </c>
      <c r="C859" s="32"/>
      <c r="D859" s="32" t="str">
        <f>IFERROR(__xludf.DUMMYFUNCTION("""COMPUTED_VALUE"""),"Claw")</f>
        <v>Claw</v>
      </c>
      <c r="E859" s="32">
        <f>IFERROR(__xludf.DUMMYFUNCTION("""COMPUTED_VALUE"""),3000.0)</f>
        <v>3000</v>
      </c>
      <c r="F859" s="44">
        <f>IFERROR(__xludf.DUMMYFUNCTION("""COMPUTED_VALUE"""),4.485E8)</f>
        <v>448500000</v>
      </c>
      <c r="G859" s="32" t="str">
        <f>IFERROR(__xludf.DUMMYFUNCTION("""COMPUTED_VALUE"""),"DMG")</f>
        <v>DMG</v>
      </c>
      <c r="H859" s="32">
        <f>IFERROR(__xludf.DUMMYFUNCTION("""COMPUTED_VALUE"""),100000.0)</f>
        <v>100000</v>
      </c>
      <c r="I859" s="32"/>
      <c r="J859" s="32"/>
      <c r="K859" s="32"/>
      <c r="L859" s="32"/>
      <c r="M859" s="32"/>
      <c r="N859" s="32"/>
      <c r="O859" s="32"/>
      <c r="P859" s="32"/>
      <c r="Q859" s="32"/>
      <c r="R859" s="32"/>
      <c r="S859" s="32">
        <f>IFERROR(__xludf.DUMMYFUNCTION("""COMPUTED_VALUE"""),50000.0)</f>
        <v>50000</v>
      </c>
      <c r="T859" s="32"/>
      <c r="U859" s="32"/>
      <c r="V859" s="32"/>
      <c r="W859" s="32"/>
      <c r="X859" s="32"/>
      <c r="Y859" s="32"/>
      <c r="Z859" s="32"/>
      <c r="AA859" s="32"/>
      <c r="AB859" s="32"/>
      <c r="AC859" s="32"/>
      <c r="AD859" s="32"/>
      <c r="AE859" s="32"/>
      <c r="AF859" s="32"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32" t="str">
        <f>IFERROR(__xludf.DUMMYFUNCTION("""COMPUTED_VALUE"""),"Dragonscale Island")</f>
        <v>Dragonscale Island</v>
      </c>
      <c r="AH859" s="32" t="b">
        <f>IFERROR(__xludf.DUMMYFUNCTION("""COMPUTED_VALUE"""),FALSE)</f>
        <v>0</v>
      </c>
      <c r="AI859" s="32"/>
      <c r="AJ859" s="32"/>
      <c r="AK859" s="32"/>
      <c r="AL859" s="32"/>
      <c r="AM859" s="32"/>
      <c r="AN859" s="32"/>
      <c r="AO859" s="32"/>
      <c r="AP859" s="32"/>
      <c r="AQ859" s="32"/>
      <c r="AR859" s="32"/>
      <c r="AS859" s="32"/>
      <c r="AT859" s="32"/>
      <c r="AU859" s="32"/>
      <c r="AV859" s="32"/>
      <c r="AW859" s="32"/>
      <c r="AX859" s="32"/>
    </row>
    <row r="860">
      <c r="A860" s="32" t="str">
        <f>IFERROR(__xludf.DUMMYFUNCTION("""COMPUTED_VALUE"""),"Lizard Warrior Guantlet")</f>
        <v>Lizard Warrior Guantlet</v>
      </c>
      <c r="B860" s="32" t="str">
        <f>IFERROR(__xludf.DUMMYFUNCTION("""COMPUTED_VALUE"""),"Hand")</f>
        <v>Hand</v>
      </c>
      <c r="C860" s="32"/>
      <c r="D860" s="32" t="str">
        <f>IFERROR(__xludf.DUMMYFUNCTION("""COMPUTED_VALUE"""),"Gauntlet")</f>
        <v>Gauntlet</v>
      </c>
      <c r="E860" s="32">
        <f>IFERROR(__xludf.DUMMYFUNCTION("""COMPUTED_VALUE"""),3000.0)</f>
        <v>3000</v>
      </c>
      <c r="F860" s="44">
        <f>IFERROR(__xludf.DUMMYFUNCTION("""COMPUTED_VALUE"""),4.485E8)</f>
        <v>448500000</v>
      </c>
      <c r="G860" s="32" t="str">
        <f>IFERROR(__xludf.DUMMYFUNCTION("""COMPUTED_VALUE"""),"DEF")</f>
        <v>DEF</v>
      </c>
      <c r="H860" s="32">
        <f>IFERROR(__xludf.DUMMYFUNCTION("""COMPUTED_VALUE"""),100000.0)</f>
        <v>100000</v>
      </c>
      <c r="I860" s="32"/>
      <c r="J860" s="32"/>
      <c r="K860" s="32"/>
      <c r="L860" s="32"/>
      <c r="M860" s="32"/>
      <c r="N860" s="32"/>
      <c r="O860" s="32"/>
      <c r="P860" s="32"/>
      <c r="Q860" s="32"/>
      <c r="R860" s="32"/>
      <c r="S860" s="32">
        <f>IFERROR(__xludf.DUMMYFUNCTION("""COMPUTED_VALUE"""),50000.0)</f>
        <v>50000</v>
      </c>
      <c r="T860" s="32"/>
      <c r="U860" s="32"/>
      <c r="V860" s="32"/>
      <c r="W860" s="32"/>
      <c r="X860" s="32"/>
      <c r="Y860" s="32"/>
      <c r="Z860" s="32"/>
      <c r="AA860" s="32"/>
      <c r="AB860" s="32"/>
      <c r="AC860" s="32"/>
      <c r="AD860" s="32"/>
      <c r="AE860" s="32"/>
      <c r="AF860" s="32" t="str">
        <f>IFERROR(__xludf.DUMMYFUNCTION("""COMPUTED_VALUE"""),"++50% chance to be unaffected by a weapon attack from a poisoned enemy")</f>
        <v>++50% chance to be unaffected by a weapon attack from a poisoned enemy</v>
      </c>
      <c r="AG860" s="32" t="str">
        <f>IFERROR(__xludf.DUMMYFUNCTION("""COMPUTED_VALUE"""),"Dragonscale Island")</f>
        <v>Dragonscale Island</v>
      </c>
      <c r="AH860" s="32" t="b">
        <f>IFERROR(__xludf.DUMMYFUNCTION("""COMPUTED_VALUE"""),FALSE)</f>
        <v>0</v>
      </c>
      <c r="AI860" s="32"/>
      <c r="AJ860" s="32"/>
      <c r="AK860" s="32"/>
      <c r="AL860" s="32"/>
      <c r="AM860" s="32"/>
      <c r="AN860" s="32"/>
      <c r="AO860" s="32"/>
      <c r="AP860" s="32"/>
      <c r="AQ860" s="32"/>
      <c r="AR860" s="32"/>
      <c r="AS860" s="32"/>
      <c r="AT860" s="32"/>
      <c r="AU860" s="32"/>
      <c r="AV860" s="32"/>
      <c r="AW860" s="32"/>
      <c r="AX860" s="32"/>
    </row>
    <row r="861">
      <c r="A861" s="32" t="str">
        <f>IFERROR(__xludf.DUMMYFUNCTION("""COMPUTED_VALUE"""),"Igaunian Assassin's Cowl")</f>
        <v>Igaunian Assassin's Cowl</v>
      </c>
      <c r="B861" s="32" t="str">
        <f>IFERROR(__xludf.DUMMYFUNCTION("""COMPUTED_VALUE"""),"Head")</f>
        <v>Head</v>
      </c>
      <c r="C861" s="32"/>
      <c r="D861" s="32" t="str">
        <f>IFERROR(__xludf.DUMMYFUNCTION("""COMPUTED_VALUE"""),"Item")</f>
        <v>Item</v>
      </c>
      <c r="E861" s="32">
        <f>IFERROR(__xludf.DUMMYFUNCTION("""COMPUTED_VALUE"""),2000.0)</f>
        <v>2000</v>
      </c>
      <c r="F861" s="44">
        <f>IFERROR(__xludf.DUMMYFUNCTION("""COMPUTED_VALUE"""),1.99E8)</f>
        <v>199000000</v>
      </c>
      <c r="G861" s="32" t="str">
        <f>IFERROR(__xludf.DUMMYFUNCTION("""COMPUTED_VALUE"""),"DEF")</f>
        <v>DEF</v>
      </c>
      <c r="H861" s="32">
        <f>IFERROR(__xludf.DUMMYFUNCTION("""COMPUTED_VALUE"""),75000.0)</f>
        <v>75000</v>
      </c>
      <c r="I861" s="32"/>
      <c r="J861" s="32"/>
      <c r="K861" s="32"/>
      <c r="L861" s="32"/>
      <c r="M861" s="32"/>
      <c r="N861" s="32"/>
      <c r="O861" s="32"/>
      <c r="P861" s="32"/>
      <c r="Q861" s="32"/>
      <c r="R861" s="32"/>
      <c r="S861" s="32">
        <f>IFERROR(__xludf.DUMMYFUNCTION("""COMPUTED_VALUE"""),25000.0)</f>
        <v>25000</v>
      </c>
      <c r="T861" s="32"/>
      <c r="U861" s="32"/>
      <c r="V861" s="32"/>
      <c r="W861" s="32"/>
      <c r="X861" s="32"/>
      <c r="Y861" s="32"/>
      <c r="Z861" s="32"/>
      <c r="AA861" s="32"/>
      <c r="AB861" s="32"/>
      <c r="AC861" s="32"/>
      <c r="AD861" s="32"/>
      <c r="AE861" s="32"/>
      <c r="AF861" s="32" t="str">
        <f>IFERROR(__xludf.DUMMYFUNCTION("""COMPUTED_VALUE"""),"++15000 ATK and ACC ++X4 Knife and Boomerang damage ++5 to all weapon attacks if concealed")</f>
        <v>++15000 ATK and ACC ++X4 Knife and Boomerang damage ++5 to all weapon attacks if concealed</v>
      </c>
      <c r="AG861" s="32" t="str">
        <f>IFERROR(__xludf.DUMMYFUNCTION("""COMPUTED_VALUE"""),"Dragonscale Island")</f>
        <v>Dragonscale Island</v>
      </c>
      <c r="AH861" s="32" t="b">
        <f>IFERROR(__xludf.DUMMYFUNCTION("""COMPUTED_VALUE"""),FALSE)</f>
        <v>0</v>
      </c>
      <c r="AI861" s="32"/>
      <c r="AJ861" s="32"/>
      <c r="AK861" s="32"/>
      <c r="AL861" s="32"/>
      <c r="AM861" s="32"/>
      <c r="AN861" s="32"/>
      <c r="AO861" s="32"/>
      <c r="AP861" s="32"/>
      <c r="AQ861" s="32"/>
      <c r="AR861" s="32"/>
      <c r="AS861" s="32"/>
      <c r="AT861" s="32"/>
      <c r="AU861" s="32"/>
      <c r="AV861" s="32"/>
      <c r="AW861" s="32"/>
      <c r="AX861" s="32"/>
    </row>
    <row r="862">
      <c r="A862" s="32" t="str">
        <f>IFERROR(__xludf.DUMMYFUNCTION("""COMPUTED_VALUE"""),"Igaunian Assassin's Cloths")</f>
        <v>Igaunian Assassin's Cloths</v>
      </c>
      <c r="B862" s="32" t="str">
        <f>IFERROR(__xludf.DUMMYFUNCTION("""COMPUTED_VALUE"""),"Torso")</f>
        <v>Torso</v>
      </c>
      <c r="C862" s="32"/>
      <c r="D862" s="32" t="str">
        <f>IFERROR(__xludf.DUMMYFUNCTION("""COMPUTED_VALUE"""),"Item")</f>
        <v>Item</v>
      </c>
      <c r="E862" s="32">
        <f>IFERROR(__xludf.DUMMYFUNCTION("""COMPUTED_VALUE"""),2000.0)</f>
        <v>2000</v>
      </c>
      <c r="F862" s="44">
        <f>IFERROR(__xludf.DUMMYFUNCTION("""COMPUTED_VALUE"""),1.99E8)</f>
        <v>199000000</v>
      </c>
      <c r="G862" s="32" t="str">
        <f>IFERROR(__xludf.DUMMYFUNCTION("""COMPUTED_VALUE"""),"DEF")</f>
        <v>DEF</v>
      </c>
      <c r="H862" s="32">
        <f>IFERROR(__xludf.DUMMYFUNCTION("""COMPUTED_VALUE"""),75000.0)</f>
        <v>75000</v>
      </c>
      <c r="I862" s="32"/>
      <c r="J862" s="32"/>
      <c r="K862" s="32"/>
      <c r="L862" s="32"/>
      <c r="M862" s="32"/>
      <c r="N862" s="32"/>
      <c r="O862" s="32"/>
      <c r="P862" s="32"/>
      <c r="Q862" s="32"/>
      <c r="R862" s="32"/>
      <c r="S862" s="32">
        <f>IFERROR(__xludf.DUMMYFUNCTION("""COMPUTED_VALUE"""),25000.0)</f>
        <v>25000</v>
      </c>
      <c r="T862" s="32"/>
      <c r="U862" s="32"/>
      <c r="V862" s="32"/>
      <c r="W862" s="32"/>
      <c r="X862" s="32"/>
      <c r="Y862" s="32"/>
      <c r="Z862" s="32"/>
      <c r="AA862" s="32"/>
      <c r="AB862" s="32"/>
      <c r="AC862" s="32"/>
      <c r="AD862" s="32"/>
      <c r="AE862" s="32"/>
      <c r="AF862" s="32" t="str">
        <f>IFERROR(__xludf.DUMMYFUNCTION("""COMPUTED_VALUE"""),"++15000 ATK and ACC ++X4 Knife and Boomerang damage")</f>
        <v>++15000 ATK and ACC ++X4 Knife and Boomerang damage</v>
      </c>
      <c r="AG862" s="32" t="str">
        <f>IFERROR(__xludf.DUMMYFUNCTION("""COMPUTED_VALUE"""),"Dragonscale Island")</f>
        <v>Dragonscale Island</v>
      </c>
      <c r="AH862" s="32" t="b">
        <f>IFERROR(__xludf.DUMMYFUNCTION("""COMPUTED_VALUE"""),FALSE)</f>
        <v>0</v>
      </c>
      <c r="AI862" s="32"/>
      <c r="AJ862" s="32"/>
      <c r="AK862" s="32"/>
      <c r="AL862" s="32"/>
      <c r="AM862" s="32"/>
      <c r="AN862" s="32"/>
      <c r="AO862" s="32"/>
      <c r="AP862" s="32"/>
      <c r="AQ862" s="32"/>
      <c r="AR862" s="32"/>
      <c r="AS862" s="32"/>
      <c r="AT862" s="32"/>
      <c r="AU862" s="32"/>
      <c r="AV862" s="32"/>
      <c r="AW862" s="32"/>
      <c r="AX862" s="32"/>
    </row>
    <row r="863">
      <c r="A863" s="32" t="str">
        <f>IFERROR(__xludf.DUMMYFUNCTION("""COMPUTED_VALUE"""),"Iguanian Assassin's Pants")</f>
        <v>Iguanian Assassin's Pants</v>
      </c>
      <c r="B863" s="32" t="str">
        <f>IFERROR(__xludf.DUMMYFUNCTION("""COMPUTED_VALUE"""),"Legs")</f>
        <v>Legs</v>
      </c>
      <c r="C863" s="32"/>
      <c r="D863" s="32" t="str">
        <f>IFERROR(__xludf.DUMMYFUNCTION("""COMPUTED_VALUE"""),"Item")</f>
        <v>Item</v>
      </c>
      <c r="E863" s="32">
        <f>IFERROR(__xludf.DUMMYFUNCTION("""COMPUTED_VALUE"""),2000.0)</f>
        <v>2000</v>
      </c>
      <c r="F863" s="44">
        <f>IFERROR(__xludf.DUMMYFUNCTION("""COMPUTED_VALUE"""),1.99E8)</f>
        <v>199000000</v>
      </c>
      <c r="G863" s="32" t="str">
        <f>IFERROR(__xludf.DUMMYFUNCTION("""COMPUTED_VALUE"""),"DEF")</f>
        <v>DEF</v>
      </c>
      <c r="H863" s="32">
        <f>IFERROR(__xludf.DUMMYFUNCTION("""COMPUTED_VALUE"""),75000.0)</f>
        <v>75000</v>
      </c>
      <c r="I863" s="32"/>
      <c r="J863" s="32"/>
      <c r="K863" s="32"/>
      <c r="L863" s="32"/>
      <c r="M863" s="32"/>
      <c r="N863" s="32"/>
      <c r="O863" s="32"/>
      <c r="P863" s="32"/>
      <c r="Q863" s="32"/>
      <c r="R863" s="32"/>
      <c r="S863" s="32">
        <f>IFERROR(__xludf.DUMMYFUNCTION("""COMPUTED_VALUE"""),25000.0)</f>
        <v>25000</v>
      </c>
      <c r="T863" s="32"/>
      <c r="U863" s="32"/>
      <c r="V863" s="32"/>
      <c r="W863" s="32"/>
      <c r="X863" s="32"/>
      <c r="Y863" s="32"/>
      <c r="Z863" s="32"/>
      <c r="AA863" s="32"/>
      <c r="AB863" s="32"/>
      <c r="AC863" s="32"/>
      <c r="AD863" s="32"/>
      <c r="AE863" s="32"/>
      <c r="AF863" s="32" t="str">
        <f>IFERROR(__xludf.DUMMYFUNCTION("""COMPUTED_VALUE"""),"++15000 ATK and ACC ++X4 Knife and Boomerang damage")</f>
        <v>++15000 ATK and ACC ++X4 Knife and Boomerang damage</v>
      </c>
      <c r="AG863" s="32" t="str">
        <f>IFERROR(__xludf.DUMMYFUNCTION("""COMPUTED_VALUE"""),"Dragonscale Island")</f>
        <v>Dragonscale Island</v>
      </c>
      <c r="AH863" s="32" t="b">
        <f>IFERROR(__xludf.DUMMYFUNCTION("""COMPUTED_VALUE"""),FALSE)</f>
        <v>0</v>
      </c>
      <c r="AI863" s="32"/>
      <c r="AJ863" s="32"/>
      <c r="AK863" s="32"/>
      <c r="AL863" s="32"/>
      <c r="AM863" s="32"/>
      <c r="AN863" s="32"/>
      <c r="AO863" s="32"/>
      <c r="AP863" s="32"/>
      <c r="AQ863" s="32"/>
      <c r="AR863" s="32"/>
      <c r="AS863" s="32"/>
      <c r="AT863" s="32"/>
      <c r="AU863" s="32"/>
      <c r="AV863" s="32"/>
      <c r="AW863" s="32"/>
      <c r="AX863" s="32"/>
    </row>
    <row r="864">
      <c r="A864" s="32" t="str">
        <f>IFERROR(__xludf.DUMMYFUNCTION("""COMPUTED_VALUE"""),"Iguanian Assassin's Boots")</f>
        <v>Iguanian Assassin's Boots</v>
      </c>
      <c r="B864" s="32" t="str">
        <f>IFERROR(__xludf.DUMMYFUNCTION("""COMPUTED_VALUE"""),"Feet")</f>
        <v>Feet</v>
      </c>
      <c r="C864" s="32"/>
      <c r="D864" s="32" t="str">
        <f>IFERROR(__xludf.DUMMYFUNCTION("""COMPUTED_VALUE"""),"Item")</f>
        <v>Item</v>
      </c>
      <c r="E864" s="32">
        <f>IFERROR(__xludf.DUMMYFUNCTION("""COMPUTED_VALUE"""),2000.0)</f>
        <v>2000</v>
      </c>
      <c r="F864" s="44">
        <f>IFERROR(__xludf.DUMMYFUNCTION("""COMPUTED_VALUE"""),1.99E8)</f>
        <v>199000000</v>
      </c>
      <c r="G864" s="32" t="str">
        <f>IFERROR(__xludf.DUMMYFUNCTION("""COMPUTED_VALUE"""),"DEF")</f>
        <v>DEF</v>
      </c>
      <c r="H864" s="32">
        <f>IFERROR(__xludf.DUMMYFUNCTION("""COMPUTED_VALUE"""),75000.0)</f>
        <v>75000</v>
      </c>
      <c r="I864" s="32"/>
      <c r="J864" s="32"/>
      <c r="K864" s="32"/>
      <c r="L864" s="32"/>
      <c r="M864" s="32"/>
      <c r="N864" s="32"/>
      <c r="O864" s="32"/>
      <c r="P864" s="32"/>
      <c r="Q864" s="32"/>
      <c r="R864" s="32"/>
      <c r="S864" s="32">
        <f>IFERROR(__xludf.DUMMYFUNCTION("""COMPUTED_VALUE"""),25000.0)</f>
        <v>25000</v>
      </c>
      <c r="T864" s="32"/>
      <c r="U864" s="32"/>
      <c r="V864" s="32"/>
      <c r="W864" s="32"/>
      <c r="X864" s="32"/>
      <c r="Y864" s="32"/>
      <c r="Z864" s="32"/>
      <c r="AA864" s="32"/>
      <c r="AB864" s="32"/>
      <c r="AC864" s="32"/>
      <c r="AD864" s="32"/>
      <c r="AE864" s="32"/>
      <c r="AF864" s="32" t="str">
        <f>IFERROR(__xludf.DUMMYFUNCTION("""COMPUTED_VALUE"""),"++15000 ATK and ACC ++X4 Knife and Boomerang damage")</f>
        <v>++15000 ATK and ACC ++X4 Knife and Boomerang damage</v>
      </c>
      <c r="AG864" s="32" t="str">
        <f>IFERROR(__xludf.DUMMYFUNCTION("""COMPUTED_VALUE"""),"Dragonscale Island")</f>
        <v>Dragonscale Island</v>
      </c>
      <c r="AH864" s="32" t="b">
        <f>IFERROR(__xludf.DUMMYFUNCTION("""COMPUTED_VALUE"""),FALSE)</f>
        <v>0</v>
      </c>
      <c r="AI864" s="32"/>
      <c r="AJ864" s="32"/>
      <c r="AK864" s="32"/>
      <c r="AL864" s="32"/>
      <c r="AM864" s="32"/>
      <c r="AN864" s="32"/>
      <c r="AO864" s="32"/>
      <c r="AP864" s="32"/>
      <c r="AQ864" s="32"/>
      <c r="AR864" s="32"/>
      <c r="AS864" s="32"/>
      <c r="AT864" s="32"/>
      <c r="AU864" s="32"/>
      <c r="AV864" s="32"/>
      <c r="AW864" s="32"/>
      <c r="AX864" s="32"/>
    </row>
    <row r="865">
      <c r="A865" s="32" t="str">
        <f>IFERROR(__xludf.DUMMYFUNCTION("""COMPUTED_VALUE"""),"Iguanian Assassin's Chakram")</f>
        <v>Iguanian Assassin's Chakram</v>
      </c>
      <c r="B865" s="32" t="str">
        <f>IFERROR(__xludf.DUMMYFUNCTION("""COMPUTED_VALUE"""),"Hand")</f>
        <v>Hand</v>
      </c>
      <c r="C865" s="32"/>
      <c r="D865" s="32" t="str">
        <f>IFERROR(__xludf.DUMMYFUNCTION("""COMPUTED_VALUE"""),"Boomerang")</f>
        <v>Boomerang</v>
      </c>
      <c r="E865" s="32">
        <f>IFERROR(__xludf.DUMMYFUNCTION("""COMPUTED_VALUE"""),3000.0)</f>
        <v>3000</v>
      </c>
      <c r="F865" s="44">
        <f>IFERROR(__xludf.DUMMYFUNCTION("""COMPUTED_VALUE"""),4.485E8)</f>
        <v>448500000</v>
      </c>
      <c r="G865" s="32" t="str">
        <f>IFERROR(__xludf.DUMMYFUNCTION("""COMPUTED_VALUE"""),"DMG")</f>
        <v>DMG</v>
      </c>
      <c r="H865" s="32">
        <f>IFERROR(__xludf.DUMMYFUNCTION("""COMPUTED_VALUE"""),100000.0)</f>
        <v>100000</v>
      </c>
      <c r="I865" s="32"/>
      <c r="J865" s="32"/>
      <c r="K865" s="32"/>
      <c r="L865" s="32"/>
      <c r="M865" s="32"/>
      <c r="N865" s="32"/>
      <c r="O865" s="32"/>
      <c r="P865" s="32"/>
      <c r="Q865" s="32"/>
      <c r="R865" s="32"/>
      <c r="S865" s="32">
        <f>IFERROR(__xludf.DUMMYFUNCTION("""COMPUTED_VALUE"""),50000.0)</f>
        <v>50000</v>
      </c>
      <c r="T865" s="32"/>
      <c r="U865" s="32"/>
      <c r="V865" s="32"/>
      <c r="W865" s="32"/>
      <c r="X865" s="32"/>
      <c r="Y865" s="32"/>
      <c r="Z865" s="32"/>
      <c r="AA865" s="32"/>
      <c r="AB865" s="32"/>
      <c r="AC865" s="32"/>
      <c r="AD865" s="32"/>
      <c r="AE865" s="32"/>
      <c r="AF865" s="32" t="str">
        <f>IFERROR(__xludf.DUMMYFUNCTION("""COMPUTED_VALUE"""),"++Increases the weapon effect chance by 10%")</f>
        <v>++Increases the weapon effect chance by 10%</v>
      </c>
      <c r="AG865" s="32" t="str">
        <f>IFERROR(__xludf.DUMMYFUNCTION("""COMPUTED_VALUE"""),"Dragonscale Island")</f>
        <v>Dragonscale Island</v>
      </c>
      <c r="AH865" s="32" t="b">
        <f>IFERROR(__xludf.DUMMYFUNCTION("""COMPUTED_VALUE"""),FALSE)</f>
        <v>0</v>
      </c>
      <c r="AI865" s="32"/>
      <c r="AJ865" s="32"/>
      <c r="AK865" s="32"/>
      <c r="AL865" s="32"/>
      <c r="AM865" s="32"/>
      <c r="AN865" s="32"/>
      <c r="AO865" s="32"/>
      <c r="AP865" s="32"/>
      <c r="AQ865" s="32"/>
      <c r="AR865" s="32"/>
      <c r="AS865" s="32"/>
      <c r="AT865" s="32"/>
      <c r="AU865" s="32"/>
      <c r="AV865" s="32"/>
      <c r="AW865" s="32"/>
      <c r="AX865" s="32"/>
    </row>
    <row r="866">
      <c r="A866" s="32" t="str">
        <f>IFERROR(__xludf.DUMMYFUNCTION("""COMPUTED_VALUE"""),"Iguanian Assassin's Slicer")</f>
        <v>Iguanian Assassin's Slicer</v>
      </c>
      <c r="B866" s="32" t="str">
        <f>IFERROR(__xludf.DUMMYFUNCTION("""COMPUTED_VALUE"""),"Hand")</f>
        <v>Hand</v>
      </c>
      <c r="C866" s="32"/>
      <c r="D866" s="32" t="str">
        <f>IFERROR(__xludf.DUMMYFUNCTION("""COMPUTED_VALUE"""),"Knife")</f>
        <v>Knife</v>
      </c>
      <c r="E866" s="32">
        <f>IFERROR(__xludf.DUMMYFUNCTION("""COMPUTED_VALUE"""),3000.0)</f>
        <v>3000</v>
      </c>
      <c r="F866" s="44">
        <f>IFERROR(__xludf.DUMMYFUNCTION("""COMPUTED_VALUE"""),4.485E8)</f>
        <v>448500000</v>
      </c>
      <c r="G866" s="32" t="str">
        <f>IFERROR(__xludf.DUMMYFUNCTION("""COMPUTED_VALUE"""),"DMG")</f>
        <v>DMG</v>
      </c>
      <c r="H866" s="32">
        <f>IFERROR(__xludf.DUMMYFUNCTION("""COMPUTED_VALUE"""),100000.0)</f>
        <v>100000</v>
      </c>
      <c r="I866" s="32"/>
      <c r="J866" s="32"/>
      <c r="K866" s="32"/>
      <c r="L866" s="32"/>
      <c r="M866" s="32"/>
      <c r="N866" s="32"/>
      <c r="O866" s="32"/>
      <c r="P866" s="32"/>
      <c r="Q866" s="32"/>
      <c r="R866" s="32"/>
      <c r="S866" s="32">
        <f>IFERROR(__xludf.DUMMYFUNCTION("""COMPUTED_VALUE"""),50000.0)</f>
        <v>50000</v>
      </c>
      <c r="T866" s="32"/>
      <c r="U866" s="32"/>
      <c r="V866" s="32"/>
      <c r="W866" s="32"/>
      <c r="X866" s="32"/>
      <c r="Y866" s="32"/>
      <c r="Z866" s="32"/>
      <c r="AA866" s="32"/>
      <c r="AB866" s="32"/>
      <c r="AC866" s="32"/>
      <c r="AD866" s="32"/>
      <c r="AE866" s="32"/>
      <c r="AF866" s="32" t="str">
        <f>IFERROR(__xludf.DUMMYFUNCTION("""COMPUTED_VALUE"""),"++Guarantees the Bleed effect of the knife weapon type and doubles the bleed caused +-Cannot be Forged")</f>
        <v>++Guarantees the Bleed effect of the knife weapon type and doubles the bleed caused +-Cannot be Forged</v>
      </c>
      <c r="AG866" s="32" t="str">
        <f>IFERROR(__xludf.DUMMYFUNCTION("""COMPUTED_VALUE"""),"Dragonscale Island")</f>
        <v>Dragonscale Island</v>
      </c>
      <c r="AH866" s="32" t="b">
        <f>IFERROR(__xludf.DUMMYFUNCTION("""COMPUTED_VALUE"""),FALSE)</f>
        <v>0</v>
      </c>
      <c r="AI866" s="32"/>
      <c r="AJ866" s="32"/>
      <c r="AK866" s="32"/>
      <c r="AL866" s="32"/>
      <c r="AM866" s="32"/>
      <c r="AN866" s="32"/>
      <c r="AO866" s="32"/>
      <c r="AP866" s="32"/>
      <c r="AQ866" s="32"/>
      <c r="AR866" s="32"/>
      <c r="AS866" s="32"/>
      <c r="AT866" s="32"/>
      <c r="AU866" s="32"/>
      <c r="AV866" s="32"/>
      <c r="AW866" s="32"/>
      <c r="AX866" s="32"/>
    </row>
    <row r="867">
      <c r="A867" s="32" t="str">
        <f>IFERROR(__xludf.DUMMYFUNCTION("""COMPUTED_VALUE"""),"Wyverntooth Smasher")</f>
        <v>Wyverntooth Smasher</v>
      </c>
      <c r="B867" s="32" t="str">
        <f>IFERROR(__xludf.DUMMYFUNCTION("""COMPUTED_VALUE"""),"Hand")</f>
        <v>Hand</v>
      </c>
      <c r="C867" s="32"/>
      <c r="D867" s="32" t="str">
        <f>IFERROR(__xludf.DUMMYFUNCTION("""COMPUTED_VALUE"""),"Axe")</f>
        <v>Axe</v>
      </c>
      <c r="E867" s="32">
        <f>IFERROR(__xludf.DUMMYFUNCTION("""COMPUTED_VALUE"""),2400.0)</f>
        <v>2400</v>
      </c>
      <c r="F867" s="44">
        <f>IFERROR(__xludf.DUMMYFUNCTION("""COMPUTED_VALUE"""),2.868E8)</f>
        <v>286800000</v>
      </c>
      <c r="G867" s="32" t="str">
        <f>IFERROR(__xludf.DUMMYFUNCTION("""COMPUTED_VALUE"""),"DMG")</f>
        <v>DMG</v>
      </c>
      <c r="H867" s="32">
        <f>IFERROR(__xludf.DUMMYFUNCTION("""COMPUTED_VALUE"""),30000.0)</f>
        <v>30000</v>
      </c>
      <c r="I867" s="32"/>
      <c r="J867" s="32"/>
      <c r="K867" s="32"/>
      <c r="L867" s="32"/>
      <c r="M867" s="32"/>
      <c r="N867" s="32"/>
      <c r="O867" s="32"/>
      <c r="P867" s="32"/>
      <c r="Q867" s="32"/>
      <c r="R867" s="32">
        <f>IFERROR(__xludf.DUMMYFUNCTION("""COMPUTED_VALUE"""),90000.0)</f>
        <v>90000</v>
      </c>
      <c r="S867" s="32"/>
      <c r="T867" s="32"/>
      <c r="U867" s="32"/>
      <c r="V867" s="32"/>
      <c r="W867" s="32"/>
      <c r="X867" s="32"/>
      <c r="Y867" s="32"/>
      <c r="Z867" s="32"/>
      <c r="AA867" s="32"/>
      <c r="AB867" s="32"/>
      <c r="AC867" s="32"/>
      <c r="AD867" s="32"/>
      <c r="AE867" s="32"/>
      <c r="AF867" s="32"/>
      <c r="AG867" s="32" t="str">
        <f>IFERROR(__xludf.DUMMYFUNCTION("""COMPUTED_VALUE"""),"Dragonscale Island")</f>
        <v>Dragonscale Island</v>
      </c>
      <c r="AH867" s="32" t="b">
        <f>IFERROR(__xludf.DUMMYFUNCTION("""COMPUTED_VALUE"""),FALSE)</f>
        <v>0</v>
      </c>
      <c r="AI867" s="32"/>
      <c r="AJ867" s="32"/>
      <c r="AK867" s="32"/>
      <c r="AL867" s="32"/>
      <c r="AM867" s="32"/>
      <c r="AN867" s="32"/>
      <c r="AO867" s="32"/>
      <c r="AP867" s="32"/>
      <c r="AQ867" s="32"/>
      <c r="AR867" s="32"/>
      <c r="AS867" s="32"/>
      <c r="AT867" s="32"/>
      <c r="AU867" s="32"/>
      <c r="AV867" s="32"/>
      <c r="AW867" s="32"/>
      <c r="AX867" s="32"/>
    </row>
    <row r="868">
      <c r="A868" s="32" t="str">
        <f>IFERROR(__xludf.DUMMYFUNCTION("""COMPUTED_VALUE"""),"Wyvernblade")</f>
        <v>Wyvernblade</v>
      </c>
      <c r="B868" s="32" t="str">
        <f>IFERROR(__xludf.DUMMYFUNCTION("""COMPUTED_VALUE"""),"Hand")</f>
        <v>Hand</v>
      </c>
      <c r="C868" s="32"/>
      <c r="D868" s="32" t="str">
        <f>IFERROR(__xludf.DUMMYFUNCTION("""COMPUTED_VALUE"""),"Knife")</f>
        <v>Knife</v>
      </c>
      <c r="E868" s="32">
        <f>IFERROR(__xludf.DUMMYFUNCTION("""COMPUTED_VALUE"""),2600.0)</f>
        <v>2600</v>
      </c>
      <c r="F868" s="44">
        <f>IFERROR(__xludf.DUMMYFUNCTION("""COMPUTED_VALUE"""),3.367E8)</f>
        <v>336700000</v>
      </c>
      <c r="G868" s="32" t="str">
        <f>IFERROR(__xludf.DUMMYFUNCTION("""COMPUTED_VALUE"""),"DMG")</f>
        <v>DMG</v>
      </c>
      <c r="H868" s="32"/>
      <c r="I868" s="32"/>
      <c r="J868" s="32"/>
      <c r="K868" s="32"/>
      <c r="L868" s="32"/>
      <c r="M868" s="32"/>
      <c r="N868" s="32"/>
      <c r="O868" s="32"/>
      <c r="P868" s="32"/>
      <c r="Q868" s="32"/>
      <c r="R868" s="32"/>
      <c r="S868" s="32"/>
      <c r="T868" s="32">
        <f>IFERROR(__xludf.DUMMYFUNCTION("""COMPUTED_VALUE"""),130000.0)</f>
        <v>130000</v>
      </c>
      <c r="U868" s="32"/>
      <c r="V868" s="32"/>
      <c r="W868" s="32"/>
      <c r="X868" s="32"/>
      <c r="Y868" s="32"/>
      <c r="Z868" s="32"/>
      <c r="AA868" s="32"/>
      <c r="AB868" s="32"/>
      <c r="AC868" s="32"/>
      <c r="AD868" s="32"/>
      <c r="AE868" s="32"/>
      <c r="AF868" s="32"/>
      <c r="AG868" s="32" t="str">
        <f>IFERROR(__xludf.DUMMYFUNCTION("""COMPUTED_VALUE"""),"Dragonscale Island")</f>
        <v>Dragonscale Island</v>
      </c>
      <c r="AH868" s="32" t="b">
        <f>IFERROR(__xludf.DUMMYFUNCTION("""COMPUTED_VALUE"""),FALSE)</f>
        <v>0</v>
      </c>
      <c r="AI868" s="32"/>
      <c r="AJ868" s="32"/>
      <c r="AK868" s="32"/>
      <c r="AL868" s="32"/>
      <c r="AM868" s="32"/>
      <c r="AN868" s="32"/>
      <c r="AO868" s="32"/>
      <c r="AP868" s="32"/>
      <c r="AQ868" s="32"/>
      <c r="AR868" s="32"/>
      <c r="AS868" s="32"/>
      <c r="AT868" s="32"/>
      <c r="AU868" s="32"/>
      <c r="AV868" s="32"/>
      <c r="AW868" s="32"/>
      <c r="AX868" s="32"/>
    </row>
    <row r="869">
      <c r="A869" s="32" t="str">
        <f>IFERROR(__xludf.DUMMYFUNCTION("""COMPUTED_VALUE"""),"Wyvernscale Ring")</f>
        <v>Wyvernscale Ring</v>
      </c>
      <c r="B869" s="32" t="str">
        <f>IFERROR(__xludf.DUMMYFUNCTION("""COMPUTED_VALUE"""),"Finger")</f>
        <v>Finger</v>
      </c>
      <c r="C869" s="32"/>
      <c r="D869" s="32" t="str">
        <f>IFERROR(__xludf.DUMMYFUNCTION("""COMPUTED_VALUE"""),"Item")</f>
        <v>Item</v>
      </c>
      <c r="E869" s="32">
        <f>IFERROR(__xludf.DUMMYFUNCTION("""COMPUTED_VALUE"""),2000.0)</f>
        <v>2000</v>
      </c>
      <c r="F869" s="44">
        <f>IFERROR(__xludf.DUMMYFUNCTION("""COMPUTED_VALUE"""),1.99E8)</f>
        <v>199000000</v>
      </c>
      <c r="G869" s="32" t="str">
        <f>IFERROR(__xludf.DUMMYFUNCTION("""COMPUTED_VALUE"""),"DEF")</f>
        <v>DEF</v>
      </c>
      <c r="H869" s="32"/>
      <c r="I869" s="32"/>
      <c r="J869" s="32"/>
      <c r="K869" s="32"/>
      <c r="L869" s="32"/>
      <c r="M869" s="32"/>
      <c r="N869" s="32"/>
      <c r="O869" s="32"/>
      <c r="P869" s="32"/>
      <c r="Q869" s="32"/>
      <c r="R869" s="32"/>
      <c r="S869" s="32"/>
      <c r="T869" s="32">
        <f>IFERROR(__xludf.DUMMYFUNCTION("""COMPUTED_VALUE"""),100000.0)</f>
        <v>100000</v>
      </c>
      <c r="U869" s="32"/>
      <c r="V869" s="32"/>
      <c r="W869" s="32"/>
      <c r="X869" s="32"/>
      <c r="Y869" s="32"/>
      <c r="Z869" s="32"/>
      <c r="AA869" s="32"/>
      <c r="AB869" s="32"/>
      <c r="AC869" s="32"/>
      <c r="AD869" s="32"/>
      <c r="AE869" s="32"/>
      <c r="AF869" s="32" t="str">
        <f>IFERROR(__xludf.DUMMYFUNCTION("""COMPUTED_VALUE"""),"++50% chance to negate any damage from a wyvern +-Cannot be forged or duplicated")</f>
        <v>++50% chance to negate any damage from a wyvern +-Cannot be forged or duplicated</v>
      </c>
      <c r="AG869" s="32" t="str">
        <f>IFERROR(__xludf.DUMMYFUNCTION("""COMPUTED_VALUE"""),"Dragonscale Island")</f>
        <v>Dragonscale Island</v>
      </c>
      <c r="AH869" s="32" t="b">
        <f>IFERROR(__xludf.DUMMYFUNCTION("""COMPUTED_VALUE"""),FALSE)</f>
        <v>0</v>
      </c>
      <c r="AI869" s="32"/>
      <c r="AJ869" s="32"/>
      <c r="AK869" s="32"/>
      <c r="AL869" s="32"/>
      <c r="AM869" s="32"/>
      <c r="AN869" s="32"/>
      <c r="AO869" s="32"/>
      <c r="AP869" s="32"/>
      <c r="AQ869" s="32"/>
      <c r="AR869" s="32"/>
      <c r="AS869" s="32"/>
      <c r="AT869" s="32"/>
      <c r="AU869" s="32"/>
      <c r="AV869" s="32"/>
      <c r="AW869" s="32"/>
      <c r="AX869" s="32"/>
    </row>
    <row r="870">
      <c r="A870" s="32" t="str">
        <f>IFERROR(__xludf.DUMMYFUNCTION("""COMPUTED_VALUE"""),"Wyvern Hood")</f>
        <v>Wyvern Hood</v>
      </c>
      <c r="B870" s="32" t="str">
        <f>IFERROR(__xludf.DUMMYFUNCTION("""COMPUTED_VALUE"""),"Head")</f>
        <v>Head</v>
      </c>
      <c r="C870" s="32"/>
      <c r="D870" s="32" t="str">
        <f>IFERROR(__xludf.DUMMYFUNCTION("""COMPUTED_VALUE"""),"Item")</f>
        <v>Item</v>
      </c>
      <c r="E870" s="32">
        <f>IFERROR(__xludf.DUMMYFUNCTION("""COMPUTED_VALUE"""),1.0)</f>
        <v>1</v>
      </c>
      <c r="F870" s="44">
        <f>IFERROR(__xludf.DUMMYFUNCTION("""COMPUTED_VALUE"""),0.0)</f>
        <v>0</v>
      </c>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t="str">
        <f>IFERROR(__xludf.DUMMYFUNCTION("""COMPUTED_VALUE"""),"++When in a party of 4 or more, enemy wyverns cannot target the wearer +-Cannot be forged or duplicated")</f>
        <v>++When in a party of 4 or more, enemy wyverns cannot target the wearer +-Cannot be forged or duplicated</v>
      </c>
      <c r="AG870" s="32" t="str">
        <f>IFERROR(__xludf.DUMMYFUNCTION("""COMPUTED_VALUE"""),"Dragonscale Island")</f>
        <v>Dragonscale Island</v>
      </c>
      <c r="AH870" s="32" t="b">
        <f>IFERROR(__xludf.DUMMYFUNCTION("""COMPUTED_VALUE"""),FALSE)</f>
        <v>0</v>
      </c>
      <c r="AI870" s="32"/>
      <c r="AJ870" s="32"/>
      <c r="AK870" s="32"/>
      <c r="AL870" s="32"/>
      <c r="AM870" s="32"/>
      <c r="AN870" s="32"/>
      <c r="AO870" s="32"/>
      <c r="AP870" s="32"/>
      <c r="AQ870" s="32"/>
      <c r="AR870" s="32"/>
      <c r="AS870" s="32"/>
      <c r="AT870" s="32"/>
      <c r="AU870" s="32"/>
      <c r="AV870" s="32"/>
      <c r="AW870" s="32"/>
      <c r="AX870" s="32"/>
    </row>
    <row r="871">
      <c r="A871" s="32" t="str">
        <f>IFERROR(__xludf.DUMMYFUNCTION("""COMPUTED_VALUE"""),"Wyvernarang")</f>
        <v>Wyvernarang</v>
      </c>
      <c r="B871" s="32" t="str">
        <f>IFERROR(__xludf.DUMMYFUNCTION("""COMPUTED_VALUE"""),"Hand")</f>
        <v>Hand</v>
      </c>
      <c r="C871" s="32"/>
      <c r="D871" s="32" t="str">
        <f>IFERROR(__xludf.DUMMYFUNCTION("""COMPUTED_VALUE"""),"Boomerang")</f>
        <v>Boomerang</v>
      </c>
      <c r="E871" s="32">
        <f>IFERROR(__xludf.DUMMYFUNCTION("""COMPUTED_VALUE"""),3000.0)</f>
        <v>3000</v>
      </c>
      <c r="F871" s="44">
        <f>IFERROR(__xludf.DUMMYFUNCTION("""COMPUTED_VALUE"""),4.485E8)</f>
        <v>448500000</v>
      </c>
      <c r="G871" s="32" t="str">
        <f>IFERROR(__xludf.DUMMYFUNCTION("""COMPUTED_VALUE"""),"DMG")</f>
        <v>DMG</v>
      </c>
      <c r="H871" s="32">
        <f>IFERROR(__xludf.DUMMYFUNCTION("""COMPUTED_VALUE"""),50000.0)</f>
        <v>50000</v>
      </c>
      <c r="I871" s="32"/>
      <c r="J871" s="32"/>
      <c r="K871" s="32"/>
      <c r="L871" s="32"/>
      <c r="M871" s="32"/>
      <c r="N871" s="32"/>
      <c r="O871" s="32"/>
      <c r="P871" s="32">
        <f>IFERROR(__xludf.DUMMYFUNCTION("""COMPUTED_VALUE"""),50000.0)</f>
        <v>50000</v>
      </c>
      <c r="Q871" s="32"/>
      <c r="R871" s="32">
        <f>IFERROR(__xludf.DUMMYFUNCTION("""COMPUTED_VALUE"""),50000.0)</f>
        <v>50000</v>
      </c>
      <c r="S871" s="32"/>
      <c r="T871" s="32"/>
      <c r="U871" s="32"/>
      <c r="V871" s="32"/>
      <c r="W871" s="32"/>
      <c r="X871" s="32"/>
      <c r="Y871" s="32"/>
      <c r="Z871" s="32"/>
      <c r="AA871" s="32"/>
      <c r="AB871" s="32"/>
      <c r="AC871" s="32"/>
      <c r="AD871" s="32"/>
      <c r="AE871" s="32"/>
      <c r="AF871" s="32"/>
      <c r="AG871" s="32" t="str">
        <f>IFERROR(__xludf.DUMMYFUNCTION("""COMPUTED_VALUE"""),"Dragonscale Island")</f>
        <v>Dragonscale Island</v>
      </c>
      <c r="AH871" s="32" t="b">
        <f>IFERROR(__xludf.DUMMYFUNCTION("""COMPUTED_VALUE"""),FALSE)</f>
        <v>0</v>
      </c>
      <c r="AI871" s="32"/>
      <c r="AJ871" s="32"/>
      <c r="AK871" s="32"/>
      <c r="AL871" s="32"/>
      <c r="AM871" s="32"/>
      <c r="AN871" s="32"/>
      <c r="AO871" s="32"/>
      <c r="AP871" s="32"/>
      <c r="AQ871" s="32"/>
      <c r="AR871" s="32"/>
      <c r="AS871" s="32"/>
      <c r="AT871" s="32"/>
      <c r="AU871" s="32"/>
      <c r="AV871" s="32"/>
      <c r="AW871" s="32"/>
      <c r="AX871" s="32"/>
    </row>
    <row r="872">
      <c r="A872" s="32" t="str">
        <f>IFERROR(__xludf.DUMMYFUNCTION("""COMPUTED_VALUE"""),"Iguanian Assassin's Memento")</f>
        <v>Iguanian Assassin's Memento</v>
      </c>
      <c r="B872" s="32" t="str">
        <f>IFERROR(__xludf.DUMMYFUNCTION("""COMPUTED_VALUE"""),"Neck")</f>
        <v>Neck</v>
      </c>
      <c r="C872" s="32" t="str">
        <f>IFERROR(__xludf.DUMMYFUNCTION("""COMPUTED_VALUE"""),"From this necklace hangs a series of teeth, each one taken from an iguanian assassin's victim.")</f>
        <v>From this necklace hangs a series of teeth, each one taken from an iguanian assassin's victim.</v>
      </c>
      <c r="D872" s="32"/>
      <c r="E872" s="32">
        <f>IFERROR(__xludf.DUMMYFUNCTION("""COMPUTED_VALUE"""),1.0)</f>
        <v>1</v>
      </c>
      <c r="F872" s="44">
        <f>IFERROR(__xludf.DUMMYFUNCTION("""COMPUTED_VALUE"""),0.0)</f>
        <v>0</v>
      </c>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t="str">
        <f>IFERROR(__xludf.DUMMYFUNCTION("""COMPUTED_VALUE"""),"++For every enemy killed with this item equipped +1 permanent ATK (0/100000)")</f>
        <v>++For every enemy killed with this item equipped +1 permanent ATK (0/100000)</v>
      </c>
      <c r="AG872" s="32" t="str">
        <f>IFERROR(__xludf.DUMMYFUNCTION("""COMPUTED_VALUE"""),"Dragonscale Island")</f>
        <v>Dragonscale Island</v>
      </c>
      <c r="AH872" s="32" t="b">
        <f>IFERROR(__xludf.DUMMYFUNCTION("""COMPUTED_VALUE"""),FALSE)</f>
        <v>0</v>
      </c>
      <c r="AI872" s="32"/>
      <c r="AJ872" s="32"/>
      <c r="AK872" s="32"/>
      <c r="AL872" s="32"/>
      <c r="AM872" s="32"/>
      <c r="AN872" s="32"/>
      <c r="AO872" s="32"/>
      <c r="AP872" s="32"/>
      <c r="AQ872" s="32"/>
      <c r="AR872" s="32"/>
      <c r="AS872" s="32"/>
      <c r="AT872" s="32"/>
      <c r="AU872" s="32"/>
      <c r="AV872" s="32"/>
      <c r="AW872" s="32"/>
      <c r="AX872" s="32"/>
    </row>
    <row r="873">
      <c r="A873" s="32" t="str">
        <f>IFERROR(__xludf.DUMMYFUNCTION("""COMPUTED_VALUE"""),"Salamander Boots")</f>
        <v>Salamander Boots</v>
      </c>
      <c r="B873" s="32" t="str">
        <f>IFERROR(__xludf.DUMMYFUNCTION("""COMPUTED_VALUE"""),"Feet")</f>
        <v>Feet</v>
      </c>
      <c r="C873" s="32"/>
      <c r="D873" s="32" t="str">
        <f>IFERROR(__xludf.DUMMYFUNCTION("""COMPUTED_VALUE"""),"Item")</f>
        <v>Item</v>
      </c>
      <c r="E873" s="32">
        <f>IFERROR(__xludf.DUMMYFUNCTION("""COMPUTED_VALUE"""),2000.0)</f>
        <v>2000</v>
      </c>
      <c r="F873" s="44">
        <f>IFERROR(__xludf.DUMMYFUNCTION("""COMPUTED_VALUE"""),1.99E8)</f>
        <v>199000000</v>
      </c>
      <c r="G873" s="32" t="str">
        <f>IFERROR(__xludf.DUMMYFUNCTION("""COMPUTED_VALUE"""),"DEF")</f>
        <v>DEF</v>
      </c>
      <c r="H873" s="32"/>
      <c r="I873" s="32">
        <f>IFERROR(__xludf.DUMMYFUNCTION("""COMPUTED_VALUE"""),100000.0)</f>
        <v>100000</v>
      </c>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t="str">
        <f>IFERROR(__xludf.DUMMYFUNCTION("""COMPUTED_VALUE"""),"Dragonscale Island")</f>
        <v>Dragonscale Island</v>
      </c>
      <c r="AH873" s="32" t="b">
        <f>IFERROR(__xludf.DUMMYFUNCTION("""COMPUTED_VALUE"""),FALSE)</f>
        <v>0</v>
      </c>
      <c r="AI873" s="32"/>
      <c r="AJ873" s="32"/>
      <c r="AK873" s="32"/>
      <c r="AL873" s="32"/>
      <c r="AM873" s="32"/>
      <c r="AN873" s="32"/>
      <c r="AO873" s="32"/>
      <c r="AP873" s="32"/>
      <c r="AQ873" s="32"/>
      <c r="AR873" s="32"/>
      <c r="AS873" s="32"/>
      <c r="AT873" s="32"/>
      <c r="AU873" s="32"/>
      <c r="AV873" s="32"/>
      <c r="AW873" s="32"/>
      <c r="AX873" s="32"/>
    </row>
    <row r="874">
      <c r="A874" s="32" t="str">
        <f>IFERROR(__xludf.DUMMYFUNCTION("""COMPUTED_VALUE"""),"Salamanderscale Chainmail")</f>
        <v>Salamanderscale Chainmail</v>
      </c>
      <c r="B874" s="32" t="str">
        <f>IFERROR(__xludf.DUMMYFUNCTION("""COMPUTED_VALUE"""),"Torso")</f>
        <v>Torso</v>
      </c>
      <c r="C874" s="32"/>
      <c r="D874" s="32" t="str">
        <f>IFERROR(__xludf.DUMMYFUNCTION("""COMPUTED_VALUE"""),"Item")</f>
        <v>Item</v>
      </c>
      <c r="E874" s="32">
        <f>IFERROR(__xludf.DUMMYFUNCTION("""COMPUTED_VALUE"""),2000.0)</f>
        <v>2000</v>
      </c>
      <c r="F874" s="44">
        <f>IFERROR(__xludf.DUMMYFUNCTION("""COMPUTED_VALUE"""),1.99E8)</f>
        <v>199000000</v>
      </c>
      <c r="G874" s="32" t="str">
        <f>IFERROR(__xludf.DUMMYFUNCTION("""COMPUTED_VALUE"""),"DEF")</f>
        <v>DEF</v>
      </c>
      <c r="H874" s="32"/>
      <c r="I874" s="32">
        <f>IFERROR(__xludf.DUMMYFUNCTION("""COMPUTED_VALUE"""),120000.0)</f>
        <v>120000</v>
      </c>
      <c r="J874" s="32"/>
      <c r="K874" s="32">
        <f>IFERROR(__xludf.DUMMYFUNCTION("""COMPUTED_VALUE"""),-10000.0)</f>
        <v>-10000</v>
      </c>
      <c r="L874" s="32">
        <f>IFERROR(__xludf.DUMMYFUNCTION("""COMPUTED_VALUE"""),-10000.0)</f>
        <v>-10000</v>
      </c>
      <c r="M874" s="32"/>
      <c r="N874" s="32"/>
      <c r="O874" s="32"/>
      <c r="P874" s="32"/>
      <c r="Q874" s="32"/>
      <c r="R874" s="32"/>
      <c r="S874" s="32"/>
      <c r="T874" s="32"/>
      <c r="U874" s="32"/>
      <c r="V874" s="32"/>
      <c r="W874" s="32"/>
      <c r="X874" s="32"/>
      <c r="Y874" s="32"/>
      <c r="Z874" s="32"/>
      <c r="AA874" s="32"/>
      <c r="AB874" s="32"/>
      <c r="AC874" s="32"/>
      <c r="AD874" s="32"/>
      <c r="AE874" s="32"/>
      <c r="AF874" s="32" t="str">
        <f>IFERROR(__xludf.DUMMYFUNCTION("""COMPUTED_VALUE"""),"+-Water and Storm deal additional 20000 damage to the wearer")</f>
        <v>+-Water and Storm deal additional 20000 damage to the wearer</v>
      </c>
      <c r="AG874" s="32" t="str">
        <f>IFERROR(__xludf.DUMMYFUNCTION("""COMPUTED_VALUE"""),"Dragonscale Island")</f>
        <v>Dragonscale Island</v>
      </c>
      <c r="AH874" s="32" t="b">
        <f>IFERROR(__xludf.DUMMYFUNCTION("""COMPUTED_VALUE"""),FALSE)</f>
        <v>0</v>
      </c>
      <c r="AI874" s="32"/>
      <c r="AJ874" s="32"/>
      <c r="AK874" s="32"/>
      <c r="AL874" s="32"/>
      <c r="AM874" s="32"/>
      <c r="AN874" s="32"/>
      <c r="AO874" s="32"/>
      <c r="AP874" s="32"/>
      <c r="AQ874" s="32"/>
      <c r="AR874" s="32"/>
      <c r="AS874" s="32"/>
      <c r="AT874" s="32"/>
      <c r="AU874" s="32"/>
      <c r="AV874" s="32"/>
      <c r="AW874" s="32"/>
      <c r="AX874" s="32"/>
    </row>
    <row r="875">
      <c r="A875" s="32" t="str">
        <f>IFERROR(__xludf.DUMMYFUNCTION("""COMPUTED_VALUE"""),"Iguanian Brawler's Headband")</f>
        <v>Iguanian Brawler's Headband</v>
      </c>
      <c r="B875" s="32" t="str">
        <f>IFERROR(__xludf.DUMMYFUNCTION("""COMPUTED_VALUE"""),"Head")</f>
        <v>Head</v>
      </c>
      <c r="C875" s="32"/>
      <c r="D875" s="32" t="str">
        <f>IFERROR(__xludf.DUMMYFUNCTION("""COMPUTED_VALUE"""),"Item")</f>
        <v>Item</v>
      </c>
      <c r="E875" s="32">
        <f>IFERROR(__xludf.DUMMYFUNCTION("""COMPUTED_VALUE"""),3000.0)</f>
        <v>3000</v>
      </c>
      <c r="F875" s="44">
        <f>IFERROR(__xludf.DUMMYFUNCTION("""COMPUTED_VALUE"""),4.485E8)</f>
        <v>448500000</v>
      </c>
      <c r="G875" s="32" t="str">
        <f>IFERROR(__xludf.DUMMYFUNCTION("""COMPUTED_VALUE"""),"DEF")</f>
        <v>DEF</v>
      </c>
      <c r="H875" s="32">
        <f>IFERROR(__xludf.DUMMYFUNCTION("""COMPUTED_VALUE"""),150000.0)</f>
        <v>150000</v>
      </c>
      <c r="I875" s="32"/>
      <c r="J875" s="32"/>
      <c r="K875" s="32">
        <f>IFERROR(__xludf.DUMMYFUNCTION("""COMPUTED_VALUE"""),50000.0)</f>
        <v>50000</v>
      </c>
      <c r="L875" s="32"/>
      <c r="M875" s="32"/>
      <c r="N875" s="32"/>
      <c r="O875" s="32"/>
      <c r="P875" s="32"/>
      <c r="Q875" s="32"/>
      <c r="R875" s="32"/>
      <c r="S875" s="32">
        <f>IFERROR(__xludf.DUMMYFUNCTION("""COMPUTED_VALUE"""),-50000.0)</f>
        <v>-50000</v>
      </c>
      <c r="T875" s="32"/>
      <c r="U875" s="32"/>
      <c r="V875" s="32"/>
      <c r="W875" s="32"/>
      <c r="X875" s="32"/>
      <c r="Y875" s="32"/>
      <c r="Z875" s="32"/>
      <c r="AA875" s="32"/>
      <c r="AB875" s="32"/>
      <c r="AC875" s="32"/>
      <c r="AD875" s="32"/>
      <c r="AE875" s="32"/>
      <c r="AF875" s="32"/>
      <c r="AG875" s="32" t="str">
        <f>IFERROR(__xludf.DUMMYFUNCTION("""COMPUTED_VALUE"""),"Dragonscale Island")</f>
        <v>Dragonscale Island</v>
      </c>
      <c r="AH875" s="32" t="b">
        <f>IFERROR(__xludf.DUMMYFUNCTION("""COMPUTED_VALUE"""),FALSE)</f>
        <v>0</v>
      </c>
      <c r="AI875" s="32"/>
      <c r="AJ875" s="32"/>
      <c r="AK875" s="32"/>
      <c r="AL875" s="32"/>
      <c r="AM875" s="32"/>
      <c r="AN875" s="32"/>
      <c r="AO875" s="32"/>
      <c r="AP875" s="32"/>
      <c r="AQ875" s="32"/>
      <c r="AR875" s="32"/>
      <c r="AS875" s="32"/>
      <c r="AT875" s="32"/>
      <c r="AU875" s="32"/>
      <c r="AV875" s="32"/>
      <c r="AW875" s="32"/>
      <c r="AX875" s="32"/>
    </row>
    <row r="876">
      <c r="A876" s="32" t="str">
        <f>IFERROR(__xludf.DUMMYFUNCTION("""COMPUTED_VALUE"""),"Iguanian Brawler's Cape")</f>
        <v>Iguanian Brawler's Cape</v>
      </c>
      <c r="B876" s="32" t="str">
        <f>IFERROR(__xludf.DUMMYFUNCTION("""COMPUTED_VALUE"""),"Shoulders")</f>
        <v>Shoulders</v>
      </c>
      <c r="C876" s="32"/>
      <c r="D876" s="32" t="str">
        <f>IFERROR(__xludf.DUMMYFUNCTION("""COMPUTED_VALUE"""),"Item")</f>
        <v>Item</v>
      </c>
      <c r="E876" s="32">
        <f>IFERROR(__xludf.DUMMYFUNCTION("""COMPUTED_VALUE"""),3000.0)</f>
        <v>3000</v>
      </c>
      <c r="F876" s="44">
        <f>IFERROR(__xludf.DUMMYFUNCTION("""COMPUTED_VALUE"""),4.485E8)</f>
        <v>448500000</v>
      </c>
      <c r="G876" s="32" t="str">
        <f>IFERROR(__xludf.DUMMYFUNCTION("""COMPUTED_VALUE"""),"DEF")</f>
        <v>DEF</v>
      </c>
      <c r="H876" s="32">
        <f>IFERROR(__xludf.DUMMYFUNCTION("""COMPUTED_VALUE"""),150000.0)</f>
        <v>150000</v>
      </c>
      <c r="I876" s="32"/>
      <c r="J876" s="32"/>
      <c r="K876" s="32">
        <f>IFERROR(__xludf.DUMMYFUNCTION("""COMPUTED_VALUE"""),50000.0)</f>
        <v>50000</v>
      </c>
      <c r="L876" s="32"/>
      <c r="M876" s="32"/>
      <c r="N876" s="32"/>
      <c r="O876" s="32"/>
      <c r="P876" s="32"/>
      <c r="Q876" s="32"/>
      <c r="R876" s="32"/>
      <c r="S876" s="32">
        <f>IFERROR(__xludf.DUMMYFUNCTION("""COMPUTED_VALUE"""),-50000.0)</f>
        <v>-50000</v>
      </c>
      <c r="T876" s="32"/>
      <c r="U876" s="32"/>
      <c r="V876" s="32"/>
      <c r="W876" s="32"/>
      <c r="X876" s="32"/>
      <c r="Y876" s="32"/>
      <c r="Z876" s="32"/>
      <c r="AA876" s="32"/>
      <c r="AB876" s="32"/>
      <c r="AC876" s="32"/>
      <c r="AD876" s="32"/>
      <c r="AE876" s="32"/>
      <c r="AF876" s="32"/>
      <c r="AG876" s="32" t="str">
        <f>IFERROR(__xludf.DUMMYFUNCTION("""COMPUTED_VALUE"""),"Dragonscale Island")</f>
        <v>Dragonscale Island</v>
      </c>
      <c r="AH876" s="32" t="b">
        <f>IFERROR(__xludf.DUMMYFUNCTION("""COMPUTED_VALUE"""),FALSE)</f>
        <v>0</v>
      </c>
      <c r="AI876" s="32"/>
      <c r="AJ876" s="32"/>
      <c r="AK876" s="32"/>
      <c r="AL876" s="32"/>
      <c r="AM876" s="32"/>
      <c r="AN876" s="32"/>
      <c r="AO876" s="32"/>
      <c r="AP876" s="32"/>
      <c r="AQ876" s="32"/>
      <c r="AR876" s="32"/>
      <c r="AS876" s="32"/>
      <c r="AT876" s="32"/>
      <c r="AU876" s="32"/>
      <c r="AV876" s="32"/>
      <c r="AW876" s="32"/>
      <c r="AX876" s="32"/>
    </row>
    <row r="877">
      <c r="A877" s="32" t="str">
        <f>IFERROR(__xludf.DUMMYFUNCTION("""COMPUTED_VALUE"""),"Iguanian Brawler's Sash")</f>
        <v>Iguanian Brawler's Sash</v>
      </c>
      <c r="B877" s="32" t="str">
        <f>IFERROR(__xludf.DUMMYFUNCTION("""COMPUTED_VALUE"""),"Torso")</f>
        <v>Torso</v>
      </c>
      <c r="C877" s="32"/>
      <c r="D877" s="32" t="str">
        <f>IFERROR(__xludf.DUMMYFUNCTION("""COMPUTED_VALUE"""),"Item")</f>
        <v>Item</v>
      </c>
      <c r="E877" s="32">
        <f>IFERROR(__xludf.DUMMYFUNCTION("""COMPUTED_VALUE"""),3000.0)</f>
        <v>3000</v>
      </c>
      <c r="F877" s="44">
        <f>IFERROR(__xludf.DUMMYFUNCTION("""COMPUTED_VALUE"""),4.485E8)</f>
        <v>448500000</v>
      </c>
      <c r="G877" s="32" t="str">
        <f>IFERROR(__xludf.DUMMYFUNCTION("""COMPUTED_VALUE"""),"DEF")</f>
        <v>DEF</v>
      </c>
      <c r="H877" s="32">
        <f>IFERROR(__xludf.DUMMYFUNCTION("""COMPUTED_VALUE"""),150000.0)</f>
        <v>150000</v>
      </c>
      <c r="I877" s="32"/>
      <c r="J877" s="32"/>
      <c r="K877" s="32">
        <f>IFERROR(__xludf.DUMMYFUNCTION("""COMPUTED_VALUE"""),50000.0)</f>
        <v>50000</v>
      </c>
      <c r="L877" s="32"/>
      <c r="M877" s="32"/>
      <c r="N877" s="32"/>
      <c r="O877" s="32"/>
      <c r="P877" s="32"/>
      <c r="Q877" s="32"/>
      <c r="R877" s="32"/>
      <c r="S877" s="32">
        <f>IFERROR(__xludf.DUMMYFUNCTION("""COMPUTED_VALUE"""),-50000.0)</f>
        <v>-50000</v>
      </c>
      <c r="T877" s="32"/>
      <c r="U877" s="32"/>
      <c r="V877" s="32"/>
      <c r="W877" s="32"/>
      <c r="X877" s="32"/>
      <c r="Y877" s="32"/>
      <c r="Z877" s="32"/>
      <c r="AA877" s="32"/>
      <c r="AB877" s="32"/>
      <c r="AC877" s="32"/>
      <c r="AD877" s="32"/>
      <c r="AE877" s="32"/>
      <c r="AF877" s="32"/>
      <c r="AG877" s="32" t="str">
        <f>IFERROR(__xludf.DUMMYFUNCTION("""COMPUTED_VALUE"""),"Dragonscale Island")</f>
        <v>Dragonscale Island</v>
      </c>
      <c r="AH877" s="32" t="b">
        <f>IFERROR(__xludf.DUMMYFUNCTION("""COMPUTED_VALUE"""),FALSE)</f>
        <v>0</v>
      </c>
      <c r="AI877" s="32"/>
      <c r="AJ877" s="32"/>
      <c r="AK877" s="32"/>
      <c r="AL877" s="32"/>
      <c r="AM877" s="32"/>
      <c r="AN877" s="32"/>
      <c r="AO877" s="32"/>
      <c r="AP877" s="32"/>
      <c r="AQ877" s="32"/>
      <c r="AR877" s="32"/>
      <c r="AS877" s="32"/>
      <c r="AT877" s="32"/>
      <c r="AU877" s="32"/>
      <c r="AV877" s="32"/>
      <c r="AW877" s="32"/>
      <c r="AX877" s="32"/>
    </row>
    <row r="878">
      <c r="A878" s="32" t="str">
        <f>IFERROR(__xludf.DUMMYFUNCTION("""COMPUTED_VALUE"""),"Iguanian Brawler's Arm Wraps")</f>
        <v>Iguanian Brawler's Arm Wraps</v>
      </c>
      <c r="B878" s="32" t="str">
        <f>IFERROR(__xludf.DUMMYFUNCTION("""COMPUTED_VALUE"""),"Arms")</f>
        <v>Arms</v>
      </c>
      <c r="C878" s="32"/>
      <c r="D878" s="32" t="str">
        <f>IFERROR(__xludf.DUMMYFUNCTION("""COMPUTED_VALUE"""),"Item")</f>
        <v>Item</v>
      </c>
      <c r="E878" s="32">
        <f>IFERROR(__xludf.DUMMYFUNCTION("""COMPUTED_VALUE"""),3000.0)</f>
        <v>3000</v>
      </c>
      <c r="F878" s="44">
        <f>IFERROR(__xludf.DUMMYFUNCTION("""COMPUTED_VALUE"""),4.485E8)</f>
        <v>448500000</v>
      </c>
      <c r="G878" s="32" t="str">
        <f>IFERROR(__xludf.DUMMYFUNCTION("""COMPUTED_VALUE"""),"DEF")</f>
        <v>DEF</v>
      </c>
      <c r="H878" s="32">
        <f>IFERROR(__xludf.DUMMYFUNCTION("""COMPUTED_VALUE"""),150000.0)</f>
        <v>150000</v>
      </c>
      <c r="I878" s="32"/>
      <c r="J878" s="32"/>
      <c r="K878" s="32">
        <f>IFERROR(__xludf.DUMMYFUNCTION("""COMPUTED_VALUE"""),50000.0)</f>
        <v>50000</v>
      </c>
      <c r="L878" s="32"/>
      <c r="M878" s="32"/>
      <c r="N878" s="32"/>
      <c r="O878" s="32"/>
      <c r="P878" s="32"/>
      <c r="Q878" s="32"/>
      <c r="R878" s="32"/>
      <c r="S878" s="32">
        <f>IFERROR(__xludf.DUMMYFUNCTION("""COMPUTED_VALUE"""),-50000.0)</f>
        <v>-50000</v>
      </c>
      <c r="T878" s="32"/>
      <c r="U878" s="32"/>
      <c r="V878" s="32"/>
      <c r="W878" s="32"/>
      <c r="X878" s="32"/>
      <c r="Y878" s="32"/>
      <c r="Z878" s="32"/>
      <c r="AA878" s="32"/>
      <c r="AB878" s="32"/>
      <c r="AC878" s="32"/>
      <c r="AD878" s="32"/>
      <c r="AE878" s="32"/>
      <c r="AF878" s="32"/>
      <c r="AG878" s="32" t="str">
        <f>IFERROR(__xludf.DUMMYFUNCTION("""COMPUTED_VALUE"""),"Dragonscale Island")</f>
        <v>Dragonscale Island</v>
      </c>
      <c r="AH878" s="32" t="b">
        <f>IFERROR(__xludf.DUMMYFUNCTION("""COMPUTED_VALUE"""),FALSE)</f>
        <v>0</v>
      </c>
      <c r="AI878" s="32"/>
      <c r="AJ878" s="32"/>
      <c r="AK878" s="32"/>
      <c r="AL878" s="32"/>
      <c r="AM878" s="32"/>
      <c r="AN878" s="32"/>
      <c r="AO878" s="32"/>
      <c r="AP878" s="32"/>
      <c r="AQ878" s="32"/>
      <c r="AR878" s="32"/>
      <c r="AS878" s="32"/>
      <c r="AT878" s="32"/>
      <c r="AU878" s="32"/>
      <c r="AV878" s="32"/>
      <c r="AW878" s="32"/>
      <c r="AX878" s="32"/>
    </row>
    <row r="879">
      <c r="A879" s="32" t="str">
        <f>IFERROR(__xludf.DUMMYFUNCTION("""COMPUTED_VALUE"""),"Iguanian Brawler's Shorts")</f>
        <v>Iguanian Brawler's Shorts</v>
      </c>
      <c r="B879" s="32" t="str">
        <f>IFERROR(__xludf.DUMMYFUNCTION("""COMPUTED_VALUE"""),"Legs")</f>
        <v>Legs</v>
      </c>
      <c r="C879" s="32"/>
      <c r="D879" s="32" t="str">
        <f>IFERROR(__xludf.DUMMYFUNCTION("""COMPUTED_VALUE"""),"Item")</f>
        <v>Item</v>
      </c>
      <c r="E879" s="32">
        <f>IFERROR(__xludf.DUMMYFUNCTION("""COMPUTED_VALUE"""),3000.0)</f>
        <v>3000</v>
      </c>
      <c r="F879" s="44">
        <f>IFERROR(__xludf.DUMMYFUNCTION("""COMPUTED_VALUE"""),4.485E8)</f>
        <v>448500000</v>
      </c>
      <c r="G879" s="32" t="str">
        <f>IFERROR(__xludf.DUMMYFUNCTION("""COMPUTED_VALUE"""),"DEF")</f>
        <v>DEF</v>
      </c>
      <c r="H879" s="32">
        <f>IFERROR(__xludf.DUMMYFUNCTION("""COMPUTED_VALUE"""),150000.0)</f>
        <v>150000</v>
      </c>
      <c r="I879" s="32"/>
      <c r="J879" s="32"/>
      <c r="K879" s="32">
        <f>IFERROR(__xludf.DUMMYFUNCTION("""COMPUTED_VALUE"""),50000.0)</f>
        <v>50000</v>
      </c>
      <c r="L879" s="32"/>
      <c r="M879" s="32"/>
      <c r="N879" s="32"/>
      <c r="O879" s="32"/>
      <c r="P879" s="32"/>
      <c r="Q879" s="32"/>
      <c r="R879" s="32"/>
      <c r="S879" s="32">
        <f>IFERROR(__xludf.DUMMYFUNCTION("""COMPUTED_VALUE"""),-50000.0)</f>
        <v>-50000</v>
      </c>
      <c r="T879" s="32"/>
      <c r="U879" s="32"/>
      <c r="V879" s="32"/>
      <c r="W879" s="32"/>
      <c r="X879" s="32"/>
      <c r="Y879" s="32"/>
      <c r="Z879" s="32"/>
      <c r="AA879" s="32"/>
      <c r="AB879" s="32"/>
      <c r="AC879" s="32"/>
      <c r="AD879" s="32"/>
      <c r="AE879" s="32"/>
      <c r="AF879" s="32"/>
      <c r="AG879" s="32" t="str">
        <f>IFERROR(__xludf.DUMMYFUNCTION("""COMPUTED_VALUE"""),"Dragonscale Island")</f>
        <v>Dragonscale Island</v>
      </c>
      <c r="AH879" s="32" t="b">
        <f>IFERROR(__xludf.DUMMYFUNCTION("""COMPUTED_VALUE"""),FALSE)</f>
        <v>0</v>
      </c>
      <c r="AI879" s="32"/>
      <c r="AJ879" s="32"/>
      <c r="AK879" s="32"/>
      <c r="AL879" s="32"/>
      <c r="AM879" s="32"/>
      <c r="AN879" s="32"/>
      <c r="AO879" s="32"/>
      <c r="AP879" s="32"/>
      <c r="AQ879" s="32"/>
      <c r="AR879" s="32"/>
      <c r="AS879" s="32"/>
      <c r="AT879" s="32"/>
      <c r="AU879" s="32"/>
      <c r="AV879" s="32"/>
      <c r="AW879" s="32"/>
      <c r="AX879" s="32"/>
    </row>
    <row r="880">
      <c r="A880" s="32" t="str">
        <f>IFERROR(__xludf.DUMMYFUNCTION("""COMPUTED_VALUE"""),"Iguanian Brawler's Sandals")</f>
        <v>Iguanian Brawler's Sandals</v>
      </c>
      <c r="B880" s="32" t="str">
        <f>IFERROR(__xludf.DUMMYFUNCTION("""COMPUTED_VALUE"""),"Feet")</f>
        <v>Feet</v>
      </c>
      <c r="C880" s="32"/>
      <c r="D880" s="32" t="str">
        <f>IFERROR(__xludf.DUMMYFUNCTION("""COMPUTED_VALUE"""),"Item")</f>
        <v>Item</v>
      </c>
      <c r="E880" s="32">
        <f>IFERROR(__xludf.DUMMYFUNCTION("""COMPUTED_VALUE"""),3000.0)</f>
        <v>3000</v>
      </c>
      <c r="F880" s="44">
        <f>IFERROR(__xludf.DUMMYFUNCTION("""COMPUTED_VALUE"""),4.485E8)</f>
        <v>448500000</v>
      </c>
      <c r="G880" s="32" t="str">
        <f>IFERROR(__xludf.DUMMYFUNCTION("""COMPUTED_VALUE"""),"DEF")</f>
        <v>DEF</v>
      </c>
      <c r="H880" s="32">
        <f>IFERROR(__xludf.DUMMYFUNCTION("""COMPUTED_VALUE"""),150000.0)</f>
        <v>150000</v>
      </c>
      <c r="I880" s="32"/>
      <c r="J880" s="32"/>
      <c r="K880" s="32">
        <f>IFERROR(__xludf.DUMMYFUNCTION("""COMPUTED_VALUE"""),50000.0)</f>
        <v>50000</v>
      </c>
      <c r="L880" s="32"/>
      <c r="M880" s="32"/>
      <c r="N880" s="32"/>
      <c r="O880" s="32"/>
      <c r="P880" s="32"/>
      <c r="Q880" s="32"/>
      <c r="R880" s="32"/>
      <c r="S880" s="32">
        <f>IFERROR(__xludf.DUMMYFUNCTION("""COMPUTED_VALUE"""),-50000.0)</f>
        <v>-50000</v>
      </c>
      <c r="T880" s="32"/>
      <c r="U880" s="32"/>
      <c r="V880" s="32"/>
      <c r="W880" s="32"/>
      <c r="X880" s="32"/>
      <c r="Y880" s="32"/>
      <c r="Z880" s="32"/>
      <c r="AA880" s="32"/>
      <c r="AB880" s="32"/>
      <c r="AC880" s="32"/>
      <c r="AD880" s="32"/>
      <c r="AE880" s="32"/>
      <c r="AF880" s="32"/>
      <c r="AG880" s="32" t="str">
        <f>IFERROR(__xludf.DUMMYFUNCTION("""COMPUTED_VALUE"""),"Dragonscale Island")</f>
        <v>Dragonscale Island</v>
      </c>
      <c r="AH880" s="32" t="b">
        <f>IFERROR(__xludf.DUMMYFUNCTION("""COMPUTED_VALUE"""),FALSE)</f>
        <v>0</v>
      </c>
      <c r="AI880" s="32"/>
      <c r="AJ880" s="32"/>
      <c r="AK880" s="32"/>
      <c r="AL880" s="32"/>
      <c r="AM880" s="32"/>
      <c r="AN880" s="32"/>
      <c r="AO880" s="32"/>
      <c r="AP880" s="32"/>
      <c r="AQ880" s="32"/>
      <c r="AR880" s="32"/>
      <c r="AS880" s="32"/>
      <c r="AT880" s="32"/>
      <c r="AU880" s="32"/>
      <c r="AV880" s="32"/>
      <c r="AW880" s="32"/>
      <c r="AX880" s="32"/>
    </row>
    <row r="881">
      <c r="A881" s="32" t="str">
        <f>IFERROR(__xludf.DUMMYFUNCTION("""COMPUTED_VALUE"""),"Iguanian Brawler's Knuckles")</f>
        <v>Iguanian Brawler's Knuckles</v>
      </c>
      <c r="B881" s="32" t="str">
        <f>IFERROR(__xludf.DUMMYFUNCTION("""COMPUTED_VALUE"""),"Hand")</f>
        <v>Hand</v>
      </c>
      <c r="C881" s="32"/>
      <c r="D881" s="32" t="str">
        <f>IFERROR(__xludf.DUMMYFUNCTION("""COMPUTED_VALUE"""),"Gauntlet")</f>
        <v>Gauntlet</v>
      </c>
      <c r="E881" s="32">
        <f>IFERROR(__xludf.DUMMYFUNCTION("""COMPUTED_VALUE"""),3000.0)</f>
        <v>3000</v>
      </c>
      <c r="F881" s="44">
        <f>IFERROR(__xludf.DUMMYFUNCTION("""COMPUTED_VALUE"""),4.485E8)</f>
        <v>448500000</v>
      </c>
      <c r="G881" s="32" t="str">
        <f>IFERROR(__xludf.DUMMYFUNCTION("""COMPUTED_VALUE"""),"DEF")</f>
        <v>DEF</v>
      </c>
      <c r="H881" s="32">
        <f>IFERROR(__xludf.DUMMYFUNCTION("""COMPUTED_VALUE"""),100000.0)</f>
        <v>100000</v>
      </c>
      <c r="I881" s="32"/>
      <c r="J881" s="32"/>
      <c r="K881" s="32">
        <f>IFERROR(__xludf.DUMMYFUNCTION("""COMPUTED_VALUE"""),50000.0)</f>
        <v>50000</v>
      </c>
      <c r="L881" s="32"/>
      <c r="M881" s="32"/>
      <c r="N881" s="32"/>
      <c r="O881" s="32"/>
      <c r="P881" s="32"/>
      <c r="Q881" s="32"/>
      <c r="R881" s="32"/>
      <c r="S881" s="32"/>
      <c r="T881" s="32"/>
      <c r="U881" s="32"/>
      <c r="V881" s="32"/>
      <c r="W881" s="32"/>
      <c r="X881" s="32"/>
      <c r="Y881" s="32"/>
      <c r="Z881" s="32"/>
      <c r="AA881" s="32"/>
      <c r="AB881" s="32"/>
      <c r="AC881" s="32"/>
      <c r="AD881" s="32"/>
      <c r="AE881" s="32"/>
      <c r="AF881" s="32"/>
      <c r="AG881" s="32" t="str">
        <f>IFERROR(__xludf.DUMMYFUNCTION("""COMPUTED_VALUE"""),"Dragonscale Island")</f>
        <v>Dragonscale Island</v>
      </c>
      <c r="AH881" s="32" t="b">
        <f>IFERROR(__xludf.DUMMYFUNCTION("""COMPUTED_VALUE"""),FALSE)</f>
        <v>0</v>
      </c>
      <c r="AI881" s="32"/>
      <c r="AJ881" s="32"/>
      <c r="AK881" s="32"/>
      <c r="AL881" s="32"/>
      <c r="AM881" s="32"/>
      <c r="AN881" s="32"/>
      <c r="AO881" s="32"/>
      <c r="AP881" s="32"/>
      <c r="AQ881" s="32"/>
      <c r="AR881" s="32"/>
      <c r="AS881" s="32"/>
      <c r="AT881" s="32"/>
      <c r="AU881" s="32"/>
      <c r="AV881" s="32"/>
      <c r="AW881" s="32"/>
      <c r="AX881" s="32"/>
    </row>
    <row r="882">
      <c r="A882" s="32" t="str">
        <f>IFERROR(__xludf.DUMMYFUNCTION("""COMPUTED_VALUE"""),"Iguanian Brawler's Ring")</f>
        <v>Iguanian Brawler's Ring</v>
      </c>
      <c r="B882" s="32" t="str">
        <f>IFERROR(__xludf.DUMMYFUNCTION("""COMPUTED_VALUE"""),"Finger")</f>
        <v>Finger</v>
      </c>
      <c r="C882" s="32"/>
      <c r="D882" s="32"/>
      <c r="E882" s="32">
        <f>IFERROR(__xludf.DUMMYFUNCTION("""COMPUTED_VALUE"""),1.0)</f>
        <v>1</v>
      </c>
      <c r="F882" s="44">
        <f>IFERROR(__xludf.DUMMYFUNCTION("""COMPUTED_VALUE"""),0.0)</f>
        <v>0</v>
      </c>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t="str">
        <f>IFERROR(__xludf.DUMMYFUNCTION("""COMPUTED_VALUE"""),"++X10 Natural Attack damage")</f>
        <v>++X10 Natural Attack damage</v>
      </c>
      <c r="AG882" s="32" t="str">
        <f>IFERROR(__xludf.DUMMYFUNCTION("""COMPUTED_VALUE"""),"Dragonscale Island")</f>
        <v>Dragonscale Island</v>
      </c>
      <c r="AH882" s="32" t="b">
        <f>IFERROR(__xludf.DUMMYFUNCTION("""COMPUTED_VALUE"""),FALSE)</f>
        <v>0</v>
      </c>
      <c r="AI882" s="32"/>
      <c r="AJ882" s="32"/>
      <c r="AK882" s="32"/>
      <c r="AL882" s="32"/>
      <c r="AM882" s="32"/>
      <c r="AN882" s="32"/>
      <c r="AO882" s="32"/>
      <c r="AP882" s="32"/>
      <c r="AQ882" s="32"/>
      <c r="AR882" s="32"/>
      <c r="AS882" s="32"/>
      <c r="AT882" s="32"/>
      <c r="AU882" s="32"/>
      <c r="AV882" s="32"/>
      <c r="AW882" s="32"/>
      <c r="AX882" s="32"/>
    </row>
    <row r="883">
      <c r="A883" s="32" t="str">
        <f>IFERROR(__xludf.DUMMYFUNCTION("""COMPUTED_VALUE"""),"Cursed Ring of Sudden Death")</f>
        <v>Cursed Ring of Sudden Death</v>
      </c>
      <c r="B883" s="32" t="str">
        <f>IFERROR(__xludf.DUMMYFUNCTION("""COMPUTED_VALUE"""),"Finger")</f>
        <v>Finger</v>
      </c>
      <c r="C883" s="32"/>
      <c r="D883" s="32" t="str">
        <f>IFERROR(__xludf.DUMMYFUNCTION("""COMPUTED_VALUE"""),"Item")</f>
        <v>Item</v>
      </c>
      <c r="E883" s="32">
        <f>IFERROR(__xludf.DUMMYFUNCTION("""COMPUTED_VALUE"""),1.0)</f>
        <v>1</v>
      </c>
      <c r="F883" s="44">
        <f>IFERROR(__xludf.DUMMYFUNCTION("""COMPUTED_VALUE"""),0.0)</f>
        <v>0</v>
      </c>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32" t="str">
        <f>IFERROR(__xludf.DUMMYFUNCTION("""COMPUTED_VALUE"""),"Dragonscale Island")</f>
        <v>Dragonscale Island</v>
      </c>
      <c r="AH883" s="32" t="b">
        <f>IFERROR(__xludf.DUMMYFUNCTION("""COMPUTED_VALUE"""),FALSE)</f>
        <v>0</v>
      </c>
      <c r="AI883" s="32"/>
      <c r="AJ883" s="32"/>
      <c r="AK883" s="32"/>
      <c r="AL883" s="32"/>
      <c r="AM883" s="32"/>
      <c r="AN883" s="32"/>
      <c r="AO883" s="32"/>
      <c r="AP883" s="32"/>
      <c r="AQ883" s="32"/>
      <c r="AR883" s="32"/>
      <c r="AS883" s="32"/>
      <c r="AT883" s="32"/>
      <c r="AU883" s="32"/>
      <c r="AV883" s="32"/>
      <c r="AW883" s="32"/>
      <c r="AX883" s="32"/>
    </row>
    <row r="884">
      <c r="A884" s="32" t="str">
        <f>IFERROR(__xludf.DUMMYFUNCTION("""COMPUTED_VALUE"""),"Ring of Action")</f>
        <v>Ring of Action</v>
      </c>
      <c r="B884" s="32" t="str">
        <f>IFERROR(__xludf.DUMMYFUNCTION("""COMPUTED_VALUE"""),"Finger")</f>
        <v>Finger</v>
      </c>
      <c r="C884" s="32"/>
      <c r="D884" s="32" t="str">
        <f>IFERROR(__xludf.DUMMYFUNCTION("""COMPUTED_VALUE"""),"Item")</f>
        <v>Item</v>
      </c>
      <c r="E884" s="32">
        <f>IFERROR(__xludf.DUMMYFUNCTION("""COMPUTED_VALUE"""),1.0)</f>
        <v>1</v>
      </c>
      <c r="F884" s="44">
        <f>IFERROR(__xludf.DUMMYFUNCTION("""COMPUTED_VALUE"""),0.0)</f>
        <v>0</v>
      </c>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t="str">
        <f>IFERROR(__xludf.DUMMYFUNCTION("""COMPUTED_VALUE"""),"++10000 SP")</f>
        <v>++10000 SP</v>
      </c>
      <c r="AG884" s="32" t="str">
        <f>IFERROR(__xludf.DUMMYFUNCTION("""COMPUTED_VALUE"""),"Dragonscale Island")</f>
        <v>Dragonscale Island</v>
      </c>
      <c r="AH884" s="32" t="b">
        <f>IFERROR(__xludf.DUMMYFUNCTION("""COMPUTED_VALUE"""),FALSE)</f>
        <v>0</v>
      </c>
      <c r="AI884" s="32"/>
      <c r="AJ884" s="32"/>
      <c r="AK884" s="32"/>
      <c r="AL884" s="32"/>
      <c r="AM884" s="32"/>
      <c r="AN884" s="32"/>
      <c r="AO884" s="32"/>
      <c r="AP884" s="32"/>
      <c r="AQ884" s="32"/>
      <c r="AR884" s="32"/>
      <c r="AS884" s="32"/>
      <c r="AT884" s="32"/>
      <c r="AU884" s="32"/>
      <c r="AV884" s="32"/>
      <c r="AW884" s="32"/>
      <c r="AX884" s="32"/>
    </row>
    <row r="885">
      <c r="A885" s="32" t="str">
        <f>IFERROR(__xludf.DUMMYFUNCTION("""COMPUTED_VALUE"""),"Iguanian Mage Hat")</f>
        <v>Iguanian Mage Hat</v>
      </c>
      <c r="B885" s="32"/>
      <c r="C885" s="32"/>
      <c r="D885" s="32" t="str">
        <f>IFERROR(__xludf.DUMMYFUNCTION("""COMPUTED_VALUE"""),"Item")</f>
        <v>Item</v>
      </c>
      <c r="E885" s="32">
        <f>IFERROR(__xludf.DUMMYFUNCTION("""COMPUTED_VALUE"""),1.0)</f>
        <v>1</v>
      </c>
      <c r="F885" s="44">
        <f>IFERROR(__xludf.DUMMYFUNCTION("""COMPUTED_VALUE"""),0.0)</f>
        <v>0</v>
      </c>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t="str">
        <f>IFERROR(__xludf.DUMMYFUNCTION("""COMPUTED_VALUE"""),"++10000 hp and sp")</f>
        <v>++10000 hp and sp</v>
      </c>
      <c r="AG885" s="32" t="str">
        <f>IFERROR(__xludf.DUMMYFUNCTION("""COMPUTED_VALUE"""),"Dragonscale Island")</f>
        <v>Dragonscale Island</v>
      </c>
      <c r="AH885" s="32" t="b">
        <f>IFERROR(__xludf.DUMMYFUNCTION("""COMPUTED_VALUE"""),FALSE)</f>
        <v>0</v>
      </c>
      <c r="AI885" s="32"/>
      <c r="AJ885" s="32"/>
      <c r="AK885" s="32"/>
      <c r="AL885" s="32"/>
      <c r="AM885" s="32"/>
      <c r="AN885" s="32"/>
      <c r="AO885" s="32"/>
      <c r="AP885" s="32"/>
      <c r="AQ885" s="32"/>
      <c r="AR885" s="32"/>
      <c r="AS885" s="32"/>
      <c r="AT885" s="32"/>
      <c r="AU885" s="32"/>
      <c r="AV885" s="32"/>
      <c r="AW885" s="32"/>
      <c r="AX885" s="32"/>
    </row>
    <row r="886">
      <c r="A886" s="32" t="str">
        <f>IFERROR(__xludf.DUMMYFUNCTION("""COMPUTED_VALUE"""),"Iguanian Mage Robes")</f>
        <v>Iguanian Mage Robes</v>
      </c>
      <c r="B886" s="32"/>
      <c r="C886" s="32"/>
      <c r="D886" s="32" t="str">
        <f>IFERROR(__xludf.DUMMYFUNCTION("""COMPUTED_VALUE"""),"Item")</f>
        <v>Item</v>
      </c>
      <c r="E886" s="32">
        <f>IFERROR(__xludf.DUMMYFUNCTION("""COMPUTED_VALUE"""),1.0)</f>
        <v>1</v>
      </c>
      <c r="F886" s="44">
        <f>IFERROR(__xludf.DUMMYFUNCTION("""COMPUTED_VALUE"""),0.0)</f>
        <v>0</v>
      </c>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t="str">
        <f>IFERROR(__xludf.DUMMYFUNCTION("""COMPUTED_VALUE"""),"++10000 hp and sp")</f>
        <v>++10000 hp and sp</v>
      </c>
      <c r="AG886" s="32" t="str">
        <f>IFERROR(__xludf.DUMMYFUNCTION("""COMPUTED_VALUE"""),"Dragonscale Island")</f>
        <v>Dragonscale Island</v>
      </c>
      <c r="AH886" s="32" t="b">
        <f>IFERROR(__xludf.DUMMYFUNCTION("""COMPUTED_VALUE"""),FALSE)</f>
        <v>0</v>
      </c>
      <c r="AI886" s="32"/>
      <c r="AJ886" s="32"/>
      <c r="AK886" s="32"/>
      <c r="AL886" s="32"/>
      <c r="AM886" s="32"/>
      <c r="AN886" s="32"/>
      <c r="AO886" s="32"/>
      <c r="AP886" s="32"/>
      <c r="AQ886" s="32"/>
      <c r="AR886" s="32"/>
      <c r="AS886" s="32"/>
      <c r="AT886" s="32"/>
      <c r="AU886" s="32"/>
      <c r="AV886" s="32"/>
      <c r="AW886" s="32"/>
      <c r="AX886" s="32"/>
    </row>
    <row r="887">
      <c r="A887" s="32" t="str">
        <f>IFERROR(__xludf.DUMMYFUNCTION("""COMPUTED_VALUE"""),"Iguanian Mage Leggings")</f>
        <v>Iguanian Mage Leggings</v>
      </c>
      <c r="B887" s="32"/>
      <c r="C887" s="32"/>
      <c r="D887" s="32" t="str">
        <f>IFERROR(__xludf.DUMMYFUNCTION("""COMPUTED_VALUE"""),"Item")</f>
        <v>Item</v>
      </c>
      <c r="E887" s="32">
        <f>IFERROR(__xludf.DUMMYFUNCTION("""COMPUTED_VALUE"""),1.0)</f>
        <v>1</v>
      </c>
      <c r="F887" s="44">
        <f>IFERROR(__xludf.DUMMYFUNCTION("""COMPUTED_VALUE"""),0.0)</f>
        <v>0</v>
      </c>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t="str">
        <f>IFERROR(__xludf.DUMMYFUNCTION("""COMPUTED_VALUE"""),"++10000 hp and sp")</f>
        <v>++10000 hp and sp</v>
      </c>
      <c r="AG887" s="32" t="str">
        <f>IFERROR(__xludf.DUMMYFUNCTION("""COMPUTED_VALUE"""),"Dragonscale Island")</f>
        <v>Dragonscale Island</v>
      </c>
      <c r="AH887" s="32" t="b">
        <f>IFERROR(__xludf.DUMMYFUNCTION("""COMPUTED_VALUE"""),FALSE)</f>
        <v>0</v>
      </c>
      <c r="AI887" s="32"/>
      <c r="AJ887" s="32"/>
      <c r="AK887" s="32"/>
      <c r="AL887" s="32"/>
      <c r="AM887" s="32"/>
      <c r="AN887" s="32"/>
      <c r="AO887" s="32"/>
      <c r="AP887" s="32"/>
      <c r="AQ887" s="32"/>
      <c r="AR887" s="32"/>
      <c r="AS887" s="32"/>
      <c r="AT887" s="32"/>
      <c r="AU887" s="32"/>
      <c r="AV887" s="32"/>
      <c r="AW887" s="32"/>
      <c r="AX887" s="32"/>
    </row>
    <row r="888">
      <c r="A888" s="32" t="str">
        <f>IFERROR(__xludf.DUMMYFUNCTION("""COMPUTED_VALUE"""),"Iguanian Mage Pointed Shoes")</f>
        <v>Iguanian Mage Pointed Shoes</v>
      </c>
      <c r="B888" s="32"/>
      <c r="C888" s="32"/>
      <c r="D888" s="32" t="str">
        <f>IFERROR(__xludf.DUMMYFUNCTION("""COMPUTED_VALUE"""),"Item")</f>
        <v>Item</v>
      </c>
      <c r="E888" s="32">
        <f>IFERROR(__xludf.DUMMYFUNCTION("""COMPUTED_VALUE"""),1.0)</f>
        <v>1</v>
      </c>
      <c r="F888" s="44">
        <f>IFERROR(__xludf.DUMMYFUNCTION("""COMPUTED_VALUE"""),0.0)</f>
        <v>0</v>
      </c>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t="str">
        <f>IFERROR(__xludf.DUMMYFUNCTION("""COMPUTED_VALUE"""),"++10000 hp and sp")</f>
        <v>++10000 hp and sp</v>
      </c>
      <c r="AG888" s="32" t="str">
        <f>IFERROR(__xludf.DUMMYFUNCTION("""COMPUTED_VALUE"""),"Dragonscale Island")</f>
        <v>Dragonscale Island</v>
      </c>
      <c r="AH888" s="32" t="b">
        <f>IFERROR(__xludf.DUMMYFUNCTION("""COMPUTED_VALUE"""),FALSE)</f>
        <v>0</v>
      </c>
      <c r="AI888" s="32"/>
      <c r="AJ888" s="32"/>
      <c r="AK888" s="32"/>
      <c r="AL888" s="32"/>
      <c r="AM888" s="32"/>
      <c r="AN888" s="32"/>
      <c r="AO888" s="32"/>
      <c r="AP888" s="32"/>
      <c r="AQ888" s="32"/>
      <c r="AR888" s="32"/>
      <c r="AS888" s="32"/>
      <c r="AT888" s="32"/>
      <c r="AU888" s="32"/>
      <c r="AV888" s="32"/>
      <c r="AW888" s="32"/>
      <c r="AX888" s="32"/>
    </row>
    <row r="889">
      <c r="A889" s="32" t="str">
        <f>IFERROR(__xludf.DUMMYFUNCTION("""COMPUTED_VALUE"""),"Iguanian Mage Staff of Hail")</f>
        <v>Iguanian Mage Staff of Hail</v>
      </c>
      <c r="B889" s="32"/>
      <c r="C889" s="32"/>
      <c r="D889" s="32" t="str">
        <f>IFERROR(__xludf.DUMMYFUNCTION("""COMPUTED_VALUE"""),"Staff")</f>
        <v>Staff</v>
      </c>
      <c r="E889" s="32">
        <f>IFERROR(__xludf.DUMMYFUNCTION("""COMPUTED_VALUE"""),1.0)</f>
        <v>1</v>
      </c>
      <c r="F889" s="44">
        <f>IFERROR(__xludf.DUMMYFUNCTION("""COMPUTED_VALUE"""),0.0)</f>
        <v>0</v>
      </c>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32" t="str">
        <f>IFERROR(__xludf.DUMMYFUNCTION("""COMPUTED_VALUE"""),"Dragonscale Island")</f>
        <v>Dragonscale Island</v>
      </c>
      <c r="AH889" s="32" t="b">
        <f>IFERROR(__xludf.DUMMYFUNCTION("""COMPUTED_VALUE"""),FALSE)</f>
        <v>0</v>
      </c>
      <c r="AI889" s="32"/>
      <c r="AJ889" s="32"/>
      <c r="AK889" s="32"/>
      <c r="AL889" s="32"/>
      <c r="AM889" s="32"/>
      <c r="AN889" s="32"/>
      <c r="AO889" s="32"/>
      <c r="AP889" s="32"/>
      <c r="AQ889" s="32"/>
      <c r="AR889" s="32"/>
      <c r="AS889" s="32"/>
      <c r="AT889" s="32"/>
      <c r="AU889" s="32"/>
      <c r="AV889" s="32"/>
      <c r="AW889" s="32"/>
      <c r="AX889" s="32"/>
    </row>
    <row r="890">
      <c r="A890" s="32"/>
      <c r="B890" s="32"/>
      <c r="C890" s="32"/>
      <c r="D890" s="32"/>
      <c r="E890" s="32">
        <f>IFERROR(__xludf.DUMMYFUNCTION("""COMPUTED_VALUE"""),1.0)</f>
        <v>1</v>
      </c>
      <c r="F890" s="44">
        <f>IFERROR(__xludf.DUMMYFUNCTION("""COMPUTED_VALUE"""),0.0)</f>
        <v>0</v>
      </c>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t="str">
        <f>IFERROR(__xludf.DUMMYFUNCTION("""COMPUTED_VALUE"""),"Dragonscale Island")</f>
        <v>Dragonscale Island</v>
      </c>
      <c r="AH890" s="32" t="b">
        <f>IFERROR(__xludf.DUMMYFUNCTION("""COMPUTED_VALUE"""),FALSE)</f>
        <v>0</v>
      </c>
      <c r="AI890" s="32"/>
      <c r="AJ890" s="32"/>
      <c r="AK890" s="32"/>
      <c r="AL890" s="32"/>
      <c r="AM890" s="32"/>
      <c r="AN890" s="32"/>
      <c r="AO890" s="32"/>
      <c r="AP890" s="32"/>
      <c r="AQ890" s="32"/>
      <c r="AR890" s="32"/>
      <c r="AS890" s="32"/>
      <c r="AT890" s="32"/>
      <c r="AU890" s="32"/>
      <c r="AV890" s="32"/>
      <c r="AW890" s="32"/>
      <c r="AX890" s="32"/>
    </row>
    <row r="891">
      <c r="A891" s="32" t="str">
        <f>IFERROR(__xludf.DUMMYFUNCTION("""COMPUTED_VALUE"""),"Blood Finger Ring")</f>
        <v>Blood Finger Ring</v>
      </c>
      <c r="B891" s="32" t="str">
        <f>IFERROR(__xludf.DUMMYFUNCTION("""COMPUTED_VALUE"""),"Finger")</f>
        <v>Finger</v>
      </c>
      <c r="C891" s="32"/>
      <c r="D891" s="32" t="str">
        <f>IFERROR(__xludf.DUMMYFUNCTION("""COMPUTED_VALUE"""),"Item")</f>
        <v>Item</v>
      </c>
      <c r="E891" s="32">
        <f>IFERROR(__xludf.DUMMYFUNCTION("""COMPUTED_VALUE"""),1.0)</f>
        <v>1</v>
      </c>
      <c r="F891" s="44">
        <f>IFERROR(__xludf.DUMMYFUNCTION("""COMPUTED_VALUE"""),0.0)</f>
        <v>0</v>
      </c>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t="str">
        <f>IFERROR(__xludf.DUMMYFUNCTION("""COMPUTED_VALUE"""),"++Once per battle, if HP&lt;110, heal 10000 HP +-Cannot be forged or duplicated")</f>
        <v>++Once per battle, if HP&lt;110, heal 10000 HP +-Cannot be forged or duplicated</v>
      </c>
      <c r="AG891" s="32" t="str">
        <f>IFERROR(__xludf.DUMMYFUNCTION("""COMPUTED_VALUE"""),"Dragonscale Island")</f>
        <v>Dragonscale Island</v>
      </c>
      <c r="AH891" s="32" t="b">
        <f>IFERROR(__xludf.DUMMYFUNCTION("""COMPUTED_VALUE"""),FALSE)</f>
        <v>0</v>
      </c>
      <c r="AI891" s="32"/>
      <c r="AJ891" s="32"/>
      <c r="AK891" s="32"/>
      <c r="AL891" s="32"/>
      <c r="AM891" s="32"/>
      <c r="AN891" s="32"/>
      <c r="AO891" s="32"/>
      <c r="AP891" s="32"/>
      <c r="AQ891" s="32"/>
      <c r="AR891" s="32"/>
      <c r="AS891" s="32"/>
      <c r="AT891" s="32"/>
      <c r="AU891" s="32"/>
      <c r="AV891" s="32"/>
      <c r="AW891" s="32"/>
      <c r="AX891" s="32"/>
    </row>
    <row r="892">
      <c r="A892" s="32" t="str">
        <f>IFERROR(__xludf.DUMMYFUNCTION("""COMPUTED_VALUE"""),"Finger Food Ring")</f>
        <v>Finger Food Ring</v>
      </c>
      <c r="B892" s="32" t="str">
        <f>IFERROR(__xludf.DUMMYFUNCTION("""COMPUTED_VALUE"""),"Finger")</f>
        <v>Finger</v>
      </c>
      <c r="C892" s="32"/>
      <c r="D892" s="32" t="str">
        <f>IFERROR(__xludf.DUMMYFUNCTION("""COMPUTED_VALUE"""),"Item")</f>
        <v>Item</v>
      </c>
      <c r="E892" s="32">
        <f>IFERROR(__xludf.DUMMYFUNCTION("""COMPUTED_VALUE"""),1.0)</f>
        <v>1</v>
      </c>
      <c r="F892" s="44">
        <f>IFERROR(__xludf.DUMMYFUNCTION("""COMPUTED_VALUE"""),0.0)</f>
        <v>0</v>
      </c>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32" t="str">
        <f>IFERROR(__xludf.DUMMYFUNCTION("""COMPUTED_VALUE"""),"Dragonscale Island")</f>
        <v>Dragonscale Island</v>
      </c>
      <c r="AH892" s="32" t="b">
        <f>IFERROR(__xludf.DUMMYFUNCTION("""COMPUTED_VALUE"""),FALSE)</f>
        <v>0</v>
      </c>
      <c r="AI892" s="32"/>
      <c r="AJ892" s="32"/>
      <c r="AK892" s="32"/>
      <c r="AL892" s="32"/>
      <c r="AM892" s="32"/>
      <c r="AN892" s="32"/>
      <c r="AO892" s="32"/>
      <c r="AP892" s="32"/>
      <c r="AQ892" s="32"/>
      <c r="AR892" s="32"/>
      <c r="AS892" s="32"/>
      <c r="AT892" s="32"/>
      <c r="AU892" s="32"/>
      <c r="AV892" s="32"/>
      <c r="AW892" s="32"/>
      <c r="AX892" s="32"/>
    </row>
    <row r="893">
      <c r="A893" s="32" t="str">
        <f>IFERROR(__xludf.DUMMYFUNCTION("""COMPUTED_VALUE"""),"Ring of Power")</f>
        <v>Ring of Power</v>
      </c>
      <c r="B893" s="32" t="str">
        <f>IFERROR(__xludf.DUMMYFUNCTION("""COMPUTED_VALUE"""),"Finger")</f>
        <v>Finger</v>
      </c>
      <c r="C893" s="32"/>
      <c r="D893" s="32" t="str">
        <f>IFERROR(__xludf.DUMMYFUNCTION("""COMPUTED_VALUE"""),"Item")</f>
        <v>Item</v>
      </c>
      <c r="E893" s="32">
        <f>IFERROR(__xludf.DUMMYFUNCTION("""COMPUTED_VALUE"""),1.0)</f>
        <v>1</v>
      </c>
      <c r="F893" s="44">
        <f>IFERROR(__xludf.DUMMYFUNCTION("""COMPUTED_VALUE"""),0.0)</f>
        <v>0</v>
      </c>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t="str">
        <f>IFERROR(__xludf.DUMMYFUNCTION("""COMPUTED_VALUE"""),"++1500 ATK and ACC")</f>
        <v>++1500 ATK and ACC</v>
      </c>
      <c r="AG893" s="32" t="str">
        <f>IFERROR(__xludf.DUMMYFUNCTION("""COMPUTED_VALUE"""),"Dragonscale Island")</f>
        <v>Dragonscale Island</v>
      </c>
      <c r="AH893" s="32" t="b">
        <f>IFERROR(__xludf.DUMMYFUNCTION("""COMPUTED_VALUE"""),FALSE)</f>
        <v>0</v>
      </c>
      <c r="AI893" s="32"/>
      <c r="AJ893" s="32"/>
      <c r="AK893" s="32"/>
      <c r="AL893" s="32"/>
      <c r="AM893" s="32"/>
      <c r="AN893" s="32"/>
      <c r="AO893" s="32"/>
      <c r="AP893" s="32"/>
      <c r="AQ893" s="32"/>
      <c r="AR893" s="32"/>
      <c r="AS893" s="32"/>
      <c r="AT893" s="32"/>
      <c r="AU893" s="32"/>
      <c r="AV893" s="32"/>
      <c r="AW893" s="32"/>
      <c r="AX893" s="32"/>
    </row>
    <row r="894">
      <c r="A894" s="32" t="str">
        <f>IFERROR(__xludf.DUMMYFUNCTION("""COMPUTED_VALUE"""),"Axe of Red")</f>
        <v>Axe of Red</v>
      </c>
      <c r="B894" s="32" t="str">
        <f>IFERROR(__xludf.DUMMYFUNCTION("""COMPUTED_VALUE"""),"Hand")</f>
        <v>Hand</v>
      </c>
      <c r="C894" s="32"/>
      <c r="D894" s="32" t="str">
        <f>IFERROR(__xludf.DUMMYFUNCTION("""COMPUTED_VALUE"""),"Axe")</f>
        <v>Axe</v>
      </c>
      <c r="E894" s="32">
        <f>IFERROR(__xludf.DUMMYFUNCTION("""COMPUTED_VALUE"""),4500.0)</f>
        <v>4500</v>
      </c>
      <c r="F894" s="44">
        <f>IFERROR(__xludf.DUMMYFUNCTION("""COMPUTED_VALUE"""),1.01025E9)</f>
        <v>1010250000</v>
      </c>
      <c r="G894" s="32" t="str">
        <f>IFERROR(__xludf.DUMMYFUNCTION("""COMPUTED_VALUE"""),"DMG")</f>
        <v>DMG</v>
      </c>
      <c r="H894" s="32"/>
      <c r="I894" s="32">
        <f>IFERROR(__xludf.DUMMYFUNCTION("""COMPUTED_VALUE"""),75000.0)</f>
        <v>75000</v>
      </c>
      <c r="J894" s="32"/>
      <c r="K894" s="32"/>
      <c r="L894" s="32"/>
      <c r="M894" s="32"/>
      <c r="N894" s="32"/>
      <c r="O894" s="32"/>
      <c r="P894" s="32"/>
      <c r="Q894" s="32"/>
      <c r="R894" s="32">
        <f>IFERROR(__xludf.DUMMYFUNCTION("""COMPUTED_VALUE"""),75000.0)</f>
        <v>75000</v>
      </c>
      <c r="S894" s="32"/>
      <c r="T894" s="32"/>
      <c r="U894" s="32"/>
      <c r="V894" s="32"/>
      <c r="W894" s="32"/>
      <c r="X894" s="32"/>
      <c r="Y894" s="32">
        <f>IFERROR(__xludf.DUMMYFUNCTION("""COMPUTED_VALUE"""),75000.0)</f>
        <v>75000</v>
      </c>
      <c r="Z894" s="32"/>
      <c r="AA894" s="32"/>
      <c r="AB894" s="32"/>
      <c r="AC894" s="32"/>
      <c r="AD894" s="32"/>
      <c r="AE894" s="32"/>
      <c r="AF894" s="32"/>
      <c r="AG894" s="32" t="str">
        <f>IFERROR(__xludf.DUMMYFUNCTION("""COMPUTED_VALUE"""),"Dragonscale Island")</f>
        <v>Dragonscale Island</v>
      </c>
      <c r="AH894" s="32" t="b">
        <f>IFERROR(__xludf.DUMMYFUNCTION("""COMPUTED_VALUE"""),FALSE)</f>
        <v>0</v>
      </c>
      <c r="AI894" s="32"/>
      <c r="AJ894" s="32"/>
      <c r="AK894" s="32"/>
      <c r="AL894" s="32"/>
      <c r="AM894" s="32"/>
      <c r="AN894" s="32"/>
      <c r="AO894" s="32"/>
      <c r="AP894" s="32"/>
      <c r="AQ894" s="32"/>
      <c r="AR894" s="32"/>
      <c r="AS894" s="32"/>
      <c r="AT894" s="32"/>
      <c r="AU894" s="32"/>
      <c r="AV894" s="32"/>
      <c r="AW894" s="32"/>
      <c r="AX894" s="32"/>
    </row>
    <row r="895">
      <c r="A895" s="32" t="str">
        <f>IFERROR(__xludf.DUMMYFUNCTION("""COMPUTED_VALUE"""),"Wyrmscale Staff")</f>
        <v>Wyrmscale Staff</v>
      </c>
      <c r="B895" s="32" t="str">
        <f>IFERROR(__xludf.DUMMYFUNCTION("""COMPUTED_VALUE"""),"Hand")</f>
        <v>Hand</v>
      </c>
      <c r="C895" s="32"/>
      <c r="D895" s="32" t="str">
        <f>IFERROR(__xludf.DUMMYFUNCTION("""COMPUTED_VALUE"""),"Staff")</f>
        <v>Staff</v>
      </c>
      <c r="E895" s="32">
        <f>IFERROR(__xludf.DUMMYFUNCTION("""COMPUTED_VALUE"""),1.0)</f>
        <v>1</v>
      </c>
      <c r="F895" s="44">
        <f>IFERROR(__xludf.DUMMYFUNCTION("""COMPUTED_VALUE"""),0.0)</f>
        <v>0</v>
      </c>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t="str">
        <f>IFERROR(__xludf.DUMMYFUNCTION("""COMPUTED_VALUE"""),"++Spells have double effect when cast on dragons +-Cannot be forged or duplicated")</f>
        <v>++Spells have double effect when cast on dragons +-Cannot be forged or duplicated</v>
      </c>
      <c r="AG895" s="32" t="str">
        <f>IFERROR(__xludf.DUMMYFUNCTION("""COMPUTED_VALUE"""),"Dragonscale Island")</f>
        <v>Dragonscale Island</v>
      </c>
      <c r="AH895" s="32" t="b">
        <f>IFERROR(__xludf.DUMMYFUNCTION("""COMPUTED_VALUE"""),FALSE)</f>
        <v>0</v>
      </c>
      <c r="AI895" s="32"/>
      <c r="AJ895" s="32"/>
      <c r="AK895" s="32"/>
      <c r="AL895" s="32"/>
      <c r="AM895" s="32"/>
      <c r="AN895" s="32"/>
      <c r="AO895" s="32"/>
      <c r="AP895" s="32"/>
      <c r="AQ895" s="32"/>
      <c r="AR895" s="32"/>
      <c r="AS895" s="32"/>
      <c r="AT895" s="32"/>
      <c r="AU895" s="32"/>
      <c r="AV895" s="32"/>
      <c r="AW895" s="32"/>
      <c r="AX895" s="32"/>
    </row>
    <row r="896">
      <c r="A896" s="32" t="str">
        <f>IFERROR(__xludf.DUMMYFUNCTION("""COMPUTED_VALUE"""),"Wyrmscale Wand")</f>
        <v>Wyrmscale Wand</v>
      </c>
      <c r="B896" s="32" t="str">
        <f>IFERROR(__xludf.DUMMYFUNCTION("""COMPUTED_VALUE"""),"Hand")</f>
        <v>Hand</v>
      </c>
      <c r="C896" s="32"/>
      <c r="D896" s="32" t="str">
        <f>IFERROR(__xludf.DUMMYFUNCTION("""COMPUTED_VALUE"""),"Wand")</f>
        <v>Wand</v>
      </c>
      <c r="E896" s="32">
        <f>IFERROR(__xludf.DUMMYFUNCTION("""COMPUTED_VALUE"""),1.0)</f>
        <v>1</v>
      </c>
      <c r="F896" s="44">
        <f>IFERROR(__xludf.DUMMYFUNCTION("""COMPUTED_VALUE"""),0.0)</f>
        <v>0</v>
      </c>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t="str">
        <f>IFERROR(__xludf.DUMMYFUNCTION("""COMPUTED_VALUE"""),"++Half the SP/HP cost of spells when in the presence of a dragon +-Cannot be forged or duplicated")</f>
        <v>++Half the SP/HP cost of spells when in the presence of a dragon +-Cannot be forged or duplicated</v>
      </c>
      <c r="AG896" s="32" t="str">
        <f>IFERROR(__xludf.DUMMYFUNCTION("""COMPUTED_VALUE"""),"Dragonscale Island")</f>
        <v>Dragonscale Island</v>
      </c>
      <c r="AH896" s="32" t="b">
        <f>IFERROR(__xludf.DUMMYFUNCTION("""COMPUTED_VALUE"""),FALSE)</f>
        <v>0</v>
      </c>
      <c r="AI896" s="32"/>
      <c r="AJ896" s="32"/>
      <c r="AK896" s="32"/>
      <c r="AL896" s="32"/>
      <c r="AM896" s="32"/>
      <c r="AN896" s="32"/>
      <c r="AO896" s="32"/>
      <c r="AP896" s="32"/>
      <c r="AQ896" s="32"/>
      <c r="AR896" s="32"/>
      <c r="AS896" s="32"/>
      <c r="AT896" s="32"/>
      <c r="AU896" s="32"/>
      <c r="AV896" s="32"/>
      <c r="AW896" s="32"/>
      <c r="AX896" s="32"/>
    </row>
    <row r="897">
      <c r="A897" s="32"/>
      <c r="B897" s="32"/>
      <c r="C897" s="32"/>
      <c r="D897" s="32"/>
      <c r="E897" s="32">
        <f>IFERROR(__xludf.DUMMYFUNCTION("""COMPUTED_VALUE"""),1.0)</f>
        <v>1</v>
      </c>
      <c r="F897" s="44">
        <f>IFERROR(__xludf.DUMMYFUNCTION("""COMPUTED_VALUE"""),0.0)</f>
        <v>0</v>
      </c>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t="b">
        <f>IFERROR(__xludf.DUMMYFUNCTION("""COMPUTED_VALUE"""),FALSE)</f>
        <v>0</v>
      </c>
      <c r="AI897" s="32"/>
      <c r="AJ897" s="32"/>
      <c r="AK897" s="32"/>
      <c r="AL897" s="32"/>
      <c r="AM897" s="32"/>
      <c r="AN897" s="32"/>
      <c r="AO897" s="32"/>
      <c r="AP897" s="32"/>
      <c r="AQ897" s="32"/>
      <c r="AR897" s="32"/>
      <c r="AS897" s="32"/>
      <c r="AT897" s="32"/>
      <c r="AU897" s="32"/>
      <c r="AV897" s="32"/>
      <c r="AW897" s="32"/>
      <c r="AX897" s="32"/>
    </row>
    <row r="898">
      <c r="A898" s="32"/>
      <c r="B898" s="32"/>
      <c r="C898" s="32"/>
      <c r="D898" s="32"/>
      <c r="E898" s="32">
        <f>IFERROR(__xludf.DUMMYFUNCTION("""COMPUTED_VALUE"""),1.0)</f>
        <v>1</v>
      </c>
      <c r="F898" s="44">
        <f>IFERROR(__xludf.DUMMYFUNCTION("""COMPUTED_VALUE"""),0.0)</f>
        <v>0</v>
      </c>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t="b">
        <f>IFERROR(__xludf.DUMMYFUNCTION("""COMPUTED_VALUE"""),FALSE)</f>
        <v>0</v>
      </c>
      <c r="AI898" s="32"/>
      <c r="AJ898" s="32"/>
      <c r="AK898" s="32"/>
      <c r="AL898" s="32"/>
      <c r="AM898" s="32"/>
      <c r="AN898" s="32"/>
      <c r="AO898" s="32"/>
      <c r="AP898" s="32"/>
      <c r="AQ898" s="32"/>
      <c r="AR898" s="32"/>
      <c r="AS898" s="32"/>
      <c r="AT898" s="32"/>
      <c r="AU898" s="32"/>
      <c r="AV898" s="32"/>
      <c r="AW898" s="32"/>
      <c r="AX898" s="32"/>
    </row>
    <row r="899">
      <c r="A899" s="32"/>
      <c r="B899" s="32"/>
      <c r="C899" s="32"/>
      <c r="D899" s="32"/>
      <c r="E899" s="32">
        <f>IFERROR(__xludf.DUMMYFUNCTION("""COMPUTED_VALUE"""),1.0)</f>
        <v>1</v>
      </c>
      <c r="F899" s="44">
        <f>IFERROR(__xludf.DUMMYFUNCTION("""COMPUTED_VALUE"""),0.0)</f>
        <v>0</v>
      </c>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t="b">
        <f>IFERROR(__xludf.DUMMYFUNCTION("""COMPUTED_VALUE"""),FALSE)</f>
        <v>0</v>
      </c>
      <c r="AI899" s="32"/>
      <c r="AJ899" s="32"/>
      <c r="AK899" s="32"/>
      <c r="AL899" s="32"/>
      <c r="AM899" s="32"/>
      <c r="AN899" s="32"/>
      <c r="AO899" s="32"/>
      <c r="AP899" s="32"/>
      <c r="AQ899" s="32"/>
      <c r="AR899" s="32"/>
      <c r="AS899" s="32"/>
      <c r="AT899" s="32"/>
      <c r="AU899" s="32"/>
      <c r="AV899" s="32"/>
      <c r="AW899" s="32"/>
      <c r="AX899" s="32"/>
    </row>
    <row r="900">
      <c r="A900" s="32"/>
      <c r="B900" s="32"/>
      <c r="C900" s="32"/>
      <c r="D900" s="32"/>
      <c r="E900" s="32">
        <f>IFERROR(__xludf.DUMMYFUNCTION("""COMPUTED_VALUE"""),1.0)</f>
        <v>1</v>
      </c>
      <c r="F900" s="44">
        <f>IFERROR(__xludf.DUMMYFUNCTION("""COMPUTED_VALUE"""),0.0)</f>
        <v>0</v>
      </c>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t="b">
        <f>IFERROR(__xludf.DUMMYFUNCTION("""COMPUTED_VALUE"""),FALSE)</f>
        <v>0</v>
      </c>
      <c r="AI900" s="32"/>
      <c r="AJ900" s="32"/>
      <c r="AK900" s="32"/>
      <c r="AL900" s="32"/>
      <c r="AM900" s="32"/>
      <c r="AN900" s="32"/>
      <c r="AO900" s="32"/>
      <c r="AP900" s="32"/>
      <c r="AQ900" s="32"/>
      <c r="AR900" s="32"/>
      <c r="AS900" s="32"/>
      <c r="AT900" s="32"/>
      <c r="AU900" s="32"/>
      <c r="AV900" s="32"/>
      <c r="AW900" s="32"/>
      <c r="AX900" s="32"/>
    </row>
    <row r="901">
      <c r="A901" s="32"/>
      <c r="B901" s="32"/>
      <c r="C901" s="32"/>
      <c r="D901" s="32"/>
      <c r="E901" s="32">
        <f>IFERROR(__xludf.DUMMYFUNCTION("""COMPUTED_VALUE"""),1.0)</f>
        <v>1</v>
      </c>
      <c r="F901" s="44">
        <f>IFERROR(__xludf.DUMMYFUNCTION("""COMPUTED_VALUE"""),0.0)</f>
        <v>0</v>
      </c>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t="b">
        <f>IFERROR(__xludf.DUMMYFUNCTION("""COMPUTED_VALUE"""),FALSE)</f>
        <v>0</v>
      </c>
      <c r="AI901" s="32"/>
      <c r="AJ901" s="32"/>
      <c r="AK901" s="32"/>
      <c r="AL901" s="32"/>
      <c r="AM901" s="32"/>
      <c r="AN901" s="32"/>
      <c r="AO901" s="32"/>
      <c r="AP901" s="32"/>
      <c r="AQ901" s="32"/>
      <c r="AR901" s="32"/>
      <c r="AS901" s="32"/>
      <c r="AT901" s="32"/>
      <c r="AU901" s="32"/>
      <c r="AV901" s="32"/>
      <c r="AW901" s="32"/>
      <c r="AX901" s="32"/>
    </row>
    <row r="902">
      <c r="A902" s="32"/>
      <c r="B902" s="32"/>
      <c r="C902" s="32"/>
      <c r="D902" s="32"/>
      <c r="E902" s="32">
        <f>IFERROR(__xludf.DUMMYFUNCTION("""COMPUTED_VALUE"""),1.0)</f>
        <v>1</v>
      </c>
      <c r="F902" s="44">
        <f>IFERROR(__xludf.DUMMYFUNCTION("""COMPUTED_VALUE"""),0.0)</f>
        <v>0</v>
      </c>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t="b">
        <f>IFERROR(__xludf.DUMMYFUNCTION("""COMPUTED_VALUE"""),FALSE)</f>
        <v>0</v>
      </c>
      <c r="AI902" s="32"/>
      <c r="AJ902" s="32"/>
      <c r="AK902" s="32"/>
      <c r="AL902" s="32"/>
      <c r="AM902" s="32"/>
      <c r="AN902" s="32"/>
      <c r="AO902" s="32"/>
      <c r="AP902" s="32"/>
      <c r="AQ902" s="32"/>
      <c r="AR902" s="32"/>
      <c r="AS902" s="32"/>
      <c r="AT902" s="32"/>
      <c r="AU902" s="32"/>
      <c r="AV902" s="32"/>
      <c r="AW902" s="32"/>
      <c r="AX902" s="32"/>
    </row>
    <row r="903">
      <c r="A903" s="32"/>
      <c r="B903" s="32"/>
      <c r="C903" s="32"/>
      <c r="D903" s="32"/>
      <c r="E903" s="32">
        <f>IFERROR(__xludf.DUMMYFUNCTION("""COMPUTED_VALUE"""),1.0)</f>
        <v>1</v>
      </c>
      <c r="F903" s="44">
        <f>IFERROR(__xludf.DUMMYFUNCTION("""COMPUTED_VALUE"""),0.0)</f>
        <v>0</v>
      </c>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t="b">
        <f>IFERROR(__xludf.DUMMYFUNCTION("""COMPUTED_VALUE"""),FALSE)</f>
        <v>0</v>
      </c>
      <c r="AI903" s="32"/>
      <c r="AJ903" s="32"/>
      <c r="AK903" s="32"/>
      <c r="AL903" s="32"/>
      <c r="AM903" s="32"/>
      <c r="AN903" s="32"/>
      <c r="AO903" s="32"/>
      <c r="AP903" s="32"/>
      <c r="AQ903" s="32"/>
      <c r="AR903" s="32"/>
      <c r="AS903" s="32"/>
      <c r="AT903" s="32"/>
      <c r="AU903" s="32"/>
      <c r="AV903" s="32"/>
      <c r="AW903" s="32"/>
      <c r="AX903" s="32"/>
    </row>
    <row r="904">
      <c r="A904" s="32"/>
      <c r="B904" s="32"/>
      <c r="C904" s="32"/>
      <c r="D904" s="32"/>
      <c r="E904" s="32">
        <f>IFERROR(__xludf.DUMMYFUNCTION("""COMPUTED_VALUE"""),1.0)</f>
        <v>1</v>
      </c>
      <c r="F904" s="44">
        <f>IFERROR(__xludf.DUMMYFUNCTION("""COMPUTED_VALUE"""),0.0)</f>
        <v>0</v>
      </c>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t="b">
        <f>IFERROR(__xludf.DUMMYFUNCTION("""COMPUTED_VALUE"""),FALSE)</f>
        <v>0</v>
      </c>
      <c r="AI904" s="32"/>
      <c r="AJ904" s="32"/>
      <c r="AK904" s="32"/>
      <c r="AL904" s="32"/>
      <c r="AM904" s="32"/>
      <c r="AN904" s="32"/>
      <c r="AO904" s="32"/>
      <c r="AP904" s="32"/>
      <c r="AQ904" s="32"/>
      <c r="AR904" s="32"/>
      <c r="AS904" s="32"/>
      <c r="AT904" s="32"/>
      <c r="AU904" s="32"/>
      <c r="AV904" s="32"/>
      <c r="AW904" s="32"/>
      <c r="AX904" s="32"/>
    </row>
    <row r="905">
      <c r="A905" s="32"/>
      <c r="B905" s="32"/>
      <c r="C905" s="32"/>
      <c r="D905" s="32"/>
      <c r="E905" s="32">
        <f>IFERROR(__xludf.DUMMYFUNCTION("""COMPUTED_VALUE"""),1.0)</f>
        <v>1</v>
      </c>
      <c r="F905" s="44">
        <f>IFERROR(__xludf.DUMMYFUNCTION("""COMPUTED_VALUE"""),0.0)</f>
        <v>0</v>
      </c>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t="b">
        <f>IFERROR(__xludf.DUMMYFUNCTION("""COMPUTED_VALUE"""),FALSE)</f>
        <v>0</v>
      </c>
      <c r="AI905" s="32"/>
      <c r="AJ905" s="32"/>
      <c r="AK905" s="32"/>
      <c r="AL905" s="32"/>
      <c r="AM905" s="32"/>
      <c r="AN905" s="32"/>
      <c r="AO905" s="32"/>
      <c r="AP905" s="32"/>
      <c r="AQ905" s="32"/>
      <c r="AR905" s="32"/>
      <c r="AS905" s="32"/>
      <c r="AT905" s="32"/>
      <c r="AU905" s="32"/>
      <c r="AV905" s="32"/>
      <c r="AW905" s="32"/>
      <c r="AX905" s="32"/>
    </row>
    <row r="906">
      <c r="A906" s="32"/>
      <c r="B906" s="32"/>
      <c r="C906" s="32"/>
      <c r="D906" s="32"/>
      <c r="E906" s="32">
        <f>IFERROR(__xludf.DUMMYFUNCTION("""COMPUTED_VALUE"""),1.0)</f>
        <v>1</v>
      </c>
      <c r="F906" s="44">
        <f>IFERROR(__xludf.DUMMYFUNCTION("""COMPUTED_VALUE"""),0.0)</f>
        <v>0</v>
      </c>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t="b">
        <f>IFERROR(__xludf.DUMMYFUNCTION("""COMPUTED_VALUE"""),FALSE)</f>
        <v>0</v>
      </c>
      <c r="AI906" s="32"/>
      <c r="AJ906" s="32"/>
      <c r="AK906" s="32"/>
      <c r="AL906" s="32"/>
      <c r="AM906" s="32"/>
      <c r="AN906" s="32"/>
      <c r="AO906" s="32"/>
      <c r="AP906" s="32"/>
      <c r="AQ906" s="32"/>
      <c r="AR906" s="32"/>
      <c r="AS906" s="32"/>
      <c r="AT906" s="32"/>
      <c r="AU906" s="32"/>
      <c r="AV906" s="32"/>
      <c r="AW906" s="32"/>
      <c r="AX906" s="32"/>
    </row>
    <row r="907">
      <c r="A907" s="32"/>
      <c r="B907" s="32"/>
      <c r="C907" s="32"/>
      <c r="D907" s="32"/>
      <c r="E907" s="32">
        <f>IFERROR(__xludf.DUMMYFUNCTION("""COMPUTED_VALUE"""),1.0)</f>
        <v>1</v>
      </c>
      <c r="F907" s="44">
        <f>IFERROR(__xludf.DUMMYFUNCTION("""COMPUTED_VALUE"""),0.0)</f>
        <v>0</v>
      </c>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t="b">
        <f>IFERROR(__xludf.DUMMYFUNCTION("""COMPUTED_VALUE"""),FALSE)</f>
        <v>0</v>
      </c>
      <c r="AI907" s="32"/>
      <c r="AJ907" s="32"/>
      <c r="AK907" s="32"/>
      <c r="AL907" s="32"/>
      <c r="AM907" s="32"/>
      <c r="AN907" s="32"/>
      <c r="AO907" s="32"/>
      <c r="AP907" s="32"/>
      <c r="AQ907" s="32"/>
      <c r="AR907" s="32"/>
      <c r="AS907" s="32"/>
      <c r="AT907" s="32"/>
      <c r="AU907" s="32"/>
      <c r="AV907" s="32"/>
      <c r="AW907" s="32"/>
      <c r="AX907" s="32"/>
    </row>
    <row r="908">
      <c r="A908" s="32"/>
      <c r="B908" s="32"/>
      <c r="C908" s="32"/>
      <c r="D908" s="32"/>
      <c r="E908" s="32">
        <f>IFERROR(__xludf.DUMMYFUNCTION("""COMPUTED_VALUE"""),1.0)</f>
        <v>1</v>
      </c>
      <c r="F908" s="44">
        <f>IFERROR(__xludf.DUMMYFUNCTION("""COMPUTED_VALUE"""),0.0)</f>
        <v>0</v>
      </c>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t="b">
        <f>IFERROR(__xludf.DUMMYFUNCTION("""COMPUTED_VALUE"""),FALSE)</f>
        <v>0</v>
      </c>
      <c r="AI908" s="32"/>
      <c r="AJ908" s="32"/>
      <c r="AK908" s="32"/>
      <c r="AL908" s="32"/>
      <c r="AM908" s="32"/>
      <c r="AN908" s="32"/>
      <c r="AO908" s="32"/>
      <c r="AP908" s="32"/>
      <c r="AQ908" s="32"/>
      <c r="AR908" s="32"/>
      <c r="AS908" s="32"/>
      <c r="AT908" s="32"/>
      <c r="AU908" s="32"/>
      <c r="AV908" s="32"/>
      <c r="AW908" s="32"/>
      <c r="AX908" s="32"/>
    </row>
    <row r="909">
      <c r="A909" s="32"/>
      <c r="B909" s="32"/>
      <c r="C909" s="32"/>
      <c r="D909" s="32"/>
      <c r="E909" s="32">
        <f>IFERROR(__xludf.DUMMYFUNCTION("""COMPUTED_VALUE"""),1.0)</f>
        <v>1</v>
      </c>
      <c r="F909" s="44">
        <f>IFERROR(__xludf.DUMMYFUNCTION("""COMPUTED_VALUE"""),0.0)</f>
        <v>0</v>
      </c>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t="b">
        <f>IFERROR(__xludf.DUMMYFUNCTION("""COMPUTED_VALUE"""),FALSE)</f>
        <v>0</v>
      </c>
      <c r="AI909" s="32"/>
      <c r="AJ909" s="32"/>
      <c r="AK909" s="32"/>
      <c r="AL909" s="32"/>
      <c r="AM909" s="32"/>
      <c r="AN909" s="32"/>
      <c r="AO909" s="32"/>
      <c r="AP909" s="32"/>
      <c r="AQ909" s="32"/>
      <c r="AR909" s="32"/>
      <c r="AS909" s="32"/>
      <c r="AT909" s="32"/>
      <c r="AU909" s="32"/>
      <c r="AV909" s="32"/>
      <c r="AW909" s="32"/>
      <c r="AX909" s="32"/>
    </row>
    <row r="910">
      <c r="A910" s="32"/>
      <c r="B910" s="32"/>
      <c r="C910" s="32"/>
      <c r="D910" s="32"/>
      <c r="E910" s="32">
        <f>IFERROR(__xludf.DUMMYFUNCTION("""COMPUTED_VALUE"""),1.0)</f>
        <v>1</v>
      </c>
      <c r="F910" s="44">
        <f>IFERROR(__xludf.DUMMYFUNCTION("""COMPUTED_VALUE"""),0.0)</f>
        <v>0</v>
      </c>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t="b">
        <f>IFERROR(__xludf.DUMMYFUNCTION("""COMPUTED_VALUE"""),FALSE)</f>
        <v>0</v>
      </c>
      <c r="AI910" s="32"/>
      <c r="AJ910" s="32"/>
      <c r="AK910" s="32"/>
      <c r="AL910" s="32"/>
      <c r="AM910" s="32"/>
      <c r="AN910" s="32"/>
      <c r="AO910" s="32"/>
      <c r="AP910" s="32"/>
      <c r="AQ910" s="32"/>
      <c r="AR910" s="32"/>
      <c r="AS910" s="32"/>
      <c r="AT910" s="32"/>
      <c r="AU910" s="32"/>
      <c r="AV910" s="32"/>
      <c r="AW910" s="32"/>
      <c r="AX910" s="32"/>
    </row>
    <row r="911">
      <c r="A911" s="32"/>
      <c r="B911" s="32"/>
      <c r="C911" s="32"/>
      <c r="D911" s="32"/>
      <c r="E911" s="32">
        <f>IFERROR(__xludf.DUMMYFUNCTION("""COMPUTED_VALUE"""),1.0)</f>
        <v>1</v>
      </c>
      <c r="F911" s="44">
        <f>IFERROR(__xludf.DUMMYFUNCTION("""COMPUTED_VALUE"""),0.0)</f>
        <v>0</v>
      </c>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t="b">
        <f>IFERROR(__xludf.DUMMYFUNCTION("""COMPUTED_VALUE"""),FALSE)</f>
        <v>0</v>
      </c>
      <c r="AI911" s="32"/>
      <c r="AJ911" s="32"/>
      <c r="AK911" s="32"/>
      <c r="AL911" s="32"/>
      <c r="AM911" s="32"/>
      <c r="AN911" s="32"/>
      <c r="AO911" s="32"/>
      <c r="AP911" s="32"/>
      <c r="AQ911" s="32"/>
      <c r="AR911" s="32"/>
      <c r="AS911" s="32"/>
      <c r="AT911" s="32"/>
      <c r="AU911" s="32"/>
      <c r="AV911" s="32"/>
      <c r="AW911" s="32"/>
      <c r="AX911" s="32"/>
    </row>
    <row r="912">
      <c r="A912" s="32"/>
      <c r="B912" s="32"/>
      <c r="C912" s="32"/>
      <c r="D912" s="32"/>
      <c r="E912" s="32">
        <f>IFERROR(__xludf.DUMMYFUNCTION("""COMPUTED_VALUE"""),1.0)</f>
        <v>1</v>
      </c>
      <c r="F912" s="44">
        <f>IFERROR(__xludf.DUMMYFUNCTION("""COMPUTED_VALUE"""),0.0)</f>
        <v>0</v>
      </c>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t="b">
        <f>IFERROR(__xludf.DUMMYFUNCTION("""COMPUTED_VALUE"""),FALSE)</f>
        <v>0</v>
      </c>
      <c r="AI912" s="32"/>
      <c r="AJ912" s="32"/>
      <c r="AK912" s="32"/>
      <c r="AL912" s="32"/>
      <c r="AM912" s="32"/>
      <c r="AN912" s="32"/>
      <c r="AO912" s="32"/>
      <c r="AP912" s="32"/>
      <c r="AQ912" s="32"/>
      <c r="AR912" s="32"/>
      <c r="AS912" s="32"/>
      <c r="AT912" s="32"/>
      <c r="AU912" s="32"/>
      <c r="AV912" s="32"/>
      <c r="AW912" s="32"/>
      <c r="AX912" s="32"/>
    </row>
    <row r="913">
      <c r="A913" s="32"/>
      <c r="B913" s="32"/>
      <c r="C913" s="32"/>
      <c r="D913" s="32"/>
      <c r="E913" s="32">
        <f>IFERROR(__xludf.DUMMYFUNCTION("""COMPUTED_VALUE"""),1.0)</f>
        <v>1</v>
      </c>
      <c r="F913" s="44">
        <f>IFERROR(__xludf.DUMMYFUNCTION("""COMPUTED_VALUE"""),0.0)</f>
        <v>0</v>
      </c>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t="b">
        <f>IFERROR(__xludf.DUMMYFUNCTION("""COMPUTED_VALUE"""),FALSE)</f>
        <v>0</v>
      </c>
      <c r="AI913" s="32"/>
      <c r="AJ913" s="32"/>
      <c r="AK913" s="32"/>
      <c r="AL913" s="32"/>
      <c r="AM913" s="32"/>
      <c r="AN913" s="32"/>
      <c r="AO913" s="32"/>
      <c r="AP913" s="32"/>
      <c r="AQ913" s="32"/>
      <c r="AR913" s="32"/>
      <c r="AS913" s="32"/>
      <c r="AT913" s="32"/>
      <c r="AU913" s="32"/>
      <c r="AV913" s="32"/>
      <c r="AW913" s="32"/>
      <c r="AX913" s="32"/>
    </row>
    <row r="914">
      <c r="A914" s="32"/>
      <c r="B914" s="32"/>
      <c r="C914" s="32"/>
      <c r="D914" s="32"/>
      <c r="E914" s="32">
        <f>IFERROR(__xludf.DUMMYFUNCTION("""COMPUTED_VALUE"""),1.0)</f>
        <v>1</v>
      </c>
      <c r="F914" s="44">
        <f>IFERROR(__xludf.DUMMYFUNCTION("""COMPUTED_VALUE"""),0.0)</f>
        <v>0</v>
      </c>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t="b">
        <f>IFERROR(__xludf.DUMMYFUNCTION("""COMPUTED_VALUE"""),FALSE)</f>
        <v>0</v>
      </c>
      <c r="AI914" s="32"/>
      <c r="AJ914" s="32"/>
      <c r="AK914" s="32"/>
      <c r="AL914" s="32"/>
      <c r="AM914" s="32"/>
      <c r="AN914" s="32"/>
      <c r="AO914" s="32"/>
      <c r="AP914" s="32"/>
      <c r="AQ914" s="32"/>
      <c r="AR914" s="32"/>
      <c r="AS914" s="32"/>
      <c r="AT914" s="32"/>
      <c r="AU914" s="32"/>
      <c r="AV914" s="32"/>
      <c r="AW914" s="32"/>
      <c r="AX914" s="32"/>
    </row>
    <row r="915">
      <c r="A915" s="32"/>
      <c r="B915" s="32"/>
      <c r="C915" s="32"/>
      <c r="D915" s="32"/>
      <c r="E915" s="32">
        <f>IFERROR(__xludf.DUMMYFUNCTION("""COMPUTED_VALUE"""),1.0)</f>
        <v>1</v>
      </c>
      <c r="F915" s="44">
        <f>IFERROR(__xludf.DUMMYFUNCTION("""COMPUTED_VALUE"""),0.0)</f>
        <v>0</v>
      </c>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t="b">
        <f>IFERROR(__xludf.DUMMYFUNCTION("""COMPUTED_VALUE"""),FALSE)</f>
        <v>0</v>
      </c>
      <c r="AI915" s="32"/>
      <c r="AJ915" s="32"/>
      <c r="AK915" s="32"/>
      <c r="AL915" s="32"/>
      <c r="AM915" s="32"/>
      <c r="AN915" s="32"/>
      <c r="AO915" s="32"/>
      <c r="AP915" s="32"/>
      <c r="AQ915" s="32"/>
      <c r="AR915" s="32"/>
      <c r="AS915" s="32"/>
      <c r="AT915" s="32"/>
      <c r="AU915" s="32"/>
      <c r="AV915" s="32"/>
      <c r="AW915" s="32"/>
      <c r="AX915" s="32"/>
    </row>
    <row r="916">
      <c r="A916" s="32"/>
      <c r="B916" s="32"/>
      <c r="C916" s="32"/>
      <c r="D916" s="32"/>
      <c r="E916" s="32">
        <f>IFERROR(__xludf.DUMMYFUNCTION("""COMPUTED_VALUE"""),1.0)</f>
        <v>1</v>
      </c>
      <c r="F916" s="44">
        <f>IFERROR(__xludf.DUMMYFUNCTION("""COMPUTED_VALUE"""),0.0)</f>
        <v>0</v>
      </c>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t="b">
        <f>IFERROR(__xludf.DUMMYFUNCTION("""COMPUTED_VALUE"""),FALSE)</f>
        <v>0</v>
      </c>
      <c r="AI916" s="32"/>
      <c r="AJ916" s="32"/>
      <c r="AK916" s="32"/>
      <c r="AL916" s="32"/>
      <c r="AM916" s="32"/>
      <c r="AN916" s="32"/>
      <c r="AO916" s="32"/>
      <c r="AP916" s="32"/>
      <c r="AQ916" s="32"/>
      <c r="AR916" s="32"/>
      <c r="AS916" s="32"/>
      <c r="AT916" s="32"/>
      <c r="AU916" s="32"/>
      <c r="AV916" s="32"/>
      <c r="AW916" s="32"/>
      <c r="AX916" s="32"/>
    </row>
    <row r="917">
      <c r="A917" s="32"/>
      <c r="B917" s="32"/>
      <c r="C917" s="32"/>
      <c r="D917" s="32"/>
      <c r="E917" s="32">
        <f>IFERROR(__xludf.DUMMYFUNCTION("""COMPUTED_VALUE"""),1.0)</f>
        <v>1</v>
      </c>
      <c r="F917" s="44">
        <f>IFERROR(__xludf.DUMMYFUNCTION("""COMPUTED_VALUE"""),0.0)</f>
        <v>0</v>
      </c>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t="b">
        <f>IFERROR(__xludf.DUMMYFUNCTION("""COMPUTED_VALUE"""),FALSE)</f>
        <v>0</v>
      </c>
      <c r="AI917" s="32"/>
      <c r="AJ917" s="32"/>
      <c r="AK917" s="32"/>
      <c r="AL917" s="32"/>
      <c r="AM917" s="32"/>
      <c r="AN917" s="32"/>
      <c r="AO917" s="32"/>
      <c r="AP917" s="32"/>
      <c r="AQ917" s="32"/>
      <c r="AR917" s="32"/>
      <c r="AS917" s="32"/>
      <c r="AT917" s="32"/>
      <c r="AU917" s="32"/>
      <c r="AV917" s="32"/>
      <c r="AW917" s="32"/>
      <c r="AX917" s="32"/>
    </row>
    <row r="918">
      <c r="A918" s="32"/>
      <c r="B918" s="32"/>
      <c r="C918" s="32"/>
      <c r="D918" s="32"/>
      <c r="E918" s="32">
        <f>IFERROR(__xludf.DUMMYFUNCTION("""COMPUTED_VALUE"""),1.0)</f>
        <v>1</v>
      </c>
      <c r="F918" s="44">
        <f>IFERROR(__xludf.DUMMYFUNCTION("""COMPUTED_VALUE"""),0.0)</f>
        <v>0</v>
      </c>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t="b">
        <f>IFERROR(__xludf.DUMMYFUNCTION("""COMPUTED_VALUE"""),FALSE)</f>
        <v>0</v>
      </c>
      <c r="AI918" s="32"/>
      <c r="AJ918" s="32"/>
      <c r="AK918" s="32"/>
      <c r="AL918" s="32"/>
      <c r="AM918" s="32"/>
      <c r="AN918" s="32"/>
      <c r="AO918" s="32"/>
      <c r="AP918" s="32"/>
      <c r="AQ918" s="32"/>
      <c r="AR918" s="32"/>
      <c r="AS918" s="32"/>
      <c r="AT918" s="32"/>
      <c r="AU918" s="32"/>
      <c r="AV918" s="32"/>
      <c r="AW918" s="32"/>
      <c r="AX918" s="32"/>
    </row>
    <row r="919">
      <c r="A919" s="32"/>
      <c r="B919" s="32"/>
      <c r="C919" s="32"/>
      <c r="D919" s="32"/>
      <c r="E919" s="32">
        <f>IFERROR(__xludf.DUMMYFUNCTION("""COMPUTED_VALUE"""),1.0)</f>
        <v>1</v>
      </c>
      <c r="F919" s="44">
        <f>IFERROR(__xludf.DUMMYFUNCTION("""COMPUTED_VALUE"""),0.0)</f>
        <v>0</v>
      </c>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t="b">
        <f>IFERROR(__xludf.DUMMYFUNCTION("""COMPUTED_VALUE"""),FALSE)</f>
        <v>0</v>
      </c>
      <c r="AI919" s="32"/>
      <c r="AJ919" s="32"/>
      <c r="AK919" s="32"/>
      <c r="AL919" s="32"/>
      <c r="AM919" s="32"/>
      <c r="AN919" s="32"/>
      <c r="AO919" s="32"/>
      <c r="AP919" s="32"/>
      <c r="AQ919" s="32"/>
      <c r="AR919" s="32"/>
      <c r="AS919" s="32"/>
      <c r="AT919" s="32"/>
      <c r="AU919" s="32"/>
      <c r="AV919" s="32"/>
      <c r="AW919" s="32"/>
      <c r="AX919" s="32"/>
    </row>
    <row r="920">
      <c r="A920" s="32"/>
      <c r="B920" s="32"/>
      <c r="C920" s="32"/>
      <c r="D920" s="32"/>
      <c r="E920" s="32">
        <f>IFERROR(__xludf.DUMMYFUNCTION("""COMPUTED_VALUE"""),1.0)</f>
        <v>1</v>
      </c>
      <c r="F920" s="44">
        <f>IFERROR(__xludf.DUMMYFUNCTION("""COMPUTED_VALUE"""),0.0)</f>
        <v>0</v>
      </c>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t="b">
        <f>IFERROR(__xludf.DUMMYFUNCTION("""COMPUTED_VALUE"""),FALSE)</f>
        <v>0</v>
      </c>
      <c r="AI920" s="32"/>
      <c r="AJ920" s="32"/>
      <c r="AK920" s="32"/>
      <c r="AL920" s="32"/>
      <c r="AM920" s="32"/>
      <c r="AN920" s="32"/>
      <c r="AO920" s="32"/>
      <c r="AP920" s="32"/>
      <c r="AQ920" s="32"/>
      <c r="AR920" s="32"/>
      <c r="AS920" s="32"/>
      <c r="AT920" s="32"/>
      <c r="AU920" s="32"/>
      <c r="AV920" s="32"/>
      <c r="AW920" s="32"/>
      <c r="AX920" s="32"/>
    </row>
    <row r="921">
      <c r="A921" s="32"/>
      <c r="B921" s="32"/>
      <c r="C921" s="32"/>
      <c r="D921" s="32"/>
      <c r="E921" s="32">
        <f>IFERROR(__xludf.DUMMYFUNCTION("""COMPUTED_VALUE"""),1.0)</f>
        <v>1</v>
      </c>
      <c r="F921" s="44">
        <f>IFERROR(__xludf.DUMMYFUNCTION("""COMPUTED_VALUE"""),0.0)</f>
        <v>0</v>
      </c>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t="b">
        <f>IFERROR(__xludf.DUMMYFUNCTION("""COMPUTED_VALUE"""),FALSE)</f>
        <v>0</v>
      </c>
      <c r="AI921" s="32"/>
      <c r="AJ921" s="32"/>
      <c r="AK921" s="32"/>
      <c r="AL921" s="32"/>
      <c r="AM921" s="32"/>
      <c r="AN921" s="32"/>
      <c r="AO921" s="32"/>
      <c r="AP921" s="32"/>
      <c r="AQ921" s="32"/>
      <c r="AR921" s="32"/>
      <c r="AS921" s="32"/>
      <c r="AT921" s="32"/>
      <c r="AU921" s="32"/>
      <c r="AV921" s="32"/>
      <c r="AW921" s="32"/>
      <c r="AX921" s="32"/>
    </row>
    <row r="922">
      <c r="A922" s="32"/>
      <c r="B922" s="32"/>
      <c r="C922" s="32"/>
      <c r="D922" s="32"/>
      <c r="E922" s="32">
        <f>IFERROR(__xludf.DUMMYFUNCTION("""COMPUTED_VALUE"""),1.0)</f>
        <v>1</v>
      </c>
      <c r="F922" s="44">
        <f>IFERROR(__xludf.DUMMYFUNCTION("""COMPUTED_VALUE"""),0.0)</f>
        <v>0</v>
      </c>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t="b">
        <f>IFERROR(__xludf.DUMMYFUNCTION("""COMPUTED_VALUE"""),FALSE)</f>
        <v>0</v>
      </c>
      <c r="AI922" s="32"/>
      <c r="AJ922" s="32"/>
      <c r="AK922" s="32"/>
      <c r="AL922" s="32"/>
      <c r="AM922" s="32"/>
      <c r="AN922" s="32"/>
      <c r="AO922" s="32"/>
      <c r="AP922" s="32"/>
      <c r="AQ922" s="32"/>
      <c r="AR922" s="32"/>
      <c r="AS922" s="32"/>
      <c r="AT922" s="32"/>
      <c r="AU922" s="32"/>
      <c r="AV922" s="32"/>
      <c r="AW922" s="32"/>
      <c r="AX922" s="32"/>
    </row>
    <row r="923">
      <c r="A923" s="32"/>
      <c r="B923" s="32"/>
      <c r="C923" s="32"/>
      <c r="D923" s="32"/>
      <c r="E923" s="32">
        <f>IFERROR(__xludf.DUMMYFUNCTION("""COMPUTED_VALUE"""),1.0)</f>
        <v>1</v>
      </c>
      <c r="F923" s="44">
        <f>IFERROR(__xludf.DUMMYFUNCTION("""COMPUTED_VALUE"""),0.0)</f>
        <v>0</v>
      </c>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t="b">
        <f>IFERROR(__xludf.DUMMYFUNCTION("""COMPUTED_VALUE"""),FALSE)</f>
        <v>0</v>
      </c>
      <c r="AI923" s="32"/>
      <c r="AJ923" s="32"/>
      <c r="AK923" s="32"/>
      <c r="AL923" s="32"/>
      <c r="AM923" s="32"/>
      <c r="AN923" s="32"/>
      <c r="AO923" s="32"/>
      <c r="AP923" s="32"/>
      <c r="AQ923" s="32"/>
      <c r="AR923" s="32"/>
      <c r="AS923" s="32"/>
      <c r="AT923" s="32"/>
      <c r="AU923" s="32"/>
      <c r="AV923" s="32"/>
      <c r="AW923" s="32"/>
      <c r="AX923" s="32"/>
    </row>
    <row r="924">
      <c r="A924" s="32"/>
      <c r="B924" s="32"/>
      <c r="C924" s="32"/>
      <c r="D924" s="32"/>
      <c r="E924" s="32">
        <f>IFERROR(__xludf.DUMMYFUNCTION("""COMPUTED_VALUE"""),1.0)</f>
        <v>1</v>
      </c>
      <c r="F924" s="44">
        <f>IFERROR(__xludf.DUMMYFUNCTION("""COMPUTED_VALUE"""),0.0)</f>
        <v>0</v>
      </c>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t="b">
        <f>IFERROR(__xludf.DUMMYFUNCTION("""COMPUTED_VALUE"""),FALSE)</f>
        <v>0</v>
      </c>
      <c r="AI924" s="32"/>
      <c r="AJ924" s="32"/>
      <c r="AK924" s="32"/>
      <c r="AL924" s="32"/>
      <c r="AM924" s="32"/>
      <c r="AN924" s="32"/>
      <c r="AO924" s="32"/>
      <c r="AP924" s="32"/>
      <c r="AQ924" s="32"/>
      <c r="AR924" s="32"/>
      <c r="AS924" s="32"/>
      <c r="AT924" s="32"/>
      <c r="AU924" s="32"/>
      <c r="AV924" s="32"/>
      <c r="AW924" s="32"/>
      <c r="AX924" s="32"/>
    </row>
    <row r="925">
      <c r="A925" s="32"/>
      <c r="B925" s="32"/>
      <c r="C925" s="32"/>
      <c r="D925" s="32"/>
      <c r="E925" s="32">
        <f>IFERROR(__xludf.DUMMYFUNCTION("""COMPUTED_VALUE"""),1.0)</f>
        <v>1</v>
      </c>
      <c r="F925" s="44">
        <f>IFERROR(__xludf.DUMMYFUNCTION("""COMPUTED_VALUE"""),0.0)</f>
        <v>0</v>
      </c>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t="b">
        <f>IFERROR(__xludf.DUMMYFUNCTION("""COMPUTED_VALUE"""),FALSE)</f>
        <v>0</v>
      </c>
      <c r="AI925" s="32"/>
      <c r="AJ925" s="32"/>
      <c r="AK925" s="32"/>
      <c r="AL925" s="32"/>
      <c r="AM925" s="32"/>
      <c r="AN925" s="32"/>
      <c r="AO925" s="32"/>
      <c r="AP925" s="32"/>
      <c r="AQ925" s="32"/>
      <c r="AR925" s="32"/>
      <c r="AS925" s="32"/>
      <c r="AT925" s="32"/>
      <c r="AU925" s="32"/>
      <c r="AV925" s="32"/>
      <c r="AW925" s="32"/>
      <c r="AX925" s="32"/>
    </row>
    <row r="926">
      <c r="A926" s="32"/>
      <c r="B926" s="32"/>
      <c r="C926" s="32"/>
      <c r="D926" s="32"/>
      <c r="E926" s="32">
        <f>IFERROR(__xludf.DUMMYFUNCTION("""COMPUTED_VALUE"""),1.0)</f>
        <v>1</v>
      </c>
      <c r="F926" s="44">
        <f>IFERROR(__xludf.DUMMYFUNCTION("""COMPUTED_VALUE"""),0.0)</f>
        <v>0</v>
      </c>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t="b">
        <f>IFERROR(__xludf.DUMMYFUNCTION("""COMPUTED_VALUE"""),FALSE)</f>
        <v>0</v>
      </c>
      <c r="AI926" s="32"/>
      <c r="AJ926" s="32"/>
      <c r="AK926" s="32"/>
      <c r="AL926" s="32"/>
      <c r="AM926" s="32"/>
      <c r="AN926" s="32"/>
      <c r="AO926" s="32"/>
      <c r="AP926" s="32"/>
      <c r="AQ926" s="32"/>
      <c r="AR926" s="32"/>
      <c r="AS926" s="32"/>
      <c r="AT926" s="32"/>
      <c r="AU926" s="32"/>
      <c r="AV926" s="32"/>
      <c r="AW926" s="32"/>
      <c r="AX926" s="32"/>
    </row>
    <row r="927">
      <c r="A927" s="32"/>
      <c r="B927" s="32"/>
      <c r="C927" s="32"/>
      <c r="D927" s="32"/>
      <c r="E927" s="32">
        <f>IFERROR(__xludf.DUMMYFUNCTION("""COMPUTED_VALUE"""),1.0)</f>
        <v>1</v>
      </c>
      <c r="F927" s="44">
        <f>IFERROR(__xludf.DUMMYFUNCTION("""COMPUTED_VALUE"""),0.0)</f>
        <v>0</v>
      </c>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t="b">
        <f>IFERROR(__xludf.DUMMYFUNCTION("""COMPUTED_VALUE"""),FALSE)</f>
        <v>0</v>
      </c>
      <c r="AI927" s="32"/>
      <c r="AJ927" s="32"/>
      <c r="AK927" s="32"/>
      <c r="AL927" s="32"/>
      <c r="AM927" s="32"/>
      <c r="AN927" s="32"/>
      <c r="AO927" s="32"/>
      <c r="AP927" s="32"/>
      <c r="AQ927" s="32"/>
      <c r="AR927" s="32"/>
      <c r="AS927" s="32"/>
      <c r="AT927" s="32"/>
      <c r="AU927" s="32"/>
      <c r="AV927" s="32"/>
      <c r="AW927" s="32"/>
      <c r="AX927" s="32"/>
    </row>
    <row r="928">
      <c r="A928" s="32"/>
      <c r="B928" s="32"/>
      <c r="C928" s="32"/>
      <c r="D928" s="32"/>
      <c r="E928" s="32">
        <f>IFERROR(__xludf.DUMMYFUNCTION("""COMPUTED_VALUE"""),1.0)</f>
        <v>1</v>
      </c>
      <c r="F928" s="44">
        <f>IFERROR(__xludf.DUMMYFUNCTION("""COMPUTED_VALUE"""),0.0)</f>
        <v>0</v>
      </c>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t="b">
        <f>IFERROR(__xludf.DUMMYFUNCTION("""COMPUTED_VALUE"""),FALSE)</f>
        <v>0</v>
      </c>
      <c r="AI928" s="32"/>
      <c r="AJ928" s="32"/>
      <c r="AK928" s="32"/>
      <c r="AL928" s="32"/>
      <c r="AM928" s="32"/>
      <c r="AN928" s="32"/>
      <c r="AO928" s="32"/>
      <c r="AP928" s="32"/>
      <c r="AQ928" s="32"/>
      <c r="AR928" s="32"/>
      <c r="AS928" s="32"/>
      <c r="AT928" s="32"/>
      <c r="AU928" s="32"/>
      <c r="AV928" s="32"/>
      <c r="AW928" s="32"/>
      <c r="AX928" s="32"/>
    </row>
    <row r="929">
      <c r="A929" s="32"/>
      <c r="B929" s="32"/>
      <c r="C929" s="32"/>
      <c r="D929" s="32"/>
      <c r="E929" s="32">
        <f>IFERROR(__xludf.DUMMYFUNCTION("""COMPUTED_VALUE"""),1.0)</f>
        <v>1</v>
      </c>
      <c r="F929" s="44">
        <f>IFERROR(__xludf.DUMMYFUNCTION("""COMPUTED_VALUE"""),0.0)</f>
        <v>0</v>
      </c>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t="b">
        <f>IFERROR(__xludf.DUMMYFUNCTION("""COMPUTED_VALUE"""),FALSE)</f>
        <v>0</v>
      </c>
      <c r="AI929" s="32"/>
      <c r="AJ929" s="32"/>
      <c r="AK929" s="32"/>
      <c r="AL929" s="32"/>
      <c r="AM929" s="32"/>
      <c r="AN929" s="32"/>
      <c r="AO929" s="32"/>
      <c r="AP929" s="32"/>
      <c r="AQ929" s="32"/>
      <c r="AR929" s="32"/>
      <c r="AS929" s="32"/>
      <c r="AT929" s="32"/>
      <c r="AU929" s="32"/>
      <c r="AV929" s="32"/>
      <c r="AW929" s="32"/>
      <c r="AX929" s="32"/>
    </row>
    <row r="930">
      <c r="A930" s="32"/>
      <c r="B930" s="32"/>
      <c r="C930" s="32"/>
      <c r="D930" s="32"/>
      <c r="E930" s="32">
        <f>IFERROR(__xludf.DUMMYFUNCTION("""COMPUTED_VALUE"""),1.0)</f>
        <v>1</v>
      </c>
      <c r="F930" s="44">
        <f>IFERROR(__xludf.DUMMYFUNCTION("""COMPUTED_VALUE"""),0.0)</f>
        <v>0</v>
      </c>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t="b">
        <f>IFERROR(__xludf.DUMMYFUNCTION("""COMPUTED_VALUE"""),FALSE)</f>
        <v>0</v>
      </c>
      <c r="AI930" s="32"/>
      <c r="AJ930" s="32"/>
      <c r="AK930" s="32"/>
      <c r="AL930" s="32"/>
      <c r="AM930" s="32"/>
      <c r="AN930" s="32"/>
      <c r="AO930" s="32"/>
      <c r="AP930" s="32"/>
      <c r="AQ930" s="32"/>
      <c r="AR930" s="32"/>
      <c r="AS930" s="32"/>
      <c r="AT930" s="32"/>
      <c r="AU930" s="32"/>
      <c r="AV930" s="32"/>
      <c r="AW930" s="32"/>
      <c r="AX930" s="32"/>
    </row>
    <row r="931">
      <c r="A931" s="32"/>
      <c r="B931" s="32"/>
      <c r="C931" s="32"/>
      <c r="D931" s="32"/>
      <c r="E931" s="32">
        <f>IFERROR(__xludf.DUMMYFUNCTION("""COMPUTED_VALUE"""),1.0)</f>
        <v>1</v>
      </c>
      <c r="F931" s="44">
        <f>IFERROR(__xludf.DUMMYFUNCTION("""COMPUTED_VALUE"""),0.0)</f>
        <v>0</v>
      </c>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t="b">
        <f>IFERROR(__xludf.DUMMYFUNCTION("""COMPUTED_VALUE"""),FALSE)</f>
        <v>0</v>
      </c>
      <c r="AI931" s="32"/>
      <c r="AJ931" s="32"/>
      <c r="AK931" s="32"/>
      <c r="AL931" s="32"/>
      <c r="AM931" s="32"/>
      <c r="AN931" s="32"/>
      <c r="AO931" s="32"/>
      <c r="AP931" s="32"/>
      <c r="AQ931" s="32"/>
      <c r="AR931" s="32"/>
      <c r="AS931" s="32"/>
      <c r="AT931" s="32"/>
      <c r="AU931" s="32"/>
      <c r="AV931" s="32"/>
      <c r="AW931" s="32"/>
      <c r="AX931" s="32"/>
    </row>
    <row r="932">
      <c r="A932" s="32"/>
      <c r="B932" s="32"/>
      <c r="C932" s="32"/>
      <c r="D932" s="32"/>
      <c r="E932" s="32">
        <f>IFERROR(__xludf.DUMMYFUNCTION("""COMPUTED_VALUE"""),1.0)</f>
        <v>1</v>
      </c>
      <c r="F932" s="44">
        <f>IFERROR(__xludf.DUMMYFUNCTION("""COMPUTED_VALUE"""),0.0)</f>
        <v>0</v>
      </c>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t="b">
        <f>IFERROR(__xludf.DUMMYFUNCTION("""COMPUTED_VALUE"""),FALSE)</f>
        <v>0</v>
      </c>
      <c r="AI932" s="32"/>
      <c r="AJ932" s="32"/>
      <c r="AK932" s="32"/>
      <c r="AL932" s="32"/>
      <c r="AM932" s="32"/>
      <c r="AN932" s="32"/>
      <c r="AO932" s="32"/>
      <c r="AP932" s="32"/>
      <c r="AQ932" s="32"/>
      <c r="AR932" s="32"/>
      <c r="AS932" s="32"/>
      <c r="AT932" s="32"/>
      <c r="AU932" s="32"/>
      <c r="AV932" s="32"/>
      <c r="AW932" s="32"/>
      <c r="AX932" s="32"/>
    </row>
    <row r="933">
      <c r="A933" s="32"/>
      <c r="B933" s="32"/>
      <c r="C933" s="32"/>
      <c r="D933" s="32"/>
      <c r="E933" s="32">
        <f>IFERROR(__xludf.DUMMYFUNCTION("""COMPUTED_VALUE"""),1.0)</f>
        <v>1</v>
      </c>
      <c r="F933" s="44">
        <f>IFERROR(__xludf.DUMMYFUNCTION("""COMPUTED_VALUE"""),0.0)</f>
        <v>0</v>
      </c>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t="b">
        <f>IFERROR(__xludf.DUMMYFUNCTION("""COMPUTED_VALUE"""),FALSE)</f>
        <v>0</v>
      </c>
      <c r="AI933" s="32"/>
      <c r="AJ933" s="32"/>
      <c r="AK933" s="32"/>
      <c r="AL933" s="32"/>
      <c r="AM933" s="32"/>
      <c r="AN933" s="32"/>
      <c r="AO933" s="32"/>
      <c r="AP933" s="32"/>
      <c r="AQ933" s="32"/>
      <c r="AR933" s="32"/>
      <c r="AS933" s="32"/>
      <c r="AT933" s="32"/>
      <c r="AU933" s="32"/>
      <c r="AV933" s="32"/>
      <c r="AW933" s="32"/>
      <c r="AX933" s="32"/>
    </row>
    <row r="934">
      <c r="A934" s="32"/>
      <c r="B934" s="32"/>
      <c r="C934" s="32"/>
      <c r="D934" s="32"/>
      <c r="E934" s="32">
        <f>IFERROR(__xludf.DUMMYFUNCTION("""COMPUTED_VALUE"""),1.0)</f>
        <v>1</v>
      </c>
      <c r="F934" s="44">
        <f>IFERROR(__xludf.DUMMYFUNCTION("""COMPUTED_VALUE"""),0.0)</f>
        <v>0</v>
      </c>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t="b">
        <f>IFERROR(__xludf.DUMMYFUNCTION("""COMPUTED_VALUE"""),FALSE)</f>
        <v>0</v>
      </c>
      <c r="AI934" s="32"/>
      <c r="AJ934" s="32"/>
      <c r="AK934" s="32"/>
      <c r="AL934" s="32"/>
      <c r="AM934" s="32"/>
      <c r="AN934" s="32"/>
      <c r="AO934" s="32"/>
      <c r="AP934" s="32"/>
      <c r="AQ934" s="32"/>
      <c r="AR934" s="32"/>
      <c r="AS934" s="32"/>
      <c r="AT934" s="32"/>
      <c r="AU934" s="32"/>
      <c r="AV934" s="32"/>
      <c r="AW934" s="32"/>
      <c r="AX934" s="32"/>
    </row>
    <row r="935">
      <c r="A935" s="32"/>
      <c r="B935" s="32"/>
      <c r="C935" s="32"/>
      <c r="D935" s="32"/>
      <c r="E935" s="32">
        <f>IFERROR(__xludf.DUMMYFUNCTION("""COMPUTED_VALUE"""),1.0)</f>
        <v>1</v>
      </c>
      <c r="F935" s="44">
        <f>IFERROR(__xludf.DUMMYFUNCTION("""COMPUTED_VALUE"""),0.0)</f>
        <v>0</v>
      </c>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t="b">
        <f>IFERROR(__xludf.DUMMYFUNCTION("""COMPUTED_VALUE"""),FALSE)</f>
        <v>0</v>
      </c>
      <c r="AI935" s="32"/>
      <c r="AJ935" s="32"/>
      <c r="AK935" s="32"/>
      <c r="AL935" s="32"/>
      <c r="AM935" s="32"/>
      <c r="AN935" s="32"/>
      <c r="AO935" s="32"/>
      <c r="AP935" s="32"/>
      <c r="AQ935" s="32"/>
      <c r="AR935" s="32"/>
      <c r="AS935" s="32"/>
      <c r="AT935" s="32"/>
      <c r="AU935" s="32"/>
      <c r="AV935" s="32"/>
      <c r="AW935" s="32"/>
      <c r="AX935" s="32"/>
    </row>
    <row r="936">
      <c r="A936" s="32"/>
      <c r="B936" s="32"/>
      <c r="C936" s="32"/>
      <c r="D936" s="32"/>
      <c r="E936" s="32">
        <f>IFERROR(__xludf.DUMMYFUNCTION("""COMPUTED_VALUE"""),1.0)</f>
        <v>1</v>
      </c>
      <c r="F936" s="44">
        <f>IFERROR(__xludf.DUMMYFUNCTION("""COMPUTED_VALUE"""),0.0)</f>
        <v>0</v>
      </c>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t="b">
        <f>IFERROR(__xludf.DUMMYFUNCTION("""COMPUTED_VALUE"""),FALSE)</f>
        <v>0</v>
      </c>
      <c r="AI936" s="32"/>
      <c r="AJ936" s="32"/>
      <c r="AK936" s="32"/>
      <c r="AL936" s="32"/>
      <c r="AM936" s="32"/>
      <c r="AN936" s="32"/>
      <c r="AO936" s="32"/>
      <c r="AP936" s="32"/>
      <c r="AQ936" s="32"/>
      <c r="AR936" s="32"/>
      <c r="AS936" s="32"/>
      <c r="AT936" s="32"/>
      <c r="AU936" s="32"/>
      <c r="AV936" s="32"/>
      <c r="AW936" s="32"/>
      <c r="AX936" s="32"/>
    </row>
    <row r="937">
      <c r="A937" s="32"/>
      <c r="B937" s="32"/>
      <c r="C937" s="32"/>
      <c r="D937" s="32"/>
      <c r="E937" s="32">
        <f>IFERROR(__xludf.DUMMYFUNCTION("""COMPUTED_VALUE"""),1.0)</f>
        <v>1</v>
      </c>
      <c r="F937" s="44">
        <f>IFERROR(__xludf.DUMMYFUNCTION("""COMPUTED_VALUE"""),0.0)</f>
        <v>0</v>
      </c>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t="b">
        <f>IFERROR(__xludf.DUMMYFUNCTION("""COMPUTED_VALUE"""),FALSE)</f>
        <v>0</v>
      </c>
      <c r="AI937" s="32"/>
      <c r="AJ937" s="32"/>
      <c r="AK937" s="32"/>
      <c r="AL937" s="32"/>
      <c r="AM937" s="32"/>
      <c r="AN937" s="32"/>
      <c r="AO937" s="32"/>
      <c r="AP937" s="32"/>
      <c r="AQ937" s="32"/>
      <c r="AR937" s="32"/>
      <c r="AS937" s="32"/>
      <c r="AT937" s="32"/>
      <c r="AU937" s="32"/>
      <c r="AV937" s="32"/>
      <c r="AW937" s="32"/>
      <c r="AX937" s="32"/>
    </row>
    <row r="938">
      <c r="A938" s="32"/>
      <c r="B938" s="32"/>
      <c r="C938" s="32"/>
      <c r="D938" s="32"/>
      <c r="E938" s="32">
        <f>IFERROR(__xludf.DUMMYFUNCTION("""COMPUTED_VALUE"""),1.0)</f>
        <v>1</v>
      </c>
      <c r="F938" s="44">
        <f>IFERROR(__xludf.DUMMYFUNCTION("""COMPUTED_VALUE"""),0.0)</f>
        <v>0</v>
      </c>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t="b">
        <f>IFERROR(__xludf.DUMMYFUNCTION("""COMPUTED_VALUE"""),FALSE)</f>
        <v>0</v>
      </c>
      <c r="AI938" s="32"/>
      <c r="AJ938" s="32"/>
      <c r="AK938" s="32"/>
      <c r="AL938" s="32"/>
      <c r="AM938" s="32"/>
      <c r="AN938" s="32"/>
      <c r="AO938" s="32"/>
      <c r="AP938" s="32"/>
      <c r="AQ938" s="32"/>
      <c r="AR938" s="32"/>
      <c r="AS938" s="32"/>
      <c r="AT938" s="32"/>
      <c r="AU938" s="32"/>
      <c r="AV938" s="32"/>
      <c r="AW938" s="32"/>
      <c r="AX938" s="32"/>
    </row>
    <row r="939">
      <c r="A939" s="32"/>
      <c r="B939" s="32"/>
      <c r="C939" s="32"/>
      <c r="D939" s="32"/>
      <c r="E939" s="32">
        <f>IFERROR(__xludf.DUMMYFUNCTION("""COMPUTED_VALUE"""),1.0)</f>
        <v>1</v>
      </c>
      <c r="F939" s="44">
        <f>IFERROR(__xludf.DUMMYFUNCTION("""COMPUTED_VALUE"""),0.0)</f>
        <v>0</v>
      </c>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t="b">
        <f>IFERROR(__xludf.DUMMYFUNCTION("""COMPUTED_VALUE"""),FALSE)</f>
        <v>0</v>
      </c>
      <c r="AI939" s="32"/>
      <c r="AJ939" s="32"/>
      <c r="AK939" s="32"/>
      <c r="AL939" s="32"/>
      <c r="AM939" s="32"/>
      <c r="AN939" s="32"/>
      <c r="AO939" s="32"/>
      <c r="AP939" s="32"/>
      <c r="AQ939" s="32"/>
      <c r="AR939" s="32"/>
      <c r="AS939" s="32"/>
      <c r="AT939" s="32"/>
      <c r="AU939" s="32"/>
      <c r="AV939" s="32"/>
      <c r="AW939" s="32"/>
      <c r="AX939" s="32"/>
    </row>
    <row r="940">
      <c r="A940" s="32"/>
      <c r="B940" s="32"/>
      <c r="C940" s="32"/>
      <c r="D940" s="32"/>
      <c r="E940" s="32">
        <f>IFERROR(__xludf.DUMMYFUNCTION("""COMPUTED_VALUE"""),1.0)</f>
        <v>1</v>
      </c>
      <c r="F940" s="44">
        <f>IFERROR(__xludf.DUMMYFUNCTION("""COMPUTED_VALUE"""),0.0)</f>
        <v>0</v>
      </c>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t="b">
        <f>IFERROR(__xludf.DUMMYFUNCTION("""COMPUTED_VALUE"""),FALSE)</f>
        <v>0</v>
      </c>
      <c r="AI940" s="32"/>
      <c r="AJ940" s="32"/>
      <c r="AK940" s="32"/>
      <c r="AL940" s="32"/>
      <c r="AM940" s="32"/>
      <c r="AN940" s="32"/>
      <c r="AO940" s="32"/>
      <c r="AP940" s="32"/>
      <c r="AQ940" s="32"/>
      <c r="AR940" s="32"/>
      <c r="AS940" s="32"/>
      <c r="AT940" s="32"/>
      <c r="AU940" s="32"/>
      <c r="AV940" s="32"/>
      <c r="AW940" s="32"/>
      <c r="AX940" s="32"/>
    </row>
    <row r="941">
      <c r="A941" s="32"/>
      <c r="B941" s="32"/>
      <c r="C941" s="32"/>
      <c r="D941" s="32"/>
      <c r="E941" s="32">
        <f>IFERROR(__xludf.DUMMYFUNCTION("""COMPUTED_VALUE"""),1.0)</f>
        <v>1</v>
      </c>
      <c r="F941" s="44">
        <f>IFERROR(__xludf.DUMMYFUNCTION("""COMPUTED_VALUE"""),0.0)</f>
        <v>0</v>
      </c>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t="b">
        <f>IFERROR(__xludf.DUMMYFUNCTION("""COMPUTED_VALUE"""),FALSE)</f>
        <v>0</v>
      </c>
      <c r="AI941" s="32"/>
      <c r="AJ941" s="32"/>
      <c r="AK941" s="32"/>
      <c r="AL941" s="32"/>
      <c r="AM941" s="32"/>
      <c r="AN941" s="32"/>
      <c r="AO941" s="32"/>
      <c r="AP941" s="32"/>
      <c r="AQ941" s="32"/>
      <c r="AR941" s="32"/>
      <c r="AS941" s="32"/>
      <c r="AT941" s="32"/>
      <c r="AU941" s="32"/>
      <c r="AV941" s="32"/>
      <c r="AW941" s="32"/>
      <c r="AX941" s="32"/>
    </row>
    <row r="942">
      <c r="A942" s="32"/>
      <c r="B942" s="32"/>
      <c r="C942" s="32"/>
      <c r="D942" s="32"/>
      <c r="E942" s="32">
        <f>IFERROR(__xludf.DUMMYFUNCTION("""COMPUTED_VALUE"""),1.0)</f>
        <v>1</v>
      </c>
      <c r="F942" s="44">
        <f>IFERROR(__xludf.DUMMYFUNCTION("""COMPUTED_VALUE"""),0.0)</f>
        <v>0</v>
      </c>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t="b">
        <f>IFERROR(__xludf.DUMMYFUNCTION("""COMPUTED_VALUE"""),FALSE)</f>
        <v>0</v>
      </c>
      <c r="AI942" s="32"/>
      <c r="AJ942" s="32"/>
      <c r="AK942" s="32"/>
      <c r="AL942" s="32"/>
      <c r="AM942" s="32"/>
      <c r="AN942" s="32"/>
      <c r="AO942" s="32"/>
      <c r="AP942" s="32"/>
      <c r="AQ942" s="32"/>
      <c r="AR942" s="32"/>
      <c r="AS942" s="32"/>
      <c r="AT942" s="32"/>
      <c r="AU942" s="32"/>
      <c r="AV942" s="32"/>
      <c r="AW942" s="32"/>
      <c r="AX942" s="32"/>
    </row>
    <row r="943">
      <c r="A943" s="32"/>
      <c r="B943" s="32"/>
      <c r="C943" s="32"/>
      <c r="D943" s="32"/>
      <c r="E943" s="32">
        <f>IFERROR(__xludf.DUMMYFUNCTION("""COMPUTED_VALUE"""),1.0)</f>
        <v>1</v>
      </c>
      <c r="F943" s="44">
        <f>IFERROR(__xludf.DUMMYFUNCTION("""COMPUTED_VALUE"""),0.0)</f>
        <v>0</v>
      </c>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t="b">
        <f>IFERROR(__xludf.DUMMYFUNCTION("""COMPUTED_VALUE"""),FALSE)</f>
        <v>0</v>
      </c>
      <c r="AI943" s="32"/>
      <c r="AJ943" s="32"/>
      <c r="AK943" s="32"/>
      <c r="AL943" s="32"/>
      <c r="AM943" s="32"/>
      <c r="AN943" s="32"/>
      <c r="AO943" s="32"/>
      <c r="AP943" s="32"/>
      <c r="AQ943" s="32"/>
      <c r="AR943" s="32"/>
      <c r="AS943" s="32"/>
      <c r="AT943" s="32"/>
      <c r="AU943" s="32"/>
      <c r="AV943" s="32"/>
      <c r="AW943" s="32"/>
      <c r="AX943" s="32"/>
    </row>
    <row r="944">
      <c r="A944" s="32"/>
      <c r="B944" s="32"/>
      <c r="C944" s="32"/>
      <c r="D944" s="32"/>
      <c r="E944" s="32">
        <f>IFERROR(__xludf.DUMMYFUNCTION("""COMPUTED_VALUE"""),1.0)</f>
        <v>1</v>
      </c>
      <c r="F944" s="44">
        <f>IFERROR(__xludf.DUMMYFUNCTION("""COMPUTED_VALUE"""),0.0)</f>
        <v>0</v>
      </c>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t="b">
        <f>IFERROR(__xludf.DUMMYFUNCTION("""COMPUTED_VALUE"""),FALSE)</f>
        <v>0</v>
      </c>
      <c r="AI944" s="32"/>
      <c r="AJ944" s="32"/>
      <c r="AK944" s="32"/>
      <c r="AL944" s="32"/>
      <c r="AM944" s="32"/>
      <c r="AN944" s="32"/>
      <c r="AO944" s="32"/>
      <c r="AP944" s="32"/>
      <c r="AQ944" s="32"/>
      <c r="AR944" s="32"/>
      <c r="AS944" s="32"/>
      <c r="AT944" s="32"/>
      <c r="AU944" s="32"/>
      <c r="AV944" s="32"/>
      <c r="AW944" s="32"/>
      <c r="AX944" s="32"/>
    </row>
    <row r="945">
      <c r="A945" s="32"/>
      <c r="B945" s="32"/>
      <c r="C945" s="32"/>
      <c r="D945" s="32"/>
      <c r="E945" s="32">
        <f>IFERROR(__xludf.DUMMYFUNCTION("""COMPUTED_VALUE"""),1.0)</f>
        <v>1</v>
      </c>
      <c r="F945" s="44">
        <f>IFERROR(__xludf.DUMMYFUNCTION("""COMPUTED_VALUE"""),0.0)</f>
        <v>0</v>
      </c>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t="b">
        <f>IFERROR(__xludf.DUMMYFUNCTION("""COMPUTED_VALUE"""),FALSE)</f>
        <v>0</v>
      </c>
      <c r="AI945" s="32"/>
      <c r="AJ945" s="32"/>
      <c r="AK945" s="32"/>
      <c r="AL945" s="32"/>
      <c r="AM945" s="32"/>
      <c r="AN945" s="32"/>
      <c r="AO945" s="32"/>
      <c r="AP945" s="32"/>
      <c r="AQ945" s="32"/>
      <c r="AR945" s="32"/>
      <c r="AS945" s="32"/>
      <c r="AT945" s="32"/>
      <c r="AU945" s="32"/>
      <c r="AV945" s="32"/>
      <c r="AW945" s="32"/>
      <c r="AX945" s="32"/>
    </row>
    <row r="946">
      <c r="A946" s="32"/>
      <c r="B946" s="32"/>
      <c r="C946" s="32"/>
      <c r="D946" s="32"/>
      <c r="E946" s="32">
        <f>IFERROR(__xludf.DUMMYFUNCTION("""COMPUTED_VALUE"""),1.0)</f>
        <v>1</v>
      </c>
      <c r="F946" s="44">
        <f>IFERROR(__xludf.DUMMYFUNCTION("""COMPUTED_VALUE"""),0.0)</f>
        <v>0</v>
      </c>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t="b">
        <f>IFERROR(__xludf.DUMMYFUNCTION("""COMPUTED_VALUE"""),FALSE)</f>
        <v>0</v>
      </c>
      <c r="AI946" s="32"/>
      <c r="AJ946" s="32"/>
      <c r="AK946" s="32"/>
      <c r="AL946" s="32"/>
      <c r="AM946" s="32"/>
      <c r="AN946" s="32"/>
      <c r="AO946" s="32"/>
      <c r="AP946" s="32"/>
      <c r="AQ946" s="32"/>
      <c r="AR946" s="32"/>
      <c r="AS946" s="32"/>
      <c r="AT946" s="32"/>
      <c r="AU946" s="32"/>
      <c r="AV946" s="32"/>
      <c r="AW946" s="32"/>
      <c r="AX946" s="32"/>
    </row>
    <row r="947">
      <c r="A947" s="32"/>
      <c r="B947" s="32"/>
      <c r="C947" s="32"/>
      <c r="D947" s="32"/>
      <c r="E947" s="32">
        <f>IFERROR(__xludf.DUMMYFUNCTION("""COMPUTED_VALUE"""),1.0)</f>
        <v>1</v>
      </c>
      <c r="F947" s="44">
        <f>IFERROR(__xludf.DUMMYFUNCTION("""COMPUTED_VALUE"""),0.0)</f>
        <v>0</v>
      </c>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t="b">
        <f>IFERROR(__xludf.DUMMYFUNCTION("""COMPUTED_VALUE"""),FALSE)</f>
        <v>0</v>
      </c>
      <c r="AI947" s="32"/>
      <c r="AJ947" s="32"/>
      <c r="AK947" s="32"/>
      <c r="AL947" s="32"/>
      <c r="AM947" s="32"/>
      <c r="AN947" s="32"/>
      <c r="AO947" s="32"/>
      <c r="AP947" s="32"/>
      <c r="AQ947" s="32"/>
      <c r="AR947" s="32"/>
      <c r="AS947" s="32"/>
      <c r="AT947" s="32"/>
      <c r="AU947" s="32"/>
      <c r="AV947" s="32"/>
      <c r="AW947" s="32"/>
      <c r="AX947" s="32"/>
    </row>
    <row r="948">
      <c r="A948" s="32"/>
      <c r="B948" s="32"/>
      <c r="C948" s="32"/>
      <c r="D948" s="32"/>
      <c r="E948" s="32">
        <f>IFERROR(__xludf.DUMMYFUNCTION("""COMPUTED_VALUE"""),1.0)</f>
        <v>1</v>
      </c>
      <c r="F948" s="44">
        <f>IFERROR(__xludf.DUMMYFUNCTION("""COMPUTED_VALUE"""),0.0)</f>
        <v>0</v>
      </c>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t="b">
        <f>IFERROR(__xludf.DUMMYFUNCTION("""COMPUTED_VALUE"""),FALSE)</f>
        <v>0</v>
      </c>
      <c r="AI948" s="32"/>
      <c r="AJ948" s="32"/>
      <c r="AK948" s="32"/>
      <c r="AL948" s="32"/>
      <c r="AM948" s="32"/>
      <c r="AN948" s="32"/>
      <c r="AO948" s="32"/>
      <c r="AP948" s="32"/>
      <c r="AQ948" s="32"/>
      <c r="AR948" s="32"/>
      <c r="AS948" s="32"/>
      <c r="AT948" s="32"/>
      <c r="AU948" s="32"/>
      <c r="AV948" s="32"/>
      <c r="AW948" s="32"/>
      <c r="AX948" s="32"/>
    </row>
    <row r="949">
      <c r="A949" s="32"/>
      <c r="B949" s="32"/>
      <c r="C949" s="32"/>
      <c r="D949" s="32"/>
      <c r="E949" s="32">
        <f>IFERROR(__xludf.DUMMYFUNCTION("""COMPUTED_VALUE"""),1.0)</f>
        <v>1</v>
      </c>
      <c r="F949" s="44">
        <f>IFERROR(__xludf.DUMMYFUNCTION("""COMPUTED_VALUE"""),0.0)</f>
        <v>0</v>
      </c>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t="b">
        <f>IFERROR(__xludf.DUMMYFUNCTION("""COMPUTED_VALUE"""),FALSE)</f>
        <v>0</v>
      </c>
      <c r="AI949" s="32"/>
      <c r="AJ949" s="32"/>
      <c r="AK949" s="32"/>
      <c r="AL949" s="32"/>
      <c r="AM949" s="32"/>
      <c r="AN949" s="32"/>
      <c r="AO949" s="32"/>
      <c r="AP949" s="32"/>
      <c r="AQ949" s="32"/>
      <c r="AR949" s="32"/>
      <c r="AS949" s="32"/>
      <c r="AT949" s="32"/>
      <c r="AU949" s="32"/>
      <c r="AV949" s="32"/>
      <c r="AW949" s="32"/>
      <c r="AX949" s="32"/>
    </row>
    <row r="950">
      <c r="A950" s="32"/>
      <c r="B950" s="32"/>
      <c r="C950" s="32"/>
      <c r="D950" s="32"/>
      <c r="E950" s="32">
        <f>IFERROR(__xludf.DUMMYFUNCTION("""COMPUTED_VALUE"""),1.0)</f>
        <v>1</v>
      </c>
      <c r="F950" s="44">
        <f>IFERROR(__xludf.DUMMYFUNCTION("""COMPUTED_VALUE"""),0.0)</f>
        <v>0</v>
      </c>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t="b">
        <f>IFERROR(__xludf.DUMMYFUNCTION("""COMPUTED_VALUE"""),FALSE)</f>
        <v>0</v>
      </c>
      <c r="AI950" s="32"/>
      <c r="AJ950" s="32"/>
      <c r="AK950" s="32"/>
      <c r="AL950" s="32"/>
      <c r="AM950" s="32"/>
      <c r="AN950" s="32"/>
      <c r="AO950" s="32"/>
      <c r="AP950" s="32"/>
      <c r="AQ950" s="32"/>
      <c r="AR950" s="32"/>
      <c r="AS950" s="32"/>
      <c r="AT950" s="32"/>
      <c r="AU950" s="32"/>
      <c r="AV950" s="32"/>
      <c r="AW950" s="32"/>
      <c r="AX950" s="32"/>
    </row>
    <row r="951">
      <c r="A951" s="32"/>
      <c r="B951" s="32"/>
      <c r="C951" s="32"/>
      <c r="D951" s="32"/>
      <c r="E951" s="32">
        <f>IFERROR(__xludf.DUMMYFUNCTION("""COMPUTED_VALUE"""),1.0)</f>
        <v>1</v>
      </c>
      <c r="F951" s="44">
        <f>IFERROR(__xludf.DUMMYFUNCTION("""COMPUTED_VALUE"""),0.0)</f>
        <v>0</v>
      </c>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t="b">
        <f>IFERROR(__xludf.DUMMYFUNCTION("""COMPUTED_VALUE"""),FALSE)</f>
        <v>0</v>
      </c>
      <c r="AI951" s="32"/>
      <c r="AJ951" s="32"/>
      <c r="AK951" s="32"/>
      <c r="AL951" s="32"/>
      <c r="AM951" s="32"/>
      <c r="AN951" s="32"/>
      <c r="AO951" s="32"/>
      <c r="AP951" s="32"/>
      <c r="AQ951" s="32"/>
      <c r="AR951" s="32"/>
      <c r="AS951" s="32"/>
      <c r="AT951" s="32"/>
      <c r="AU951" s="32"/>
      <c r="AV951" s="32"/>
      <c r="AW951" s="32"/>
      <c r="AX951" s="32"/>
    </row>
    <row r="952">
      <c r="A952" s="32"/>
      <c r="B952" s="32"/>
      <c r="C952" s="32"/>
      <c r="D952" s="32"/>
      <c r="E952" s="32">
        <f>IFERROR(__xludf.DUMMYFUNCTION("""COMPUTED_VALUE"""),1.0)</f>
        <v>1</v>
      </c>
      <c r="F952" s="44">
        <f>IFERROR(__xludf.DUMMYFUNCTION("""COMPUTED_VALUE"""),0.0)</f>
        <v>0</v>
      </c>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t="b">
        <f>IFERROR(__xludf.DUMMYFUNCTION("""COMPUTED_VALUE"""),FALSE)</f>
        <v>0</v>
      </c>
      <c r="AI952" s="32"/>
      <c r="AJ952" s="32"/>
      <c r="AK952" s="32"/>
      <c r="AL952" s="32"/>
      <c r="AM952" s="32"/>
      <c r="AN952" s="32"/>
      <c r="AO952" s="32"/>
      <c r="AP952" s="32"/>
      <c r="AQ952" s="32"/>
      <c r="AR952" s="32"/>
      <c r="AS952" s="32"/>
      <c r="AT952" s="32"/>
      <c r="AU952" s="32"/>
      <c r="AV952" s="32"/>
      <c r="AW952" s="32"/>
      <c r="AX952" s="32"/>
    </row>
    <row r="953">
      <c r="A953" s="32"/>
      <c r="B953" s="32"/>
      <c r="C953" s="32"/>
      <c r="D953" s="32"/>
      <c r="E953" s="32">
        <f>IFERROR(__xludf.DUMMYFUNCTION("""COMPUTED_VALUE"""),1.0)</f>
        <v>1</v>
      </c>
      <c r="F953" s="44">
        <f>IFERROR(__xludf.DUMMYFUNCTION("""COMPUTED_VALUE"""),0.0)</f>
        <v>0</v>
      </c>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t="b">
        <f>IFERROR(__xludf.DUMMYFUNCTION("""COMPUTED_VALUE"""),FALSE)</f>
        <v>0</v>
      </c>
      <c r="AI953" s="32"/>
      <c r="AJ953" s="32"/>
      <c r="AK953" s="32"/>
      <c r="AL953" s="32"/>
      <c r="AM953" s="32"/>
      <c r="AN953" s="32"/>
      <c r="AO953" s="32"/>
      <c r="AP953" s="32"/>
      <c r="AQ953" s="32"/>
      <c r="AR953" s="32"/>
      <c r="AS953" s="32"/>
      <c r="AT953" s="32"/>
      <c r="AU953" s="32"/>
      <c r="AV953" s="32"/>
      <c r="AW953" s="32"/>
      <c r="AX953" s="32"/>
    </row>
    <row r="954">
      <c r="A954" s="32"/>
      <c r="B954" s="32"/>
      <c r="C954" s="32"/>
      <c r="D954" s="32"/>
      <c r="E954" s="32">
        <f>IFERROR(__xludf.DUMMYFUNCTION("""COMPUTED_VALUE"""),1.0)</f>
        <v>1</v>
      </c>
      <c r="F954" s="44">
        <f>IFERROR(__xludf.DUMMYFUNCTION("""COMPUTED_VALUE"""),0.0)</f>
        <v>0</v>
      </c>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t="b">
        <f>IFERROR(__xludf.DUMMYFUNCTION("""COMPUTED_VALUE"""),FALSE)</f>
        <v>0</v>
      </c>
      <c r="AI954" s="32"/>
      <c r="AJ954" s="32"/>
      <c r="AK954" s="32"/>
      <c r="AL954" s="32"/>
      <c r="AM954" s="32"/>
      <c r="AN954" s="32"/>
      <c r="AO954" s="32"/>
      <c r="AP954" s="32"/>
      <c r="AQ954" s="32"/>
      <c r="AR954" s="32"/>
      <c r="AS954" s="32"/>
      <c r="AT954" s="32"/>
      <c r="AU954" s="32"/>
      <c r="AV954" s="32"/>
      <c r="AW954" s="32"/>
      <c r="AX954" s="32"/>
    </row>
    <row r="955">
      <c r="A955" s="32"/>
      <c r="B955" s="32"/>
      <c r="C955" s="32"/>
      <c r="D955" s="32"/>
      <c r="E955" s="32">
        <f>IFERROR(__xludf.DUMMYFUNCTION("""COMPUTED_VALUE"""),1.0)</f>
        <v>1</v>
      </c>
      <c r="F955" s="44">
        <f>IFERROR(__xludf.DUMMYFUNCTION("""COMPUTED_VALUE"""),0.0)</f>
        <v>0</v>
      </c>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t="b">
        <f>IFERROR(__xludf.DUMMYFUNCTION("""COMPUTED_VALUE"""),FALSE)</f>
        <v>0</v>
      </c>
      <c r="AI955" s="32"/>
      <c r="AJ955" s="32"/>
      <c r="AK955" s="32"/>
      <c r="AL955" s="32"/>
      <c r="AM955" s="32"/>
      <c r="AN955" s="32"/>
      <c r="AO955" s="32"/>
      <c r="AP955" s="32"/>
      <c r="AQ955" s="32"/>
      <c r="AR955" s="32"/>
      <c r="AS955" s="32"/>
      <c r="AT955" s="32"/>
      <c r="AU955" s="32"/>
      <c r="AV955" s="32"/>
      <c r="AW955" s="32"/>
      <c r="AX955" s="32"/>
    </row>
    <row r="956">
      <c r="A956" s="32"/>
      <c r="B956" s="32"/>
      <c r="C956" s="32"/>
      <c r="D956" s="32"/>
      <c r="E956" s="32">
        <f>IFERROR(__xludf.DUMMYFUNCTION("""COMPUTED_VALUE"""),1.0)</f>
        <v>1</v>
      </c>
      <c r="F956" s="44">
        <f>IFERROR(__xludf.DUMMYFUNCTION("""COMPUTED_VALUE"""),0.0)</f>
        <v>0</v>
      </c>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t="b">
        <f>IFERROR(__xludf.DUMMYFUNCTION("""COMPUTED_VALUE"""),FALSE)</f>
        <v>0</v>
      </c>
      <c r="AI956" s="32"/>
      <c r="AJ956" s="32"/>
      <c r="AK956" s="32"/>
      <c r="AL956" s="32"/>
      <c r="AM956" s="32"/>
      <c r="AN956" s="32"/>
      <c r="AO956" s="32"/>
      <c r="AP956" s="32"/>
      <c r="AQ956" s="32"/>
      <c r="AR956" s="32"/>
      <c r="AS956" s="32"/>
      <c r="AT956" s="32"/>
      <c r="AU956" s="32"/>
      <c r="AV956" s="32"/>
      <c r="AW956" s="32"/>
      <c r="AX956" s="32"/>
    </row>
    <row r="957">
      <c r="A957" s="32"/>
      <c r="B957" s="32"/>
      <c r="C957" s="32"/>
      <c r="D957" s="32"/>
      <c r="E957" s="32">
        <f>IFERROR(__xludf.DUMMYFUNCTION("""COMPUTED_VALUE"""),1.0)</f>
        <v>1</v>
      </c>
      <c r="F957" s="44">
        <f>IFERROR(__xludf.DUMMYFUNCTION("""COMPUTED_VALUE"""),0.0)</f>
        <v>0</v>
      </c>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t="b">
        <f>IFERROR(__xludf.DUMMYFUNCTION("""COMPUTED_VALUE"""),FALSE)</f>
        <v>0</v>
      </c>
      <c r="AI957" s="32"/>
      <c r="AJ957" s="32"/>
      <c r="AK957" s="32"/>
      <c r="AL957" s="32"/>
      <c r="AM957" s="32"/>
      <c r="AN957" s="32"/>
      <c r="AO957" s="32"/>
      <c r="AP957" s="32"/>
      <c r="AQ957" s="32"/>
      <c r="AR957" s="32"/>
      <c r="AS957" s="32"/>
      <c r="AT957" s="32"/>
      <c r="AU957" s="32"/>
      <c r="AV957" s="32"/>
      <c r="AW957" s="32"/>
      <c r="AX957" s="32"/>
    </row>
    <row r="958">
      <c r="A958" s="32"/>
      <c r="B958" s="32"/>
      <c r="C958" s="32"/>
      <c r="D958" s="32"/>
      <c r="E958" s="32">
        <f>IFERROR(__xludf.DUMMYFUNCTION("""COMPUTED_VALUE"""),1.0)</f>
        <v>1</v>
      </c>
      <c r="F958" s="44">
        <f>IFERROR(__xludf.DUMMYFUNCTION("""COMPUTED_VALUE"""),0.0)</f>
        <v>0</v>
      </c>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t="b">
        <f>IFERROR(__xludf.DUMMYFUNCTION("""COMPUTED_VALUE"""),FALSE)</f>
        <v>0</v>
      </c>
      <c r="AI958" s="32"/>
      <c r="AJ958" s="32"/>
      <c r="AK958" s="32"/>
      <c r="AL958" s="32"/>
      <c r="AM958" s="32"/>
      <c r="AN958" s="32"/>
      <c r="AO958" s="32"/>
      <c r="AP958" s="32"/>
      <c r="AQ958" s="32"/>
      <c r="AR958" s="32"/>
      <c r="AS958" s="32"/>
      <c r="AT958" s="32"/>
      <c r="AU958" s="32"/>
      <c r="AV958" s="32"/>
      <c r="AW958" s="32"/>
      <c r="AX958" s="32"/>
    </row>
    <row r="959">
      <c r="A959" s="32"/>
      <c r="B959" s="32"/>
      <c r="C959" s="32"/>
      <c r="D959" s="32"/>
      <c r="E959" s="32">
        <f>IFERROR(__xludf.DUMMYFUNCTION("""COMPUTED_VALUE"""),1.0)</f>
        <v>1</v>
      </c>
      <c r="F959" s="44">
        <f>IFERROR(__xludf.DUMMYFUNCTION("""COMPUTED_VALUE"""),0.0)</f>
        <v>0</v>
      </c>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t="b">
        <f>IFERROR(__xludf.DUMMYFUNCTION("""COMPUTED_VALUE"""),FALSE)</f>
        <v>0</v>
      </c>
      <c r="AI959" s="32"/>
      <c r="AJ959" s="32"/>
      <c r="AK959" s="32"/>
      <c r="AL959" s="32"/>
      <c r="AM959" s="32"/>
      <c r="AN959" s="32"/>
      <c r="AO959" s="32"/>
      <c r="AP959" s="32"/>
      <c r="AQ959" s="32"/>
      <c r="AR959" s="32"/>
      <c r="AS959" s="32"/>
      <c r="AT959" s="32"/>
      <c r="AU959" s="32"/>
      <c r="AV959" s="32"/>
      <c r="AW959" s="32"/>
      <c r="AX959" s="32"/>
    </row>
    <row r="960">
      <c r="A960" s="32"/>
      <c r="B960" s="32"/>
      <c r="C960" s="32"/>
      <c r="D960" s="32"/>
      <c r="E960" s="32">
        <f>IFERROR(__xludf.DUMMYFUNCTION("""COMPUTED_VALUE"""),1.0)</f>
        <v>1</v>
      </c>
      <c r="F960" s="44">
        <f>IFERROR(__xludf.DUMMYFUNCTION("""COMPUTED_VALUE"""),0.0)</f>
        <v>0</v>
      </c>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t="b">
        <f>IFERROR(__xludf.DUMMYFUNCTION("""COMPUTED_VALUE"""),FALSE)</f>
        <v>0</v>
      </c>
      <c r="AI960" s="32"/>
      <c r="AJ960" s="32"/>
      <c r="AK960" s="32"/>
      <c r="AL960" s="32"/>
      <c r="AM960" s="32"/>
      <c r="AN960" s="32"/>
      <c r="AO960" s="32"/>
      <c r="AP960" s="32"/>
      <c r="AQ960" s="32"/>
      <c r="AR960" s="32"/>
      <c r="AS960" s="32"/>
      <c r="AT960" s="32"/>
      <c r="AU960" s="32"/>
      <c r="AV960" s="32"/>
      <c r="AW960" s="32"/>
      <c r="AX960" s="32"/>
    </row>
    <row r="961">
      <c r="A961" s="32"/>
      <c r="B961" s="32"/>
      <c r="C961" s="32"/>
      <c r="D961" s="32"/>
      <c r="E961" s="32">
        <f>IFERROR(__xludf.DUMMYFUNCTION("""COMPUTED_VALUE"""),1.0)</f>
        <v>1</v>
      </c>
      <c r="F961" s="44">
        <f>IFERROR(__xludf.DUMMYFUNCTION("""COMPUTED_VALUE"""),0.0)</f>
        <v>0</v>
      </c>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t="b">
        <f>IFERROR(__xludf.DUMMYFUNCTION("""COMPUTED_VALUE"""),FALSE)</f>
        <v>0</v>
      </c>
      <c r="AI961" s="32"/>
      <c r="AJ961" s="32"/>
      <c r="AK961" s="32"/>
      <c r="AL961" s="32"/>
      <c r="AM961" s="32"/>
      <c r="AN961" s="32"/>
      <c r="AO961" s="32"/>
      <c r="AP961" s="32"/>
      <c r="AQ961" s="32"/>
      <c r="AR961" s="32"/>
      <c r="AS961" s="32"/>
      <c r="AT961" s="32"/>
      <c r="AU961" s="32"/>
      <c r="AV961" s="32"/>
      <c r="AW961" s="32"/>
      <c r="AX961" s="32"/>
    </row>
    <row r="962">
      <c r="A962" s="32"/>
      <c r="B962" s="32"/>
      <c r="C962" s="32"/>
      <c r="D962" s="32"/>
      <c r="E962" s="32">
        <f>IFERROR(__xludf.DUMMYFUNCTION("""COMPUTED_VALUE"""),1.0)</f>
        <v>1</v>
      </c>
      <c r="F962" s="44">
        <f>IFERROR(__xludf.DUMMYFUNCTION("""COMPUTED_VALUE"""),0.0)</f>
        <v>0</v>
      </c>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t="b">
        <f>IFERROR(__xludf.DUMMYFUNCTION("""COMPUTED_VALUE"""),FALSE)</f>
        <v>0</v>
      </c>
      <c r="AI962" s="32"/>
      <c r="AJ962" s="32"/>
      <c r="AK962" s="32"/>
      <c r="AL962" s="32"/>
      <c r="AM962" s="32"/>
      <c r="AN962" s="32"/>
      <c r="AO962" s="32"/>
      <c r="AP962" s="32"/>
      <c r="AQ962" s="32"/>
      <c r="AR962" s="32"/>
      <c r="AS962" s="32"/>
      <c r="AT962" s="32"/>
      <c r="AU962" s="32"/>
      <c r="AV962" s="32"/>
      <c r="AW962" s="32"/>
      <c r="AX962" s="32"/>
    </row>
    <row r="963">
      <c r="A963" s="32"/>
      <c r="B963" s="32"/>
      <c r="C963" s="32"/>
      <c r="D963" s="32"/>
      <c r="E963" s="32">
        <f>IFERROR(__xludf.DUMMYFUNCTION("""COMPUTED_VALUE"""),1.0)</f>
        <v>1</v>
      </c>
      <c r="F963" s="44">
        <f>IFERROR(__xludf.DUMMYFUNCTION("""COMPUTED_VALUE"""),0.0)</f>
        <v>0</v>
      </c>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t="b">
        <f>IFERROR(__xludf.DUMMYFUNCTION("""COMPUTED_VALUE"""),FALSE)</f>
        <v>0</v>
      </c>
      <c r="AI963" s="32"/>
      <c r="AJ963" s="32"/>
      <c r="AK963" s="32"/>
      <c r="AL963" s="32"/>
      <c r="AM963" s="32"/>
      <c r="AN963" s="32"/>
      <c r="AO963" s="32"/>
      <c r="AP963" s="32"/>
      <c r="AQ963" s="32"/>
      <c r="AR963" s="32"/>
      <c r="AS963" s="32"/>
      <c r="AT963" s="32"/>
      <c r="AU963" s="32"/>
      <c r="AV963" s="32"/>
      <c r="AW963" s="32"/>
      <c r="AX963" s="32"/>
    </row>
    <row r="964">
      <c r="A964" s="32"/>
      <c r="B964" s="32"/>
      <c r="C964" s="32"/>
      <c r="D964" s="32"/>
      <c r="E964" s="32">
        <f>IFERROR(__xludf.DUMMYFUNCTION("""COMPUTED_VALUE"""),1.0)</f>
        <v>1</v>
      </c>
      <c r="F964" s="44">
        <f>IFERROR(__xludf.DUMMYFUNCTION("""COMPUTED_VALUE"""),0.0)</f>
        <v>0</v>
      </c>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t="b">
        <f>IFERROR(__xludf.DUMMYFUNCTION("""COMPUTED_VALUE"""),FALSE)</f>
        <v>0</v>
      </c>
      <c r="AI964" s="32"/>
      <c r="AJ964" s="32"/>
      <c r="AK964" s="32"/>
      <c r="AL964" s="32"/>
      <c r="AM964" s="32"/>
      <c r="AN964" s="32"/>
      <c r="AO964" s="32"/>
      <c r="AP964" s="32"/>
      <c r="AQ964" s="32"/>
      <c r="AR964" s="32"/>
      <c r="AS964" s="32"/>
      <c r="AT964" s="32"/>
      <c r="AU964" s="32"/>
      <c r="AV964" s="32"/>
      <c r="AW964" s="32"/>
      <c r="AX964" s="32"/>
    </row>
    <row r="965">
      <c r="A965" s="32"/>
      <c r="B965" s="32"/>
      <c r="C965" s="32"/>
      <c r="D965" s="32"/>
      <c r="E965" s="32">
        <f>IFERROR(__xludf.DUMMYFUNCTION("""COMPUTED_VALUE"""),1.0)</f>
        <v>1</v>
      </c>
      <c r="F965" s="44">
        <f>IFERROR(__xludf.DUMMYFUNCTION("""COMPUTED_VALUE"""),0.0)</f>
        <v>0</v>
      </c>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t="b">
        <f>IFERROR(__xludf.DUMMYFUNCTION("""COMPUTED_VALUE"""),FALSE)</f>
        <v>0</v>
      </c>
      <c r="AI965" s="32"/>
      <c r="AJ965" s="32"/>
      <c r="AK965" s="32"/>
      <c r="AL965" s="32"/>
      <c r="AM965" s="32"/>
      <c r="AN965" s="32"/>
      <c r="AO965" s="32"/>
      <c r="AP965" s="32"/>
      <c r="AQ965" s="32"/>
      <c r="AR965" s="32"/>
      <c r="AS965" s="32"/>
      <c r="AT965" s="32"/>
      <c r="AU965" s="32"/>
      <c r="AV965" s="32"/>
      <c r="AW965" s="32"/>
      <c r="AX965" s="32"/>
    </row>
    <row r="966">
      <c r="A966" s="32"/>
      <c r="B966" s="32"/>
      <c r="C966" s="32"/>
      <c r="D966" s="32"/>
      <c r="E966" s="32">
        <f>IFERROR(__xludf.DUMMYFUNCTION("""COMPUTED_VALUE"""),1.0)</f>
        <v>1</v>
      </c>
      <c r="F966" s="44">
        <f>IFERROR(__xludf.DUMMYFUNCTION("""COMPUTED_VALUE"""),0.0)</f>
        <v>0</v>
      </c>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t="b">
        <f>IFERROR(__xludf.DUMMYFUNCTION("""COMPUTED_VALUE"""),FALSE)</f>
        <v>0</v>
      </c>
      <c r="AI966" s="32"/>
      <c r="AJ966" s="32"/>
      <c r="AK966" s="32"/>
      <c r="AL966" s="32"/>
      <c r="AM966" s="32"/>
      <c r="AN966" s="32"/>
      <c r="AO966" s="32"/>
      <c r="AP966" s="32"/>
      <c r="AQ966" s="32"/>
      <c r="AR966" s="32"/>
      <c r="AS966" s="32"/>
      <c r="AT966" s="32"/>
      <c r="AU966" s="32"/>
      <c r="AV966" s="32"/>
      <c r="AW966" s="32"/>
      <c r="AX966" s="32"/>
    </row>
    <row r="967">
      <c r="A967" s="32"/>
      <c r="B967" s="32"/>
      <c r="C967" s="32"/>
      <c r="D967" s="32"/>
      <c r="E967" s="32">
        <f>IFERROR(__xludf.DUMMYFUNCTION("""COMPUTED_VALUE"""),1.0)</f>
        <v>1</v>
      </c>
      <c r="F967" s="44">
        <f>IFERROR(__xludf.DUMMYFUNCTION("""COMPUTED_VALUE"""),0.0)</f>
        <v>0</v>
      </c>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t="b">
        <f>IFERROR(__xludf.DUMMYFUNCTION("""COMPUTED_VALUE"""),FALSE)</f>
        <v>0</v>
      </c>
      <c r="AI967" s="32"/>
      <c r="AJ967" s="32"/>
      <c r="AK967" s="32"/>
      <c r="AL967" s="32"/>
      <c r="AM967" s="32"/>
      <c r="AN967" s="32"/>
      <c r="AO967" s="32"/>
      <c r="AP967" s="32"/>
      <c r="AQ967" s="32"/>
      <c r="AR967" s="32"/>
      <c r="AS967" s="32"/>
      <c r="AT967" s="32"/>
      <c r="AU967" s="32"/>
      <c r="AV967" s="32"/>
      <c r="AW967" s="32"/>
      <c r="AX967" s="32"/>
    </row>
    <row r="968">
      <c r="A968" s="32"/>
      <c r="B968" s="32"/>
      <c r="C968" s="32"/>
      <c r="D968" s="32"/>
      <c r="E968" s="32">
        <f>IFERROR(__xludf.DUMMYFUNCTION("""COMPUTED_VALUE"""),1.0)</f>
        <v>1</v>
      </c>
      <c r="F968" s="44">
        <f>IFERROR(__xludf.DUMMYFUNCTION("""COMPUTED_VALUE"""),0.0)</f>
        <v>0</v>
      </c>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t="b">
        <f>IFERROR(__xludf.DUMMYFUNCTION("""COMPUTED_VALUE"""),FALSE)</f>
        <v>0</v>
      </c>
      <c r="AI968" s="32"/>
      <c r="AJ968" s="32"/>
      <c r="AK968" s="32"/>
      <c r="AL968" s="32"/>
      <c r="AM968" s="32"/>
      <c r="AN968" s="32"/>
      <c r="AO968" s="32"/>
      <c r="AP968" s="32"/>
      <c r="AQ968" s="32"/>
      <c r="AR968" s="32"/>
      <c r="AS968" s="32"/>
      <c r="AT968" s="32"/>
      <c r="AU968" s="32"/>
      <c r="AV968" s="32"/>
      <c r="AW968" s="32"/>
      <c r="AX968" s="32"/>
    </row>
    <row r="969">
      <c r="A969" s="32"/>
      <c r="B969" s="32"/>
      <c r="C969" s="32"/>
      <c r="D969" s="32"/>
      <c r="E969" s="32">
        <f>IFERROR(__xludf.DUMMYFUNCTION("""COMPUTED_VALUE"""),1.0)</f>
        <v>1</v>
      </c>
      <c r="F969" s="44">
        <f>IFERROR(__xludf.DUMMYFUNCTION("""COMPUTED_VALUE"""),0.0)</f>
        <v>0</v>
      </c>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t="b">
        <f>IFERROR(__xludf.DUMMYFUNCTION("""COMPUTED_VALUE"""),FALSE)</f>
        <v>0</v>
      </c>
      <c r="AI969" s="32"/>
      <c r="AJ969" s="32"/>
      <c r="AK969" s="32"/>
      <c r="AL969" s="32"/>
      <c r="AM969" s="32"/>
      <c r="AN969" s="32"/>
      <c r="AO969" s="32"/>
      <c r="AP969" s="32"/>
      <c r="AQ969" s="32"/>
      <c r="AR969" s="32"/>
      <c r="AS969" s="32"/>
      <c r="AT969" s="32"/>
      <c r="AU969" s="32"/>
      <c r="AV969" s="32"/>
      <c r="AW969" s="32"/>
      <c r="AX969" s="32"/>
    </row>
    <row r="970">
      <c r="A970" s="32"/>
      <c r="B970" s="32"/>
      <c r="C970" s="32"/>
      <c r="D970" s="32"/>
      <c r="E970" s="32">
        <f>IFERROR(__xludf.DUMMYFUNCTION("""COMPUTED_VALUE"""),1.0)</f>
        <v>1</v>
      </c>
      <c r="F970" s="44">
        <f>IFERROR(__xludf.DUMMYFUNCTION("""COMPUTED_VALUE"""),0.0)</f>
        <v>0</v>
      </c>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t="b">
        <f>IFERROR(__xludf.DUMMYFUNCTION("""COMPUTED_VALUE"""),FALSE)</f>
        <v>0</v>
      </c>
      <c r="AI970" s="32"/>
      <c r="AJ970" s="32"/>
      <c r="AK970" s="32"/>
      <c r="AL970" s="32"/>
      <c r="AM970" s="32"/>
      <c r="AN970" s="32"/>
      <c r="AO970" s="32"/>
      <c r="AP970" s="32"/>
      <c r="AQ970" s="32"/>
      <c r="AR970" s="32"/>
      <c r="AS970" s="32"/>
      <c r="AT970" s="32"/>
      <c r="AU970" s="32"/>
      <c r="AV970" s="32"/>
      <c r="AW970" s="32"/>
      <c r="AX970" s="32"/>
    </row>
    <row r="971">
      <c r="A971" s="32"/>
      <c r="B971" s="32"/>
      <c r="C971" s="32"/>
      <c r="D971" s="32"/>
      <c r="E971" s="32">
        <f>IFERROR(__xludf.DUMMYFUNCTION("""COMPUTED_VALUE"""),1.0)</f>
        <v>1</v>
      </c>
      <c r="F971" s="44">
        <f>IFERROR(__xludf.DUMMYFUNCTION("""COMPUTED_VALUE"""),0.0)</f>
        <v>0</v>
      </c>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t="b">
        <f>IFERROR(__xludf.DUMMYFUNCTION("""COMPUTED_VALUE"""),FALSE)</f>
        <v>0</v>
      </c>
      <c r="AI971" s="32"/>
      <c r="AJ971" s="32"/>
      <c r="AK971" s="32"/>
      <c r="AL971" s="32"/>
      <c r="AM971" s="32"/>
      <c r="AN971" s="32"/>
      <c r="AO971" s="32"/>
      <c r="AP971" s="32"/>
      <c r="AQ971" s="32"/>
      <c r="AR971" s="32"/>
      <c r="AS971" s="32"/>
      <c r="AT971" s="32"/>
      <c r="AU971" s="32"/>
      <c r="AV971" s="32"/>
      <c r="AW971" s="32"/>
      <c r="AX971" s="32"/>
    </row>
    <row r="972">
      <c r="A972" s="32"/>
      <c r="B972" s="32"/>
      <c r="C972" s="32"/>
      <c r="D972" s="32"/>
      <c r="E972" s="32">
        <f>IFERROR(__xludf.DUMMYFUNCTION("""COMPUTED_VALUE"""),1.0)</f>
        <v>1</v>
      </c>
      <c r="F972" s="44">
        <f>IFERROR(__xludf.DUMMYFUNCTION("""COMPUTED_VALUE"""),0.0)</f>
        <v>0</v>
      </c>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t="b">
        <f>IFERROR(__xludf.DUMMYFUNCTION("""COMPUTED_VALUE"""),FALSE)</f>
        <v>0</v>
      </c>
      <c r="AI972" s="32"/>
      <c r="AJ972" s="32"/>
      <c r="AK972" s="32"/>
      <c r="AL972" s="32"/>
      <c r="AM972" s="32"/>
      <c r="AN972" s="32"/>
      <c r="AO972" s="32"/>
      <c r="AP972" s="32"/>
      <c r="AQ972" s="32"/>
      <c r="AR972" s="32"/>
      <c r="AS972" s="32"/>
      <c r="AT972" s="32"/>
      <c r="AU972" s="32"/>
      <c r="AV972" s="32"/>
      <c r="AW972" s="32"/>
      <c r="AX972" s="32"/>
    </row>
    <row r="973">
      <c r="A973" s="32"/>
      <c r="B973" s="32"/>
      <c r="C973" s="32"/>
      <c r="D973" s="32"/>
      <c r="E973" s="32">
        <f>IFERROR(__xludf.DUMMYFUNCTION("""COMPUTED_VALUE"""),1.0)</f>
        <v>1</v>
      </c>
      <c r="F973" s="44">
        <f>IFERROR(__xludf.DUMMYFUNCTION("""COMPUTED_VALUE"""),0.0)</f>
        <v>0</v>
      </c>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t="b">
        <f>IFERROR(__xludf.DUMMYFUNCTION("""COMPUTED_VALUE"""),FALSE)</f>
        <v>0</v>
      </c>
      <c r="AI973" s="32"/>
      <c r="AJ973" s="32"/>
      <c r="AK973" s="32"/>
      <c r="AL973" s="32"/>
      <c r="AM973" s="32"/>
      <c r="AN973" s="32"/>
      <c r="AO973" s="32"/>
      <c r="AP973" s="32"/>
      <c r="AQ973" s="32"/>
      <c r="AR973" s="32"/>
      <c r="AS973" s="32"/>
      <c r="AT973" s="32"/>
      <c r="AU973" s="32"/>
      <c r="AV973" s="32"/>
      <c r="AW973" s="32"/>
      <c r="AX973" s="32"/>
    </row>
    <row r="974">
      <c r="A974" s="32"/>
      <c r="B974" s="32"/>
      <c r="C974" s="32"/>
      <c r="D974" s="32"/>
      <c r="E974" s="32">
        <f>IFERROR(__xludf.DUMMYFUNCTION("""COMPUTED_VALUE"""),1.0)</f>
        <v>1</v>
      </c>
      <c r="F974" s="44">
        <f>IFERROR(__xludf.DUMMYFUNCTION("""COMPUTED_VALUE"""),0.0)</f>
        <v>0</v>
      </c>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t="b">
        <f>IFERROR(__xludf.DUMMYFUNCTION("""COMPUTED_VALUE"""),FALSE)</f>
        <v>0</v>
      </c>
      <c r="AI974" s="32"/>
      <c r="AJ974" s="32"/>
      <c r="AK974" s="32"/>
      <c r="AL974" s="32"/>
      <c r="AM974" s="32"/>
      <c r="AN974" s="32"/>
      <c r="AO974" s="32"/>
      <c r="AP974" s="32"/>
      <c r="AQ974" s="32"/>
      <c r="AR974" s="32"/>
      <c r="AS974" s="32"/>
      <c r="AT974" s="32"/>
      <c r="AU974" s="32"/>
      <c r="AV974" s="32"/>
      <c r="AW974" s="32"/>
      <c r="AX974" s="32"/>
    </row>
    <row r="975">
      <c r="A975" s="32"/>
      <c r="B975" s="32"/>
      <c r="C975" s="32"/>
      <c r="D975" s="32"/>
      <c r="E975" s="32">
        <f>IFERROR(__xludf.DUMMYFUNCTION("""COMPUTED_VALUE"""),1.0)</f>
        <v>1</v>
      </c>
      <c r="F975" s="44">
        <f>IFERROR(__xludf.DUMMYFUNCTION("""COMPUTED_VALUE"""),0.0)</f>
        <v>0</v>
      </c>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t="b">
        <f>IFERROR(__xludf.DUMMYFUNCTION("""COMPUTED_VALUE"""),FALSE)</f>
        <v>0</v>
      </c>
      <c r="AI975" s="32"/>
      <c r="AJ975" s="32"/>
      <c r="AK975" s="32"/>
      <c r="AL975" s="32"/>
      <c r="AM975" s="32"/>
      <c r="AN975" s="32"/>
      <c r="AO975" s="32"/>
      <c r="AP975" s="32"/>
      <c r="AQ975" s="32"/>
      <c r="AR975" s="32"/>
      <c r="AS975" s="32"/>
      <c r="AT975" s="32"/>
      <c r="AU975" s="32"/>
      <c r="AV975" s="32"/>
      <c r="AW975" s="32"/>
      <c r="AX975" s="32"/>
    </row>
    <row r="976">
      <c r="A976" s="32"/>
      <c r="B976" s="32"/>
      <c r="C976" s="32"/>
      <c r="D976" s="32"/>
      <c r="E976" s="32">
        <f>IFERROR(__xludf.DUMMYFUNCTION("""COMPUTED_VALUE"""),1.0)</f>
        <v>1</v>
      </c>
      <c r="F976" s="44">
        <f>IFERROR(__xludf.DUMMYFUNCTION("""COMPUTED_VALUE"""),0.0)</f>
        <v>0</v>
      </c>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t="b">
        <f>IFERROR(__xludf.DUMMYFUNCTION("""COMPUTED_VALUE"""),FALSE)</f>
        <v>0</v>
      </c>
      <c r="AI976" s="32"/>
      <c r="AJ976" s="32"/>
      <c r="AK976" s="32"/>
      <c r="AL976" s="32"/>
      <c r="AM976" s="32"/>
      <c r="AN976" s="32"/>
      <c r="AO976" s="32"/>
      <c r="AP976" s="32"/>
      <c r="AQ976" s="32"/>
      <c r="AR976" s="32"/>
      <c r="AS976" s="32"/>
      <c r="AT976" s="32"/>
      <c r="AU976" s="32"/>
      <c r="AV976" s="32"/>
      <c r="AW976" s="32"/>
      <c r="AX976" s="32"/>
    </row>
    <row r="977">
      <c r="A977" s="32"/>
      <c r="B977" s="32"/>
      <c r="C977" s="32"/>
      <c r="D977" s="32"/>
      <c r="E977" s="32">
        <f>IFERROR(__xludf.DUMMYFUNCTION("""COMPUTED_VALUE"""),1.0)</f>
        <v>1</v>
      </c>
      <c r="F977" s="44">
        <f>IFERROR(__xludf.DUMMYFUNCTION("""COMPUTED_VALUE"""),0.0)</f>
        <v>0</v>
      </c>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t="b">
        <f>IFERROR(__xludf.DUMMYFUNCTION("""COMPUTED_VALUE"""),FALSE)</f>
        <v>0</v>
      </c>
      <c r="AI977" s="32"/>
      <c r="AJ977" s="32"/>
      <c r="AK977" s="32"/>
      <c r="AL977" s="32"/>
      <c r="AM977" s="32"/>
      <c r="AN977" s="32"/>
      <c r="AO977" s="32"/>
      <c r="AP977" s="32"/>
      <c r="AQ977" s="32"/>
      <c r="AR977" s="32"/>
      <c r="AS977" s="32"/>
      <c r="AT977" s="32"/>
      <c r="AU977" s="32"/>
      <c r="AV977" s="32"/>
      <c r="AW977" s="32"/>
      <c r="AX977" s="32"/>
    </row>
    <row r="978">
      <c r="A978" s="32"/>
      <c r="B978" s="32"/>
      <c r="C978" s="32"/>
      <c r="D978" s="32"/>
      <c r="E978" s="32">
        <f>IFERROR(__xludf.DUMMYFUNCTION("""COMPUTED_VALUE"""),1.0)</f>
        <v>1</v>
      </c>
      <c r="F978" s="44">
        <f>IFERROR(__xludf.DUMMYFUNCTION("""COMPUTED_VALUE"""),0.0)</f>
        <v>0</v>
      </c>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t="b">
        <f>IFERROR(__xludf.DUMMYFUNCTION("""COMPUTED_VALUE"""),FALSE)</f>
        <v>0</v>
      </c>
      <c r="AI978" s="32"/>
      <c r="AJ978" s="32"/>
      <c r="AK978" s="32"/>
      <c r="AL978" s="32"/>
      <c r="AM978" s="32"/>
      <c r="AN978" s="32"/>
      <c r="AO978" s="32"/>
      <c r="AP978" s="32"/>
      <c r="AQ978" s="32"/>
      <c r="AR978" s="32"/>
      <c r="AS978" s="32"/>
      <c r="AT978" s="32"/>
      <c r="AU978" s="32"/>
      <c r="AV978" s="32"/>
      <c r="AW978" s="32"/>
      <c r="AX978" s="32"/>
    </row>
    <row r="979">
      <c r="A979" s="32"/>
      <c r="B979" s="32"/>
      <c r="C979" s="32"/>
      <c r="D979" s="32"/>
      <c r="E979" s="32">
        <f>IFERROR(__xludf.DUMMYFUNCTION("""COMPUTED_VALUE"""),1.0)</f>
        <v>1</v>
      </c>
      <c r="F979" s="44">
        <f>IFERROR(__xludf.DUMMYFUNCTION("""COMPUTED_VALUE"""),0.0)</f>
        <v>0</v>
      </c>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t="b">
        <f>IFERROR(__xludf.DUMMYFUNCTION("""COMPUTED_VALUE"""),FALSE)</f>
        <v>0</v>
      </c>
      <c r="AI979" s="32"/>
      <c r="AJ979" s="32"/>
      <c r="AK979" s="32"/>
      <c r="AL979" s="32"/>
      <c r="AM979" s="32"/>
      <c r="AN979" s="32"/>
      <c r="AO979" s="32"/>
      <c r="AP979" s="32"/>
      <c r="AQ979" s="32"/>
      <c r="AR979" s="32"/>
      <c r="AS979" s="32"/>
      <c r="AT979" s="32"/>
      <c r="AU979" s="32"/>
      <c r="AV979" s="32"/>
      <c r="AW979" s="32"/>
      <c r="AX979" s="32"/>
    </row>
    <row r="980">
      <c r="A980" s="32"/>
      <c r="B980" s="32"/>
      <c r="C980" s="32"/>
      <c r="D980" s="32"/>
      <c r="E980" s="32">
        <f>IFERROR(__xludf.DUMMYFUNCTION("""COMPUTED_VALUE"""),1.0)</f>
        <v>1</v>
      </c>
      <c r="F980" s="44">
        <f>IFERROR(__xludf.DUMMYFUNCTION("""COMPUTED_VALUE"""),0.0)</f>
        <v>0</v>
      </c>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t="b">
        <f>IFERROR(__xludf.DUMMYFUNCTION("""COMPUTED_VALUE"""),FALSE)</f>
        <v>0</v>
      </c>
      <c r="AI980" s="32"/>
      <c r="AJ980" s="32"/>
      <c r="AK980" s="32"/>
      <c r="AL980" s="32"/>
      <c r="AM980" s="32"/>
      <c r="AN980" s="32"/>
      <c r="AO980" s="32"/>
      <c r="AP980" s="32"/>
      <c r="AQ980" s="32"/>
      <c r="AR980" s="32"/>
      <c r="AS980" s="32"/>
      <c r="AT980" s="32"/>
      <c r="AU980" s="32"/>
      <c r="AV980" s="32"/>
      <c r="AW980" s="32"/>
      <c r="AX980" s="32"/>
    </row>
    <row r="981">
      <c r="A981" s="32"/>
      <c r="B981" s="32"/>
      <c r="C981" s="32"/>
      <c r="D981" s="32"/>
      <c r="E981" s="32">
        <f>IFERROR(__xludf.DUMMYFUNCTION("""COMPUTED_VALUE"""),1.0)</f>
        <v>1</v>
      </c>
      <c r="F981" s="44">
        <f>IFERROR(__xludf.DUMMYFUNCTION("""COMPUTED_VALUE"""),0.0)</f>
        <v>0</v>
      </c>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t="b">
        <f>IFERROR(__xludf.DUMMYFUNCTION("""COMPUTED_VALUE"""),FALSE)</f>
        <v>0</v>
      </c>
      <c r="AI981" s="32"/>
      <c r="AJ981" s="32"/>
      <c r="AK981" s="32"/>
      <c r="AL981" s="32"/>
      <c r="AM981" s="32"/>
      <c r="AN981" s="32"/>
      <c r="AO981" s="32"/>
      <c r="AP981" s="32"/>
      <c r="AQ981" s="32"/>
      <c r="AR981" s="32"/>
      <c r="AS981" s="32"/>
      <c r="AT981" s="32"/>
      <c r="AU981" s="32"/>
      <c r="AV981" s="32"/>
      <c r="AW981" s="32"/>
      <c r="AX981" s="32"/>
    </row>
    <row r="982">
      <c r="A982" s="32"/>
      <c r="B982" s="32"/>
      <c r="C982" s="32"/>
      <c r="D982" s="32"/>
      <c r="E982" s="32">
        <f>IFERROR(__xludf.DUMMYFUNCTION("""COMPUTED_VALUE"""),1.0)</f>
        <v>1</v>
      </c>
      <c r="F982" s="44">
        <f>IFERROR(__xludf.DUMMYFUNCTION("""COMPUTED_VALUE"""),0.0)</f>
        <v>0</v>
      </c>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t="b">
        <f>IFERROR(__xludf.DUMMYFUNCTION("""COMPUTED_VALUE"""),FALSE)</f>
        <v>0</v>
      </c>
      <c r="AI982" s="32"/>
      <c r="AJ982" s="32"/>
      <c r="AK982" s="32"/>
      <c r="AL982" s="32"/>
      <c r="AM982" s="32"/>
      <c r="AN982" s="32"/>
      <c r="AO982" s="32"/>
      <c r="AP982" s="32"/>
      <c r="AQ982" s="32"/>
      <c r="AR982" s="32"/>
      <c r="AS982" s="32"/>
      <c r="AT982" s="32"/>
      <c r="AU982" s="32"/>
      <c r="AV982" s="32"/>
      <c r="AW982" s="32"/>
      <c r="AX982" s="32"/>
    </row>
    <row r="983">
      <c r="A983" s="32"/>
      <c r="B983" s="32"/>
      <c r="C983" s="32"/>
      <c r="D983" s="32"/>
      <c r="E983" s="32">
        <f>IFERROR(__xludf.DUMMYFUNCTION("""COMPUTED_VALUE"""),1.0)</f>
        <v>1</v>
      </c>
      <c r="F983" s="44">
        <f>IFERROR(__xludf.DUMMYFUNCTION("""COMPUTED_VALUE"""),0.0)</f>
        <v>0</v>
      </c>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t="b">
        <f>IFERROR(__xludf.DUMMYFUNCTION("""COMPUTED_VALUE"""),FALSE)</f>
        <v>0</v>
      </c>
      <c r="AI983" s="32"/>
      <c r="AJ983" s="32"/>
      <c r="AK983" s="32"/>
      <c r="AL983" s="32"/>
      <c r="AM983" s="32"/>
      <c r="AN983" s="32"/>
      <c r="AO983" s="32"/>
      <c r="AP983" s="32"/>
      <c r="AQ983" s="32"/>
      <c r="AR983" s="32"/>
      <c r="AS983" s="32"/>
      <c r="AT983" s="32"/>
      <c r="AU983" s="32"/>
      <c r="AV983" s="32"/>
      <c r="AW983" s="32"/>
      <c r="AX983" s="32"/>
    </row>
    <row r="984">
      <c r="A984" s="32"/>
      <c r="B984" s="32"/>
      <c r="C984" s="32"/>
      <c r="D984" s="32"/>
      <c r="E984" s="32">
        <f>IFERROR(__xludf.DUMMYFUNCTION("""COMPUTED_VALUE"""),1.0)</f>
        <v>1</v>
      </c>
      <c r="F984" s="44">
        <f>IFERROR(__xludf.DUMMYFUNCTION("""COMPUTED_VALUE"""),0.0)</f>
        <v>0</v>
      </c>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t="b">
        <f>IFERROR(__xludf.DUMMYFUNCTION("""COMPUTED_VALUE"""),FALSE)</f>
        <v>0</v>
      </c>
      <c r="AI984" s="32"/>
      <c r="AJ984" s="32"/>
      <c r="AK984" s="32"/>
      <c r="AL984" s="32"/>
      <c r="AM984" s="32"/>
      <c r="AN984" s="32"/>
      <c r="AO984" s="32"/>
      <c r="AP984" s="32"/>
      <c r="AQ984" s="32"/>
      <c r="AR984" s="32"/>
      <c r="AS984" s="32"/>
      <c r="AT984" s="32"/>
      <c r="AU984" s="32"/>
      <c r="AV984" s="32"/>
      <c r="AW984" s="32"/>
      <c r="AX984" s="32"/>
    </row>
    <row r="985">
      <c r="A985" s="32"/>
      <c r="B985" s="32"/>
      <c r="C985" s="32"/>
      <c r="D985" s="32"/>
      <c r="E985" s="32">
        <f>IFERROR(__xludf.DUMMYFUNCTION("""COMPUTED_VALUE"""),1.0)</f>
        <v>1</v>
      </c>
      <c r="F985" s="44">
        <f>IFERROR(__xludf.DUMMYFUNCTION("""COMPUTED_VALUE"""),0.0)</f>
        <v>0</v>
      </c>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t="b">
        <f>IFERROR(__xludf.DUMMYFUNCTION("""COMPUTED_VALUE"""),FALSE)</f>
        <v>0</v>
      </c>
      <c r="AI985" s="32"/>
      <c r="AJ985" s="32"/>
      <c r="AK985" s="32"/>
      <c r="AL985" s="32"/>
      <c r="AM985" s="32"/>
      <c r="AN985" s="32"/>
      <c r="AO985" s="32"/>
      <c r="AP985" s="32"/>
      <c r="AQ985" s="32"/>
      <c r="AR985" s="32"/>
      <c r="AS985" s="32"/>
      <c r="AT985" s="32"/>
      <c r="AU985" s="32"/>
      <c r="AV985" s="32"/>
      <c r="AW985" s="32"/>
      <c r="AX985" s="32"/>
    </row>
    <row r="986">
      <c r="A986" s="32"/>
      <c r="B986" s="32"/>
      <c r="C986" s="32"/>
      <c r="D986" s="32"/>
      <c r="E986" s="32">
        <f>IFERROR(__xludf.DUMMYFUNCTION("""COMPUTED_VALUE"""),1.0)</f>
        <v>1</v>
      </c>
      <c r="F986" s="44">
        <f>IFERROR(__xludf.DUMMYFUNCTION("""COMPUTED_VALUE"""),0.0)</f>
        <v>0</v>
      </c>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t="b">
        <f>IFERROR(__xludf.DUMMYFUNCTION("""COMPUTED_VALUE"""),FALSE)</f>
        <v>0</v>
      </c>
      <c r="AI986" s="32"/>
      <c r="AJ986" s="32"/>
      <c r="AK986" s="32"/>
      <c r="AL986" s="32"/>
      <c r="AM986" s="32"/>
      <c r="AN986" s="32"/>
      <c r="AO986" s="32"/>
      <c r="AP986" s="32"/>
      <c r="AQ986" s="32"/>
      <c r="AR986" s="32"/>
      <c r="AS986" s="32"/>
      <c r="AT986" s="32"/>
      <c r="AU986" s="32"/>
      <c r="AV986" s="32"/>
      <c r="AW986" s="32"/>
      <c r="AX986" s="32"/>
    </row>
    <row r="987">
      <c r="A987" s="32"/>
      <c r="B987" s="32"/>
      <c r="C987" s="32"/>
      <c r="D987" s="32"/>
      <c r="E987" s="32">
        <f>IFERROR(__xludf.DUMMYFUNCTION("""COMPUTED_VALUE"""),1.0)</f>
        <v>1</v>
      </c>
      <c r="F987" s="44">
        <f>IFERROR(__xludf.DUMMYFUNCTION("""COMPUTED_VALUE"""),0.0)</f>
        <v>0</v>
      </c>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t="b">
        <f>IFERROR(__xludf.DUMMYFUNCTION("""COMPUTED_VALUE"""),FALSE)</f>
        <v>0</v>
      </c>
      <c r="AI987" s="32"/>
      <c r="AJ987" s="32"/>
      <c r="AK987" s="32"/>
      <c r="AL987" s="32"/>
      <c r="AM987" s="32"/>
      <c r="AN987" s="32"/>
      <c r="AO987" s="32"/>
      <c r="AP987" s="32"/>
      <c r="AQ987" s="32"/>
      <c r="AR987" s="32"/>
      <c r="AS987" s="32"/>
      <c r="AT987" s="32"/>
      <c r="AU987" s="32"/>
      <c r="AV987" s="32"/>
      <c r="AW987" s="32"/>
      <c r="AX987" s="32"/>
    </row>
    <row r="988">
      <c r="A988" s="32"/>
      <c r="B988" s="32"/>
      <c r="C988" s="32"/>
      <c r="D988" s="32"/>
      <c r="E988" s="32">
        <f>IFERROR(__xludf.DUMMYFUNCTION("""COMPUTED_VALUE"""),1.0)</f>
        <v>1</v>
      </c>
      <c r="F988" s="44">
        <f>IFERROR(__xludf.DUMMYFUNCTION("""COMPUTED_VALUE"""),0.0)</f>
        <v>0</v>
      </c>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t="b">
        <f>IFERROR(__xludf.DUMMYFUNCTION("""COMPUTED_VALUE"""),FALSE)</f>
        <v>0</v>
      </c>
      <c r="AI988" s="32"/>
      <c r="AJ988" s="32"/>
      <c r="AK988" s="32"/>
      <c r="AL988" s="32"/>
      <c r="AM988" s="32"/>
      <c r="AN988" s="32"/>
      <c r="AO988" s="32"/>
      <c r="AP988" s="32"/>
      <c r="AQ988" s="32"/>
      <c r="AR988" s="32"/>
      <c r="AS988" s="32"/>
      <c r="AT988" s="32"/>
      <c r="AU988" s="32"/>
      <c r="AV988" s="32"/>
      <c r="AW988" s="32"/>
      <c r="AX988" s="32"/>
    </row>
    <row r="989">
      <c r="A989" s="32"/>
      <c r="B989" s="32"/>
      <c r="C989" s="32"/>
      <c r="D989" s="32"/>
      <c r="E989" s="32">
        <f>IFERROR(__xludf.DUMMYFUNCTION("""COMPUTED_VALUE"""),1.0)</f>
        <v>1</v>
      </c>
      <c r="F989" s="44">
        <f>IFERROR(__xludf.DUMMYFUNCTION("""COMPUTED_VALUE"""),0.0)</f>
        <v>0</v>
      </c>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t="b">
        <f>IFERROR(__xludf.DUMMYFUNCTION("""COMPUTED_VALUE"""),FALSE)</f>
        <v>0</v>
      </c>
      <c r="AI989" s="32"/>
      <c r="AJ989" s="32"/>
      <c r="AK989" s="32"/>
      <c r="AL989" s="32"/>
      <c r="AM989" s="32"/>
      <c r="AN989" s="32"/>
      <c r="AO989" s="32"/>
      <c r="AP989" s="32"/>
      <c r="AQ989" s="32"/>
      <c r="AR989" s="32"/>
      <c r="AS989" s="32"/>
      <c r="AT989" s="32"/>
      <c r="AU989" s="32"/>
      <c r="AV989" s="32"/>
      <c r="AW989" s="32"/>
      <c r="AX989" s="32"/>
    </row>
    <row r="990">
      <c r="A990" s="32"/>
      <c r="B990" s="32"/>
      <c r="C990" s="32"/>
      <c r="D990" s="32"/>
      <c r="E990" s="32">
        <f>IFERROR(__xludf.DUMMYFUNCTION("""COMPUTED_VALUE"""),1.0)</f>
        <v>1</v>
      </c>
      <c r="F990" s="44">
        <f>IFERROR(__xludf.DUMMYFUNCTION("""COMPUTED_VALUE"""),0.0)</f>
        <v>0</v>
      </c>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t="b">
        <f>IFERROR(__xludf.DUMMYFUNCTION("""COMPUTED_VALUE"""),FALSE)</f>
        <v>0</v>
      </c>
      <c r="AI990" s="32"/>
      <c r="AJ990" s="32"/>
      <c r="AK990" s="32"/>
      <c r="AL990" s="32"/>
      <c r="AM990" s="32"/>
      <c r="AN990" s="32"/>
      <c r="AO990" s="32"/>
      <c r="AP990" s="32"/>
      <c r="AQ990" s="32"/>
      <c r="AR990" s="32"/>
      <c r="AS990" s="32"/>
      <c r="AT990" s="32"/>
      <c r="AU990" s="32"/>
      <c r="AV990" s="32"/>
      <c r="AW990" s="32"/>
      <c r="AX990" s="32"/>
    </row>
    <row r="991">
      <c r="A991" s="32"/>
      <c r="B991" s="32"/>
      <c r="C991" s="32"/>
      <c r="D991" s="32"/>
      <c r="E991" s="32">
        <f>IFERROR(__xludf.DUMMYFUNCTION("""COMPUTED_VALUE"""),1.0)</f>
        <v>1</v>
      </c>
      <c r="F991" s="44">
        <f>IFERROR(__xludf.DUMMYFUNCTION("""COMPUTED_VALUE"""),0.0)</f>
        <v>0</v>
      </c>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t="b">
        <f>IFERROR(__xludf.DUMMYFUNCTION("""COMPUTED_VALUE"""),FALSE)</f>
        <v>0</v>
      </c>
      <c r="AI991" s="32"/>
      <c r="AJ991" s="32"/>
      <c r="AK991" s="32"/>
      <c r="AL991" s="32"/>
      <c r="AM991" s="32"/>
      <c r="AN991" s="32"/>
      <c r="AO991" s="32"/>
      <c r="AP991" s="32"/>
      <c r="AQ991" s="32"/>
      <c r="AR991" s="32"/>
      <c r="AS991" s="32"/>
      <c r="AT991" s="32"/>
      <c r="AU991" s="32"/>
      <c r="AV991" s="32"/>
      <c r="AW991" s="32"/>
      <c r="AX991" s="32"/>
    </row>
    <row r="992">
      <c r="A992" s="32"/>
      <c r="B992" s="32"/>
      <c r="C992" s="32"/>
      <c r="D992" s="32"/>
      <c r="E992" s="32">
        <f>IFERROR(__xludf.DUMMYFUNCTION("""COMPUTED_VALUE"""),1.0)</f>
        <v>1</v>
      </c>
      <c r="F992" s="44">
        <f>IFERROR(__xludf.DUMMYFUNCTION("""COMPUTED_VALUE"""),0.0)</f>
        <v>0</v>
      </c>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t="b">
        <f>IFERROR(__xludf.DUMMYFUNCTION("""COMPUTED_VALUE"""),FALSE)</f>
        <v>0</v>
      </c>
      <c r="AI992" s="32"/>
      <c r="AJ992" s="32"/>
      <c r="AK992" s="32"/>
      <c r="AL992" s="32"/>
      <c r="AM992" s="32"/>
      <c r="AN992" s="32"/>
      <c r="AO992" s="32"/>
      <c r="AP992" s="32"/>
      <c r="AQ992" s="32"/>
      <c r="AR992" s="32"/>
      <c r="AS992" s="32"/>
      <c r="AT992" s="32"/>
      <c r="AU992" s="32"/>
      <c r="AV992" s="32"/>
      <c r="AW992" s="32"/>
      <c r="AX992" s="32"/>
    </row>
    <row r="993">
      <c r="A993" s="32"/>
      <c r="B993" s="32"/>
      <c r="C993" s="32"/>
      <c r="D993" s="32"/>
      <c r="E993" s="32">
        <f>IFERROR(__xludf.DUMMYFUNCTION("""COMPUTED_VALUE"""),1.0)</f>
        <v>1</v>
      </c>
      <c r="F993" s="44">
        <f>IFERROR(__xludf.DUMMYFUNCTION("""COMPUTED_VALUE"""),0.0)</f>
        <v>0</v>
      </c>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t="b">
        <f>IFERROR(__xludf.DUMMYFUNCTION("""COMPUTED_VALUE"""),FALSE)</f>
        <v>0</v>
      </c>
      <c r="AI993" s="32"/>
      <c r="AJ993" s="32"/>
      <c r="AK993" s="32"/>
      <c r="AL993" s="32"/>
      <c r="AM993" s="32"/>
      <c r="AN993" s="32"/>
      <c r="AO993" s="32"/>
      <c r="AP993" s="32"/>
      <c r="AQ993" s="32"/>
      <c r="AR993" s="32"/>
      <c r="AS993" s="32"/>
      <c r="AT993" s="32"/>
      <c r="AU993" s="32"/>
      <c r="AV993" s="32"/>
      <c r="AW993" s="32"/>
      <c r="AX993" s="32"/>
    </row>
    <row r="994">
      <c r="A994" s="32"/>
      <c r="B994" s="32"/>
      <c r="C994" s="32"/>
      <c r="D994" s="32"/>
      <c r="E994" s="32">
        <f>IFERROR(__xludf.DUMMYFUNCTION("""COMPUTED_VALUE"""),1.0)</f>
        <v>1</v>
      </c>
      <c r="F994" s="44">
        <f>IFERROR(__xludf.DUMMYFUNCTION("""COMPUTED_VALUE"""),0.0)</f>
        <v>0</v>
      </c>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t="b">
        <f>IFERROR(__xludf.DUMMYFUNCTION("""COMPUTED_VALUE"""),FALSE)</f>
        <v>0</v>
      </c>
      <c r="AI994" s="32"/>
      <c r="AJ994" s="32"/>
      <c r="AK994" s="32"/>
      <c r="AL994" s="32"/>
      <c r="AM994" s="32"/>
      <c r="AN994" s="32"/>
      <c r="AO994" s="32"/>
      <c r="AP994" s="32"/>
      <c r="AQ994" s="32"/>
      <c r="AR994" s="32"/>
      <c r="AS994" s="32"/>
      <c r="AT994" s="32"/>
      <c r="AU994" s="32"/>
      <c r="AV994" s="32"/>
      <c r="AW994" s="32"/>
      <c r="AX994" s="32"/>
    </row>
    <row r="995">
      <c r="A995" s="32"/>
      <c r="B995" s="32"/>
      <c r="C995" s="32"/>
      <c r="D995" s="32"/>
      <c r="E995" s="32">
        <f>IFERROR(__xludf.DUMMYFUNCTION("""COMPUTED_VALUE"""),1.0)</f>
        <v>1</v>
      </c>
      <c r="F995" s="44">
        <f>IFERROR(__xludf.DUMMYFUNCTION("""COMPUTED_VALUE"""),0.0)</f>
        <v>0</v>
      </c>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t="b">
        <f>IFERROR(__xludf.DUMMYFUNCTION("""COMPUTED_VALUE"""),FALSE)</f>
        <v>0</v>
      </c>
      <c r="AI995" s="32"/>
      <c r="AJ995" s="32"/>
      <c r="AK995" s="32"/>
      <c r="AL995" s="32"/>
      <c r="AM995" s="32"/>
      <c r="AN995" s="32"/>
      <c r="AO995" s="32"/>
      <c r="AP995" s="32"/>
      <c r="AQ995" s="32"/>
      <c r="AR995" s="32"/>
      <c r="AS995" s="32"/>
      <c r="AT995" s="32"/>
      <c r="AU995" s="32"/>
      <c r="AV995" s="32"/>
      <c r="AW995" s="32"/>
      <c r="AX995" s="32"/>
    </row>
    <row r="996">
      <c r="A996" s="32"/>
      <c r="B996" s="32"/>
      <c r="C996" s="32"/>
      <c r="D996" s="32"/>
      <c r="E996" s="32">
        <f>IFERROR(__xludf.DUMMYFUNCTION("""COMPUTED_VALUE"""),1.0)</f>
        <v>1</v>
      </c>
      <c r="F996" s="44">
        <f>IFERROR(__xludf.DUMMYFUNCTION("""COMPUTED_VALUE"""),0.0)</f>
        <v>0</v>
      </c>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t="b">
        <f>IFERROR(__xludf.DUMMYFUNCTION("""COMPUTED_VALUE"""),FALSE)</f>
        <v>0</v>
      </c>
      <c r="AI996" s="32"/>
      <c r="AJ996" s="32"/>
      <c r="AK996" s="32"/>
      <c r="AL996" s="32"/>
      <c r="AM996" s="32"/>
      <c r="AN996" s="32"/>
      <c r="AO996" s="32"/>
      <c r="AP996" s="32"/>
      <c r="AQ996" s="32"/>
      <c r="AR996" s="32"/>
      <c r="AS996" s="32"/>
      <c r="AT996" s="32"/>
      <c r="AU996" s="32"/>
      <c r="AV996" s="32"/>
      <c r="AW996" s="32"/>
      <c r="AX996" s="32"/>
    </row>
    <row r="997">
      <c r="A997" s="32"/>
      <c r="B997" s="32"/>
      <c r="C997" s="32"/>
      <c r="D997" s="32"/>
      <c r="E997" s="32">
        <f>IFERROR(__xludf.DUMMYFUNCTION("""COMPUTED_VALUE"""),1.0)</f>
        <v>1</v>
      </c>
      <c r="F997" s="44">
        <f>IFERROR(__xludf.DUMMYFUNCTION("""COMPUTED_VALUE"""),0.0)</f>
        <v>0</v>
      </c>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t="b">
        <f>IFERROR(__xludf.DUMMYFUNCTION("""COMPUTED_VALUE"""),FALSE)</f>
        <v>0</v>
      </c>
      <c r="AI997" s="32"/>
      <c r="AJ997" s="32"/>
      <c r="AK997" s="32"/>
      <c r="AL997" s="32"/>
      <c r="AM997" s="32"/>
      <c r="AN997" s="32"/>
      <c r="AO997" s="32"/>
      <c r="AP997" s="32"/>
      <c r="AQ997" s="32"/>
      <c r="AR997" s="32"/>
      <c r="AS997" s="32"/>
      <c r="AT997" s="32"/>
      <c r="AU997" s="32"/>
      <c r="AV997" s="32"/>
      <c r="AW997" s="32"/>
      <c r="AX997" s="32"/>
    </row>
    <row r="998">
      <c r="A998" s="32"/>
      <c r="B998" s="32"/>
      <c r="C998" s="32"/>
      <c r="D998" s="32"/>
      <c r="E998" s="32">
        <f>IFERROR(__xludf.DUMMYFUNCTION("""COMPUTED_VALUE"""),1.0)</f>
        <v>1</v>
      </c>
      <c r="F998" s="44">
        <f>IFERROR(__xludf.DUMMYFUNCTION("""COMPUTED_VALUE"""),0.0)</f>
        <v>0</v>
      </c>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t="b">
        <f>IFERROR(__xludf.DUMMYFUNCTION("""COMPUTED_VALUE"""),FALSE)</f>
        <v>0</v>
      </c>
      <c r="AI998" s="32"/>
      <c r="AJ998" s="32"/>
      <c r="AK998" s="32"/>
      <c r="AL998" s="32"/>
      <c r="AM998" s="32"/>
      <c r="AN998" s="32"/>
      <c r="AO998" s="32"/>
      <c r="AP998" s="32"/>
      <c r="AQ998" s="32"/>
      <c r="AR998" s="32"/>
      <c r="AS998" s="32"/>
      <c r="AT998" s="32"/>
      <c r="AU998" s="32"/>
      <c r="AV998" s="32"/>
      <c r="AW998" s="32"/>
      <c r="AX998" s="32"/>
    </row>
    <row r="999">
      <c r="A999" s="32"/>
      <c r="B999" s="32"/>
      <c r="C999" s="32"/>
      <c r="D999" s="32"/>
      <c r="E999" s="32">
        <f>IFERROR(__xludf.DUMMYFUNCTION("""COMPUTED_VALUE"""),1.0)</f>
        <v>1</v>
      </c>
      <c r="F999" s="44">
        <f>IFERROR(__xludf.DUMMYFUNCTION("""COMPUTED_VALUE"""),0.0)</f>
        <v>0</v>
      </c>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t="b">
        <f>IFERROR(__xludf.DUMMYFUNCTION("""COMPUTED_VALUE"""),FALSE)</f>
        <v>0</v>
      </c>
      <c r="AI999" s="32"/>
      <c r="AJ999" s="32"/>
      <c r="AK999" s="32"/>
      <c r="AL999" s="32"/>
      <c r="AM999" s="32"/>
      <c r="AN999" s="32"/>
      <c r="AO999" s="32"/>
      <c r="AP999" s="32"/>
      <c r="AQ999" s="32"/>
      <c r="AR999" s="32"/>
      <c r="AS999" s="32"/>
      <c r="AT999" s="32"/>
      <c r="AU999" s="32"/>
      <c r="AV999" s="32"/>
      <c r="AW999" s="32"/>
      <c r="AX999" s="32"/>
    </row>
    <row r="1000">
      <c r="A1000" s="32"/>
      <c r="B1000" s="32"/>
      <c r="C1000" s="32"/>
      <c r="D1000" s="32"/>
      <c r="E1000" s="32">
        <f>IFERROR(__xludf.DUMMYFUNCTION("""COMPUTED_VALUE"""),1.0)</f>
        <v>1</v>
      </c>
      <c r="F1000" s="44">
        <f>IFERROR(__xludf.DUMMYFUNCTION("""COMPUTED_VALUE"""),0.0)</f>
        <v>0</v>
      </c>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t="b">
        <f>IFERROR(__xludf.DUMMYFUNCTION("""COMPUTED_VALUE"""),FALSE)</f>
        <v>0</v>
      </c>
      <c r="AI1000" s="32"/>
      <c r="AJ1000" s="32"/>
      <c r="AK1000" s="32"/>
      <c r="AL1000" s="32"/>
      <c r="AM1000" s="32"/>
      <c r="AN1000" s="32"/>
      <c r="AO1000" s="32"/>
      <c r="AP1000" s="32"/>
      <c r="AQ1000" s="32"/>
      <c r="AR1000" s="32"/>
      <c r="AS1000" s="32"/>
      <c r="AT1000" s="32"/>
      <c r="AU1000" s="32"/>
      <c r="AV1000" s="32"/>
      <c r="AW1000" s="32"/>
      <c r="AX1000" s="32"/>
    </row>
    <row r="1001">
      <c r="A1001" s="32"/>
      <c r="B1001" s="32"/>
      <c r="C1001" s="32"/>
      <c r="D1001" s="32"/>
      <c r="E1001" s="32">
        <f>IFERROR(__xludf.DUMMYFUNCTION("""COMPUTED_VALUE"""),1.0)</f>
        <v>1</v>
      </c>
      <c r="F1001" s="44">
        <f>IFERROR(__xludf.DUMMYFUNCTION("""COMPUTED_VALUE"""),0.0)</f>
        <v>0</v>
      </c>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t="b">
        <f>IFERROR(__xludf.DUMMYFUNCTION("""COMPUTED_VALUE"""),FALSE)</f>
        <v>0</v>
      </c>
      <c r="AI1001" s="32"/>
      <c r="AJ1001" s="32"/>
      <c r="AK1001" s="32"/>
      <c r="AL1001" s="32"/>
      <c r="AM1001" s="32"/>
      <c r="AN1001" s="32"/>
      <c r="AO1001" s="32"/>
      <c r="AP1001" s="32"/>
      <c r="AQ1001" s="32"/>
      <c r="AR1001" s="32"/>
      <c r="AS1001" s="32"/>
      <c r="AT1001" s="32"/>
      <c r="AU1001" s="32"/>
      <c r="AV1001" s="32"/>
      <c r="AW1001" s="32"/>
      <c r="AX1001" s="32"/>
    </row>
    <row r="1002">
      <c r="A1002" s="32"/>
      <c r="B1002" s="32"/>
      <c r="C1002" s="32"/>
      <c r="D1002" s="32"/>
      <c r="E1002" s="32">
        <f>IFERROR(__xludf.DUMMYFUNCTION("""COMPUTED_VALUE"""),1.0)</f>
        <v>1</v>
      </c>
      <c r="F1002" s="44">
        <f>IFERROR(__xludf.DUMMYFUNCTION("""COMPUTED_VALUE"""),0.0)</f>
        <v>0</v>
      </c>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c r="AC1002" s="32"/>
      <c r="AD1002" s="32"/>
      <c r="AE1002" s="32"/>
      <c r="AF1002" s="32"/>
      <c r="AG1002" s="32"/>
      <c r="AH1002" s="32" t="b">
        <f>IFERROR(__xludf.DUMMYFUNCTION("""COMPUTED_VALUE"""),FALSE)</f>
        <v>0</v>
      </c>
      <c r="AI1002" s="32"/>
      <c r="AJ1002" s="32"/>
      <c r="AK1002" s="32"/>
      <c r="AL1002" s="32"/>
      <c r="AM1002" s="32"/>
      <c r="AN1002" s="32"/>
      <c r="AO1002" s="32"/>
      <c r="AP1002" s="32"/>
      <c r="AQ1002" s="32"/>
      <c r="AR1002" s="32"/>
      <c r="AS1002" s="32"/>
      <c r="AT1002" s="32"/>
      <c r="AU1002" s="32"/>
      <c r="AV1002" s="32"/>
      <c r="AW1002" s="32"/>
      <c r="AX1002" s="32"/>
    </row>
    <row r="1003">
      <c r="A1003" s="32"/>
      <c r="B1003" s="32"/>
      <c r="C1003" s="32"/>
      <c r="D1003" s="32"/>
      <c r="E1003" s="32">
        <f>IFERROR(__xludf.DUMMYFUNCTION("""COMPUTED_VALUE"""),1.0)</f>
        <v>1</v>
      </c>
      <c r="F1003" s="44">
        <f>IFERROR(__xludf.DUMMYFUNCTION("""COMPUTED_VALUE"""),0.0)</f>
        <v>0</v>
      </c>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c r="AD1003" s="32"/>
      <c r="AE1003" s="32"/>
      <c r="AF1003" s="32"/>
      <c r="AG1003" s="32"/>
      <c r="AH1003" s="32" t="b">
        <f>IFERROR(__xludf.DUMMYFUNCTION("""COMPUTED_VALUE"""),FALSE)</f>
        <v>0</v>
      </c>
      <c r="AI1003" s="32"/>
      <c r="AJ1003" s="32"/>
      <c r="AK1003" s="32"/>
      <c r="AL1003" s="32"/>
      <c r="AM1003" s="32"/>
      <c r="AN1003" s="32"/>
      <c r="AO1003" s="32"/>
      <c r="AP1003" s="32"/>
      <c r="AQ1003" s="32"/>
      <c r="AR1003" s="32"/>
      <c r="AS1003" s="32"/>
      <c r="AT1003" s="32"/>
      <c r="AU1003" s="32"/>
      <c r="AV1003" s="32"/>
      <c r="AW1003" s="32"/>
      <c r="AX1003" s="32"/>
    </row>
    <row r="1004">
      <c r="A1004" s="32"/>
      <c r="B1004" s="32"/>
      <c r="C1004" s="32"/>
      <c r="D1004" s="32"/>
      <c r="E1004" s="32">
        <f>IFERROR(__xludf.DUMMYFUNCTION("""COMPUTED_VALUE"""),1.0)</f>
        <v>1</v>
      </c>
      <c r="F1004" s="44">
        <f>IFERROR(__xludf.DUMMYFUNCTION("""COMPUTED_VALUE"""),0.0)</f>
        <v>0</v>
      </c>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32"/>
      <c r="AC1004" s="32"/>
      <c r="AD1004" s="32"/>
      <c r="AE1004" s="32"/>
      <c r="AF1004" s="32"/>
      <c r="AG1004" s="32"/>
      <c r="AH1004" s="32" t="b">
        <f>IFERROR(__xludf.DUMMYFUNCTION("""COMPUTED_VALUE"""),FALSE)</f>
        <v>0</v>
      </c>
      <c r="AI1004" s="32"/>
      <c r="AJ1004" s="32"/>
      <c r="AK1004" s="32"/>
      <c r="AL1004" s="32"/>
      <c r="AM1004" s="32"/>
      <c r="AN1004" s="32"/>
      <c r="AO1004" s="32"/>
      <c r="AP1004" s="32"/>
      <c r="AQ1004" s="32"/>
      <c r="AR1004" s="32"/>
      <c r="AS1004" s="32"/>
      <c r="AT1004" s="32"/>
      <c r="AU1004" s="32"/>
      <c r="AV1004" s="32"/>
      <c r="AW1004" s="32"/>
      <c r="AX1004" s="32"/>
    </row>
    <row r="1005">
      <c r="A1005" s="32"/>
      <c r="B1005" s="32"/>
      <c r="C1005" s="32"/>
      <c r="D1005" s="32"/>
      <c r="E1005" s="32">
        <f>IFERROR(__xludf.DUMMYFUNCTION("""COMPUTED_VALUE"""),1.0)</f>
        <v>1</v>
      </c>
      <c r="F1005" s="44">
        <f>IFERROR(__xludf.DUMMYFUNCTION("""COMPUTED_VALUE"""),0.0)</f>
        <v>0</v>
      </c>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c r="AD1005" s="32"/>
      <c r="AE1005" s="32"/>
      <c r="AF1005" s="32"/>
      <c r="AG1005" s="32"/>
      <c r="AH1005" s="32" t="b">
        <f>IFERROR(__xludf.DUMMYFUNCTION("""COMPUTED_VALUE"""),FALSE)</f>
        <v>0</v>
      </c>
      <c r="AI1005" s="32"/>
      <c r="AJ1005" s="32"/>
      <c r="AK1005" s="32"/>
      <c r="AL1005" s="32"/>
      <c r="AM1005" s="32"/>
      <c r="AN1005" s="32"/>
      <c r="AO1005" s="32"/>
      <c r="AP1005" s="32"/>
      <c r="AQ1005" s="32"/>
      <c r="AR1005" s="32"/>
      <c r="AS1005" s="32"/>
      <c r="AT1005" s="32"/>
      <c r="AU1005" s="32"/>
      <c r="AV1005" s="32"/>
      <c r="AW1005" s="32"/>
      <c r="AX1005" s="32"/>
    </row>
    <row r="1006">
      <c r="A1006" s="32"/>
      <c r="B1006" s="32"/>
      <c r="C1006" s="32"/>
      <c r="D1006" s="32"/>
      <c r="E1006" s="32">
        <f>IFERROR(__xludf.DUMMYFUNCTION("""COMPUTED_VALUE"""),1.0)</f>
        <v>1</v>
      </c>
      <c r="F1006" s="44">
        <f>IFERROR(__xludf.DUMMYFUNCTION("""COMPUTED_VALUE"""),0.0)</f>
        <v>0</v>
      </c>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32"/>
      <c r="AC1006" s="32"/>
      <c r="AD1006" s="32"/>
      <c r="AE1006" s="32"/>
      <c r="AF1006" s="32"/>
      <c r="AG1006" s="32"/>
      <c r="AH1006" s="32" t="b">
        <f>IFERROR(__xludf.DUMMYFUNCTION("""COMPUTED_VALUE"""),FALSE)</f>
        <v>0</v>
      </c>
      <c r="AI1006" s="32"/>
      <c r="AJ1006" s="32"/>
      <c r="AK1006" s="32"/>
      <c r="AL1006" s="32"/>
      <c r="AM1006" s="32"/>
      <c r="AN1006" s="32"/>
      <c r="AO1006" s="32"/>
      <c r="AP1006" s="32"/>
      <c r="AQ1006" s="32"/>
      <c r="AR1006" s="32"/>
      <c r="AS1006" s="32"/>
      <c r="AT1006" s="32"/>
      <c r="AU1006" s="32"/>
      <c r="AV1006" s="32"/>
      <c r="AW1006" s="32"/>
      <c r="AX1006" s="32"/>
    </row>
    <row r="1007">
      <c r="A1007" s="32"/>
      <c r="B1007" s="32"/>
      <c r="C1007" s="32"/>
      <c r="D1007" s="32"/>
      <c r="E1007" s="32">
        <f>IFERROR(__xludf.DUMMYFUNCTION("""COMPUTED_VALUE"""),1.0)</f>
        <v>1</v>
      </c>
      <c r="F1007" s="44">
        <f>IFERROR(__xludf.DUMMYFUNCTION("""COMPUTED_VALUE"""),0.0)</f>
        <v>0</v>
      </c>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c r="AD1007" s="32"/>
      <c r="AE1007" s="32"/>
      <c r="AF1007" s="32"/>
      <c r="AG1007" s="32"/>
      <c r="AH1007" s="32" t="b">
        <f>IFERROR(__xludf.DUMMYFUNCTION("""COMPUTED_VALUE"""),FALSE)</f>
        <v>0</v>
      </c>
      <c r="AI1007" s="32"/>
      <c r="AJ1007" s="32"/>
      <c r="AK1007" s="32"/>
      <c r="AL1007" s="32"/>
      <c r="AM1007" s="32"/>
      <c r="AN1007" s="32"/>
      <c r="AO1007" s="32"/>
      <c r="AP1007" s="32"/>
      <c r="AQ1007" s="32"/>
      <c r="AR1007" s="32"/>
      <c r="AS1007" s="32"/>
      <c r="AT1007" s="32"/>
      <c r="AU1007" s="32"/>
      <c r="AV1007" s="32"/>
      <c r="AW1007" s="32"/>
      <c r="AX1007" s="32"/>
    </row>
    <row r="1008">
      <c r="A1008" s="32"/>
      <c r="B1008" s="32"/>
      <c r="C1008" s="32"/>
      <c r="D1008" s="32"/>
      <c r="E1008" s="32">
        <f>IFERROR(__xludf.DUMMYFUNCTION("""COMPUTED_VALUE"""),1.0)</f>
        <v>1</v>
      </c>
      <c r="F1008" s="44">
        <f>IFERROR(__xludf.DUMMYFUNCTION("""COMPUTED_VALUE"""),0.0)</f>
        <v>0</v>
      </c>
      <c r="G1008" s="32"/>
      <c r="H1008" s="32"/>
      <c r="I1008" s="32"/>
      <c r="J1008" s="32"/>
      <c r="K1008" s="32"/>
      <c r="L1008" s="32"/>
      <c r="M1008" s="32"/>
      <c r="N1008" s="32"/>
      <c r="O1008" s="32"/>
      <c r="P1008" s="32"/>
      <c r="Q1008" s="32"/>
      <c r="R1008" s="32"/>
      <c r="S1008" s="32"/>
      <c r="T1008" s="32"/>
      <c r="U1008" s="32"/>
      <c r="V1008" s="32"/>
      <c r="W1008" s="32"/>
      <c r="X1008" s="32"/>
      <c r="Y1008" s="32"/>
      <c r="Z1008" s="32"/>
      <c r="AA1008" s="32"/>
      <c r="AB1008" s="32"/>
      <c r="AC1008" s="32"/>
      <c r="AD1008" s="32"/>
      <c r="AE1008" s="32"/>
      <c r="AF1008" s="32"/>
      <c r="AG1008" s="32"/>
      <c r="AH1008" s="32" t="b">
        <f>IFERROR(__xludf.DUMMYFUNCTION("""COMPUTED_VALUE"""),FALSE)</f>
        <v>0</v>
      </c>
      <c r="AI1008" s="32"/>
      <c r="AJ1008" s="32"/>
      <c r="AK1008" s="32"/>
      <c r="AL1008" s="32"/>
      <c r="AM1008" s="32"/>
      <c r="AN1008" s="32"/>
      <c r="AO1008" s="32"/>
      <c r="AP1008" s="32"/>
      <c r="AQ1008" s="32"/>
      <c r="AR1008" s="32"/>
      <c r="AS1008" s="32"/>
      <c r="AT1008" s="32"/>
      <c r="AU1008" s="32"/>
      <c r="AV1008" s="32"/>
      <c r="AW1008" s="32"/>
      <c r="AX1008" s="32"/>
    </row>
    <row r="1009">
      <c r="A1009" s="32"/>
      <c r="B1009" s="32"/>
      <c r="C1009" s="32"/>
      <c r="D1009" s="32"/>
      <c r="E1009" s="32">
        <f>IFERROR(__xludf.DUMMYFUNCTION("""COMPUTED_VALUE"""),1.0)</f>
        <v>1</v>
      </c>
      <c r="F1009" s="44">
        <f>IFERROR(__xludf.DUMMYFUNCTION("""COMPUTED_VALUE"""),0.0)</f>
        <v>0</v>
      </c>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c r="AD1009" s="32"/>
      <c r="AE1009" s="32"/>
      <c r="AF1009" s="32"/>
      <c r="AG1009" s="32"/>
      <c r="AH1009" s="32" t="b">
        <f>IFERROR(__xludf.DUMMYFUNCTION("""COMPUTED_VALUE"""),FALSE)</f>
        <v>0</v>
      </c>
      <c r="AI1009" s="32"/>
      <c r="AJ1009" s="32"/>
      <c r="AK1009" s="32"/>
      <c r="AL1009" s="32"/>
      <c r="AM1009" s="32"/>
      <c r="AN1009" s="32"/>
      <c r="AO1009" s="32"/>
      <c r="AP1009" s="32"/>
      <c r="AQ1009" s="32"/>
      <c r="AR1009" s="32"/>
      <c r="AS1009" s="32"/>
      <c r="AT1009" s="32"/>
      <c r="AU1009" s="32"/>
      <c r="AV1009" s="32"/>
      <c r="AW1009" s="32"/>
      <c r="AX1009" s="32"/>
    </row>
    <row r="1010">
      <c r="A1010" s="32"/>
      <c r="B1010" s="32"/>
      <c r="C1010" s="32"/>
      <c r="D1010" s="32"/>
      <c r="E1010" s="32">
        <f>IFERROR(__xludf.DUMMYFUNCTION("""COMPUTED_VALUE"""),1.0)</f>
        <v>1</v>
      </c>
      <c r="F1010" s="44">
        <f>IFERROR(__xludf.DUMMYFUNCTION("""COMPUTED_VALUE"""),0.0)</f>
        <v>0</v>
      </c>
      <c r="G1010" s="32"/>
      <c r="H1010" s="32"/>
      <c r="I1010" s="32"/>
      <c r="J1010" s="32"/>
      <c r="K1010" s="32"/>
      <c r="L1010" s="32"/>
      <c r="M1010" s="32"/>
      <c r="N1010" s="32"/>
      <c r="O1010" s="32"/>
      <c r="P1010" s="32"/>
      <c r="Q1010" s="32"/>
      <c r="R1010" s="32"/>
      <c r="S1010" s="32"/>
      <c r="T1010" s="32"/>
      <c r="U1010" s="32"/>
      <c r="V1010" s="32"/>
      <c r="W1010" s="32"/>
      <c r="X1010" s="32"/>
      <c r="Y1010" s="32"/>
      <c r="Z1010" s="32"/>
      <c r="AA1010" s="32"/>
      <c r="AB1010" s="32"/>
      <c r="AC1010" s="32"/>
      <c r="AD1010" s="32"/>
      <c r="AE1010" s="32"/>
      <c r="AF1010" s="32"/>
      <c r="AG1010" s="32"/>
      <c r="AH1010" s="32" t="b">
        <f>IFERROR(__xludf.DUMMYFUNCTION("""COMPUTED_VALUE"""),FALSE)</f>
        <v>0</v>
      </c>
      <c r="AI1010" s="32"/>
      <c r="AJ1010" s="32"/>
      <c r="AK1010" s="32"/>
      <c r="AL1010" s="32"/>
      <c r="AM1010" s="32"/>
      <c r="AN1010" s="32"/>
      <c r="AO1010" s="32"/>
      <c r="AP1010" s="32"/>
      <c r="AQ1010" s="32"/>
      <c r="AR1010" s="32"/>
      <c r="AS1010" s="32"/>
      <c r="AT1010" s="32"/>
      <c r="AU1010" s="32"/>
      <c r="AV1010" s="32"/>
      <c r="AW1010" s="32"/>
      <c r="AX1010" s="32"/>
    </row>
    <row r="1011">
      <c r="A1011" s="32"/>
      <c r="B1011" s="32"/>
      <c r="C1011" s="32"/>
      <c r="D1011" s="32"/>
      <c r="E1011" s="32">
        <f>IFERROR(__xludf.DUMMYFUNCTION("""COMPUTED_VALUE"""),1.0)</f>
        <v>1</v>
      </c>
      <c r="F1011" s="44">
        <f>IFERROR(__xludf.DUMMYFUNCTION("""COMPUTED_VALUE"""),0.0)</f>
        <v>0</v>
      </c>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c r="AD1011" s="32"/>
      <c r="AE1011" s="32"/>
      <c r="AF1011" s="32"/>
      <c r="AG1011" s="32"/>
      <c r="AH1011" s="32" t="b">
        <f>IFERROR(__xludf.DUMMYFUNCTION("""COMPUTED_VALUE"""),FALSE)</f>
        <v>0</v>
      </c>
      <c r="AI1011" s="32"/>
      <c r="AJ1011" s="32"/>
      <c r="AK1011" s="32"/>
      <c r="AL1011" s="32"/>
      <c r="AM1011" s="32"/>
      <c r="AN1011" s="32"/>
      <c r="AO1011" s="32"/>
      <c r="AP1011" s="32"/>
      <c r="AQ1011" s="32"/>
      <c r="AR1011" s="32"/>
      <c r="AS1011" s="32"/>
      <c r="AT1011" s="32"/>
      <c r="AU1011" s="32"/>
      <c r="AV1011" s="32"/>
      <c r="AW1011" s="32"/>
      <c r="AX1011" s="32"/>
    </row>
    <row r="1012">
      <c r="A1012" s="32"/>
      <c r="B1012" s="32"/>
      <c r="C1012" s="32"/>
      <c r="D1012" s="32"/>
      <c r="E1012" s="32">
        <f>IFERROR(__xludf.DUMMYFUNCTION("""COMPUTED_VALUE"""),1.0)</f>
        <v>1</v>
      </c>
      <c r="F1012" s="44">
        <f>IFERROR(__xludf.DUMMYFUNCTION("""COMPUTED_VALUE"""),0.0)</f>
        <v>0</v>
      </c>
      <c r="G1012" s="32"/>
      <c r="H1012" s="32"/>
      <c r="I1012" s="32"/>
      <c r="J1012" s="32"/>
      <c r="K1012" s="32"/>
      <c r="L1012" s="32"/>
      <c r="M1012" s="32"/>
      <c r="N1012" s="32"/>
      <c r="O1012" s="32"/>
      <c r="P1012" s="32"/>
      <c r="Q1012" s="32"/>
      <c r="R1012" s="32"/>
      <c r="S1012" s="32"/>
      <c r="T1012" s="32"/>
      <c r="U1012" s="32"/>
      <c r="V1012" s="32"/>
      <c r="W1012" s="32"/>
      <c r="X1012" s="32"/>
      <c r="Y1012" s="32"/>
      <c r="Z1012" s="32"/>
      <c r="AA1012" s="32"/>
      <c r="AB1012" s="32"/>
      <c r="AC1012" s="32"/>
      <c r="AD1012" s="32"/>
      <c r="AE1012" s="32"/>
      <c r="AF1012" s="32"/>
      <c r="AG1012" s="32"/>
      <c r="AH1012" s="32" t="b">
        <f>IFERROR(__xludf.DUMMYFUNCTION("""COMPUTED_VALUE"""),FALSE)</f>
        <v>0</v>
      </c>
      <c r="AI1012" s="32"/>
      <c r="AJ1012" s="32"/>
      <c r="AK1012" s="32"/>
      <c r="AL1012" s="32"/>
      <c r="AM1012" s="32"/>
      <c r="AN1012" s="32"/>
      <c r="AO1012" s="32"/>
      <c r="AP1012" s="32"/>
      <c r="AQ1012" s="32"/>
      <c r="AR1012" s="32"/>
      <c r="AS1012" s="32"/>
      <c r="AT1012" s="32"/>
      <c r="AU1012" s="32"/>
      <c r="AV1012" s="32"/>
      <c r="AW1012" s="32"/>
      <c r="AX1012" s="32"/>
    </row>
    <row r="1013">
      <c r="A1013" s="32"/>
      <c r="B1013" s="32"/>
      <c r="C1013" s="32"/>
      <c r="D1013" s="32"/>
      <c r="E1013" s="32">
        <f>IFERROR(__xludf.DUMMYFUNCTION("""COMPUTED_VALUE"""),1.0)</f>
        <v>1</v>
      </c>
      <c r="F1013" s="44">
        <f>IFERROR(__xludf.DUMMYFUNCTION("""COMPUTED_VALUE"""),0.0)</f>
        <v>0</v>
      </c>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c r="AD1013" s="32"/>
      <c r="AE1013" s="32"/>
      <c r="AF1013" s="32"/>
      <c r="AG1013" s="32"/>
      <c r="AH1013" s="32" t="b">
        <f>IFERROR(__xludf.DUMMYFUNCTION("""COMPUTED_VALUE"""),FALSE)</f>
        <v>0</v>
      </c>
      <c r="AI1013" s="32"/>
      <c r="AJ1013" s="32"/>
      <c r="AK1013" s="32"/>
      <c r="AL1013" s="32"/>
      <c r="AM1013" s="32"/>
      <c r="AN1013" s="32"/>
      <c r="AO1013" s="32"/>
      <c r="AP1013" s="32"/>
      <c r="AQ1013" s="32"/>
      <c r="AR1013" s="32"/>
      <c r="AS1013" s="32"/>
      <c r="AT1013" s="32"/>
      <c r="AU1013" s="32"/>
      <c r="AV1013" s="32"/>
      <c r="AW1013" s="32"/>
      <c r="AX1013" s="32"/>
    </row>
    <row r="1014">
      <c r="A1014" s="32"/>
      <c r="B1014" s="32"/>
      <c r="C1014" s="32"/>
      <c r="D1014" s="32"/>
      <c r="E1014" s="32">
        <f>IFERROR(__xludf.DUMMYFUNCTION("""COMPUTED_VALUE"""),1.0)</f>
        <v>1</v>
      </c>
      <c r="F1014" s="44">
        <f>IFERROR(__xludf.DUMMYFUNCTION("""COMPUTED_VALUE"""),0.0)</f>
        <v>0</v>
      </c>
      <c r="G1014" s="32"/>
      <c r="H1014" s="32"/>
      <c r="I1014" s="32"/>
      <c r="J1014" s="32"/>
      <c r="K1014" s="32"/>
      <c r="L1014" s="32"/>
      <c r="M1014" s="32"/>
      <c r="N1014" s="32"/>
      <c r="O1014" s="32"/>
      <c r="P1014" s="32"/>
      <c r="Q1014" s="32"/>
      <c r="R1014" s="32"/>
      <c r="S1014" s="32"/>
      <c r="T1014" s="32"/>
      <c r="U1014" s="32"/>
      <c r="V1014" s="32"/>
      <c r="W1014" s="32"/>
      <c r="X1014" s="32"/>
      <c r="Y1014" s="32"/>
      <c r="Z1014" s="32"/>
      <c r="AA1014" s="32"/>
      <c r="AB1014" s="32"/>
      <c r="AC1014" s="32"/>
      <c r="AD1014" s="32"/>
      <c r="AE1014" s="32"/>
      <c r="AF1014" s="32"/>
      <c r="AG1014" s="32"/>
      <c r="AH1014" s="32" t="b">
        <f>IFERROR(__xludf.DUMMYFUNCTION("""COMPUTED_VALUE"""),FALSE)</f>
        <v>0</v>
      </c>
      <c r="AI1014" s="32"/>
      <c r="AJ1014" s="32"/>
      <c r="AK1014" s="32"/>
      <c r="AL1014" s="32"/>
      <c r="AM1014" s="32"/>
      <c r="AN1014" s="32"/>
      <c r="AO1014" s="32"/>
      <c r="AP1014" s="32"/>
      <c r="AQ1014" s="32"/>
      <c r="AR1014" s="32"/>
      <c r="AS1014" s="32"/>
      <c r="AT1014" s="32"/>
      <c r="AU1014" s="32"/>
      <c r="AV1014" s="32"/>
      <c r="AW1014" s="32"/>
      <c r="AX1014" s="32"/>
    </row>
    <row r="1015">
      <c r="A1015" s="32"/>
      <c r="B1015" s="32"/>
      <c r="C1015" s="32"/>
      <c r="D1015" s="32"/>
      <c r="E1015" s="32">
        <f>IFERROR(__xludf.DUMMYFUNCTION("""COMPUTED_VALUE"""),1.0)</f>
        <v>1</v>
      </c>
      <c r="F1015" s="44">
        <f>IFERROR(__xludf.DUMMYFUNCTION("""COMPUTED_VALUE"""),0.0)</f>
        <v>0</v>
      </c>
      <c r="G1015" s="32"/>
      <c r="H1015" s="32"/>
      <c r="I1015" s="32"/>
      <c r="J1015" s="32"/>
      <c r="K1015" s="32"/>
      <c r="L1015" s="32"/>
      <c r="M1015" s="32"/>
      <c r="N1015" s="32"/>
      <c r="O1015" s="32"/>
      <c r="P1015" s="32"/>
      <c r="Q1015" s="32"/>
      <c r="R1015" s="32"/>
      <c r="S1015" s="32"/>
      <c r="T1015" s="32"/>
      <c r="U1015" s="32"/>
      <c r="V1015" s="32"/>
      <c r="W1015" s="32"/>
      <c r="X1015" s="32"/>
      <c r="Y1015" s="32"/>
      <c r="Z1015" s="32"/>
      <c r="AA1015" s="32"/>
      <c r="AB1015" s="32"/>
      <c r="AC1015" s="32"/>
      <c r="AD1015" s="32"/>
      <c r="AE1015" s="32"/>
      <c r="AF1015" s="32"/>
      <c r="AG1015" s="32"/>
      <c r="AH1015" s="32" t="b">
        <f>IFERROR(__xludf.DUMMYFUNCTION("""COMPUTED_VALUE"""),FALSE)</f>
        <v>0</v>
      </c>
      <c r="AI1015" s="32"/>
      <c r="AJ1015" s="32"/>
      <c r="AK1015" s="32"/>
      <c r="AL1015" s="32"/>
      <c r="AM1015" s="32"/>
      <c r="AN1015" s="32"/>
      <c r="AO1015" s="32"/>
      <c r="AP1015" s="32"/>
      <c r="AQ1015" s="32"/>
      <c r="AR1015" s="32"/>
      <c r="AS1015" s="32"/>
      <c r="AT1015" s="32"/>
      <c r="AU1015" s="32"/>
      <c r="AV1015" s="32"/>
      <c r="AW1015" s="32"/>
      <c r="AX1015" s="32"/>
    </row>
    <row r="1016">
      <c r="A1016" s="32"/>
      <c r="B1016" s="32"/>
      <c r="C1016" s="32"/>
      <c r="D1016" s="32"/>
      <c r="E1016" s="32">
        <f>IFERROR(__xludf.DUMMYFUNCTION("""COMPUTED_VALUE"""),1.0)</f>
        <v>1</v>
      </c>
      <c r="F1016" s="44">
        <f>IFERROR(__xludf.DUMMYFUNCTION("""COMPUTED_VALUE"""),0.0)</f>
        <v>0</v>
      </c>
      <c r="G1016" s="32"/>
      <c r="H1016" s="32"/>
      <c r="I1016" s="32"/>
      <c r="J1016" s="32"/>
      <c r="K1016" s="32"/>
      <c r="L1016" s="32"/>
      <c r="M1016" s="32"/>
      <c r="N1016" s="32"/>
      <c r="O1016" s="32"/>
      <c r="P1016" s="32"/>
      <c r="Q1016" s="32"/>
      <c r="R1016" s="32"/>
      <c r="S1016" s="32"/>
      <c r="T1016" s="32"/>
      <c r="U1016" s="32"/>
      <c r="V1016" s="32"/>
      <c r="W1016" s="32"/>
      <c r="X1016" s="32"/>
      <c r="Y1016" s="32"/>
      <c r="Z1016" s="32"/>
      <c r="AA1016" s="32"/>
      <c r="AB1016" s="32"/>
      <c r="AC1016" s="32"/>
      <c r="AD1016" s="32"/>
      <c r="AE1016" s="32"/>
      <c r="AF1016" s="32"/>
      <c r="AG1016" s="32"/>
      <c r="AH1016" s="32" t="b">
        <f>IFERROR(__xludf.DUMMYFUNCTION("""COMPUTED_VALUE"""),FALSE)</f>
        <v>0</v>
      </c>
      <c r="AI1016" s="32"/>
      <c r="AJ1016" s="32"/>
      <c r="AK1016" s="32"/>
      <c r="AL1016" s="32"/>
      <c r="AM1016" s="32"/>
      <c r="AN1016" s="32"/>
      <c r="AO1016" s="32"/>
      <c r="AP1016" s="32"/>
      <c r="AQ1016" s="32"/>
      <c r="AR1016" s="32"/>
      <c r="AS1016" s="32"/>
      <c r="AT1016" s="32"/>
      <c r="AU1016" s="32"/>
      <c r="AV1016" s="32"/>
      <c r="AW1016" s="32"/>
      <c r="AX1016" s="32"/>
    </row>
    <row r="1017">
      <c r="A1017" s="32"/>
      <c r="B1017" s="32"/>
      <c r="C1017" s="32"/>
      <c r="D1017" s="32"/>
      <c r="E1017" s="32">
        <f>IFERROR(__xludf.DUMMYFUNCTION("""COMPUTED_VALUE"""),1.0)</f>
        <v>1</v>
      </c>
      <c r="F1017" s="44">
        <f>IFERROR(__xludf.DUMMYFUNCTION("""COMPUTED_VALUE"""),0.0)</f>
        <v>0</v>
      </c>
      <c r="G1017" s="32"/>
      <c r="H1017" s="32"/>
      <c r="I1017" s="32"/>
      <c r="J1017" s="32"/>
      <c r="K1017" s="32"/>
      <c r="L1017" s="32"/>
      <c r="M1017" s="32"/>
      <c r="N1017" s="32"/>
      <c r="O1017" s="32"/>
      <c r="P1017" s="32"/>
      <c r="Q1017" s="32"/>
      <c r="R1017" s="32"/>
      <c r="S1017" s="32"/>
      <c r="T1017" s="32"/>
      <c r="U1017" s="32"/>
      <c r="V1017" s="32"/>
      <c r="W1017" s="32"/>
      <c r="X1017" s="32"/>
      <c r="Y1017" s="32"/>
      <c r="Z1017" s="32"/>
      <c r="AA1017" s="32"/>
      <c r="AB1017" s="32"/>
      <c r="AC1017" s="32"/>
      <c r="AD1017" s="32"/>
      <c r="AE1017" s="32"/>
      <c r="AF1017" s="32"/>
      <c r="AG1017" s="32"/>
      <c r="AH1017" s="32" t="b">
        <f>IFERROR(__xludf.DUMMYFUNCTION("""COMPUTED_VALUE"""),FALSE)</f>
        <v>0</v>
      </c>
      <c r="AI1017" s="32"/>
      <c r="AJ1017" s="32"/>
      <c r="AK1017" s="32"/>
      <c r="AL1017" s="32"/>
      <c r="AM1017" s="32"/>
      <c r="AN1017" s="32"/>
      <c r="AO1017" s="32"/>
      <c r="AP1017" s="32"/>
      <c r="AQ1017" s="32"/>
      <c r="AR1017" s="32"/>
      <c r="AS1017" s="32"/>
      <c r="AT1017" s="32"/>
      <c r="AU1017" s="32"/>
      <c r="AV1017" s="32"/>
      <c r="AW1017" s="32"/>
      <c r="AX1017" s="32"/>
    </row>
    <row r="1018">
      <c r="A1018" s="32"/>
      <c r="B1018" s="32"/>
      <c r="C1018" s="32"/>
      <c r="D1018" s="32"/>
      <c r="E1018" s="32">
        <f>IFERROR(__xludf.DUMMYFUNCTION("""COMPUTED_VALUE"""),1.0)</f>
        <v>1</v>
      </c>
      <c r="F1018" s="44">
        <f>IFERROR(__xludf.DUMMYFUNCTION("""COMPUTED_VALUE"""),0.0)</f>
        <v>0</v>
      </c>
      <c r="G1018" s="32"/>
      <c r="H1018" s="32"/>
      <c r="I1018" s="32"/>
      <c r="J1018" s="32"/>
      <c r="K1018" s="32"/>
      <c r="L1018" s="32"/>
      <c r="M1018" s="32"/>
      <c r="N1018" s="32"/>
      <c r="O1018" s="32"/>
      <c r="P1018" s="32"/>
      <c r="Q1018" s="32"/>
      <c r="R1018" s="32"/>
      <c r="S1018" s="32"/>
      <c r="T1018" s="32"/>
      <c r="U1018" s="32"/>
      <c r="V1018" s="32"/>
      <c r="W1018" s="32"/>
      <c r="X1018" s="32"/>
      <c r="Y1018" s="32"/>
      <c r="Z1018" s="32"/>
      <c r="AA1018" s="32"/>
      <c r="AB1018" s="32"/>
      <c r="AC1018" s="32"/>
      <c r="AD1018" s="32"/>
      <c r="AE1018" s="32"/>
      <c r="AF1018" s="32"/>
      <c r="AG1018" s="32"/>
      <c r="AH1018" s="32" t="b">
        <f>IFERROR(__xludf.DUMMYFUNCTION("""COMPUTED_VALUE"""),FALSE)</f>
        <v>0</v>
      </c>
      <c r="AI1018" s="32"/>
      <c r="AJ1018" s="32"/>
      <c r="AK1018" s="32"/>
      <c r="AL1018" s="32"/>
      <c r="AM1018" s="32"/>
      <c r="AN1018" s="32"/>
      <c r="AO1018" s="32"/>
      <c r="AP1018" s="32"/>
      <c r="AQ1018" s="32"/>
      <c r="AR1018" s="32"/>
      <c r="AS1018" s="32"/>
      <c r="AT1018" s="32"/>
      <c r="AU1018" s="32"/>
      <c r="AV1018" s="32"/>
      <c r="AW1018" s="32"/>
      <c r="AX1018" s="32"/>
    </row>
    <row r="1019">
      <c r="A1019" s="32"/>
      <c r="B1019" s="32"/>
      <c r="C1019" s="32"/>
      <c r="D1019" s="32"/>
      <c r="E1019" s="32">
        <f>IFERROR(__xludf.DUMMYFUNCTION("""COMPUTED_VALUE"""),1.0)</f>
        <v>1</v>
      </c>
      <c r="F1019" s="44">
        <f>IFERROR(__xludf.DUMMYFUNCTION("""COMPUTED_VALUE"""),0.0)</f>
        <v>0</v>
      </c>
      <c r="G1019" s="32"/>
      <c r="H1019" s="32"/>
      <c r="I1019" s="32"/>
      <c r="J1019" s="32"/>
      <c r="K1019" s="32"/>
      <c r="L1019" s="32"/>
      <c r="M1019" s="32"/>
      <c r="N1019" s="32"/>
      <c r="O1019" s="32"/>
      <c r="P1019" s="32"/>
      <c r="Q1019" s="32"/>
      <c r="R1019" s="32"/>
      <c r="S1019" s="32"/>
      <c r="T1019" s="32"/>
      <c r="U1019" s="32"/>
      <c r="V1019" s="32"/>
      <c r="W1019" s="32"/>
      <c r="X1019" s="32"/>
      <c r="Y1019" s="32"/>
      <c r="Z1019" s="32"/>
      <c r="AA1019" s="32"/>
      <c r="AB1019" s="32"/>
      <c r="AC1019" s="32"/>
      <c r="AD1019" s="32"/>
      <c r="AE1019" s="32"/>
      <c r="AF1019" s="32"/>
      <c r="AG1019" s="32"/>
      <c r="AH1019" s="32" t="b">
        <f>IFERROR(__xludf.DUMMYFUNCTION("""COMPUTED_VALUE"""),FALSE)</f>
        <v>0</v>
      </c>
      <c r="AI1019" s="32"/>
      <c r="AJ1019" s="32"/>
      <c r="AK1019" s="32"/>
      <c r="AL1019" s="32"/>
      <c r="AM1019" s="32"/>
      <c r="AN1019" s="32"/>
      <c r="AO1019" s="32"/>
      <c r="AP1019" s="32"/>
      <c r="AQ1019" s="32"/>
      <c r="AR1019" s="32"/>
      <c r="AS1019" s="32"/>
      <c r="AT1019" s="32"/>
      <c r="AU1019" s="32"/>
      <c r="AV1019" s="32"/>
      <c r="AW1019" s="32"/>
      <c r="AX1019" s="32"/>
    </row>
    <row r="1020">
      <c r="A1020" s="32"/>
      <c r="B1020" s="32"/>
      <c r="C1020" s="32"/>
      <c r="D1020" s="32"/>
      <c r="E1020" s="32">
        <f>IFERROR(__xludf.DUMMYFUNCTION("""COMPUTED_VALUE"""),1.0)</f>
        <v>1</v>
      </c>
      <c r="F1020" s="44">
        <f>IFERROR(__xludf.DUMMYFUNCTION("""COMPUTED_VALUE"""),0.0)</f>
        <v>0</v>
      </c>
      <c r="G1020" s="32"/>
      <c r="H1020" s="32"/>
      <c r="I1020" s="32"/>
      <c r="J1020" s="32"/>
      <c r="K1020" s="32"/>
      <c r="L1020" s="32"/>
      <c r="M1020" s="32"/>
      <c r="N1020" s="32"/>
      <c r="O1020" s="32"/>
      <c r="P1020" s="32"/>
      <c r="Q1020" s="32"/>
      <c r="R1020" s="32"/>
      <c r="S1020" s="32"/>
      <c r="T1020" s="32"/>
      <c r="U1020" s="32"/>
      <c r="V1020" s="32"/>
      <c r="W1020" s="32"/>
      <c r="X1020" s="32"/>
      <c r="Y1020" s="32"/>
      <c r="Z1020" s="32"/>
      <c r="AA1020" s="32"/>
      <c r="AB1020" s="32"/>
      <c r="AC1020" s="32"/>
      <c r="AD1020" s="32"/>
      <c r="AE1020" s="32"/>
      <c r="AF1020" s="32"/>
      <c r="AG1020" s="32"/>
      <c r="AH1020" s="32" t="b">
        <f>IFERROR(__xludf.DUMMYFUNCTION("""COMPUTED_VALUE"""),FALSE)</f>
        <v>0</v>
      </c>
      <c r="AI1020" s="32"/>
      <c r="AJ1020" s="32"/>
      <c r="AK1020" s="32"/>
      <c r="AL1020" s="32"/>
      <c r="AM1020" s="32"/>
      <c r="AN1020" s="32"/>
      <c r="AO1020" s="32"/>
      <c r="AP1020" s="32"/>
      <c r="AQ1020" s="32"/>
      <c r="AR1020" s="32"/>
      <c r="AS1020" s="32"/>
      <c r="AT1020" s="32"/>
      <c r="AU1020" s="32"/>
      <c r="AV1020" s="32"/>
      <c r="AW1020" s="32"/>
      <c r="AX1020" s="32"/>
    </row>
    <row r="1021">
      <c r="A1021" s="32"/>
      <c r="B1021" s="32"/>
      <c r="C1021" s="32"/>
      <c r="D1021" s="32"/>
      <c r="E1021" s="32">
        <f>IFERROR(__xludf.DUMMYFUNCTION("""COMPUTED_VALUE"""),1.0)</f>
        <v>1</v>
      </c>
      <c r="F1021" s="44">
        <f>IFERROR(__xludf.DUMMYFUNCTION("""COMPUTED_VALUE"""),0.0)</f>
        <v>0</v>
      </c>
      <c r="G1021" s="32"/>
      <c r="H1021" s="32"/>
      <c r="I1021" s="32"/>
      <c r="J1021" s="32"/>
      <c r="K1021" s="32"/>
      <c r="L1021" s="32"/>
      <c r="M1021" s="32"/>
      <c r="N1021" s="32"/>
      <c r="O1021" s="32"/>
      <c r="P1021" s="32"/>
      <c r="Q1021" s="32"/>
      <c r="R1021" s="32"/>
      <c r="S1021" s="32"/>
      <c r="T1021" s="32"/>
      <c r="U1021" s="32"/>
      <c r="V1021" s="32"/>
      <c r="W1021" s="32"/>
      <c r="X1021" s="32"/>
      <c r="Y1021" s="32"/>
      <c r="Z1021" s="32"/>
      <c r="AA1021" s="32"/>
      <c r="AB1021" s="32"/>
      <c r="AC1021" s="32"/>
      <c r="AD1021" s="32"/>
      <c r="AE1021" s="32"/>
      <c r="AF1021" s="32"/>
      <c r="AG1021" s="32"/>
      <c r="AH1021" s="32" t="b">
        <f>IFERROR(__xludf.DUMMYFUNCTION("""COMPUTED_VALUE"""),FALSE)</f>
        <v>0</v>
      </c>
      <c r="AI1021" s="32"/>
      <c r="AJ1021" s="32"/>
      <c r="AK1021" s="32"/>
      <c r="AL1021" s="32"/>
      <c r="AM1021" s="32"/>
      <c r="AN1021" s="32"/>
      <c r="AO1021" s="32"/>
      <c r="AP1021" s="32"/>
      <c r="AQ1021" s="32"/>
      <c r="AR1021" s="32"/>
      <c r="AS1021" s="32"/>
      <c r="AT1021" s="32"/>
      <c r="AU1021" s="32"/>
      <c r="AV1021" s="32"/>
      <c r="AW1021" s="32"/>
      <c r="AX1021" s="32"/>
    </row>
    <row r="1022">
      <c r="A1022" s="32"/>
      <c r="B1022" s="32"/>
      <c r="C1022" s="32"/>
      <c r="D1022" s="32"/>
      <c r="E1022" s="32">
        <f>IFERROR(__xludf.DUMMYFUNCTION("""COMPUTED_VALUE"""),1.0)</f>
        <v>1</v>
      </c>
      <c r="F1022" s="44">
        <f>IFERROR(__xludf.DUMMYFUNCTION("""COMPUTED_VALUE"""),0.0)</f>
        <v>0</v>
      </c>
      <c r="G1022" s="32"/>
      <c r="H1022" s="32"/>
      <c r="I1022" s="32"/>
      <c r="J1022" s="32"/>
      <c r="K1022" s="32"/>
      <c r="L1022" s="32"/>
      <c r="M1022" s="32"/>
      <c r="N1022" s="32"/>
      <c r="O1022" s="32"/>
      <c r="P1022" s="32"/>
      <c r="Q1022" s="32"/>
      <c r="R1022" s="32"/>
      <c r="S1022" s="32"/>
      <c r="T1022" s="32"/>
      <c r="U1022" s="32"/>
      <c r="V1022" s="32"/>
      <c r="W1022" s="32"/>
      <c r="X1022" s="32"/>
      <c r="Y1022" s="32"/>
      <c r="Z1022" s="32"/>
      <c r="AA1022" s="32"/>
      <c r="AB1022" s="32"/>
      <c r="AC1022" s="32"/>
      <c r="AD1022" s="32"/>
      <c r="AE1022" s="32"/>
      <c r="AF1022" s="32"/>
      <c r="AG1022" s="32"/>
      <c r="AH1022" s="32" t="b">
        <f>IFERROR(__xludf.DUMMYFUNCTION("""COMPUTED_VALUE"""),FALSE)</f>
        <v>0</v>
      </c>
      <c r="AI1022" s="32"/>
      <c r="AJ1022" s="32"/>
      <c r="AK1022" s="32"/>
      <c r="AL1022" s="32"/>
      <c r="AM1022" s="32"/>
      <c r="AN1022" s="32"/>
      <c r="AO1022" s="32"/>
      <c r="AP1022" s="32"/>
      <c r="AQ1022" s="32"/>
      <c r="AR1022" s="32"/>
      <c r="AS1022" s="32"/>
      <c r="AT1022" s="32"/>
      <c r="AU1022" s="32"/>
      <c r="AV1022" s="32"/>
      <c r="AW1022" s="32"/>
      <c r="AX1022" s="32"/>
    </row>
    <row r="1023">
      <c r="A1023" s="32"/>
      <c r="B1023" s="32"/>
      <c r="C1023" s="32"/>
      <c r="D1023" s="32"/>
      <c r="E1023" s="32">
        <f>IFERROR(__xludf.DUMMYFUNCTION("""COMPUTED_VALUE"""),1.0)</f>
        <v>1</v>
      </c>
      <c r="F1023" s="44">
        <f>IFERROR(__xludf.DUMMYFUNCTION("""COMPUTED_VALUE"""),0.0)</f>
        <v>0</v>
      </c>
      <c r="G1023" s="32"/>
      <c r="H1023" s="32"/>
      <c r="I1023" s="32"/>
      <c r="J1023" s="32"/>
      <c r="K1023" s="32"/>
      <c r="L1023" s="32"/>
      <c r="M1023" s="32"/>
      <c r="N1023" s="32"/>
      <c r="O1023" s="32"/>
      <c r="P1023" s="32"/>
      <c r="Q1023" s="32"/>
      <c r="R1023" s="32"/>
      <c r="S1023" s="32"/>
      <c r="T1023" s="32"/>
      <c r="U1023" s="32"/>
      <c r="V1023" s="32"/>
      <c r="W1023" s="32"/>
      <c r="X1023" s="32"/>
      <c r="Y1023" s="32"/>
      <c r="Z1023" s="32"/>
      <c r="AA1023" s="32"/>
      <c r="AB1023" s="32"/>
      <c r="AC1023" s="32"/>
      <c r="AD1023" s="32"/>
      <c r="AE1023" s="32"/>
      <c r="AF1023" s="32"/>
      <c r="AG1023" s="32"/>
      <c r="AH1023" s="32" t="b">
        <f>IFERROR(__xludf.DUMMYFUNCTION("""COMPUTED_VALUE"""),FALSE)</f>
        <v>0</v>
      </c>
      <c r="AI1023" s="32"/>
      <c r="AJ1023" s="32"/>
      <c r="AK1023" s="32"/>
      <c r="AL1023" s="32"/>
      <c r="AM1023" s="32"/>
      <c r="AN1023" s="32"/>
      <c r="AO1023" s="32"/>
      <c r="AP1023" s="32"/>
      <c r="AQ1023" s="32"/>
      <c r="AR1023" s="32"/>
      <c r="AS1023" s="32"/>
      <c r="AT1023" s="32"/>
      <c r="AU1023" s="32"/>
      <c r="AV1023" s="32"/>
      <c r="AW1023" s="32"/>
      <c r="AX1023" s="32"/>
    </row>
    <row r="1024">
      <c r="A1024" s="32"/>
      <c r="B1024" s="32"/>
      <c r="C1024" s="32"/>
      <c r="D1024" s="32"/>
      <c r="E1024" s="32">
        <f>IFERROR(__xludf.DUMMYFUNCTION("""COMPUTED_VALUE"""),1.0)</f>
        <v>1</v>
      </c>
      <c r="F1024" s="44">
        <f>IFERROR(__xludf.DUMMYFUNCTION("""COMPUTED_VALUE"""),0.0)</f>
        <v>0</v>
      </c>
      <c r="G1024" s="32"/>
      <c r="H1024" s="32"/>
      <c r="I1024" s="32"/>
      <c r="J1024" s="32"/>
      <c r="K1024" s="32"/>
      <c r="L1024" s="32"/>
      <c r="M1024" s="32"/>
      <c r="N1024" s="32"/>
      <c r="O1024" s="32"/>
      <c r="P1024" s="32"/>
      <c r="Q1024" s="32"/>
      <c r="R1024" s="32"/>
      <c r="S1024" s="32"/>
      <c r="T1024" s="32"/>
      <c r="U1024" s="32"/>
      <c r="V1024" s="32"/>
      <c r="W1024" s="32"/>
      <c r="X1024" s="32"/>
      <c r="Y1024" s="32"/>
      <c r="Z1024" s="32"/>
      <c r="AA1024" s="32"/>
      <c r="AB1024" s="32"/>
      <c r="AC1024" s="32"/>
      <c r="AD1024" s="32"/>
      <c r="AE1024" s="32"/>
      <c r="AF1024" s="32"/>
      <c r="AG1024" s="32"/>
      <c r="AH1024" s="32" t="b">
        <f>IFERROR(__xludf.DUMMYFUNCTION("""COMPUTED_VALUE"""),FALSE)</f>
        <v>0</v>
      </c>
      <c r="AI1024" s="32"/>
      <c r="AJ1024" s="32"/>
      <c r="AK1024" s="32"/>
      <c r="AL1024" s="32"/>
      <c r="AM1024" s="32"/>
      <c r="AN1024" s="32"/>
      <c r="AO1024" s="32"/>
      <c r="AP1024" s="32"/>
      <c r="AQ1024" s="32"/>
      <c r="AR1024" s="32"/>
      <c r="AS1024" s="32"/>
      <c r="AT1024" s="32"/>
      <c r="AU1024" s="32"/>
      <c r="AV1024" s="32"/>
      <c r="AW1024" s="32"/>
      <c r="AX1024" s="32"/>
    </row>
    <row r="1025">
      <c r="A1025" s="32"/>
      <c r="B1025" s="32"/>
      <c r="C1025" s="32"/>
      <c r="D1025" s="32"/>
      <c r="E1025" s="32">
        <f>IFERROR(__xludf.DUMMYFUNCTION("""COMPUTED_VALUE"""),1.0)</f>
        <v>1</v>
      </c>
      <c r="F1025" s="44">
        <f>IFERROR(__xludf.DUMMYFUNCTION("""COMPUTED_VALUE"""),0.0)</f>
        <v>0</v>
      </c>
      <c r="G1025" s="32"/>
      <c r="H1025" s="32"/>
      <c r="I1025" s="32"/>
      <c r="J1025" s="32"/>
      <c r="K1025" s="32"/>
      <c r="L1025" s="32"/>
      <c r="M1025" s="32"/>
      <c r="N1025" s="32"/>
      <c r="O1025" s="32"/>
      <c r="P1025" s="32"/>
      <c r="Q1025" s="32"/>
      <c r="R1025" s="32"/>
      <c r="S1025" s="32"/>
      <c r="T1025" s="32"/>
      <c r="U1025" s="32"/>
      <c r="V1025" s="32"/>
      <c r="W1025" s="32"/>
      <c r="X1025" s="32"/>
      <c r="Y1025" s="32"/>
      <c r="Z1025" s="32"/>
      <c r="AA1025" s="32"/>
      <c r="AB1025" s="32"/>
      <c r="AC1025" s="32"/>
      <c r="AD1025" s="32"/>
      <c r="AE1025" s="32"/>
      <c r="AF1025" s="32"/>
      <c r="AG1025" s="32"/>
      <c r="AH1025" s="32" t="b">
        <f>IFERROR(__xludf.DUMMYFUNCTION("""COMPUTED_VALUE"""),FALSE)</f>
        <v>0</v>
      </c>
      <c r="AI1025" s="32"/>
      <c r="AJ1025" s="32"/>
      <c r="AK1025" s="32"/>
      <c r="AL1025" s="32"/>
      <c r="AM1025" s="32"/>
      <c r="AN1025" s="32"/>
      <c r="AO1025" s="32"/>
      <c r="AP1025" s="32"/>
      <c r="AQ1025" s="32"/>
      <c r="AR1025" s="32"/>
      <c r="AS1025" s="32"/>
      <c r="AT1025" s="32"/>
      <c r="AU1025" s="32"/>
      <c r="AV1025" s="32"/>
      <c r="AW1025" s="32"/>
      <c r="AX1025" s="32"/>
    </row>
    <row r="1026">
      <c r="A1026" s="32"/>
      <c r="B1026" s="32"/>
      <c r="C1026" s="32"/>
      <c r="D1026" s="32"/>
      <c r="E1026" s="32">
        <f>IFERROR(__xludf.DUMMYFUNCTION("""COMPUTED_VALUE"""),1.0)</f>
        <v>1</v>
      </c>
      <c r="F1026" s="44">
        <f>IFERROR(__xludf.DUMMYFUNCTION("""COMPUTED_VALUE"""),0.0)</f>
        <v>0</v>
      </c>
      <c r="G1026" s="32"/>
      <c r="H1026" s="32"/>
      <c r="I1026" s="32"/>
      <c r="J1026" s="32"/>
      <c r="K1026" s="32"/>
      <c r="L1026" s="32"/>
      <c r="M1026" s="32"/>
      <c r="N1026" s="32"/>
      <c r="O1026" s="32"/>
      <c r="P1026" s="32"/>
      <c r="Q1026" s="32"/>
      <c r="R1026" s="32"/>
      <c r="S1026" s="32"/>
      <c r="T1026" s="32"/>
      <c r="U1026" s="32"/>
      <c r="V1026" s="32"/>
      <c r="W1026" s="32"/>
      <c r="X1026" s="32"/>
      <c r="Y1026" s="32"/>
      <c r="Z1026" s="32"/>
      <c r="AA1026" s="32"/>
      <c r="AB1026" s="32"/>
      <c r="AC1026" s="32"/>
      <c r="AD1026" s="32"/>
      <c r="AE1026" s="32"/>
      <c r="AF1026" s="32"/>
      <c r="AG1026" s="32"/>
      <c r="AH1026" s="32" t="b">
        <f>IFERROR(__xludf.DUMMYFUNCTION("""COMPUTED_VALUE"""),FALSE)</f>
        <v>0</v>
      </c>
      <c r="AI1026" s="32"/>
      <c r="AJ1026" s="32"/>
      <c r="AK1026" s="32"/>
      <c r="AL1026" s="32"/>
      <c r="AM1026" s="32"/>
      <c r="AN1026" s="32"/>
      <c r="AO1026" s="32"/>
      <c r="AP1026" s="32"/>
      <c r="AQ1026" s="32"/>
      <c r="AR1026" s="32"/>
      <c r="AS1026" s="32"/>
      <c r="AT1026" s="32"/>
      <c r="AU1026" s="32"/>
      <c r="AV1026" s="32"/>
      <c r="AW1026" s="32"/>
      <c r="AX1026" s="32"/>
    </row>
    <row r="1027">
      <c r="A1027" s="32"/>
      <c r="B1027" s="32"/>
      <c r="C1027" s="32"/>
      <c r="D1027" s="32"/>
      <c r="E1027" s="32">
        <f>IFERROR(__xludf.DUMMYFUNCTION("""COMPUTED_VALUE"""),1.0)</f>
        <v>1</v>
      </c>
      <c r="F1027" s="44">
        <f>IFERROR(__xludf.DUMMYFUNCTION("""COMPUTED_VALUE"""),0.0)</f>
        <v>0</v>
      </c>
      <c r="G1027" s="32"/>
      <c r="H1027" s="32"/>
      <c r="I1027" s="32"/>
      <c r="J1027" s="32"/>
      <c r="K1027" s="32"/>
      <c r="L1027" s="32"/>
      <c r="M1027" s="32"/>
      <c r="N1027" s="32"/>
      <c r="O1027" s="32"/>
      <c r="P1027" s="32"/>
      <c r="Q1027" s="32"/>
      <c r="R1027" s="32"/>
      <c r="S1027" s="32"/>
      <c r="T1027" s="32"/>
      <c r="U1027" s="32"/>
      <c r="V1027" s="32"/>
      <c r="W1027" s="32"/>
      <c r="X1027" s="32"/>
      <c r="Y1027" s="32"/>
      <c r="Z1027" s="32"/>
      <c r="AA1027" s="32"/>
      <c r="AB1027" s="32"/>
      <c r="AC1027" s="32"/>
      <c r="AD1027" s="32"/>
      <c r="AE1027" s="32"/>
      <c r="AF1027" s="32"/>
      <c r="AG1027" s="32"/>
      <c r="AH1027" s="32" t="b">
        <f>IFERROR(__xludf.DUMMYFUNCTION("""COMPUTED_VALUE"""),FALSE)</f>
        <v>0</v>
      </c>
      <c r="AI1027" s="32"/>
      <c r="AJ1027" s="32"/>
      <c r="AK1027" s="32"/>
      <c r="AL1027" s="32"/>
      <c r="AM1027" s="32"/>
      <c r="AN1027" s="32"/>
      <c r="AO1027" s="32"/>
      <c r="AP1027" s="32"/>
      <c r="AQ1027" s="32"/>
      <c r="AR1027" s="32"/>
      <c r="AS1027" s="32"/>
      <c r="AT1027" s="32"/>
      <c r="AU1027" s="32"/>
      <c r="AV1027" s="32"/>
      <c r="AW1027" s="32"/>
      <c r="AX1027" s="32"/>
    </row>
    <row r="1028">
      <c r="A1028" s="32"/>
      <c r="B1028" s="32"/>
      <c r="C1028" s="32"/>
      <c r="D1028" s="32"/>
      <c r="E1028" s="32">
        <f>IFERROR(__xludf.DUMMYFUNCTION("""COMPUTED_VALUE"""),1.0)</f>
        <v>1</v>
      </c>
      <c r="F1028" s="44">
        <f>IFERROR(__xludf.DUMMYFUNCTION("""COMPUTED_VALUE"""),0.0)</f>
        <v>0</v>
      </c>
      <c r="G1028" s="32"/>
      <c r="H1028" s="32"/>
      <c r="I1028" s="32"/>
      <c r="J1028" s="32"/>
      <c r="K1028" s="32"/>
      <c r="L1028" s="32"/>
      <c r="M1028" s="32"/>
      <c r="N1028" s="32"/>
      <c r="O1028" s="32"/>
      <c r="P1028" s="32"/>
      <c r="Q1028" s="32"/>
      <c r="R1028" s="32"/>
      <c r="S1028" s="32"/>
      <c r="T1028" s="32"/>
      <c r="U1028" s="32"/>
      <c r="V1028" s="32"/>
      <c r="W1028" s="32"/>
      <c r="X1028" s="32"/>
      <c r="Y1028" s="32"/>
      <c r="Z1028" s="32"/>
      <c r="AA1028" s="32"/>
      <c r="AB1028" s="32"/>
      <c r="AC1028" s="32"/>
      <c r="AD1028" s="32"/>
      <c r="AE1028" s="32"/>
      <c r="AF1028" s="32"/>
      <c r="AG1028" s="32"/>
      <c r="AH1028" s="32" t="b">
        <f>IFERROR(__xludf.DUMMYFUNCTION("""COMPUTED_VALUE"""),FALSE)</f>
        <v>0</v>
      </c>
      <c r="AI1028" s="32"/>
      <c r="AJ1028" s="32"/>
      <c r="AK1028" s="32"/>
      <c r="AL1028" s="32"/>
      <c r="AM1028" s="32"/>
      <c r="AN1028" s="32"/>
      <c r="AO1028" s="32"/>
      <c r="AP1028" s="32"/>
      <c r="AQ1028" s="32"/>
      <c r="AR1028" s="32"/>
      <c r="AS1028" s="32"/>
      <c r="AT1028" s="32"/>
      <c r="AU1028" s="32"/>
      <c r="AV1028" s="32"/>
      <c r="AW1028" s="32"/>
      <c r="AX1028" s="32"/>
    </row>
    <row r="1029">
      <c r="A1029" s="32"/>
      <c r="B1029" s="32"/>
      <c r="C1029" s="32"/>
      <c r="D1029" s="32"/>
      <c r="E1029" s="32">
        <f>IFERROR(__xludf.DUMMYFUNCTION("""COMPUTED_VALUE"""),1.0)</f>
        <v>1</v>
      </c>
      <c r="F1029" s="44">
        <f>IFERROR(__xludf.DUMMYFUNCTION("""COMPUTED_VALUE"""),0.0)</f>
        <v>0</v>
      </c>
      <c r="G1029" s="32"/>
      <c r="H1029" s="32"/>
      <c r="I1029" s="32"/>
      <c r="J1029" s="32"/>
      <c r="K1029" s="32"/>
      <c r="L1029" s="32"/>
      <c r="M1029" s="32"/>
      <c r="N1029" s="32"/>
      <c r="O1029" s="32"/>
      <c r="P1029" s="32"/>
      <c r="Q1029" s="32"/>
      <c r="R1029" s="32"/>
      <c r="S1029" s="32"/>
      <c r="T1029" s="32"/>
      <c r="U1029" s="32"/>
      <c r="V1029" s="32"/>
      <c r="W1029" s="32"/>
      <c r="X1029" s="32"/>
      <c r="Y1029" s="32"/>
      <c r="Z1029" s="32"/>
      <c r="AA1029" s="32"/>
      <c r="AB1029" s="32"/>
      <c r="AC1029" s="32"/>
      <c r="AD1029" s="32"/>
      <c r="AE1029" s="32"/>
      <c r="AF1029" s="32"/>
      <c r="AG1029" s="32"/>
      <c r="AH1029" s="32" t="b">
        <f>IFERROR(__xludf.DUMMYFUNCTION("""COMPUTED_VALUE"""),FALSE)</f>
        <v>0</v>
      </c>
      <c r="AI1029" s="32"/>
      <c r="AJ1029" s="32"/>
      <c r="AK1029" s="32"/>
      <c r="AL1029" s="32"/>
      <c r="AM1029" s="32"/>
      <c r="AN1029" s="32"/>
      <c r="AO1029" s="32"/>
      <c r="AP1029" s="32"/>
      <c r="AQ1029" s="32"/>
      <c r="AR1029" s="32"/>
      <c r="AS1029" s="32"/>
      <c r="AT1029" s="32"/>
      <c r="AU1029" s="32"/>
      <c r="AV1029" s="32"/>
      <c r="AW1029" s="32"/>
      <c r="AX1029" s="32"/>
    </row>
    <row r="1030">
      <c r="A1030" s="32"/>
      <c r="B1030" s="32"/>
      <c r="C1030" s="32"/>
      <c r="D1030" s="32"/>
      <c r="E1030" s="32">
        <f>IFERROR(__xludf.DUMMYFUNCTION("""COMPUTED_VALUE"""),1.0)</f>
        <v>1</v>
      </c>
      <c r="F1030" s="44">
        <f>IFERROR(__xludf.DUMMYFUNCTION("""COMPUTED_VALUE"""),0.0)</f>
        <v>0</v>
      </c>
      <c r="G1030" s="32"/>
      <c r="H1030" s="32"/>
      <c r="I1030" s="32"/>
      <c r="J1030" s="32"/>
      <c r="K1030" s="32"/>
      <c r="L1030" s="32"/>
      <c r="M1030" s="32"/>
      <c r="N1030" s="32"/>
      <c r="O1030" s="32"/>
      <c r="P1030" s="32"/>
      <c r="Q1030" s="32"/>
      <c r="R1030" s="32"/>
      <c r="S1030" s="32"/>
      <c r="T1030" s="32"/>
      <c r="U1030" s="32"/>
      <c r="V1030" s="32"/>
      <c r="W1030" s="32"/>
      <c r="X1030" s="32"/>
      <c r="Y1030" s="32"/>
      <c r="Z1030" s="32"/>
      <c r="AA1030" s="32"/>
      <c r="AB1030" s="32"/>
      <c r="AC1030" s="32"/>
      <c r="AD1030" s="32"/>
      <c r="AE1030" s="32"/>
      <c r="AF1030" s="32"/>
      <c r="AG1030" s="32"/>
      <c r="AH1030" s="32" t="b">
        <f>IFERROR(__xludf.DUMMYFUNCTION("""COMPUTED_VALUE"""),FALSE)</f>
        <v>0</v>
      </c>
      <c r="AI1030" s="32"/>
      <c r="AJ1030" s="32"/>
      <c r="AK1030" s="32"/>
      <c r="AL1030" s="32"/>
      <c r="AM1030" s="32"/>
      <c r="AN1030" s="32"/>
      <c r="AO1030" s="32"/>
      <c r="AP1030" s="32"/>
      <c r="AQ1030" s="32"/>
      <c r="AR1030" s="32"/>
      <c r="AS1030" s="32"/>
      <c r="AT1030" s="32"/>
      <c r="AU1030" s="32"/>
      <c r="AV1030" s="32"/>
      <c r="AW1030" s="32"/>
      <c r="AX1030" s="32"/>
    </row>
    <row r="1031">
      <c r="A1031" s="32"/>
      <c r="B1031" s="32"/>
      <c r="C1031" s="32"/>
      <c r="D1031" s="32"/>
      <c r="E1031" s="32">
        <f>IFERROR(__xludf.DUMMYFUNCTION("""COMPUTED_VALUE"""),1.0)</f>
        <v>1</v>
      </c>
      <c r="F1031" s="44">
        <f>IFERROR(__xludf.DUMMYFUNCTION("""COMPUTED_VALUE"""),0.0)</f>
        <v>0</v>
      </c>
      <c r="G1031" s="32"/>
      <c r="H1031" s="32"/>
      <c r="I1031" s="32"/>
      <c r="J1031" s="32"/>
      <c r="K1031" s="32"/>
      <c r="L1031" s="32"/>
      <c r="M1031" s="32"/>
      <c r="N1031" s="32"/>
      <c r="O1031" s="32"/>
      <c r="P1031" s="32"/>
      <c r="Q1031" s="32"/>
      <c r="R1031" s="32"/>
      <c r="S1031" s="32"/>
      <c r="T1031" s="32"/>
      <c r="U1031" s="32"/>
      <c r="V1031" s="32"/>
      <c r="W1031" s="32"/>
      <c r="X1031" s="32"/>
      <c r="Y1031" s="32"/>
      <c r="Z1031" s="32"/>
      <c r="AA1031" s="32"/>
      <c r="AB1031" s="32"/>
      <c r="AC1031" s="32"/>
      <c r="AD1031" s="32"/>
      <c r="AE1031" s="32"/>
      <c r="AF1031" s="32"/>
      <c r="AG1031" s="32"/>
      <c r="AH1031" s="32" t="b">
        <f>IFERROR(__xludf.DUMMYFUNCTION("""COMPUTED_VALUE"""),FALSE)</f>
        <v>0</v>
      </c>
      <c r="AI1031" s="32"/>
      <c r="AJ1031" s="32"/>
      <c r="AK1031" s="32"/>
      <c r="AL1031" s="32"/>
      <c r="AM1031" s="32"/>
      <c r="AN1031" s="32"/>
      <c r="AO1031" s="32"/>
      <c r="AP1031" s="32"/>
      <c r="AQ1031" s="32"/>
      <c r="AR1031" s="32"/>
      <c r="AS1031" s="32"/>
      <c r="AT1031" s="32"/>
      <c r="AU1031" s="32"/>
      <c r="AV1031" s="32"/>
      <c r="AW1031" s="32"/>
      <c r="AX1031" s="32"/>
    </row>
    <row r="1032">
      <c r="A1032" s="32"/>
      <c r="B1032" s="32"/>
      <c r="C1032" s="32"/>
      <c r="D1032" s="32"/>
      <c r="E1032" s="32">
        <f>IFERROR(__xludf.DUMMYFUNCTION("""COMPUTED_VALUE"""),1.0)</f>
        <v>1</v>
      </c>
      <c r="F1032" s="44">
        <f>IFERROR(__xludf.DUMMYFUNCTION("""COMPUTED_VALUE"""),0.0)</f>
        <v>0</v>
      </c>
      <c r="G1032" s="32"/>
      <c r="H1032" s="32"/>
      <c r="I1032" s="32"/>
      <c r="J1032" s="32"/>
      <c r="K1032" s="32"/>
      <c r="L1032" s="32"/>
      <c r="M1032" s="32"/>
      <c r="N1032" s="32"/>
      <c r="O1032" s="32"/>
      <c r="P1032" s="32"/>
      <c r="Q1032" s="32"/>
      <c r="R1032" s="32"/>
      <c r="S1032" s="32"/>
      <c r="T1032" s="32"/>
      <c r="U1032" s="32"/>
      <c r="V1032" s="32"/>
      <c r="W1032" s="32"/>
      <c r="X1032" s="32"/>
      <c r="Y1032" s="32"/>
      <c r="Z1032" s="32"/>
      <c r="AA1032" s="32"/>
      <c r="AB1032" s="32"/>
      <c r="AC1032" s="32"/>
      <c r="AD1032" s="32"/>
      <c r="AE1032" s="32"/>
      <c r="AF1032" s="32"/>
      <c r="AG1032" s="32"/>
      <c r="AH1032" s="32" t="b">
        <f>IFERROR(__xludf.DUMMYFUNCTION("""COMPUTED_VALUE"""),FALSE)</f>
        <v>0</v>
      </c>
      <c r="AI1032" s="32"/>
      <c r="AJ1032" s="32"/>
      <c r="AK1032" s="32"/>
      <c r="AL1032" s="32"/>
      <c r="AM1032" s="32"/>
      <c r="AN1032" s="32"/>
      <c r="AO1032" s="32"/>
      <c r="AP1032" s="32"/>
      <c r="AQ1032" s="32"/>
      <c r="AR1032" s="32"/>
      <c r="AS1032" s="32"/>
      <c r="AT1032" s="32"/>
      <c r="AU1032" s="32"/>
      <c r="AV1032" s="32"/>
      <c r="AW1032" s="32"/>
      <c r="AX1032" s="32"/>
    </row>
    <row r="1033">
      <c r="A1033" s="32"/>
      <c r="B1033" s="32"/>
      <c r="C1033" s="32"/>
      <c r="D1033" s="32"/>
      <c r="E1033" s="32">
        <f>IFERROR(__xludf.DUMMYFUNCTION("""COMPUTED_VALUE"""),1.0)</f>
        <v>1</v>
      </c>
      <c r="F1033" s="44">
        <f>IFERROR(__xludf.DUMMYFUNCTION("""COMPUTED_VALUE"""),0.0)</f>
        <v>0</v>
      </c>
      <c r="G1033" s="32"/>
      <c r="H1033" s="32"/>
      <c r="I1033" s="32"/>
      <c r="J1033" s="32"/>
      <c r="K1033" s="32"/>
      <c r="L1033" s="32"/>
      <c r="M1033" s="32"/>
      <c r="N1033" s="32"/>
      <c r="O1033" s="32"/>
      <c r="P1033" s="32"/>
      <c r="Q1033" s="32"/>
      <c r="R1033" s="32"/>
      <c r="S1033" s="32"/>
      <c r="T1033" s="32"/>
      <c r="U1033" s="32"/>
      <c r="V1033" s="32"/>
      <c r="W1033" s="32"/>
      <c r="X1033" s="32"/>
      <c r="Y1033" s="32"/>
      <c r="Z1033" s="32"/>
      <c r="AA1033" s="32"/>
      <c r="AB1033" s="32"/>
      <c r="AC1033" s="32"/>
      <c r="AD1033" s="32"/>
      <c r="AE1033" s="32"/>
      <c r="AF1033" s="32"/>
      <c r="AG1033" s="32"/>
      <c r="AH1033" s="32" t="b">
        <f>IFERROR(__xludf.DUMMYFUNCTION("""COMPUTED_VALUE"""),FALSE)</f>
        <v>0</v>
      </c>
      <c r="AI1033" s="32"/>
      <c r="AJ1033" s="32"/>
      <c r="AK1033" s="32"/>
      <c r="AL1033" s="32"/>
      <c r="AM1033" s="32"/>
      <c r="AN1033" s="32"/>
      <c r="AO1033" s="32"/>
      <c r="AP1033" s="32"/>
      <c r="AQ1033" s="32"/>
      <c r="AR1033" s="32"/>
      <c r="AS1033" s="32"/>
      <c r="AT1033" s="32"/>
      <c r="AU1033" s="32"/>
      <c r="AV1033" s="32"/>
      <c r="AW1033" s="32"/>
      <c r="AX1033" s="32"/>
    </row>
    <row r="1034">
      <c r="A1034" s="32"/>
      <c r="B1034" s="32"/>
      <c r="C1034" s="32"/>
      <c r="D1034" s="32"/>
      <c r="E1034" s="32">
        <f>IFERROR(__xludf.DUMMYFUNCTION("""COMPUTED_VALUE"""),1.0)</f>
        <v>1</v>
      </c>
      <c r="F1034" s="44">
        <f>IFERROR(__xludf.DUMMYFUNCTION("""COMPUTED_VALUE"""),0.0)</f>
        <v>0</v>
      </c>
      <c r="G1034" s="32"/>
      <c r="H1034" s="32"/>
      <c r="I1034" s="32"/>
      <c r="J1034" s="32"/>
      <c r="K1034" s="32"/>
      <c r="L1034" s="32"/>
      <c r="M1034" s="32"/>
      <c r="N1034" s="32"/>
      <c r="O1034" s="32"/>
      <c r="P1034" s="32"/>
      <c r="Q1034" s="32"/>
      <c r="R1034" s="32"/>
      <c r="S1034" s="32"/>
      <c r="T1034" s="32"/>
      <c r="U1034" s="32"/>
      <c r="V1034" s="32"/>
      <c r="W1034" s="32"/>
      <c r="X1034" s="32"/>
      <c r="Y1034" s="32"/>
      <c r="Z1034" s="32"/>
      <c r="AA1034" s="32"/>
      <c r="AB1034" s="32"/>
      <c r="AC1034" s="32"/>
      <c r="AD1034" s="32"/>
      <c r="AE1034" s="32"/>
      <c r="AF1034" s="32"/>
      <c r="AG1034" s="32"/>
      <c r="AH1034" s="32" t="b">
        <f>IFERROR(__xludf.DUMMYFUNCTION("""COMPUTED_VALUE"""),FALSE)</f>
        <v>0</v>
      </c>
      <c r="AI1034" s="32"/>
      <c r="AJ1034" s="32"/>
      <c r="AK1034" s="32"/>
      <c r="AL1034" s="32"/>
      <c r="AM1034" s="32"/>
      <c r="AN1034" s="32"/>
      <c r="AO1034" s="32"/>
      <c r="AP1034" s="32"/>
      <c r="AQ1034" s="32"/>
      <c r="AR1034" s="32"/>
      <c r="AS1034" s="32"/>
      <c r="AT1034" s="32"/>
      <c r="AU1034" s="32"/>
      <c r="AV1034" s="32"/>
      <c r="AW1034" s="32"/>
      <c r="AX1034" s="32"/>
    </row>
    <row r="1035">
      <c r="A1035" s="32"/>
      <c r="B1035" s="32"/>
      <c r="C1035" s="32"/>
      <c r="D1035" s="32"/>
      <c r="E1035" s="32">
        <f>IFERROR(__xludf.DUMMYFUNCTION("""COMPUTED_VALUE"""),1.0)</f>
        <v>1</v>
      </c>
      <c r="F1035" s="44">
        <f>IFERROR(__xludf.DUMMYFUNCTION("""COMPUTED_VALUE"""),0.0)</f>
        <v>0</v>
      </c>
      <c r="G1035" s="32"/>
      <c r="H1035" s="32"/>
      <c r="I1035" s="32"/>
      <c r="J1035" s="32"/>
      <c r="K1035" s="32"/>
      <c r="L1035" s="32"/>
      <c r="M1035" s="32"/>
      <c r="N1035" s="32"/>
      <c r="O1035" s="32"/>
      <c r="P1035" s="32"/>
      <c r="Q1035" s="32"/>
      <c r="R1035" s="32"/>
      <c r="S1035" s="32"/>
      <c r="T1035" s="32"/>
      <c r="U1035" s="32"/>
      <c r="V1035" s="32"/>
      <c r="W1035" s="32"/>
      <c r="X1035" s="32"/>
      <c r="Y1035" s="32"/>
      <c r="Z1035" s="32"/>
      <c r="AA1035" s="32"/>
      <c r="AB1035" s="32"/>
      <c r="AC1035" s="32"/>
      <c r="AD1035" s="32"/>
      <c r="AE1035" s="32"/>
      <c r="AF1035" s="32"/>
      <c r="AG1035" s="32"/>
      <c r="AH1035" s="32" t="b">
        <f>IFERROR(__xludf.DUMMYFUNCTION("""COMPUTED_VALUE"""),FALSE)</f>
        <v>0</v>
      </c>
      <c r="AI1035" s="32"/>
      <c r="AJ1035" s="32"/>
      <c r="AK1035" s="32"/>
      <c r="AL1035" s="32"/>
      <c r="AM1035" s="32"/>
      <c r="AN1035" s="32"/>
      <c r="AO1035" s="32"/>
      <c r="AP1035" s="32"/>
      <c r="AQ1035" s="32"/>
      <c r="AR1035" s="32"/>
      <c r="AS1035" s="32"/>
      <c r="AT1035" s="32"/>
      <c r="AU1035" s="32"/>
      <c r="AV1035" s="32"/>
      <c r="AW1035" s="32"/>
      <c r="AX1035" s="32"/>
    </row>
    <row r="1036">
      <c r="A1036" s="32"/>
      <c r="B1036" s="32"/>
      <c r="C1036" s="32"/>
      <c r="D1036" s="32"/>
      <c r="E1036" s="32">
        <f>IFERROR(__xludf.DUMMYFUNCTION("""COMPUTED_VALUE"""),1.0)</f>
        <v>1</v>
      </c>
      <c r="F1036" s="44">
        <f>IFERROR(__xludf.DUMMYFUNCTION("""COMPUTED_VALUE"""),0.0)</f>
        <v>0</v>
      </c>
      <c r="G1036" s="32"/>
      <c r="H1036" s="32"/>
      <c r="I1036" s="32"/>
      <c r="J1036" s="32"/>
      <c r="K1036" s="32"/>
      <c r="L1036" s="32"/>
      <c r="M1036" s="32"/>
      <c r="N1036" s="32"/>
      <c r="O1036" s="32"/>
      <c r="P1036" s="32"/>
      <c r="Q1036" s="32"/>
      <c r="R1036" s="32"/>
      <c r="S1036" s="32"/>
      <c r="T1036" s="32"/>
      <c r="U1036" s="32"/>
      <c r="V1036" s="32"/>
      <c r="W1036" s="32"/>
      <c r="X1036" s="32"/>
      <c r="Y1036" s="32"/>
      <c r="Z1036" s="32"/>
      <c r="AA1036" s="32"/>
      <c r="AB1036" s="32"/>
      <c r="AC1036" s="32"/>
      <c r="AD1036" s="32"/>
      <c r="AE1036" s="32"/>
      <c r="AF1036" s="32"/>
      <c r="AG1036" s="32"/>
      <c r="AH1036" s="32" t="b">
        <f>IFERROR(__xludf.DUMMYFUNCTION("""COMPUTED_VALUE"""),FALSE)</f>
        <v>0</v>
      </c>
      <c r="AI1036" s="32"/>
      <c r="AJ1036" s="32"/>
      <c r="AK1036" s="32"/>
      <c r="AL1036" s="32"/>
      <c r="AM1036" s="32"/>
      <c r="AN1036" s="32"/>
      <c r="AO1036" s="32"/>
      <c r="AP1036" s="32"/>
      <c r="AQ1036" s="32"/>
      <c r="AR1036" s="32"/>
      <c r="AS1036" s="32"/>
      <c r="AT1036" s="32"/>
      <c r="AU1036" s="32"/>
      <c r="AV1036" s="32"/>
      <c r="AW1036" s="32"/>
      <c r="AX1036" s="32"/>
    </row>
    <row r="1037">
      <c r="A1037" s="32"/>
      <c r="B1037" s="32"/>
      <c r="C1037" s="32"/>
      <c r="D1037" s="32"/>
      <c r="E1037" s="32">
        <f>IFERROR(__xludf.DUMMYFUNCTION("""COMPUTED_VALUE"""),1.0)</f>
        <v>1</v>
      </c>
      <c r="F1037" s="44">
        <f>IFERROR(__xludf.DUMMYFUNCTION("""COMPUTED_VALUE"""),0.0)</f>
        <v>0</v>
      </c>
      <c r="G1037" s="32"/>
      <c r="H1037" s="32"/>
      <c r="I1037" s="32"/>
      <c r="J1037" s="32"/>
      <c r="K1037" s="32"/>
      <c r="L1037" s="32"/>
      <c r="M1037" s="32"/>
      <c r="N1037" s="32"/>
      <c r="O1037" s="32"/>
      <c r="P1037" s="32"/>
      <c r="Q1037" s="32"/>
      <c r="R1037" s="32"/>
      <c r="S1037" s="32"/>
      <c r="T1037" s="32"/>
      <c r="U1037" s="32"/>
      <c r="V1037" s="32"/>
      <c r="W1037" s="32"/>
      <c r="X1037" s="32"/>
      <c r="Y1037" s="32"/>
      <c r="Z1037" s="32"/>
      <c r="AA1037" s="32"/>
      <c r="AB1037" s="32"/>
      <c r="AC1037" s="32"/>
      <c r="AD1037" s="32"/>
      <c r="AE1037" s="32"/>
      <c r="AF1037" s="32"/>
      <c r="AG1037" s="32"/>
      <c r="AH1037" s="32" t="b">
        <f>IFERROR(__xludf.DUMMYFUNCTION("""COMPUTED_VALUE"""),FALSE)</f>
        <v>0</v>
      </c>
      <c r="AI1037" s="32"/>
      <c r="AJ1037" s="32"/>
      <c r="AK1037" s="32"/>
      <c r="AL1037" s="32"/>
      <c r="AM1037" s="32"/>
      <c r="AN1037" s="32"/>
      <c r="AO1037" s="32"/>
      <c r="AP1037" s="32"/>
      <c r="AQ1037" s="32"/>
      <c r="AR1037" s="32"/>
      <c r="AS1037" s="32"/>
      <c r="AT1037" s="32"/>
      <c r="AU1037" s="32"/>
      <c r="AV1037" s="32"/>
      <c r="AW1037" s="32"/>
      <c r="AX1037" s="32"/>
    </row>
    <row r="1038">
      <c r="A1038" s="32"/>
      <c r="B1038" s="32"/>
      <c r="C1038" s="32"/>
      <c r="D1038" s="32"/>
      <c r="E1038" s="32">
        <f>IFERROR(__xludf.DUMMYFUNCTION("""COMPUTED_VALUE"""),1.0)</f>
        <v>1</v>
      </c>
      <c r="F1038" s="44">
        <f>IFERROR(__xludf.DUMMYFUNCTION("""COMPUTED_VALUE"""),0.0)</f>
        <v>0</v>
      </c>
      <c r="G1038" s="32"/>
      <c r="H1038" s="32"/>
      <c r="I1038" s="32"/>
      <c r="J1038" s="32"/>
      <c r="K1038" s="32"/>
      <c r="L1038" s="32"/>
      <c r="M1038" s="32"/>
      <c r="N1038" s="32"/>
      <c r="O1038" s="32"/>
      <c r="P1038" s="32"/>
      <c r="Q1038" s="32"/>
      <c r="R1038" s="32"/>
      <c r="S1038" s="32"/>
      <c r="T1038" s="32"/>
      <c r="U1038" s="32"/>
      <c r="V1038" s="32"/>
      <c r="W1038" s="32"/>
      <c r="X1038" s="32"/>
      <c r="Y1038" s="32"/>
      <c r="Z1038" s="32"/>
      <c r="AA1038" s="32"/>
      <c r="AB1038" s="32"/>
      <c r="AC1038" s="32"/>
      <c r="AD1038" s="32"/>
      <c r="AE1038" s="32"/>
      <c r="AF1038" s="32"/>
      <c r="AG1038" s="32"/>
      <c r="AH1038" s="32" t="b">
        <f>IFERROR(__xludf.DUMMYFUNCTION("""COMPUTED_VALUE"""),FALSE)</f>
        <v>0</v>
      </c>
      <c r="AI1038" s="32"/>
      <c r="AJ1038" s="32"/>
      <c r="AK1038" s="32"/>
      <c r="AL1038" s="32"/>
      <c r="AM1038" s="32"/>
      <c r="AN1038" s="32"/>
      <c r="AO1038" s="32"/>
      <c r="AP1038" s="32"/>
      <c r="AQ1038" s="32"/>
      <c r="AR1038" s="32"/>
      <c r="AS1038" s="32"/>
      <c r="AT1038" s="32"/>
      <c r="AU1038" s="32"/>
      <c r="AV1038" s="32"/>
      <c r="AW1038" s="32"/>
      <c r="AX1038" s="32"/>
    </row>
    <row r="1039">
      <c r="A1039" s="32"/>
      <c r="B1039" s="32"/>
      <c r="C1039" s="32"/>
      <c r="D1039" s="32"/>
      <c r="E1039" s="32">
        <f>IFERROR(__xludf.DUMMYFUNCTION("""COMPUTED_VALUE"""),1.0)</f>
        <v>1</v>
      </c>
      <c r="F1039" s="44">
        <f>IFERROR(__xludf.DUMMYFUNCTION("""COMPUTED_VALUE"""),0.0)</f>
        <v>0</v>
      </c>
      <c r="G1039" s="32"/>
      <c r="H1039" s="32"/>
      <c r="I1039" s="32"/>
      <c r="J1039" s="32"/>
      <c r="K1039" s="32"/>
      <c r="L1039" s="32"/>
      <c r="M1039" s="32"/>
      <c r="N1039" s="32"/>
      <c r="O1039" s="32"/>
      <c r="P1039" s="32"/>
      <c r="Q1039" s="32"/>
      <c r="R1039" s="32"/>
      <c r="S1039" s="32"/>
      <c r="T1039" s="32"/>
      <c r="U1039" s="32"/>
      <c r="V1039" s="32"/>
      <c r="W1039" s="32"/>
      <c r="X1039" s="32"/>
      <c r="Y1039" s="32"/>
      <c r="Z1039" s="32"/>
      <c r="AA1039" s="32"/>
      <c r="AB1039" s="32"/>
      <c r="AC1039" s="32"/>
      <c r="AD1039" s="32"/>
      <c r="AE1039" s="32"/>
      <c r="AF1039" s="32"/>
      <c r="AG1039" s="32"/>
      <c r="AH1039" s="32" t="b">
        <f>IFERROR(__xludf.DUMMYFUNCTION("""COMPUTED_VALUE"""),FALSE)</f>
        <v>0</v>
      </c>
      <c r="AI1039" s="32"/>
      <c r="AJ1039" s="32"/>
      <c r="AK1039" s="32"/>
      <c r="AL1039" s="32"/>
      <c r="AM1039" s="32"/>
      <c r="AN1039" s="32"/>
      <c r="AO1039" s="32"/>
      <c r="AP1039" s="32"/>
      <c r="AQ1039" s="32"/>
      <c r="AR1039" s="32"/>
      <c r="AS1039" s="32"/>
      <c r="AT1039" s="32"/>
      <c r="AU1039" s="32"/>
      <c r="AV1039" s="32"/>
      <c r="AW1039" s="32"/>
      <c r="AX1039" s="32"/>
    </row>
    <row r="1040">
      <c r="A1040" s="32"/>
      <c r="B1040" s="32"/>
      <c r="C1040" s="32"/>
      <c r="D1040" s="32"/>
      <c r="E1040" s="32">
        <f>IFERROR(__xludf.DUMMYFUNCTION("""COMPUTED_VALUE"""),1.0)</f>
        <v>1</v>
      </c>
      <c r="F1040" s="44">
        <f>IFERROR(__xludf.DUMMYFUNCTION("""COMPUTED_VALUE"""),0.0)</f>
        <v>0</v>
      </c>
      <c r="G1040" s="32"/>
      <c r="H1040" s="32"/>
      <c r="I1040" s="32"/>
      <c r="J1040" s="32"/>
      <c r="K1040" s="32"/>
      <c r="L1040" s="32"/>
      <c r="M1040" s="32"/>
      <c r="N1040" s="32"/>
      <c r="O1040" s="32"/>
      <c r="P1040" s="32"/>
      <c r="Q1040" s="32"/>
      <c r="R1040" s="32"/>
      <c r="S1040" s="32"/>
      <c r="T1040" s="32"/>
      <c r="U1040" s="32"/>
      <c r="V1040" s="32"/>
      <c r="W1040" s="32"/>
      <c r="X1040" s="32"/>
      <c r="Y1040" s="32"/>
      <c r="Z1040" s="32"/>
      <c r="AA1040" s="32"/>
      <c r="AB1040" s="32"/>
      <c r="AC1040" s="32"/>
      <c r="AD1040" s="32"/>
      <c r="AE1040" s="32"/>
      <c r="AF1040" s="32"/>
      <c r="AG1040" s="32"/>
      <c r="AH1040" s="32" t="b">
        <f>IFERROR(__xludf.DUMMYFUNCTION("""COMPUTED_VALUE"""),FALSE)</f>
        <v>0</v>
      </c>
      <c r="AI1040" s="32"/>
      <c r="AJ1040" s="32"/>
      <c r="AK1040" s="32"/>
      <c r="AL1040" s="32"/>
      <c r="AM1040" s="32"/>
      <c r="AN1040" s="32"/>
      <c r="AO1040" s="32"/>
      <c r="AP1040" s="32"/>
      <c r="AQ1040" s="32"/>
      <c r="AR1040" s="32"/>
      <c r="AS1040" s="32"/>
      <c r="AT1040" s="32"/>
      <c r="AU1040" s="32"/>
      <c r="AV1040" s="32"/>
      <c r="AW1040" s="32"/>
      <c r="AX1040" s="32"/>
    </row>
    <row r="1041">
      <c r="A1041" s="32"/>
      <c r="B1041" s="32"/>
      <c r="C1041" s="32"/>
      <c r="D1041" s="32"/>
      <c r="E1041" s="32">
        <f>IFERROR(__xludf.DUMMYFUNCTION("""COMPUTED_VALUE"""),1.0)</f>
        <v>1</v>
      </c>
      <c r="F1041" s="44">
        <f>IFERROR(__xludf.DUMMYFUNCTION("""COMPUTED_VALUE"""),0.0)</f>
        <v>0</v>
      </c>
      <c r="G1041" s="32"/>
      <c r="H1041" s="32"/>
      <c r="I1041" s="32"/>
      <c r="J1041" s="32"/>
      <c r="K1041" s="32"/>
      <c r="L1041" s="32"/>
      <c r="M1041" s="32"/>
      <c r="N1041" s="32"/>
      <c r="O1041" s="32"/>
      <c r="P1041" s="32"/>
      <c r="Q1041" s="32"/>
      <c r="R1041" s="32"/>
      <c r="S1041" s="32"/>
      <c r="T1041" s="32"/>
      <c r="U1041" s="32"/>
      <c r="V1041" s="32"/>
      <c r="W1041" s="32"/>
      <c r="X1041" s="32"/>
      <c r="Y1041" s="32"/>
      <c r="Z1041" s="32"/>
      <c r="AA1041" s="32"/>
      <c r="AB1041" s="32"/>
      <c r="AC1041" s="32"/>
      <c r="AD1041" s="32"/>
      <c r="AE1041" s="32"/>
      <c r="AF1041" s="32"/>
      <c r="AG1041" s="32"/>
      <c r="AH1041" s="32" t="b">
        <f>IFERROR(__xludf.DUMMYFUNCTION("""COMPUTED_VALUE"""),FALSE)</f>
        <v>0</v>
      </c>
      <c r="AI1041" s="32"/>
      <c r="AJ1041" s="32"/>
      <c r="AK1041" s="32"/>
      <c r="AL1041" s="32"/>
      <c r="AM1041" s="32"/>
      <c r="AN1041" s="32"/>
      <c r="AO1041" s="32"/>
      <c r="AP1041" s="32"/>
      <c r="AQ1041" s="32"/>
      <c r="AR1041" s="32"/>
      <c r="AS1041" s="32"/>
      <c r="AT1041" s="32"/>
      <c r="AU1041" s="32"/>
      <c r="AV1041" s="32"/>
      <c r="AW1041" s="32"/>
      <c r="AX1041" s="32"/>
    </row>
    <row r="1042">
      <c r="A1042" s="32"/>
      <c r="B1042" s="32"/>
      <c r="C1042" s="32"/>
      <c r="D1042" s="32"/>
      <c r="E1042" s="32">
        <f>IFERROR(__xludf.DUMMYFUNCTION("""COMPUTED_VALUE"""),1.0)</f>
        <v>1</v>
      </c>
      <c r="F1042" s="44">
        <f>IFERROR(__xludf.DUMMYFUNCTION("""COMPUTED_VALUE"""),0.0)</f>
        <v>0</v>
      </c>
      <c r="G1042" s="32"/>
      <c r="H1042" s="32"/>
      <c r="I1042" s="32"/>
      <c r="J1042" s="32"/>
      <c r="K1042" s="32"/>
      <c r="L1042" s="32"/>
      <c r="M1042" s="32"/>
      <c r="N1042" s="32"/>
      <c r="O1042" s="32"/>
      <c r="P1042" s="32"/>
      <c r="Q1042" s="32"/>
      <c r="R1042" s="32"/>
      <c r="S1042" s="32"/>
      <c r="T1042" s="32"/>
      <c r="U1042" s="32"/>
      <c r="V1042" s="32"/>
      <c r="W1042" s="32"/>
      <c r="X1042" s="32"/>
      <c r="Y1042" s="32"/>
      <c r="Z1042" s="32"/>
      <c r="AA1042" s="32"/>
      <c r="AB1042" s="32"/>
      <c r="AC1042" s="32"/>
      <c r="AD1042" s="32"/>
      <c r="AE1042" s="32"/>
      <c r="AF1042" s="32"/>
      <c r="AG1042" s="32"/>
      <c r="AH1042" s="32" t="b">
        <f>IFERROR(__xludf.DUMMYFUNCTION("""COMPUTED_VALUE"""),FALSE)</f>
        <v>0</v>
      </c>
      <c r="AI1042" s="32"/>
      <c r="AJ1042" s="32"/>
      <c r="AK1042" s="32"/>
      <c r="AL1042" s="32"/>
      <c r="AM1042" s="32"/>
      <c r="AN1042" s="32"/>
      <c r="AO1042" s="32"/>
      <c r="AP1042" s="32"/>
      <c r="AQ1042" s="32"/>
      <c r="AR1042" s="32"/>
      <c r="AS1042" s="32"/>
      <c r="AT1042" s="32"/>
      <c r="AU1042" s="32"/>
      <c r="AV1042" s="32"/>
      <c r="AW1042" s="32"/>
      <c r="AX1042" s="32"/>
    </row>
    <row r="1043">
      <c r="A1043" s="32"/>
      <c r="B1043" s="32"/>
      <c r="C1043" s="32"/>
      <c r="D1043" s="32"/>
      <c r="E1043" s="32">
        <f>IFERROR(__xludf.DUMMYFUNCTION("""COMPUTED_VALUE"""),1.0)</f>
        <v>1</v>
      </c>
      <c r="F1043" s="44">
        <f>IFERROR(__xludf.DUMMYFUNCTION("""COMPUTED_VALUE"""),0.0)</f>
        <v>0</v>
      </c>
      <c r="G1043" s="32"/>
      <c r="H1043" s="32"/>
      <c r="I1043" s="32"/>
      <c r="J1043" s="32"/>
      <c r="K1043" s="32"/>
      <c r="L1043" s="32"/>
      <c r="M1043" s="32"/>
      <c r="N1043" s="32"/>
      <c r="O1043" s="32"/>
      <c r="P1043" s="32"/>
      <c r="Q1043" s="32"/>
      <c r="R1043" s="32"/>
      <c r="S1043" s="32"/>
      <c r="T1043" s="32"/>
      <c r="U1043" s="32"/>
      <c r="V1043" s="32"/>
      <c r="W1043" s="32"/>
      <c r="X1043" s="32"/>
      <c r="Y1043" s="32"/>
      <c r="Z1043" s="32"/>
      <c r="AA1043" s="32"/>
      <c r="AB1043" s="32"/>
      <c r="AC1043" s="32"/>
      <c r="AD1043" s="32"/>
      <c r="AE1043" s="32"/>
      <c r="AF1043" s="32"/>
      <c r="AG1043" s="32"/>
      <c r="AH1043" s="32" t="b">
        <f>IFERROR(__xludf.DUMMYFUNCTION("""COMPUTED_VALUE"""),FALSE)</f>
        <v>0</v>
      </c>
      <c r="AI1043" s="32"/>
      <c r="AJ1043" s="32"/>
      <c r="AK1043" s="32"/>
      <c r="AL1043" s="32"/>
      <c r="AM1043" s="32"/>
      <c r="AN1043" s="32"/>
      <c r="AO1043" s="32"/>
      <c r="AP1043" s="32"/>
      <c r="AQ1043" s="32"/>
      <c r="AR1043" s="32"/>
      <c r="AS1043" s="32"/>
      <c r="AT1043" s="32"/>
      <c r="AU1043" s="32"/>
      <c r="AV1043" s="32"/>
      <c r="AW1043" s="32"/>
      <c r="AX1043" s="32"/>
    </row>
    <row r="1044">
      <c r="A1044" s="32"/>
      <c r="B1044" s="32"/>
      <c r="C1044" s="32"/>
      <c r="D1044" s="32"/>
      <c r="E1044" s="32">
        <f>IFERROR(__xludf.DUMMYFUNCTION("""COMPUTED_VALUE"""),1.0)</f>
        <v>1</v>
      </c>
      <c r="F1044" s="44">
        <f>IFERROR(__xludf.DUMMYFUNCTION("""COMPUTED_VALUE"""),0.0)</f>
        <v>0</v>
      </c>
      <c r="G1044" s="32"/>
      <c r="H1044" s="32"/>
      <c r="I1044" s="32"/>
      <c r="J1044" s="32"/>
      <c r="K1044" s="32"/>
      <c r="L1044" s="32"/>
      <c r="M1044" s="32"/>
      <c r="N1044" s="32"/>
      <c r="O1044" s="32"/>
      <c r="P1044" s="32"/>
      <c r="Q1044" s="32"/>
      <c r="R1044" s="32"/>
      <c r="S1044" s="32"/>
      <c r="T1044" s="32"/>
      <c r="U1044" s="32"/>
      <c r="V1044" s="32"/>
      <c r="W1044" s="32"/>
      <c r="X1044" s="32"/>
      <c r="Y1044" s="32"/>
      <c r="Z1044" s="32"/>
      <c r="AA1044" s="32"/>
      <c r="AB1044" s="32"/>
      <c r="AC1044" s="32"/>
      <c r="AD1044" s="32"/>
      <c r="AE1044" s="32"/>
      <c r="AF1044" s="32"/>
      <c r="AG1044" s="32"/>
      <c r="AH1044" s="32" t="b">
        <f>IFERROR(__xludf.DUMMYFUNCTION("""COMPUTED_VALUE"""),FALSE)</f>
        <v>0</v>
      </c>
      <c r="AI1044" s="32"/>
      <c r="AJ1044" s="32"/>
      <c r="AK1044" s="32"/>
      <c r="AL1044" s="32"/>
      <c r="AM1044" s="32"/>
      <c r="AN1044" s="32"/>
      <c r="AO1044" s="32"/>
      <c r="AP1044" s="32"/>
      <c r="AQ1044" s="32"/>
      <c r="AR1044" s="32"/>
      <c r="AS1044" s="32"/>
      <c r="AT1044" s="32"/>
      <c r="AU1044" s="32"/>
      <c r="AV1044" s="32"/>
      <c r="AW1044" s="32"/>
      <c r="AX1044" s="32"/>
    </row>
    <row r="1045">
      <c r="A1045" s="32"/>
      <c r="B1045" s="32"/>
      <c r="C1045" s="32"/>
      <c r="D1045" s="32"/>
      <c r="E1045" s="32">
        <f>IFERROR(__xludf.DUMMYFUNCTION("""COMPUTED_VALUE"""),1.0)</f>
        <v>1</v>
      </c>
      <c r="F1045" s="44">
        <f>IFERROR(__xludf.DUMMYFUNCTION("""COMPUTED_VALUE"""),0.0)</f>
        <v>0</v>
      </c>
      <c r="G1045" s="32"/>
      <c r="H1045" s="32"/>
      <c r="I1045" s="32"/>
      <c r="J1045" s="32"/>
      <c r="K1045" s="32"/>
      <c r="L1045" s="32"/>
      <c r="M1045" s="32"/>
      <c r="N1045" s="32"/>
      <c r="O1045" s="32"/>
      <c r="P1045" s="32"/>
      <c r="Q1045" s="32"/>
      <c r="R1045" s="32"/>
      <c r="S1045" s="32"/>
      <c r="T1045" s="32"/>
      <c r="U1045" s="32"/>
      <c r="V1045" s="32"/>
      <c r="W1045" s="32"/>
      <c r="X1045" s="32"/>
      <c r="Y1045" s="32"/>
      <c r="Z1045" s="32"/>
      <c r="AA1045" s="32"/>
      <c r="AB1045" s="32"/>
      <c r="AC1045" s="32"/>
      <c r="AD1045" s="32"/>
      <c r="AE1045" s="32"/>
      <c r="AF1045" s="32"/>
      <c r="AG1045" s="32"/>
      <c r="AH1045" s="32" t="b">
        <f>IFERROR(__xludf.DUMMYFUNCTION("""COMPUTED_VALUE"""),FALSE)</f>
        <v>0</v>
      </c>
      <c r="AI1045" s="32"/>
      <c r="AJ1045" s="32"/>
      <c r="AK1045" s="32"/>
      <c r="AL1045" s="32"/>
      <c r="AM1045" s="32"/>
      <c r="AN1045" s="32"/>
      <c r="AO1045" s="32"/>
      <c r="AP1045" s="32"/>
      <c r="AQ1045" s="32"/>
      <c r="AR1045" s="32"/>
      <c r="AS1045" s="32"/>
      <c r="AT1045" s="32"/>
      <c r="AU1045" s="32"/>
      <c r="AV1045" s="32"/>
      <c r="AW1045" s="32"/>
      <c r="AX1045" s="32"/>
    </row>
    <row r="1046">
      <c r="A1046" s="32"/>
      <c r="B1046" s="32"/>
      <c r="C1046" s="32"/>
      <c r="D1046" s="32"/>
      <c r="E1046" s="32">
        <f>IFERROR(__xludf.DUMMYFUNCTION("""COMPUTED_VALUE"""),1.0)</f>
        <v>1</v>
      </c>
      <c r="F1046" s="44">
        <f>IFERROR(__xludf.DUMMYFUNCTION("""COMPUTED_VALUE"""),0.0)</f>
        <v>0</v>
      </c>
      <c r="G1046" s="32"/>
      <c r="H1046" s="32"/>
      <c r="I1046" s="32"/>
      <c r="J1046" s="32"/>
      <c r="K1046" s="32"/>
      <c r="L1046" s="32"/>
      <c r="M1046" s="32"/>
      <c r="N1046" s="32"/>
      <c r="O1046" s="32"/>
      <c r="P1046" s="32"/>
      <c r="Q1046" s="32"/>
      <c r="R1046" s="32"/>
      <c r="S1046" s="32"/>
      <c r="T1046" s="32"/>
      <c r="U1046" s="32"/>
      <c r="V1046" s="32"/>
      <c r="W1046" s="32"/>
      <c r="X1046" s="32"/>
      <c r="Y1046" s="32"/>
      <c r="Z1046" s="32"/>
      <c r="AA1046" s="32"/>
      <c r="AB1046" s="32"/>
      <c r="AC1046" s="32"/>
      <c r="AD1046" s="32"/>
      <c r="AE1046" s="32"/>
      <c r="AF1046" s="32"/>
      <c r="AG1046" s="32"/>
      <c r="AH1046" s="32" t="b">
        <f>IFERROR(__xludf.DUMMYFUNCTION("""COMPUTED_VALUE"""),FALSE)</f>
        <v>0</v>
      </c>
      <c r="AI1046" s="32"/>
      <c r="AJ1046" s="32"/>
      <c r="AK1046" s="32"/>
      <c r="AL1046" s="32"/>
      <c r="AM1046" s="32"/>
      <c r="AN1046" s="32"/>
      <c r="AO1046" s="32"/>
      <c r="AP1046" s="32"/>
      <c r="AQ1046" s="32"/>
      <c r="AR1046" s="32"/>
      <c r="AS1046" s="32"/>
      <c r="AT1046" s="32"/>
      <c r="AU1046" s="32"/>
      <c r="AV1046" s="32"/>
      <c r="AW1046" s="32"/>
      <c r="AX1046" s="32"/>
    </row>
    <row r="1047">
      <c r="A1047" s="32"/>
      <c r="B1047" s="32"/>
      <c r="C1047" s="32"/>
      <c r="D1047" s="32"/>
      <c r="E1047" s="32">
        <f>IFERROR(__xludf.DUMMYFUNCTION("""COMPUTED_VALUE"""),1.0)</f>
        <v>1</v>
      </c>
      <c r="F1047" s="44">
        <f>IFERROR(__xludf.DUMMYFUNCTION("""COMPUTED_VALUE"""),0.0)</f>
        <v>0</v>
      </c>
      <c r="G1047" s="32"/>
      <c r="H1047" s="32"/>
      <c r="I1047" s="32"/>
      <c r="J1047" s="32"/>
      <c r="K1047" s="32"/>
      <c r="L1047" s="32"/>
      <c r="M1047" s="32"/>
      <c r="N1047" s="32"/>
      <c r="O1047" s="32"/>
      <c r="P1047" s="32"/>
      <c r="Q1047" s="32"/>
      <c r="R1047" s="32"/>
      <c r="S1047" s="32"/>
      <c r="T1047" s="32"/>
      <c r="U1047" s="32"/>
      <c r="V1047" s="32"/>
      <c r="W1047" s="32"/>
      <c r="X1047" s="32"/>
      <c r="Y1047" s="32"/>
      <c r="Z1047" s="32"/>
      <c r="AA1047" s="32"/>
      <c r="AB1047" s="32"/>
      <c r="AC1047" s="32"/>
      <c r="AD1047" s="32"/>
      <c r="AE1047" s="32"/>
      <c r="AF1047" s="32"/>
      <c r="AG1047" s="32"/>
      <c r="AH1047" s="32" t="b">
        <f>IFERROR(__xludf.DUMMYFUNCTION("""COMPUTED_VALUE"""),FALSE)</f>
        <v>0</v>
      </c>
      <c r="AI1047" s="32"/>
      <c r="AJ1047" s="32"/>
      <c r="AK1047" s="32"/>
      <c r="AL1047" s="32"/>
      <c r="AM1047" s="32"/>
      <c r="AN1047" s="32"/>
      <c r="AO1047" s="32"/>
      <c r="AP1047" s="32"/>
      <c r="AQ1047" s="32"/>
      <c r="AR1047" s="32"/>
      <c r="AS1047" s="32"/>
      <c r="AT1047" s="32"/>
      <c r="AU1047" s="32"/>
      <c r="AV1047" s="32"/>
      <c r="AW1047" s="32"/>
      <c r="AX1047" s="32"/>
    </row>
    <row r="1048">
      <c r="A1048" s="32"/>
      <c r="B1048" s="32"/>
      <c r="C1048" s="32"/>
      <c r="D1048" s="32"/>
      <c r="E1048" s="32">
        <f>IFERROR(__xludf.DUMMYFUNCTION("""COMPUTED_VALUE"""),1.0)</f>
        <v>1</v>
      </c>
      <c r="F1048" s="44">
        <f>IFERROR(__xludf.DUMMYFUNCTION("""COMPUTED_VALUE"""),0.0)</f>
        <v>0</v>
      </c>
      <c r="G1048" s="32"/>
      <c r="H1048" s="32"/>
      <c r="I1048" s="32"/>
      <c r="J1048" s="32"/>
      <c r="K1048" s="32"/>
      <c r="L1048" s="32"/>
      <c r="M1048" s="32"/>
      <c r="N1048" s="32"/>
      <c r="O1048" s="32"/>
      <c r="P1048" s="32"/>
      <c r="Q1048" s="32"/>
      <c r="R1048" s="32"/>
      <c r="S1048" s="32"/>
      <c r="T1048" s="32"/>
      <c r="U1048" s="32"/>
      <c r="V1048" s="32"/>
      <c r="W1048" s="32"/>
      <c r="X1048" s="32"/>
      <c r="Y1048" s="32"/>
      <c r="Z1048" s="32"/>
      <c r="AA1048" s="32"/>
      <c r="AB1048" s="32"/>
      <c r="AC1048" s="32"/>
      <c r="AD1048" s="32"/>
      <c r="AE1048" s="32"/>
      <c r="AF1048" s="32"/>
      <c r="AG1048" s="32"/>
      <c r="AH1048" s="32" t="b">
        <f>IFERROR(__xludf.DUMMYFUNCTION("""COMPUTED_VALUE"""),FALSE)</f>
        <v>0</v>
      </c>
      <c r="AI1048" s="32"/>
      <c r="AJ1048" s="32"/>
      <c r="AK1048" s="32"/>
      <c r="AL1048" s="32"/>
      <c r="AM1048" s="32"/>
      <c r="AN1048" s="32"/>
      <c r="AO1048" s="32"/>
      <c r="AP1048" s="32"/>
      <c r="AQ1048" s="32"/>
      <c r="AR1048" s="32"/>
      <c r="AS1048" s="32"/>
      <c r="AT1048" s="32"/>
      <c r="AU1048" s="32"/>
      <c r="AV1048" s="32"/>
      <c r="AW1048" s="32"/>
      <c r="AX1048" s="32"/>
    </row>
    <row r="1049">
      <c r="A1049" s="32"/>
      <c r="B1049" s="32"/>
      <c r="C1049" s="32"/>
      <c r="D1049" s="32"/>
      <c r="E1049" s="32">
        <f>IFERROR(__xludf.DUMMYFUNCTION("""COMPUTED_VALUE"""),1.0)</f>
        <v>1</v>
      </c>
      <c r="F1049" s="44">
        <f>IFERROR(__xludf.DUMMYFUNCTION("""COMPUTED_VALUE"""),0.0)</f>
        <v>0</v>
      </c>
      <c r="G1049" s="32"/>
      <c r="H1049" s="32"/>
      <c r="I1049" s="32"/>
      <c r="J1049" s="32"/>
      <c r="K1049" s="32"/>
      <c r="L1049" s="32"/>
      <c r="M1049" s="32"/>
      <c r="N1049" s="32"/>
      <c r="O1049" s="32"/>
      <c r="P1049" s="32"/>
      <c r="Q1049" s="32"/>
      <c r="R1049" s="32"/>
      <c r="S1049" s="32"/>
      <c r="T1049" s="32"/>
      <c r="U1049" s="32"/>
      <c r="V1049" s="32"/>
      <c r="W1049" s="32"/>
      <c r="X1049" s="32"/>
      <c r="Y1049" s="32"/>
      <c r="Z1049" s="32"/>
      <c r="AA1049" s="32"/>
      <c r="AB1049" s="32"/>
      <c r="AC1049" s="32"/>
      <c r="AD1049" s="32"/>
      <c r="AE1049" s="32"/>
      <c r="AF1049" s="32"/>
      <c r="AG1049" s="32"/>
      <c r="AH1049" s="32" t="b">
        <f>IFERROR(__xludf.DUMMYFUNCTION("""COMPUTED_VALUE"""),FALSE)</f>
        <v>0</v>
      </c>
      <c r="AI1049" s="32"/>
      <c r="AJ1049" s="32"/>
      <c r="AK1049" s="32"/>
      <c r="AL1049" s="32"/>
      <c r="AM1049" s="32"/>
      <c r="AN1049" s="32"/>
      <c r="AO1049" s="32"/>
      <c r="AP1049" s="32"/>
      <c r="AQ1049" s="32"/>
      <c r="AR1049" s="32"/>
      <c r="AS1049" s="32"/>
      <c r="AT1049" s="32"/>
      <c r="AU1049" s="32"/>
      <c r="AV1049" s="32"/>
      <c r="AW1049" s="32"/>
      <c r="AX1049" s="32"/>
    </row>
    <row r="1050">
      <c r="A1050" s="32"/>
      <c r="B1050" s="32"/>
      <c r="C1050" s="32"/>
      <c r="D1050" s="32"/>
      <c r="E1050" s="32">
        <f>IFERROR(__xludf.DUMMYFUNCTION("""COMPUTED_VALUE"""),1.0)</f>
        <v>1</v>
      </c>
      <c r="F1050" s="44">
        <f>IFERROR(__xludf.DUMMYFUNCTION("""COMPUTED_VALUE"""),0.0)</f>
        <v>0</v>
      </c>
      <c r="G1050" s="32"/>
      <c r="H1050" s="32"/>
      <c r="I1050" s="32"/>
      <c r="J1050" s="32"/>
      <c r="K1050" s="32"/>
      <c r="L1050" s="32"/>
      <c r="M1050" s="32"/>
      <c r="N1050" s="32"/>
      <c r="O1050" s="32"/>
      <c r="P1050" s="32"/>
      <c r="Q1050" s="32"/>
      <c r="R1050" s="32"/>
      <c r="S1050" s="32"/>
      <c r="T1050" s="32"/>
      <c r="U1050" s="32"/>
      <c r="V1050" s="32"/>
      <c r="W1050" s="32"/>
      <c r="X1050" s="32"/>
      <c r="Y1050" s="32"/>
      <c r="Z1050" s="32"/>
      <c r="AA1050" s="32"/>
      <c r="AB1050" s="32"/>
      <c r="AC1050" s="32"/>
      <c r="AD1050" s="32"/>
      <c r="AE1050" s="32"/>
      <c r="AF1050" s="32"/>
      <c r="AG1050" s="32"/>
      <c r="AH1050" s="32" t="b">
        <f>IFERROR(__xludf.DUMMYFUNCTION("""COMPUTED_VALUE"""),FALSE)</f>
        <v>0</v>
      </c>
      <c r="AI1050" s="32"/>
      <c r="AJ1050" s="32"/>
      <c r="AK1050" s="32"/>
      <c r="AL1050" s="32"/>
      <c r="AM1050" s="32"/>
      <c r="AN1050" s="32"/>
      <c r="AO1050" s="32"/>
      <c r="AP1050" s="32"/>
      <c r="AQ1050" s="32"/>
      <c r="AR1050" s="32"/>
      <c r="AS1050" s="32"/>
      <c r="AT1050" s="32"/>
      <c r="AU1050" s="32"/>
      <c r="AV1050" s="32"/>
      <c r="AW1050" s="32"/>
      <c r="AX1050" s="32"/>
    </row>
    <row r="1051">
      <c r="A1051" s="32"/>
      <c r="B1051" s="32"/>
      <c r="C1051" s="32"/>
      <c r="D1051" s="32"/>
      <c r="E1051" s="32">
        <f>IFERROR(__xludf.DUMMYFUNCTION("""COMPUTED_VALUE"""),1.0)</f>
        <v>1</v>
      </c>
      <c r="F1051" s="44">
        <f>IFERROR(__xludf.DUMMYFUNCTION("""COMPUTED_VALUE"""),0.0)</f>
        <v>0</v>
      </c>
      <c r="G1051" s="32"/>
      <c r="H1051" s="32"/>
      <c r="I1051" s="32"/>
      <c r="J1051" s="32"/>
      <c r="K1051" s="32"/>
      <c r="L1051" s="32"/>
      <c r="M1051" s="32"/>
      <c r="N1051" s="32"/>
      <c r="O1051" s="32"/>
      <c r="P1051" s="32"/>
      <c r="Q1051" s="32"/>
      <c r="R1051" s="32"/>
      <c r="S1051" s="32"/>
      <c r="T1051" s="32"/>
      <c r="U1051" s="32"/>
      <c r="V1051" s="32"/>
      <c r="W1051" s="32"/>
      <c r="X1051" s="32"/>
      <c r="Y1051" s="32"/>
      <c r="Z1051" s="32"/>
      <c r="AA1051" s="32"/>
      <c r="AB1051" s="32"/>
      <c r="AC1051" s="32"/>
      <c r="AD1051" s="32"/>
      <c r="AE1051" s="32"/>
      <c r="AF1051" s="32"/>
      <c r="AG1051" s="32"/>
      <c r="AH1051" s="32" t="b">
        <f>IFERROR(__xludf.DUMMYFUNCTION("""COMPUTED_VALUE"""),FALSE)</f>
        <v>0</v>
      </c>
      <c r="AI1051" s="32"/>
      <c r="AJ1051" s="32"/>
      <c r="AK1051" s="32"/>
      <c r="AL1051" s="32"/>
      <c r="AM1051" s="32"/>
      <c r="AN1051" s="32"/>
      <c r="AO1051" s="32"/>
      <c r="AP1051" s="32"/>
      <c r="AQ1051" s="32"/>
      <c r="AR1051" s="32"/>
      <c r="AS1051" s="32"/>
      <c r="AT1051" s="32"/>
      <c r="AU1051" s="32"/>
      <c r="AV1051" s="32"/>
      <c r="AW1051" s="32"/>
      <c r="AX1051" s="32"/>
    </row>
    <row r="1052">
      <c r="A1052" s="32"/>
      <c r="B1052" s="32"/>
      <c r="C1052" s="32"/>
      <c r="D1052" s="32"/>
      <c r="E1052" s="32">
        <f>IFERROR(__xludf.DUMMYFUNCTION("""COMPUTED_VALUE"""),1.0)</f>
        <v>1</v>
      </c>
      <c r="F1052" s="44">
        <f>IFERROR(__xludf.DUMMYFUNCTION("""COMPUTED_VALUE"""),0.0)</f>
        <v>0</v>
      </c>
      <c r="G1052" s="32"/>
      <c r="H1052" s="32"/>
      <c r="I1052" s="32"/>
      <c r="J1052" s="32"/>
      <c r="K1052" s="32"/>
      <c r="L1052" s="32"/>
      <c r="M1052" s="32"/>
      <c r="N1052" s="32"/>
      <c r="O1052" s="32"/>
      <c r="P1052" s="32"/>
      <c r="Q1052" s="32"/>
      <c r="R1052" s="32"/>
      <c r="S1052" s="32"/>
      <c r="T1052" s="32"/>
      <c r="U1052" s="32"/>
      <c r="V1052" s="32"/>
      <c r="W1052" s="32"/>
      <c r="X1052" s="32"/>
      <c r="Y1052" s="32"/>
      <c r="Z1052" s="32"/>
      <c r="AA1052" s="32"/>
      <c r="AB1052" s="32"/>
      <c r="AC1052" s="32"/>
      <c r="AD1052" s="32"/>
      <c r="AE1052" s="32"/>
      <c r="AF1052" s="32"/>
      <c r="AG1052" s="32"/>
      <c r="AH1052" s="32" t="b">
        <f>IFERROR(__xludf.DUMMYFUNCTION("""COMPUTED_VALUE"""),FALSE)</f>
        <v>0</v>
      </c>
      <c r="AI1052" s="32"/>
      <c r="AJ1052" s="32"/>
      <c r="AK1052" s="32"/>
      <c r="AL1052" s="32"/>
      <c r="AM1052" s="32"/>
      <c r="AN1052" s="32"/>
      <c r="AO1052" s="32"/>
      <c r="AP1052" s="32"/>
      <c r="AQ1052" s="32"/>
      <c r="AR1052" s="32"/>
      <c r="AS1052" s="32"/>
      <c r="AT1052" s="32"/>
      <c r="AU1052" s="32"/>
      <c r="AV1052" s="32"/>
      <c r="AW1052" s="32"/>
      <c r="AX1052" s="32"/>
    </row>
    <row r="1053">
      <c r="A1053" s="32"/>
      <c r="B1053" s="32"/>
      <c r="C1053" s="32"/>
      <c r="D1053" s="32"/>
      <c r="E1053" s="32">
        <f>IFERROR(__xludf.DUMMYFUNCTION("""COMPUTED_VALUE"""),1.0)</f>
        <v>1</v>
      </c>
      <c r="F1053" s="44">
        <f>IFERROR(__xludf.DUMMYFUNCTION("""COMPUTED_VALUE"""),0.0)</f>
        <v>0</v>
      </c>
      <c r="G1053" s="32"/>
      <c r="H1053" s="32"/>
      <c r="I1053" s="32"/>
      <c r="J1053" s="32"/>
      <c r="K1053" s="32"/>
      <c r="L1053" s="32"/>
      <c r="M1053" s="32"/>
      <c r="N1053" s="32"/>
      <c r="O1053" s="32"/>
      <c r="P1053" s="32"/>
      <c r="Q1053" s="32"/>
      <c r="R1053" s="32"/>
      <c r="S1053" s="32"/>
      <c r="T1053" s="32"/>
      <c r="U1053" s="32"/>
      <c r="V1053" s="32"/>
      <c r="W1053" s="32"/>
      <c r="X1053" s="32"/>
      <c r="Y1053" s="32"/>
      <c r="Z1053" s="32"/>
      <c r="AA1053" s="32"/>
      <c r="AB1053" s="32"/>
      <c r="AC1053" s="32"/>
      <c r="AD1053" s="32"/>
      <c r="AE1053" s="32"/>
      <c r="AF1053" s="32"/>
      <c r="AG1053" s="32"/>
      <c r="AH1053" s="32" t="b">
        <f>IFERROR(__xludf.DUMMYFUNCTION("""COMPUTED_VALUE"""),FALSE)</f>
        <v>0</v>
      </c>
      <c r="AI1053" s="32"/>
      <c r="AJ1053" s="32"/>
      <c r="AK1053" s="32"/>
      <c r="AL1053" s="32"/>
      <c r="AM1053" s="32"/>
      <c r="AN1053" s="32"/>
      <c r="AO1053" s="32"/>
      <c r="AP1053" s="32"/>
      <c r="AQ1053" s="32"/>
      <c r="AR1053" s="32"/>
      <c r="AS1053" s="32"/>
      <c r="AT1053" s="32"/>
      <c r="AU1053" s="32"/>
      <c r="AV1053" s="32"/>
      <c r="AW1053" s="32"/>
      <c r="AX1053" s="32"/>
    </row>
    <row r="1054">
      <c r="A1054" s="32"/>
      <c r="B1054" s="32"/>
      <c r="C1054" s="32"/>
      <c r="D1054" s="32"/>
      <c r="E1054" s="32">
        <f>IFERROR(__xludf.DUMMYFUNCTION("""COMPUTED_VALUE"""),1.0)</f>
        <v>1</v>
      </c>
      <c r="F1054" s="44">
        <f>IFERROR(__xludf.DUMMYFUNCTION("""COMPUTED_VALUE"""),0.0)</f>
        <v>0</v>
      </c>
      <c r="G1054" s="32"/>
      <c r="H1054" s="32"/>
      <c r="I1054" s="32"/>
      <c r="J1054" s="32"/>
      <c r="K1054" s="32"/>
      <c r="L1054" s="32"/>
      <c r="M1054" s="32"/>
      <c r="N1054" s="32"/>
      <c r="O1054" s="32"/>
      <c r="P1054" s="32"/>
      <c r="Q1054" s="32"/>
      <c r="R1054" s="32"/>
      <c r="S1054" s="32"/>
      <c r="T1054" s="32"/>
      <c r="U1054" s="32"/>
      <c r="V1054" s="32"/>
      <c r="W1054" s="32"/>
      <c r="X1054" s="32"/>
      <c r="Y1054" s="32"/>
      <c r="Z1054" s="32"/>
      <c r="AA1054" s="32"/>
      <c r="AB1054" s="32"/>
      <c r="AC1054" s="32"/>
      <c r="AD1054" s="32"/>
      <c r="AE1054" s="32"/>
      <c r="AF1054" s="32"/>
      <c r="AG1054" s="32"/>
      <c r="AH1054" s="32" t="b">
        <f>IFERROR(__xludf.DUMMYFUNCTION("""COMPUTED_VALUE"""),FALSE)</f>
        <v>0</v>
      </c>
      <c r="AI1054" s="32"/>
      <c r="AJ1054" s="32"/>
      <c r="AK1054" s="32"/>
      <c r="AL1054" s="32"/>
      <c r="AM1054" s="32"/>
      <c r="AN1054" s="32"/>
      <c r="AO1054" s="32"/>
      <c r="AP1054" s="32"/>
      <c r="AQ1054" s="32"/>
      <c r="AR1054" s="32"/>
      <c r="AS1054" s="32"/>
      <c r="AT1054" s="32"/>
      <c r="AU1054" s="32"/>
      <c r="AV1054" s="32"/>
      <c r="AW1054" s="32"/>
      <c r="AX1054" s="32"/>
    </row>
    <row r="1055">
      <c r="A1055" s="32"/>
      <c r="B1055" s="32"/>
      <c r="C1055" s="32"/>
      <c r="D1055" s="32"/>
      <c r="E1055" s="32">
        <f>IFERROR(__xludf.DUMMYFUNCTION("""COMPUTED_VALUE"""),1.0)</f>
        <v>1</v>
      </c>
      <c r="F1055" s="44">
        <f>IFERROR(__xludf.DUMMYFUNCTION("""COMPUTED_VALUE"""),0.0)</f>
        <v>0</v>
      </c>
      <c r="G1055" s="32"/>
      <c r="H1055" s="32"/>
      <c r="I1055" s="32"/>
      <c r="J1055" s="32"/>
      <c r="K1055" s="32"/>
      <c r="L1055" s="32"/>
      <c r="M1055" s="32"/>
      <c r="N1055" s="32"/>
      <c r="O1055" s="32"/>
      <c r="P1055" s="32"/>
      <c r="Q1055" s="32"/>
      <c r="R1055" s="32"/>
      <c r="S1055" s="32"/>
      <c r="T1055" s="32"/>
      <c r="U1055" s="32"/>
      <c r="V1055" s="32"/>
      <c r="W1055" s="32"/>
      <c r="X1055" s="32"/>
      <c r="Y1055" s="32"/>
      <c r="Z1055" s="32"/>
      <c r="AA1055" s="32"/>
      <c r="AB1055" s="32"/>
      <c r="AC1055" s="32"/>
      <c r="AD1055" s="32"/>
      <c r="AE1055" s="32"/>
      <c r="AF1055" s="32"/>
      <c r="AG1055" s="32"/>
      <c r="AH1055" s="32" t="b">
        <f>IFERROR(__xludf.DUMMYFUNCTION("""COMPUTED_VALUE"""),FALSE)</f>
        <v>0</v>
      </c>
      <c r="AI1055" s="32"/>
      <c r="AJ1055" s="32"/>
      <c r="AK1055" s="32"/>
      <c r="AL1055" s="32"/>
      <c r="AM1055" s="32"/>
      <c r="AN1055" s="32"/>
      <c r="AO1055" s="32"/>
      <c r="AP1055" s="32"/>
      <c r="AQ1055" s="32"/>
      <c r="AR1055" s="32"/>
      <c r="AS1055" s="32"/>
      <c r="AT1055" s="32"/>
      <c r="AU1055" s="32"/>
      <c r="AV1055" s="32"/>
      <c r="AW1055" s="32"/>
      <c r="AX1055" s="32"/>
    </row>
    <row r="1056">
      <c r="A1056" s="32"/>
      <c r="B1056" s="32"/>
      <c r="C1056" s="32"/>
      <c r="D1056" s="32"/>
      <c r="E1056" s="32">
        <f>IFERROR(__xludf.DUMMYFUNCTION("""COMPUTED_VALUE"""),1.0)</f>
        <v>1</v>
      </c>
      <c r="F1056" s="44">
        <f>IFERROR(__xludf.DUMMYFUNCTION("""COMPUTED_VALUE"""),0.0)</f>
        <v>0</v>
      </c>
      <c r="G1056" s="32"/>
      <c r="H1056" s="32"/>
      <c r="I1056" s="32"/>
      <c r="J1056" s="32"/>
      <c r="K1056" s="32"/>
      <c r="L1056" s="32"/>
      <c r="M1056" s="32"/>
      <c r="N1056" s="32"/>
      <c r="O1056" s="32"/>
      <c r="P1056" s="32"/>
      <c r="Q1056" s="32"/>
      <c r="R1056" s="32"/>
      <c r="S1056" s="32"/>
      <c r="T1056" s="32"/>
      <c r="U1056" s="32"/>
      <c r="V1056" s="32"/>
      <c r="W1056" s="32"/>
      <c r="X1056" s="32"/>
      <c r="Y1056" s="32"/>
      <c r="Z1056" s="32"/>
      <c r="AA1056" s="32"/>
      <c r="AB1056" s="32"/>
      <c r="AC1056" s="32"/>
      <c r="AD1056" s="32"/>
      <c r="AE1056" s="32"/>
      <c r="AF1056" s="32"/>
      <c r="AG1056" s="32"/>
      <c r="AH1056" s="32" t="b">
        <f>IFERROR(__xludf.DUMMYFUNCTION("""COMPUTED_VALUE"""),FALSE)</f>
        <v>0</v>
      </c>
      <c r="AI1056" s="32"/>
      <c r="AJ1056" s="32"/>
      <c r="AK1056" s="32"/>
      <c r="AL1056" s="32"/>
      <c r="AM1056" s="32"/>
      <c r="AN1056" s="32"/>
      <c r="AO1056" s="32"/>
      <c r="AP1056" s="32"/>
      <c r="AQ1056" s="32"/>
      <c r="AR1056" s="32"/>
      <c r="AS1056" s="32"/>
      <c r="AT1056" s="32"/>
      <c r="AU1056" s="32"/>
      <c r="AV1056" s="32"/>
      <c r="AW1056" s="32"/>
      <c r="AX1056" s="32"/>
    </row>
    <row r="1057">
      <c r="A1057" s="32"/>
      <c r="B1057" s="32"/>
      <c r="C1057" s="32"/>
      <c r="D1057" s="32"/>
      <c r="E1057" s="32">
        <f>IFERROR(__xludf.DUMMYFUNCTION("""COMPUTED_VALUE"""),1.0)</f>
        <v>1</v>
      </c>
      <c r="F1057" s="44">
        <f>IFERROR(__xludf.DUMMYFUNCTION("""COMPUTED_VALUE"""),0.0)</f>
        <v>0</v>
      </c>
      <c r="G1057" s="32"/>
      <c r="H1057" s="32"/>
      <c r="I1057" s="32"/>
      <c r="J1057" s="32"/>
      <c r="K1057" s="32"/>
      <c r="L1057" s="32"/>
      <c r="M1057" s="32"/>
      <c r="N1057" s="32"/>
      <c r="O1057" s="32"/>
      <c r="P1057" s="32"/>
      <c r="Q1057" s="32"/>
      <c r="R1057" s="32"/>
      <c r="S1057" s="32"/>
      <c r="T1057" s="32"/>
      <c r="U1057" s="32"/>
      <c r="V1057" s="32"/>
      <c r="W1057" s="32"/>
      <c r="X1057" s="32"/>
      <c r="Y1057" s="32"/>
      <c r="Z1057" s="32"/>
      <c r="AA1057" s="32"/>
      <c r="AB1057" s="32"/>
      <c r="AC1057" s="32"/>
      <c r="AD1057" s="32"/>
      <c r="AE1057" s="32"/>
      <c r="AF1057" s="32"/>
      <c r="AG1057" s="32"/>
      <c r="AH1057" s="32" t="b">
        <f>IFERROR(__xludf.DUMMYFUNCTION("""COMPUTED_VALUE"""),FALSE)</f>
        <v>0</v>
      </c>
      <c r="AI1057" s="32"/>
      <c r="AJ1057" s="32"/>
      <c r="AK1057" s="32"/>
      <c r="AL1057" s="32"/>
      <c r="AM1057" s="32"/>
      <c r="AN1057" s="32"/>
      <c r="AO1057" s="32"/>
      <c r="AP1057" s="32"/>
      <c r="AQ1057" s="32"/>
      <c r="AR1057" s="32"/>
      <c r="AS1057" s="32"/>
      <c r="AT1057" s="32"/>
      <c r="AU1057" s="32"/>
      <c r="AV1057" s="32"/>
      <c r="AW1057" s="32"/>
      <c r="AX1057" s="32"/>
    </row>
    <row r="1058">
      <c r="A1058" s="32"/>
      <c r="B1058" s="32"/>
      <c r="C1058" s="32"/>
      <c r="D1058" s="32"/>
      <c r="E1058" s="32">
        <f>IFERROR(__xludf.DUMMYFUNCTION("""COMPUTED_VALUE"""),1.0)</f>
        <v>1</v>
      </c>
      <c r="F1058" s="44">
        <f>IFERROR(__xludf.DUMMYFUNCTION("""COMPUTED_VALUE"""),0.0)</f>
        <v>0</v>
      </c>
      <c r="G1058" s="32"/>
      <c r="H1058" s="32"/>
      <c r="I1058" s="32"/>
      <c r="J1058" s="32"/>
      <c r="K1058" s="32"/>
      <c r="L1058" s="32"/>
      <c r="M1058" s="32"/>
      <c r="N1058" s="32"/>
      <c r="O1058" s="32"/>
      <c r="P1058" s="32"/>
      <c r="Q1058" s="32"/>
      <c r="R1058" s="32"/>
      <c r="S1058" s="32"/>
      <c r="T1058" s="32"/>
      <c r="U1058" s="32"/>
      <c r="V1058" s="32"/>
      <c r="W1058" s="32"/>
      <c r="X1058" s="32"/>
      <c r="Y1058" s="32"/>
      <c r="Z1058" s="32"/>
      <c r="AA1058" s="32"/>
      <c r="AB1058" s="32"/>
      <c r="AC1058" s="32"/>
      <c r="AD1058" s="32"/>
      <c r="AE1058" s="32"/>
      <c r="AF1058" s="32"/>
      <c r="AG1058" s="32"/>
      <c r="AH1058" s="32" t="b">
        <f>IFERROR(__xludf.DUMMYFUNCTION("""COMPUTED_VALUE"""),FALSE)</f>
        <v>0</v>
      </c>
      <c r="AI1058" s="32"/>
      <c r="AJ1058" s="32"/>
      <c r="AK1058" s="32"/>
      <c r="AL1058" s="32"/>
      <c r="AM1058" s="32"/>
      <c r="AN1058" s="32"/>
      <c r="AO1058" s="32"/>
      <c r="AP1058" s="32"/>
      <c r="AQ1058" s="32"/>
      <c r="AR1058" s="32"/>
      <c r="AS1058" s="32"/>
      <c r="AT1058" s="32"/>
      <c r="AU1058" s="32"/>
      <c r="AV1058" s="32"/>
      <c r="AW1058" s="32"/>
      <c r="AX1058" s="32"/>
    </row>
    <row r="1059">
      <c r="A1059" s="32"/>
      <c r="B1059" s="32"/>
      <c r="C1059" s="32"/>
      <c r="D1059" s="32"/>
      <c r="E1059" s="32">
        <f>IFERROR(__xludf.DUMMYFUNCTION("""COMPUTED_VALUE"""),1.0)</f>
        <v>1</v>
      </c>
      <c r="F1059" s="44">
        <f>IFERROR(__xludf.DUMMYFUNCTION("""COMPUTED_VALUE"""),0.0)</f>
        <v>0</v>
      </c>
      <c r="G1059" s="32"/>
      <c r="H1059" s="32"/>
      <c r="I1059" s="32"/>
      <c r="J1059" s="32"/>
      <c r="K1059" s="32"/>
      <c r="L1059" s="32"/>
      <c r="M1059" s="32"/>
      <c r="N1059" s="32"/>
      <c r="O1059" s="32"/>
      <c r="P1059" s="32"/>
      <c r="Q1059" s="32"/>
      <c r="R1059" s="32"/>
      <c r="S1059" s="32"/>
      <c r="T1059" s="32"/>
      <c r="U1059" s="32"/>
      <c r="V1059" s="32"/>
      <c r="W1059" s="32"/>
      <c r="X1059" s="32"/>
      <c r="Y1059" s="32"/>
      <c r="Z1059" s="32"/>
      <c r="AA1059" s="32"/>
      <c r="AB1059" s="32"/>
      <c r="AC1059" s="32"/>
      <c r="AD1059" s="32"/>
      <c r="AE1059" s="32"/>
      <c r="AF1059" s="32"/>
      <c r="AG1059" s="32"/>
      <c r="AH1059" s="32" t="b">
        <f>IFERROR(__xludf.DUMMYFUNCTION("""COMPUTED_VALUE"""),FALSE)</f>
        <v>0</v>
      </c>
      <c r="AI1059" s="32"/>
      <c r="AJ1059" s="32"/>
      <c r="AK1059" s="32"/>
      <c r="AL1059" s="32"/>
      <c r="AM1059" s="32"/>
      <c r="AN1059" s="32"/>
      <c r="AO1059" s="32"/>
      <c r="AP1059" s="32"/>
      <c r="AQ1059" s="32"/>
      <c r="AR1059" s="32"/>
      <c r="AS1059" s="32"/>
      <c r="AT1059" s="32"/>
      <c r="AU1059" s="32"/>
      <c r="AV1059" s="32"/>
      <c r="AW1059" s="32"/>
      <c r="AX1059" s="32"/>
    </row>
    <row r="1060">
      <c r="A1060" s="32"/>
      <c r="B1060" s="32"/>
      <c r="C1060" s="32"/>
      <c r="D1060" s="32"/>
      <c r="E1060" s="32">
        <f>IFERROR(__xludf.DUMMYFUNCTION("""COMPUTED_VALUE"""),1.0)</f>
        <v>1</v>
      </c>
      <c r="F1060" s="44">
        <f>IFERROR(__xludf.DUMMYFUNCTION("""COMPUTED_VALUE"""),0.0)</f>
        <v>0</v>
      </c>
      <c r="G1060" s="32"/>
      <c r="H1060" s="32"/>
      <c r="I1060" s="32"/>
      <c r="J1060" s="32"/>
      <c r="K1060" s="32"/>
      <c r="L1060" s="32"/>
      <c r="M1060" s="32"/>
      <c r="N1060" s="32"/>
      <c r="O1060" s="32"/>
      <c r="P1060" s="32"/>
      <c r="Q1060" s="32"/>
      <c r="R1060" s="32"/>
      <c r="S1060" s="32"/>
      <c r="T1060" s="32"/>
      <c r="U1060" s="32"/>
      <c r="V1060" s="32"/>
      <c r="W1060" s="32"/>
      <c r="X1060" s="32"/>
      <c r="Y1060" s="32"/>
      <c r="Z1060" s="32"/>
      <c r="AA1060" s="32"/>
      <c r="AB1060" s="32"/>
      <c r="AC1060" s="32"/>
      <c r="AD1060" s="32"/>
      <c r="AE1060" s="32"/>
      <c r="AF1060" s="32"/>
      <c r="AG1060" s="32"/>
      <c r="AH1060" s="32" t="b">
        <f>IFERROR(__xludf.DUMMYFUNCTION("""COMPUTED_VALUE"""),FALSE)</f>
        <v>0</v>
      </c>
      <c r="AI1060" s="32"/>
      <c r="AJ1060" s="32"/>
      <c r="AK1060" s="32"/>
      <c r="AL1060" s="32"/>
      <c r="AM1060" s="32"/>
      <c r="AN1060" s="32"/>
      <c r="AO1060" s="32"/>
      <c r="AP1060" s="32"/>
      <c r="AQ1060" s="32"/>
      <c r="AR1060" s="32"/>
      <c r="AS1060" s="32"/>
      <c r="AT1060" s="32"/>
      <c r="AU1060" s="32"/>
      <c r="AV1060" s="32"/>
      <c r="AW1060" s="32"/>
      <c r="AX1060" s="32"/>
    </row>
    <row r="1061">
      <c r="A1061" s="32"/>
      <c r="B1061" s="32"/>
      <c r="C1061" s="32"/>
      <c r="D1061" s="32"/>
      <c r="E1061" s="32">
        <f>IFERROR(__xludf.DUMMYFUNCTION("""COMPUTED_VALUE"""),1.0)</f>
        <v>1</v>
      </c>
      <c r="F1061" s="44">
        <f>IFERROR(__xludf.DUMMYFUNCTION("""COMPUTED_VALUE"""),0.0)</f>
        <v>0</v>
      </c>
      <c r="G1061" s="32"/>
      <c r="H1061" s="32"/>
      <c r="I1061" s="32"/>
      <c r="J1061" s="32"/>
      <c r="K1061" s="32"/>
      <c r="L1061" s="32"/>
      <c r="M1061" s="32"/>
      <c r="N1061" s="32"/>
      <c r="O1061" s="32"/>
      <c r="P1061" s="32"/>
      <c r="Q1061" s="32"/>
      <c r="R1061" s="32"/>
      <c r="S1061" s="32"/>
      <c r="T1061" s="32"/>
      <c r="U1061" s="32"/>
      <c r="V1061" s="32"/>
      <c r="W1061" s="32"/>
      <c r="X1061" s="32"/>
      <c r="Y1061" s="32"/>
      <c r="Z1061" s="32"/>
      <c r="AA1061" s="32"/>
      <c r="AB1061" s="32"/>
      <c r="AC1061" s="32"/>
      <c r="AD1061" s="32"/>
      <c r="AE1061" s="32"/>
      <c r="AF1061" s="32"/>
      <c r="AG1061" s="32"/>
      <c r="AH1061" s="32" t="b">
        <f>IFERROR(__xludf.DUMMYFUNCTION("""COMPUTED_VALUE"""),FALSE)</f>
        <v>0</v>
      </c>
      <c r="AI1061" s="32"/>
      <c r="AJ1061" s="32"/>
      <c r="AK1061" s="32"/>
      <c r="AL1061" s="32"/>
      <c r="AM1061" s="32"/>
      <c r="AN1061" s="32"/>
      <c r="AO1061" s="32"/>
      <c r="AP1061" s="32"/>
      <c r="AQ1061" s="32"/>
      <c r="AR1061" s="32"/>
      <c r="AS1061" s="32"/>
      <c r="AT1061" s="32"/>
      <c r="AU1061" s="32"/>
      <c r="AV1061" s="32"/>
      <c r="AW1061" s="32"/>
      <c r="AX1061" s="32"/>
    </row>
    <row r="1062">
      <c r="A1062" s="32"/>
      <c r="B1062" s="32"/>
      <c r="C1062" s="32"/>
      <c r="D1062" s="32"/>
      <c r="E1062" s="32">
        <f>IFERROR(__xludf.DUMMYFUNCTION("""COMPUTED_VALUE"""),1.0)</f>
        <v>1</v>
      </c>
      <c r="F1062" s="44">
        <f>IFERROR(__xludf.DUMMYFUNCTION("""COMPUTED_VALUE"""),0.0)</f>
        <v>0</v>
      </c>
      <c r="G1062" s="32"/>
      <c r="H1062" s="32"/>
      <c r="I1062" s="32"/>
      <c r="J1062" s="32"/>
      <c r="K1062" s="32"/>
      <c r="L1062" s="32"/>
      <c r="M1062" s="32"/>
      <c r="N1062" s="32"/>
      <c r="O1062" s="32"/>
      <c r="P1062" s="32"/>
      <c r="Q1062" s="32"/>
      <c r="R1062" s="32"/>
      <c r="S1062" s="32"/>
      <c r="T1062" s="32"/>
      <c r="U1062" s="32"/>
      <c r="V1062" s="32"/>
      <c r="W1062" s="32"/>
      <c r="X1062" s="32"/>
      <c r="Y1062" s="32"/>
      <c r="Z1062" s="32"/>
      <c r="AA1062" s="32"/>
      <c r="AB1062" s="32"/>
      <c r="AC1062" s="32"/>
      <c r="AD1062" s="32"/>
      <c r="AE1062" s="32"/>
      <c r="AF1062" s="32"/>
      <c r="AG1062" s="32"/>
      <c r="AH1062" s="32" t="b">
        <f>IFERROR(__xludf.DUMMYFUNCTION("""COMPUTED_VALUE"""),FALSE)</f>
        <v>0</v>
      </c>
      <c r="AI1062" s="32"/>
      <c r="AJ1062" s="32"/>
      <c r="AK1062" s="32"/>
      <c r="AL1062" s="32"/>
      <c r="AM1062" s="32"/>
      <c r="AN1062" s="32"/>
      <c r="AO1062" s="32"/>
      <c r="AP1062" s="32"/>
      <c r="AQ1062" s="32"/>
      <c r="AR1062" s="32"/>
      <c r="AS1062" s="32"/>
      <c r="AT1062" s="32"/>
      <c r="AU1062" s="32"/>
      <c r="AV1062" s="32"/>
      <c r="AW1062" s="32"/>
      <c r="AX1062" s="32"/>
    </row>
    <row r="1063">
      <c r="A1063" s="32"/>
      <c r="B1063" s="32"/>
      <c r="C1063" s="32"/>
      <c r="D1063" s="32"/>
      <c r="E1063" s="32">
        <f>IFERROR(__xludf.DUMMYFUNCTION("""COMPUTED_VALUE"""),1.0)</f>
        <v>1</v>
      </c>
      <c r="F1063" s="44">
        <f>IFERROR(__xludf.DUMMYFUNCTION("""COMPUTED_VALUE"""),0.0)</f>
        <v>0</v>
      </c>
      <c r="G1063" s="32"/>
      <c r="H1063" s="32"/>
      <c r="I1063" s="32"/>
      <c r="J1063" s="32"/>
      <c r="K1063" s="32"/>
      <c r="L1063" s="32"/>
      <c r="M1063" s="32"/>
      <c r="N1063" s="32"/>
      <c r="O1063" s="32"/>
      <c r="P1063" s="32"/>
      <c r="Q1063" s="32"/>
      <c r="R1063" s="32"/>
      <c r="S1063" s="32"/>
      <c r="T1063" s="32"/>
      <c r="U1063" s="32"/>
      <c r="V1063" s="32"/>
      <c r="W1063" s="32"/>
      <c r="X1063" s="32"/>
      <c r="Y1063" s="32"/>
      <c r="Z1063" s="32"/>
      <c r="AA1063" s="32"/>
      <c r="AB1063" s="32"/>
      <c r="AC1063" s="32"/>
      <c r="AD1063" s="32"/>
      <c r="AE1063" s="32"/>
      <c r="AF1063" s="32"/>
      <c r="AG1063" s="32"/>
      <c r="AH1063" s="32" t="b">
        <f>IFERROR(__xludf.DUMMYFUNCTION("""COMPUTED_VALUE"""),FALSE)</f>
        <v>0</v>
      </c>
      <c r="AI1063" s="32"/>
      <c r="AJ1063" s="32"/>
      <c r="AK1063" s="32"/>
      <c r="AL1063" s="32"/>
      <c r="AM1063" s="32"/>
      <c r="AN1063" s="32"/>
      <c r="AO1063" s="32"/>
      <c r="AP1063" s="32"/>
      <c r="AQ1063" s="32"/>
      <c r="AR1063" s="32"/>
      <c r="AS1063" s="32"/>
      <c r="AT1063" s="32"/>
      <c r="AU1063" s="32"/>
      <c r="AV1063" s="32"/>
      <c r="AW1063" s="32"/>
      <c r="AX1063" s="32"/>
    </row>
    <row r="1064">
      <c r="A1064" s="32"/>
      <c r="B1064" s="32"/>
      <c r="C1064" s="32"/>
      <c r="D1064" s="32"/>
      <c r="E1064" s="32">
        <f>IFERROR(__xludf.DUMMYFUNCTION("""COMPUTED_VALUE"""),1.0)</f>
        <v>1</v>
      </c>
      <c r="F1064" s="44">
        <f>IFERROR(__xludf.DUMMYFUNCTION("""COMPUTED_VALUE"""),0.0)</f>
        <v>0</v>
      </c>
      <c r="G1064" s="32"/>
      <c r="H1064" s="32"/>
      <c r="I1064" s="32"/>
      <c r="J1064" s="32"/>
      <c r="K1064" s="32"/>
      <c r="L1064" s="32"/>
      <c r="M1064" s="32"/>
      <c r="N1064" s="32"/>
      <c r="O1064" s="32"/>
      <c r="P1064" s="32"/>
      <c r="Q1064" s="32"/>
      <c r="R1064" s="32"/>
      <c r="S1064" s="32"/>
      <c r="T1064" s="32"/>
      <c r="U1064" s="32"/>
      <c r="V1064" s="32"/>
      <c r="W1064" s="32"/>
      <c r="X1064" s="32"/>
      <c r="Y1064" s="32"/>
      <c r="Z1064" s="32"/>
      <c r="AA1064" s="32"/>
      <c r="AB1064" s="32"/>
      <c r="AC1064" s="32"/>
      <c r="AD1064" s="32"/>
      <c r="AE1064" s="32"/>
      <c r="AF1064" s="32"/>
      <c r="AG1064" s="32"/>
      <c r="AH1064" s="32" t="b">
        <f>IFERROR(__xludf.DUMMYFUNCTION("""COMPUTED_VALUE"""),FALSE)</f>
        <v>0</v>
      </c>
      <c r="AI1064" s="32"/>
      <c r="AJ1064" s="32"/>
      <c r="AK1064" s="32"/>
      <c r="AL1064" s="32"/>
      <c r="AM1064" s="32"/>
      <c r="AN1064" s="32"/>
      <c r="AO1064" s="32"/>
      <c r="AP1064" s="32"/>
      <c r="AQ1064" s="32"/>
      <c r="AR1064" s="32"/>
      <c r="AS1064" s="32"/>
      <c r="AT1064" s="32"/>
      <c r="AU1064" s="32"/>
      <c r="AV1064" s="32"/>
      <c r="AW1064" s="32"/>
      <c r="AX1064" s="32"/>
    </row>
    <row r="1065">
      <c r="A1065" s="32"/>
      <c r="B1065" s="32"/>
      <c r="C1065" s="32"/>
      <c r="D1065" s="32"/>
      <c r="E1065" s="32">
        <f>IFERROR(__xludf.DUMMYFUNCTION("""COMPUTED_VALUE"""),1.0)</f>
        <v>1</v>
      </c>
      <c r="F1065" s="44">
        <f>IFERROR(__xludf.DUMMYFUNCTION("""COMPUTED_VALUE"""),0.0)</f>
        <v>0</v>
      </c>
      <c r="G1065" s="32"/>
      <c r="H1065" s="32"/>
      <c r="I1065" s="32"/>
      <c r="J1065" s="32"/>
      <c r="K1065" s="32"/>
      <c r="L1065" s="32"/>
      <c r="M1065" s="32"/>
      <c r="N1065" s="32"/>
      <c r="O1065" s="32"/>
      <c r="P1065" s="32"/>
      <c r="Q1065" s="32"/>
      <c r="R1065" s="32"/>
      <c r="S1065" s="32"/>
      <c r="T1065" s="32"/>
      <c r="U1065" s="32"/>
      <c r="V1065" s="32"/>
      <c r="W1065" s="32"/>
      <c r="X1065" s="32"/>
      <c r="Y1065" s="32"/>
      <c r="Z1065" s="32"/>
      <c r="AA1065" s="32"/>
      <c r="AB1065" s="32"/>
      <c r="AC1065" s="32"/>
      <c r="AD1065" s="32"/>
      <c r="AE1065" s="32"/>
      <c r="AF1065" s="32"/>
      <c r="AG1065" s="32"/>
      <c r="AH1065" s="32" t="b">
        <f>IFERROR(__xludf.DUMMYFUNCTION("""COMPUTED_VALUE"""),FALSE)</f>
        <v>0</v>
      </c>
      <c r="AI1065" s="32"/>
      <c r="AJ1065" s="32"/>
      <c r="AK1065" s="32"/>
      <c r="AL1065" s="32"/>
      <c r="AM1065" s="32"/>
      <c r="AN1065" s="32"/>
      <c r="AO1065" s="32"/>
      <c r="AP1065" s="32"/>
      <c r="AQ1065" s="32"/>
      <c r="AR1065" s="32"/>
      <c r="AS1065" s="32"/>
      <c r="AT1065" s="32"/>
      <c r="AU1065" s="32"/>
      <c r="AV1065" s="32"/>
      <c r="AW1065" s="32"/>
      <c r="AX1065" s="32"/>
    </row>
    <row r="1066">
      <c r="A1066" s="32"/>
      <c r="B1066" s="32"/>
      <c r="C1066" s="32"/>
      <c r="D1066" s="32"/>
      <c r="E1066" s="32">
        <f>IFERROR(__xludf.DUMMYFUNCTION("""COMPUTED_VALUE"""),1.0)</f>
        <v>1</v>
      </c>
      <c r="F1066" s="44">
        <f>IFERROR(__xludf.DUMMYFUNCTION("""COMPUTED_VALUE"""),0.0)</f>
        <v>0</v>
      </c>
      <c r="G1066" s="32"/>
      <c r="H1066" s="32"/>
      <c r="I1066" s="32"/>
      <c r="J1066" s="32"/>
      <c r="K1066" s="32"/>
      <c r="L1066" s="32"/>
      <c r="M1066" s="32"/>
      <c r="N1066" s="32"/>
      <c r="O1066" s="32"/>
      <c r="P1066" s="32"/>
      <c r="Q1066" s="32"/>
      <c r="R1066" s="32"/>
      <c r="S1066" s="32"/>
      <c r="T1066" s="32"/>
      <c r="U1066" s="32"/>
      <c r="V1066" s="32"/>
      <c r="W1066" s="32"/>
      <c r="X1066" s="32"/>
      <c r="Y1066" s="32"/>
      <c r="Z1066" s="32"/>
      <c r="AA1066" s="32"/>
      <c r="AB1066" s="32"/>
      <c r="AC1066" s="32"/>
      <c r="AD1066" s="32"/>
      <c r="AE1066" s="32"/>
      <c r="AF1066" s="32"/>
      <c r="AG1066" s="32"/>
      <c r="AH1066" s="32" t="b">
        <f>IFERROR(__xludf.DUMMYFUNCTION("""COMPUTED_VALUE"""),FALSE)</f>
        <v>0</v>
      </c>
      <c r="AI1066" s="32"/>
      <c r="AJ1066" s="32"/>
      <c r="AK1066" s="32"/>
      <c r="AL1066" s="32"/>
      <c r="AM1066" s="32"/>
      <c r="AN1066" s="32"/>
      <c r="AO1066" s="32"/>
      <c r="AP1066" s="32"/>
      <c r="AQ1066" s="32"/>
      <c r="AR1066" s="32"/>
      <c r="AS1066" s="32"/>
      <c r="AT1066" s="32"/>
      <c r="AU1066" s="32"/>
      <c r="AV1066" s="32"/>
      <c r="AW1066" s="32"/>
      <c r="AX1066" s="32"/>
    </row>
    <row r="1067">
      <c r="A1067" s="32"/>
      <c r="B1067" s="32"/>
      <c r="C1067" s="32"/>
      <c r="D1067" s="32"/>
      <c r="E1067" s="32">
        <f>IFERROR(__xludf.DUMMYFUNCTION("""COMPUTED_VALUE"""),1.0)</f>
        <v>1</v>
      </c>
      <c r="F1067" s="44">
        <f>IFERROR(__xludf.DUMMYFUNCTION("""COMPUTED_VALUE"""),0.0)</f>
        <v>0</v>
      </c>
      <c r="G1067" s="32"/>
      <c r="H1067" s="32"/>
      <c r="I1067" s="32"/>
      <c r="J1067" s="32"/>
      <c r="K1067" s="32"/>
      <c r="L1067" s="32"/>
      <c r="M1067" s="32"/>
      <c r="N1067" s="32"/>
      <c r="O1067" s="32"/>
      <c r="P1067" s="32"/>
      <c r="Q1067" s="32"/>
      <c r="R1067" s="32"/>
      <c r="S1067" s="32"/>
      <c r="T1067" s="32"/>
      <c r="U1067" s="32"/>
      <c r="V1067" s="32"/>
      <c r="W1067" s="32"/>
      <c r="X1067" s="32"/>
      <c r="Y1067" s="32"/>
      <c r="Z1067" s="32"/>
      <c r="AA1067" s="32"/>
      <c r="AB1067" s="32"/>
      <c r="AC1067" s="32"/>
      <c r="AD1067" s="32"/>
      <c r="AE1067" s="32"/>
      <c r="AF1067" s="32"/>
      <c r="AG1067" s="32"/>
      <c r="AH1067" s="32" t="b">
        <f>IFERROR(__xludf.DUMMYFUNCTION("""COMPUTED_VALUE"""),FALSE)</f>
        <v>0</v>
      </c>
      <c r="AI1067" s="32"/>
      <c r="AJ1067" s="32"/>
      <c r="AK1067" s="32"/>
      <c r="AL1067" s="32"/>
      <c r="AM1067" s="32"/>
      <c r="AN1067" s="32"/>
      <c r="AO1067" s="32"/>
      <c r="AP1067" s="32"/>
      <c r="AQ1067" s="32"/>
      <c r="AR1067" s="32"/>
      <c r="AS1067" s="32"/>
      <c r="AT1067" s="32"/>
      <c r="AU1067" s="32"/>
      <c r="AV1067" s="32"/>
      <c r="AW1067" s="32"/>
      <c r="AX1067" s="32"/>
    </row>
    <row r="1068">
      <c r="A1068" s="32"/>
      <c r="B1068" s="32"/>
      <c r="C1068" s="32"/>
      <c r="D1068" s="32"/>
      <c r="E1068" s="32">
        <f>IFERROR(__xludf.DUMMYFUNCTION("""COMPUTED_VALUE"""),1.0)</f>
        <v>1</v>
      </c>
      <c r="F1068" s="44">
        <f>IFERROR(__xludf.DUMMYFUNCTION("""COMPUTED_VALUE"""),0.0)</f>
        <v>0</v>
      </c>
      <c r="G1068" s="32"/>
      <c r="H1068" s="32"/>
      <c r="I1068" s="32"/>
      <c r="J1068" s="32"/>
      <c r="K1068" s="32"/>
      <c r="L1068" s="32"/>
      <c r="M1068" s="32"/>
      <c r="N1068" s="32"/>
      <c r="O1068" s="32"/>
      <c r="P1068" s="32"/>
      <c r="Q1068" s="32"/>
      <c r="R1068" s="32"/>
      <c r="S1068" s="32"/>
      <c r="T1068" s="32"/>
      <c r="U1068" s="32"/>
      <c r="V1068" s="32"/>
      <c r="W1068" s="32"/>
      <c r="X1068" s="32"/>
      <c r="Y1068" s="32"/>
      <c r="Z1068" s="32"/>
      <c r="AA1068" s="32"/>
      <c r="AB1068" s="32"/>
      <c r="AC1068" s="32"/>
      <c r="AD1068" s="32"/>
      <c r="AE1068" s="32"/>
      <c r="AF1068" s="32"/>
      <c r="AG1068" s="32"/>
      <c r="AH1068" s="32" t="b">
        <f>IFERROR(__xludf.DUMMYFUNCTION("""COMPUTED_VALUE"""),FALSE)</f>
        <v>0</v>
      </c>
      <c r="AI1068" s="32"/>
      <c r="AJ1068" s="32"/>
      <c r="AK1068" s="32"/>
      <c r="AL1068" s="32"/>
      <c r="AM1068" s="32"/>
      <c r="AN1068" s="32"/>
      <c r="AO1068" s="32"/>
      <c r="AP1068" s="32"/>
      <c r="AQ1068" s="32"/>
      <c r="AR1068" s="32"/>
      <c r="AS1068" s="32"/>
      <c r="AT1068" s="32"/>
      <c r="AU1068" s="32"/>
      <c r="AV1068" s="32"/>
      <c r="AW1068" s="32"/>
      <c r="AX1068" s="32"/>
    </row>
    <row r="1069">
      <c r="A1069" s="32"/>
      <c r="B1069" s="32"/>
      <c r="C1069" s="32"/>
      <c r="D1069" s="32"/>
      <c r="E1069" s="32">
        <f>IFERROR(__xludf.DUMMYFUNCTION("""COMPUTED_VALUE"""),1.0)</f>
        <v>1</v>
      </c>
      <c r="F1069" s="44">
        <f>IFERROR(__xludf.DUMMYFUNCTION("""COMPUTED_VALUE"""),0.0)</f>
        <v>0</v>
      </c>
      <c r="G1069" s="32"/>
      <c r="H1069" s="32"/>
      <c r="I1069" s="32"/>
      <c r="J1069" s="32"/>
      <c r="K1069" s="32"/>
      <c r="L1069" s="32"/>
      <c r="M1069" s="32"/>
      <c r="N1069" s="32"/>
      <c r="O1069" s="32"/>
      <c r="P1069" s="32"/>
      <c r="Q1069" s="32"/>
      <c r="R1069" s="32"/>
      <c r="S1069" s="32"/>
      <c r="T1069" s="32"/>
      <c r="U1069" s="32"/>
      <c r="V1069" s="32"/>
      <c r="W1069" s="32"/>
      <c r="X1069" s="32"/>
      <c r="Y1069" s="32"/>
      <c r="Z1069" s="32"/>
      <c r="AA1069" s="32"/>
      <c r="AB1069" s="32"/>
      <c r="AC1069" s="32"/>
      <c r="AD1069" s="32"/>
      <c r="AE1069" s="32"/>
      <c r="AF1069" s="32"/>
      <c r="AG1069" s="32"/>
      <c r="AH1069" s="32" t="b">
        <f>IFERROR(__xludf.DUMMYFUNCTION("""COMPUTED_VALUE"""),FALSE)</f>
        <v>0</v>
      </c>
      <c r="AI1069" s="32"/>
      <c r="AJ1069" s="32"/>
      <c r="AK1069" s="32"/>
      <c r="AL1069" s="32"/>
      <c r="AM1069" s="32"/>
      <c r="AN1069" s="32"/>
      <c r="AO1069" s="32"/>
      <c r="AP1069" s="32"/>
      <c r="AQ1069" s="32"/>
      <c r="AR1069" s="32"/>
      <c r="AS1069" s="32"/>
      <c r="AT1069" s="32"/>
      <c r="AU1069" s="32"/>
      <c r="AV1069" s="32"/>
      <c r="AW1069" s="32"/>
      <c r="AX1069" s="32"/>
    </row>
    <row r="1070">
      <c r="A1070" s="32"/>
      <c r="B1070" s="32"/>
      <c r="C1070" s="32"/>
      <c r="D1070" s="32"/>
      <c r="E1070" s="32">
        <f>IFERROR(__xludf.DUMMYFUNCTION("""COMPUTED_VALUE"""),1.0)</f>
        <v>1</v>
      </c>
      <c r="F1070" s="44">
        <f>IFERROR(__xludf.DUMMYFUNCTION("""COMPUTED_VALUE"""),0.0)</f>
        <v>0</v>
      </c>
      <c r="G1070" s="32"/>
      <c r="H1070" s="32"/>
      <c r="I1070" s="32"/>
      <c r="J1070" s="32"/>
      <c r="K1070" s="32"/>
      <c r="L1070" s="32"/>
      <c r="M1070" s="32"/>
      <c r="N1070" s="32"/>
      <c r="O1070" s="32"/>
      <c r="P1070" s="32"/>
      <c r="Q1070" s="32"/>
      <c r="R1070" s="32"/>
      <c r="S1070" s="32"/>
      <c r="T1070" s="32"/>
      <c r="U1070" s="32"/>
      <c r="V1070" s="32"/>
      <c r="W1070" s="32"/>
      <c r="X1070" s="32"/>
      <c r="Y1070" s="32"/>
      <c r="Z1070" s="32"/>
      <c r="AA1070" s="32"/>
      <c r="AB1070" s="32"/>
      <c r="AC1070" s="32"/>
      <c r="AD1070" s="32"/>
      <c r="AE1070" s="32"/>
      <c r="AF1070" s="32"/>
      <c r="AG1070" s="32"/>
      <c r="AH1070" s="32" t="b">
        <f>IFERROR(__xludf.DUMMYFUNCTION("""COMPUTED_VALUE"""),FALSE)</f>
        <v>0</v>
      </c>
      <c r="AI1070" s="32"/>
      <c r="AJ1070" s="32"/>
      <c r="AK1070" s="32"/>
      <c r="AL1070" s="32"/>
      <c r="AM1070" s="32"/>
      <c r="AN1070" s="32"/>
      <c r="AO1070" s="32"/>
      <c r="AP1070" s="32"/>
      <c r="AQ1070" s="32"/>
      <c r="AR1070" s="32"/>
      <c r="AS1070" s="32"/>
      <c r="AT1070" s="32"/>
      <c r="AU1070" s="32"/>
      <c r="AV1070" s="32"/>
      <c r="AW1070" s="32"/>
      <c r="AX1070" s="32"/>
    </row>
    <row r="1071">
      <c r="A1071" s="32"/>
      <c r="B1071" s="32"/>
      <c r="C1071" s="32"/>
      <c r="D1071" s="32"/>
      <c r="E1071" s="32">
        <f>IFERROR(__xludf.DUMMYFUNCTION("""COMPUTED_VALUE"""),1.0)</f>
        <v>1</v>
      </c>
      <c r="F1071" s="44">
        <f>IFERROR(__xludf.DUMMYFUNCTION("""COMPUTED_VALUE"""),0.0)</f>
        <v>0</v>
      </c>
      <c r="G1071" s="32"/>
      <c r="H1071" s="32"/>
      <c r="I1071" s="32"/>
      <c r="J1071" s="32"/>
      <c r="K1071" s="32"/>
      <c r="L1071" s="32"/>
      <c r="M1071" s="32"/>
      <c r="N1071" s="32"/>
      <c r="O1071" s="32"/>
      <c r="P1071" s="32"/>
      <c r="Q1071" s="32"/>
      <c r="R1071" s="32"/>
      <c r="S1071" s="32"/>
      <c r="T1071" s="32"/>
      <c r="U1071" s="32"/>
      <c r="V1071" s="32"/>
      <c r="W1071" s="32"/>
      <c r="X1071" s="32"/>
      <c r="Y1071" s="32"/>
      <c r="Z1071" s="32"/>
      <c r="AA1071" s="32"/>
      <c r="AB1071" s="32"/>
      <c r="AC1071" s="32"/>
      <c r="AD1071" s="32"/>
      <c r="AE1071" s="32"/>
      <c r="AF1071" s="32"/>
      <c r="AG1071" s="32"/>
      <c r="AH1071" s="32" t="b">
        <f>IFERROR(__xludf.DUMMYFUNCTION("""COMPUTED_VALUE"""),FALSE)</f>
        <v>0</v>
      </c>
      <c r="AI1071" s="32"/>
      <c r="AJ1071" s="32"/>
      <c r="AK1071" s="32"/>
      <c r="AL1071" s="32"/>
      <c r="AM1071" s="32"/>
      <c r="AN1071" s="32"/>
      <c r="AO1071" s="32"/>
      <c r="AP1071" s="32"/>
      <c r="AQ1071" s="32"/>
      <c r="AR1071" s="32"/>
      <c r="AS1071" s="32"/>
      <c r="AT1071" s="32"/>
      <c r="AU1071" s="32"/>
      <c r="AV1071" s="32"/>
      <c r="AW1071" s="32"/>
      <c r="AX1071" s="32"/>
    </row>
    <row r="1072">
      <c r="A1072" s="32"/>
      <c r="B1072" s="32"/>
      <c r="C1072" s="32"/>
      <c r="D1072" s="32"/>
      <c r="E1072" s="32">
        <f>IFERROR(__xludf.DUMMYFUNCTION("""COMPUTED_VALUE"""),1.0)</f>
        <v>1</v>
      </c>
      <c r="F1072" s="44">
        <f>IFERROR(__xludf.DUMMYFUNCTION("""COMPUTED_VALUE"""),0.0)</f>
        <v>0</v>
      </c>
      <c r="G1072" s="32"/>
      <c r="H1072" s="32"/>
      <c r="I1072" s="32"/>
      <c r="J1072" s="32"/>
      <c r="K1072" s="32"/>
      <c r="L1072" s="32"/>
      <c r="M1072" s="32"/>
      <c r="N1072" s="32"/>
      <c r="O1072" s="32"/>
      <c r="P1072" s="32"/>
      <c r="Q1072" s="32"/>
      <c r="R1072" s="32"/>
      <c r="S1072" s="32"/>
      <c r="T1072" s="32"/>
      <c r="U1072" s="32"/>
      <c r="V1072" s="32"/>
      <c r="W1072" s="32"/>
      <c r="X1072" s="32"/>
      <c r="Y1072" s="32"/>
      <c r="Z1072" s="32"/>
      <c r="AA1072" s="32"/>
      <c r="AB1072" s="32"/>
      <c r="AC1072" s="32"/>
      <c r="AD1072" s="32"/>
      <c r="AE1072" s="32"/>
      <c r="AF1072" s="32"/>
      <c r="AG1072" s="32"/>
      <c r="AH1072" s="32" t="b">
        <f>IFERROR(__xludf.DUMMYFUNCTION("""COMPUTED_VALUE"""),FALSE)</f>
        <v>0</v>
      </c>
      <c r="AI1072" s="32"/>
      <c r="AJ1072" s="32"/>
      <c r="AK1072" s="32"/>
      <c r="AL1072" s="32"/>
      <c r="AM1072" s="32"/>
      <c r="AN1072" s="32"/>
      <c r="AO1072" s="32"/>
      <c r="AP1072" s="32"/>
      <c r="AQ1072" s="32"/>
      <c r="AR1072" s="32"/>
      <c r="AS1072" s="32"/>
      <c r="AT1072" s="32"/>
      <c r="AU1072" s="32"/>
      <c r="AV1072" s="32"/>
      <c r="AW1072" s="32"/>
      <c r="AX1072" s="32"/>
    </row>
    <row r="1073">
      <c r="A1073" s="32"/>
      <c r="B1073" s="32"/>
      <c r="C1073" s="32"/>
      <c r="D1073" s="32"/>
      <c r="E1073" s="32">
        <f>IFERROR(__xludf.DUMMYFUNCTION("""COMPUTED_VALUE"""),1.0)</f>
        <v>1</v>
      </c>
      <c r="F1073" s="44">
        <f>IFERROR(__xludf.DUMMYFUNCTION("""COMPUTED_VALUE"""),0.0)</f>
        <v>0</v>
      </c>
      <c r="G1073" s="32"/>
      <c r="H1073" s="32"/>
      <c r="I1073" s="32"/>
      <c r="J1073" s="32"/>
      <c r="K1073" s="32"/>
      <c r="L1073" s="32"/>
      <c r="M1073" s="32"/>
      <c r="N1073" s="32"/>
      <c r="O1073" s="32"/>
      <c r="P1073" s="32"/>
      <c r="Q1073" s="32"/>
      <c r="R1073" s="32"/>
      <c r="S1073" s="32"/>
      <c r="T1073" s="32"/>
      <c r="U1073" s="32"/>
      <c r="V1073" s="32"/>
      <c r="W1073" s="32"/>
      <c r="X1073" s="32"/>
      <c r="Y1073" s="32"/>
      <c r="Z1073" s="32"/>
      <c r="AA1073" s="32"/>
      <c r="AB1073" s="32"/>
      <c r="AC1073" s="32"/>
      <c r="AD1073" s="32"/>
      <c r="AE1073" s="32"/>
      <c r="AF1073" s="32"/>
      <c r="AG1073" s="32"/>
      <c r="AH1073" s="32" t="b">
        <f>IFERROR(__xludf.DUMMYFUNCTION("""COMPUTED_VALUE"""),FALSE)</f>
        <v>0</v>
      </c>
      <c r="AI1073" s="32"/>
      <c r="AJ1073" s="32"/>
      <c r="AK1073" s="32"/>
      <c r="AL1073" s="32"/>
      <c r="AM1073" s="32"/>
      <c r="AN1073" s="32"/>
      <c r="AO1073" s="32"/>
      <c r="AP1073" s="32"/>
      <c r="AQ1073" s="32"/>
      <c r="AR1073" s="32"/>
      <c r="AS1073" s="32"/>
      <c r="AT1073" s="32"/>
      <c r="AU1073" s="32"/>
      <c r="AV1073" s="32"/>
      <c r="AW1073" s="32"/>
      <c r="AX1073" s="32"/>
    </row>
    <row r="1074">
      <c r="A1074" s="32"/>
      <c r="B1074" s="32"/>
      <c r="C1074" s="32"/>
      <c r="D1074" s="32"/>
      <c r="E1074" s="32">
        <f>IFERROR(__xludf.DUMMYFUNCTION("""COMPUTED_VALUE"""),1.0)</f>
        <v>1</v>
      </c>
      <c r="F1074" s="44">
        <f>IFERROR(__xludf.DUMMYFUNCTION("""COMPUTED_VALUE"""),0.0)</f>
        <v>0</v>
      </c>
      <c r="G1074" s="32"/>
      <c r="H1074" s="32"/>
      <c r="I1074" s="32"/>
      <c r="J1074" s="32"/>
      <c r="K1074" s="32"/>
      <c r="L1074" s="32"/>
      <c r="M1074" s="32"/>
      <c r="N1074" s="32"/>
      <c r="O1074" s="32"/>
      <c r="P1074" s="32"/>
      <c r="Q1074" s="32"/>
      <c r="R1074" s="32"/>
      <c r="S1074" s="32"/>
      <c r="T1074" s="32"/>
      <c r="U1074" s="32"/>
      <c r="V1074" s="32"/>
      <c r="W1074" s="32"/>
      <c r="X1074" s="32"/>
      <c r="Y1074" s="32"/>
      <c r="Z1074" s="32"/>
      <c r="AA1074" s="32"/>
      <c r="AB1074" s="32"/>
      <c r="AC1074" s="32"/>
      <c r="AD1074" s="32"/>
      <c r="AE1074" s="32"/>
      <c r="AF1074" s="32"/>
      <c r="AG1074" s="32"/>
      <c r="AH1074" s="32" t="b">
        <f>IFERROR(__xludf.DUMMYFUNCTION("""COMPUTED_VALUE"""),FALSE)</f>
        <v>0</v>
      </c>
      <c r="AI1074" s="32"/>
      <c r="AJ1074" s="32"/>
      <c r="AK1074" s="32"/>
      <c r="AL1074" s="32"/>
      <c r="AM1074" s="32"/>
      <c r="AN1074" s="32"/>
      <c r="AO1074" s="32"/>
      <c r="AP1074" s="32"/>
      <c r="AQ1074" s="32"/>
      <c r="AR1074" s="32"/>
      <c r="AS1074" s="32"/>
      <c r="AT1074" s="32"/>
      <c r="AU1074" s="32"/>
      <c r="AV1074" s="32"/>
      <c r="AW1074" s="32"/>
      <c r="AX1074" s="32"/>
    </row>
    <row r="1075">
      <c r="A1075" s="32"/>
      <c r="B1075" s="32"/>
      <c r="C1075" s="32"/>
      <c r="D1075" s="32"/>
      <c r="E1075" s="32">
        <f>IFERROR(__xludf.DUMMYFUNCTION("""COMPUTED_VALUE"""),1.0)</f>
        <v>1</v>
      </c>
      <c r="F1075" s="44">
        <f>IFERROR(__xludf.DUMMYFUNCTION("""COMPUTED_VALUE"""),0.0)</f>
        <v>0</v>
      </c>
      <c r="G1075" s="32"/>
      <c r="H1075" s="32"/>
      <c r="I1075" s="32"/>
      <c r="J1075" s="32"/>
      <c r="K1075" s="32"/>
      <c r="L1075" s="32"/>
      <c r="M1075" s="32"/>
      <c r="N1075" s="32"/>
      <c r="O1075" s="32"/>
      <c r="P1075" s="32"/>
      <c r="Q1075" s="32"/>
      <c r="R1075" s="32"/>
      <c r="S1075" s="32"/>
      <c r="T1075" s="32"/>
      <c r="U1075" s="32"/>
      <c r="V1075" s="32"/>
      <c r="W1075" s="32"/>
      <c r="X1075" s="32"/>
      <c r="Y1075" s="32"/>
      <c r="Z1075" s="32"/>
      <c r="AA1075" s="32"/>
      <c r="AB1075" s="32"/>
      <c r="AC1075" s="32"/>
      <c r="AD1075" s="32"/>
      <c r="AE1075" s="32"/>
      <c r="AF1075" s="32"/>
      <c r="AG1075" s="32"/>
      <c r="AH1075" s="32" t="b">
        <f>IFERROR(__xludf.DUMMYFUNCTION("""COMPUTED_VALUE"""),FALSE)</f>
        <v>0</v>
      </c>
      <c r="AI1075" s="32"/>
      <c r="AJ1075" s="32"/>
      <c r="AK1075" s="32"/>
      <c r="AL1075" s="32"/>
      <c r="AM1075" s="32"/>
      <c r="AN1075" s="32"/>
      <c r="AO1075" s="32"/>
      <c r="AP1075" s="32"/>
      <c r="AQ1075" s="32"/>
      <c r="AR1075" s="32"/>
      <c r="AS1075" s="32"/>
      <c r="AT1075" s="32"/>
      <c r="AU1075" s="32"/>
      <c r="AV1075" s="32"/>
      <c r="AW1075" s="32"/>
      <c r="AX1075" s="32"/>
    </row>
    <row r="1076">
      <c r="A1076" s="32"/>
      <c r="B1076" s="32"/>
      <c r="C1076" s="32"/>
      <c r="D1076" s="32"/>
      <c r="E1076" s="32">
        <f>IFERROR(__xludf.DUMMYFUNCTION("""COMPUTED_VALUE"""),1.0)</f>
        <v>1</v>
      </c>
      <c r="F1076" s="44">
        <f>IFERROR(__xludf.DUMMYFUNCTION("""COMPUTED_VALUE"""),0.0)</f>
        <v>0</v>
      </c>
      <c r="G1076" s="32"/>
      <c r="H1076" s="32"/>
      <c r="I1076" s="32"/>
      <c r="J1076" s="32"/>
      <c r="K1076" s="32"/>
      <c r="L1076" s="32"/>
      <c r="M1076" s="32"/>
      <c r="N1076" s="32"/>
      <c r="O1076" s="32"/>
      <c r="P1076" s="32"/>
      <c r="Q1076" s="32"/>
      <c r="R1076" s="32"/>
      <c r="S1076" s="32"/>
      <c r="T1076" s="32"/>
      <c r="U1076" s="32"/>
      <c r="V1076" s="32"/>
      <c r="W1076" s="32"/>
      <c r="X1076" s="32"/>
      <c r="Y1076" s="32"/>
      <c r="Z1076" s="32"/>
      <c r="AA1076" s="32"/>
      <c r="AB1076" s="32"/>
      <c r="AC1076" s="32"/>
      <c r="AD1076" s="32"/>
      <c r="AE1076" s="32"/>
      <c r="AF1076" s="32"/>
      <c r="AG1076" s="32"/>
      <c r="AH1076" s="32" t="b">
        <f>IFERROR(__xludf.DUMMYFUNCTION("""COMPUTED_VALUE"""),FALSE)</f>
        <v>0</v>
      </c>
      <c r="AI1076" s="32"/>
      <c r="AJ1076" s="32"/>
      <c r="AK1076" s="32"/>
      <c r="AL1076" s="32"/>
      <c r="AM1076" s="32"/>
      <c r="AN1076" s="32"/>
      <c r="AO1076" s="32"/>
      <c r="AP1076" s="32"/>
      <c r="AQ1076" s="32"/>
      <c r="AR1076" s="32"/>
      <c r="AS1076" s="32"/>
      <c r="AT1076" s="32"/>
      <c r="AU1076" s="32"/>
      <c r="AV1076" s="32"/>
      <c r="AW1076" s="32"/>
      <c r="AX1076" s="32"/>
    </row>
    <row r="1077">
      <c r="A1077" s="32"/>
      <c r="B1077" s="32"/>
      <c r="C1077" s="32"/>
      <c r="D1077" s="32"/>
      <c r="E1077" s="32">
        <f>IFERROR(__xludf.DUMMYFUNCTION("""COMPUTED_VALUE"""),1.0)</f>
        <v>1</v>
      </c>
      <c r="F1077" s="44">
        <f>IFERROR(__xludf.DUMMYFUNCTION("""COMPUTED_VALUE"""),0.0)</f>
        <v>0</v>
      </c>
      <c r="G1077" s="32"/>
      <c r="H1077" s="32"/>
      <c r="I1077" s="32"/>
      <c r="J1077" s="32"/>
      <c r="K1077" s="32"/>
      <c r="L1077" s="32"/>
      <c r="M1077" s="32"/>
      <c r="N1077" s="32"/>
      <c r="O1077" s="32"/>
      <c r="P1077" s="32"/>
      <c r="Q1077" s="32"/>
      <c r="R1077" s="32"/>
      <c r="S1077" s="32"/>
      <c r="T1077" s="32"/>
      <c r="U1077" s="32"/>
      <c r="V1077" s="32"/>
      <c r="W1077" s="32"/>
      <c r="X1077" s="32"/>
      <c r="Y1077" s="32"/>
      <c r="Z1077" s="32"/>
      <c r="AA1077" s="32"/>
      <c r="AB1077" s="32"/>
      <c r="AC1077" s="32"/>
      <c r="AD1077" s="32"/>
      <c r="AE1077" s="32"/>
      <c r="AF1077" s="32"/>
      <c r="AG1077" s="32"/>
      <c r="AH1077" s="32" t="b">
        <f>IFERROR(__xludf.DUMMYFUNCTION("""COMPUTED_VALUE"""),FALSE)</f>
        <v>0</v>
      </c>
      <c r="AI1077" s="32"/>
      <c r="AJ1077" s="32"/>
      <c r="AK1077" s="32"/>
      <c r="AL1077" s="32"/>
      <c r="AM1077" s="32"/>
      <c r="AN1077" s="32"/>
      <c r="AO1077" s="32"/>
      <c r="AP1077" s="32"/>
      <c r="AQ1077" s="32"/>
      <c r="AR1077" s="32"/>
      <c r="AS1077" s="32"/>
      <c r="AT1077" s="32"/>
      <c r="AU1077" s="32"/>
      <c r="AV1077" s="32"/>
      <c r="AW1077" s="32"/>
      <c r="AX1077" s="32"/>
    </row>
    <row r="1078">
      <c r="A1078" s="32"/>
      <c r="B1078" s="32"/>
      <c r="C1078" s="32"/>
      <c r="D1078" s="32"/>
      <c r="E1078" s="32">
        <f>IFERROR(__xludf.DUMMYFUNCTION("""COMPUTED_VALUE"""),1.0)</f>
        <v>1</v>
      </c>
      <c r="F1078" s="44">
        <f>IFERROR(__xludf.DUMMYFUNCTION("""COMPUTED_VALUE"""),0.0)</f>
        <v>0</v>
      </c>
      <c r="G1078" s="32"/>
      <c r="H1078" s="32"/>
      <c r="I1078" s="32"/>
      <c r="J1078" s="32"/>
      <c r="K1078" s="32"/>
      <c r="L1078" s="32"/>
      <c r="M1078" s="32"/>
      <c r="N1078" s="32"/>
      <c r="O1078" s="32"/>
      <c r="P1078" s="32"/>
      <c r="Q1078" s="32"/>
      <c r="R1078" s="32"/>
      <c r="S1078" s="32"/>
      <c r="T1078" s="32"/>
      <c r="U1078" s="32"/>
      <c r="V1078" s="32"/>
      <c r="W1078" s="32"/>
      <c r="X1078" s="32"/>
      <c r="Y1078" s="32"/>
      <c r="Z1078" s="32"/>
      <c r="AA1078" s="32"/>
      <c r="AB1078" s="32"/>
      <c r="AC1078" s="32"/>
      <c r="AD1078" s="32"/>
      <c r="AE1078" s="32"/>
      <c r="AF1078" s="32"/>
      <c r="AG1078" s="32"/>
      <c r="AH1078" s="32" t="b">
        <f>IFERROR(__xludf.DUMMYFUNCTION("""COMPUTED_VALUE"""),FALSE)</f>
        <v>0</v>
      </c>
      <c r="AI1078" s="32"/>
      <c r="AJ1078" s="32"/>
      <c r="AK1078" s="32"/>
      <c r="AL1078" s="32"/>
      <c r="AM1078" s="32"/>
      <c r="AN1078" s="32"/>
      <c r="AO1078" s="32"/>
      <c r="AP1078" s="32"/>
      <c r="AQ1078" s="32"/>
      <c r="AR1078" s="32"/>
      <c r="AS1078" s="32"/>
      <c r="AT1078" s="32"/>
      <c r="AU1078" s="32"/>
      <c r="AV1078" s="32"/>
      <c r="AW1078" s="32"/>
      <c r="AX1078" s="32"/>
    </row>
    <row r="1079">
      <c r="A1079" s="32"/>
      <c r="B1079" s="32"/>
      <c r="C1079" s="32"/>
      <c r="D1079" s="32"/>
      <c r="E1079" s="32">
        <f>IFERROR(__xludf.DUMMYFUNCTION("""COMPUTED_VALUE"""),1.0)</f>
        <v>1</v>
      </c>
      <c r="F1079" s="44">
        <f>IFERROR(__xludf.DUMMYFUNCTION("""COMPUTED_VALUE"""),0.0)</f>
        <v>0</v>
      </c>
      <c r="G1079" s="32"/>
      <c r="H1079" s="32"/>
      <c r="I1079" s="32"/>
      <c r="J1079" s="32"/>
      <c r="K1079" s="32"/>
      <c r="L1079" s="32"/>
      <c r="M1079" s="32"/>
      <c r="N1079" s="32"/>
      <c r="O1079" s="32"/>
      <c r="P1079" s="32"/>
      <c r="Q1079" s="32"/>
      <c r="R1079" s="32"/>
      <c r="S1079" s="32"/>
      <c r="T1079" s="32"/>
      <c r="U1079" s="32"/>
      <c r="V1079" s="32"/>
      <c r="W1079" s="32"/>
      <c r="X1079" s="32"/>
      <c r="Y1079" s="32"/>
      <c r="Z1079" s="32"/>
      <c r="AA1079" s="32"/>
      <c r="AB1079" s="32"/>
      <c r="AC1079" s="32"/>
      <c r="AD1079" s="32"/>
      <c r="AE1079" s="32"/>
      <c r="AF1079" s="32"/>
      <c r="AG1079" s="32"/>
      <c r="AH1079" s="32" t="b">
        <f>IFERROR(__xludf.DUMMYFUNCTION("""COMPUTED_VALUE"""),FALSE)</f>
        <v>0</v>
      </c>
      <c r="AI1079" s="32"/>
      <c r="AJ1079" s="32"/>
      <c r="AK1079" s="32"/>
      <c r="AL1079" s="32"/>
      <c r="AM1079" s="32"/>
      <c r="AN1079" s="32"/>
      <c r="AO1079" s="32"/>
      <c r="AP1079" s="32"/>
      <c r="AQ1079" s="32"/>
      <c r="AR1079" s="32"/>
      <c r="AS1079" s="32"/>
      <c r="AT1079" s="32"/>
      <c r="AU1079" s="32"/>
      <c r="AV1079" s="32"/>
      <c r="AW1079" s="32"/>
      <c r="AX1079" s="32"/>
    </row>
    <row r="1080">
      <c r="A1080" s="32"/>
      <c r="B1080" s="32"/>
      <c r="C1080" s="32"/>
      <c r="D1080" s="32"/>
      <c r="E1080" s="32">
        <f>IFERROR(__xludf.DUMMYFUNCTION("""COMPUTED_VALUE"""),1.0)</f>
        <v>1</v>
      </c>
      <c r="F1080" s="44">
        <f>IFERROR(__xludf.DUMMYFUNCTION("""COMPUTED_VALUE"""),0.0)</f>
        <v>0</v>
      </c>
      <c r="G1080" s="32"/>
      <c r="H1080" s="32"/>
      <c r="I1080" s="32"/>
      <c r="J1080" s="32"/>
      <c r="K1080" s="32"/>
      <c r="L1080" s="32"/>
      <c r="M1080" s="32"/>
      <c r="N1080" s="32"/>
      <c r="O1080" s="32"/>
      <c r="P1080" s="32"/>
      <c r="Q1080" s="32"/>
      <c r="R1080" s="32"/>
      <c r="S1080" s="32"/>
      <c r="T1080" s="32"/>
      <c r="U1080" s="32"/>
      <c r="V1080" s="32"/>
      <c r="W1080" s="32"/>
      <c r="X1080" s="32"/>
      <c r="Y1080" s="32"/>
      <c r="Z1080" s="32"/>
      <c r="AA1080" s="32"/>
      <c r="AB1080" s="32"/>
      <c r="AC1080" s="32"/>
      <c r="AD1080" s="32"/>
      <c r="AE1080" s="32"/>
      <c r="AF1080" s="32"/>
      <c r="AG1080" s="32"/>
      <c r="AH1080" s="32" t="b">
        <f>IFERROR(__xludf.DUMMYFUNCTION("""COMPUTED_VALUE"""),FALSE)</f>
        <v>0</v>
      </c>
      <c r="AI1080" s="32"/>
      <c r="AJ1080" s="32"/>
      <c r="AK1080" s="32"/>
      <c r="AL1080" s="32"/>
      <c r="AM1080" s="32"/>
      <c r="AN1080" s="32"/>
      <c r="AO1080" s="32"/>
      <c r="AP1080" s="32"/>
      <c r="AQ1080" s="32"/>
      <c r="AR1080" s="32"/>
      <c r="AS1080" s="32"/>
      <c r="AT1080" s="32"/>
      <c r="AU1080" s="32"/>
      <c r="AV1080" s="32"/>
      <c r="AW1080" s="32"/>
      <c r="AX1080" s="32"/>
    </row>
    <row r="1081">
      <c r="A1081" s="32"/>
      <c r="B1081" s="32"/>
      <c r="C1081" s="32"/>
      <c r="D1081" s="32"/>
      <c r="E1081" s="32">
        <f>IFERROR(__xludf.DUMMYFUNCTION("""COMPUTED_VALUE"""),1.0)</f>
        <v>1</v>
      </c>
      <c r="F1081" s="44">
        <f>IFERROR(__xludf.DUMMYFUNCTION("""COMPUTED_VALUE"""),0.0)</f>
        <v>0</v>
      </c>
      <c r="G1081" s="32"/>
      <c r="H1081" s="32"/>
      <c r="I1081" s="32"/>
      <c r="J1081" s="32"/>
      <c r="K1081" s="32"/>
      <c r="L1081" s="32"/>
      <c r="M1081" s="32"/>
      <c r="N1081" s="32"/>
      <c r="O1081" s="32"/>
      <c r="P1081" s="32"/>
      <c r="Q1081" s="32"/>
      <c r="R1081" s="32"/>
      <c r="S1081" s="32"/>
      <c r="T1081" s="32"/>
      <c r="U1081" s="32"/>
      <c r="V1081" s="32"/>
      <c r="W1081" s="32"/>
      <c r="X1081" s="32"/>
      <c r="Y1081" s="32"/>
      <c r="Z1081" s="32"/>
      <c r="AA1081" s="32"/>
      <c r="AB1081" s="32"/>
      <c r="AC1081" s="32"/>
      <c r="AD1081" s="32"/>
      <c r="AE1081" s="32"/>
      <c r="AF1081" s="32"/>
      <c r="AG1081" s="32"/>
      <c r="AH1081" s="32" t="b">
        <f>IFERROR(__xludf.DUMMYFUNCTION("""COMPUTED_VALUE"""),FALSE)</f>
        <v>0</v>
      </c>
      <c r="AI1081" s="32"/>
      <c r="AJ1081" s="32"/>
      <c r="AK1081" s="32"/>
      <c r="AL1081" s="32"/>
      <c r="AM1081" s="32"/>
      <c r="AN1081" s="32"/>
      <c r="AO1081" s="32"/>
      <c r="AP1081" s="32"/>
      <c r="AQ1081" s="32"/>
      <c r="AR1081" s="32"/>
      <c r="AS1081" s="32"/>
      <c r="AT1081" s="32"/>
      <c r="AU1081" s="32"/>
      <c r="AV1081" s="32"/>
      <c r="AW1081" s="32"/>
      <c r="AX1081" s="32"/>
    </row>
    <row r="1082">
      <c r="A1082" s="32"/>
      <c r="B1082" s="32"/>
      <c r="C1082" s="32"/>
      <c r="D1082" s="32"/>
      <c r="E1082" s="32">
        <f>IFERROR(__xludf.DUMMYFUNCTION("""COMPUTED_VALUE"""),1.0)</f>
        <v>1</v>
      </c>
      <c r="F1082" s="44">
        <f>IFERROR(__xludf.DUMMYFUNCTION("""COMPUTED_VALUE"""),0.0)</f>
        <v>0</v>
      </c>
      <c r="G1082" s="32"/>
      <c r="H1082" s="32"/>
      <c r="I1082" s="32"/>
      <c r="J1082" s="32"/>
      <c r="K1082" s="32"/>
      <c r="L1082" s="32"/>
      <c r="M1082" s="32"/>
      <c r="N1082" s="32"/>
      <c r="O1082" s="32"/>
      <c r="P1082" s="32"/>
      <c r="Q1082" s="32"/>
      <c r="R1082" s="32"/>
      <c r="S1082" s="32"/>
      <c r="T1082" s="32"/>
      <c r="U1082" s="32"/>
      <c r="V1082" s="32"/>
      <c r="W1082" s="32"/>
      <c r="X1082" s="32"/>
      <c r="Y1082" s="32"/>
      <c r="Z1082" s="32"/>
      <c r="AA1082" s="32"/>
      <c r="AB1082" s="32"/>
      <c r="AC1082" s="32"/>
      <c r="AD1082" s="32"/>
      <c r="AE1082" s="32"/>
      <c r="AF1082" s="32"/>
      <c r="AG1082" s="32"/>
      <c r="AH1082" s="32" t="b">
        <f>IFERROR(__xludf.DUMMYFUNCTION("""COMPUTED_VALUE"""),FALSE)</f>
        <v>0</v>
      </c>
      <c r="AI1082" s="32"/>
      <c r="AJ1082" s="32"/>
      <c r="AK1082" s="32"/>
      <c r="AL1082" s="32"/>
      <c r="AM1082" s="32"/>
      <c r="AN1082" s="32"/>
      <c r="AO1082" s="32"/>
      <c r="AP1082" s="32"/>
      <c r="AQ1082" s="32"/>
      <c r="AR1082" s="32"/>
      <c r="AS1082" s="32"/>
      <c r="AT1082" s="32"/>
      <c r="AU1082" s="32"/>
      <c r="AV1082" s="32"/>
      <c r="AW1082" s="32"/>
      <c r="AX1082" s="32"/>
    </row>
    <row r="1083">
      <c r="A1083" s="32"/>
      <c r="B1083" s="32"/>
      <c r="C1083" s="32"/>
      <c r="D1083" s="32"/>
      <c r="E1083" s="32">
        <f>IFERROR(__xludf.DUMMYFUNCTION("""COMPUTED_VALUE"""),1.0)</f>
        <v>1</v>
      </c>
      <c r="F1083" s="44">
        <f>IFERROR(__xludf.DUMMYFUNCTION("""COMPUTED_VALUE"""),0.0)</f>
        <v>0</v>
      </c>
      <c r="G1083" s="32"/>
      <c r="H1083" s="32"/>
      <c r="I1083" s="32"/>
      <c r="J1083" s="32"/>
      <c r="K1083" s="32"/>
      <c r="L1083" s="32"/>
      <c r="M1083" s="32"/>
      <c r="N1083" s="32"/>
      <c r="O1083" s="32"/>
      <c r="P1083" s="32"/>
      <c r="Q1083" s="32"/>
      <c r="R1083" s="32"/>
      <c r="S1083" s="32"/>
      <c r="T1083" s="32"/>
      <c r="U1083" s="32"/>
      <c r="V1083" s="32"/>
      <c r="W1083" s="32"/>
      <c r="X1083" s="32"/>
      <c r="Y1083" s="32"/>
      <c r="Z1083" s="32"/>
      <c r="AA1083" s="32"/>
      <c r="AB1083" s="32"/>
      <c r="AC1083" s="32"/>
      <c r="AD1083" s="32"/>
      <c r="AE1083" s="32"/>
      <c r="AF1083" s="32"/>
      <c r="AG1083" s="32"/>
      <c r="AH1083" s="32" t="b">
        <f>IFERROR(__xludf.DUMMYFUNCTION("""COMPUTED_VALUE"""),FALSE)</f>
        <v>0</v>
      </c>
      <c r="AI1083" s="32"/>
      <c r="AJ1083" s="32"/>
      <c r="AK1083" s="32"/>
      <c r="AL1083" s="32"/>
      <c r="AM1083" s="32"/>
      <c r="AN1083" s="32"/>
      <c r="AO1083" s="32"/>
      <c r="AP1083" s="32"/>
      <c r="AQ1083" s="32"/>
      <c r="AR1083" s="32"/>
      <c r="AS1083" s="32"/>
      <c r="AT1083" s="32"/>
      <c r="AU1083" s="32"/>
      <c r="AV1083" s="32"/>
      <c r="AW1083" s="32"/>
      <c r="AX1083" s="32"/>
    </row>
    <row r="1084">
      <c r="A1084" s="32"/>
      <c r="B1084" s="32"/>
      <c r="C1084" s="32"/>
      <c r="D1084" s="32"/>
      <c r="E1084" s="32">
        <f>IFERROR(__xludf.DUMMYFUNCTION("""COMPUTED_VALUE"""),1.0)</f>
        <v>1</v>
      </c>
      <c r="F1084" s="44">
        <f>IFERROR(__xludf.DUMMYFUNCTION("""COMPUTED_VALUE"""),0.0)</f>
        <v>0</v>
      </c>
      <c r="G1084" s="32"/>
      <c r="H1084" s="32"/>
      <c r="I1084" s="32"/>
      <c r="J1084" s="32"/>
      <c r="K1084" s="32"/>
      <c r="L1084" s="32"/>
      <c r="M1084" s="32"/>
      <c r="N1084" s="32"/>
      <c r="O1084" s="32"/>
      <c r="P1084" s="32"/>
      <c r="Q1084" s="32"/>
      <c r="R1084" s="32"/>
      <c r="S1084" s="32"/>
      <c r="T1084" s="32"/>
      <c r="U1084" s="32"/>
      <c r="V1084" s="32"/>
      <c r="W1084" s="32"/>
      <c r="X1084" s="32"/>
      <c r="Y1084" s="32"/>
      <c r="Z1084" s="32"/>
      <c r="AA1084" s="32"/>
      <c r="AB1084" s="32"/>
      <c r="AC1084" s="32"/>
      <c r="AD1084" s="32"/>
      <c r="AE1084" s="32"/>
      <c r="AF1084" s="32"/>
      <c r="AG1084" s="32"/>
      <c r="AH1084" s="32" t="b">
        <f>IFERROR(__xludf.DUMMYFUNCTION("""COMPUTED_VALUE"""),FALSE)</f>
        <v>0</v>
      </c>
      <c r="AI1084" s="32"/>
      <c r="AJ1084" s="32"/>
      <c r="AK1084" s="32"/>
      <c r="AL1084" s="32"/>
      <c r="AM1084" s="32"/>
      <c r="AN1084" s="32"/>
      <c r="AO1084" s="32"/>
      <c r="AP1084" s="32"/>
      <c r="AQ1084" s="32"/>
      <c r="AR1084" s="32"/>
      <c r="AS1084" s="32"/>
      <c r="AT1084" s="32"/>
      <c r="AU1084" s="32"/>
      <c r="AV1084" s="32"/>
      <c r="AW1084" s="32"/>
      <c r="AX1084" s="32"/>
    </row>
    <row r="1085">
      <c r="A1085" s="32"/>
      <c r="B1085" s="32"/>
      <c r="C1085" s="32"/>
      <c r="D1085" s="32"/>
      <c r="E1085" s="32">
        <f>IFERROR(__xludf.DUMMYFUNCTION("""COMPUTED_VALUE"""),1.0)</f>
        <v>1</v>
      </c>
      <c r="F1085" s="44">
        <f>IFERROR(__xludf.DUMMYFUNCTION("""COMPUTED_VALUE"""),0.0)</f>
        <v>0</v>
      </c>
      <c r="G1085" s="32"/>
      <c r="H1085" s="32"/>
      <c r="I1085" s="32"/>
      <c r="J1085" s="32"/>
      <c r="K1085" s="32"/>
      <c r="L1085" s="32"/>
      <c r="M1085" s="32"/>
      <c r="N1085" s="32"/>
      <c r="O1085" s="32"/>
      <c r="P1085" s="32"/>
      <c r="Q1085" s="32"/>
      <c r="R1085" s="32"/>
      <c r="S1085" s="32"/>
      <c r="T1085" s="32"/>
      <c r="U1085" s="32"/>
      <c r="V1085" s="32"/>
      <c r="W1085" s="32"/>
      <c r="X1085" s="32"/>
      <c r="Y1085" s="32"/>
      <c r="Z1085" s="32"/>
      <c r="AA1085" s="32"/>
      <c r="AB1085" s="32"/>
      <c r="AC1085" s="32"/>
      <c r="AD1085" s="32"/>
      <c r="AE1085" s="32"/>
      <c r="AF1085" s="32"/>
      <c r="AG1085" s="32"/>
      <c r="AH1085" s="32" t="b">
        <f>IFERROR(__xludf.DUMMYFUNCTION("""COMPUTED_VALUE"""),FALSE)</f>
        <v>0</v>
      </c>
      <c r="AI1085" s="32"/>
      <c r="AJ1085" s="32"/>
      <c r="AK1085" s="32"/>
      <c r="AL1085" s="32"/>
      <c r="AM1085" s="32"/>
      <c r="AN1085" s="32"/>
      <c r="AO1085" s="32"/>
      <c r="AP1085" s="32"/>
      <c r="AQ1085" s="32"/>
      <c r="AR1085" s="32"/>
      <c r="AS1085" s="32"/>
      <c r="AT1085" s="32"/>
      <c r="AU1085" s="32"/>
      <c r="AV1085" s="32"/>
      <c r="AW1085" s="32"/>
      <c r="AX1085" s="32"/>
    </row>
    <row r="1086">
      <c r="A1086" s="32"/>
      <c r="B1086" s="32"/>
      <c r="C1086" s="32"/>
      <c r="D1086" s="32"/>
      <c r="E1086" s="32">
        <f>IFERROR(__xludf.DUMMYFUNCTION("""COMPUTED_VALUE"""),1.0)</f>
        <v>1</v>
      </c>
      <c r="F1086" s="44">
        <f>IFERROR(__xludf.DUMMYFUNCTION("""COMPUTED_VALUE"""),0.0)</f>
        <v>0</v>
      </c>
      <c r="G1086" s="32"/>
      <c r="H1086" s="32"/>
      <c r="I1086" s="32"/>
      <c r="J1086" s="32"/>
      <c r="K1086" s="32"/>
      <c r="L1086" s="32"/>
      <c r="M1086" s="32"/>
      <c r="N1086" s="32"/>
      <c r="O1086" s="32"/>
      <c r="P1086" s="32"/>
      <c r="Q1086" s="32"/>
      <c r="R1086" s="32"/>
      <c r="S1086" s="32"/>
      <c r="T1086" s="32"/>
      <c r="U1086" s="32"/>
      <c r="V1086" s="32"/>
      <c r="W1086" s="32"/>
      <c r="X1086" s="32"/>
      <c r="Y1086" s="32"/>
      <c r="Z1086" s="32"/>
      <c r="AA1086" s="32"/>
      <c r="AB1086" s="32"/>
      <c r="AC1086" s="32"/>
      <c r="AD1086" s="32"/>
      <c r="AE1086" s="32"/>
      <c r="AF1086" s="32"/>
      <c r="AG1086" s="32"/>
      <c r="AH1086" s="32" t="b">
        <f>IFERROR(__xludf.DUMMYFUNCTION("""COMPUTED_VALUE"""),FALSE)</f>
        <v>0</v>
      </c>
      <c r="AI1086" s="32"/>
      <c r="AJ1086" s="32"/>
      <c r="AK1086" s="32"/>
      <c r="AL1086" s="32"/>
      <c r="AM1086" s="32"/>
      <c r="AN1086" s="32"/>
      <c r="AO1086" s="32"/>
      <c r="AP1086" s="32"/>
      <c r="AQ1086" s="32"/>
      <c r="AR1086" s="32"/>
      <c r="AS1086" s="32"/>
      <c r="AT1086" s="32"/>
      <c r="AU1086" s="32"/>
      <c r="AV1086" s="32"/>
      <c r="AW1086" s="32"/>
      <c r="AX1086" s="32"/>
    </row>
    <row r="1087">
      <c r="A1087" s="32"/>
      <c r="B1087" s="32"/>
      <c r="C1087" s="32"/>
      <c r="D1087" s="32"/>
      <c r="E1087" s="32">
        <f>IFERROR(__xludf.DUMMYFUNCTION("""COMPUTED_VALUE"""),1.0)</f>
        <v>1</v>
      </c>
      <c r="F1087" s="44">
        <f>IFERROR(__xludf.DUMMYFUNCTION("""COMPUTED_VALUE"""),0.0)</f>
        <v>0</v>
      </c>
      <c r="G1087" s="32"/>
      <c r="H1087" s="32"/>
      <c r="I1087" s="32"/>
      <c r="J1087" s="32"/>
      <c r="K1087" s="32"/>
      <c r="L1087" s="32"/>
      <c r="M1087" s="32"/>
      <c r="N1087" s="32"/>
      <c r="O1087" s="32"/>
      <c r="P1087" s="32"/>
      <c r="Q1087" s="32"/>
      <c r="R1087" s="32"/>
      <c r="S1087" s="32"/>
      <c r="T1087" s="32"/>
      <c r="U1087" s="32"/>
      <c r="V1087" s="32"/>
      <c r="W1087" s="32"/>
      <c r="X1087" s="32"/>
      <c r="Y1087" s="32"/>
      <c r="Z1087" s="32"/>
      <c r="AA1087" s="32"/>
      <c r="AB1087" s="32"/>
      <c r="AC1087" s="32"/>
      <c r="AD1087" s="32"/>
      <c r="AE1087" s="32"/>
      <c r="AF1087" s="32"/>
      <c r="AG1087" s="32"/>
      <c r="AH1087" s="32" t="b">
        <f>IFERROR(__xludf.DUMMYFUNCTION("""COMPUTED_VALUE"""),FALSE)</f>
        <v>0</v>
      </c>
      <c r="AI1087" s="32"/>
      <c r="AJ1087" s="32"/>
      <c r="AK1087" s="32"/>
      <c r="AL1087" s="32"/>
      <c r="AM1087" s="32"/>
      <c r="AN1087" s="32"/>
      <c r="AO1087" s="32"/>
      <c r="AP1087" s="32"/>
      <c r="AQ1087" s="32"/>
      <c r="AR1087" s="32"/>
      <c r="AS1087" s="32"/>
      <c r="AT1087" s="32"/>
      <c r="AU1087" s="32"/>
      <c r="AV1087" s="32"/>
      <c r="AW1087" s="32"/>
      <c r="AX1087" s="32"/>
    </row>
    <row r="1088">
      <c r="A1088" s="32"/>
      <c r="B1088" s="32"/>
      <c r="C1088" s="32"/>
      <c r="D1088" s="32"/>
      <c r="E1088" s="32">
        <f>IFERROR(__xludf.DUMMYFUNCTION("""COMPUTED_VALUE"""),1.0)</f>
        <v>1</v>
      </c>
      <c r="F1088" s="44">
        <f>IFERROR(__xludf.DUMMYFUNCTION("""COMPUTED_VALUE"""),0.0)</f>
        <v>0</v>
      </c>
      <c r="G1088" s="32"/>
      <c r="H1088" s="32"/>
      <c r="I1088" s="32"/>
      <c r="J1088" s="32"/>
      <c r="K1088" s="32"/>
      <c r="L1088" s="32"/>
      <c r="M1088" s="32"/>
      <c r="N1088" s="32"/>
      <c r="O1088" s="32"/>
      <c r="P1088" s="32"/>
      <c r="Q1088" s="32"/>
      <c r="R1088" s="32"/>
      <c r="S1088" s="32"/>
      <c r="T1088" s="32"/>
      <c r="U1088" s="32"/>
      <c r="V1088" s="32"/>
      <c r="W1088" s="32"/>
      <c r="X1088" s="32"/>
      <c r="Y1088" s="32"/>
      <c r="Z1088" s="32"/>
      <c r="AA1088" s="32"/>
      <c r="AB1088" s="32"/>
      <c r="AC1088" s="32"/>
      <c r="AD1088" s="32"/>
      <c r="AE1088" s="32"/>
      <c r="AF1088" s="32"/>
      <c r="AG1088" s="32"/>
      <c r="AH1088" s="32" t="b">
        <f>IFERROR(__xludf.DUMMYFUNCTION("""COMPUTED_VALUE"""),FALSE)</f>
        <v>0</v>
      </c>
      <c r="AI1088" s="32"/>
      <c r="AJ1088" s="32"/>
      <c r="AK1088" s="32"/>
      <c r="AL1088" s="32"/>
      <c r="AM1088" s="32"/>
      <c r="AN1088" s="32"/>
      <c r="AO1088" s="32"/>
      <c r="AP1088" s="32"/>
      <c r="AQ1088" s="32"/>
      <c r="AR1088" s="32"/>
      <c r="AS1088" s="32"/>
      <c r="AT1088" s="32"/>
      <c r="AU1088" s="32"/>
      <c r="AV1088" s="32"/>
      <c r="AW1088" s="32"/>
      <c r="AX1088" s="32"/>
    </row>
    <row r="1089">
      <c r="A1089" s="32"/>
      <c r="B1089" s="32"/>
      <c r="C1089" s="32"/>
      <c r="D1089" s="32"/>
      <c r="E1089" s="32">
        <f>IFERROR(__xludf.DUMMYFUNCTION("""COMPUTED_VALUE"""),1.0)</f>
        <v>1</v>
      </c>
      <c r="F1089" s="44">
        <f>IFERROR(__xludf.DUMMYFUNCTION("""COMPUTED_VALUE"""),0.0)</f>
        <v>0</v>
      </c>
      <c r="G1089" s="32"/>
      <c r="H1089" s="32"/>
      <c r="I1089" s="32"/>
      <c r="J1089" s="32"/>
      <c r="K1089" s="32"/>
      <c r="L1089" s="32"/>
      <c r="M1089" s="32"/>
      <c r="N1089" s="32"/>
      <c r="O1089" s="32"/>
      <c r="P1089" s="32"/>
      <c r="Q1089" s="32"/>
      <c r="R1089" s="32"/>
      <c r="S1089" s="32"/>
      <c r="T1089" s="32"/>
      <c r="U1089" s="32"/>
      <c r="V1089" s="32"/>
      <c r="W1089" s="32"/>
      <c r="X1089" s="32"/>
      <c r="Y1089" s="32"/>
      <c r="Z1089" s="32"/>
      <c r="AA1089" s="32"/>
      <c r="AB1089" s="32"/>
      <c r="AC1089" s="32"/>
      <c r="AD1089" s="32"/>
      <c r="AE1089" s="32"/>
      <c r="AF1089" s="32"/>
      <c r="AG1089" s="32"/>
      <c r="AH1089" s="32" t="b">
        <f>IFERROR(__xludf.DUMMYFUNCTION("""COMPUTED_VALUE"""),FALSE)</f>
        <v>0</v>
      </c>
      <c r="AI1089" s="32"/>
      <c r="AJ1089" s="32"/>
      <c r="AK1089" s="32"/>
      <c r="AL1089" s="32"/>
      <c r="AM1089" s="32"/>
      <c r="AN1089" s="32"/>
      <c r="AO1089" s="32"/>
      <c r="AP1089" s="32"/>
      <c r="AQ1089" s="32"/>
      <c r="AR1089" s="32"/>
      <c r="AS1089" s="32"/>
      <c r="AT1089" s="32"/>
      <c r="AU1089" s="32"/>
      <c r="AV1089" s="32"/>
      <c r="AW1089" s="32"/>
      <c r="AX1089" s="32"/>
    </row>
    <row r="1090">
      <c r="A1090" s="32"/>
      <c r="B1090" s="32"/>
      <c r="C1090" s="32"/>
      <c r="D1090" s="32"/>
      <c r="E1090" s="32">
        <f>IFERROR(__xludf.DUMMYFUNCTION("""COMPUTED_VALUE"""),1.0)</f>
        <v>1</v>
      </c>
      <c r="F1090" s="44">
        <f>IFERROR(__xludf.DUMMYFUNCTION("""COMPUTED_VALUE"""),0.0)</f>
        <v>0</v>
      </c>
      <c r="G1090" s="32"/>
      <c r="H1090" s="32"/>
      <c r="I1090" s="32"/>
      <c r="J1090" s="32"/>
      <c r="K1090" s="32"/>
      <c r="L1090" s="32"/>
      <c r="M1090" s="32"/>
      <c r="N1090" s="32"/>
      <c r="O1090" s="32"/>
      <c r="P1090" s="32"/>
      <c r="Q1090" s="32"/>
      <c r="R1090" s="32"/>
      <c r="S1090" s="32"/>
      <c r="T1090" s="32"/>
      <c r="U1090" s="32"/>
      <c r="V1090" s="32"/>
      <c r="W1090" s="32"/>
      <c r="X1090" s="32"/>
      <c r="Y1090" s="32"/>
      <c r="Z1090" s="32"/>
      <c r="AA1090" s="32"/>
      <c r="AB1090" s="32"/>
      <c r="AC1090" s="32"/>
      <c r="AD1090" s="32"/>
      <c r="AE1090" s="32"/>
      <c r="AF1090" s="32"/>
      <c r="AG1090" s="32"/>
      <c r="AH1090" s="32" t="b">
        <f>IFERROR(__xludf.DUMMYFUNCTION("""COMPUTED_VALUE"""),FALSE)</f>
        <v>0</v>
      </c>
      <c r="AI1090" s="32"/>
      <c r="AJ1090" s="32"/>
      <c r="AK1090" s="32"/>
      <c r="AL1090" s="32"/>
      <c r="AM1090" s="32"/>
      <c r="AN1090" s="32"/>
      <c r="AO1090" s="32"/>
      <c r="AP1090" s="32"/>
      <c r="AQ1090" s="32"/>
      <c r="AR1090" s="32"/>
      <c r="AS1090" s="32"/>
      <c r="AT1090" s="32"/>
      <c r="AU1090" s="32"/>
      <c r="AV1090" s="32"/>
      <c r="AW1090" s="32"/>
      <c r="AX1090" s="32"/>
    </row>
    <row r="1091">
      <c r="A1091" s="32"/>
      <c r="B1091" s="32"/>
      <c r="C1091" s="32"/>
      <c r="D1091" s="32"/>
      <c r="E1091" s="32">
        <f>IFERROR(__xludf.DUMMYFUNCTION("""COMPUTED_VALUE"""),1.0)</f>
        <v>1</v>
      </c>
      <c r="F1091" s="44">
        <f>IFERROR(__xludf.DUMMYFUNCTION("""COMPUTED_VALUE"""),0.0)</f>
        <v>0</v>
      </c>
      <c r="G1091" s="32"/>
      <c r="H1091" s="32"/>
      <c r="I1091" s="32"/>
      <c r="J1091" s="32"/>
      <c r="K1091" s="32"/>
      <c r="L1091" s="32"/>
      <c r="M1091" s="32"/>
      <c r="N1091" s="32"/>
      <c r="O1091" s="32"/>
      <c r="P1091" s="32"/>
      <c r="Q1091" s="32"/>
      <c r="R1091" s="32"/>
      <c r="S1091" s="32"/>
      <c r="T1091" s="32"/>
      <c r="U1091" s="32"/>
      <c r="V1091" s="32"/>
      <c r="W1091" s="32"/>
      <c r="X1091" s="32"/>
      <c r="Y1091" s="32"/>
      <c r="Z1091" s="32"/>
      <c r="AA1091" s="32"/>
      <c r="AB1091" s="32"/>
      <c r="AC1091" s="32"/>
      <c r="AD1091" s="32"/>
      <c r="AE1091" s="32"/>
      <c r="AF1091" s="32"/>
      <c r="AG1091" s="32"/>
      <c r="AH1091" s="32" t="b">
        <f>IFERROR(__xludf.DUMMYFUNCTION("""COMPUTED_VALUE"""),FALSE)</f>
        <v>0</v>
      </c>
      <c r="AI1091" s="32"/>
      <c r="AJ1091" s="32"/>
      <c r="AK1091" s="32"/>
      <c r="AL1091" s="32"/>
      <c r="AM1091" s="32"/>
      <c r="AN1091" s="32"/>
      <c r="AO1091" s="32"/>
      <c r="AP1091" s="32"/>
      <c r="AQ1091" s="32"/>
      <c r="AR1091" s="32"/>
      <c r="AS1091" s="32"/>
      <c r="AT1091" s="32"/>
      <c r="AU1091" s="32"/>
      <c r="AV1091" s="32"/>
      <c r="AW1091" s="32"/>
      <c r="AX1091" s="32"/>
    </row>
    <row r="1092">
      <c r="A1092" s="32"/>
      <c r="B1092" s="32"/>
      <c r="C1092" s="32"/>
      <c r="D1092" s="32"/>
      <c r="E1092" s="32">
        <f>IFERROR(__xludf.DUMMYFUNCTION("""COMPUTED_VALUE"""),1.0)</f>
        <v>1</v>
      </c>
      <c r="F1092" s="44">
        <f>IFERROR(__xludf.DUMMYFUNCTION("""COMPUTED_VALUE"""),0.0)</f>
        <v>0</v>
      </c>
      <c r="G1092" s="32"/>
      <c r="H1092" s="32"/>
      <c r="I1092" s="32"/>
      <c r="J1092" s="32"/>
      <c r="K1092" s="32"/>
      <c r="L1092" s="32"/>
      <c r="M1092" s="32"/>
      <c r="N1092" s="32"/>
      <c r="O1092" s="32"/>
      <c r="P1092" s="32"/>
      <c r="Q1092" s="32"/>
      <c r="R1092" s="32"/>
      <c r="S1092" s="32"/>
      <c r="T1092" s="32"/>
      <c r="U1092" s="32"/>
      <c r="V1092" s="32"/>
      <c r="W1092" s="32"/>
      <c r="X1092" s="32"/>
      <c r="Y1092" s="32"/>
      <c r="Z1092" s="32"/>
      <c r="AA1092" s="32"/>
      <c r="AB1092" s="32"/>
      <c r="AC1092" s="32"/>
      <c r="AD1092" s="32"/>
      <c r="AE1092" s="32"/>
      <c r="AF1092" s="32"/>
      <c r="AG1092" s="32"/>
      <c r="AH1092" s="32" t="b">
        <f>IFERROR(__xludf.DUMMYFUNCTION("""COMPUTED_VALUE"""),FALSE)</f>
        <v>0</v>
      </c>
      <c r="AI1092" s="32"/>
      <c r="AJ1092" s="32"/>
      <c r="AK1092" s="32"/>
      <c r="AL1092" s="32"/>
      <c r="AM1092" s="32"/>
      <c r="AN1092" s="32"/>
      <c r="AO1092" s="32"/>
      <c r="AP1092" s="32"/>
      <c r="AQ1092" s="32"/>
      <c r="AR1092" s="32"/>
      <c r="AS1092" s="32"/>
      <c r="AT1092" s="32"/>
      <c r="AU1092" s="32"/>
      <c r="AV1092" s="32"/>
      <c r="AW1092" s="32"/>
      <c r="AX1092" s="32"/>
    </row>
    <row r="1093">
      <c r="A1093" s="32"/>
      <c r="B1093" s="32"/>
      <c r="C1093" s="32"/>
      <c r="D1093" s="32"/>
      <c r="E1093" s="32">
        <f>IFERROR(__xludf.DUMMYFUNCTION("""COMPUTED_VALUE"""),1.0)</f>
        <v>1</v>
      </c>
      <c r="F1093" s="44">
        <f>IFERROR(__xludf.DUMMYFUNCTION("""COMPUTED_VALUE"""),0.0)</f>
        <v>0</v>
      </c>
      <c r="G1093" s="32"/>
      <c r="H1093" s="32"/>
      <c r="I1093" s="32"/>
      <c r="J1093" s="32"/>
      <c r="K1093" s="32"/>
      <c r="L1093" s="32"/>
      <c r="M1093" s="32"/>
      <c r="N1093" s="32"/>
      <c r="O1093" s="32"/>
      <c r="P1093" s="32"/>
      <c r="Q1093" s="32"/>
      <c r="R1093" s="32"/>
      <c r="S1093" s="32"/>
      <c r="T1093" s="32"/>
      <c r="U1093" s="32"/>
      <c r="V1093" s="32"/>
      <c r="W1093" s="32"/>
      <c r="X1093" s="32"/>
      <c r="Y1093" s="32"/>
      <c r="Z1093" s="32"/>
      <c r="AA1093" s="32"/>
      <c r="AB1093" s="32"/>
      <c r="AC1093" s="32"/>
      <c r="AD1093" s="32"/>
      <c r="AE1093" s="32"/>
      <c r="AF1093" s="32"/>
      <c r="AG1093" s="32"/>
      <c r="AH1093" s="32" t="b">
        <f>IFERROR(__xludf.DUMMYFUNCTION("""COMPUTED_VALUE"""),FALSE)</f>
        <v>0</v>
      </c>
      <c r="AI1093" s="32"/>
      <c r="AJ1093" s="32"/>
      <c r="AK1093" s="32"/>
      <c r="AL1093" s="32"/>
      <c r="AM1093" s="32"/>
      <c r="AN1093" s="32"/>
      <c r="AO1093" s="32"/>
      <c r="AP1093" s="32"/>
      <c r="AQ1093" s="32"/>
      <c r="AR1093" s="32"/>
      <c r="AS1093" s="32"/>
      <c r="AT1093" s="32"/>
      <c r="AU1093" s="32"/>
      <c r="AV1093" s="32"/>
      <c r="AW1093" s="32"/>
      <c r="AX1093" s="32"/>
    </row>
    <row r="1094">
      <c r="A1094" s="32"/>
      <c r="B1094" s="32"/>
      <c r="C1094" s="32"/>
      <c r="D1094" s="32"/>
      <c r="E1094" s="32">
        <f>IFERROR(__xludf.DUMMYFUNCTION("""COMPUTED_VALUE"""),1.0)</f>
        <v>1</v>
      </c>
      <c r="F1094" s="44">
        <f>IFERROR(__xludf.DUMMYFUNCTION("""COMPUTED_VALUE"""),0.0)</f>
        <v>0</v>
      </c>
      <c r="G1094" s="32"/>
      <c r="H1094" s="32"/>
      <c r="I1094" s="32"/>
      <c r="J1094" s="32"/>
      <c r="K1094" s="32"/>
      <c r="L1094" s="32"/>
      <c r="M1094" s="32"/>
      <c r="N1094" s="32"/>
      <c r="O1094" s="32"/>
      <c r="P1094" s="32"/>
      <c r="Q1094" s="32"/>
      <c r="R1094" s="32"/>
      <c r="S1094" s="32"/>
      <c r="T1094" s="32"/>
      <c r="U1094" s="32"/>
      <c r="V1094" s="32"/>
      <c r="W1094" s="32"/>
      <c r="X1094" s="32"/>
      <c r="Y1094" s="32"/>
      <c r="Z1094" s="32"/>
      <c r="AA1094" s="32"/>
      <c r="AB1094" s="32"/>
      <c r="AC1094" s="32"/>
      <c r="AD1094" s="32"/>
      <c r="AE1094" s="32"/>
      <c r="AF1094" s="32"/>
      <c r="AG1094" s="32"/>
      <c r="AH1094" s="32" t="b">
        <f>IFERROR(__xludf.DUMMYFUNCTION("""COMPUTED_VALUE"""),FALSE)</f>
        <v>0</v>
      </c>
      <c r="AI1094" s="32"/>
      <c r="AJ1094" s="32"/>
      <c r="AK1094" s="32"/>
      <c r="AL1094" s="32"/>
      <c r="AM1094" s="32"/>
      <c r="AN1094" s="32"/>
      <c r="AO1094" s="32"/>
      <c r="AP1094" s="32"/>
      <c r="AQ1094" s="32"/>
      <c r="AR1094" s="32"/>
      <c r="AS1094" s="32"/>
      <c r="AT1094" s="32"/>
      <c r="AU1094" s="32"/>
      <c r="AV1094" s="32"/>
      <c r="AW1094" s="32"/>
      <c r="AX1094" s="32"/>
    </row>
    <row r="1095">
      <c r="A1095" s="32"/>
      <c r="B1095" s="32"/>
      <c r="C1095" s="32"/>
      <c r="D1095" s="32"/>
      <c r="E1095" s="32">
        <f>IFERROR(__xludf.DUMMYFUNCTION("""COMPUTED_VALUE"""),1.0)</f>
        <v>1</v>
      </c>
      <c r="F1095" s="44">
        <f>IFERROR(__xludf.DUMMYFUNCTION("""COMPUTED_VALUE"""),0.0)</f>
        <v>0</v>
      </c>
      <c r="G1095" s="32"/>
      <c r="H1095" s="32"/>
      <c r="I1095" s="32"/>
      <c r="J1095" s="32"/>
      <c r="K1095" s="32"/>
      <c r="L1095" s="32"/>
      <c r="M1095" s="32"/>
      <c r="N1095" s="32"/>
      <c r="O1095" s="32"/>
      <c r="P1095" s="32"/>
      <c r="Q1095" s="32"/>
      <c r="R1095" s="32"/>
      <c r="S1095" s="32"/>
      <c r="T1095" s="32"/>
      <c r="U1095" s="32"/>
      <c r="V1095" s="32"/>
      <c r="W1095" s="32"/>
      <c r="X1095" s="32"/>
      <c r="Y1095" s="32"/>
      <c r="Z1095" s="32"/>
      <c r="AA1095" s="32"/>
      <c r="AB1095" s="32"/>
      <c r="AC1095" s="32"/>
      <c r="AD1095" s="32"/>
      <c r="AE1095" s="32"/>
      <c r="AF1095" s="32"/>
      <c r="AG1095" s="32"/>
      <c r="AH1095" s="32" t="b">
        <f>IFERROR(__xludf.DUMMYFUNCTION("""COMPUTED_VALUE"""),FALSE)</f>
        <v>0</v>
      </c>
      <c r="AI1095" s="32"/>
      <c r="AJ1095" s="32"/>
      <c r="AK1095" s="32"/>
      <c r="AL1095" s="32"/>
      <c r="AM1095" s="32"/>
      <c r="AN1095" s="32"/>
      <c r="AO1095" s="32"/>
      <c r="AP1095" s="32"/>
      <c r="AQ1095" s="32"/>
      <c r="AR1095" s="32"/>
      <c r="AS1095" s="32"/>
      <c r="AT1095" s="32"/>
      <c r="AU1095" s="32"/>
      <c r="AV1095" s="32"/>
      <c r="AW1095" s="32"/>
      <c r="AX1095" s="32"/>
    </row>
    <row r="1096">
      <c r="A1096" s="32"/>
      <c r="B1096" s="32"/>
      <c r="C1096" s="32"/>
      <c r="D1096" s="32"/>
      <c r="E1096" s="32">
        <f>IFERROR(__xludf.DUMMYFUNCTION("""COMPUTED_VALUE"""),1.0)</f>
        <v>1</v>
      </c>
      <c r="F1096" s="44">
        <f>IFERROR(__xludf.DUMMYFUNCTION("""COMPUTED_VALUE"""),0.0)</f>
        <v>0</v>
      </c>
      <c r="G1096" s="32"/>
      <c r="H1096" s="32"/>
      <c r="I1096" s="32"/>
      <c r="J1096" s="32"/>
      <c r="K1096" s="32"/>
      <c r="L1096" s="32"/>
      <c r="M1096" s="32"/>
      <c r="N1096" s="32"/>
      <c r="O1096" s="32"/>
      <c r="P1096" s="32"/>
      <c r="Q1096" s="32"/>
      <c r="R1096" s="32"/>
      <c r="S1096" s="32"/>
      <c r="T1096" s="32"/>
      <c r="U1096" s="32"/>
      <c r="V1096" s="32"/>
      <c r="W1096" s="32"/>
      <c r="X1096" s="32"/>
      <c r="Y1096" s="32"/>
      <c r="Z1096" s="32"/>
      <c r="AA1096" s="32"/>
      <c r="AB1096" s="32"/>
      <c r="AC1096" s="32"/>
      <c r="AD1096" s="32"/>
      <c r="AE1096" s="32"/>
      <c r="AF1096" s="32"/>
      <c r="AG1096" s="32"/>
      <c r="AH1096" s="32" t="b">
        <f>IFERROR(__xludf.DUMMYFUNCTION("""COMPUTED_VALUE"""),FALSE)</f>
        <v>0</v>
      </c>
      <c r="AI1096" s="32"/>
      <c r="AJ1096" s="32"/>
      <c r="AK1096" s="32"/>
      <c r="AL1096" s="32"/>
      <c r="AM1096" s="32"/>
      <c r="AN1096" s="32"/>
      <c r="AO1096" s="32"/>
      <c r="AP1096" s="32"/>
      <c r="AQ1096" s="32"/>
      <c r="AR1096" s="32"/>
      <c r="AS1096" s="32"/>
      <c r="AT1096" s="32"/>
      <c r="AU1096" s="32"/>
      <c r="AV1096" s="32"/>
      <c r="AW1096" s="32"/>
      <c r="AX1096" s="32"/>
    </row>
    <row r="1097">
      <c r="A1097" s="32"/>
      <c r="B1097" s="32"/>
      <c r="C1097" s="32"/>
      <c r="D1097" s="32"/>
      <c r="E1097" s="32">
        <f>IFERROR(__xludf.DUMMYFUNCTION("""COMPUTED_VALUE"""),1.0)</f>
        <v>1</v>
      </c>
      <c r="F1097" s="44">
        <f>IFERROR(__xludf.DUMMYFUNCTION("""COMPUTED_VALUE"""),0.0)</f>
        <v>0</v>
      </c>
      <c r="G1097" s="32"/>
      <c r="H1097" s="32"/>
      <c r="I1097" s="32"/>
      <c r="J1097" s="32"/>
      <c r="K1097" s="32"/>
      <c r="L1097" s="32"/>
      <c r="M1097" s="32"/>
      <c r="N1097" s="32"/>
      <c r="O1097" s="32"/>
      <c r="P1097" s="32"/>
      <c r="Q1097" s="32"/>
      <c r="R1097" s="32"/>
      <c r="S1097" s="32"/>
      <c r="T1097" s="32"/>
      <c r="U1097" s="32"/>
      <c r="V1097" s="32"/>
      <c r="W1097" s="32"/>
      <c r="X1097" s="32"/>
      <c r="Y1097" s="32"/>
      <c r="Z1097" s="32"/>
      <c r="AA1097" s="32"/>
      <c r="AB1097" s="32"/>
      <c r="AC1097" s="32"/>
      <c r="AD1097" s="32"/>
      <c r="AE1097" s="32"/>
      <c r="AF1097" s="32"/>
      <c r="AG1097" s="32"/>
      <c r="AH1097" s="32" t="b">
        <f>IFERROR(__xludf.DUMMYFUNCTION("""COMPUTED_VALUE"""),FALSE)</f>
        <v>0</v>
      </c>
      <c r="AI1097" s="32"/>
      <c r="AJ1097" s="32"/>
      <c r="AK1097" s="32"/>
      <c r="AL1097" s="32"/>
      <c r="AM1097" s="32"/>
      <c r="AN1097" s="32"/>
      <c r="AO1097" s="32"/>
      <c r="AP1097" s="32"/>
      <c r="AQ1097" s="32"/>
      <c r="AR1097" s="32"/>
      <c r="AS1097" s="32"/>
      <c r="AT1097" s="32"/>
      <c r="AU1097" s="32"/>
      <c r="AV1097" s="32"/>
      <c r="AW1097" s="32"/>
      <c r="AX1097" s="32"/>
    </row>
    <row r="1098">
      <c r="A1098" s="32"/>
      <c r="B1098" s="32"/>
      <c r="C1098" s="32"/>
      <c r="D1098" s="32"/>
      <c r="E1098" s="32">
        <f>IFERROR(__xludf.DUMMYFUNCTION("""COMPUTED_VALUE"""),1.0)</f>
        <v>1</v>
      </c>
      <c r="F1098" s="44">
        <f>IFERROR(__xludf.DUMMYFUNCTION("""COMPUTED_VALUE"""),0.0)</f>
        <v>0</v>
      </c>
      <c r="G1098" s="32"/>
      <c r="H1098" s="32"/>
      <c r="I1098" s="32"/>
      <c r="J1098" s="32"/>
      <c r="K1098" s="32"/>
      <c r="L1098" s="32"/>
      <c r="M1098" s="32"/>
      <c r="N1098" s="32"/>
      <c r="O1098" s="32"/>
      <c r="P1098" s="32"/>
      <c r="Q1098" s="32"/>
      <c r="R1098" s="32"/>
      <c r="S1098" s="32"/>
      <c r="T1098" s="32"/>
      <c r="U1098" s="32"/>
      <c r="V1098" s="32"/>
      <c r="W1098" s="32"/>
      <c r="X1098" s="32"/>
      <c r="Y1098" s="32"/>
      <c r="Z1098" s="32"/>
      <c r="AA1098" s="32"/>
      <c r="AB1098" s="32"/>
      <c r="AC1098" s="32"/>
      <c r="AD1098" s="32"/>
      <c r="AE1098" s="32"/>
      <c r="AF1098" s="32"/>
      <c r="AG1098" s="32"/>
      <c r="AH1098" s="32" t="b">
        <f>IFERROR(__xludf.DUMMYFUNCTION("""COMPUTED_VALUE"""),FALSE)</f>
        <v>0</v>
      </c>
      <c r="AI1098" s="32"/>
      <c r="AJ1098" s="32"/>
      <c r="AK1098" s="32"/>
      <c r="AL1098" s="32"/>
      <c r="AM1098" s="32"/>
      <c r="AN1098" s="32"/>
      <c r="AO1098" s="32"/>
      <c r="AP1098" s="32"/>
      <c r="AQ1098" s="32"/>
      <c r="AR1098" s="32"/>
      <c r="AS1098" s="32"/>
      <c r="AT1098" s="32"/>
      <c r="AU1098" s="32"/>
      <c r="AV1098" s="32"/>
      <c r="AW1098" s="32"/>
      <c r="AX1098" s="32"/>
    </row>
    <row r="1099">
      <c r="A1099" s="32"/>
      <c r="B1099" s="32"/>
      <c r="C1099" s="32"/>
      <c r="D1099" s="32"/>
      <c r="E1099" s="32">
        <f>IFERROR(__xludf.DUMMYFUNCTION("""COMPUTED_VALUE"""),1.0)</f>
        <v>1</v>
      </c>
      <c r="F1099" s="44">
        <f>IFERROR(__xludf.DUMMYFUNCTION("""COMPUTED_VALUE"""),0.0)</f>
        <v>0</v>
      </c>
      <c r="G1099" s="32"/>
      <c r="H1099" s="32"/>
      <c r="I1099" s="32"/>
      <c r="J1099" s="32"/>
      <c r="K1099" s="32"/>
      <c r="L1099" s="32"/>
      <c r="M1099" s="32"/>
      <c r="N1099" s="32"/>
      <c r="O1099" s="32"/>
      <c r="P1099" s="32"/>
      <c r="Q1099" s="32"/>
      <c r="R1099" s="32"/>
      <c r="S1099" s="32"/>
      <c r="T1099" s="32"/>
      <c r="U1099" s="32"/>
      <c r="V1099" s="32"/>
      <c r="W1099" s="32"/>
      <c r="X1099" s="32"/>
      <c r="Y1099" s="32"/>
      <c r="Z1099" s="32"/>
      <c r="AA1099" s="32"/>
      <c r="AB1099" s="32"/>
      <c r="AC1099" s="32"/>
      <c r="AD1099" s="32"/>
      <c r="AE1099" s="32"/>
      <c r="AF1099" s="32"/>
      <c r="AG1099" s="32"/>
      <c r="AH1099" s="32" t="b">
        <f>IFERROR(__xludf.DUMMYFUNCTION("""COMPUTED_VALUE"""),FALSE)</f>
        <v>0</v>
      </c>
      <c r="AI1099" s="32"/>
      <c r="AJ1099" s="32"/>
      <c r="AK1099" s="32"/>
      <c r="AL1099" s="32"/>
      <c r="AM1099" s="32"/>
      <c r="AN1099" s="32"/>
      <c r="AO1099" s="32"/>
      <c r="AP1099" s="32"/>
      <c r="AQ1099" s="32"/>
      <c r="AR1099" s="32"/>
      <c r="AS1099" s="32"/>
      <c r="AT1099" s="32"/>
      <c r="AU1099" s="32"/>
      <c r="AV1099" s="32"/>
      <c r="AW1099" s="32"/>
      <c r="AX1099" s="32"/>
    </row>
    <row r="1100">
      <c r="A1100" s="32"/>
      <c r="B1100" s="32"/>
      <c r="C1100" s="32"/>
      <c r="D1100" s="32"/>
      <c r="E1100" s="32">
        <f>IFERROR(__xludf.DUMMYFUNCTION("""COMPUTED_VALUE"""),1.0)</f>
        <v>1</v>
      </c>
      <c r="F1100" s="44">
        <f>IFERROR(__xludf.DUMMYFUNCTION("""COMPUTED_VALUE"""),0.0)</f>
        <v>0</v>
      </c>
      <c r="G1100" s="32"/>
      <c r="H1100" s="32"/>
      <c r="I1100" s="32"/>
      <c r="J1100" s="32"/>
      <c r="K1100" s="32"/>
      <c r="L1100" s="32"/>
      <c r="M1100" s="32"/>
      <c r="N1100" s="32"/>
      <c r="O1100" s="32"/>
      <c r="P1100" s="32"/>
      <c r="Q1100" s="32"/>
      <c r="R1100" s="32"/>
      <c r="S1100" s="32"/>
      <c r="T1100" s="32"/>
      <c r="U1100" s="32"/>
      <c r="V1100" s="32"/>
      <c r="W1100" s="32"/>
      <c r="X1100" s="32"/>
      <c r="Y1100" s="32"/>
      <c r="Z1100" s="32"/>
      <c r="AA1100" s="32"/>
      <c r="AB1100" s="32"/>
      <c r="AC1100" s="32"/>
      <c r="AD1100" s="32"/>
      <c r="AE1100" s="32"/>
      <c r="AF1100" s="32"/>
      <c r="AG1100" s="32"/>
      <c r="AH1100" s="32" t="b">
        <f>IFERROR(__xludf.DUMMYFUNCTION("""COMPUTED_VALUE"""),FALSE)</f>
        <v>0</v>
      </c>
      <c r="AI1100" s="32"/>
      <c r="AJ1100" s="32"/>
      <c r="AK1100" s="32"/>
      <c r="AL1100" s="32"/>
      <c r="AM1100" s="32"/>
      <c r="AN1100" s="32"/>
      <c r="AO1100" s="32"/>
      <c r="AP1100" s="32"/>
      <c r="AQ1100" s="32"/>
      <c r="AR1100" s="32"/>
      <c r="AS1100" s="32"/>
      <c r="AT1100" s="32"/>
      <c r="AU1100" s="32"/>
      <c r="AV1100" s="32"/>
      <c r="AW1100" s="32"/>
      <c r="AX1100" s="32"/>
    </row>
    <row r="1101">
      <c r="A1101" s="32"/>
      <c r="B1101" s="32"/>
      <c r="C1101" s="32"/>
      <c r="D1101" s="32"/>
      <c r="E1101" s="32">
        <f>IFERROR(__xludf.DUMMYFUNCTION("""COMPUTED_VALUE"""),1.0)</f>
        <v>1</v>
      </c>
      <c r="F1101" s="44">
        <f>IFERROR(__xludf.DUMMYFUNCTION("""COMPUTED_VALUE"""),0.0)</f>
        <v>0</v>
      </c>
      <c r="G1101" s="32"/>
      <c r="H1101" s="32"/>
      <c r="I1101" s="32"/>
      <c r="J1101" s="32"/>
      <c r="K1101" s="32"/>
      <c r="L1101" s="32"/>
      <c r="M1101" s="32"/>
      <c r="N1101" s="32"/>
      <c r="O1101" s="32"/>
      <c r="P1101" s="32"/>
      <c r="Q1101" s="32"/>
      <c r="R1101" s="32"/>
      <c r="S1101" s="32"/>
      <c r="T1101" s="32"/>
      <c r="U1101" s="32"/>
      <c r="V1101" s="32"/>
      <c r="W1101" s="32"/>
      <c r="X1101" s="32"/>
      <c r="Y1101" s="32"/>
      <c r="Z1101" s="32"/>
      <c r="AA1101" s="32"/>
      <c r="AB1101" s="32"/>
      <c r="AC1101" s="32"/>
      <c r="AD1101" s="32"/>
      <c r="AE1101" s="32"/>
      <c r="AF1101" s="32"/>
      <c r="AG1101" s="32"/>
      <c r="AH1101" s="32" t="b">
        <f>IFERROR(__xludf.DUMMYFUNCTION("""COMPUTED_VALUE"""),FALSE)</f>
        <v>0</v>
      </c>
      <c r="AI1101" s="32"/>
      <c r="AJ1101" s="32"/>
      <c r="AK1101" s="32"/>
      <c r="AL1101" s="32"/>
      <c r="AM1101" s="32"/>
      <c r="AN1101" s="32"/>
      <c r="AO1101" s="32"/>
      <c r="AP1101" s="32"/>
      <c r="AQ1101" s="32"/>
      <c r="AR1101" s="32"/>
      <c r="AS1101" s="32"/>
      <c r="AT1101" s="32"/>
      <c r="AU1101" s="32"/>
      <c r="AV1101" s="32"/>
      <c r="AW1101" s="32"/>
      <c r="AX1101" s="32"/>
    </row>
    <row r="1102">
      <c r="A1102" s="32"/>
      <c r="B1102" s="32"/>
      <c r="C1102" s="32"/>
      <c r="D1102" s="32"/>
      <c r="E1102" s="32">
        <f>IFERROR(__xludf.DUMMYFUNCTION("""COMPUTED_VALUE"""),1.0)</f>
        <v>1</v>
      </c>
      <c r="F1102" s="44">
        <f>IFERROR(__xludf.DUMMYFUNCTION("""COMPUTED_VALUE"""),0.0)</f>
        <v>0</v>
      </c>
      <c r="G1102" s="32"/>
      <c r="H1102" s="32"/>
      <c r="I1102" s="32"/>
      <c r="J1102" s="32"/>
      <c r="K1102" s="32"/>
      <c r="L1102" s="32"/>
      <c r="M1102" s="32"/>
      <c r="N1102" s="32"/>
      <c r="O1102" s="32"/>
      <c r="P1102" s="32"/>
      <c r="Q1102" s="32"/>
      <c r="R1102" s="32"/>
      <c r="S1102" s="32"/>
      <c r="T1102" s="32"/>
      <c r="U1102" s="32"/>
      <c r="V1102" s="32"/>
      <c r="W1102" s="32"/>
      <c r="X1102" s="32"/>
      <c r="Y1102" s="32"/>
      <c r="Z1102" s="32"/>
      <c r="AA1102" s="32"/>
      <c r="AB1102" s="32"/>
      <c r="AC1102" s="32"/>
      <c r="AD1102" s="32"/>
      <c r="AE1102" s="32"/>
      <c r="AF1102" s="32"/>
      <c r="AG1102" s="32"/>
      <c r="AH1102" s="32" t="b">
        <f>IFERROR(__xludf.DUMMYFUNCTION("""COMPUTED_VALUE"""),FALSE)</f>
        <v>0</v>
      </c>
      <c r="AI1102" s="32"/>
      <c r="AJ1102" s="32"/>
      <c r="AK1102" s="32"/>
      <c r="AL1102" s="32"/>
      <c r="AM1102" s="32"/>
      <c r="AN1102" s="32"/>
      <c r="AO1102" s="32"/>
      <c r="AP1102" s="32"/>
      <c r="AQ1102" s="32"/>
      <c r="AR1102" s="32"/>
      <c r="AS1102" s="32"/>
      <c r="AT1102" s="32"/>
      <c r="AU1102" s="32"/>
      <c r="AV1102" s="32"/>
      <c r="AW1102" s="32"/>
      <c r="AX1102" s="32"/>
    </row>
    <row r="1103">
      <c r="A1103" s="32"/>
      <c r="B1103" s="32"/>
      <c r="C1103" s="32"/>
      <c r="D1103" s="32"/>
      <c r="E1103" s="32">
        <f>IFERROR(__xludf.DUMMYFUNCTION("""COMPUTED_VALUE"""),1.0)</f>
        <v>1</v>
      </c>
      <c r="F1103" s="44">
        <f>IFERROR(__xludf.DUMMYFUNCTION("""COMPUTED_VALUE"""),0.0)</f>
        <v>0</v>
      </c>
      <c r="G1103" s="32"/>
      <c r="H1103" s="32"/>
      <c r="I1103" s="32"/>
      <c r="J1103" s="32"/>
      <c r="K1103" s="32"/>
      <c r="L1103" s="32"/>
      <c r="M1103" s="32"/>
      <c r="N1103" s="32"/>
      <c r="O1103" s="32"/>
      <c r="P1103" s="32"/>
      <c r="Q1103" s="32"/>
      <c r="R1103" s="32"/>
      <c r="S1103" s="32"/>
      <c r="T1103" s="32"/>
      <c r="U1103" s="32"/>
      <c r="V1103" s="32"/>
      <c r="W1103" s="32"/>
      <c r="X1103" s="32"/>
      <c r="Y1103" s="32"/>
      <c r="Z1103" s="32"/>
      <c r="AA1103" s="32"/>
      <c r="AB1103" s="32"/>
      <c r="AC1103" s="32"/>
      <c r="AD1103" s="32"/>
      <c r="AE1103" s="32"/>
      <c r="AF1103" s="32"/>
      <c r="AG1103" s="32"/>
      <c r="AH1103" s="32" t="b">
        <f>IFERROR(__xludf.DUMMYFUNCTION("""COMPUTED_VALUE"""),FALSE)</f>
        <v>0</v>
      </c>
      <c r="AI1103" s="32"/>
      <c r="AJ1103" s="32"/>
      <c r="AK1103" s="32"/>
      <c r="AL1103" s="32"/>
      <c r="AM1103" s="32"/>
      <c r="AN1103" s="32"/>
      <c r="AO1103" s="32"/>
      <c r="AP1103" s="32"/>
      <c r="AQ1103" s="32"/>
      <c r="AR1103" s="32"/>
      <c r="AS1103" s="32"/>
      <c r="AT1103" s="32"/>
      <c r="AU1103" s="32"/>
      <c r="AV1103" s="32"/>
      <c r="AW1103" s="32"/>
      <c r="AX1103" s="32"/>
    </row>
    <row r="1104">
      <c r="A1104" s="32"/>
      <c r="B1104" s="32"/>
      <c r="C1104" s="32"/>
      <c r="D1104" s="32"/>
      <c r="E1104" s="32">
        <f>IFERROR(__xludf.DUMMYFUNCTION("""COMPUTED_VALUE"""),1.0)</f>
        <v>1</v>
      </c>
      <c r="F1104" s="44">
        <f>IFERROR(__xludf.DUMMYFUNCTION("""COMPUTED_VALUE"""),0.0)</f>
        <v>0</v>
      </c>
      <c r="G1104" s="32"/>
      <c r="H1104" s="32"/>
      <c r="I1104" s="32"/>
      <c r="J1104" s="32"/>
      <c r="K1104" s="32"/>
      <c r="L1104" s="32"/>
      <c r="M1104" s="32"/>
      <c r="N1104" s="32"/>
      <c r="O1104" s="32"/>
      <c r="P1104" s="32"/>
      <c r="Q1104" s="32"/>
      <c r="R1104" s="32"/>
      <c r="S1104" s="32"/>
      <c r="T1104" s="32"/>
      <c r="U1104" s="32"/>
      <c r="V1104" s="32"/>
      <c r="W1104" s="32"/>
      <c r="X1104" s="32"/>
      <c r="Y1104" s="32"/>
      <c r="Z1104" s="32"/>
      <c r="AA1104" s="32"/>
      <c r="AB1104" s="32"/>
      <c r="AC1104" s="32"/>
      <c r="AD1104" s="32"/>
      <c r="AE1104" s="32"/>
      <c r="AF1104" s="32"/>
      <c r="AG1104" s="32"/>
      <c r="AH1104" s="32" t="b">
        <f>IFERROR(__xludf.DUMMYFUNCTION("""COMPUTED_VALUE"""),FALSE)</f>
        <v>0</v>
      </c>
      <c r="AI1104" s="32"/>
      <c r="AJ1104" s="32"/>
      <c r="AK1104" s="32"/>
      <c r="AL1104" s="32"/>
      <c r="AM1104" s="32"/>
      <c r="AN1104" s="32"/>
      <c r="AO1104" s="32"/>
      <c r="AP1104" s="32"/>
      <c r="AQ1104" s="32"/>
      <c r="AR1104" s="32"/>
      <c r="AS1104" s="32"/>
      <c r="AT1104" s="32"/>
      <c r="AU1104" s="32"/>
      <c r="AV1104" s="32"/>
      <c r="AW1104" s="32"/>
      <c r="AX1104" s="32"/>
    </row>
    <row r="1105">
      <c r="A1105" s="32"/>
      <c r="B1105" s="32"/>
      <c r="C1105" s="32"/>
      <c r="D1105" s="32"/>
      <c r="E1105" s="32">
        <f>IFERROR(__xludf.DUMMYFUNCTION("""COMPUTED_VALUE"""),1.0)</f>
        <v>1</v>
      </c>
      <c r="F1105" s="44">
        <f>IFERROR(__xludf.DUMMYFUNCTION("""COMPUTED_VALUE"""),0.0)</f>
        <v>0</v>
      </c>
      <c r="G1105" s="32"/>
      <c r="H1105" s="32"/>
      <c r="I1105" s="32"/>
      <c r="J1105" s="32"/>
      <c r="K1105" s="32"/>
      <c r="L1105" s="32"/>
      <c r="M1105" s="32"/>
      <c r="N1105" s="32"/>
      <c r="O1105" s="32"/>
      <c r="P1105" s="32"/>
      <c r="Q1105" s="32"/>
      <c r="R1105" s="32"/>
      <c r="S1105" s="32"/>
      <c r="T1105" s="32"/>
      <c r="U1105" s="32"/>
      <c r="V1105" s="32"/>
      <c r="W1105" s="32"/>
      <c r="X1105" s="32"/>
      <c r="Y1105" s="32"/>
      <c r="Z1105" s="32"/>
      <c r="AA1105" s="32"/>
      <c r="AB1105" s="32"/>
      <c r="AC1105" s="32"/>
      <c r="AD1105" s="32"/>
      <c r="AE1105" s="32"/>
      <c r="AF1105" s="32"/>
      <c r="AG1105" s="32"/>
      <c r="AH1105" s="32" t="b">
        <f>IFERROR(__xludf.DUMMYFUNCTION("""COMPUTED_VALUE"""),FALSE)</f>
        <v>0</v>
      </c>
      <c r="AI1105" s="32"/>
      <c r="AJ1105" s="32"/>
      <c r="AK1105" s="32"/>
      <c r="AL1105" s="32"/>
      <c r="AM1105" s="32"/>
      <c r="AN1105" s="32"/>
      <c r="AO1105" s="32"/>
      <c r="AP1105" s="32"/>
      <c r="AQ1105" s="32"/>
      <c r="AR1105" s="32"/>
      <c r="AS1105" s="32"/>
      <c r="AT1105" s="32"/>
      <c r="AU1105" s="32"/>
      <c r="AV1105" s="32"/>
      <c r="AW1105" s="32"/>
      <c r="AX1105" s="32"/>
    </row>
    <row r="1106">
      <c r="A1106" s="32"/>
      <c r="B1106" s="32"/>
      <c r="C1106" s="32"/>
      <c r="D1106" s="32"/>
      <c r="E1106" s="32">
        <f>IFERROR(__xludf.DUMMYFUNCTION("""COMPUTED_VALUE"""),1.0)</f>
        <v>1</v>
      </c>
      <c r="F1106" s="44">
        <f>IFERROR(__xludf.DUMMYFUNCTION("""COMPUTED_VALUE"""),0.0)</f>
        <v>0</v>
      </c>
      <c r="G1106" s="32"/>
      <c r="H1106" s="32"/>
      <c r="I1106" s="32"/>
      <c r="J1106" s="32"/>
      <c r="K1106" s="32"/>
      <c r="L1106" s="32"/>
      <c r="M1106" s="32"/>
      <c r="N1106" s="32"/>
      <c r="O1106" s="32"/>
      <c r="P1106" s="32"/>
      <c r="Q1106" s="32"/>
      <c r="R1106" s="32"/>
      <c r="S1106" s="32"/>
      <c r="T1106" s="32"/>
      <c r="U1106" s="32"/>
      <c r="V1106" s="32"/>
      <c r="W1106" s="32"/>
      <c r="X1106" s="32"/>
      <c r="Y1106" s="32"/>
      <c r="Z1106" s="32"/>
      <c r="AA1106" s="32"/>
      <c r="AB1106" s="32"/>
      <c r="AC1106" s="32"/>
      <c r="AD1106" s="32"/>
      <c r="AE1106" s="32"/>
      <c r="AF1106" s="32"/>
      <c r="AG1106" s="32"/>
      <c r="AH1106" s="32" t="b">
        <f>IFERROR(__xludf.DUMMYFUNCTION("""COMPUTED_VALUE"""),FALSE)</f>
        <v>0</v>
      </c>
      <c r="AI1106" s="32"/>
      <c r="AJ1106" s="32"/>
      <c r="AK1106" s="32"/>
      <c r="AL1106" s="32"/>
      <c r="AM1106" s="32"/>
      <c r="AN1106" s="32"/>
      <c r="AO1106" s="32"/>
      <c r="AP1106" s="32"/>
      <c r="AQ1106" s="32"/>
      <c r="AR1106" s="32"/>
      <c r="AS1106" s="32"/>
      <c r="AT1106" s="32"/>
      <c r="AU1106" s="32"/>
      <c r="AV1106" s="32"/>
      <c r="AW1106" s="32"/>
      <c r="AX1106" s="32"/>
    </row>
    <row r="1107">
      <c r="A1107" s="32"/>
      <c r="B1107" s="32"/>
      <c r="C1107" s="32"/>
      <c r="D1107" s="32"/>
      <c r="E1107" s="32">
        <f>IFERROR(__xludf.DUMMYFUNCTION("""COMPUTED_VALUE"""),1.0)</f>
        <v>1</v>
      </c>
      <c r="F1107" s="44">
        <f>IFERROR(__xludf.DUMMYFUNCTION("""COMPUTED_VALUE"""),0.0)</f>
        <v>0</v>
      </c>
      <c r="G1107" s="32"/>
      <c r="H1107" s="32"/>
      <c r="I1107" s="32"/>
      <c r="J1107" s="32"/>
      <c r="K1107" s="32"/>
      <c r="L1107" s="32"/>
      <c r="M1107" s="32"/>
      <c r="N1107" s="32"/>
      <c r="O1107" s="32"/>
      <c r="P1107" s="32"/>
      <c r="Q1107" s="32"/>
      <c r="R1107" s="32"/>
      <c r="S1107" s="32"/>
      <c r="T1107" s="32"/>
      <c r="U1107" s="32"/>
      <c r="V1107" s="32"/>
      <c r="W1107" s="32"/>
      <c r="X1107" s="32"/>
      <c r="Y1107" s="32"/>
      <c r="Z1107" s="32"/>
      <c r="AA1107" s="32"/>
      <c r="AB1107" s="32"/>
      <c r="AC1107" s="32"/>
      <c r="AD1107" s="32"/>
      <c r="AE1107" s="32"/>
      <c r="AF1107" s="32"/>
      <c r="AG1107" s="32"/>
      <c r="AH1107" s="32" t="b">
        <f>IFERROR(__xludf.DUMMYFUNCTION("""COMPUTED_VALUE"""),FALSE)</f>
        <v>0</v>
      </c>
      <c r="AI1107" s="32"/>
      <c r="AJ1107" s="32"/>
      <c r="AK1107" s="32"/>
      <c r="AL1107" s="32"/>
      <c r="AM1107" s="32"/>
      <c r="AN1107" s="32"/>
      <c r="AO1107" s="32"/>
      <c r="AP1107" s="32"/>
      <c r="AQ1107" s="32"/>
      <c r="AR1107" s="32"/>
      <c r="AS1107" s="32"/>
      <c r="AT1107" s="32"/>
      <c r="AU1107" s="32"/>
      <c r="AV1107" s="32"/>
      <c r="AW1107" s="32"/>
      <c r="AX1107" s="32"/>
    </row>
    <row r="1108">
      <c r="A1108" s="32"/>
      <c r="B1108" s="32"/>
      <c r="C1108" s="32"/>
      <c r="D1108" s="32"/>
      <c r="E1108" s="32">
        <f>IFERROR(__xludf.DUMMYFUNCTION("""COMPUTED_VALUE"""),1.0)</f>
        <v>1</v>
      </c>
      <c r="F1108" s="44">
        <f>IFERROR(__xludf.DUMMYFUNCTION("""COMPUTED_VALUE"""),0.0)</f>
        <v>0</v>
      </c>
      <c r="G1108" s="32"/>
      <c r="H1108" s="32"/>
      <c r="I1108" s="32"/>
      <c r="J1108" s="32"/>
      <c r="K1108" s="32"/>
      <c r="L1108" s="32"/>
      <c r="M1108" s="32"/>
      <c r="N1108" s="32"/>
      <c r="O1108" s="32"/>
      <c r="P1108" s="32"/>
      <c r="Q1108" s="32"/>
      <c r="R1108" s="32"/>
      <c r="S1108" s="32"/>
      <c r="T1108" s="32"/>
      <c r="U1108" s="32"/>
      <c r="V1108" s="32"/>
      <c r="W1108" s="32"/>
      <c r="X1108" s="32"/>
      <c r="Y1108" s="32"/>
      <c r="Z1108" s="32"/>
      <c r="AA1108" s="32"/>
      <c r="AB1108" s="32"/>
      <c r="AC1108" s="32"/>
      <c r="AD1108" s="32"/>
      <c r="AE1108" s="32"/>
      <c r="AF1108" s="32"/>
      <c r="AG1108" s="32"/>
      <c r="AH1108" s="32" t="b">
        <f>IFERROR(__xludf.DUMMYFUNCTION("""COMPUTED_VALUE"""),FALSE)</f>
        <v>0</v>
      </c>
      <c r="AI1108" s="32"/>
      <c r="AJ1108" s="32"/>
      <c r="AK1108" s="32"/>
      <c r="AL1108" s="32"/>
      <c r="AM1108" s="32"/>
      <c r="AN1108" s="32"/>
      <c r="AO1108" s="32"/>
      <c r="AP1108" s="32"/>
      <c r="AQ1108" s="32"/>
      <c r="AR1108" s="32"/>
      <c r="AS1108" s="32"/>
      <c r="AT1108" s="32"/>
      <c r="AU1108" s="32"/>
      <c r="AV1108" s="32"/>
      <c r="AW1108" s="32"/>
      <c r="AX1108" s="32"/>
    </row>
    <row r="1109">
      <c r="A1109" s="32"/>
      <c r="B1109" s="32"/>
      <c r="C1109" s="32"/>
      <c r="D1109" s="32"/>
      <c r="E1109" s="32">
        <f>IFERROR(__xludf.DUMMYFUNCTION("""COMPUTED_VALUE"""),1.0)</f>
        <v>1</v>
      </c>
      <c r="F1109" s="44">
        <f>IFERROR(__xludf.DUMMYFUNCTION("""COMPUTED_VALUE"""),0.0)</f>
        <v>0</v>
      </c>
      <c r="G1109" s="32"/>
      <c r="H1109" s="32"/>
      <c r="I1109" s="32"/>
      <c r="J1109" s="32"/>
      <c r="K1109" s="32"/>
      <c r="L1109" s="32"/>
      <c r="M1109" s="32"/>
      <c r="N1109" s="32"/>
      <c r="O1109" s="32"/>
      <c r="P1109" s="32"/>
      <c r="Q1109" s="32"/>
      <c r="R1109" s="32"/>
      <c r="S1109" s="32"/>
      <c r="T1109" s="32"/>
      <c r="U1109" s="32"/>
      <c r="V1109" s="32"/>
      <c r="W1109" s="32"/>
      <c r="X1109" s="32"/>
      <c r="Y1109" s="32"/>
      <c r="Z1109" s="32"/>
      <c r="AA1109" s="32"/>
      <c r="AB1109" s="32"/>
      <c r="AC1109" s="32"/>
      <c r="AD1109" s="32"/>
      <c r="AE1109" s="32"/>
      <c r="AF1109" s="32"/>
      <c r="AG1109" s="32"/>
      <c r="AH1109" s="32" t="b">
        <f>IFERROR(__xludf.DUMMYFUNCTION("""COMPUTED_VALUE"""),FALSE)</f>
        <v>0</v>
      </c>
      <c r="AI1109" s="32"/>
      <c r="AJ1109" s="32"/>
      <c r="AK1109" s="32"/>
      <c r="AL1109" s="32"/>
      <c r="AM1109" s="32"/>
      <c r="AN1109" s="32"/>
      <c r="AO1109" s="32"/>
      <c r="AP1109" s="32"/>
      <c r="AQ1109" s="32"/>
      <c r="AR1109" s="32"/>
      <c r="AS1109" s="32"/>
      <c r="AT1109" s="32"/>
      <c r="AU1109" s="32"/>
      <c r="AV1109" s="32"/>
      <c r="AW1109" s="32"/>
      <c r="AX1109" s="32"/>
    </row>
    <row r="1110">
      <c r="A1110" s="32"/>
      <c r="B1110" s="32"/>
      <c r="C1110" s="32"/>
      <c r="D1110" s="32"/>
      <c r="E1110" s="32">
        <f>IFERROR(__xludf.DUMMYFUNCTION("""COMPUTED_VALUE"""),1.0)</f>
        <v>1</v>
      </c>
      <c r="F1110" s="44">
        <f>IFERROR(__xludf.DUMMYFUNCTION("""COMPUTED_VALUE"""),0.0)</f>
        <v>0</v>
      </c>
      <c r="G1110" s="32"/>
      <c r="H1110" s="32"/>
      <c r="I1110" s="32"/>
      <c r="J1110" s="32"/>
      <c r="K1110" s="32"/>
      <c r="L1110" s="32"/>
      <c r="M1110" s="32"/>
      <c r="N1110" s="32"/>
      <c r="O1110" s="32"/>
      <c r="P1110" s="32"/>
      <c r="Q1110" s="32"/>
      <c r="R1110" s="32"/>
      <c r="S1110" s="32"/>
      <c r="T1110" s="32"/>
      <c r="U1110" s="32"/>
      <c r="V1110" s="32"/>
      <c r="W1110" s="32"/>
      <c r="X1110" s="32"/>
      <c r="Y1110" s="32"/>
      <c r="Z1110" s="32"/>
      <c r="AA1110" s="32"/>
      <c r="AB1110" s="32"/>
      <c r="AC1110" s="32"/>
      <c r="AD1110" s="32"/>
      <c r="AE1110" s="32"/>
      <c r="AF1110" s="32"/>
      <c r="AG1110" s="32"/>
      <c r="AH1110" s="32" t="b">
        <f>IFERROR(__xludf.DUMMYFUNCTION("""COMPUTED_VALUE"""),FALSE)</f>
        <v>0</v>
      </c>
      <c r="AI1110" s="32"/>
      <c r="AJ1110" s="32"/>
      <c r="AK1110" s="32"/>
      <c r="AL1110" s="32"/>
      <c r="AM1110" s="32"/>
      <c r="AN1110" s="32"/>
      <c r="AO1110" s="32"/>
      <c r="AP1110" s="32"/>
      <c r="AQ1110" s="32"/>
      <c r="AR1110" s="32"/>
      <c r="AS1110" s="32"/>
      <c r="AT1110" s="32"/>
      <c r="AU1110" s="32"/>
      <c r="AV1110" s="32"/>
      <c r="AW1110" s="32"/>
      <c r="AX1110" s="32"/>
    </row>
    <row r="1111">
      <c r="A1111" s="32"/>
      <c r="B1111" s="32"/>
      <c r="C1111" s="32"/>
      <c r="D1111" s="32"/>
      <c r="E1111" s="32">
        <f>IFERROR(__xludf.DUMMYFUNCTION("""COMPUTED_VALUE"""),1.0)</f>
        <v>1</v>
      </c>
      <c r="F1111" s="44">
        <f>IFERROR(__xludf.DUMMYFUNCTION("""COMPUTED_VALUE"""),0.0)</f>
        <v>0</v>
      </c>
      <c r="G1111" s="32"/>
      <c r="H1111" s="32"/>
      <c r="I1111" s="32"/>
      <c r="J1111" s="32"/>
      <c r="K1111" s="32"/>
      <c r="L1111" s="32"/>
      <c r="M1111" s="32"/>
      <c r="N1111" s="32"/>
      <c r="O1111" s="32"/>
      <c r="P1111" s="32"/>
      <c r="Q1111" s="32"/>
      <c r="R1111" s="32"/>
      <c r="S1111" s="32"/>
      <c r="T1111" s="32"/>
      <c r="U1111" s="32"/>
      <c r="V1111" s="32"/>
      <c r="W1111" s="32"/>
      <c r="X1111" s="32"/>
      <c r="Y1111" s="32"/>
      <c r="Z1111" s="32"/>
      <c r="AA1111" s="32"/>
      <c r="AB1111" s="32"/>
      <c r="AC1111" s="32"/>
      <c r="AD1111" s="32"/>
      <c r="AE1111" s="32"/>
      <c r="AF1111" s="32"/>
      <c r="AG1111" s="32"/>
      <c r="AH1111" s="32" t="b">
        <f>IFERROR(__xludf.DUMMYFUNCTION("""COMPUTED_VALUE"""),FALSE)</f>
        <v>0</v>
      </c>
      <c r="AI1111" s="32"/>
      <c r="AJ1111" s="32"/>
      <c r="AK1111" s="32"/>
      <c r="AL1111" s="32"/>
      <c r="AM1111" s="32"/>
      <c r="AN1111" s="32"/>
      <c r="AO1111" s="32"/>
      <c r="AP1111" s="32"/>
      <c r="AQ1111" s="32"/>
      <c r="AR1111" s="32"/>
      <c r="AS1111" s="32"/>
      <c r="AT1111" s="32"/>
      <c r="AU1111" s="32"/>
      <c r="AV1111" s="32"/>
      <c r="AW1111" s="32"/>
      <c r="AX1111" s="32"/>
    </row>
    <row r="1112">
      <c r="A1112" s="32"/>
      <c r="B1112" s="32"/>
      <c r="C1112" s="32"/>
      <c r="D1112" s="32"/>
      <c r="E1112" s="32">
        <f>IFERROR(__xludf.DUMMYFUNCTION("""COMPUTED_VALUE"""),1.0)</f>
        <v>1</v>
      </c>
      <c r="F1112" s="44">
        <f>IFERROR(__xludf.DUMMYFUNCTION("""COMPUTED_VALUE"""),0.0)</f>
        <v>0</v>
      </c>
      <c r="G1112" s="32"/>
      <c r="H1112" s="32"/>
      <c r="I1112" s="32"/>
      <c r="J1112" s="32"/>
      <c r="K1112" s="32"/>
      <c r="L1112" s="32"/>
      <c r="M1112" s="32"/>
      <c r="N1112" s="32"/>
      <c r="O1112" s="32"/>
      <c r="P1112" s="32"/>
      <c r="Q1112" s="32"/>
      <c r="R1112" s="32"/>
      <c r="S1112" s="32"/>
      <c r="T1112" s="32"/>
      <c r="U1112" s="32"/>
      <c r="V1112" s="32"/>
      <c r="W1112" s="32"/>
      <c r="X1112" s="32"/>
      <c r="Y1112" s="32"/>
      <c r="Z1112" s="32"/>
      <c r="AA1112" s="32"/>
      <c r="AB1112" s="32"/>
      <c r="AC1112" s="32"/>
      <c r="AD1112" s="32"/>
      <c r="AE1112" s="32"/>
      <c r="AF1112" s="32"/>
      <c r="AG1112" s="32"/>
      <c r="AH1112" s="32" t="b">
        <f>IFERROR(__xludf.DUMMYFUNCTION("""COMPUTED_VALUE"""),FALSE)</f>
        <v>0</v>
      </c>
      <c r="AI1112" s="32"/>
      <c r="AJ1112" s="32"/>
      <c r="AK1112" s="32"/>
      <c r="AL1112" s="32"/>
      <c r="AM1112" s="32"/>
      <c r="AN1112" s="32"/>
      <c r="AO1112" s="32"/>
      <c r="AP1112" s="32"/>
      <c r="AQ1112" s="32"/>
      <c r="AR1112" s="32"/>
      <c r="AS1112" s="32"/>
      <c r="AT1112" s="32"/>
      <c r="AU1112" s="32"/>
      <c r="AV1112" s="32"/>
      <c r="AW1112" s="32"/>
      <c r="AX1112" s="32"/>
    </row>
    <row r="1113">
      <c r="A1113" s="32"/>
      <c r="B1113" s="32"/>
      <c r="C1113" s="32"/>
      <c r="D1113" s="32"/>
      <c r="E1113" s="32">
        <f>IFERROR(__xludf.DUMMYFUNCTION("""COMPUTED_VALUE"""),1.0)</f>
        <v>1</v>
      </c>
      <c r="F1113" s="44">
        <f>IFERROR(__xludf.DUMMYFUNCTION("""COMPUTED_VALUE"""),0.0)</f>
        <v>0</v>
      </c>
      <c r="G1113" s="32"/>
      <c r="H1113" s="32"/>
      <c r="I1113" s="32"/>
      <c r="J1113" s="32"/>
      <c r="K1113" s="32"/>
      <c r="L1113" s="32"/>
      <c r="M1113" s="32"/>
      <c r="N1113" s="32"/>
      <c r="O1113" s="32"/>
      <c r="P1113" s="32"/>
      <c r="Q1113" s="32"/>
      <c r="R1113" s="32"/>
      <c r="S1113" s="32"/>
      <c r="T1113" s="32"/>
      <c r="U1113" s="32"/>
      <c r="V1113" s="32"/>
      <c r="W1113" s="32"/>
      <c r="X1113" s="32"/>
      <c r="Y1113" s="32"/>
      <c r="Z1113" s="32"/>
      <c r="AA1113" s="32"/>
      <c r="AB1113" s="32"/>
      <c r="AC1113" s="32"/>
      <c r="AD1113" s="32"/>
      <c r="AE1113" s="32"/>
      <c r="AF1113" s="32"/>
      <c r="AG1113" s="32"/>
      <c r="AH1113" s="32" t="b">
        <f>IFERROR(__xludf.DUMMYFUNCTION("""COMPUTED_VALUE"""),FALSE)</f>
        <v>0</v>
      </c>
      <c r="AI1113" s="32"/>
      <c r="AJ1113" s="32"/>
      <c r="AK1113" s="32"/>
      <c r="AL1113" s="32"/>
      <c r="AM1113" s="32"/>
      <c r="AN1113" s="32"/>
      <c r="AO1113" s="32"/>
      <c r="AP1113" s="32"/>
      <c r="AQ1113" s="32"/>
      <c r="AR1113" s="32"/>
      <c r="AS1113" s="32"/>
      <c r="AT1113" s="32"/>
      <c r="AU1113" s="32"/>
      <c r="AV1113" s="32"/>
      <c r="AW1113" s="32"/>
      <c r="AX1113" s="32"/>
    </row>
    <row r="1114">
      <c r="A1114" s="32"/>
      <c r="B1114" s="32"/>
      <c r="C1114" s="32"/>
      <c r="D1114" s="32"/>
      <c r="E1114" s="32">
        <f>IFERROR(__xludf.DUMMYFUNCTION("""COMPUTED_VALUE"""),1.0)</f>
        <v>1</v>
      </c>
      <c r="F1114" s="44">
        <f>IFERROR(__xludf.DUMMYFUNCTION("""COMPUTED_VALUE"""),0.0)</f>
        <v>0</v>
      </c>
      <c r="G1114" s="32"/>
      <c r="H1114" s="32"/>
      <c r="I1114" s="32"/>
      <c r="J1114" s="32"/>
      <c r="K1114" s="32"/>
      <c r="L1114" s="32"/>
      <c r="M1114" s="32"/>
      <c r="N1114" s="32"/>
      <c r="O1114" s="32"/>
      <c r="P1114" s="32"/>
      <c r="Q1114" s="32"/>
      <c r="R1114" s="32"/>
      <c r="S1114" s="32"/>
      <c r="T1114" s="32"/>
      <c r="U1114" s="32"/>
      <c r="V1114" s="32"/>
      <c r="W1114" s="32"/>
      <c r="X1114" s="32"/>
      <c r="Y1114" s="32"/>
      <c r="Z1114" s="32"/>
      <c r="AA1114" s="32"/>
      <c r="AB1114" s="32"/>
      <c r="AC1114" s="32"/>
      <c r="AD1114" s="32"/>
      <c r="AE1114" s="32"/>
      <c r="AF1114" s="32"/>
      <c r="AG1114" s="32"/>
      <c r="AH1114" s="32" t="b">
        <f>IFERROR(__xludf.DUMMYFUNCTION("""COMPUTED_VALUE"""),FALSE)</f>
        <v>0</v>
      </c>
      <c r="AI1114" s="32"/>
      <c r="AJ1114" s="32"/>
      <c r="AK1114" s="32"/>
      <c r="AL1114" s="32"/>
      <c r="AM1114" s="32"/>
      <c r="AN1114" s="32"/>
      <c r="AO1114" s="32"/>
      <c r="AP1114" s="32"/>
      <c r="AQ1114" s="32"/>
      <c r="AR1114" s="32"/>
      <c r="AS1114" s="32"/>
      <c r="AT1114" s="32"/>
      <c r="AU1114" s="32"/>
      <c r="AV1114" s="32"/>
      <c r="AW1114" s="32"/>
      <c r="AX1114" s="32"/>
    </row>
    <row r="1115">
      <c r="A1115" s="32"/>
      <c r="B1115" s="32"/>
      <c r="C1115" s="32"/>
      <c r="D1115" s="32"/>
      <c r="E1115" s="32">
        <f>IFERROR(__xludf.DUMMYFUNCTION("""COMPUTED_VALUE"""),1.0)</f>
        <v>1</v>
      </c>
      <c r="F1115" s="44">
        <f>IFERROR(__xludf.DUMMYFUNCTION("""COMPUTED_VALUE"""),0.0)</f>
        <v>0</v>
      </c>
      <c r="G1115" s="32"/>
      <c r="H1115" s="32"/>
      <c r="I1115" s="32"/>
      <c r="J1115" s="32"/>
      <c r="K1115" s="32"/>
      <c r="L1115" s="32"/>
      <c r="M1115" s="32"/>
      <c r="N1115" s="32"/>
      <c r="O1115" s="32"/>
      <c r="P1115" s="32"/>
      <c r="Q1115" s="32"/>
      <c r="R1115" s="32"/>
      <c r="S1115" s="32"/>
      <c r="T1115" s="32"/>
      <c r="U1115" s="32"/>
      <c r="V1115" s="32"/>
      <c r="W1115" s="32"/>
      <c r="X1115" s="32"/>
      <c r="Y1115" s="32"/>
      <c r="Z1115" s="32"/>
      <c r="AA1115" s="32"/>
      <c r="AB1115" s="32"/>
      <c r="AC1115" s="32"/>
      <c r="AD1115" s="32"/>
      <c r="AE1115" s="32"/>
      <c r="AF1115" s="32"/>
      <c r="AG1115" s="32"/>
      <c r="AH1115" s="32" t="b">
        <f>IFERROR(__xludf.DUMMYFUNCTION("""COMPUTED_VALUE"""),FALSE)</f>
        <v>0</v>
      </c>
      <c r="AI1115" s="32"/>
      <c r="AJ1115" s="32"/>
      <c r="AK1115" s="32"/>
      <c r="AL1115" s="32"/>
      <c r="AM1115" s="32"/>
      <c r="AN1115" s="32"/>
      <c r="AO1115" s="32"/>
      <c r="AP1115" s="32"/>
      <c r="AQ1115" s="32"/>
      <c r="AR1115" s="32"/>
      <c r="AS1115" s="32"/>
      <c r="AT1115" s="32"/>
      <c r="AU1115" s="32"/>
      <c r="AV1115" s="32"/>
      <c r="AW1115" s="32"/>
      <c r="AX1115" s="32"/>
    </row>
    <row r="1116">
      <c r="A1116" s="32"/>
      <c r="B1116" s="32"/>
      <c r="C1116" s="32"/>
      <c r="D1116" s="32"/>
      <c r="E1116" s="32">
        <f>IFERROR(__xludf.DUMMYFUNCTION("""COMPUTED_VALUE"""),1.0)</f>
        <v>1</v>
      </c>
      <c r="F1116" s="44">
        <f>IFERROR(__xludf.DUMMYFUNCTION("""COMPUTED_VALUE"""),0.0)</f>
        <v>0</v>
      </c>
      <c r="G1116" s="32"/>
      <c r="H1116" s="32"/>
      <c r="I1116" s="32"/>
      <c r="J1116" s="32"/>
      <c r="K1116" s="32"/>
      <c r="L1116" s="32"/>
      <c r="M1116" s="32"/>
      <c r="N1116" s="32"/>
      <c r="O1116" s="32"/>
      <c r="P1116" s="32"/>
      <c r="Q1116" s="32"/>
      <c r="R1116" s="32"/>
      <c r="S1116" s="32"/>
      <c r="T1116" s="32"/>
      <c r="U1116" s="32"/>
      <c r="V1116" s="32"/>
      <c r="W1116" s="32"/>
      <c r="X1116" s="32"/>
      <c r="Y1116" s="32"/>
      <c r="Z1116" s="32"/>
      <c r="AA1116" s="32"/>
      <c r="AB1116" s="32"/>
      <c r="AC1116" s="32"/>
      <c r="AD1116" s="32"/>
      <c r="AE1116" s="32"/>
      <c r="AF1116" s="32"/>
      <c r="AG1116" s="32"/>
      <c r="AH1116" s="32" t="b">
        <f>IFERROR(__xludf.DUMMYFUNCTION("""COMPUTED_VALUE"""),FALSE)</f>
        <v>0</v>
      </c>
      <c r="AI1116" s="32"/>
      <c r="AJ1116" s="32"/>
      <c r="AK1116" s="32"/>
      <c r="AL1116" s="32"/>
      <c r="AM1116" s="32"/>
      <c r="AN1116" s="32"/>
      <c r="AO1116" s="32"/>
      <c r="AP1116" s="32"/>
      <c r="AQ1116" s="32"/>
      <c r="AR1116" s="32"/>
      <c r="AS1116" s="32"/>
      <c r="AT1116" s="32"/>
      <c r="AU1116" s="32"/>
      <c r="AV1116" s="32"/>
      <c r="AW1116" s="32"/>
      <c r="AX1116" s="32"/>
    </row>
    <row r="1117">
      <c r="A1117" s="32"/>
      <c r="B1117" s="32"/>
      <c r="C1117" s="32"/>
      <c r="D1117" s="32"/>
      <c r="E1117" s="32">
        <f>IFERROR(__xludf.DUMMYFUNCTION("""COMPUTED_VALUE"""),1.0)</f>
        <v>1</v>
      </c>
      <c r="F1117" s="44">
        <f>IFERROR(__xludf.DUMMYFUNCTION("""COMPUTED_VALUE"""),0.0)</f>
        <v>0</v>
      </c>
      <c r="G1117" s="32"/>
      <c r="H1117" s="32"/>
      <c r="I1117" s="32"/>
      <c r="J1117" s="32"/>
      <c r="K1117" s="32"/>
      <c r="L1117" s="32"/>
      <c r="M1117" s="32"/>
      <c r="N1117" s="32"/>
      <c r="O1117" s="32"/>
      <c r="P1117" s="32"/>
      <c r="Q1117" s="32"/>
      <c r="R1117" s="32"/>
      <c r="S1117" s="32"/>
      <c r="T1117" s="32"/>
      <c r="U1117" s="32"/>
      <c r="V1117" s="32"/>
      <c r="W1117" s="32"/>
      <c r="X1117" s="32"/>
      <c r="Y1117" s="32"/>
      <c r="Z1117" s="32"/>
      <c r="AA1117" s="32"/>
      <c r="AB1117" s="32"/>
      <c r="AC1117" s="32"/>
      <c r="AD1117" s="32"/>
      <c r="AE1117" s="32"/>
      <c r="AF1117" s="32"/>
      <c r="AG1117" s="32"/>
      <c r="AH1117" s="32" t="b">
        <f>IFERROR(__xludf.DUMMYFUNCTION("""COMPUTED_VALUE"""),FALSE)</f>
        <v>0</v>
      </c>
      <c r="AI1117" s="32"/>
      <c r="AJ1117" s="32"/>
      <c r="AK1117" s="32"/>
      <c r="AL1117" s="32"/>
      <c r="AM1117" s="32"/>
      <c r="AN1117" s="32"/>
      <c r="AO1117" s="32"/>
      <c r="AP1117" s="32"/>
      <c r="AQ1117" s="32"/>
      <c r="AR1117" s="32"/>
      <c r="AS1117" s="32"/>
      <c r="AT1117" s="32"/>
      <c r="AU1117" s="32"/>
      <c r="AV1117" s="32"/>
      <c r="AW1117" s="32"/>
      <c r="AX1117" s="32"/>
    </row>
    <row r="1118">
      <c r="A1118" s="32"/>
      <c r="B1118" s="32"/>
      <c r="C1118" s="32"/>
      <c r="D1118" s="32"/>
      <c r="E1118" s="32">
        <f>IFERROR(__xludf.DUMMYFUNCTION("""COMPUTED_VALUE"""),1.0)</f>
        <v>1</v>
      </c>
      <c r="F1118" s="44">
        <f>IFERROR(__xludf.DUMMYFUNCTION("""COMPUTED_VALUE"""),0.0)</f>
        <v>0</v>
      </c>
      <c r="G1118" s="32"/>
      <c r="H1118" s="32"/>
      <c r="I1118" s="32"/>
      <c r="J1118" s="32"/>
      <c r="K1118" s="32"/>
      <c r="L1118" s="32"/>
      <c r="M1118" s="32"/>
      <c r="N1118" s="32"/>
      <c r="O1118" s="32"/>
      <c r="P1118" s="32"/>
      <c r="Q1118" s="32"/>
      <c r="R1118" s="32"/>
      <c r="S1118" s="32"/>
      <c r="T1118" s="32"/>
      <c r="U1118" s="32"/>
      <c r="V1118" s="32"/>
      <c r="W1118" s="32"/>
      <c r="X1118" s="32"/>
      <c r="Y1118" s="32"/>
      <c r="Z1118" s="32"/>
      <c r="AA1118" s="32"/>
      <c r="AB1118" s="32"/>
      <c r="AC1118" s="32"/>
      <c r="AD1118" s="32"/>
      <c r="AE1118" s="32"/>
      <c r="AF1118" s="32"/>
      <c r="AG1118" s="32"/>
      <c r="AH1118" s="32" t="b">
        <f>IFERROR(__xludf.DUMMYFUNCTION("""COMPUTED_VALUE"""),FALSE)</f>
        <v>0</v>
      </c>
      <c r="AI1118" s="32"/>
      <c r="AJ1118" s="32"/>
      <c r="AK1118" s="32"/>
      <c r="AL1118" s="32"/>
      <c r="AM1118" s="32"/>
      <c r="AN1118" s="32"/>
      <c r="AO1118" s="32"/>
      <c r="AP1118" s="32"/>
      <c r="AQ1118" s="32"/>
      <c r="AR1118" s="32"/>
      <c r="AS1118" s="32"/>
      <c r="AT1118" s="32"/>
      <c r="AU1118" s="32"/>
      <c r="AV1118" s="32"/>
      <c r="AW1118" s="32"/>
      <c r="AX1118" s="32"/>
    </row>
    <row r="1119">
      <c r="A1119" s="32"/>
      <c r="B1119" s="32"/>
      <c r="C1119" s="32"/>
      <c r="D1119" s="32"/>
      <c r="E1119" s="32">
        <f>IFERROR(__xludf.DUMMYFUNCTION("""COMPUTED_VALUE"""),1.0)</f>
        <v>1</v>
      </c>
      <c r="F1119" s="44">
        <f>IFERROR(__xludf.DUMMYFUNCTION("""COMPUTED_VALUE"""),0.0)</f>
        <v>0</v>
      </c>
      <c r="G1119" s="32"/>
      <c r="H1119" s="32"/>
      <c r="I1119" s="32"/>
      <c r="J1119" s="32"/>
      <c r="K1119" s="32"/>
      <c r="L1119" s="32"/>
      <c r="M1119" s="32"/>
      <c r="N1119" s="32"/>
      <c r="O1119" s="32"/>
      <c r="P1119" s="32"/>
      <c r="Q1119" s="32"/>
      <c r="R1119" s="32"/>
      <c r="S1119" s="32"/>
      <c r="T1119" s="32"/>
      <c r="U1119" s="32"/>
      <c r="V1119" s="32"/>
      <c r="W1119" s="32"/>
      <c r="X1119" s="32"/>
      <c r="Y1119" s="32"/>
      <c r="Z1119" s="32"/>
      <c r="AA1119" s="32"/>
      <c r="AB1119" s="32"/>
      <c r="AC1119" s="32"/>
      <c r="AD1119" s="32"/>
      <c r="AE1119" s="32"/>
      <c r="AF1119" s="32"/>
      <c r="AG1119" s="32"/>
      <c r="AH1119" s="32" t="b">
        <f>IFERROR(__xludf.DUMMYFUNCTION("""COMPUTED_VALUE"""),FALSE)</f>
        <v>0</v>
      </c>
      <c r="AI1119" s="32"/>
      <c r="AJ1119" s="32"/>
      <c r="AK1119" s="32"/>
      <c r="AL1119" s="32"/>
      <c r="AM1119" s="32"/>
      <c r="AN1119" s="32"/>
      <c r="AO1119" s="32"/>
      <c r="AP1119" s="32"/>
      <c r="AQ1119" s="32"/>
      <c r="AR1119" s="32"/>
      <c r="AS1119" s="32"/>
      <c r="AT1119" s="32"/>
      <c r="AU1119" s="32"/>
      <c r="AV1119" s="32"/>
      <c r="AW1119" s="32"/>
      <c r="AX1119" s="32"/>
    </row>
    <row r="1120">
      <c r="A1120" s="32"/>
      <c r="B1120" s="32"/>
      <c r="C1120" s="32"/>
      <c r="D1120" s="32"/>
      <c r="E1120" s="32">
        <f>IFERROR(__xludf.DUMMYFUNCTION("""COMPUTED_VALUE"""),1.0)</f>
        <v>1</v>
      </c>
      <c r="F1120" s="44">
        <f>IFERROR(__xludf.DUMMYFUNCTION("""COMPUTED_VALUE"""),0.0)</f>
        <v>0</v>
      </c>
      <c r="G1120" s="32"/>
      <c r="H1120" s="32"/>
      <c r="I1120" s="32"/>
      <c r="J1120" s="32"/>
      <c r="K1120" s="32"/>
      <c r="L1120" s="32"/>
      <c r="M1120" s="32"/>
      <c r="N1120" s="32"/>
      <c r="O1120" s="32"/>
      <c r="P1120" s="32"/>
      <c r="Q1120" s="32"/>
      <c r="R1120" s="32"/>
      <c r="S1120" s="32"/>
      <c r="T1120" s="32"/>
      <c r="U1120" s="32"/>
      <c r="V1120" s="32"/>
      <c r="W1120" s="32"/>
      <c r="X1120" s="32"/>
      <c r="Y1120" s="32"/>
      <c r="Z1120" s="32"/>
      <c r="AA1120" s="32"/>
      <c r="AB1120" s="32"/>
      <c r="AC1120" s="32"/>
      <c r="AD1120" s="32"/>
      <c r="AE1120" s="32"/>
      <c r="AF1120" s="32"/>
      <c r="AG1120" s="32"/>
      <c r="AH1120" s="32" t="b">
        <f>IFERROR(__xludf.DUMMYFUNCTION("""COMPUTED_VALUE"""),FALSE)</f>
        <v>0</v>
      </c>
      <c r="AI1120" s="32"/>
      <c r="AJ1120" s="32"/>
      <c r="AK1120" s="32"/>
      <c r="AL1120" s="32"/>
      <c r="AM1120" s="32"/>
      <c r="AN1120" s="32"/>
      <c r="AO1120" s="32"/>
      <c r="AP1120" s="32"/>
      <c r="AQ1120" s="32"/>
      <c r="AR1120" s="32"/>
      <c r="AS1120" s="32"/>
      <c r="AT1120" s="32"/>
      <c r="AU1120" s="32"/>
      <c r="AV1120" s="32"/>
      <c r="AW1120" s="32"/>
      <c r="AX1120" s="32"/>
    </row>
    <row r="1121">
      <c r="A1121" s="32"/>
      <c r="B1121" s="32"/>
      <c r="C1121" s="32"/>
      <c r="D1121" s="32"/>
      <c r="E1121" s="32">
        <f>IFERROR(__xludf.DUMMYFUNCTION("""COMPUTED_VALUE"""),1.0)</f>
        <v>1</v>
      </c>
      <c r="F1121" s="44">
        <f>IFERROR(__xludf.DUMMYFUNCTION("""COMPUTED_VALUE"""),0.0)</f>
        <v>0</v>
      </c>
      <c r="G1121" s="32"/>
      <c r="H1121" s="32"/>
      <c r="I1121" s="32"/>
      <c r="J1121" s="32"/>
      <c r="K1121" s="32"/>
      <c r="L1121" s="32"/>
      <c r="M1121" s="32"/>
      <c r="N1121" s="32"/>
      <c r="O1121" s="32"/>
      <c r="P1121" s="32"/>
      <c r="Q1121" s="32"/>
      <c r="R1121" s="32"/>
      <c r="S1121" s="32"/>
      <c r="T1121" s="32"/>
      <c r="U1121" s="32"/>
      <c r="V1121" s="32"/>
      <c r="W1121" s="32"/>
      <c r="X1121" s="32"/>
      <c r="Y1121" s="32"/>
      <c r="Z1121" s="32"/>
      <c r="AA1121" s="32"/>
      <c r="AB1121" s="32"/>
      <c r="AC1121" s="32"/>
      <c r="AD1121" s="32"/>
      <c r="AE1121" s="32"/>
      <c r="AF1121" s="32"/>
      <c r="AG1121" s="32"/>
      <c r="AH1121" s="32" t="b">
        <f>IFERROR(__xludf.DUMMYFUNCTION("""COMPUTED_VALUE"""),FALSE)</f>
        <v>0</v>
      </c>
      <c r="AI1121" s="32"/>
      <c r="AJ1121" s="32"/>
      <c r="AK1121" s="32"/>
      <c r="AL1121" s="32"/>
      <c r="AM1121" s="32"/>
      <c r="AN1121" s="32"/>
      <c r="AO1121" s="32"/>
      <c r="AP1121" s="32"/>
      <c r="AQ1121" s="32"/>
      <c r="AR1121" s="32"/>
      <c r="AS1121" s="32"/>
      <c r="AT1121" s="32"/>
      <c r="AU1121" s="32"/>
      <c r="AV1121" s="32"/>
      <c r="AW1121" s="32"/>
      <c r="AX1121" s="32"/>
    </row>
    <row r="1122">
      <c r="A1122" s="32"/>
      <c r="B1122" s="32"/>
      <c r="C1122" s="32"/>
      <c r="D1122" s="32"/>
      <c r="E1122" s="32">
        <f>IFERROR(__xludf.DUMMYFUNCTION("""COMPUTED_VALUE"""),1.0)</f>
        <v>1</v>
      </c>
      <c r="F1122" s="44">
        <f>IFERROR(__xludf.DUMMYFUNCTION("""COMPUTED_VALUE"""),0.0)</f>
        <v>0</v>
      </c>
      <c r="G1122" s="32"/>
      <c r="H1122" s="32"/>
      <c r="I1122" s="32"/>
      <c r="J1122" s="32"/>
      <c r="K1122" s="32"/>
      <c r="L1122" s="32"/>
      <c r="M1122" s="32"/>
      <c r="N1122" s="32"/>
      <c r="O1122" s="32"/>
      <c r="P1122" s="32"/>
      <c r="Q1122" s="32"/>
      <c r="R1122" s="32"/>
      <c r="S1122" s="32"/>
      <c r="T1122" s="32"/>
      <c r="U1122" s="32"/>
      <c r="V1122" s="32"/>
      <c r="W1122" s="32"/>
      <c r="X1122" s="32"/>
      <c r="Y1122" s="32"/>
      <c r="Z1122" s="32"/>
      <c r="AA1122" s="32"/>
      <c r="AB1122" s="32"/>
      <c r="AC1122" s="32"/>
      <c r="AD1122" s="32"/>
      <c r="AE1122" s="32"/>
      <c r="AF1122" s="32"/>
      <c r="AG1122" s="32"/>
      <c r="AH1122" s="32" t="b">
        <f>IFERROR(__xludf.DUMMYFUNCTION("""COMPUTED_VALUE"""),FALSE)</f>
        <v>0</v>
      </c>
      <c r="AI1122" s="32"/>
      <c r="AJ1122" s="32"/>
      <c r="AK1122" s="32"/>
      <c r="AL1122" s="32"/>
      <c r="AM1122" s="32"/>
      <c r="AN1122" s="32"/>
      <c r="AO1122" s="32"/>
      <c r="AP1122" s="32"/>
      <c r="AQ1122" s="32"/>
      <c r="AR1122" s="32"/>
      <c r="AS1122" s="32"/>
      <c r="AT1122" s="32"/>
      <c r="AU1122" s="32"/>
      <c r="AV1122" s="32"/>
      <c r="AW1122" s="32"/>
      <c r="AX1122" s="32"/>
    </row>
    <row r="1123">
      <c r="A1123" s="32"/>
      <c r="B1123" s="32"/>
      <c r="C1123" s="32"/>
      <c r="D1123" s="32"/>
      <c r="E1123" s="32">
        <f>IFERROR(__xludf.DUMMYFUNCTION("""COMPUTED_VALUE"""),1.0)</f>
        <v>1</v>
      </c>
      <c r="F1123" s="44">
        <f>IFERROR(__xludf.DUMMYFUNCTION("""COMPUTED_VALUE"""),0.0)</f>
        <v>0</v>
      </c>
      <c r="G1123" s="32"/>
      <c r="H1123" s="32"/>
      <c r="I1123" s="32"/>
      <c r="J1123" s="32"/>
      <c r="K1123" s="32"/>
      <c r="L1123" s="32"/>
      <c r="M1123" s="32"/>
      <c r="N1123" s="32"/>
      <c r="O1123" s="32"/>
      <c r="P1123" s="32"/>
      <c r="Q1123" s="32"/>
      <c r="R1123" s="32"/>
      <c r="S1123" s="32"/>
      <c r="T1123" s="32"/>
      <c r="U1123" s="32"/>
      <c r="V1123" s="32"/>
      <c r="W1123" s="32"/>
      <c r="X1123" s="32"/>
      <c r="Y1123" s="32"/>
      <c r="Z1123" s="32"/>
      <c r="AA1123" s="32"/>
      <c r="AB1123" s="32"/>
      <c r="AC1123" s="32"/>
      <c r="AD1123" s="32"/>
      <c r="AE1123" s="32"/>
      <c r="AF1123" s="32"/>
      <c r="AG1123" s="32"/>
      <c r="AH1123" s="32" t="b">
        <f>IFERROR(__xludf.DUMMYFUNCTION("""COMPUTED_VALUE"""),FALSE)</f>
        <v>0</v>
      </c>
      <c r="AI1123" s="32"/>
      <c r="AJ1123" s="32"/>
      <c r="AK1123" s="32"/>
      <c r="AL1123" s="32"/>
      <c r="AM1123" s="32"/>
      <c r="AN1123" s="32"/>
      <c r="AO1123" s="32"/>
      <c r="AP1123" s="32"/>
      <c r="AQ1123" s="32"/>
      <c r="AR1123" s="32"/>
      <c r="AS1123" s="32"/>
      <c r="AT1123" s="32"/>
      <c r="AU1123" s="32"/>
      <c r="AV1123" s="32"/>
      <c r="AW1123" s="32"/>
      <c r="AX1123" s="32"/>
    </row>
    <row r="1124">
      <c r="A1124" s="32"/>
      <c r="B1124" s="32"/>
      <c r="C1124" s="32"/>
      <c r="D1124" s="32"/>
      <c r="E1124" s="32">
        <f>IFERROR(__xludf.DUMMYFUNCTION("""COMPUTED_VALUE"""),1.0)</f>
        <v>1</v>
      </c>
      <c r="F1124" s="44">
        <f>IFERROR(__xludf.DUMMYFUNCTION("""COMPUTED_VALUE"""),0.0)</f>
        <v>0</v>
      </c>
      <c r="G1124" s="32"/>
      <c r="H1124" s="32"/>
      <c r="I1124" s="32"/>
      <c r="J1124" s="32"/>
      <c r="K1124" s="32"/>
      <c r="L1124" s="32"/>
      <c r="M1124" s="32"/>
      <c r="N1124" s="32"/>
      <c r="O1124" s="32"/>
      <c r="P1124" s="32"/>
      <c r="Q1124" s="32"/>
      <c r="R1124" s="32"/>
      <c r="S1124" s="32"/>
      <c r="T1124" s="32"/>
      <c r="U1124" s="32"/>
      <c r="V1124" s="32"/>
      <c r="W1124" s="32"/>
      <c r="X1124" s="32"/>
      <c r="Y1124" s="32"/>
      <c r="Z1124" s="32"/>
      <c r="AA1124" s="32"/>
      <c r="AB1124" s="32"/>
      <c r="AC1124" s="32"/>
      <c r="AD1124" s="32"/>
      <c r="AE1124" s="32"/>
      <c r="AF1124" s="32"/>
      <c r="AG1124" s="32"/>
      <c r="AH1124" s="32" t="b">
        <f>IFERROR(__xludf.DUMMYFUNCTION("""COMPUTED_VALUE"""),FALSE)</f>
        <v>0</v>
      </c>
      <c r="AI1124" s="32"/>
      <c r="AJ1124" s="32"/>
      <c r="AK1124" s="32"/>
      <c r="AL1124" s="32"/>
      <c r="AM1124" s="32"/>
      <c r="AN1124" s="32"/>
      <c r="AO1124" s="32"/>
      <c r="AP1124" s="32"/>
      <c r="AQ1124" s="32"/>
      <c r="AR1124" s="32"/>
      <c r="AS1124" s="32"/>
      <c r="AT1124" s="32"/>
      <c r="AU1124" s="32"/>
      <c r="AV1124" s="32"/>
      <c r="AW1124" s="32"/>
      <c r="AX1124" s="32"/>
    </row>
    <row r="1125">
      <c r="A1125" s="32"/>
      <c r="B1125" s="32"/>
      <c r="C1125" s="32"/>
      <c r="D1125" s="32"/>
      <c r="E1125" s="32">
        <f>IFERROR(__xludf.DUMMYFUNCTION("""COMPUTED_VALUE"""),1.0)</f>
        <v>1</v>
      </c>
      <c r="F1125" s="44">
        <f>IFERROR(__xludf.DUMMYFUNCTION("""COMPUTED_VALUE"""),0.0)</f>
        <v>0</v>
      </c>
      <c r="G1125" s="32"/>
      <c r="H1125" s="32"/>
      <c r="I1125" s="32"/>
      <c r="J1125" s="32"/>
      <c r="K1125" s="32"/>
      <c r="L1125" s="32"/>
      <c r="M1125" s="32"/>
      <c r="N1125" s="32"/>
      <c r="O1125" s="32"/>
      <c r="P1125" s="32"/>
      <c r="Q1125" s="32"/>
      <c r="R1125" s="32"/>
      <c r="S1125" s="32"/>
      <c r="T1125" s="32"/>
      <c r="U1125" s="32"/>
      <c r="V1125" s="32"/>
      <c r="W1125" s="32"/>
      <c r="X1125" s="32"/>
      <c r="Y1125" s="32"/>
      <c r="Z1125" s="32"/>
      <c r="AA1125" s="32"/>
      <c r="AB1125" s="32"/>
      <c r="AC1125" s="32"/>
      <c r="AD1125" s="32"/>
      <c r="AE1125" s="32"/>
      <c r="AF1125" s="32"/>
      <c r="AG1125" s="32"/>
      <c r="AH1125" s="32" t="b">
        <f>IFERROR(__xludf.DUMMYFUNCTION("""COMPUTED_VALUE"""),FALSE)</f>
        <v>0</v>
      </c>
      <c r="AI1125" s="32"/>
      <c r="AJ1125" s="32"/>
      <c r="AK1125" s="32"/>
      <c r="AL1125" s="32"/>
      <c r="AM1125" s="32"/>
      <c r="AN1125" s="32"/>
      <c r="AO1125" s="32"/>
      <c r="AP1125" s="32"/>
      <c r="AQ1125" s="32"/>
      <c r="AR1125" s="32"/>
      <c r="AS1125" s="32"/>
      <c r="AT1125" s="32"/>
      <c r="AU1125" s="32"/>
      <c r="AV1125" s="32"/>
      <c r="AW1125" s="32"/>
      <c r="AX1125" s="32"/>
    </row>
    <row r="1126">
      <c r="A1126" s="32"/>
      <c r="B1126" s="32"/>
      <c r="C1126" s="32"/>
      <c r="D1126" s="32"/>
      <c r="E1126" s="32">
        <f>IFERROR(__xludf.DUMMYFUNCTION("""COMPUTED_VALUE"""),1.0)</f>
        <v>1</v>
      </c>
      <c r="F1126" s="44">
        <f>IFERROR(__xludf.DUMMYFUNCTION("""COMPUTED_VALUE"""),0.0)</f>
        <v>0</v>
      </c>
      <c r="G1126" s="32"/>
      <c r="H1126" s="32"/>
      <c r="I1126" s="32"/>
      <c r="J1126" s="32"/>
      <c r="K1126" s="32"/>
      <c r="L1126" s="32"/>
      <c r="M1126" s="32"/>
      <c r="N1126" s="32"/>
      <c r="O1126" s="32"/>
      <c r="P1126" s="32"/>
      <c r="Q1126" s="32"/>
      <c r="R1126" s="32"/>
      <c r="S1126" s="32"/>
      <c r="T1126" s="32"/>
      <c r="U1126" s="32"/>
      <c r="V1126" s="32"/>
      <c r="W1126" s="32"/>
      <c r="X1126" s="32"/>
      <c r="Y1126" s="32"/>
      <c r="Z1126" s="32"/>
      <c r="AA1126" s="32"/>
      <c r="AB1126" s="32"/>
      <c r="AC1126" s="32"/>
      <c r="AD1126" s="32"/>
      <c r="AE1126" s="32"/>
      <c r="AF1126" s="32"/>
      <c r="AG1126" s="32"/>
      <c r="AH1126" s="32" t="b">
        <f>IFERROR(__xludf.DUMMYFUNCTION("""COMPUTED_VALUE"""),FALSE)</f>
        <v>0</v>
      </c>
      <c r="AI1126" s="32"/>
      <c r="AJ1126" s="32"/>
      <c r="AK1126" s="32"/>
      <c r="AL1126" s="32"/>
      <c r="AM1126" s="32"/>
      <c r="AN1126" s="32"/>
      <c r="AO1126" s="32"/>
      <c r="AP1126" s="32"/>
      <c r="AQ1126" s="32"/>
      <c r="AR1126" s="32"/>
      <c r="AS1126" s="32"/>
      <c r="AT1126" s="32"/>
      <c r="AU1126" s="32"/>
      <c r="AV1126" s="32"/>
      <c r="AW1126" s="32"/>
      <c r="AX1126" s="32"/>
    </row>
    <row r="1127">
      <c r="A1127" s="32"/>
      <c r="B1127" s="32"/>
      <c r="C1127" s="32"/>
      <c r="D1127" s="32"/>
      <c r="E1127" s="32">
        <f>IFERROR(__xludf.DUMMYFUNCTION("""COMPUTED_VALUE"""),1.0)</f>
        <v>1</v>
      </c>
      <c r="F1127" s="44">
        <f>IFERROR(__xludf.DUMMYFUNCTION("""COMPUTED_VALUE"""),0.0)</f>
        <v>0</v>
      </c>
      <c r="G1127" s="32"/>
      <c r="H1127" s="32"/>
      <c r="I1127" s="32"/>
      <c r="J1127" s="32"/>
      <c r="K1127" s="32"/>
      <c r="L1127" s="32"/>
      <c r="M1127" s="32"/>
      <c r="N1127" s="32"/>
      <c r="O1127" s="32"/>
      <c r="P1127" s="32"/>
      <c r="Q1127" s="32"/>
      <c r="R1127" s="32"/>
      <c r="S1127" s="32"/>
      <c r="T1127" s="32"/>
      <c r="U1127" s="32"/>
      <c r="V1127" s="32"/>
      <c r="W1127" s="32"/>
      <c r="X1127" s="32"/>
      <c r="Y1127" s="32"/>
      <c r="Z1127" s="32"/>
      <c r="AA1127" s="32"/>
      <c r="AB1127" s="32"/>
      <c r="AC1127" s="32"/>
      <c r="AD1127" s="32"/>
      <c r="AE1127" s="32"/>
      <c r="AF1127" s="32"/>
      <c r="AG1127" s="32"/>
      <c r="AH1127" s="32" t="b">
        <f>IFERROR(__xludf.DUMMYFUNCTION("""COMPUTED_VALUE"""),FALSE)</f>
        <v>0</v>
      </c>
      <c r="AI1127" s="32"/>
      <c r="AJ1127" s="32"/>
      <c r="AK1127" s="32"/>
      <c r="AL1127" s="32"/>
      <c r="AM1127" s="32"/>
      <c r="AN1127" s="32"/>
      <c r="AO1127" s="32"/>
      <c r="AP1127" s="32"/>
      <c r="AQ1127" s="32"/>
      <c r="AR1127" s="32"/>
      <c r="AS1127" s="32"/>
      <c r="AT1127" s="32"/>
      <c r="AU1127" s="32"/>
      <c r="AV1127" s="32"/>
      <c r="AW1127" s="32"/>
      <c r="AX1127" s="32"/>
    </row>
    <row r="1128">
      <c r="A1128" s="32"/>
      <c r="B1128" s="32"/>
      <c r="C1128" s="32"/>
      <c r="D1128" s="32"/>
      <c r="E1128" s="32">
        <f>IFERROR(__xludf.DUMMYFUNCTION("""COMPUTED_VALUE"""),1.0)</f>
        <v>1</v>
      </c>
      <c r="F1128" s="44">
        <f>IFERROR(__xludf.DUMMYFUNCTION("""COMPUTED_VALUE"""),0.0)</f>
        <v>0</v>
      </c>
      <c r="G1128" s="32"/>
      <c r="H1128" s="32"/>
      <c r="I1128" s="32"/>
      <c r="J1128" s="32"/>
      <c r="K1128" s="32"/>
      <c r="L1128" s="32"/>
      <c r="M1128" s="32"/>
      <c r="N1128" s="32"/>
      <c r="O1128" s="32"/>
      <c r="P1128" s="32"/>
      <c r="Q1128" s="32"/>
      <c r="R1128" s="32"/>
      <c r="S1128" s="32"/>
      <c r="T1128" s="32"/>
      <c r="U1128" s="32"/>
      <c r="V1128" s="32"/>
      <c r="W1128" s="32"/>
      <c r="X1128" s="32"/>
      <c r="Y1128" s="32"/>
      <c r="Z1128" s="32"/>
      <c r="AA1128" s="32"/>
      <c r="AB1128" s="32"/>
      <c r="AC1128" s="32"/>
      <c r="AD1128" s="32"/>
      <c r="AE1128" s="32"/>
      <c r="AF1128" s="32"/>
      <c r="AG1128" s="32"/>
      <c r="AH1128" s="32" t="b">
        <f>IFERROR(__xludf.DUMMYFUNCTION("""COMPUTED_VALUE"""),FALSE)</f>
        <v>0</v>
      </c>
      <c r="AI1128" s="32"/>
      <c r="AJ1128" s="32"/>
      <c r="AK1128" s="32"/>
      <c r="AL1128" s="32"/>
      <c r="AM1128" s="32"/>
      <c r="AN1128" s="32"/>
      <c r="AO1128" s="32"/>
      <c r="AP1128" s="32"/>
      <c r="AQ1128" s="32"/>
      <c r="AR1128" s="32"/>
      <c r="AS1128" s="32"/>
      <c r="AT1128" s="32"/>
      <c r="AU1128" s="32"/>
      <c r="AV1128" s="32"/>
      <c r="AW1128" s="32"/>
      <c r="AX1128" s="32"/>
    </row>
    <row r="1129">
      <c r="A1129" s="32"/>
      <c r="B1129" s="32"/>
      <c r="C1129" s="32"/>
      <c r="D1129" s="32"/>
      <c r="E1129" s="32">
        <f>IFERROR(__xludf.DUMMYFUNCTION("""COMPUTED_VALUE"""),1.0)</f>
        <v>1</v>
      </c>
      <c r="F1129" s="44">
        <f>IFERROR(__xludf.DUMMYFUNCTION("""COMPUTED_VALUE"""),0.0)</f>
        <v>0</v>
      </c>
      <c r="G1129" s="32"/>
      <c r="H1129" s="32"/>
      <c r="I1129" s="32"/>
      <c r="J1129" s="32"/>
      <c r="K1129" s="32"/>
      <c r="L1129" s="32"/>
      <c r="M1129" s="32"/>
      <c r="N1129" s="32"/>
      <c r="O1129" s="32"/>
      <c r="P1129" s="32"/>
      <c r="Q1129" s="32"/>
      <c r="R1129" s="32"/>
      <c r="S1129" s="32"/>
      <c r="T1129" s="32"/>
      <c r="U1129" s="32"/>
      <c r="V1129" s="32"/>
      <c r="W1129" s="32"/>
      <c r="X1129" s="32"/>
      <c r="Y1129" s="32"/>
      <c r="Z1129" s="32"/>
      <c r="AA1129" s="32"/>
      <c r="AB1129" s="32"/>
      <c r="AC1129" s="32"/>
      <c r="AD1129" s="32"/>
      <c r="AE1129" s="32"/>
      <c r="AF1129" s="32"/>
      <c r="AG1129" s="32"/>
      <c r="AH1129" s="32" t="b">
        <f>IFERROR(__xludf.DUMMYFUNCTION("""COMPUTED_VALUE"""),FALSE)</f>
        <v>0</v>
      </c>
      <c r="AI1129" s="32"/>
      <c r="AJ1129" s="32"/>
      <c r="AK1129" s="32"/>
      <c r="AL1129" s="32"/>
      <c r="AM1129" s="32"/>
      <c r="AN1129" s="32"/>
      <c r="AO1129" s="32"/>
      <c r="AP1129" s="32"/>
      <c r="AQ1129" s="32"/>
      <c r="AR1129" s="32"/>
      <c r="AS1129" s="32"/>
      <c r="AT1129" s="32"/>
      <c r="AU1129" s="32"/>
      <c r="AV1129" s="32"/>
      <c r="AW1129" s="32"/>
      <c r="AX1129" s="32"/>
    </row>
    <row r="1130">
      <c r="A1130" s="32"/>
      <c r="B1130" s="32"/>
      <c r="C1130" s="32"/>
      <c r="D1130" s="32"/>
      <c r="E1130" s="32">
        <f>IFERROR(__xludf.DUMMYFUNCTION("""COMPUTED_VALUE"""),1.0)</f>
        <v>1</v>
      </c>
      <c r="F1130" s="44">
        <f>IFERROR(__xludf.DUMMYFUNCTION("""COMPUTED_VALUE"""),0.0)</f>
        <v>0</v>
      </c>
      <c r="G1130" s="32"/>
      <c r="H1130" s="32"/>
      <c r="I1130" s="32"/>
      <c r="J1130" s="32"/>
      <c r="K1130" s="32"/>
      <c r="L1130" s="32"/>
      <c r="M1130" s="32"/>
      <c r="N1130" s="32"/>
      <c r="O1130" s="32"/>
      <c r="P1130" s="32"/>
      <c r="Q1130" s="32"/>
      <c r="R1130" s="32"/>
      <c r="S1130" s="32"/>
      <c r="T1130" s="32"/>
      <c r="U1130" s="32"/>
      <c r="V1130" s="32"/>
      <c r="W1130" s="32"/>
      <c r="X1130" s="32"/>
      <c r="Y1130" s="32"/>
      <c r="Z1130" s="32"/>
      <c r="AA1130" s="32"/>
      <c r="AB1130" s="32"/>
      <c r="AC1130" s="32"/>
      <c r="AD1130" s="32"/>
      <c r="AE1130" s="32"/>
      <c r="AF1130" s="32"/>
      <c r="AG1130" s="32"/>
      <c r="AH1130" s="32" t="b">
        <f>IFERROR(__xludf.DUMMYFUNCTION("""COMPUTED_VALUE"""),FALSE)</f>
        <v>0</v>
      </c>
      <c r="AI1130" s="32"/>
      <c r="AJ1130" s="32"/>
      <c r="AK1130" s="32"/>
      <c r="AL1130" s="32"/>
      <c r="AM1130" s="32"/>
      <c r="AN1130" s="32"/>
      <c r="AO1130" s="32"/>
      <c r="AP1130" s="32"/>
      <c r="AQ1130" s="32"/>
      <c r="AR1130" s="32"/>
      <c r="AS1130" s="32"/>
      <c r="AT1130" s="32"/>
      <c r="AU1130" s="32"/>
      <c r="AV1130" s="32"/>
      <c r="AW1130" s="32"/>
      <c r="AX1130" s="32"/>
    </row>
    <row r="1131">
      <c r="A1131" s="32"/>
      <c r="B1131" s="32"/>
      <c r="C1131" s="32"/>
      <c r="D1131" s="32"/>
      <c r="E1131" s="32">
        <f>IFERROR(__xludf.DUMMYFUNCTION("""COMPUTED_VALUE"""),1.0)</f>
        <v>1</v>
      </c>
      <c r="F1131" s="44">
        <f>IFERROR(__xludf.DUMMYFUNCTION("""COMPUTED_VALUE"""),0.0)</f>
        <v>0</v>
      </c>
      <c r="G1131" s="32"/>
      <c r="H1131" s="32"/>
      <c r="I1131" s="32"/>
      <c r="J1131" s="32"/>
      <c r="K1131" s="32"/>
      <c r="L1131" s="32"/>
      <c r="M1131" s="32"/>
      <c r="N1131" s="32"/>
      <c r="O1131" s="32"/>
      <c r="P1131" s="32"/>
      <c r="Q1131" s="32"/>
      <c r="R1131" s="32"/>
      <c r="S1131" s="32"/>
      <c r="T1131" s="32"/>
      <c r="U1131" s="32"/>
      <c r="V1131" s="32"/>
      <c r="W1131" s="32"/>
      <c r="X1131" s="32"/>
      <c r="Y1131" s="32"/>
      <c r="Z1131" s="32"/>
      <c r="AA1131" s="32"/>
      <c r="AB1131" s="32"/>
      <c r="AC1131" s="32"/>
      <c r="AD1131" s="32"/>
      <c r="AE1131" s="32"/>
      <c r="AF1131" s="32"/>
      <c r="AG1131" s="32"/>
      <c r="AH1131" s="32" t="b">
        <f>IFERROR(__xludf.DUMMYFUNCTION("""COMPUTED_VALUE"""),FALSE)</f>
        <v>0</v>
      </c>
      <c r="AI1131" s="32"/>
      <c r="AJ1131" s="32"/>
      <c r="AK1131" s="32"/>
      <c r="AL1131" s="32"/>
      <c r="AM1131" s="32"/>
      <c r="AN1131" s="32"/>
      <c r="AO1131" s="32"/>
      <c r="AP1131" s="32"/>
      <c r="AQ1131" s="32"/>
      <c r="AR1131" s="32"/>
      <c r="AS1131" s="32"/>
      <c r="AT1131" s="32"/>
      <c r="AU1131" s="32"/>
      <c r="AV1131" s="32"/>
      <c r="AW1131" s="32"/>
      <c r="AX1131" s="32"/>
    </row>
    <row r="1132">
      <c r="A1132" s="32"/>
      <c r="B1132" s="32"/>
      <c r="C1132" s="32"/>
      <c r="D1132" s="32"/>
      <c r="E1132" s="32">
        <f>IFERROR(__xludf.DUMMYFUNCTION("""COMPUTED_VALUE"""),1.0)</f>
        <v>1</v>
      </c>
      <c r="F1132" s="44">
        <f>IFERROR(__xludf.DUMMYFUNCTION("""COMPUTED_VALUE"""),0.0)</f>
        <v>0</v>
      </c>
      <c r="G1132" s="32"/>
      <c r="H1132" s="32"/>
      <c r="I1132" s="32"/>
      <c r="J1132" s="32"/>
      <c r="K1132" s="32"/>
      <c r="L1132" s="32"/>
      <c r="M1132" s="32"/>
      <c r="N1132" s="32"/>
      <c r="O1132" s="32"/>
      <c r="P1132" s="32"/>
      <c r="Q1132" s="32"/>
      <c r="R1132" s="32"/>
      <c r="S1132" s="32"/>
      <c r="T1132" s="32"/>
      <c r="U1132" s="32"/>
      <c r="V1132" s="32"/>
      <c r="W1132" s="32"/>
      <c r="X1132" s="32"/>
      <c r="Y1132" s="32"/>
      <c r="Z1132" s="32"/>
      <c r="AA1132" s="32"/>
      <c r="AB1132" s="32"/>
      <c r="AC1132" s="32"/>
      <c r="AD1132" s="32"/>
      <c r="AE1132" s="32"/>
      <c r="AF1132" s="32"/>
      <c r="AG1132" s="32"/>
      <c r="AH1132" s="32" t="b">
        <f>IFERROR(__xludf.DUMMYFUNCTION("""COMPUTED_VALUE"""),FALSE)</f>
        <v>0</v>
      </c>
      <c r="AI1132" s="32"/>
      <c r="AJ1132" s="32"/>
      <c r="AK1132" s="32"/>
      <c r="AL1132" s="32"/>
      <c r="AM1132" s="32"/>
      <c r="AN1132" s="32"/>
      <c r="AO1132" s="32"/>
      <c r="AP1132" s="32"/>
      <c r="AQ1132" s="32"/>
      <c r="AR1132" s="32"/>
      <c r="AS1132" s="32"/>
      <c r="AT1132" s="32"/>
      <c r="AU1132" s="32"/>
      <c r="AV1132" s="32"/>
      <c r="AW1132" s="32"/>
      <c r="AX1132" s="32"/>
    </row>
    <row r="1133">
      <c r="A1133" s="32"/>
      <c r="B1133" s="32"/>
      <c r="C1133" s="32"/>
      <c r="D1133" s="32"/>
      <c r="E1133" s="32">
        <f>IFERROR(__xludf.DUMMYFUNCTION("""COMPUTED_VALUE"""),1.0)</f>
        <v>1</v>
      </c>
      <c r="F1133" s="44">
        <f>IFERROR(__xludf.DUMMYFUNCTION("""COMPUTED_VALUE"""),0.0)</f>
        <v>0</v>
      </c>
      <c r="G1133" s="32"/>
      <c r="H1133" s="32"/>
      <c r="I1133" s="32"/>
      <c r="J1133" s="32"/>
      <c r="K1133" s="32"/>
      <c r="L1133" s="32"/>
      <c r="M1133" s="32"/>
      <c r="N1133" s="32"/>
      <c r="O1133" s="32"/>
      <c r="P1133" s="32"/>
      <c r="Q1133" s="32"/>
      <c r="R1133" s="32"/>
      <c r="S1133" s="32"/>
      <c r="T1133" s="32"/>
      <c r="U1133" s="32"/>
      <c r="V1133" s="32"/>
      <c r="W1133" s="32"/>
      <c r="X1133" s="32"/>
      <c r="Y1133" s="32"/>
      <c r="Z1133" s="32"/>
      <c r="AA1133" s="32"/>
      <c r="AB1133" s="32"/>
      <c r="AC1133" s="32"/>
      <c r="AD1133" s="32"/>
      <c r="AE1133" s="32"/>
      <c r="AF1133" s="32"/>
      <c r="AG1133" s="32"/>
      <c r="AH1133" s="32" t="b">
        <f>IFERROR(__xludf.DUMMYFUNCTION("""COMPUTED_VALUE"""),FALSE)</f>
        <v>0</v>
      </c>
      <c r="AI1133" s="32"/>
      <c r="AJ1133" s="32"/>
      <c r="AK1133" s="32"/>
      <c r="AL1133" s="32"/>
      <c r="AM1133" s="32"/>
      <c r="AN1133" s="32"/>
      <c r="AO1133" s="32"/>
      <c r="AP1133" s="32"/>
      <c r="AQ1133" s="32"/>
      <c r="AR1133" s="32"/>
      <c r="AS1133" s="32"/>
      <c r="AT1133" s="32"/>
      <c r="AU1133" s="32"/>
      <c r="AV1133" s="32"/>
      <c r="AW1133" s="32"/>
      <c r="AX1133" s="32"/>
    </row>
    <row r="1134">
      <c r="A1134" s="32"/>
      <c r="B1134" s="32"/>
      <c r="C1134" s="32"/>
      <c r="D1134" s="32"/>
      <c r="E1134" s="32">
        <f>IFERROR(__xludf.DUMMYFUNCTION("""COMPUTED_VALUE"""),1.0)</f>
        <v>1</v>
      </c>
      <c r="F1134" s="44">
        <f>IFERROR(__xludf.DUMMYFUNCTION("""COMPUTED_VALUE"""),0.0)</f>
        <v>0</v>
      </c>
      <c r="G1134" s="32"/>
      <c r="H1134" s="32"/>
      <c r="I1134" s="32"/>
      <c r="J1134" s="32"/>
      <c r="K1134" s="32"/>
      <c r="L1134" s="32"/>
      <c r="M1134" s="32"/>
      <c r="N1134" s="32"/>
      <c r="O1134" s="32"/>
      <c r="P1134" s="32"/>
      <c r="Q1134" s="32"/>
      <c r="R1134" s="32"/>
      <c r="S1134" s="32"/>
      <c r="T1134" s="32"/>
      <c r="U1134" s="32"/>
      <c r="V1134" s="32"/>
      <c r="W1134" s="32"/>
      <c r="X1134" s="32"/>
      <c r="Y1134" s="32"/>
      <c r="Z1134" s="32"/>
      <c r="AA1134" s="32"/>
      <c r="AB1134" s="32"/>
      <c r="AC1134" s="32"/>
      <c r="AD1134" s="32"/>
      <c r="AE1134" s="32"/>
      <c r="AF1134" s="32"/>
      <c r="AG1134" s="32"/>
      <c r="AH1134" s="32" t="b">
        <f>IFERROR(__xludf.DUMMYFUNCTION("""COMPUTED_VALUE"""),FALSE)</f>
        <v>0</v>
      </c>
      <c r="AI1134" s="32"/>
      <c r="AJ1134" s="32"/>
      <c r="AK1134" s="32"/>
      <c r="AL1134" s="32"/>
      <c r="AM1134" s="32"/>
      <c r="AN1134" s="32"/>
      <c r="AO1134" s="32"/>
      <c r="AP1134" s="32"/>
      <c r="AQ1134" s="32"/>
      <c r="AR1134" s="32"/>
      <c r="AS1134" s="32"/>
      <c r="AT1134" s="32"/>
      <c r="AU1134" s="32"/>
      <c r="AV1134" s="32"/>
      <c r="AW1134" s="32"/>
      <c r="AX1134" s="32"/>
    </row>
    <row r="1135">
      <c r="A1135" s="32"/>
      <c r="B1135" s="32"/>
      <c r="C1135" s="32"/>
      <c r="D1135" s="32"/>
      <c r="E1135" s="32">
        <f>IFERROR(__xludf.DUMMYFUNCTION("""COMPUTED_VALUE"""),1.0)</f>
        <v>1</v>
      </c>
      <c r="F1135" s="44">
        <f>IFERROR(__xludf.DUMMYFUNCTION("""COMPUTED_VALUE"""),0.0)</f>
        <v>0</v>
      </c>
      <c r="G1135" s="32"/>
      <c r="H1135" s="32"/>
      <c r="I1135" s="32"/>
      <c r="J1135" s="32"/>
      <c r="K1135" s="32"/>
      <c r="L1135" s="32"/>
      <c r="M1135" s="32"/>
      <c r="N1135" s="32"/>
      <c r="O1135" s="32"/>
      <c r="P1135" s="32"/>
      <c r="Q1135" s="32"/>
      <c r="R1135" s="32"/>
      <c r="S1135" s="32"/>
      <c r="T1135" s="32"/>
      <c r="U1135" s="32"/>
      <c r="V1135" s="32"/>
      <c r="W1135" s="32"/>
      <c r="X1135" s="32"/>
      <c r="Y1135" s="32"/>
      <c r="Z1135" s="32"/>
      <c r="AA1135" s="32"/>
      <c r="AB1135" s="32"/>
      <c r="AC1135" s="32"/>
      <c r="AD1135" s="32"/>
      <c r="AE1135" s="32"/>
      <c r="AF1135" s="32"/>
      <c r="AG1135" s="32"/>
      <c r="AH1135" s="32" t="b">
        <f>IFERROR(__xludf.DUMMYFUNCTION("""COMPUTED_VALUE"""),FALSE)</f>
        <v>0</v>
      </c>
      <c r="AI1135" s="32"/>
      <c r="AJ1135" s="32"/>
      <c r="AK1135" s="32"/>
      <c r="AL1135" s="32"/>
      <c r="AM1135" s="32"/>
      <c r="AN1135" s="32"/>
      <c r="AO1135" s="32"/>
      <c r="AP1135" s="32"/>
      <c r="AQ1135" s="32"/>
      <c r="AR1135" s="32"/>
      <c r="AS1135" s="32"/>
      <c r="AT1135" s="32"/>
      <c r="AU1135" s="32"/>
      <c r="AV1135" s="32"/>
      <c r="AW1135" s="32"/>
      <c r="AX1135" s="32"/>
    </row>
    <row r="1136">
      <c r="A1136" s="32"/>
      <c r="B1136" s="32"/>
      <c r="C1136" s="32"/>
      <c r="D1136" s="32"/>
      <c r="E1136" s="32">
        <f>IFERROR(__xludf.DUMMYFUNCTION("""COMPUTED_VALUE"""),1.0)</f>
        <v>1</v>
      </c>
      <c r="F1136" s="44">
        <f>IFERROR(__xludf.DUMMYFUNCTION("""COMPUTED_VALUE"""),0.0)</f>
        <v>0</v>
      </c>
      <c r="G1136" s="32"/>
      <c r="H1136" s="32"/>
      <c r="I1136" s="32"/>
      <c r="J1136" s="32"/>
      <c r="K1136" s="32"/>
      <c r="L1136" s="32"/>
      <c r="M1136" s="32"/>
      <c r="N1136" s="32"/>
      <c r="O1136" s="32"/>
      <c r="P1136" s="32"/>
      <c r="Q1136" s="32"/>
      <c r="R1136" s="32"/>
      <c r="S1136" s="32"/>
      <c r="T1136" s="32"/>
      <c r="U1136" s="32"/>
      <c r="V1136" s="32"/>
      <c r="W1136" s="32"/>
      <c r="X1136" s="32"/>
      <c r="Y1136" s="32"/>
      <c r="Z1136" s="32"/>
      <c r="AA1136" s="32"/>
      <c r="AB1136" s="32"/>
      <c r="AC1136" s="32"/>
      <c r="AD1136" s="32"/>
      <c r="AE1136" s="32"/>
      <c r="AF1136" s="32"/>
      <c r="AG1136" s="32"/>
      <c r="AH1136" s="32" t="b">
        <f>IFERROR(__xludf.DUMMYFUNCTION("""COMPUTED_VALUE"""),FALSE)</f>
        <v>0</v>
      </c>
      <c r="AI1136" s="32"/>
      <c r="AJ1136" s="32"/>
      <c r="AK1136" s="32"/>
      <c r="AL1136" s="32"/>
      <c r="AM1136" s="32"/>
      <c r="AN1136" s="32"/>
      <c r="AO1136" s="32"/>
      <c r="AP1136" s="32"/>
      <c r="AQ1136" s="32"/>
      <c r="AR1136" s="32"/>
      <c r="AS1136" s="32"/>
      <c r="AT1136" s="32"/>
      <c r="AU1136" s="32"/>
      <c r="AV1136" s="32"/>
      <c r="AW1136" s="32"/>
      <c r="AX1136" s="32"/>
    </row>
    <row r="1137">
      <c r="A1137" s="32"/>
      <c r="B1137" s="32"/>
      <c r="C1137" s="32"/>
      <c r="D1137" s="32"/>
      <c r="E1137" s="32">
        <f>IFERROR(__xludf.DUMMYFUNCTION("""COMPUTED_VALUE"""),1.0)</f>
        <v>1</v>
      </c>
      <c r="F1137" s="44">
        <f>IFERROR(__xludf.DUMMYFUNCTION("""COMPUTED_VALUE"""),0.0)</f>
        <v>0</v>
      </c>
      <c r="G1137" s="32"/>
      <c r="H1137" s="32"/>
      <c r="I1137" s="32"/>
      <c r="J1137" s="32"/>
      <c r="K1137" s="32"/>
      <c r="L1137" s="32"/>
      <c r="M1137" s="32"/>
      <c r="N1137" s="32"/>
      <c r="O1137" s="32"/>
      <c r="P1137" s="32"/>
      <c r="Q1137" s="32"/>
      <c r="R1137" s="32"/>
      <c r="S1137" s="32"/>
      <c r="T1137" s="32"/>
      <c r="U1137" s="32"/>
      <c r="V1137" s="32"/>
      <c r="W1137" s="32"/>
      <c r="X1137" s="32"/>
      <c r="Y1137" s="32"/>
      <c r="Z1137" s="32"/>
      <c r="AA1137" s="32"/>
      <c r="AB1137" s="32"/>
      <c r="AC1137" s="32"/>
      <c r="AD1137" s="32"/>
      <c r="AE1137" s="32"/>
      <c r="AF1137" s="32"/>
      <c r="AG1137" s="32"/>
      <c r="AH1137" s="32" t="b">
        <f>IFERROR(__xludf.DUMMYFUNCTION("""COMPUTED_VALUE"""),FALSE)</f>
        <v>0</v>
      </c>
      <c r="AI1137" s="32"/>
      <c r="AJ1137" s="32"/>
      <c r="AK1137" s="32"/>
      <c r="AL1137" s="32"/>
      <c r="AM1137" s="32"/>
      <c r="AN1137" s="32"/>
      <c r="AO1137" s="32"/>
      <c r="AP1137" s="32"/>
      <c r="AQ1137" s="32"/>
      <c r="AR1137" s="32"/>
      <c r="AS1137" s="32"/>
      <c r="AT1137" s="32"/>
      <c r="AU1137" s="32"/>
      <c r="AV1137" s="32"/>
      <c r="AW1137" s="32"/>
      <c r="AX1137" s="32"/>
    </row>
    <row r="1138">
      <c r="A1138" s="32"/>
      <c r="B1138" s="32"/>
      <c r="C1138" s="32"/>
      <c r="D1138" s="32"/>
      <c r="E1138" s="32">
        <f>IFERROR(__xludf.DUMMYFUNCTION("""COMPUTED_VALUE"""),1.0)</f>
        <v>1</v>
      </c>
      <c r="F1138" s="44">
        <f>IFERROR(__xludf.DUMMYFUNCTION("""COMPUTED_VALUE"""),0.0)</f>
        <v>0</v>
      </c>
      <c r="G1138" s="32"/>
      <c r="H1138" s="32"/>
      <c r="I1138" s="32"/>
      <c r="J1138" s="32"/>
      <c r="K1138" s="32"/>
      <c r="L1138" s="32"/>
      <c r="M1138" s="32"/>
      <c r="N1138" s="32"/>
      <c r="O1138" s="32"/>
      <c r="P1138" s="32"/>
      <c r="Q1138" s="32"/>
      <c r="R1138" s="32"/>
      <c r="S1138" s="32"/>
      <c r="T1138" s="32"/>
      <c r="U1138" s="32"/>
      <c r="V1138" s="32"/>
      <c r="W1138" s="32"/>
      <c r="X1138" s="32"/>
      <c r="Y1138" s="32"/>
      <c r="Z1138" s="32"/>
      <c r="AA1138" s="32"/>
      <c r="AB1138" s="32"/>
      <c r="AC1138" s="32"/>
      <c r="AD1138" s="32"/>
      <c r="AE1138" s="32"/>
      <c r="AF1138" s="32"/>
      <c r="AG1138" s="32"/>
      <c r="AH1138" s="32" t="b">
        <f>IFERROR(__xludf.DUMMYFUNCTION("""COMPUTED_VALUE"""),FALSE)</f>
        <v>0</v>
      </c>
      <c r="AI1138" s="32"/>
      <c r="AJ1138" s="32"/>
      <c r="AK1138" s="32"/>
      <c r="AL1138" s="32"/>
      <c r="AM1138" s="32"/>
      <c r="AN1138" s="32"/>
      <c r="AO1138" s="32"/>
      <c r="AP1138" s="32"/>
      <c r="AQ1138" s="32"/>
      <c r="AR1138" s="32"/>
      <c r="AS1138" s="32"/>
      <c r="AT1138" s="32"/>
      <c r="AU1138" s="32"/>
      <c r="AV1138" s="32"/>
      <c r="AW1138" s="32"/>
      <c r="AX1138" s="32"/>
    </row>
    <row r="1139">
      <c r="A1139" s="32"/>
      <c r="B1139" s="32"/>
      <c r="C1139" s="32"/>
      <c r="D1139" s="32"/>
      <c r="E1139" s="32">
        <f>IFERROR(__xludf.DUMMYFUNCTION("""COMPUTED_VALUE"""),1.0)</f>
        <v>1</v>
      </c>
      <c r="F1139" s="44">
        <f>IFERROR(__xludf.DUMMYFUNCTION("""COMPUTED_VALUE"""),0.0)</f>
        <v>0</v>
      </c>
      <c r="G1139" s="32"/>
      <c r="H1139" s="32"/>
      <c r="I1139" s="32"/>
      <c r="J1139" s="32"/>
      <c r="K1139" s="32"/>
      <c r="L1139" s="32"/>
      <c r="M1139" s="32"/>
      <c r="N1139" s="32"/>
      <c r="O1139" s="32"/>
      <c r="P1139" s="32"/>
      <c r="Q1139" s="32"/>
      <c r="R1139" s="32"/>
      <c r="S1139" s="32"/>
      <c r="T1139" s="32"/>
      <c r="U1139" s="32"/>
      <c r="V1139" s="32"/>
      <c r="W1139" s="32"/>
      <c r="X1139" s="32"/>
      <c r="Y1139" s="32"/>
      <c r="Z1139" s="32"/>
      <c r="AA1139" s="32"/>
      <c r="AB1139" s="32"/>
      <c r="AC1139" s="32"/>
      <c r="AD1139" s="32"/>
      <c r="AE1139" s="32"/>
      <c r="AF1139" s="32"/>
      <c r="AG1139" s="32"/>
      <c r="AH1139" s="32" t="b">
        <f>IFERROR(__xludf.DUMMYFUNCTION("""COMPUTED_VALUE"""),FALSE)</f>
        <v>0</v>
      </c>
      <c r="AI1139" s="32"/>
      <c r="AJ1139" s="32"/>
      <c r="AK1139" s="32"/>
      <c r="AL1139" s="32"/>
      <c r="AM1139" s="32"/>
      <c r="AN1139" s="32"/>
      <c r="AO1139" s="32"/>
      <c r="AP1139" s="32"/>
      <c r="AQ1139" s="32"/>
      <c r="AR1139" s="32"/>
      <c r="AS1139" s="32"/>
      <c r="AT1139" s="32"/>
      <c r="AU1139" s="32"/>
      <c r="AV1139" s="32"/>
      <c r="AW1139" s="32"/>
      <c r="AX1139" s="32"/>
    </row>
    <row r="1140">
      <c r="A1140" s="32"/>
      <c r="B1140" s="32"/>
      <c r="C1140" s="32"/>
      <c r="D1140" s="32"/>
      <c r="E1140" s="32">
        <f>IFERROR(__xludf.DUMMYFUNCTION("""COMPUTED_VALUE"""),1.0)</f>
        <v>1</v>
      </c>
      <c r="F1140" s="44">
        <f>IFERROR(__xludf.DUMMYFUNCTION("""COMPUTED_VALUE"""),0.0)</f>
        <v>0</v>
      </c>
      <c r="G1140" s="32"/>
      <c r="H1140" s="32"/>
      <c r="I1140" s="32"/>
      <c r="J1140" s="32"/>
      <c r="K1140" s="32"/>
      <c r="L1140" s="32"/>
      <c r="M1140" s="32"/>
      <c r="N1140" s="32"/>
      <c r="O1140" s="32"/>
      <c r="P1140" s="32"/>
      <c r="Q1140" s="32"/>
      <c r="R1140" s="32"/>
      <c r="S1140" s="32"/>
      <c r="T1140" s="32"/>
      <c r="U1140" s="32"/>
      <c r="V1140" s="32"/>
      <c r="W1140" s="32"/>
      <c r="X1140" s="32"/>
      <c r="Y1140" s="32"/>
      <c r="Z1140" s="32"/>
      <c r="AA1140" s="32"/>
      <c r="AB1140" s="32"/>
      <c r="AC1140" s="32"/>
      <c r="AD1140" s="32"/>
      <c r="AE1140" s="32"/>
      <c r="AF1140" s="32"/>
      <c r="AG1140" s="32"/>
      <c r="AH1140" s="32" t="b">
        <f>IFERROR(__xludf.DUMMYFUNCTION("""COMPUTED_VALUE"""),FALSE)</f>
        <v>0</v>
      </c>
      <c r="AI1140" s="32"/>
      <c r="AJ1140" s="32"/>
      <c r="AK1140" s="32"/>
      <c r="AL1140" s="32"/>
      <c r="AM1140" s="32"/>
      <c r="AN1140" s="32"/>
      <c r="AO1140" s="32"/>
      <c r="AP1140" s="32"/>
      <c r="AQ1140" s="32"/>
      <c r="AR1140" s="32"/>
      <c r="AS1140" s="32"/>
      <c r="AT1140" s="32"/>
      <c r="AU1140" s="32"/>
      <c r="AV1140" s="32"/>
      <c r="AW1140" s="32"/>
      <c r="AX1140" s="32"/>
    </row>
    <row r="1141">
      <c r="A1141" s="32"/>
      <c r="B1141" s="32"/>
      <c r="C1141" s="32"/>
      <c r="D1141" s="32"/>
      <c r="E1141" s="32">
        <f>IFERROR(__xludf.DUMMYFUNCTION("""COMPUTED_VALUE"""),1.0)</f>
        <v>1</v>
      </c>
      <c r="F1141" s="44">
        <f>IFERROR(__xludf.DUMMYFUNCTION("""COMPUTED_VALUE"""),0.0)</f>
        <v>0</v>
      </c>
      <c r="G1141" s="32"/>
      <c r="H1141" s="32"/>
      <c r="I1141" s="32"/>
      <c r="J1141" s="32"/>
      <c r="K1141" s="32"/>
      <c r="L1141" s="32"/>
      <c r="M1141" s="32"/>
      <c r="N1141" s="32"/>
      <c r="O1141" s="32"/>
      <c r="P1141" s="32"/>
      <c r="Q1141" s="32"/>
      <c r="R1141" s="32"/>
      <c r="S1141" s="32"/>
      <c r="T1141" s="32"/>
      <c r="U1141" s="32"/>
      <c r="V1141" s="32"/>
      <c r="W1141" s="32"/>
      <c r="X1141" s="32"/>
      <c r="Y1141" s="32"/>
      <c r="Z1141" s="32"/>
      <c r="AA1141" s="32"/>
      <c r="AB1141" s="32"/>
      <c r="AC1141" s="32"/>
      <c r="AD1141" s="32"/>
      <c r="AE1141" s="32"/>
      <c r="AF1141" s="32"/>
      <c r="AG1141" s="32"/>
      <c r="AH1141" s="32" t="b">
        <f>IFERROR(__xludf.DUMMYFUNCTION("""COMPUTED_VALUE"""),FALSE)</f>
        <v>0</v>
      </c>
      <c r="AI1141" s="32"/>
      <c r="AJ1141" s="32"/>
      <c r="AK1141" s="32"/>
      <c r="AL1141" s="32"/>
      <c r="AM1141" s="32"/>
      <c r="AN1141" s="32"/>
      <c r="AO1141" s="32"/>
      <c r="AP1141" s="32"/>
      <c r="AQ1141" s="32"/>
      <c r="AR1141" s="32"/>
      <c r="AS1141" s="32"/>
      <c r="AT1141" s="32"/>
      <c r="AU1141" s="32"/>
      <c r="AV1141" s="32"/>
      <c r="AW1141" s="32"/>
      <c r="AX1141" s="32"/>
    </row>
    <row r="1142">
      <c r="A1142" s="32"/>
      <c r="B1142" s="32"/>
      <c r="C1142" s="32"/>
      <c r="D1142" s="32"/>
      <c r="E1142" s="32">
        <f>IFERROR(__xludf.DUMMYFUNCTION("""COMPUTED_VALUE"""),1.0)</f>
        <v>1</v>
      </c>
      <c r="F1142" s="44">
        <f>IFERROR(__xludf.DUMMYFUNCTION("""COMPUTED_VALUE"""),0.0)</f>
        <v>0</v>
      </c>
      <c r="G1142" s="32"/>
      <c r="H1142" s="32"/>
      <c r="I1142" s="32"/>
      <c r="J1142" s="32"/>
      <c r="K1142" s="32"/>
      <c r="L1142" s="32"/>
      <c r="M1142" s="32"/>
      <c r="N1142" s="32"/>
      <c r="O1142" s="32"/>
      <c r="P1142" s="32"/>
      <c r="Q1142" s="32"/>
      <c r="R1142" s="32"/>
      <c r="S1142" s="32"/>
      <c r="T1142" s="32"/>
      <c r="U1142" s="32"/>
      <c r="V1142" s="32"/>
      <c r="W1142" s="32"/>
      <c r="X1142" s="32"/>
      <c r="Y1142" s="32"/>
      <c r="Z1142" s="32"/>
      <c r="AA1142" s="32"/>
      <c r="AB1142" s="32"/>
      <c r="AC1142" s="32"/>
      <c r="AD1142" s="32"/>
      <c r="AE1142" s="32"/>
      <c r="AF1142" s="32"/>
      <c r="AG1142" s="32"/>
      <c r="AH1142" s="32" t="b">
        <f>IFERROR(__xludf.DUMMYFUNCTION("""COMPUTED_VALUE"""),FALSE)</f>
        <v>0</v>
      </c>
      <c r="AI1142" s="32"/>
      <c r="AJ1142" s="32"/>
      <c r="AK1142" s="32"/>
      <c r="AL1142" s="32"/>
      <c r="AM1142" s="32"/>
      <c r="AN1142" s="32"/>
      <c r="AO1142" s="32"/>
      <c r="AP1142" s="32"/>
      <c r="AQ1142" s="32"/>
      <c r="AR1142" s="32"/>
      <c r="AS1142" s="32"/>
      <c r="AT1142" s="32"/>
      <c r="AU1142" s="32"/>
      <c r="AV1142" s="32"/>
      <c r="AW1142" s="32"/>
      <c r="AX1142" s="32"/>
    </row>
    <row r="1143">
      <c r="A1143" s="32"/>
      <c r="B1143" s="32"/>
      <c r="C1143" s="32"/>
      <c r="D1143" s="32"/>
      <c r="E1143" s="32">
        <f>IFERROR(__xludf.DUMMYFUNCTION("""COMPUTED_VALUE"""),1.0)</f>
        <v>1</v>
      </c>
      <c r="F1143" s="44">
        <f>IFERROR(__xludf.DUMMYFUNCTION("""COMPUTED_VALUE"""),0.0)</f>
        <v>0</v>
      </c>
      <c r="G1143" s="32"/>
      <c r="H1143" s="32"/>
      <c r="I1143" s="32"/>
      <c r="J1143" s="32"/>
      <c r="K1143" s="32"/>
      <c r="L1143" s="32"/>
      <c r="M1143" s="32"/>
      <c r="N1143" s="32"/>
      <c r="O1143" s="32"/>
      <c r="P1143" s="32"/>
      <c r="Q1143" s="32"/>
      <c r="R1143" s="32"/>
      <c r="S1143" s="32"/>
      <c r="T1143" s="32"/>
      <c r="U1143" s="32"/>
      <c r="V1143" s="32"/>
      <c r="W1143" s="32"/>
      <c r="X1143" s="32"/>
      <c r="Y1143" s="32"/>
      <c r="Z1143" s="32"/>
      <c r="AA1143" s="32"/>
      <c r="AB1143" s="32"/>
      <c r="AC1143" s="32"/>
      <c r="AD1143" s="32"/>
      <c r="AE1143" s="32"/>
      <c r="AF1143" s="32"/>
      <c r="AG1143" s="32"/>
      <c r="AH1143" s="32" t="b">
        <f>IFERROR(__xludf.DUMMYFUNCTION("""COMPUTED_VALUE"""),FALSE)</f>
        <v>0</v>
      </c>
      <c r="AI1143" s="32"/>
      <c r="AJ1143" s="32"/>
      <c r="AK1143" s="32"/>
      <c r="AL1143" s="32"/>
      <c r="AM1143" s="32"/>
      <c r="AN1143" s="32"/>
      <c r="AO1143" s="32"/>
      <c r="AP1143" s="32"/>
      <c r="AQ1143" s="32"/>
      <c r="AR1143" s="32"/>
      <c r="AS1143" s="32"/>
      <c r="AT1143" s="32"/>
      <c r="AU1143" s="32"/>
      <c r="AV1143" s="32"/>
      <c r="AW1143" s="32"/>
      <c r="AX1143" s="32"/>
    </row>
    <row r="1144">
      <c r="A1144" s="32"/>
      <c r="B1144" s="32"/>
      <c r="C1144" s="32"/>
      <c r="D1144" s="32"/>
      <c r="E1144" s="32">
        <f>IFERROR(__xludf.DUMMYFUNCTION("""COMPUTED_VALUE"""),1.0)</f>
        <v>1</v>
      </c>
      <c r="F1144" s="44">
        <f>IFERROR(__xludf.DUMMYFUNCTION("""COMPUTED_VALUE"""),0.0)</f>
        <v>0</v>
      </c>
      <c r="G1144" s="32"/>
      <c r="H1144" s="32"/>
      <c r="I1144" s="32"/>
      <c r="J1144" s="32"/>
      <c r="K1144" s="32"/>
      <c r="L1144" s="32"/>
      <c r="M1144" s="32"/>
      <c r="N1144" s="32"/>
      <c r="O1144" s="32"/>
      <c r="P1144" s="32"/>
      <c r="Q1144" s="32"/>
      <c r="R1144" s="32"/>
      <c r="S1144" s="32"/>
      <c r="T1144" s="32"/>
      <c r="U1144" s="32"/>
      <c r="V1144" s="32"/>
      <c r="W1144" s="32"/>
      <c r="X1144" s="32"/>
      <c r="Y1144" s="32"/>
      <c r="Z1144" s="32"/>
      <c r="AA1144" s="32"/>
      <c r="AB1144" s="32"/>
      <c r="AC1144" s="32"/>
      <c r="AD1144" s="32"/>
      <c r="AE1144" s="32"/>
      <c r="AF1144" s="32"/>
      <c r="AG1144" s="32"/>
      <c r="AH1144" s="32" t="b">
        <f>IFERROR(__xludf.DUMMYFUNCTION("""COMPUTED_VALUE"""),FALSE)</f>
        <v>0</v>
      </c>
      <c r="AI1144" s="32"/>
      <c r="AJ1144" s="32"/>
      <c r="AK1144" s="32"/>
      <c r="AL1144" s="32"/>
      <c r="AM1144" s="32"/>
      <c r="AN1144" s="32"/>
      <c r="AO1144" s="32"/>
      <c r="AP1144" s="32"/>
      <c r="AQ1144" s="32"/>
      <c r="AR1144" s="32"/>
      <c r="AS1144" s="32"/>
      <c r="AT1144" s="32"/>
      <c r="AU1144" s="32"/>
      <c r="AV1144" s="32"/>
      <c r="AW1144" s="32"/>
      <c r="AX1144" s="32"/>
    </row>
    <row r="1145">
      <c r="A1145" s="32"/>
      <c r="B1145" s="32"/>
      <c r="C1145" s="32"/>
      <c r="D1145" s="32"/>
      <c r="E1145" s="32">
        <f>IFERROR(__xludf.DUMMYFUNCTION("""COMPUTED_VALUE"""),1.0)</f>
        <v>1</v>
      </c>
      <c r="F1145" s="44">
        <f>IFERROR(__xludf.DUMMYFUNCTION("""COMPUTED_VALUE"""),0.0)</f>
        <v>0</v>
      </c>
      <c r="G1145" s="32"/>
      <c r="H1145" s="32"/>
      <c r="I1145" s="32"/>
      <c r="J1145" s="32"/>
      <c r="K1145" s="32"/>
      <c r="L1145" s="32"/>
      <c r="M1145" s="32"/>
      <c r="N1145" s="32"/>
      <c r="O1145" s="32"/>
      <c r="P1145" s="32"/>
      <c r="Q1145" s="32"/>
      <c r="R1145" s="32"/>
      <c r="S1145" s="32"/>
      <c r="T1145" s="32"/>
      <c r="U1145" s="32"/>
      <c r="V1145" s="32"/>
      <c r="W1145" s="32"/>
      <c r="X1145" s="32"/>
      <c r="Y1145" s="32"/>
      <c r="Z1145" s="32"/>
      <c r="AA1145" s="32"/>
      <c r="AB1145" s="32"/>
      <c r="AC1145" s="32"/>
      <c r="AD1145" s="32"/>
      <c r="AE1145" s="32"/>
      <c r="AF1145" s="32"/>
      <c r="AG1145" s="32"/>
      <c r="AH1145" s="32" t="b">
        <f>IFERROR(__xludf.DUMMYFUNCTION("""COMPUTED_VALUE"""),FALSE)</f>
        <v>0</v>
      </c>
      <c r="AI1145" s="32"/>
      <c r="AJ1145" s="32"/>
      <c r="AK1145" s="32"/>
      <c r="AL1145" s="32"/>
      <c r="AM1145" s="32"/>
      <c r="AN1145" s="32"/>
      <c r="AO1145" s="32"/>
      <c r="AP1145" s="32"/>
      <c r="AQ1145" s="32"/>
      <c r="AR1145" s="32"/>
      <c r="AS1145" s="32"/>
      <c r="AT1145" s="32"/>
      <c r="AU1145" s="32"/>
      <c r="AV1145" s="32"/>
      <c r="AW1145" s="32"/>
      <c r="AX1145" s="32"/>
    </row>
    <row r="1146">
      <c r="A1146" s="32"/>
      <c r="B1146" s="32"/>
      <c r="C1146" s="32"/>
      <c r="D1146" s="32"/>
      <c r="E1146" s="32">
        <f>IFERROR(__xludf.DUMMYFUNCTION("""COMPUTED_VALUE"""),1.0)</f>
        <v>1</v>
      </c>
      <c r="F1146" s="44">
        <f>IFERROR(__xludf.DUMMYFUNCTION("""COMPUTED_VALUE"""),0.0)</f>
        <v>0</v>
      </c>
      <c r="G1146" s="32"/>
      <c r="H1146" s="32"/>
      <c r="I1146" s="32"/>
      <c r="J1146" s="32"/>
      <c r="K1146" s="32"/>
      <c r="L1146" s="32"/>
      <c r="M1146" s="32"/>
      <c r="N1146" s="32"/>
      <c r="O1146" s="32"/>
      <c r="P1146" s="32"/>
      <c r="Q1146" s="32"/>
      <c r="R1146" s="32"/>
      <c r="S1146" s="32"/>
      <c r="T1146" s="32"/>
      <c r="U1146" s="32"/>
      <c r="V1146" s="32"/>
      <c r="W1146" s="32"/>
      <c r="X1146" s="32"/>
      <c r="Y1146" s="32"/>
      <c r="Z1146" s="32"/>
      <c r="AA1146" s="32"/>
      <c r="AB1146" s="32"/>
      <c r="AC1146" s="32"/>
      <c r="AD1146" s="32"/>
      <c r="AE1146" s="32"/>
      <c r="AF1146" s="32"/>
      <c r="AG1146" s="32"/>
      <c r="AH1146" s="32" t="b">
        <f>IFERROR(__xludf.DUMMYFUNCTION("""COMPUTED_VALUE"""),FALSE)</f>
        <v>0</v>
      </c>
      <c r="AI1146" s="32"/>
      <c r="AJ1146" s="32"/>
      <c r="AK1146" s="32"/>
      <c r="AL1146" s="32"/>
      <c r="AM1146" s="32"/>
      <c r="AN1146" s="32"/>
      <c r="AO1146" s="32"/>
      <c r="AP1146" s="32"/>
      <c r="AQ1146" s="32"/>
      <c r="AR1146" s="32"/>
      <c r="AS1146" s="32"/>
      <c r="AT1146" s="32"/>
      <c r="AU1146" s="32"/>
      <c r="AV1146" s="32"/>
      <c r="AW1146" s="32"/>
      <c r="AX1146" s="32"/>
    </row>
    <row r="1147">
      <c r="A1147" s="32"/>
      <c r="B1147" s="32"/>
      <c r="C1147" s="32"/>
      <c r="D1147" s="32"/>
      <c r="E1147" s="32">
        <f>IFERROR(__xludf.DUMMYFUNCTION("""COMPUTED_VALUE"""),1.0)</f>
        <v>1</v>
      </c>
      <c r="F1147" s="44">
        <f>IFERROR(__xludf.DUMMYFUNCTION("""COMPUTED_VALUE"""),0.0)</f>
        <v>0</v>
      </c>
      <c r="G1147" s="32"/>
      <c r="H1147" s="32"/>
      <c r="I1147" s="32"/>
      <c r="J1147" s="32"/>
      <c r="K1147" s="32"/>
      <c r="L1147" s="32"/>
      <c r="M1147" s="32"/>
      <c r="N1147" s="32"/>
      <c r="O1147" s="32"/>
      <c r="P1147" s="32"/>
      <c r="Q1147" s="32"/>
      <c r="R1147" s="32"/>
      <c r="S1147" s="32"/>
      <c r="T1147" s="32"/>
      <c r="U1147" s="32"/>
      <c r="V1147" s="32"/>
      <c r="W1147" s="32"/>
      <c r="X1147" s="32"/>
      <c r="Y1147" s="32"/>
      <c r="Z1147" s="32"/>
      <c r="AA1147" s="32"/>
      <c r="AB1147" s="32"/>
      <c r="AC1147" s="32"/>
      <c r="AD1147" s="32"/>
      <c r="AE1147" s="32"/>
      <c r="AF1147" s="32"/>
      <c r="AG1147" s="32"/>
      <c r="AH1147" s="32" t="b">
        <f>IFERROR(__xludf.DUMMYFUNCTION("""COMPUTED_VALUE"""),FALSE)</f>
        <v>0</v>
      </c>
      <c r="AI1147" s="32"/>
      <c r="AJ1147" s="32"/>
      <c r="AK1147" s="32"/>
      <c r="AL1147" s="32"/>
      <c r="AM1147" s="32"/>
      <c r="AN1147" s="32"/>
      <c r="AO1147" s="32"/>
      <c r="AP1147" s="32"/>
      <c r="AQ1147" s="32"/>
      <c r="AR1147" s="32"/>
      <c r="AS1147" s="32"/>
      <c r="AT1147" s="32"/>
      <c r="AU1147" s="32"/>
      <c r="AV1147" s="32"/>
      <c r="AW1147" s="32"/>
      <c r="AX1147" s="32"/>
    </row>
    <row r="1148">
      <c r="A1148" s="32"/>
      <c r="B1148" s="32"/>
      <c r="C1148" s="32"/>
      <c r="D1148" s="32"/>
      <c r="E1148" s="32">
        <f>IFERROR(__xludf.DUMMYFUNCTION("""COMPUTED_VALUE"""),1.0)</f>
        <v>1</v>
      </c>
      <c r="F1148" s="44">
        <f>IFERROR(__xludf.DUMMYFUNCTION("""COMPUTED_VALUE"""),0.0)</f>
        <v>0</v>
      </c>
      <c r="G1148" s="32"/>
      <c r="H1148" s="32"/>
      <c r="I1148" s="32"/>
      <c r="J1148" s="32"/>
      <c r="K1148" s="32"/>
      <c r="L1148" s="32"/>
      <c r="M1148" s="32"/>
      <c r="N1148" s="32"/>
      <c r="O1148" s="32"/>
      <c r="P1148" s="32"/>
      <c r="Q1148" s="32"/>
      <c r="R1148" s="32"/>
      <c r="S1148" s="32"/>
      <c r="T1148" s="32"/>
      <c r="U1148" s="32"/>
      <c r="V1148" s="32"/>
      <c r="W1148" s="32"/>
      <c r="X1148" s="32"/>
      <c r="Y1148" s="32"/>
      <c r="Z1148" s="32"/>
      <c r="AA1148" s="32"/>
      <c r="AB1148" s="32"/>
      <c r="AC1148" s="32"/>
      <c r="AD1148" s="32"/>
      <c r="AE1148" s="32"/>
      <c r="AF1148" s="32"/>
      <c r="AG1148" s="32"/>
      <c r="AH1148" s="32" t="b">
        <f>IFERROR(__xludf.DUMMYFUNCTION("""COMPUTED_VALUE"""),FALSE)</f>
        <v>0</v>
      </c>
      <c r="AI1148" s="32"/>
      <c r="AJ1148" s="32"/>
      <c r="AK1148" s="32"/>
      <c r="AL1148" s="32"/>
      <c r="AM1148" s="32"/>
      <c r="AN1148" s="32"/>
      <c r="AO1148" s="32"/>
      <c r="AP1148" s="32"/>
      <c r="AQ1148" s="32"/>
      <c r="AR1148" s="32"/>
      <c r="AS1148" s="32"/>
      <c r="AT1148" s="32"/>
      <c r="AU1148" s="32"/>
      <c r="AV1148" s="32"/>
      <c r="AW1148" s="32"/>
      <c r="AX1148" s="32"/>
    </row>
    <row r="1149">
      <c r="A1149" s="32"/>
      <c r="B1149" s="32"/>
      <c r="C1149" s="32"/>
      <c r="D1149" s="32"/>
      <c r="E1149" s="32">
        <f>IFERROR(__xludf.DUMMYFUNCTION("""COMPUTED_VALUE"""),1.0)</f>
        <v>1</v>
      </c>
      <c r="F1149" s="44">
        <f>IFERROR(__xludf.DUMMYFUNCTION("""COMPUTED_VALUE"""),0.0)</f>
        <v>0</v>
      </c>
      <c r="G1149" s="32"/>
      <c r="H1149" s="32"/>
      <c r="I1149" s="32"/>
      <c r="J1149" s="32"/>
      <c r="K1149" s="32"/>
      <c r="L1149" s="32"/>
      <c r="M1149" s="32"/>
      <c r="N1149" s="32"/>
      <c r="O1149" s="32"/>
      <c r="P1149" s="32"/>
      <c r="Q1149" s="32"/>
      <c r="R1149" s="32"/>
      <c r="S1149" s="32"/>
      <c r="T1149" s="32"/>
      <c r="U1149" s="32"/>
      <c r="V1149" s="32"/>
      <c r="W1149" s="32"/>
      <c r="X1149" s="32"/>
      <c r="Y1149" s="32"/>
      <c r="Z1149" s="32"/>
      <c r="AA1149" s="32"/>
      <c r="AB1149" s="32"/>
      <c r="AC1149" s="32"/>
      <c r="AD1149" s="32"/>
      <c r="AE1149" s="32"/>
      <c r="AF1149" s="32"/>
      <c r="AG1149" s="32"/>
      <c r="AH1149" s="32" t="b">
        <f>IFERROR(__xludf.DUMMYFUNCTION("""COMPUTED_VALUE"""),FALSE)</f>
        <v>0</v>
      </c>
      <c r="AI1149" s="32"/>
      <c r="AJ1149" s="32"/>
      <c r="AK1149" s="32"/>
      <c r="AL1149" s="32"/>
      <c r="AM1149" s="32"/>
      <c r="AN1149" s="32"/>
      <c r="AO1149" s="32"/>
      <c r="AP1149" s="32"/>
      <c r="AQ1149" s="32"/>
      <c r="AR1149" s="32"/>
      <c r="AS1149" s="32"/>
      <c r="AT1149" s="32"/>
      <c r="AU1149" s="32"/>
      <c r="AV1149" s="32"/>
      <c r="AW1149" s="32"/>
      <c r="AX1149" s="32"/>
    </row>
    <row r="1150">
      <c r="A1150" s="32"/>
      <c r="B1150" s="32"/>
      <c r="C1150" s="32"/>
      <c r="D1150" s="32"/>
      <c r="E1150" s="32">
        <f>IFERROR(__xludf.DUMMYFUNCTION("""COMPUTED_VALUE"""),1.0)</f>
        <v>1</v>
      </c>
      <c r="F1150" s="44">
        <f>IFERROR(__xludf.DUMMYFUNCTION("""COMPUTED_VALUE"""),0.0)</f>
        <v>0</v>
      </c>
      <c r="G1150" s="32"/>
      <c r="H1150" s="32"/>
      <c r="I1150" s="32"/>
      <c r="J1150" s="32"/>
      <c r="K1150" s="32"/>
      <c r="L1150" s="32"/>
      <c r="M1150" s="32"/>
      <c r="N1150" s="32"/>
      <c r="O1150" s="32"/>
      <c r="P1150" s="32"/>
      <c r="Q1150" s="32"/>
      <c r="R1150" s="32"/>
      <c r="S1150" s="32"/>
      <c r="T1150" s="32"/>
      <c r="U1150" s="32"/>
      <c r="V1150" s="32"/>
      <c r="W1150" s="32"/>
      <c r="X1150" s="32"/>
      <c r="Y1150" s="32"/>
      <c r="Z1150" s="32"/>
      <c r="AA1150" s="32"/>
      <c r="AB1150" s="32"/>
      <c r="AC1150" s="32"/>
      <c r="AD1150" s="32"/>
      <c r="AE1150" s="32"/>
      <c r="AF1150" s="32"/>
      <c r="AG1150" s="32"/>
      <c r="AH1150" s="32" t="b">
        <f>IFERROR(__xludf.DUMMYFUNCTION("""COMPUTED_VALUE"""),FALSE)</f>
        <v>0</v>
      </c>
      <c r="AI1150" s="32"/>
      <c r="AJ1150" s="32"/>
      <c r="AK1150" s="32"/>
      <c r="AL1150" s="32"/>
      <c r="AM1150" s="32"/>
      <c r="AN1150" s="32"/>
      <c r="AO1150" s="32"/>
      <c r="AP1150" s="32"/>
      <c r="AQ1150" s="32"/>
      <c r="AR1150" s="32"/>
      <c r="AS1150" s="32"/>
      <c r="AT1150" s="32"/>
      <c r="AU1150" s="32"/>
      <c r="AV1150" s="32"/>
      <c r="AW1150" s="32"/>
      <c r="AX1150" s="32"/>
    </row>
    <row r="1151">
      <c r="A1151" s="32"/>
      <c r="B1151" s="32"/>
      <c r="C1151" s="32"/>
      <c r="D1151" s="32"/>
      <c r="E1151" s="32">
        <f>IFERROR(__xludf.DUMMYFUNCTION("""COMPUTED_VALUE"""),1.0)</f>
        <v>1</v>
      </c>
      <c r="F1151" s="44">
        <f>IFERROR(__xludf.DUMMYFUNCTION("""COMPUTED_VALUE"""),0.0)</f>
        <v>0</v>
      </c>
      <c r="G1151" s="32"/>
      <c r="H1151" s="32"/>
      <c r="I1151" s="32"/>
      <c r="J1151" s="32"/>
      <c r="K1151" s="32"/>
      <c r="L1151" s="32"/>
      <c r="M1151" s="32"/>
      <c r="N1151" s="32"/>
      <c r="O1151" s="32"/>
      <c r="P1151" s="32"/>
      <c r="Q1151" s="32"/>
      <c r="R1151" s="32"/>
      <c r="S1151" s="32"/>
      <c r="T1151" s="32"/>
      <c r="U1151" s="32"/>
      <c r="V1151" s="32"/>
      <c r="W1151" s="32"/>
      <c r="X1151" s="32"/>
      <c r="Y1151" s="32"/>
      <c r="Z1151" s="32"/>
      <c r="AA1151" s="32"/>
      <c r="AB1151" s="32"/>
      <c r="AC1151" s="32"/>
      <c r="AD1151" s="32"/>
      <c r="AE1151" s="32"/>
      <c r="AF1151" s="32"/>
      <c r="AG1151" s="32"/>
      <c r="AH1151" s="32" t="b">
        <f>IFERROR(__xludf.DUMMYFUNCTION("""COMPUTED_VALUE"""),FALSE)</f>
        <v>0</v>
      </c>
      <c r="AI1151" s="32"/>
      <c r="AJ1151" s="32"/>
      <c r="AK1151" s="32"/>
      <c r="AL1151" s="32"/>
      <c r="AM1151" s="32"/>
      <c r="AN1151" s="32"/>
      <c r="AO1151" s="32"/>
      <c r="AP1151" s="32"/>
      <c r="AQ1151" s="32"/>
      <c r="AR1151" s="32"/>
      <c r="AS1151" s="32"/>
      <c r="AT1151" s="32"/>
      <c r="AU1151" s="32"/>
      <c r="AV1151" s="32"/>
      <c r="AW1151" s="32"/>
      <c r="AX1151" s="32"/>
    </row>
    <row r="1152">
      <c r="A1152" s="32"/>
      <c r="B1152" s="32"/>
      <c r="C1152" s="32"/>
      <c r="D1152" s="32"/>
      <c r="E1152" s="32">
        <f>IFERROR(__xludf.DUMMYFUNCTION("""COMPUTED_VALUE"""),1.0)</f>
        <v>1</v>
      </c>
      <c r="F1152" s="44">
        <f>IFERROR(__xludf.DUMMYFUNCTION("""COMPUTED_VALUE"""),0.0)</f>
        <v>0</v>
      </c>
      <c r="G1152" s="32"/>
      <c r="H1152" s="32"/>
      <c r="I1152" s="32"/>
      <c r="J1152" s="32"/>
      <c r="K1152" s="32"/>
      <c r="L1152" s="32"/>
      <c r="M1152" s="32"/>
      <c r="N1152" s="32"/>
      <c r="O1152" s="32"/>
      <c r="P1152" s="32"/>
      <c r="Q1152" s="32"/>
      <c r="R1152" s="32"/>
      <c r="S1152" s="32"/>
      <c r="T1152" s="32"/>
      <c r="U1152" s="32"/>
      <c r="V1152" s="32"/>
      <c r="W1152" s="32"/>
      <c r="X1152" s="32"/>
      <c r="Y1152" s="32"/>
      <c r="Z1152" s="32"/>
      <c r="AA1152" s="32"/>
      <c r="AB1152" s="32"/>
      <c r="AC1152" s="32"/>
      <c r="AD1152" s="32"/>
      <c r="AE1152" s="32"/>
      <c r="AF1152" s="32"/>
      <c r="AG1152" s="32"/>
      <c r="AH1152" s="32" t="b">
        <f>IFERROR(__xludf.DUMMYFUNCTION("""COMPUTED_VALUE"""),FALSE)</f>
        <v>0</v>
      </c>
      <c r="AI1152" s="32"/>
      <c r="AJ1152" s="32"/>
      <c r="AK1152" s="32"/>
      <c r="AL1152" s="32"/>
      <c r="AM1152" s="32"/>
      <c r="AN1152" s="32"/>
      <c r="AO1152" s="32"/>
      <c r="AP1152" s="32"/>
      <c r="AQ1152" s="32"/>
      <c r="AR1152" s="32"/>
      <c r="AS1152" s="32"/>
      <c r="AT1152" s="32"/>
      <c r="AU1152" s="32"/>
      <c r="AV1152" s="32"/>
      <c r="AW1152" s="32"/>
      <c r="AX1152" s="32"/>
    </row>
    <row r="1153">
      <c r="A1153" s="32"/>
      <c r="B1153" s="32"/>
      <c r="C1153" s="32"/>
      <c r="D1153" s="32"/>
      <c r="E1153" s="32">
        <f>IFERROR(__xludf.DUMMYFUNCTION("""COMPUTED_VALUE"""),1.0)</f>
        <v>1</v>
      </c>
      <c r="F1153" s="44">
        <f>IFERROR(__xludf.DUMMYFUNCTION("""COMPUTED_VALUE"""),0.0)</f>
        <v>0</v>
      </c>
      <c r="G1153" s="32"/>
      <c r="H1153" s="32"/>
      <c r="I1153" s="32"/>
      <c r="J1153" s="32"/>
      <c r="K1153" s="32"/>
      <c r="L1153" s="32"/>
      <c r="M1153" s="32"/>
      <c r="N1153" s="32"/>
      <c r="O1153" s="32"/>
      <c r="P1153" s="32"/>
      <c r="Q1153" s="32"/>
      <c r="R1153" s="32"/>
      <c r="S1153" s="32"/>
      <c r="T1153" s="32"/>
      <c r="U1153" s="32"/>
      <c r="V1153" s="32"/>
      <c r="W1153" s="32"/>
      <c r="X1153" s="32"/>
      <c r="Y1153" s="32"/>
      <c r="Z1153" s="32"/>
      <c r="AA1153" s="32"/>
      <c r="AB1153" s="32"/>
      <c r="AC1153" s="32"/>
      <c r="AD1153" s="32"/>
      <c r="AE1153" s="32"/>
      <c r="AF1153" s="32"/>
      <c r="AG1153" s="32"/>
      <c r="AH1153" s="32" t="b">
        <f>IFERROR(__xludf.DUMMYFUNCTION("""COMPUTED_VALUE"""),FALSE)</f>
        <v>0</v>
      </c>
      <c r="AI1153" s="32"/>
      <c r="AJ1153" s="32"/>
      <c r="AK1153" s="32"/>
      <c r="AL1153" s="32"/>
      <c r="AM1153" s="32"/>
      <c r="AN1153" s="32"/>
      <c r="AO1153" s="32"/>
      <c r="AP1153" s="32"/>
      <c r="AQ1153" s="32"/>
      <c r="AR1153" s="32"/>
      <c r="AS1153" s="32"/>
      <c r="AT1153" s="32"/>
      <c r="AU1153" s="32"/>
      <c r="AV1153" s="32"/>
      <c r="AW1153" s="32"/>
      <c r="AX1153" s="32"/>
    </row>
    <row r="1154">
      <c r="A1154" s="32"/>
      <c r="B1154" s="32"/>
      <c r="C1154" s="32"/>
      <c r="D1154" s="32"/>
      <c r="E1154" s="32">
        <f>IFERROR(__xludf.DUMMYFUNCTION("""COMPUTED_VALUE"""),1.0)</f>
        <v>1</v>
      </c>
      <c r="F1154" s="44">
        <f>IFERROR(__xludf.DUMMYFUNCTION("""COMPUTED_VALUE"""),0.0)</f>
        <v>0</v>
      </c>
      <c r="G1154" s="32"/>
      <c r="H1154" s="32"/>
      <c r="I1154" s="32"/>
      <c r="J1154" s="32"/>
      <c r="K1154" s="32"/>
      <c r="L1154" s="32"/>
      <c r="M1154" s="32"/>
      <c r="N1154" s="32"/>
      <c r="O1154" s="32"/>
      <c r="P1154" s="32"/>
      <c r="Q1154" s="32"/>
      <c r="R1154" s="32"/>
      <c r="S1154" s="32"/>
      <c r="T1154" s="32"/>
      <c r="U1154" s="32"/>
      <c r="V1154" s="32"/>
      <c r="W1154" s="32"/>
      <c r="X1154" s="32"/>
      <c r="Y1154" s="32"/>
      <c r="Z1154" s="32"/>
      <c r="AA1154" s="32"/>
      <c r="AB1154" s="32"/>
      <c r="AC1154" s="32"/>
      <c r="AD1154" s="32"/>
      <c r="AE1154" s="32"/>
      <c r="AF1154" s="32"/>
      <c r="AG1154" s="32"/>
      <c r="AH1154" s="32" t="b">
        <f>IFERROR(__xludf.DUMMYFUNCTION("""COMPUTED_VALUE"""),FALSE)</f>
        <v>0</v>
      </c>
      <c r="AI1154" s="32"/>
      <c r="AJ1154" s="32"/>
      <c r="AK1154" s="32"/>
      <c r="AL1154" s="32"/>
      <c r="AM1154" s="32"/>
      <c r="AN1154" s="32"/>
      <c r="AO1154" s="32"/>
      <c r="AP1154" s="32"/>
      <c r="AQ1154" s="32"/>
      <c r="AR1154" s="32"/>
      <c r="AS1154" s="32"/>
      <c r="AT1154" s="32"/>
      <c r="AU1154" s="32"/>
      <c r="AV1154" s="32"/>
      <c r="AW1154" s="32"/>
      <c r="AX1154" s="32"/>
    </row>
    <row r="1155">
      <c r="A1155" s="32"/>
      <c r="B1155" s="32"/>
      <c r="C1155" s="32"/>
      <c r="D1155" s="32"/>
      <c r="E1155" s="32">
        <f>IFERROR(__xludf.DUMMYFUNCTION("""COMPUTED_VALUE"""),1.0)</f>
        <v>1</v>
      </c>
      <c r="F1155" s="44">
        <f>IFERROR(__xludf.DUMMYFUNCTION("""COMPUTED_VALUE"""),0.0)</f>
        <v>0</v>
      </c>
      <c r="G1155" s="32"/>
      <c r="H1155" s="32"/>
      <c r="I1155" s="32"/>
      <c r="J1155" s="32"/>
      <c r="K1155" s="32"/>
      <c r="L1155" s="32"/>
      <c r="M1155" s="32"/>
      <c r="N1155" s="32"/>
      <c r="O1155" s="32"/>
      <c r="P1155" s="32"/>
      <c r="Q1155" s="32"/>
      <c r="R1155" s="32"/>
      <c r="S1155" s="32"/>
      <c r="T1155" s="32"/>
      <c r="U1155" s="32"/>
      <c r="V1155" s="32"/>
      <c r="W1155" s="32"/>
      <c r="X1155" s="32"/>
      <c r="Y1155" s="32"/>
      <c r="Z1155" s="32"/>
      <c r="AA1155" s="32"/>
      <c r="AB1155" s="32"/>
      <c r="AC1155" s="32"/>
      <c r="AD1155" s="32"/>
      <c r="AE1155" s="32"/>
      <c r="AF1155" s="32"/>
      <c r="AG1155" s="32"/>
      <c r="AH1155" s="32" t="b">
        <f>IFERROR(__xludf.DUMMYFUNCTION("""COMPUTED_VALUE"""),FALSE)</f>
        <v>0</v>
      </c>
      <c r="AI1155" s="32"/>
      <c r="AJ1155" s="32"/>
      <c r="AK1155" s="32"/>
      <c r="AL1155" s="32"/>
      <c r="AM1155" s="32"/>
      <c r="AN1155" s="32"/>
      <c r="AO1155" s="32"/>
      <c r="AP1155" s="32"/>
      <c r="AQ1155" s="32"/>
      <c r="AR1155" s="32"/>
      <c r="AS1155" s="32"/>
      <c r="AT1155" s="32"/>
      <c r="AU1155" s="32"/>
      <c r="AV1155" s="32"/>
      <c r="AW1155" s="32"/>
      <c r="AX1155" s="32"/>
    </row>
    <row r="1156">
      <c r="A1156" s="32"/>
      <c r="B1156" s="32"/>
      <c r="C1156" s="32"/>
      <c r="D1156" s="32"/>
      <c r="E1156" s="32">
        <f>IFERROR(__xludf.DUMMYFUNCTION("""COMPUTED_VALUE"""),1.0)</f>
        <v>1</v>
      </c>
      <c r="F1156" s="44">
        <f>IFERROR(__xludf.DUMMYFUNCTION("""COMPUTED_VALUE"""),0.0)</f>
        <v>0</v>
      </c>
      <c r="G1156" s="32"/>
      <c r="H1156" s="32"/>
      <c r="I1156" s="32"/>
      <c r="J1156" s="32"/>
      <c r="K1156" s="32"/>
      <c r="L1156" s="32"/>
      <c r="M1156" s="32"/>
      <c r="N1156" s="32"/>
      <c r="O1156" s="32"/>
      <c r="P1156" s="32"/>
      <c r="Q1156" s="32"/>
      <c r="R1156" s="32"/>
      <c r="S1156" s="32"/>
      <c r="T1156" s="32"/>
      <c r="U1156" s="32"/>
      <c r="V1156" s="32"/>
      <c r="W1156" s="32"/>
      <c r="X1156" s="32"/>
      <c r="Y1156" s="32"/>
      <c r="Z1156" s="32"/>
      <c r="AA1156" s="32"/>
      <c r="AB1156" s="32"/>
      <c r="AC1156" s="32"/>
      <c r="AD1156" s="32"/>
      <c r="AE1156" s="32"/>
      <c r="AF1156" s="32"/>
      <c r="AG1156" s="32"/>
      <c r="AH1156" s="32" t="b">
        <f>IFERROR(__xludf.DUMMYFUNCTION("""COMPUTED_VALUE"""),FALSE)</f>
        <v>0</v>
      </c>
      <c r="AI1156" s="32"/>
      <c r="AJ1156" s="32"/>
      <c r="AK1156" s="32"/>
      <c r="AL1156" s="32"/>
      <c r="AM1156" s="32"/>
      <c r="AN1156" s="32"/>
      <c r="AO1156" s="32"/>
      <c r="AP1156" s="32"/>
      <c r="AQ1156" s="32"/>
      <c r="AR1156" s="32"/>
      <c r="AS1156" s="32"/>
      <c r="AT1156" s="32"/>
      <c r="AU1156" s="32"/>
      <c r="AV1156" s="32"/>
      <c r="AW1156" s="32"/>
      <c r="AX1156" s="32"/>
    </row>
    <row r="1157">
      <c r="A1157" s="32"/>
      <c r="B1157" s="32"/>
      <c r="C1157" s="32"/>
      <c r="D1157" s="32"/>
      <c r="E1157" s="32">
        <f>IFERROR(__xludf.DUMMYFUNCTION("""COMPUTED_VALUE"""),1.0)</f>
        <v>1</v>
      </c>
      <c r="F1157" s="44">
        <f>IFERROR(__xludf.DUMMYFUNCTION("""COMPUTED_VALUE"""),0.0)</f>
        <v>0</v>
      </c>
      <c r="G1157" s="32"/>
      <c r="H1157" s="32"/>
      <c r="I1157" s="32"/>
      <c r="J1157" s="32"/>
      <c r="K1157" s="32"/>
      <c r="L1157" s="32"/>
      <c r="M1157" s="32"/>
      <c r="N1157" s="32"/>
      <c r="O1157" s="32"/>
      <c r="P1157" s="32"/>
      <c r="Q1157" s="32"/>
      <c r="R1157" s="32"/>
      <c r="S1157" s="32"/>
      <c r="T1157" s="32"/>
      <c r="U1157" s="32"/>
      <c r="V1157" s="32"/>
      <c r="W1157" s="32"/>
      <c r="X1157" s="32"/>
      <c r="Y1157" s="32"/>
      <c r="Z1157" s="32"/>
      <c r="AA1157" s="32"/>
      <c r="AB1157" s="32"/>
      <c r="AC1157" s="32"/>
      <c r="AD1157" s="32"/>
      <c r="AE1157" s="32"/>
      <c r="AF1157" s="32"/>
      <c r="AG1157" s="32"/>
      <c r="AH1157" s="32" t="b">
        <f>IFERROR(__xludf.DUMMYFUNCTION("""COMPUTED_VALUE"""),FALSE)</f>
        <v>0</v>
      </c>
      <c r="AI1157" s="32"/>
      <c r="AJ1157" s="32"/>
      <c r="AK1157" s="32"/>
      <c r="AL1157" s="32"/>
      <c r="AM1157" s="32"/>
      <c r="AN1157" s="32"/>
      <c r="AO1157" s="32"/>
      <c r="AP1157" s="32"/>
      <c r="AQ1157" s="32"/>
      <c r="AR1157" s="32"/>
      <c r="AS1157" s="32"/>
      <c r="AT1157" s="32"/>
      <c r="AU1157" s="32"/>
      <c r="AV1157" s="32"/>
      <c r="AW1157" s="32"/>
      <c r="AX1157" s="32"/>
    </row>
    <row r="1158">
      <c r="A1158" s="32"/>
      <c r="B1158" s="32"/>
      <c r="C1158" s="32"/>
      <c r="D1158" s="32"/>
      <c r="E1158" s="32">
        <f>IFERROR(__xludf.DUMMYFUNCTION("""COMPUTED_VALUE"""),1.0)</f>
        <v>1</v>
      </c>
      <c r="F1158" s="44">
        <f>IFERROR(__xludf.DUMMYFUNCTION("""COMPUTED_VALUE"""),0.0)</f>
        <v>0</v>
      </c>
      <c r="G1158" s="32"/>
      <c r="H1158" s="32"/>
      <c r="I1158" s="32"/>
      <c r="J1158" s="32"/>
      <c r="K1158" s="32"/>
      <c r="L1158" s="32"/>
      <c r="M1158" s="32"/>
      <c r="N1158" s="32"/>
      <c r="O1158" s="32"/>
      <c r="P1158" s="32"/>
      <c r="Q1158" s="32"/>
      <c r="R1158" s="32"/>
      <c r="S1158" s="32"/>
      <c r="T1158" s="32"/>
      <c r="U1158" s="32"/>
      <c r="V1158" s="32"/>
      <c r="W1158" s="32"/>
      <c r="X1158" s="32"/>
      <c r="Y1158" s="32"/>
      <c r="Z1158" s="32"/>
      <c r="AA1158" s="32"/>
      <c r="AB1158" s="32"/>
      <c r="AC1158" s="32"/>
      <c r="AD1158" s="32"/>
      <c r="AE1158" s="32"/>
      <c r="AF1158" s="32"/>
      <c r="AG1158" s="32"/>
      <c r="AH1158" s="32" t="b">
        <f>IFERROR(__xludf.DUMMYFUNCTION("""COMPUTED_VALUE"""),FALSE)</f>
        <v>0</v>
      </c>
      <c r="AI1158" s="32"/>
      <c r="AJ1158" s="32"/>
      <c r="AK1158" s="32"/>
      <c r="AL1158" s="32"/>
      <c r="AM1158" s="32"/>
      <c r="AN1158" s="32"/>
      <c r="AO1158" s="32"/>
      <c r="AP1158" s="32"/>
      <c r="AQ1158" s="32"/>
      <c r="AR1158" s="32"/>
      <c r="AS1158" s="32"/>
      <c r="AT1158" s="32"/>
      <c r="AU1158" s="32"/>
      <c r="AV1158" s="32"/>
      <c r="AW1158" s="32"/>
      <c r="AX1158" s="32"/>
    </row>
    <row r="1159">
      <c r="A1159" s="32"/>
      <c r="B1159" s="32"/>
      <c r="C1159" s="32"/>
      <c r="D1159" s="32"/>
      <c r="E1159" s="32">
        <f>IFERROR(__xludf.DUMMYFUNCTION("""COMPUTED_VALUE"""),1.0)</f>
        <v>1</v>
      </c>
      <c r="F1159" s="44">
        <f>IFERROR(__xludf.DUMMYFUNCTION("""COMPUTED_VALUE"""),0.0)</f>
        <v>0</v>
      </c>
      <c r="G1159" s="32"/>
      <c r="H1159" s="32"/>
      <c r="I1159" s="32"/>
      <c r="J1159" s="32"/>
      <c r="K1159" s="32"/>
      <c r="L1159" s="32"/>
      <c r="M1159" s="32"/>
      <c r="N1159" s="32"/>
      <c r="O1159" s="32"/>
      <c r="P1159" s="32"/>
      <c r="Q1159" s="32"/>
      <c r="R1159" s="32"/>
      <c r="S1159" s="32"/>
      <c r="T1159" s="32"/>
      <c r="U1159" s="32"/>
      <c r="V1159" s="32"/>
      <c r="W1159" s="32"/>
      <c r="X1159" s="32"/>
      <c r="Y1159" s="32"/>
      <c r="Z1159" s="32"/>
      <c r="AA1159" s="32"/>
      <c r="AB1159" s="32"/>
      <c r="AC1159" s="32"/>
      <c r="AD1159" s="32"/>
      <c r="AE1159" s="32"/>
      <c r="AF1159" s="32"/>
      <c r="AG1159" s="32"/>
      <c r="AH1159" s="32" t="b">
        <f>IFERROR(__xludf.DUMMYFUNCTION("""COMPUTED_VALUE"""),FALSE)</f>
        <v>0</v>
      </c>
      <c r="AI1159" s="32"/>
      <c r="AJ1159" s="32"/>
      <c r="AK1159" s="32"/>
      <c r="AL1159" s="32"/>
      <c r="AM1159" s="32"/>
      <c r="AN1159" s="32"/>
      <c r="AO1159" s="32"/>
      <c r="AP1159" s="32"/>
      <c r="AQ1159" s="32"/>
      <c r="AR1159" s="32"/>
      <c r="AS1159" s="32"/>
      <c r="AT1159" s="32"/>
      <c r="AU1159" s="32"/>
      <c r="AV1159" s="32"/>
      <c r="AW1159" s="32"/>
      <c r="AX1159" s="32"/>
    </row>
    <row r="1160">
      <c r="A1160" s="32"/>
      <c r="B1160" s="32"/>
      <c r="C1160" s="32"/>
      <c r="D1160" s="32"/>
      <c r="E1160" s="32">
        <f>IFERROR(__xludf.DUMMYFUNCTION("""COMPUTED_VALUE"""),1.0)</f>
        <v>1</v>
      </c>
      <c r="F1160" s="44">
        <f>IFERROR(__xludf.DUMMYFUNCTION("""COMPUTED_VALUE"""),0.0)</f>
        <v>0</v>
      </c>
      <c r="G1160" s="32"/>
      <c r="H1160" s="32"/>
      <c r="I1160" s="32"/>
      <c r="J1160" s="32"/>
      <c r="K1160" s="32"/>
      <c r="L1160" s="32"/>
      <c r="M1160" s="32"/>
      <c r="N1160" s="32"/>
      <c r="O1160" s="32"/>
      <c r="P1160" s="32"/>
      <c r="Q1160" s="32"/>
      <c r="R1160" s="32"/>
      <c r="S1160" s="32"/>
      <c r="T1160" s="32"/>
      <c r="U1160" s="32"/>
      <c r="V1160" s="32"/>
      <c r="W1160" s="32"/>
      <c r="X1160" s="32"/>
      <c r="Y1160" s="32"/>
      <c r="Z1160" s="32"/>
      <c r="AA1160" s="32"/>
      <c r="AB1160" s="32"/>
      <c r="AC1160" s="32"/>
      <c r="AD1160" s="32"/>
      <c r="AE1160" s="32"/>
      <c r="AF1160" s="32"/>
      <c r="AG1160" s="32"/>
      <c r="AH1160" s="32" t="b">
        <f>IFERROR(__xludf.DUMMYFUNCTION("""COMPUTED_VALUE"""),FALSE)</f>
        <v>0</v>
      </c>
      <c r="AI1160" s="32"/>
      <c r="AJ1160" s="32"/>
      <c r="AK1160" s="32"/>
      <c r="AL1160" s="32"/>
      <c r="AM1160" s="32"/>
      <c r="AN1160" s="32"/>
      <c r="AO1160" s="32"/>
      <c r="AP1160" s="32"/>
      <c r="AQ1160" s="32"/>
      <c r="AR1160" s="32"/>
      <c r="AS1160" s="32"/>
      <c r="AT1160" s="32"/>
      <c r="AU1160" s="32"/>
      <c r="AV1160" s="32"/>
      <c r="AW1160" s="32"/>
      <c r="AX1160" s="32"/>
    </row>
    <row r="1161">
      <c r="A1161" s="32"/>
      <c r="B1161" s="32"/>
      <c r="C1161" s="32"/>
      <c r="D1161" s="32"/>
      <c r="E1161" s="32">
        <f>IFERROR(__xludf.DUMMYFUNCTION("""COMPUTED_VALUE"""),1.0)</f>
        <v>1</v>
      </c>
      <c r="F1161" s="44">
        <f>IFERROR(__xludf.DUMMYFUNCTION("""COMPUTED_VALUE"""),0.0)</f>
        <v>0</v>
      </c>
      <c r="G1161" s="32"/>
      <c r="H1161" s="32"/>
      <c r="I1161" s="32"/>
      <c r="J1161" s="32"/>
      <c r="K1161" s="32"/>
      <c r="L1161" s="32"/>
      <c r="M1161" s="32"/>
      <c r="N1161" s="32"/>
      <c r="O1161" s="32"/>
      <c r="P1161" s="32"/>
      <c r="Q1161" s="32"/>
      <c r="R1161" s="32"/>
      <c r="S1161" s="32"/>
      <c r="T1161" s="32"/>
      <c r="U1161" s="32"/>
      <c r="V1161" s="32"/>
      <c r="W1161" s="32"/>
      <c r="X1161" s="32"/>
      <c r="Y1161" s="32"/>
      <c r="Z1161" s="32"/>
      <c r="AA1161" s="32"/>
      <c r="AB1161" s="32"/>
      <c r="AC1161" s="32"/>
      <c r="AD1161" s="32"/>
      <c r="AE1161" s="32"/>
      <c r="AF1161" s="32"/>
      <c r="AG1161" s="32"/>
      <c r="AH1161" s="32" t="b">
        <f>IFERROR(__xludf.DUMMYFUNCTION("""COMPUTED_VALUE"""),FALSE)</f>
        <v>0</v>
      </c>
      <c r="AI1161" s="32"/>
      <c r="AJ1161" s="32"/>
      <c r="AK1161" s="32"/>
      <c r="AL1161" s="32"/>
      <c r="AM1161" s="32"/>
      <c r="AN1161" s="32"/>
      <c r="AO1161" s="32"/>
      <c r="AP1161" s="32"/>
      <c r="AQ1161" s="32"/>
      <c r="AR1161" s="32"/>
      <c r="AS1161" s="32"/>
      <c r="AT1161" s="32"/>
      <c r="AU1161" s="32"/>
      <c r="AV1161" s="32"/>
      <c r="AW1161" s="32"/>
      <c r="AX1161" s="32"/>
    </row>
    <row r="1162">
      <c r="A1162" s="32"/>
      <c r="B1162" s="32"/>
      <c r="C1162" s="32"/>
      <c r="D1162" s="32"/>
      <c r="E1162" s="32">
        <f>IFERROR(__xludf.DUMMYFUNCTION("""COMPUTED_VALUE"""),1.0)</f>
        <v>1</v>
      </c>
      <c r="F1162" s="44">
        <f>IFERROR(__xludf.DUMMYFUNCTION("""COMPUTED_VALUE"""),0.0)</f>
        <v>0</v>
      </c>
      <c r="G1162" s="32"/>
      <c r="H1162" s="32"/>
      <c r="I1162" s="32"/>
      <c r="J1162" s="32"/>
      <c r="K1162" s="32"/>
      <c r="L1162" s="32"/>
      <c r="M1162" s="32"/>
      <c r="N1162" s="32"/>
      <c r="O1162" s="32"/>
      <c r="P1162" s="32"/>
      <c r="Q1162" s="32"/>
      <c r="R1162" s="32"/>
      <c r="S1162" s="32"/>
      <c r="T1162" s="32"/>
      <c r="U1162" s="32"/>
      <c r="V1162" s="32"/>
      <c r="W1162" s="32"/>
      <c r="X1162" s="32"/>
      <c r="Y1162" s="32"/>
      <c r="Z1162" s="32"/>
      <c r="AA1162" s="32"/>
      <c r="AB1162" s="32"/>
      <c r="AC1162" s="32"/>
      <c r="AD1162" s="32"/>
      <c r="AE1162" s="32"/>
      <c r="AF1162" s="32"/>
      <c r="AG1162" s="32"/>
      <c r="AH1162" s="32" t="b">
        <f>IFERROR(__xludf.DUMMYFUNCTION("""COMPUTED_VALUE"""),FALSE)</f>
        <v>0</v>
      </c>
      <c r="AI1162" s="32"/>
      <c r="AJ1162" s="32"/>
      <c r="AK1162" s="32"/>
      <c r="AL1162" s="32"/>
      <c r="AM1162" s="32"/>
      <c r="AN1162" s="32"/>
      <c r="AO1162" s="32"/>
      <c r="AP1162" s="32"/>
      <c r="AQ1162" s="32"/>
      <c r="AR1162" s="32"/>
      <c r="AS1162" s="32"/>
      <c r="AT1162" s="32"/>
      <c r="AU1162" s="32"/>
      <c r="AV1162" s="32"/>
      <c r="AW1162" s="32"/>
      <c r="AX1162" s="32"/>
    </row>
    <row r="1163">
      <c r="A1163" s="32"/>
      <c r="B1163" s="32"/>
      <c r="C1163" s="32"/>
      <c r="D1163" s="32"/>
      <c r="E1163" s="32">
        <f>IFERROR(__xludf.DUMMYFUNCTION("""COMPUTED_VALUE"""),1.0)</f>
        <v>1</v>
      </c>
      <c r="F1163" s="44">
        <f>IFERROR(__xludf.DUMMYFUNCTION("""COMPUTED_VALUE"""),0.0)</f>
        <v>0</v>
      </c>
      <c r="G1163" s="32"/>
      <c r="H1163" s="32"/>
      <c r="I1163" s="32"/>
      <c r="J1163" s="32"/>
      <c r="K1163" s="32"/>
      <c r="L1163" s="32"/>
      <c r="M1163" s="32"/>
      <c r="N1163" s="32"/>
      <c r="O1163" s="32"/>
      <c r="P1163" s="32"/>
      <c r="Q1163" s="32"/>
      <c r="R1163" s="32"/>
      <c r="S1163" s="32"/>
      <c r="T1163" s="32"/>
      <c r="U1163" s="32"/>
      <c r="V1163" s="32"/>
      <c r="W1163" s="32"/>
      <c r="X1163" s="32"/>
      <c r="Y1163" s="32"/>
      <c r="Z1163" s="32"/>
      <c r="AA1163" s="32"/>
      <c r="AB1163" s="32"/>
      <c r="AC1163" s="32"/>
      <c r="AD1163" s="32"/>
      <c r="AE1163" s="32"/>
      <c r="AF1163" s="32"/>
      <c r="AG1163" s="32"/>
      <c r="AH1163" s="32" t="b">
        <f>IFERROR(__xludf.DUMMYFUNCTION("""COMPUTED_VALUE"""),FALSE)</f>
        <v>0</v>
      </c>
      <c r="AI1163" s="32"/>
      <c r="AJ1163" s="32"/>
      <c r="AK1163" s="32"/>
      <c r="AL1163" s="32"/>
      <c r="AM1163" s="32"/>
      <c r="AN1163" s="32"/>
      <c r="AO1163" s="32"/>
      <c r="AP1163" s="32"/>
      <c r="AQ1163" s="32"/>
      <c r="AR1163" s="32"/>
      <c r="AS1163" s="32"/>
      <c r="AT1163" s="32"/>
      <c r="AU1163" s="32"/>
      <c r="AV1163" s="32"/>
      <c r="AW1163" s="32"/>
      <c r="AX1163" s="32"/>
    </row>
    <row r="1164">
      <c r="A1164" s="32"/>
      <c r="B1164" s="32"/>
      <c r="C1164" s="32"/>
      <c r="D1164" s="32"/>
      <c r="E1164" s="32">
        <f>IFERROR(__xludf.DUMMYFUNCTION("""COMPUTED_VALUE"""),1.0)</f>
        <v>1</v>
      </c>
      <c r="F1164" s="44">
        <f>IFERROR(__xludf.DUMMYFUNCTION("""COMPUTED_VALUE"""),0.0)</f>
        <v>0</v>
      </c>
      <c r="G1164" s="32"/>
      <c r="H1164" s="32"/>
      <c r="I1164" s="32"/>
      <c r="J1164" s="32"/>
      <c r="K1164" s="32"/>
      <c r="L1164" s="32"/>
      <c r="M1164" s="32"/>
      <c r="N1164" s="32"/>
      <c r="O1164" s="32"/>
      <c r="P1164" s="32"/>
      <c r="Q1164" s="32"/>
      <c r="R1164" s="32"/>
      <c r="S1164" s="32"/>
      <c r="T1164" s="32"/>
      <c r="U1164" s="32"/>
      <c r="V1164" s="32"/>
      <c r="W1164" s="32"/>
      <c r="X1164" s="32"/>
      <c r="Y1164" s="32"/>
      <c r="Z1164" s="32"/>
      <c r="AA1164" s="32"/>
      <c r="AB1164" s="32"/>
      <c r="AC1164" s="32"/>
      <c r="AD1164" s="32"/>
      <c r="AE1164" s="32"/>
      <c r="AF1164" s="32"/>
      <c r="AG1164" s="32"/>
      <c r="AH1164" s="32" t="b">
        <f>IFERROR(__xludf.DUMMYFUNCTION("""COMPUTED_VALUE"""),FALSE)</f>
        <v>0</v>
      </c>
      <c r="AI1164" s="32"/>
      <c r="AJ1164" s="32"/>
      <c r="AK1164" s="32"/>
      <c r="AL1164" s="32"/>
      <c r="AM1164" s="32"/>
      <c r="AN1164" s="32"/>
      <c r="AO1164" s="32"/>
      <c r="AP1164" s="32"/>
      <c r="AQ1164" s="32"/>
      <c r="AR1164" s="32"/>
      <c r="AS1164" s="32"/>
      <c r="AT1164" s="32"/>
      <c r="AU1164" s="32"/>
      <c r="AV1164" s="32"/>
      <c r="AW1164" s="32"/>
      <c r="AX1164" s="32"/>
    </row>
    <row r="1165">
      <c r="A1165" s="32"/>
      <c r="B1165" s="32"/>
      <c r="C1165" s="32"/>
      <c r="D1165" s="32"/>
      <c r="E1165" s="32">
        <f>IFERROR(__xludf.DUMMYFUNCTION("""COMPUTED_VALUE"""),1.0)</f>
        <v>1</v>
      </c>
      <c r="F1165" s="44">
        <f>IFERROR(__xludf.DUMMYFUNCTION("""COMPUTED_VALUE"""),0.0)</f>
        <v>0</v>
      </c>
      <c r="G1165" s="32"/>
      <c r="H1165" s="32"/>
      <c r="I1165" s="32"/>
      <c r="J1165" s="32"/>
      <c r="K1165" s="32"/>
      <c r="L1165" s="32"/>
      <c r="M1165" s="32"/>
      <c r="N1165" s="32"/>
      <c r="O1165" s="32"/>
      <c r="P1165" s="32"/>
      <c r="Q1165" s="32"/>
      <c r="R1165" s="32"/>
      <c r="S1165" s="32"/>
      <c r="T1165" s="32"/>
      <c r="U1165" s="32"/>
      <c r="V1165" s="32"/>
      <c r="W1165" s="32"/>
      <c r="X1165" s="32"/>
      <c r="Y1165" s="32"/>
      <c r="Z1165" s="32"/>
      <c r="AA1165" s="32"/>
      <c r="AB1165" s="32"/>
      <c r="AC1165" s="32"/>
      <c r="AD1165" s="32"/>
      <c r="AE1165" s="32"/>
      <c r="AF1165" s="32"/>
      <c r="AG1165" s="32"/>
      <c r="AH1165" s="32" t="b">
        <f>IFERROR(__xludf.DUMMYFUNCTION("""COMPUTED_VALUE"""),FALSE)</f>
        <v>0</v>
      </c>
      <c r="AI1165" s="32"/>
      <c r="AJ1165" s="32"/>
      <c r="AK1165" s="32"/>
      <c r="AL1165" s="32"/>
      <c r="AM1165" s="32"/>
      <c r="AN1165" s="32"/>
      <c r="AO1165" s="32"/>
      <c r="AP1165" s="32"/>
      <c r="AQ1165" s="32"/>
      <c r="AR1165" s="32"/>
      <c r="AS1165" s="32"/>
      <c r="AT1165" s="32"/>
      <c r="AU1165" s="32"/>
      <c r="AV1165" s="32"/>
      <c r="AW1165" s="32"/>
      <c r="AX1165" s="32"/>
    </row>
    <row r="1166">
      <c r="A1166" s="32"/>
      <c r="B1166" s="32"/>
      <c r="C1166" s="32"/>
      <c r="D1166" s="32"/>
      <c r="E1166" s="32">
        <f>IFERROR(__xludf.DUMMYFUNCTION("""COMPUTED_VALUE"""),1.0)</f>
        <v>1</v>
      </c>
      <c r="F1166" s="44">
        <f>IFERROR(__xludf.DUMMYFUNCTION("""COMPUTED_VALUE"""),0.0)</f>
        <v>0</v>
      </c>
      <c r="G1166" s="32"/>
      <c r="H1166" s="32"/>
      <c r="I1166" s="32"/>
      <c r="J1166" s="32"/>
      <c r="K1166" s="32"/>
      <c r="L1166" s="32"/>
      <c r="M1166" s="32"/>
      <c r="N1166" s="32"/>
      <c r="O1166" s="32"/>
      <c r="P1166" s="32"/>
      <c r="Q1166" s="32"/>
      <c r="R1166" s="32"/>
      <c r="S1166" s="32"/>
      <c r="T1166" s="32"/>
      <c r="U1166" s="32"/>
      <c r="V1166" s="32"/>
      <c r="W1166" s="32"/>
      <c r="X1166" s="32"/>
      <c r="Y1166" s="32"/>
      <c r="Z1166" s="32"/>
      <c r="AA1166" s="32"/>
      <c r="AB1166" s="32"/>
      <c r="AC1166" s="32"/>
      <c r="AD1166" s="32"/>
      <c r="AE1166" s="32"/>
      <c r="AF1166" s="32"/>
      <c r="AG1166" s="32"/>
      <c r="AH1166" s="32" t="b">
        <f>IFERROR(__xludf.DUMMYFUNCTION("""COMPUTED_VALUE"""),FALSE)</f>
        <v>0</v>
      </c>
      <c r="AI1166" s="32"/>
      <c r="AJ1166" s="32"/>
      <c r="AK1166" s="32"/>
      <c r="AL1166" s="32"/>
      <c r="AM1166" s="32"/>
      <c r="AN1166" s="32"/>
      <c r="AO1166" s="32"/>
      <c r="AP1166" s="32"/>
      <c r="AQ1166" s="32"/>
      <c r="AR1166" s="32"/>
      <c r="AS1166" s="32"/>
      <c r="AT1166" s="32"/>
      <c r="AU1166" s="32"/>
      <c r="AV1166" s="32"/>
      <c r="AW1166" s="32"/>
      <c r="AX1166" s="32"/>
    </row>
    <row r="1167">
      <c r="A1167" s="32"/>
      <c r="B1167" s="32"/>
      <c r="C1167" s="32"/>
      <c r="D1167" s="32"/>
      <c r="E1167" s="32">
        <f>IFERROR(__xludf.DUMMYFUNCTION("""COMPUTED_VALUE"""),1.0)</f>
        <v>1</v>
      </c>
      <c r="F1167" s="44">
        <f>IFERROR(__xludf.DUMMYFUNCTION("""COMPUTED_VALUE"""),0.0)</f>
        <v>0</v>
      </c>
      <c r="G1167" s="32"/>
      <c r="H1167" s="32"/>
      <c r="I1167" s="32"/>
      <c r="J1167" s="32"/>
      <c r="K1167" s="32"/>
      <c r="L1167" s="32"/>
      <c r="M1167" s="32"/>
      <c r="N1167" s="32"/>
      <c r="O1167" s="32"/>
      <c r="P1167" s="32"/>
      <c r="Q1167" s="32"/>
      <c r="R1167" s="32"/>
      <c r="S1167" s="32"/>
      <c r="T1167" s="32"/>
      <c r="U1167" s="32"/>
      <c r="V1167" s="32"/>
      <c r="W1167" s="32"/>
      <c r="X1167" s="32"/>
      <c r="Y1167" s="32"/>
      <c r="Z1167" s="32"/>
      <c r="AA1167" s="32"/>
      <c r="AB1167" s="32"/>
      <c r="AC1167" s="32"/>
      <c r="AD1167" s="32"/>
      <c r="AE1167" s="32"/>
      <c r="AF1167" s="32"/>
      <c r="AG1167" s="32"/>
      <c r="AH1167" s="32" t="b">
        <f>IFERROR(__xludf.DUMMYFUNCTION("""COMPUTED_VALUE"""),FALSE)</f>
        <v>0</v>
      </c>
      <c r="AI1167" s="32"/>
      <c r="AJ1167" s="32"/>
      <c r="AK1167" s="32"/>
      <c r="AL1167" s="32"/>
      <c r="AM1167" s="32"/>
      <c r="AN1167" s="32"/>
      <c r="AO1167" s="32"/>
      <c r="AP1167" s="32"/>
      <c r="AQ1167" s="32"/>
      <c r="AR1167" s="32"/>
      <c r="AS1167" s="32"/>
      <c r="AT1167" s="32"/>
      <c r="AU1167" s="32"/>
      <c r="AV1167" s="32"/>
      <c r="AW1167" s="32"/>
      <c r="AX1167" s="32"/>
    </row>
    <row r="1168">
      <c r="A1168" s="32"/>
      <c r="B1168" s="32"/>
      <c r="C1168" s="32"/>
      <c r="D1168" s="32"/>
      <c r="E1168" s="32">
        <f>IFERROR(__xludf.DUMMYFUNCTION("""COMPUTED_VALUE"""),1.0)</f>
        <v>1</v>
      </c>
      <c r="F1168" s="44">
        <f>IFERROR(__xludf.DUMMYFUNCTION("""COMPUTED_VALUE"""),0.0)</f>
        <v>0</v>
      </c>
      <c r="G1168" s="32"/>
      <c r="H1168" s="32"/>
      <c r="I1168" s="32"/>
      <c r="J1168" s="32"/>
      <c r="K1168" s="32"/>
      <c r="L1168" s="32"/>
      <c r="M1168" s="32"/>
      <c r="N1168" s="32"/>
      <c r="O1168" s="32"/>
      <c r="P1168" s="32"/>
      <c r="Q1168" s="32"/>
      <c r="R1168" s="32"/>
      <c r="S1168" s="32"/>
      <c r="T1168" s="32"/>
      <c r="U1168" s="32"/>
      <c r="V1168" s="32"/>
      <c r="W1168" s="32"/>
      <c r="X1168" s="32"/>
      <c r="Y1168" s="32"/>
      <c r="Z1168" s="32"/>
      <c r="AA1168" s="32"/>
      <c r="AB1168" s="32"/>
      <c r="AC1168" s="32"/>
      <c r="AD1168" s="32"/>
      <c r="AE1168" s="32"/>
      <c r="AF1168" s="32"/>
      <c r="AG1168" s="32"/>
      <c r="AH1168" s="32" t="b">
        <f>IFERROR(__xludf.DUMMYFUNCTION("""COMPUTED_VALUE"""),FALSE)</f>
        <v>0</v>
      </c>
      <c r="AI1168" s="32"/>
      <c r="AJ1168" s="32"/>
      <c r="AK1168" s="32"/>
      <c r="AL1168" s="32"/>
      <c r="AM1168" s="32"/>
      <c r="AN1168" s="32"/>
      <c r="AO1168" s="32"/>
      <c r="AP1168" s="32"/>
      <c r="AQ1168" s="32"/>
      <c r="AR1168" s="32"/>
      <c r="AS1168" s="32"/>
      <c r="AT1168" s="32"/>
      <c r="AU1168" s="32"/>
      <c r="AV1168" s="32"/>
      <c r="AW1168" s="32"/>
      <c r="AX1168" s="32"/>
    </row>
    <row r="1169">
      <c r="A1169" s="32"/>
      <c r="B1169" s="32"/>
      <c r="C1169" s="32"/>
      <c r="D1169" s="32"/>
      <c r="E1169" s="32">
        <f>IFERROR(__xludf.DUMMYFUNCTION("""COMPUTED_VALUE"""),1.0)</f>
        <v>1</v>
      </c>
      <c r="F1169" s="44">
        <f>IFERROR(__xludf.DUMMYFUNCTION("""COMPUTED_VALUE"""),0.0)</f>
        <v>0</v>
      </c>
      <c r="G1169" s="32"/>
      <c r="H1169" s="32"/>
      <c r="I1169" s="32"/>
      <c r="J1169" s="32"/>
      <c r="K1169" s="32"/>
      <c r="L1169" s="32"/>
      <c r="M1169" s="32"/>
      <c r="N1169" s="32"/>
      <c r="O1169" s="32"/>
      <c r="P1169" s="32"/>
      <c r="Q1169" s="32"/>
      <c r="R1169" s="32"/>
      <c r="S1169" s="32"/>
      <c r="T1169" s="32"/>
      <c r="U1169" s="32"/>
      <c r="V1169" s="32"/>
      <c r="W1169" s="32"/>
      <c r="X1169" s="32"/>
      <c r="Y1169" s="32"/>
      <c r="Z1169" s="32"/>
      <c r="AA1169" s="32"/>
      <c r="AB1169" s="32"/>
      <c r="AC1169" s="32"/>
      <c r="AD1169" s="32"/>
      <c r="AE1169" s="32"/>
      <c r="AF1169" s="32"/>
      <c r="AG1169" s="32"/>
      <c r="AH1169" s="32" t="b">
        <f>IFERROR(__xludf.DUMMYFUNCTION("""COMPUTED_VALUE"""),FALSE)</f>
        <v>0</v>
      </c>
      <c r="AI1169" s="32"/>
      <c r="AJ1169" s="32"/>
      <c r="AK1169" s="32"/>
      <c r="AL1169" s="32"/>
      <c r="AM1169" s="32"/>
      <c r="AN1169" s="32"/>
      <c r="AO1169" s="32"/>
      <c r="AP1169" s="32"/>
      <c r="AQ1169" s="32"/>
      <c r="AR1169" s="32"/>
      <c r="AS1169" s="32"/>
      <c r="AT1169" s="32"/>
      <c r="AU1169" s="32"/>
      <c r="AV1169" s="32"/>
      <c r="AW1169" s="32"/>
      <c r="AX1169" s="32"/>
    </row>
    <row r="1170">
      <c r="A1170" s="32"/>
      <c r="B1170" s="32"/>
      <c r="C1170" s="32"/>
      <c r="D1170" s="32"/>
      <c r="E1170" s="32">
        <f>IFERROR(__xludf.DUMMYFUNCTION("""COMPUTED_VALUE"""),1.0)</f>
        <v>1</v>
      </c>
      <c r="F1170" s="44">
        <f>IFERROR(__xludf.DUMMYFUNCTION("""COMPUTED_VALUE"""),0.0)</f>
        <v>0</v>
      </c>
      <c r="G1170" s="32"/>
      <c r="H1170" s="32"/>
      <c r="I1170" s="32"/>
      <c r="J1170" s="32"/>
      <c r="K1170" s="32"/>
      <c r="L1170" s="32"/>
      <c r="M1170" s="32"/>
      <c r="N1170" s="32"/>
      <c r="O1170" s="32"/>
      <c r="P1170" s="32"/>
      <c r="Q1170" s="32"/>
      <c r="R1170" s="32"/>
      <c r="S1170" s="32"/>
      <c r="T1170" s="32"/>
      <c r="U1170" s="32"/>
      <c r="V1170" s="32"/>
      <c r="W1170" s="32"/>
      <c r="X1170" s="32"/>
      <c r="Y1170" s="32"/>
      <c r="Z1170" s="32"/>
      <c r="AA1170" s="32"/>
      <c r="AB1170" s="32"/>
      <c r="AC1170" s="32"/>
      <c r="AD1170" s="32"/>
      <c r="AE1170" s="32"/>
      <c r="AF1170" s="32"/>
      <c r="AG1170" s="32"/>
      <c r="AH1170" s="32" t="b">
        <f>IFERROR(__xludf.DUMMYFUNCTION("""COMPUTED_VALUE"""),FALSE)</f>
        <v>0</v>
      </c>
      <c r="AI1170" s="32"/>
      <c r="AJ1170" s="32"/>
      <c r="AK1170" s="32"/>
      <c r="AL1170" s="32"/>
      <c r="AM1170" s="32"/>
      <c r="AN1170" s="32"/>
      <c r="AO1170" s="32"/>
      <c r="AP1170" s="32"/>
      <c r="AQ1170" s="32"/>
      <c r="AR1170" s="32"/>
      <c r="AS1170" s="32"/>
      <c r="AT1170" s="32"/>
      <c r="AU1170" s="32"/>
      <c r="AV1170" s="32"/>
      <c r="AW1170" s="32"/>
      <c r="AX1170" s="32"/>
    </row>
    <row r="1171">
      <c r="A1171" s="32"/>
      <c r="B1171" s="32"/>
      <c r="C1171" s="32"/>
      <c r="D1171" s="32"/>
      <c r="E1171" s="32">
        <f>IFERROR(__xludf.DUMMYFUNCTION("""COMPUTED_VALUE"""),1.0)</f>
        <v>1</v>
      </c>
      <c r="F1171" s="44">
        <f>IFERROR(__xludf.DUMMYFUNCTION("""COMPUTED_VALUE"""),0.0)</f>
        <v>0</v>
      </c>
      <c r="G1171" s="32"/>
      <c r="H1171" s="32"/>
      <c r="I1171" s="32"/>
      <c r="J1171" s="32"/>
      <c r="K1171" s="32"/>
      <c r="L1171" s="32"/>
      <c r="M1171" s="32"/>
      <c r="N1171" s="32"/>
      <c r="O1171" s="32"/>
      <c r="P1171" s="32"/>
      <c r="Q1171" s="32"/>
      <c r="R1171" s="32"/>
      <c r="S1171" s="32"/>
      <c r="T1171" s="32"/>
      <c r="U1171" s="32"/>
      <c r="V1171" s="32"/>
      <c r="W1171" s="32"/>
      <c r="X1171" s="32"/>
      <c r="Y1171" s="32"/>
      <c r="Z1171" s="32"/>
      <c r="AA1171" s="32"/>
      <c r="AB1171" s="32"/>
      <c r="AC1171" s="32"/>
      <c r="AD1171" s="32"/>
      <c r="AE1171" s="32"/>
      <c r="AF1171" s="32"/>
      <c r="AG1171" s="32"/>
      <c r="AH1171" s="32" t="b">
        <f>IFERROR(__xludf.DUMMYFUNCTION("""COMPUTED_VALUE"""),FALSE)</f>
        <v>0</v>
      </c>
      <c r="AI1171" s="32"/>
      <c r="AJ1171" s="32"/>
      <c r="AK1171" s="32"/>
      <c r="AL1171" s="32"/>
      <c r="AM1171" s="32"/>
      <c r="AN1171" s="32"/>
      <c r="AO1171" s="32"/>
      <c r="AP1171" s="32"/>
      <c r="AQ1171" s="32"/>
      <c r="AR1171" s="32"/>
      <c r="AS1171" s="32"/>
      <c r="AT1171" s="32"/>
      <c r="AU1171" s="32"/>
      <c r="AV1171" s="32"/>
      <c r="AW1171" s="32"/>
      <c r="AX1171" s="32"/>
    </row>
    <row r="1172">
      <c r="A1172" s="32"/>
      <c r="B1172" s="32"/>
      <c r="C1172" s="32"/>
      <c r="D1172" s="32"/>
      <c r="E1172" s="32">
        <f>IFERROR(__xludf.DUMMYFUNCTION("""COMPUTED_VALUE"""),1.0)</f>
        <v>1</v>
      </c>
      <c r="F1172" s="44">
        <f>IFERROR(__xludf.DUMMYFUNCTION("""COMPUTED_VALUE"""),0.0)</f>
        <v>0</v>
      </c>
      <c r="G1172" s="32"/>
      <c r="H1172" s="32"/>
      <c r="I1172" s="32"/>
      <c r="J1172" s="32"/>
      <c r="K1172" s="32"/>
      <c r="L1172" s="32"/>
      <c r="M1172" s="32"/>
      <c r="N1172" s="32"/>
      <c r="O1172" s="32"/>
      <c r="P1172" s="32"/>
      <c r="Q1172" s="32"/>
      <c r="R1172" s="32"/>
      <c r="S1172" s="32"/>
      <c r="T1172" s="32"/>
      <c r="U1172" s="32"/>
      <c r="V1172" s="32"/>
      <c r="W1172" s="32"/>
      <c r="X1172" s="32"/>
      <c r="Y1172" s="32"/>
      <c r="Z1172" s="32"/>
      <c r="AA1172" s="32"/>
      <c r="AB1172" s="32"/>
      <c r="AC1172" s="32"/>
      <c r="AD1172" s="32"/>
      <c r="AE1172" s="32"/>
      <c r="AF1172" s="32"/>
      <c r="AG1172" s="32"/>
      <c r="AH1172" s="32" t="b">
        <f>IFERROR(__xludf.DUMMYFUNCTION("""COMPUTED_VALUE"""),FALSE)</f>
        <v>0</v>
      </c>
      <c r="AI1172" s="32"/>
      <c r="AJ1172" s="32"/>
      <c r="AK1172" s="32"/>
      <c r="AL1172" s="32"/>
      <c r="AM1172" s="32"/>
      <c r="AN1172" s="32"/>
      <c r="AO1172" s="32"/>
      <c r="AP1172" s="32"/>
      <c r="AQ1172" s="32"/>
      <c r="AR1172" s="32"/>
      <c r="AS1172" s="32"/>
      <c r="AT1172" s="32"/>
      <c r="AU1172" s="32"/>
      <c r="AV1172" s="32"/>
      <c r="AW1172" s="32"/>
      <c r="AX1172" s="32"/>
    </row>
    <row r="1173">
      <c r="A1173" s="32"/>
      <c r="B1173" s="32"/>
      <c r="C1173" s="32"/>
      <c r="D1173" s="32"/>
      <c r="E1173" s="32">
        <f>IFERROR(__xludf.DUMMYFUNCTION("""COMPUTED_VALUE"""),1.0)</f>
        <v>1</v>
      </c>
      <c r="F1173" s="44">
        <f>IFERROR(__xludf.DUMMYFUNCTION("""COMPUTED_VALUE"""),0.0)</f>
        <v>0</v>
      </c>
      <c r="G1173" s="32"/>
      <c r="H1173" s="32"/>
      <c r="I1173" s="32"/>
      <c r="J1173" s="32"/>
      <c r="K1173" s="32"/>
      <c r="L1173" s="32"/>
      <c r="M1173" s="32"/>
      <c r="N1173" s="32"/>
      <c r="O1173" s="32"/>
      <c r="P1173" s="32"/>
      <c r="Q1173" s="32"/>
      <c r="R1173" s="32"/>
      <c r="S1173" s="32"/>
      <c r="T1173" s="32"/>
      <c r="U1173" s="32"/>
      <c r="V1173" s="32"/>
      <c r="W1173" s="32"/>
      <c r="X1173" s="32"/>
      <c r="Y1173" s="32"/>
      <c r="Z1173" s="32"/>
      <c r="AA1173" s="32"/>
      <c r="AB1173" s="32"/>
      <c r="AC1173" s="32"/>
      <c r="AD1173" s="32"/>
      <c r="AE1173" s="32"/>
      <c r="AF1173" s="32"/>
      <c r="AG1173" s="32"/>
      <c r="AH1173" s="32" t="b">
        <f>IFERROR(__xludf.DUMMYFUNCTION("""COMPUTED_VALUE"""),FALSE)</f>
        <v>0</v>
      </c>
      <c r="AI1173" s="32"/>
      <c r="AJ1173" s="32"/>
      <c r="AK1173" s="32"/>
      <c r="AL1173" s="32"/>
      <c r="AM1173" s="32"/>
      <c r="AN1173" s="32"/>
      <c r="AO1173" s="32"/>
      <c r="AP1173" s="32"/>
      <c r="AQ1173" s="32"/>
      <c r="AR1173" s="32"/>
      <c r="AS1173" s="32"/>
      <c r="AT1173" s="32"/>
      <c r="AU1173" s="32"/>
      <c r="AV1173" s="32"/>
      <c r="AW1173" s="32"/>
      <c r="AX1173" s="32"/>
    </row>
    <row r="1174">
      <c r="A1174" s="32"/>
      <c r="B1174" s="32"/>
      <c r="C1174" s="32"/>
      <c r="D1174" s="32"/>
      <c r="E1174" s="32">
        <f>IFERROR(__xludf.DUMMYFUNCTION("""COMPUTED_VALUE"""),1.0)</f>
        <v>1</v>
      </c>
      <c r="F1174" s="44">
        <f>IFERROR(__xludf.DUMMYFUNCTION("""COMPUTED_VALUE"""),0.0)</f>
        <v>0</v>
      </c>
      <c r="G1174" s="32"/>
      <c r="H1174" s="32"/>
      <c r="I1174" s="32"/>
      <c r="J1174" s="32"/>
      <c r="K1174" s="32"/>
      <c r="L1174" s="32"/>
      <c r="M1174" s="32"/>
      <c r="N1174" s="32"/>
      <c r="O1174" s="32"/>
      <c r="P1174" s="32"/>
      <c r="Q1174" s="32"/>
      <c r="R1174" s="32"/>
      <c r="S1174" s="32"/>
      <c r="T1174" s="32"/>
      <c r="U1174" s="32"/>
      <c r="V1174" s="32"/>
      <c r="W1174" s="32"/>
      <c r="X1174" s="32"/>
      <c r="Y1174" s="32"/>
      <c r="Z1174" s="32"/>
      <c r="AA1174" s="32"/>
      <c r="AB1174" s="32"/>
      <c r="AC1174" s="32"/>
      <c r="AD1174" s="32"/>
      <c r="AE1174" s="32"/>
      <c r="AF1174" s="32"/>
      <c r="AG1174" s="32"/>
      <c r="AH1174" s="32" t="b">
        <f>IFERROR(__xludf.DUMMYFUNCTION("""COMPUTED_VALUE"""),FALSE)</f>
        <v>0</v>
      </c>
      <c r="AI1174" s="32"/>
      <c r="AJ1174" s="32"/>
      <c r="AK1174" s="32"/>
      <c r="AL1174" s="32"/>
      <c r="AM1174" s="32"/>
      <c r="AN1174" s="32"/>
      <c r="AO1174" s="32"/>
      <c r="AP1174" s="32"/>
      <c r="AQ1174" s="32"/>
      <c r="AR1174" s="32"/>
      <c r="AS1174" s="32"/>
      <c r="AT1174" s="32"/>
      <c r="AU1174" s="32"/>
      <c r="AV1174" s="32"/>
      <c r="AW1174" s="32"/>
      <c r="AX1174" s="32"/>
    </row>
    <row r="1175">
      <c r="A1175" s="32"/>
      <c r="B1175" s="32"/>
      <c r="C1175" s="32"/>
      <c r="D1175" s="32"/>
      <c r="E1175" s="32">
        <f>IFERROR(__xludf.DUMMYFUNCTION("""COMPUTED_VALUE"""),1.0)</f>
        <v>1</v>
      </c>
      <c r="F1175" s="44">
        <f>IFERROR(__xludf.DUMMYFUNCTION("""COMPUTED_VALUE"""),0.0)</f>
        <v>0</v>
      </c>
      <c r="G1175" s="32"/>
      <c r="H1175" s="32"/>
      <c r="I1175" s="32"/>
      <c r="J1175" s="32"/>
      <c r="K1175" s="32"/>
      <c r="L1175" s="32"/>
      <c r="M1175" s="32"/>
      <c r="N1175" s="32"/>
      <c r="O1175" s="32"/>
      <c r="P1175" s="32"/>
      <c r="Q1175" s="32"/>
      <c r="R1175" s="32"/>
      <c r="S1175" s="32"/>
      <c r="T1175" s="32"/>
      <c r="U1175" s="32"/>
      <c r="V1175" s="32"/>
      <c r="W1175" s="32"/>
      <c r="X1175" s="32"/>
      <c r="Y1175" s="32"/>
      <c r="Z1175" s="32"/>
      <c r="AA1175" s="32"/>
      <c r="AB1175" s="32"/>
      <c r="AC1175" s="32"/>
      <c r="AD1175" s="32"/>
      <c r="AE1175" s="32"/>
      <c r="AF1175" s="32"/>
      <c r="AG1175" s="32"/>
      <c r="AH1175" s="32" t="b">
        <f>IFERROR(__xludf.DUMMYFUNCTION("""COMPUTED_VALUE"""),FALSE)</f>
        <v>0</v>
      </c>
      <c r="AI1175" s="32"/>
      <c r="AJ1175" s="32"/>
      <c r="AK1175" s="32"/>
      <c r="AL1175" s="32"/>
      <c r="AM1175" s="32"/>
      <c r="AN1175" s="32"/>
      <c r="AO1175" s="32"/>
      <c r="AP1175" s="32"/>
      <c r="AQ1175" s="32"/>
      <c r="AR1175" s="32"/>
      <c r="AS1175" s="32"/>
      <c r="AT1175" s="32"/>
      <c r="AU1175" s="32"/>
      <c r="AV1175" s="32"/>
      <c r="AW1175" s="32"/>
      <c r="AX1175" s="32"/>
    </row>
    <row r="1176">
      <c r="A1176" s="32"/>
      <c r="B1176" s="32"/>
      <c r="C1176" s="32"/>
      <c r="D1176" s="32"/>
      <c r="E1176" s="32">
        <f>IFERROR(__xludf.DUMMYFUNCTION("""COMPUTED_VALUE"""),1.0)</f>
        <v>1</v>
      </c>
      <c r="F1176" s="44">
        <f>IFERROR(__xludf.DUMMYFUNCTION("""COMPUTED_VALUE"""),0.0)</f>
        <v>0</v>
      </c>
      <c r="G1176" s="32"/>
      <c r="H1176" s="32"/>
      <c r="I1176" s="32"/>
      <c r="J1176" s="32"/>
      <c r="K1176" s="32"/>
      <c r="L1176" s="32"/>
      <c r="M1176" s="32"/>
      <c r="N1176" s="32"/>
      <c r="O1176" s="32"/>
      <c r="P1176" s="32"/>
      <c r="Q1176" s="32"/>
      <c r="R1176" s="32"/>
      <c r="S1176" s="32"/>
      <c r="T1176" s="32"/>
      <c r="U1176" s="32"/>
      <c r="V1176" s="32"/>
      <c r="W1176" s="32"/>
      <c r="X1176" s="32"/>
      <c r="Y1176" s="32"/>
      <c r="Z1176" s="32"/>
      <c r="AA1176" s="32"/>
      <c r="AB1176" s="32"/>
      <c r="AC1176" s="32"/>
      <c r="AD1176" s="32"/>
      <c r="AE1176" s="32"/>
      <c r="AF1176" s="32"/>
      <c r="AG1176" s="32"/>
      <c r="AH1176" s="32" t="b">
        <f>IFERROR(__xludf.DUMMYFUNCTION("""COMPUTED_VALUE"""),FALSE)</f>
        <v>0</v>
      </c>
      <c r="AI1176" s="32"/>
      <c r="AJ1176" s="32"/>
      <c r="AK1176" s="32"/>
      <c r="AL1176" s="32"/>
      <c r="AM1176" s="32"/>
      <c r="AN1176" s="32"/>
      <c r="AO1176" s="32"/>
      <c r="AP1176" s="32"/>
      <c r="AQ1176" s="32"/>
      <c r="AR1176" s="32"/>
      <c r="AS1176" s="32"/>
      <c r="AT1176" s="32"/>
      <c r="AU1176" s="32"/>
      <c r="AV1176" s="32"/>
      <c r="AW1176" s="32"/>
      <c r="AX1176" s="32"/>
    </row>
    <row r="1177">
      <c r="A1177" s="32"/>
      <c r="B1177" s="32"/>
      <c r="C1177" s="32"/>
      <c r="D1177" s="32"/>
      <c r="E1177" s="32">
        <f>IFERROR(__xludf.DUMMYFUNCTION("""COMPUTED_VALUE"""),1.0)</f>
        <v>1</v>
      </c>
      <c r="F1177" s="44">
        <f>IFERROR(__xludf.DUMMYFUNCTION("""COMPUTED_VALUE"""),0.0)</f>
        <v>0</v>
      </c>
      <c r="G1177" s="32"/>
      <c r="H1177" s="32"/>
      <c r="I1177" s="32"/>
      <c r="J1177" s="32"/>
      <c r="K1177" s="32"/>
      <c r="L1177" s="32"/>
      <c r="M1177" s="32"/>
      <c r="N1177" s="32"/>
      <c r="O1177" s="32"/>
      <c r="P1177" s="32"/>
      <c r="Q1177" s="32"/>
      <c r="R1177" s="32"/>
      <c r="S1177" s="32"/>
      <c r="T1177" s="32"/>
      <c r="U1177" s="32"/>
      <c r="V1177" s="32"/>
      <c r="W1177" s="32"/>
      <c r="X1177" s="32"/>
      <c r="Y1177" s="32"/>
      <c r="Z1177" s="32"/>
      <c r="AA1177" s="32"/>
      <c r="AB1177" s="32"/>
      <c r="AC1177" s="32"/>
      <c r="AD1177" s="32"/>
      <c r="AE1177" s="32"/>
      <c r="AF1177" s="32"/>
      <c r="AG1177" s="32"/>
      <c r="AH1177" s="32" t="b">
        <f>IFERROR(__xludf.DUMMYFUNCTION("""COMPUTED_VALUE"""),FALSE)</f>
        <v>0</v>
      </c>
      <c r="AI1177" s="32"/>
      <c r="AJ1177" s="32"/>
      <c r="AK1177" s="32"/>
      <c r="AL1177" s="32"/>
      <c r="AM1177" s="32"/>
      <c r="AN1177" s="32"/>
      <c r="AO1177" s="32"/>
      <c r="AP1177" s="32"/>
      <c r="AQ1177" s="32"/>
      <c r="AR1177" s="32"/>
      <c r="AS1177" s="32"/>
      <c r="AT1177" s="32"/>
      <c r="AU1177" s="32"/>
      <c r="AV1177" s="32"/>
      <c r="AW1177" s="32"/>
      <c r="AX1177" s="32"/>
    </row>
    <row r="1178">
      <c r="A1178" s="32"/>
      <c r="B1178" s="32"/>
      <c r="C1178" s="32"/>
      <c r="D1178" s="32"/>
      <c r="E1178" s="32">
        <f>IFERROR(__xludf.DUMMYFUNCTION("""COMPUTED_VALUE"""),1.0)</f>
        <v>1</v>
      </c>
      <c r="F1178" s="44">
        <f>IFERROR(__xludf.DUMMYFUNCTION("""COMPUTED_VALUE"""),0.0)</f>
        <v>0</v>
      </c>
      <c r="G1178" s="32"/>
      <c r="H1178" s="32"/>
      <c r="I1178" s="32"/>
      <c r="J1178" s="32"/>
      <c r="K1178" s="32"/>
      <c r="L1178" s="32"/>
      <c r="M1178" s="32"/>
      <c r="N1178" s="32"/>
      <c r="O1178" s="32"/>
      <c r="P1178" s="32"/>
      <c r="Q1178" s="32"/>
      <c r="R1178" s="32"/>
      <c r="S1178" s="32"/>
      <c r="T1178" s="32"/>
      <c r="U1178" s="32"/>
      <c r="V1178" s="32"/>
      <c r="W1178" s="32"/>
      <c r="X1178" s="32"/>
      <c r="Y1178" s="32"/>
      <c r="Z1178" s="32"/>
      <c r="AA1178" s="32"/>
      <c r="AB1178" s="32"/>
      <c r="AC1178" s="32"/>
      <c r="AD1178" s="32"/>
      <c r="AE1178" s="32"/>
      <c r="AF1178" s="32"/>
      <c r="AG1178" s="32"/>
      <c r="AH1178" s="32" t="b">
        <f>IFERROR(__xludf.DUMMYFUNCTION("""COMPUTED_VALUE"""),FALSE)</f>
        <v>0</v>
      </c>
      <c r="AI1178" s="32"/>
      <c r="AJ1178" s="32"/>
      <c r="AK1178" s="32"/>
      <c r="AL1178" s="32"/>
      <c r="AM1178" s="32"/>
      <c r="AN1178" s="32"/>
      <c r="AO1178" s="32"/>
      <c r="AP1178" s="32"/>
      <c r="AQ1178" s="32"/>
      <c r="AR1178" s="32"/>
      <c r="AS1178" s="32"/>
      <c r="AT1178" s="32"/>
      <c r="AU1178" s="32"/>
      <c r="AV1178" s="32"/>
      <c r="AW1178" s="32"/>
      <c r="AX1178" s="32"/>
    </row>
    <row r="1179">
      <c r="A1179" s="32"/>
      <c r="B1179" s="32"/>
      <c r="C1179" s="32"/>
      <c r="D1179" s="32"/>
      <c r="E1179" s="32">
        <f>IFERROR(__xludf.DUMMYFUNCTION("""COMPUTED_VALUE"""),1.0)</f>
        <v>1</v>
      </c>
      <c r="F1179" s="44">
        <f>IFERROR(__xludf.DUMMYFUNCTION("""COMPUTED_VALUE"""),0.0)</f>
        <v>0</v>
      </c>
      <c r="G1179" s="32"/>
      <c r="H1179" s="32"/>
      <c r="I1179" s="32"/>
      <c r="J1179" s="32"/>
      <c r="K1179" s="32"/>
      <c r="L1179" s="32"/>
      <c r="M1179" s="32"/>
      <c r="N1179" s="32"/>
      <c r="O1179" s="32"/>
      <c r="P1179" s="32"/>
      <c r="Q1179" s="32"/>
      <c r="R1179" s="32"/>
      <c r="S1179" s="32"/>
      <c r="T1179" s="32"/>
      <c r="U1179" s="32"/>
      <c r="V1179" s="32"/>
      <c r="W1179" s="32"/>
      <c r="X1179" s="32"/>
      <c r="Y1179" s="32"/>
      <c r="Z1179" s="32"/>
      <c r="AA1179" s="32"/>
      <c r="AB1179" s="32"/>
      <c r="AC1179" s="32"/>
      <c r="AD1179" s="32"/>
      <c r="AE1179" s="32"/>
      <c r="AF1179" s="32"/>
      <c r="AG1179" s="32"/>
      <c r="AH1179" s="32" t="b">
        <f>IFERROR(__xludf.DUMMYFUNCTION("""COMPUTED_VALUE"""),FALSE)</f>
        <v>0</v>
      </c>
      <c r="AI1179" s="32"/>
      <c r="AJ1179" s="32"/>
      <c r="AK1179" s="32"/>
      <c r="AL1179" s="32"/>
      <c r="AM1179" s="32"/>
      <c r="AN1179" s="32"/>
      <c r="AO1179" s="32"/>
      <c r="AP1179" s="32"/>
      <c r="AQ1179" s="32"/>
      <c r="AR1179" s="32"/>
      <c r="AS1179" s="32"/>
      <c r="AT1179" s="32"/>
      <c r="AU1179" s="32"/>
      <c r="AV1179" s="32"/>
      <c r="AW1179" s="32"/>
      <c r="AX1179" s="32"/>
    </row>
    <row r="1180">
      <c r="A1180" s="32"/>
      <c r="B1180" s="32"/>
      <c r="C1180" s="32"/>
      <c r="D1180" s="32"/>
      <c r="E1180" s="32">
        <f>IFERROR(__xludf.DUMMYFUNCTION("""COMPUTED_VALUE"""),1.0)</f>
        <v>1</v>
      </c>
      <c r="F1180" s="44">
        <f>IFERROR(__xludf.DUMMYFUNCTION("""COMPUTED_VALUE"""),0.0)</f>
        <v>0</v>
      </c>
      <c r="G1180" s="32"/>
      <c r="H1180" s="32"/>
      <c r="I1180" s="32"/>
      <c r="J1180" s="32"/>
      <c r="K1180" s="32"/>
      <c r="L1180" s="32"/>
      <c r="M1180" s="32"/>
      <c r="N1180" s="32"/>
      <c r="O1180" s="32"/>
      <c r="P1180" s="32"/>
      <c r="Q1180" s="32"/>
      <c r="R1180" s="32"/>
      <c r="S1180" s="32"/>
      <c r="T1180" s="32"/>
      <c r="U1180" s="32"/>
      <c r="V1180" s="32"/>
      <c r="W1180" s="32"/>
      <c r="X1180" s="32"/>
      <c r="Y1180" s="32"/>
      <c r="Z1180" s="32"/>
      <c r="AA1180" s="32"/>
      <c r="AB1180" s="32"/>
      <c r="AC1180" s="32"/>
      <c r="AD1180" s="32"/>
      <c r="AE1180" s="32"/>
      <c r="AF1180" s="32"/>
      <c r="AG1180" s="32"/>
      <c r="AH1180" s="32" t="b">
        <f>IFERROR(__xludf.DUMMYFUNCTION("""COMPUTED_VALUE"""),FALSE)</f>
        <v>0</v>
      </c>
      <c r="AI1180" s="32"/>
      <c r="AJ1180" s="32"/>
      <c r="AK1180" s="32"/>
      <c r="AL1180" s="32"/>
      <c r="AM1180" s="32"/>
      <c r="AN1180" s="32"/>
      <c r="AO1180" s="32"/>
      <c r="AP1180" s="32"/>
      <c r="AQ1180" s="32"/>
      <c r="AR1180" s="32"/>
      <c r="AS1180" s="32"/>
      <c r="AT1180" s="32"/>
      <c r="AU1180" s="32"/>
      <c r="AV1180" s="32"/>
      <c r="AW1180" s="32"/>
      <c r="AX1180" s="32"/>
    </row>
    <row r="1181">
      <c r="A1181" s="32"/>
      <c r="B1181" s="32"/>
      <c r="C1181" s="32"/>
      <c r="D1181" s="32"/>
      <c r="E1181" s="32">
        <f>IFERROR(__xludf.DUMMYFUNCTION("""COMPUTED_VALUE"""),1.0)</f>
        <v>1</v>
      </c>
      <c r="F1181" s="44">
        <f>IFERROR(__xludf.DUMMYFUNCTION("""COMPUTED_VALUE"""),0.0)</f>
        <v>0</v>
      </c>
      <c r="G1181" s="32"/>
      <c r="H1181" s="32"/>
      <c r="I1181" s="32"/>
      <c r="J1181" s="32"/>
      <c r="K1181" s="32"/>
      <c r="L1181" s="32"/>
      <c r="M1181" s="32"/>
      <c r="N1181" s="32"/>
      <c r="O1181" s="32"/>
      <c r="P1181" s="32"/>
      <c r="Q1181" s="32"/>
      <c r="R1181" s="32"/>
      <c r="S1181" s="32"/>
      <c r="T1181" s="32"/>
      <c r="U1181" s="32"/>
      <c r="V1181" s="32"/>
      <c r="W1181" s="32"/>
      <c r="X1181" s="32"/>
      <c r="Y1181" s="32"/>
      <c r="Z1181" s="32"/>
      <c r="AA1181" s="32"/>
      <c r="AB1181" s="32"/>
      <c r="AC1181" s="32"/>
      <c r="AD1181" s="32"/>
      <c r="AE1181" s="32"/>
      <c r="AF1181" s="32"/>
      <c r="AG1181" s="32"/>
      <c r="AH1181" s="32" t="b">
        <f>IFERROR(__xludf.DUMMYFUNCTION("""COMPUTED_VALUE"""),FALSE)</f>
        <v>0</v>
      </c>
      <c r="AI1181" s="32"/>
      <c r="AJ1181" s="32"/>
      <c r="AK1181" s="32"/>
      <c r="AL1181" s="32"/>
      <c r="AM1181" s="32"/>
      <c r="AN1181" s="32"/>
      <c r="AO1181" s="32"/>
      <c r="AP1181" s="32"/>
      <c r="AQ1181" s="32"/>
      <c r="AR1181" s="32"/>
      <c r="AS1181" s="32"/>
      <c r="AT1181" s="32"/>
      <c r="AU1181" s="32"/>
      <c r="AV1181" s="32"/>
      <c r="AW1181" s="32"/>
      <c r="AX1181" s="32"/>
    </row>
    <row r="1182">
      <c r="A1182" s="32"/>
      <c r="B1182" s="32"/>
      <c r="C1182" s="32"/>
      <c r="D1182" s="32"/>
      <c r="E1182" s="32">
        <f>IFERROR(__xludf.DUMMYFUNCTION("""COMPUTED_VALUE"""),1.0)</f>
        <v>1</v>
      </c>
      <c r="F1182" s="44">
        <f>IFERROR(__xludf.DUMMYFUNCTION("""COMPUTED_VALUE"""),0.0)</f>
        <v>0</v>
      </c>
      <c r="G1182" s="32"/>
      <c r="H1182" s="32"/>
      <c r="I1182" s="32"/>
      <c r="J1182" s="32"/>
      <c r="K1182" s="32"/>
      <c r="L1182" s="32"/>
      <c r="M1182" s="32"/>
      <c r="N1182" s="32"/>
      <c r="O1182" s="32"/>
      <c r="P1182" s="32"/>
      <c r="Q1182" s="32"/>
      <c r="R1182" s="32"/>
      <c r="S1182" s="32"/>
      <c r="T1182" s="32"/>
      <c r="U1182" s="32"/>
      <c r="V1182" s="32"/>
      <c r="W1182" s="32"/>
      <c r="X1182" s="32"/>
      <c r="Y1182" s="32"/>
      <c r="Z1182" s="32"/>
      <c r="AA1182" s="32"/>
      <c r="AB1182" s="32"/>
      <c r="AC1182" s="32"/>
      <c r="AD1182" s="32"/>
      <c r="AE1182" s="32"/>
      <c r="AF1182" s="32"/>
      <c r="AG1182" s="32"/>
      <c r="AH1182" s="32" t="b">
        <f>IFERROR(__xludf.DUMMYFUNCTION("""COMPUTED_VALUE"""),FALSE)</f>
        <v>0</v>
      </c>
      <c r="AI1182" s="32"/>
      <c r="AJ1182" s="32"/>
      <c r="AK1182" s="32"/>
      <c r="AL1182" s="32"/>
      <c r="AM1182" s="32"/>
      <c r="AN1182" s="32"/>
      <c r="AO1182" s="32"/>
      <c r="AP1182" s="32"/>
      <c r="AQ1182" s="32"/>
      <c r="AR1182" s="32"/>
      <c r="AS1182" s="32"/>
      <c r="AT1182" s="32"/>
      <c r="AU1182" s="32"/>
      <c r="AV1182" s="32"/>
      <c r="AW1182" s="32"/>
      <c r="AX1182" s="32"/>
    </row>
    <row r="1183">
      <c r="A1183" s="32"/>
      <c r="B1183" s="32"/>
      <c r="C1183" s="32"/>
      <c r="D1183" s="32"/>
      <c r="E1183" s="32">
        <f>IFERROR(__xludf.DUMMYFUNCTION("""COMPUTED_VALUE"""),1.0)</f>
        <v>1</v>
      </c>
      <c r="F1183" s="44">
        <f>IFERROR(__xludf.DUMMYFUNCTION("""COMPUTED_VALUE"""),0.0)</f>
        <v>0</v>
      </c>
      <c r="G1183" s="32"/>
      <c r="H1183" s="32"/>
      <c r="I1183" s="32"/>
      <c r="J1183" s="32"/>
      <c r="K1183" s="32"/>
      <c r="L1183" s="32"/>
      <c r="M1183" s="32"/>
      <c r="N1183" s="32"/>
      <c r="O1183" s="32"/>
      <c r="P1183" s="32"/>
      <c r="Q1183" s="32"/>
      <c r="R1183" s="32"/>
      <c r="S1183" s="32"/>
      <c r="T1183" s="32"/>
      <c r="U1183" s="32"/>
      <c r="V1183" s="32"/>
      <c r="W1183" s="32"/>
      <c r="X1183" s="32"/>
      <c r="Y1183" s="32"/>
      <c r="Z1183" s="32"/>
      <c r="AA1183" s="32"/>
      <c r="AB1183" s="32"/>
      <c r="AC1183" s="32"/>
      <c r="AD1183" s="32"/>
      <c r="AE1183" s="32"/>
      <c r="AF1183" s="32"/>
      <c r="AG1183" s="32"/>
      <c r="AH1183" s="32" t="b">
        <f>IFERROR(__xludf.DUMMYFUNCTION("""COMPUTED_VALUE"""),FALSE)</f>
        <v>0</v>
      </c>
      <c r="AI1183" s="32"/>
      <c r="AJ1183" s="32"/>
      <c r="AK1183" s="32"/>
      <c r="AL1183" s="32"/>
      <c r="AM1183" s="32"/>
      <c r="AN1183" s="32"/>
      <c r="AO1183" s="32"/>
      <c r="AP1183" s="32"/>
      <c r="AQ1183" s="32"/>
      <c r="AR1183" s="32"/>
      <c r="AS1183" s="32"/>
      <c r="AT1183" s="32"/>
      <c r="AU1183" s="32"/>
      <c r="AV1183" s="32"/>
      <c r="AW1183" s="32"/>
      <c r="AX1183" s="32"/>
    </row>
    <row r="1184">
      <c r="A1184" s="32"/>
      <c r="B1184" s="32"/>
      <c r="C1184" s="32"/>
      <c r="D1184" s="32"/>
      <c r="E1184" s="32">
        <f>IFERROR(__xludf.DUMMYFUNCTION("""COMPUTED_VALUE"""),1.0)</f>
        <v>1</v>
      </c>
      <c r="F1184" s="44">
        <f>IFERROR(__xludf.DUMMYFUNCTION("""COMPUTED_VALUE"""),0.0)</f>
        <v>0</v>
      </c>
      <c r="G1184" s="32"/>
      <c r="H1184" s="32"/>
      <c r="I1184" s="32"/>
      <c r="J1184" s="32"/>
      <c r="K1184" s="32"/>
      <c r="L1184" s="32"/>
      <c r="M1184" s="32"/>
      <c r="N1184" s="32"/>
      <c r="O1184" s="32"/>
      <c r="P1184" s="32"/>
      <c r="Q1184" s="32"/>
      <c r="R1184" s="32"/>
      <c r="S1184" s="32"/>
      <c r="T1184" s="32"/>
      <c r="U1184" s="32"/>
      <c r="V1184" s="32"/>
      <c r="W1184" s="32"/>
      <c r="X1184" s="32"/>
      <c r="Y1184" s="32"/>
      <c r="Z1184" s="32"/>
      <c r="AA1184" s="32"/>
      <c r="AB1184" s="32"/>
      <c r="AC1184" s="32"/>
      <c r="AD1184" s="32"/>
      <c r="AE1184" s="32"/>
      <c r="AF1184" s="32"/>
      <c r="AG1184" s="32"/>
      <c r="AH1184" s="32" t="b">
        <f>IFERROR(__xludf.DUMMYFUNCTION("""COMPUTED_VALUE"""),FALSE)</f>
        <v>0</v>
      </c>
      <c r="AI1184" s="32"/>
      <c r="AJ1184" s="32"/>
      <c r="AK1184" s="32"/>
      <c r="AL1184" s="32"/>
      <c r="AM1184" s="32"/>
      <c r="AN1184" s="32"/>
      <c r="AO1184" s="32"/>
      <c r="AP1184" s="32"/>
      <c r="AQ1184" s="32"/>
      <c r="AR1184" s="32"/>
      <c r="AS1184" s="32"/>
      <c r="AT1184" s="32"/>
      <c r="AU1184" s="32"/>
      <c r="AV1184" s="32"/>
      <c r="AW1184" s="32"/>
      <c r="AX1184" s="32"/>
    </row>
    <row r="1185">
      <c r="A1185" s="32"/>
      <c r="B1185" s="32"/>
      <c r="C1185" s="32"/>
      <c r="D1185" s="32"/>
      <c r="E1185" s="32">
        <f>IFERROR(__xludf.DUMMYFUNCTION("""COMPUTED_VALUE"""),1.0)</f>
        <v>1</v>
      </c>
      <c r="F1185" s="44">
        <f>IFERROR(__xludf.DUMMYFUNCTION("""COMPUTED_VALUE"""),0.0)</f>
        <v>0</v>
      </c>
      <c r="G1185" s="32"/>
      <c r="H1185" s="32"/>
      <c r="I1185" s="32"/>
      <c r="J1185" s="32"/>
      <c r="K1185" s="32"/>
      <c r="L1185" s="32"/>
      <c r="M1185" s="32"/>
      <c r="N1185" s="32"/>
      <c r="O1185" s="32"/>
      <c r="P1185" s="32"/>
      <c r="Q1185" s="32"/>
      <c r="R1185" s="32"/>
      <c r="S1185" s="32"/>
      <c r="T1185" s="32"/>
      <c r="U1185" s="32"/>
      <c r="V1185" s="32"/>
      <c r="W1185" s="32"/>
      <c r="X1185" s="32"/>
      <c r="Y1185" s="32"/>
      <c r="Z1185" s="32"/>
      <c r="AA1185" s="32"/>
      <c r="AB1185" s="32"/>
      <c r="AC1185" s="32"/>
      <c r="AD1185" s="32"/>
      <c r="AE1185" s="32"/>
      <c r="AF1185" s="32"/>
      <c r="AG1185" s="32"/>
      <c r="AH1185" s="32" t="b">
        <f>IFERROR(__xludf.DUMMYFUNCTION("""COMPUTED_VALUE"""),FALSE)</f>
        <v>0</v>
      </c>
      <c r="AI1185" s="32"/>
      <c r="AJ1185" s="32"/>
      <c r="AK1185" s="32"/>
      <c r="AL1185" s="32"/>
      <c r="AM1185" s="32"/>
      <c r="AN1185" s="32"/>
      <c r="AO1185" s="32"/>
      <c r="AP1185" s="32"/>
      <c r="AQ1185" s="32"/>
      <c r="AR1185" s="32"/>
      <c r="AS1185" s="32"/>
      <c r="AT1185" s="32"/>
      <c r="AU1185" s="32"/>
      <c r="AV1185" s="32"/>
      <c r="AW1185" s="32"/>
      <c r="AX1185" s="32"/>
    </row>
    <row r="1186">
      <c r="A1186" s="32"/>
      <c r="B1186" s="32"/>
      <c r="C1186" s="32"/>
      <c r="D1186" s="32"/>
      <c r="E1186" s="32">
        <f>IFERROR(__xludf.DUMMYFUNCTION("""COMPUTED_VALUE"""),1.0)</f>
        <v>1</v>
      </c>
      <c r="F1186" s="44">
        <f>IFERROR(__xludf.DUMMYFUNCTION("""COMPUTED_VALUE"""),0.0)</f>
        <v>0</v>
      </c>
      <c r="G1186" s="32"/>
      <c r="H1186" s="32"/>
      <c r="I1186" s="32"/>
      <c r="J1186" s="32"/>
      <c r="K1186" s="32"/>
      <c r="L1186" s="32"/>
      <c r="M1186" s="32"/>
      <c r="N1186" s="32"/>
      <c r="O1186" s="32"/>
      <c r="P1186" s="32"/>
      <c r="Q1186" s="32"/>
      <c r="R1186" s="32"/>
      <c r="S1186" s="32"/>
      <c r="T1186" s="32"/>
      <c r="U1186" s="32"/>
      <c r="V1186" s="32"/>
      <c r="W1186" s="32"/>
      <c r="X1186" s="32"/>
      <c r="Y1186" s="32"/>
      <c r="Z1186" s="32"/>
      <c r="AA1186" s="32"/>
      <c r="AB1186" s="32"/>
      <c r="AC1186" s="32"/>
      <c r="AD1186" s="32"/>
      <c r="AE1186" s="32"/>
      <c r="AF1186" s="32"/>
      <c r="AG1186" s="32"/>
      <c r="AH1186" s="32" t="b">
        <f>IFERROR(__xludf.DUMMYFUNCTION("""COMPUTED_VALUE"""),FALSE)</f>
        <v>0</v>
      </c>
      <c r="AI1186" s="32"/>
      <c r="AJ1186" s="32"/>
      <c r="AK1186" s="32"/>
      <c r="AL1186" s="32"/>
      <c r="AM1186" s="32"/>
      <c r="AN1186" s="32"/>
      <c r="AO1186" s="32"/>
      <c r="AP1186" s="32"/>
      <c r="AQ1186" s="32"/>
      <c r="AR1186" s="32"/>
      <c r="AS1186" s="32"/>
      <c r="AT1186" s="32"/>
      <c r="AU1186" s="32"/>
      <c r="AV1186" s="32"/>
      <c r="AW1186" s="32"/>
      <c r="AX1186" s="32"/>
    </row>
    <row r="1187">
      <c r="A1187" s="32"/>
      <c r="B1187" s="32"/>
      <c r="C1187" s="32"/>
      <c r="D1187" s="32"/>
      <c r="E1187" s="32">
        <f>IFERROR(__xludf.DUMMYFUNCTION("""COMPUTED_VALUE"""),1.0)</f>
        <v>1</v>
      </c>
      <c r="F1187" s="44">
        <f>IFERROR(__xludf.DUMMYFUNCTION("""COMPUTED_VALUE"""),0.0)</f>
        <v>0</v>
      </c>
      <c r="G1187" s="32"/>
      <c r="H1187" s="32"/>
      <c r="I1187" s="32"/>
      <c r="J1187" s="32"/>
      <c r="K1187" s="32"/>
      <c r="L1187" s="32"/>
      <c r="M1187" s="32"/>
      <c r="N1187" s="32"/>
      <c r="O1187" s="32"/>
      <c r="P1187" s="32"/>
      <c r="Q1187" s="32"/>
      <c r="R1187" s="32"/>
      <c r="S1187" s="32"/>
      <c r="T1187" s="32"/>
      <c r="U1187" s="32"/>
      <c r="V1187" s="32"/>
      <c r="W1187" s="32"/>
      <c r="X1187" s="32"/>
      <c r="Y1187" s="32"/>
      <c r="Z1187" s="32"/>
      <c r="AA1187" s="32"/>
      <c r="AB1187" s="32"/>
      <c r="AC1187" s="32"/>
      <c r="AD1187" s="32"/>
      <c r="AE1187" s="32"/>
      <c r="AF1187" s="32"/>
      <c r="AG1187" s="32"/>
      <c r="AH1187" s="32" t="b">
        <f>IFERROR(__xludf.DUMMYFUNCTION("""COMPUTED_VALUE"""),FALSE)</f>
        <v>0</v>
      </c>
      <c r="AI1187" s="32"/>
      <c r="AJ1187" s="32"/>
      <c r="AK1187" s="32"/>
      <c r="AL1187" s="32"/>
      <c r="AM1187" s="32"/>
      <c r="AN1187" s="32"/>
      <c r="AO1187" s="32"/>
      <c r="AP1187" s="32"/>
      <c r="AQ1187" s="32"/>
      <c r="AR1187" s="32"/>
      <c r="AS1187" s="32"/>
      <c r="AT1187" s="32"/>
      <c r="AU1187" s="32"/>
      <c r="AV1187" s="32"/>
      <c r="AW1187" s="32"/>
      <c r="AX1187" s="32"/>
    </row>
    <row r="1188">
      <c r="A1188" s="32"/>
      <c r="B1188" s="32"/>
      <c r="C1188" s="32"/>
      <c r="D1188" s="32"/>
      <c r="E1188" s="32">
        <f>IFERROR(__xludf.DUMMYFUNCTION("""COMPUTED_VALUE"""),1.0)</f>
        <v>1</v>
      </c>
      <c r="F1188" s="44">
        <f>IFERROR(__xludf.DUMMYFUNCTION("""COMPUTED_VALUE"""),0.0)</f>
        <v>0</v>
      </c>
      <c r="G1188" s="32"/>
      <c r="H1188" s="32"/>
      <c r="I1188" s="32"/>
      <c r="J1188" s="32"/>
      <c r="K1188" s="32"/>
      <c r="L1188" s="32"/>
      <c r="M1188" s="32"/>
      <c r="N1188" s="32"/>
      <c r="O1188" s="32"/>
      <c r="P1188" s="32"/>
      <c r="Q1188" s="32"/>
      <c r="R1188" s="32"/>
      <c r="S1188" s="32"/>
      <c r="T1188" s="32"/>
      <c r="U1188" s="32"/>
      <c r="V1188" s="32"/>
      <c r="W1188" s="32"/>
      <c r="X1188" s="32"/>
      <c r="Y1188" s="32"/>
      <c r="Z1188" s="32"/>
      <c r="AA1188" s="32"/>
      <c r="AB1188" s="32"/>
      <c r="AC1188" s="32"/>
      <c r="AD1188" s="32"/>
      <c r="AE1188" s="32"/>
      <c r="AF1188" s="32"/>
      <c r="AG1188" s="32"/>
      <c r="AH1188" s="32" t="b">
        <f>IFERROR(__xludf.DUMMYFUNCTION("""COMPUTED_VALUE"""),FALSE)</f>
        <v>0</v>
      </c>
      <c r="AI1188" s="32"/>
      <c r="AJ1188" s="32"/>
      <c r="AK1188" s="32"/>
      <c r="AL1188" s="32"/>
      <c r="AM1188" s="32"/>
      <c r="AN1188" s="32"/>
      <c r="AO1188" s="32"/>
      <c r="AP1188" s="32"/>
      <c r="AQ1188" s="32"/>
      <c r="AR1188" s="32"/>
      <c r="AS1188" s="32"/>
      <c r="AT1188" s="32"/>
      <c r="AU1188" s="32"/>
      <c r="AV1188" s="32"/>
      <c r="AW1188" s="32"/>
      <c r="AX1188" s="32"/>
    </row>
    <row r="1189">
      <c r="A1189" s="32"/>
      <c r="B1189" s="32"/>
      <c r="C1189" s="32"/>
      <c r="D1189" s="32"/>
      <c r="E1189" s="32">
        <f>IFERROR(__xludf.DUMMYFUNCTION("""COMPUTED_VALUE"""),1.0)</f>
        <v>1</v>
      </c>
      <c r="F1189" s="44">
        <f>IFERROR(__xludf.DUMMYFUNCTION("""COMPUTED_VALUE"""),0.0)</f>
        <v>0</v>
      </c>
      <c r="G1189" s="32"/>
      <c r="H1189" s="32"/>
      <c r="I1189" s="32"/>
      <c r="J1189" s="32"/>
      <c r="K1189" s="32"/>
      <c r="L1189" s="32"/>
      <c r="M1189" s="32"/>
      <c r="N1189" s="32"/>
      <c r="O1189" s="32"/>
      <c r="P1189" s="32"/>
      <c r="Q1189" s="32"/>
      <c r="R1189" s="32"/>
      <c r="S1189" s="32"/>
      <c r="T1189" s="32"/>
      <c r="U1189" s="32"/>
      <c r="V1189" s="32"/>
      <c r="W1189" s="32"/>
      <c r="X1189" s="32"/>
      <c r="Y1189" s="32"/>
      <c r="Z1189" s="32"/>
      <c r="AA1189" s="32"/>
      <c r="AB1189" s="32"/>
      <c r="AC1189" s="32"/>
      <c r="AD1189" s="32"/>
      <c r="AE1189" s="32"/>
      <c r="AF1189" s="32"/>
      <c r="AG1189" s="32"/>
      <c r="AH1189" s="32" t="b">
        <f>IFERROR(__xludf.DUMMYFUNCTION("""COMPUTED_VALUE"""),FALSE)</f>
        <v>0</v>
      </c>
      <c r="AI1189" s="32"/>
      <c r="AJ1189" s="32"/>
      <c r="AK1189" s="32"/>
      <c r="AL1189" s="32"/>
      <c r="AM1189" s="32"/>
      <c r="AN1189" s="32"/>
      <c r="AO1189" s="32"/>
      <c r="AP1189" s="32"/>
      <c r="AQ1189" s="32"/>
      <c r="AR1189" s="32"/>
      <c r="AS1189" s="32"/>
      <c r="AT1189" s="32"/>
      <c r="AU1189" s="32"/>
      <c r="AV1189" s="32"/>
      <c r="AW1189" s="32"/>
      <c r="AX1189" s="32"/>
    </row>
    <row r="1190">
      <c r="A1190" s="32"/>
      <c r="B1190" s="32"/>
      <c r="C1190" s="32"/>
      <c r="D1190" s="32"/>
      <c r="E1190" s="32">
        <f>IFERROR(__xludf.DUMMYFUNCTION("""COMPUTED_VALUE"""),1.0)</f>
        <v>1</v>
      </c>
      <c r="F1190" s="44">
        <f>IFERROR(__xludf.DUMMYFUNCTION("""COMPUTED_VALUE"""),0.0)</f>
        <v>0</v>
      </c>
      <c r="G1190" s="32"/>
      <c r="H1190" s="32"/>
      <c r="I1190" s="32"/>
      <c r="J1190" s="32"/>
      <c r="K1190" s="32"/>
      <c r="L1190" s="32"/>
      <c r="M1190" s="32"/>
      <c r="N1190" s="32"/>
      <c r="O1190" s="32"/>
      <c r="P1190" s="32"/>
      <c r="Q1190" s="32"/>
      <c r="R1190" s="32"/>
      <c r="S1190" s="32"/>
      <c r="T1190" s="32"/>
      <c r="U1190" s="32"/>
      <c r="V1190" s="32"/>
      <c r="W1190" s="32"/>
      <c r="X1190" s="32"/>
      <c r="Y1190" s="32"/>
      <c r="Z1190" s="32"/>
      <c r="AA1190" s="32"/>
      <c r="AB1190" s="32"/>
      <c r="AC1190" s="32"/>
      <c r="AD1190" s="32"/>
      <c r="AE1190" s="32"/>
      <c r="AF1190" s="32"/>
      <c r="AG1190" s="32"/>
      <c r="AH1190" s="32" t="b">
        <f>IFERROR(__xludf.DUMMYFUNCTION("""COMPUTED_VALUE"""),FALSE)</f>
        <v>0</v>
      </c>
      <c r="AI1190" s="32"/>
      <c r="AJ1190" s="32"/>
      <c r="AK1190" s="32"/>
      <c r="AL1190" s="32"/>
      <c r="AM1190" s="32"/>
      <c r="AN1190" s="32"/>
      <c r="AO1190" s="32"/>
      <c r="AP1190" s="32"/>
      <c r="AQ1190" s="32"/>
      <c r="AR1190" s="32"/>
      <c r="AS1190" s="32"/>
      <c r="AT1190" s="32"/>
      <c r="AU1190" s="32"/>
      <c r="AV1190" s="32"/>
      <c r="AW1190" s="32"/>
      <c r="AX1190" s="32"/>
    </row>
    <row r="1191">
      <c r="A1191" s="32"/>
      <c r="B1191" s="32"/>
      <c r="C1191" s="32"/>
      <c r="D1191" s="32"/>
      <c r="E1191" s="32">
        <f>IFERROR(__xludf.DUMMYFUNCTION("""COMPUTED_VALUE"""),1.0)</f>
        <v>1</v>
      </c>
      <c r="F1191" s="44">
        <f>IFERROR(__xludf.DUMMYFUNCTION("""COMPUTED_VALUE"""),0.0)</f>
        <v>0</v>
      </c>
      <c r="G1191" s="32"/>
      <c r="H1191" s="32"/>
      <c r="I1191" s="32"/>
      <c r="J1191" s="32"/>
      <c r="K1191" s="32"/>
      <c r="L1191" s="32"/>
      <c r="M1191" s="32"/>
      <c r="N1191" s="32"/>
      <c r="O1191" s="32"/>
      <c r="P1191" s="32"/>
      <c r="Q1191" s="32"/>
      <c r="R1191" s="32"/>
      <c r="S1191" s="32"/>
      <c r="T1191" s="32"/>
      <c r="U1191" s="32"/>
      <c r="V1191" s="32"/>
      <c r="W1191" s="32"/>
      <c r="X1191" s="32"/>
      <c r="Y1191" s="32"/>
      <c r="Z1191" s="32"/>
      <c r="AA1191" s="32"/>
      <c r="AB1191" s="32"/>
      <c r="AC1191" s="32"/>
      <c r="AD1191" s="32"/>
      <c r="AE1191" s="32"/>
      <c r="AF1191" s="32"/>
      <c r="AG1191" s="32"/>
      <c r="AH1191" s="32" t="b">
        <f>IFERROR(__xludf.DUMMYFUNCTION("""COMPUTED_VALUE"""),FALSE)</f>
        <v>0</v>
      </c>
      <c r="AI1191" s="32"/>
      <c r="AJ1191" s="32"/>
      <c r="AK1191" s="32"/>
      <c r="AL1191" s="32"/>
      <c r="AM1191" s="32"/>
      <c r="AN1191" s="32"/>
      <c r="AO1191" s="32"/>
      <c r="AP1191" s="32"/>
      <c r="AQ1191" s="32"/>
      <c r="AR1191" s="32"/>
      <c r="AS1191" s="32"/>
      <c r="AT1191" s="32"/>
      <c r="AU1191" s="32"/>
      <c r="AV1191" s="32"/>
      <c r="AW1191" s="32"/>
      <c r="AX1191" s="32"/>
    </row>
    <row r="1192">
      <c r="A1192" s="32"/>
      <c r="B1192" s="32"/>
      <c r="C1192" s="32"/>
      <c r="D1192" s="32"/>
      <c r="E1192" s="32">
        <f>IFERROR(__xludf.DUMMYFUNCTION("""COMPUTED_VALUE"""),1.0)</f>
        <v>1</v>
      </c>
      <c r="F1192" s="44">
        <f>IFERROR(__xludf.DUMMYFUNCTION("""COMPUTED_VALUE"""),0.0)</f>
        <v>0</v>
      </c>
      <c r="G1192" s="32"/>
      <c r="H1192" s="32"/>
      <c r="I1192" s="32"/>
      <c r="J1192" s="32"/>
      <c r="K1192" s="32"/>
      <c r="L1192" s="32"/>
      <c r="M1192" s="32"/>
      <c r="N1192" s="32"/>
      <c r="O1192" s="32"/>
      <c r="P1192" s="32"/>
      <c r="Q1192" s="32"/>
      <c r="R1192" s="32"/>
      <c r="S1192" s="32"/>
      <c r="T1192" s="32"/>
      <c r="U1192" s="32"/>
      <c r="V1192" s="32"/>
      <c r="W1192" s="32"/>
      <c r="X1192" s="32"/>
      <c r="Y1192" s="32"/>
      <c r="Z1192" s="32"/>
      <c r="AA1192" s="32"/>
      <c r="AB1192" s="32"/>
      <c r="AC1192" s="32"/>
      <c r="AD1192" s="32"/>
      <c r="AE1192" s="32"/>
      <c r="AF1192" s="32"/>
      <c r="AG1192" s="32"/>
      <c r="AH1192" s="32" t="b">
        <f>IFERROR(__xludf.DUMMYFUNCTION("""COMPUTED_VALUE"""),FALSE)</f>
        <v>0</v>
      </c>
      <c r="AI1192" s="32"/>
      <c r="AJ1192" s="32"/>
      <c r="AK1192" s="32"/>
      <c r="AL1192" s="32"/>
      <c r="AM1192" s="32"/>
      <c r="AN1192" s="32"/>
      <c r="AO1192" s="32"/>
      <c r="AP1192" s="32"/>
      <c r="AQ1192" s="32"/>
      <c r="AR1192" s="32"/>
      <c r="AS1192" s="32"/>
      <c r="AT1192" s="32"/>
      <c r="AU1192" s="32"/>
      <c r="AV1192" s="32"/>
      <c r="AW1192" s="32"/>
      <c r="AX1192" s="32"/>
    </row>
    <row r="1193">
      <c r="A1193" s="32"/>
      <c r="B1193" s="32"/>
      <c r="C1193" s="32"/>
      <c r="D1193" s="32"/>
      <c r="E1193" s="32">
        <f>IFERROR(__xludf.DUMMYFUNCTION("""COMPUTED_VALUE"""),1.0)</f>
        <v>1</v>
      </c>
      <c r="F1193" s="44">
        <f>IFERROR(__xludf.DUMMYFUNCTION("""COMPUTED_VALUE"""),0.0)</f>
        <v>0</v>
      </c>
      <c r="G1193" s="32"/>
      <c r="H1193" s="32"/>
      <c r="I1193" s="32"/>
      <c r="J1193" s="32"/>
      <c r="K1193" s="32"/>
      <c r="L1193" s="32"/>
      <c r="M1193" s="32"/>
      <c r="N1193" s="32"/>
      <c r="O1193" s="32"/>
      <c r="P1193" s="32"/>
      <c r="Q1193" s="32"/>
      <c r="R1193" s="32"/>
      <c r="S1193" s="32"/>
      <c r="T1193" s="32"/>
      <c r="U1193" s="32"/>
      <c r="V1193" s="32"/>
      <c r="W1193" s="32"/>
      <c r="X1193" s="32"/>
      <c r="Y1193" s="32"/>
      <c r="Z1193" s="32"/>
      <c r="AA1193" s="32"/>
      <c r="AB1193" s="32"/>
      <c r="AC1193" s="32"/>
      <c r="AD1193" s="32"/>
      <c r="AE1193" s="32"/>
      <c r="AF1193" s="32"/>
      <c r="AG1193" s="32"/>
      <c r="AH1193" s="32" t="b">
        <f>IFERROR(__xludf.DUMMYFUNCTION("""COMPUTED_VALUE"""),FALSE)</f>
        <v>0</v>
      </c>
      <c r="AI1193" s="32"/>
      <c r="AJ1193" s="32"/>
      <c r="AK1193" s="32"/>
      <c r="AL1193" s="32"/>
      <c r="AM1193" s="32"/>
      <c r="AN1193" s="32"/>
      <c r="AO1193" s="32"/>
      <c r="AP1193" s="32"/>
      <c r="AQ1193" s="32"/>
      <c r="AR1193" s="32"/>
      <c r="AS1193" s="32"/>
      <c r="AT1193" s="32"/>
      <c r="AU1193" s="32"/>
      <c r="AV1193" s="32"/>
      <c r="AW1193" s="32"/>
      <c r="AX1193" s="32"/>
    </row>
    <row r="1194">
      <c r="A1194" s="32"/>
      <c r="B1194" s="32"/>
      <c r="C1194" s="32"/>
      <c r="D1194" s="32"/>
      <c r="E1194" s="32">
        <f>IFERROR(__xludf.DUMMYFUNCTION("""COMPUTED_VALUE"""),1.0)</f>
        <v>1</v>
      </c>
      <c r="F1194" s="44">
        <f>IFERROR(__xludf.DUMMYFUNCTION("""COMPUTED_VALUE"""),0.0)</f>
        <v>0</v>
      </c>
      <c r="G1194" s="32"/>
      <c r="H1194" s="32"/>
      <c r="I1194" s="32"/>
      <c r="J1194" s="32"/>
      <c r="K1194" s="32"/>
      <c r="L1194" s="32"/>
      <c r="M1194" s="32"/>
      <c r="N1194" s="32"/>
      <c r="O1194" s="32"/>
      <c r="P1194" s="32"/>
      <c r="Q1194" s="32"/>
      <c r="R1194" s="32"/>
      <c r="S1194" s="32"/>
      <c r="T1194" s="32"/>
      <c r="U1194" s="32"/>
      <c r="V1194" s="32"/>
      <c r="W1194" s="32"/>
      <c r="X1194" s="32"/>
      <c r="Y1194" s="32"/>
      <c r="Z1194" s="32"/>
      <c r="AA1194" s="32"/>
      <c r="AB1194" s="32"/>
      <c r="AC1194" s="32"/>
      <c r="AD1194" s="32"/>
      <c r="AE1194" s="32"/>
      <c r="AF1194" s="32"/>
      <c r="AG1194" s="32"/>
      <c r="AH1194" s="32" t="b">
        <f>IFERROR(__xludf.DUMMYFUNCTION("""COMPUTED_VALUE"""),FALSE)</f>
        <v>0</v>
      </c>
      <c r="AI1194" s="32"/>
      <c r="AJ1194" s="32"/>
      <c r="AK1194" s="32"/>
      <c r="AL1194" s="32"/>
      <c r="AM1194" s="32"/>
      <c r="AN1194" s="32"/>
      <c r="AO1194" s="32"/>
      <c r="AP1194" s="32"/>
      <c r="AQ1194" s="32"/>
      <c r="AR1194" s="32"/>
      <c r="AS1194" s="32"/>
      <c r="AT1194" s="32"/>
      <c r="AU1194" s="32"/>
      <c r="AV1194" s="32"/>
      <c r="AW1194" s="32"/>
      <c r="AX1194" s="32"/>
    </row>
    <row r="1195">
      <c r="A1195" s="32"/>
      <c r="B1195" s="32"/>
      <c r="C1195" s="32"/>
      <c r="D1195" s="32"/>
      <c r="E1195" s="32">
        <f>IFERROR(__xludf.DUMMYFUNCTION("""COMPUTED_VALUE"""),1.0)</f>
        <v>1</v>
      </c>
      <c r="F1195" s="44">
        <f>IFERROR(__xludf.DUMMYFUNCTION("""COMPUTED_VALUE"""),0.0)</f>
        <v>0</v>
      </c>
      <c r="G1195" s="32"/>
      <c r="H1195" s="32"/>
      <c r="I1195" s="32"/>
      <c r="J1195" s="32"/>
      <c r="K1195" s="32"/>
      <c r="L1195" s="32"/>
      <c r="M1195" s="32"/>
      <c r="N1195" s="32"/>
      <c r="O1195" s="32"/>
      <c r="P1195" s="32"/>
      <c r="Q1195" s="32"/>
      <c r="R1195" s="32"/>
      <c r="S1195" s="32"/>
      <c r="T1195" s="32"/>
      <c r="U1195" s="32"/>
      <c r="V1195" s="32"/>
      <c r="W1195" s="32"/>
      <c r="X1195" s="32"/>
      <c r="Y1195" s="32"/>
      <c r="Z1195" s="32"/>
      <c r="AA1195" s="32"/>
      <c r="AB1195" s="32"/>
      <c r="AC1195" s="32"/>
      <c r="AD1195" s="32"/>
      <c r="AE1195" s="32"/>
      <c r="AF1195" s="32"/>
      <c r="AG1195" s="32"/>
      <c r="AH1195" s="32" t="b">
        <f>IFERROR(__xludf.DUMMYFUNCTION("""COMPUTED_VALUE"""),FALSE)</f>
        <v>0</v>
      </c>
      <c r="AI1195" s="32"/>
      <c r="AJ1195" s="32"/>
      <c r="AK1195" s="32"/>
      <c r="AL1195" s="32"/>
      <c r="AM1195" s="32"/>
      <c r="AN1195" s="32"/>
      <c r="AO1195" s="32"/>
      <c r="AP1195" s="32"/>
      <c r="AQ1195" s="32"/>
      <c r="AR1195" s="32"/>
      <c r="AS1195" s="32"/>
      <c r="AT1195" s="32"/>
      <c r="AU1195" s="32"/>
      <c r="AV1195" s="32"/>
      <c r="AW1195" s="32"/>
      <c r="AX1195" s="32"/>
    </row>
    <row r="1196">
      <c r="A1196" s="32"/>
      <c r="B1196" s="32"/>
      <c r="C1196" s="32"/>
      <c r="D1196" s="32"/>
      <c r="E1196" s="32">
        <f>IFERROR(__xludf.DUMMYFUNCTION("""COMPUTED_VALUE"""),1.0)</f>
        <v>1</v>
      </c>
      <c r="F1196" s="44">
        <f>IFERROR(__xludf.DUMMYFUNCTION("""COMPUTED_VALUE"""),0.0)</f>
        <v>0</v>
      </c>
      <c r="G1196" s="32"/>
      <c r="H1196" s="32"/>
      <c r="I1196" s="32"/>
      <c r="J1196" s="32"/>
      <c r="K1196" s="32"/>
      <c r="L1196" s="32"/>
      <c r="M1196" s="32"/>
      <c r="N1196" s="32"/>
      <c r="O1196" s="32"/>
      <c r="P1196" s="32"/>
      <c r="Q1196" s="32"/>
      <c r="R1196" s="32"/>
      <c r="S1196" s="32"/>
      <c r="T1196" s="32"/>
      <c r="U1196" s="32"/>
      <c r="V1196" s="32"/>
      <c r="W1196" s="32"/>
      <c r="X1196" s="32"/>
      <c r="Y1196" s="32"/>
      <c r="Z1196" s="32"/>
      <c r="AA1196" s="32"/>
      <c r="AB1196" s="32"/>
      <c r="AC1196" s="32"/>
      <c r="AD1196" s="32"/>
      <c r="AE1196" s="32"/>
      <c r="AF1196" s="32"/>
      <c r="AG1196" s="32"/>
      <c r="AH1196" s="32" t="b">
        <f>IFERROR(__xludf.DUMMYFUNCTION("""COMPUTED_VALUE"""),FALSE)</f>
        <v>0</v>
      </c>
      <c r="AI1196" s="32"/>
      <c r="AJ1196" s="32"/>
      <c r="AK1196" s="32"/>
      <c r="AL1196" s="32"/>
      <c r="AM1196" s="32"/>
      <c r="AN1196" s="32"/>
      <c r="AO1196" s="32"/>
      <c r="AP1196" s="32"/>
      <c r="AQ1196" s="32"/>
      <c r="AR1196" s="32"/>
      <c r="AS1196" s="32"/>
      <c r="AT1196" s="32"/>
      <c r="AU1196" s="32"/>
      <c r="AV1196" s="32"/>
      <c r="AW1196" s="32"/>
      <c r="AX1196" s="32"/>
    </row>
    <row r="1197">
      <c r="A1197" s="32"/>
      <c r="B1197" s="32"/>
      <c r="C1197" s="32"/>
      <c r="D1197" s="32"/>
      <c r="E1197" s="32">
        <f>IFERROR(__xludf.DUMMYFUNCTION("""COMPUTED_VALUE"""),1.0)</f>
        <v>1</v>
      </c>
      <c r="F1197" s="44">
        <f>IFERROR(__xludf.DUMMYFUNCTION("""COMPUTED_VALUE"""),0.0)</f>
        <v>0</v>
      </c>
      <c r="G1197" s="32"/>
      <c r="H1197" s="32"/>
      <c r="I1197" s="32"/>
      <c r="J1197" s="32"/>
      <c r="K1197" s="32"/>
      <c r="L1197" s="32"/>
      <c r="M1197" s="32"/>
      <c r="N1197" s="32"/>
      <c r="O1197" s="32"/>
      <c r="P1197" s="32"/>
      <c r="Q1197" s="32"/>
      <c r="R1197" s="32"/>
      <c r="S1197" s="32"/>
      <c r="T1197" s="32"/>
      <c r="U1197" s="32"/>
      <c r="V1197" s="32"/>
      <c r="W1197" s="32"/>
      <c r="X1197" s="32"/>
      <c r="Y1197" s="32"/>
      <c r="Z1197" s="32"/>
      <c r="AA1197" s="32"/>
      <c r="AB1197" s="32"/>
      <c r="AC1197" s="32"/>
      <c r="AD1197" s="32"/>
      <c r="AE1197" s="32"/>
      <c r="AF1197" s="32"/>
      <c r="AG1197" s="32"/>
      <c r="AH1197" s="32" t="b">
        <f>IFERROR(__xludf.DUMMYFUNCTION("""COMPUTED_VALUE"""),FALSE)</f>
        <v>0</v>
      </c>
      <c r="AI1197" s="32"/>
      <c r="AJ1197" s="32"/>
      <c r="AK1197" s="32"/>
      <c r="AL1197" s="32"/>
      <c r="AM1197" s="32"/>
      <c r="AN1197" s="32"/>
      <c r="AO1197" s="32"/>
      <c r="AP1197" s="32"/>
      <c r="AQ1197" s="32"/>
      <c r="AR1197" s="32"/>
      <c r="AS1197" s="32"/>
      <c r="AT1197" s="32"/>
      <c r="AU1197" s="32"/>
      <c r="AV1197" s="32"/>
      <c r="AW1197" s="32"/>
      <c r="AX1197" s="32"/>
    </row>
    <row r="1198">
      <c r="A1198" s="32"/>
      <c r="B1198" s="32"/>
      <c r="C1198" s="32"/>
      <c r="D1198" s="32"/>
      <c r="E1198" s="32">
        <f>IFERROR(__xludf.DUMMYFUNCTION("""COMPUTED_VALUE"""),1.0)</f>
        <v>1</v>
      </c>
      <c r="F1198" s="44">
        <f>IFERROR(__xludf.DUMMYFUNCTION("""COMPUTED_VALUE"""),0.0)</f>
        <v>0</v>
      </c>
      <c r="G1198" s="32"/>
      <c r="H1198" s="32"/>
      <c r="I1198" s="32"/>
      <c r="J1198" s="32"/>
      <c r="K1198" s="32"/>
      <c r="L1198" s="32"/>
      <c r="M1198" s="32"/>
      <c r="N1198" s="32"/>
      <c r="O1198" s="32"/>
      <c r="P1198" s="32"/>
      <c r="Q1198" s="32"/>
      <c r="R1198" s="32"/>
      <c r="S1198" s="32"/>
      <c r="T1198" s="32"/>
      <c r="U1198" s="32"/>
      <c r="V1198" s="32"/>
      <c r="W1198" s="32"/>
      <c r="X1198" s="32"/>
      <c r="Y1198" s="32"/>
      <c r="Z1198" s="32"/>
      <c r="AA1198" s="32"/>
      <c r="AB1198" s="32"/>
      <c r="AC1198" s="32"/>
      <c r="AD1198" s="32"/>
      <c r="AE1198" s="32"/>
      <c r="AF1198" s="32"/>
      <c r="AG1198" s="32"/>
      <c r="AH1198" s="32" t="b">
        <f>IFERROR(__xludf.DUMMYFUNCTION("""COMPUTED_VALUE"""),FALSE)</f>
        <v>0</v>
      </c>
      <c r="AI1198" s="32"/>
      <c r="AJ1198" s="32"/>
      <c r="AK1198" s="32"/>
      <c r="AL1198" s="32"/>
      <c r="AM1198" s="32"/>
      <c r="AN1198" s="32"/>
      <c r="AO1198" s="32"/>
      <c r="AP1198" s="32"/>
      <c r="AQ1198" s="32"/>
      <c r="AR1198" s="32"/>
      <c r="AS1198" s="32"/>
      <c r="AT1198" s="32"/>
      <c r="AU1198" s="32"/>
      <c r="AV1198" s="32"/>
      <c r="AW1198" s="32"/>
      <c r="AX1198" s="32"/>
    </row>
    <row r="1199">
      <c r="A1199" s="32"/>
      <c r="B1199" s="32"/>
      <c r="C1199" s="32"/>
      <c r="D1199" s="32"/>
      <c r="E1199" s="32">
        <f>IFERROR(__xludf.DUMMYFUNCTION("""COMPUTED_VALUE"""),1.0)</f>
        <v>1</v>
      </c>
      <c r="F1199" s="44">
        <f>IFERROR(__xludf.DUMMYFUNCTION("""COMPUTED_VALUE"""),0.0)</f>
        <v>0</v>
      </c>
      <c r="G1199" s="32"/>
      <c r="H1199" s="32"/>
      <c r="I1199" s="32"/>
      <c r="J1199" s="32"/>
      <c r="K1199" s="32"/>
      <c r="L1199" s="32"/>
      <c r="M1199" s="32"/>
      <c r="N1199" s="32"/>
      <c r="O1199" s="32"/>
      <c r="P1199" s="32"/>
      <c r="Q1199" s="32"/>
      <c r="R1199" s="32"/>
      <c r="S1199" s="32"/>
      <c r="T1199" s="32"/>
      <c r="U1199" s="32"/>
      <c r="V1199" s="32"/>
      <c r="W1199" s="32"/>
      <c r="X1199" s="32"/>
      <c r="Y1199" s="32"/>
      <c r="Z1199" s="32"/>
      <c r="AA1199" s="32"/>
      <c r="AB1199" s="32"/>
      <c r="AC1199" s="32"/>
      <c r="AD1199" s="32"/>
      <c r="AE1199" s="32"/>
      <c r="AF1199" s="32"/>
      <c r="AG1199" s="32"/>
      <c r="AH1199" s="32" t="b">
        <f>IFERROR(__xludf.DUMMYFUNCTION("""COMPUTED_VALUE"""),FALSE)</f>
        <v>0</v>
      </c>
      <c r="AI1199" s="32"/>
      <c r="AJ1199" s="32"/>
      <c r="AK1199" s="32"/>
      <c r="AL1199" s="32"/>
      <c r="AM1199" s="32"/>
      <c r="AN1199" s="32"/>
      <c r="AO1199" s="32"/>
      <c r="AP1199" s="32"/>
      <c r="AQ1199" s="32"/>
      <c r="AR1199" s="32"/>
      <c r="AS1199" s="32"/>
      <c r="AT1199" s="32"/>
      <c r="AU1199" s="32"/>
      <c r="AV1199" s="32"/>
      <c r="AW1199" s="32"/>
      <c r="AX1199" s="32"/>
    </row>
    <row r="1200">
      <c r="A1200" s="32"/>
      <c r="B1200" s="32"/>
      <c r="C1200" s="32"/>
      <c r="D1200" s="32"/>
      <c r="E1200" s="32">
        <f>IFERROR(__xludf.DUMMYFUNCTION("""COMPUTED_VALUE"""),1.0)</f>
        <v>1</v>
      </c>
      <c r="F1200" s="44">
        <f>IFERROR(__xludf.DUMMYFUNCTION("""COMPUTED_VALUE"""),0.0)</f>
        <v>0</v>
      </c>
      <c r="G1200" s="32"/>
      <c r="H1200" s="32"/>
      <c r="I1200" s="32"/>
      <c r="J1200" s="32"/>
      <c r="K1200" s="32"/>
      <c r="L1200" s="32"/>
      <c r="M1200" s="32"/>
      <c r="N1200" s="32"/>
      <c r="O1200" s="32"/>
      <c r="P1200" s="32"/>
      <c r="Q1200" s="32"/>
      <c r="R1200" s="32"/>
      <c r="S1200" s="32"/>
      <c r="T1200" s="32"/>
      <c r="U1200" s="32"/>
      <c r="V1200" s="32"/>
      <c r="W1200" s="32"/>
      <c r="X1200" s="32"/>
      <c r="Y1200" s="32"/>
      <c r="Z1200" s="32"/>
      <c r="AA1200" s="32"/>
      <c r="AB1200" s="32"/>
      <c r="AC1200" s="32"/>
      <c r="AD1200" s="32"/>
      <c r="AE1200" s="32"/>
      <c r="AF1200" s="32"/>
      <c r="AG1200" s="32"/>
      <c r="AH1200" s="32" t="b">
        <f>IFERROR(__xludf.DUMMYFUNCTION("""COMPUTED_VALUE"""),FALSE)</f>
        <v>0</v>
      </c>
      <c r="AI1200" s="32"/>
      <c r="AJ1200" s="32"/>
      <c r="AK1200" s="32"/>
      <c r="AL1200" s="32"/>
      <c r="AM1200" s="32"/>
      <c r="AN1200" s="32"/>
      <c r="AO1200" s="32"/>
      <c r="AP1200" s="32"/>
      <c r="AQ1200" s="32"/>
      <c r="AR1200" s="32"/>
      <c r="AS1200" s="32"/>
      <c r="AT1200" s="32"/>
      <c r="AU1200" s="32"/>
      <c r="AV1200" s="32"/>
      <c r="AW1200" s="32"/>
      <c r="AX1200" s="32"/>
    </row>
    <row r="1201">
      <c r="A1201" s="32"/>
      <c r="B1201" s="32"/>
      <c r="C1201" s="32"/>
      <c r="D1201" s="32"/>
      <c r="E1201" s="32">
        <f>IFERROR(__xludf.DUMMYFUNCTION("""COMPUTED_VALUE"""),1.0)</f>
        <v>1</v>
      </c>
      <c r="F1201" s="44">
        <f>IFERROR(__xludf.DUMMYFUNCTION("""COMPUTED_VALUE"""),0.0)</f>
        <v>0</v>
      </c>
      <c r="G1201" s="32"/>
      <c r="H1201" s="32"/>
      <c r="I1201" s="32"/>
      <c r="J1201" s="32"/>
      <c r="K1201" s="32"/>
      <c r="L1201" s="32"/>
      <c r="M1201" s="32"/>
      <c r="N1201" s="32"/>
      <c r="O1201" s="32"/>
      <c r="P1201" s="32"/>
      <c r="Q1201" s="32"/>
      <c r="R1201" s="32"/>
      <c r="S1201" s="32"/>
      <c r="T1201" s="32"/>
      <c r="U1201" s="32"/>
      <c r="V1201" s="32"/>
      <c r="W1201" s="32"/>
      <c r="X1201" s="32"/>
      <c r="Y1201" s="32"/>
      <c r="Z1201" s="32"/>
      <c r="AA1201" s="32"/>
      <c r="AB1201" s="32"/>
      <c r="AC1201" s="32"/>
      <c r="AD1201" s="32"/>
      <c r="AE1201" s="32"/>
      <c r="AF1201" s="32"/>
      <c r="AG1201" s="32"/>
      <c r="AH1201" s="32" t="b">
        <f>IFERROR(__xludf.DUMMYFUNCTION("""COMPUTED_VALUE"""),FALSE)</f>
        <v>0</v>
      </c>
      <c r="AI1201" s="32"/>
      <c r="AJ1201" s="32"/>
      <c r="AK1201" s="32"/>
      <c r="AL1201" s="32"/>
      <c r="AM1201" s="32"/>
      <c r="AN1201" s="32"/>
      <c r="AO1201" s="32"/>
      <c r="AP1201" s="32"/>
      <c r="AQ1201" s="32"/>
      <c r="AR1201" s="32"/>
      <c r="AS1201" s="32"/>
      <c r="AT1201" s="32"/>
      <c r="AU1201" s="32"/>
      <c r="AV1201" s="32"/>
      <c r="AW1201" s="32"/>
      <c r="AX1201" s="32"/>
    </row>
    <row r="1202">
      <c r="A1202" s="32"/>
      <c r="B1202" s="32"/>
      <c r="C1202" s="32"/>
      <c r="D1202" s="32"/>
      <c r="E1202" s="32">
        <f>IFERROR(__xludf.DUMMYFUNCTION("""COMPUTED_VALUE"""),1.0)</f>
        <v>1</v>
      </c>
      <c r="F1202" s="44">
        <f>IFERROR(__xludf.DUMMYFUNCTION("""COMPUTED_VALUE"""),0.0)</f>
        <v>0</v>
      </c>
      <c r="G1202" s="32"/>
      <c r="H1202" s="32"/>
      <c r="I1202" s="32"/>
      <c r="J1202" s="32"/>
      <c r="K1202" s="32"/>
      <c r="L1202" s="32"/>
      <c r="M1202" s="32"/>
      <c r="N1202" s="32"/>
      <c r="O1202" s="32"/>
      <c r="P1202" s="32"/>
      <c r="Q1202" s="32"/>
      <c r="R1202" s="32"/>
      <c r="S1202" s="32"/>
      <c r="T1202" s="32"/>
      <c r="U1202" s="32"/>
      <c r="V1202" s="32"/>
      <c r="W1202" s="32"/>
      <c r="X1202" s="32"/>
      <c r="Y1202" s="32"/>
      <c r="Z1202" s="32"/>
      <c r="AA1202" s="32"/>
      <c r="AB1202" s="32"/>
      <c r="AC1202" s="32"/>
      <c r="AD1202" s="32"/>
      <c r="AE1202" s="32"/>
      <c r="AF1202" s="32"/>
      <c r="AG1202" s="32"/>
      <c r="AH1202" s="32" t="b">
        <f>IFERROR(__xludf.DUMMYFUNCTION("""COMPUTED_VALUE"""),FALSE)</f>
        <v>0</v>
      </c>
      <c r="AI1202" s="32"/>
      <c r="AJ1202" s="32"/>
      <c r="AK1202" s="32"/>
      <c r="AL1202" s="32"/>
      <c r="AM1202" s="32"/>
      <c r="AN1202" s="32"/>
      <c r="AO1202" s="32"/>
      <c r="AP1202" s="32"/>
      <c r="AQ1202" s="32"/>
      <c r="AR1202" s="32"/>
      <c r="AS1202" s="32"/>
      <c r="AT1202" s="32"/>
      <c r="AU1202" s="32"/>
      <c r="AV1202" s="32"/>
      <c r="AW1202" s="32"/>
      <c r="AX1202" s="32"/>
    </row>
    <row r="1203">
      <c r="A1203" s="32"/>
      <c r="B1203" s="32"/>
      <c r="C1203" s="32"/>
      <c r="D1203" s="32"/>
      <c r="E1203" s="32">
        <f>IFERROR(__xludf.DUMMYFUNCTION("""COMPUTED_VALUE"""),1.0)</f>
        <v>1</v>
      </c>
      <c r="F1203" s="44">
        <f>IFERROR(__xludf.DUMMYFUNCTION("""COMPUTED_VALUE"""),0.0)</f>
        <v>0</v>
      </c>
      <c r="G1203" s="32"/>
      <c r="H1203" s="32"/>
      <c r="I1203" s="32"/>
      <c r="J1203" s="32"/>
      <c r="K1203" s="32"/>
      <c r="L1203" s="32"/>
      <c r="M1203" s="32"/>
      <c r="N1203" s="32"/>
      <c r="O1203" s="32"/>
      <c r="P1203" s="32"/>
      <c r="Q1203" s="32"/>
      <c r="R1203" s="32"/>
      <c r="S1203" s="32"/>
      <c r="T1203" s="32"/>
      <c r="U1203" s="32"/>
      <c r="V1203" s="32"/>
      <c r="W1203" s="32"/>
      <c r="X1203" s="32"/>
      <c r="Y1203" s="32"/>
      <c r="Z1203" s="32"/>
      <c r="AA1203" s="32"/>
      <c r="AB1203" s="32"/>
      <c r="AC1203" s="32"/>
      <c r="AD1203" s="32"/>
      <c r="AE1203" s="32"/>
      <c r="AF1203" s="32"/>
      <c r="AG1203" s="32"/>
      <c r="AH1203" s="32" t="b">
        <f>IFERROR(__xludf.DUMMYFUNCTION("""COMPUTED_VALUE"""),FALSE)</f>
        <v>0</v>
      </c>
      <c r="AI1203" s="32"/>
      <c r="AJ1203" s="32"/>
      <c r="AK1203" s="32"/>
      <c r="AL1203" s="32"/>
      <c r="AM1203" s="32"/>
      <c r="AN1203" s="32"/>
      <c r="AO1203" s="32"/>
      <c r="AP1203" s="32"/>
      <c r="AQ1203" s="32"/>
      <c r="AR1203" s="32"/>
      <c r="AS1203" s="32"/>
      <c r="AT1203" s="32"/>
      <c r="AU1203" s="32"/>
      <c r="AV1203" s="32"/>
      <c r="AW1203" s="32"/>
      <c r="AX1203" s="32"/>
    </row>
    <row r="1204">
      <c r="A1204" s="32"/>
      <c r="B1204" s="32"/>
      <c r="C1204" s="32"/>
      <c r="D1204" s="32"/>
      <c r="E1204" s="32">
        <f>IFERROR(__xludf.DUMMYFUNCTION("""COMPUTED_VALUE"""),1.0)</f>
        <v>1</v>
      </c>
      <c r="F1204" s="44">
        <f>IFERROR(__xludf.DUMMYFUNCTION("""COMPUTED_VALUE"""),0.0)</f>
        <v>0</v>
      </c>
      <c r="G1204" s="32"/>
      <c r="H1204" s="32"/>
      <c r="I1204" s="32"/>
      <c r="J1204" s="32"/>
      <c r="K1204" s="32"/>
      <c r="L1204" s="32"/>
      <c r="M1204" s="32"/>
      <c r="N1204" s="32"/>
      <c r="O1204" s="32"/>
      <c r="P1204" s="32"/>
      <c r="Q1204" s="32"/>
      <c r="R1204" s="32"/>
      <c r="S1204" s="32"/>
      <c r="T1204" s="32"/>
      <c r="U1204" s="32"/>
      <c r="V1204" s="32"/>
      <c r="W1204" s="32"/>
      <c r="X1204" s="32"/>
      <c r="Y1204" s="32"/>
      <c r="Z1204" s="32"/>
      <c r="AA1204" s="32"/>
      <c r="AB1204" s="32"/>
      <c r="AC1204" s="32"/>
      <c r="AD1204" s="32"/>
      <c r="AE1204" s="32"/>
      <c r="AF1204" s="32"/>
      <c r="AG1204" s="32"/>
      <c r="AH1204" s="32" t="b">
        <f>IFERROR(__xludf.DUMMYFUNCTION("""COMPUTED_VALUE"""),FALSE)</f>
        <v>0</v>
      </c>
      <c r="AI1204" s="32"/>
      <c r="AJ1204" s="32"/>
      <c r="AK1204" s="32"/>
      <c r="AL1204" s="32"/>
      <c r="AM1204" s="32"/>
      <c r="AN1204" s="32"/>
      <c r="AO1204" s="32"/>
      <c r="AP1204" s="32"/>
      <c r="AQ1204" s="32"/>
      <c r="AR1204" s="32"/>
      <c r="AS1204" s="32"/>
      <c r="AT1204" s="32"/>
      <c r="AU1204" s="32"/>
      <c r="AV1204" s="32"/>
      <c r="AW1204" s="32"/>
      <c r="AX1204" s="32"/>
    </row>
    <row r="1205">
      <c r="A1205" s="32"/>
      <c r="B1205" s="32"/>
      <c r="C1205" s="32"/>
      <c r="D1205" s="32"/>
      <c r="E1205" s="32">
        <f>IFERROR(__xludf.DUMMYFUNCTION("""COMPUTED_VALUE"""),1.0)</f>
        <v>1</v>
      </c>
      <c r="F1205" s="44">
        <f>IFERROR(__xludf.DUMMYFUNCTION("""COMPUTED_VALUE"""),0.0)</f>
        <v>0</v>
      </c>
      <c r="G1205" s="32"/>
      <c r="H1205" s="32"/>
      <c r="I1205" s="32"/>
      <c r="J1205" s="32"/>
      <c r="K1205" s="32"/>
      <c r="L1205" s="32"/>
      <c r="M1205" s="32"/>
      <c r="N1205" s="32"/>
      <c r="O1205" s="32"/>
      <c r="P1205" s="32"/>
      <c r="Q1205" s="32"/>
      <c r="R1205" s="32"/>
      <c r="S1205" s="32"/>
      <c r="T1205" s="32"/>
      <c r="U1205" s="32"/>
      <c r="V1205" s="32"/>
      <c r="W1205" s="32"/>
      <c r="X1205" s="32"/>
      <c r="Y1205" s="32"/>
      <c r="Z1205" s="32"/>
      <c r="AA1205" s="32"/>
      <c r="AB1205" s="32"/>
      <c r="AC1205" s="32"/>
      <c r="AD1205" s="32"/>
      <c r="AE1205" s="32"/>
      <c r="AF1205" s="32"/>
      <c r="AG1205" s="32"/>
      <c r="AH1205" s="32" t="b">
        <f>IFERROR(__xludf.DUMMYFUNCTION("""COMPUTED_VALUE"""),FALSE)</f>
        <v>0</v>
      </c>
      <c r="AI1205" s="32"/>
      <c r="AJ1205" s="32"/>
      <c r="AK1205" s="32"/>
      <c r="AL1205" s="32"/>
      <c r="AM1205" s="32"/>
      <c r="AN1205" s="32"/>
      <c r="AO1205" s="32"/>
      <c r="AP1205" s="32"/>
      <c r="AQ1205" s="32"/>
      <c r="AR1205" s="32"/>
      <c r="AS1205" s="32"/>
      <c r="AT1205" s="32"/>
      <c r="AU1205" s="32"/>
      <c r="AV1205" s="32"/>
      <c r="AW1205" s="32"/>
      <c r="AX1205" s="32"/>
    </row>
    <row r="1206">
      <c r="A1206" s="32"/>
      <c r="B1206" s="32"/>
      <c r="C1206" s="32"/>
      <c r="D1206" s="32"/>
      <c r="E1206" s="32">
        <f>IFERROR(__xludf.DUMMYFUNCTION("""COMPUTED_VALUE"""),1.0)</f>
        <v>1</v>
      </c>
      <c r="F1206" s="44">
        <f>IFERROR(__xludf.DUMMYFUNCTION("""COMPUTED_VALUE"""),0.0)</f>
        <v>0</v>
      </c>
      <c r="G1206" s="32"/>
      <c r="H1206" s="32"/>
      <c r="I1206" s="32"/>
      <c r="J1206" s="32"/>
      <c r="K1206" s="32"/>
      <c r="L1206" s="32"/>
      <c r="M1206" s="32"/>
      <c r="N1206" s="32"/>
      <c r="O1206" s="32"/>
      <c r="P1206" s="32"/>
      <c r="Q1206" s="32"/>
      <c r="R1206" s="32"/>
      <c r="S1206" s="32"/>
      <c r="T1206" s="32"/>
      <c r="U1206" s="32"/>
      <c r="V1206" s="32"/>
      <c r="W1206" s="32"/>
      <c r="X1206" s="32"/>
      <c r="Y1206" s="32"/>
      <c r="Z1206" s="32"/>
      <c r="AA1206" s="32"/>
      <c r="AB1206" s="32"/>
      <c r="AC1206" s="32"/>
      <c r="AD1206" s="32"/>
      <c r="AE1206" s="32"/>
      <c r="AF1206" s="32"/>
      <c r="AG1206" s="32"/>
      <c r="AH1206" s="32" t="b">
        <f>IFERROR(__xludf.DUMMYFUNCTION("""COMPUTED_VALUE"""),FALSE)</f>
        <v>0</v>
      </c>
      <c r="AI1206" s="32"/>
      <c r="AJ1206" s="32"/>
      <c r="AK1206" s="32"/>
      <c r="AL1206" s="32"/>
      <c r="AM1206" s="32"/>
      <c r="AN1206" s="32"/>
      <c r="AO1206" s="32"/>
      <c r="AP1206" s="32"/>
      <c r="AQ1206" s="32"/>
      <c r="AR1206" s="32"/>
      <c r="AS1206" s="32"/>
      <c r="AT1206" s="32"/>
      <c r="AU1206" s="32"/>
      <c r="AV1206" s="32"/>
      <c r="AW1206" s="32"/>
      <c r="AX1206" s="32"/>
    </row>
    <row r="1207">
      <c r="A1207" s="32"/>
      <c r="B1207" s="32"/>
      <c r="C1207" s="32"/>
      <c r="D1207" s="32"/>
      <c r="E1207" s="32">
        <f>IFERROR(__xludf.DUMMYFUNCTION("""COMPUTED_VALUE"""),1.0)</f>
        <v>1</v>
      </c>
      <c r="F1207" s="44">
        <f>IFERROR(__xludf.DUMMYFUNCTION("""COMPUTED_VALUE"""),0.0)</f>
        <v>0</v>
      </c>
      <c r="G1207" s="32"/>
      <c r="H1207" s="32"/>
      <c r="I1207" s="32"/>
      <c r="J1207" s="32"/>
      <c r="K1207" s="32"/>
      <c r="L1207" s="32"/>
      <c r="M1207" s="32"/>
      <c r="N1207" s="32"/>
      <c r="O1207" s="32"/>
      <c r="P1207" s="32"/>
      <c r="Q1207" s="32"/>
      <c r="R1207" s="32"/>
      <c r="S1207" s="32"/>
      <c r="T1207" s="32"/>
      <c r="U1207" s="32"/>
      <c r="V1207" s="32"/>
      <c r="W1207" s="32"/>
      <c r="X1207" s="32"/>
      <c r="Y1207" s="32"/>
      <c r="Z1207" s="32"/>
      <c r="AA1207" s="32"/>
      <c r="AB1207" s="32"/>
      <c r="AC1207" s="32"/>
      <c r="AD1207" s="32"/>
      <c r="AE1207" s="32"/>
      <c r="AF1207" s="32"/>
      <c r="AG1207" s="32"/>
      <c r="AH1207" s="32" t="b">
        <f>IFERROR(__xludf.DUMMYFUNCTION("""COMPUTED_VALUE"""),FALSE)</f>
        <v>0</v>
      </c>
      <c r="AI1207" s="32"/>
      <c r="AJ1207" s="32"/>
      <c r="AK1207" s="32"/>
      <c r="AL1207" s="32"/>
      <c r="AM1207" s="32"/>
      <c r="AN1207" s="32"/>
      <c r="AO1207" s="32"/>
      <c r="AP1207" s="32"/>
      <c r="AQ1207" s="32"/>
      <c r="AR1207" s="32"/>
      <c r="AS1207" s="32"/>
      <c r="AT1207" s="32"/>
      <c r="AU1207" s="32"/>
      <c r="AV1207" s="32"/>
      <c r="AW1207" s="32"/>
      <c r="AX1207" s="32"/>
    </row>
    <row r="1208">
      <c r="A1208" s="32"/>
      <c r="B1208" s="32"/>
      <c r="C1208" s="32"/>
      <c r="D1208" s="32"/>
      <c r="E1208" s="32">
        <f>IFERROR(__xludf.DUMMYFUNCTION("""COMPUTED_VALUE"""),1.0)</f>
        <v>1</v>
      </c>
      <c r="F1208" s="44">
        <f>IFERROR(__xludf.DUMMYFUNCTION("""COMPUTED_VALUE"""),0.0)</f>
        <v>0</v>
      </c>
      <c r="G1208" s="32"/>
      <c r="H1208" s="32"/>
      <c r="I1208" s="32"/>
      <c r="J1208" s="32"/>
      <c r="K1208" s="32"/>
      <c r="L1208" s="32"/>
      <c r="M1208" s="32"/>
      <c r="N1208" s="32"/>
      <c r="O1208" s="32"/>
      <c r="P1208" s="32"/>
      <c r="Q1208" s="32"/>
      <c r="R1208" s="32"/>
      <c r="S1208" s="32"/>
      <c r="T1208" s="32"/>
      <c r="U1208" s="32"/>
      <c r="V1208" s="32"/>
      <c r="W1208" s="32"/>
      <c r="X1208" s="32"/>
      <c r="Y1208" s="32"/>
      <c r="Z1208" s="32"/>
      <c r="AA1208" s="32"/>
      <c r="AB1208" s="32"/>
      <c r="AC1208" s="32"/>
      <c r="AD1208" s="32"/>
      <c r="AE1208" s="32"/>
      <c r="AF1208" s="32"/>
      <c r="AG1208" s="32"/>
      <c r="AH1208" s="32" t="b">
        <f>IFERROR(__xludf.DUMMYFUNCTION("""COMPUTED_VALUE"""),FALSE)</f>
        <v>0</v>
      </c>
      <c r="AI1208" s="32"/>
      <c r="AJ1208" s="32"/>
      <c r="AK1208" s="32"/>
      <c r="AL1208" s="32"/>
      <c r="AM1208" s="32"/>
      <c r="AN1208" s="32"/>
      <c r="AO1208" s="32"/>
      <c r="AP1208" s="32"/>
      <c r="AQ1208" s="32"/>
      <c r="AR1208" s="32"/>
      <c r="AS1208" s="32"/>
      <c r="AT1208" s="32"/>
      <c r="AU1208" s="32"/>
      <c r="AV1208" s="32"/>
      <c r="AW1208" s="32"/>
      <c r="AX1208" s="32"/>
    </row>
    <row r="1209">
      <c r="A1209" s="32"/>
      <c r="B1209" s="32"/>
      <c r="C1209" s="32"/>
      <c r="D1209" s="32"/>
      <c r="E1209" s="32">
        <f>IFERROR(__xludf.DUMMYFUNCTION("""COMPUTED_VALUE"""),1.0)</f>
        <v>1</v>
      </c>
      <c r="F1209" s="44">
        <f>IFERROR(__xludf.DUMMYFUNCTION("""COMPUTED_VALUE"""),0.0)</f>
        <v>0</v>
      </c>
      <c r="G1209" s="32"/>
      <c r="H1209" s="32"/>
      <c r="I1209" s="32"/>
      <c r="J1209" s="32"/>
      <c r="K1209" s="32"/>
      <c r="L1209" s="32"/>
      <c r="M1209" s="32"/>
      <c r="N1209" s="32"/>
      <c r="O1209" s="32"/>
      <c r="P1209" s="32"/>
      <c r="Q1209" s="32"/>
      <c r="R1209" s="32"/>
      <c r="S1209" s="32"/>
      <c r="T1209" s="32"/>
      <c r="U1209" s="32"/>
      <c r="V1209" s="32"/>
      <c r="W1209" s="32"/>
      <c r="X1209" s="32"/>
      <c r="Y1209" s="32"/>
      <c r="Z1209" s="32"/>
      <c r="AA1209" s="32"/>
      <c r="AB1209" s="32"/>
      <c r="AC1209" s="32"/>
      <c r="AD1209" s="32"/>
      <c r="AE1209" s="32"/>
      <c r="AF1209" s="32"/>
      <c r="AG1209" s="32"/>
      <c r="AH1209" s="32" t="b">
        <f>IFERROR(__xludf.DUMMYFUNCTION("""COMPUTED_VALUE"""),FALSE)</f>
        <v>0</v>
      </c>
      <c r="AI1209" s="32"/>
      <c r="AJ1209" s="32"/>
      <c r="AK1209" s="32"/>
      <c r="AL1209" s="32"/>
      <c r="AM1209" s="32"/>
      <c r="AN1209" s="32"/>
      <c r="AO1209" s="32"/>
      <c r="AP1209" s="32"/>
      <c r="AQ1209" s="32"/>
      <c r="AR1209" s="32"/>
      <c r="AS1209" s="32"/>
      <c r="AT1209" s="32"/>
      <c r="AU1209" s="32"/>
      <c r="AV1209" s="32"/>
      <c r="AW1209" s="32"/>
      <c r="AX1209" s="32"/>
    </row>
    <row r="1210">
      <c r="A1210" s="32"/>
      <c r="B1210" s="32"/>
      <c r="C1210" s="32"/>
      <c r="D1210" s="32"/>
      <c r="E1210" s="32">
        <f>IFERROR(__xludf.DUMMYFUNCTION("""COMPUTED_VALUE"""),1.0)</f>
        <v>1</v>
      </c>
      <c r="F1210" s="44">
        <f>IFERROR(__xludf.DUMMYFUNCTION("""COMPUTED_VALUE"""),0.0)</f>
        <v>0</v>
      </c>
      <c r="G1210" s="32"/>
      <c r="H1210" s="32"/>
      <c r="I1210" s="32"/>
      <c r="J1210" s="32"/>
      <c r="K1210" s="32"/>
      <c r="L1210" s="32"/>
      <c r="M1210" s="32"/>
      <c r="N1210" s="32"/>
      <c r="O1210" s="32"/>
      <c r="P1210" s="32"/>
      <c r="Q1210" s="32"/>
      <c r="R1210" s="32"/>
      <c r="S1210" s="32"/>
      <c r="T1210" s="32"/>
      <c r="U1210" s="32"/>
      <c r="V1210" s="32"/>
      <c r="W1210" s="32"/>
      <c r="X1210" s="32"/>
      <c r="Y1210" s="32"/>
      <c r="Z1210" s="32"/>
      <c r="AA1210" s="32"/>
      <c r="AB1210" s="32"/>
      <c r="AC1210" s="32"/>
      <c r="AD1210" s="32"/>
      <c r="AE1210" s="32"/>
      <c r="AF1210" s="32"/>
      <c r="AG1210" s="32"/>
      <c r="AH1210" s="32" t="b">
        <f>IFERROR(__xludf.DUMMYFUNCTION("""COMPUTED_VALUE"""),FALSE)</f>
        <v>0</v>
      </c>
      <c r="AI1210" s="32"/>
      <c r="AJ1210" s="32"/>
      <c r="AK1210" s="32"/>
      <c r="AL1210" s="32"/>
      <c r="AM1210" s="32"/>
      <c r="AN1210" s="32"/>
      <c r="AO1210" s="32"/>
      <c r="AP1210" s="32"/>
      <c r="AQ1210" s="32"/>
      <c r="AR1210" s="32"/>
      <c r="AS1210" s="32"/>
      <c r="AT1210" s="32"/>
      <c r="AU1210" s="32"/>
      <c r="AV1210" s="32"/>
      <c r="AW1210" s="32"/>
      <c r="AX1210" s="32"/>
    </row>
    <row r="1211">
      <c r="A1211" s="32"/>
      <c r="B1211" s="32"/>
      <c r="C1211" s="32"/>
      <c r="D1211" s="32"/>
      <c r="E1211" s="32">
        <f>IFERROR(__xludf.DUMMYFUNCTION("""COMPUTED_VALUE"""),1.0)</f>
        <v>1</v>
      </c>
      <c r="F1211" s="44">
        <f>IFERROR(__xludf.DUMMYFUNCTION("""COMPUTED_VALUE"""),0.0)</f>
        <v>0</v>
      </c>
      <c r="G1211" s="32"/>
      <c r="H1211" s="32"/>
      <c r="I1211" s="32"/>
      <c r="J1211" s="32"/>
      <c r="K1211" s="32"/>
      <c r="L1211" s="32"/>
      <c r="M1211" s="32"/>
      <c r="N1211" s="32"/>
      <c r="O1211" s="32"/>
      <c r="P1211" s="32"/>
      <c r="Q1211" s="32"/>
      <c r="R1211" s="32"/>
      <c r="S1211" s="32"/>
      <c r="T1211" s="32"/>
      <c r="U1211" s="32"/>
      <c r="V1211" s="32"/>
      <c r="W1211" s="32"/>
      <c r="X1211" s="32"/>
      <c r="Y1211" s="32"/>
      <c r="Z1211" s="32"/>
      <c r="AA1211" s="32"/>
      <c r="AB1211" s="32"/>
      <c r="AC1211" s="32"/>
      <c r="AD1211" s="32"/>
      <c r="AE1211" s="32"/>
      <c r="AF1211" s="32"/>
      <c r="AG1211" s="32"/>
      <c r="AH1211" s="32" t="b">
        <f>IFERROR(__xludf.DUMMYFUNCTION("""COMPUTED_VALUE"""),FALSE)</f>
        <v>0</v>
      </c>
      <c r="AI1211" s="32"/>
      <c r="AJ1211" s="32"/>
      <c r="AK1211" s="32"/>
      <c r="AL1211" s="32"/>
      <c r="AM1211" s="32"/>
      <c r="AN1211" s="32"/>
      <c r="AO1211" s="32"/>
      <c r="AP1211" s="32"/>
      <c r="AQ1211" s="32"/>
      <c r="AR1211" s="32"/>
      <c r="AS1211" s="32"/>
      <c r="AT1211" s="32"/>
      <c r="AU1211" s="32"/>
      <c r="AV1211" s="32"/>
      <c r="AW1211" s="32"/>
      <c r="AX1211" s="32"/>
    </row>
    <row r="1212">
      <c r="A1212" s="32"/>
      <c r="B1212" s="32"/>
      <c r="C1212" s="32"/>
      <c r="D1212" s="32"/>
      <c r="E1212" s="32">
        <f>IFERROR(__xludf.DUMMYFUNCTION("""COMPUTED_VALUE"""),1.0)</f>
        <v>1</v>
      </c>
      <c r="F1212" s="44">
        <f>IFERROR(__xludf.DUMMYFUNCTION("""COMPUTED_VALUE"""),0.0)</f>
        <v>0</v>
      </c>
      <c r="G1212" s="32"/>
      <c r="H1212" s="32"/>
      <c r="I1212" s="32"/>
      <c r="J1212" s="32"/>
      <c r="K1212" s="32"/>
      <c r="L1212" s="32"/>
      <c r="M1212" s="32"/>
      <c r="N1212" s="32"/>
      <c r="O1212" s="32"/>
      <c r="P1212" s="32"/>
      <c r="Q1212" s="32"/>
      <c r="R1212" s="32"/>
      <c r="S1212" s="32"/>
      <c r="T1212" s="32"/>
      <c r="U1212" s="32"/>
      <c r="V1212" s="32"/>
      <c r="W1212" s="32"/>
      <c r="X1212" s="32"/>
      <c r="Y1212" s="32"/>
      <c r="Z1212" s="32"/>
      <c r="AA1212" s="32"/>
      <c r="AB1212" s="32"/>
      <c r="AC1212" s="32"/>
      <c r="AD1212" s="32"/>
      <c r="AE1212" s="32"/>
      <c r="AF1212" s="32"/>
      <c r="AG1212" s="32"/>
      <c r="AH1212" s="32" t="b">
        <f>IFERROR(__xludf.DUMMYFUNCTION("""COMPUTED_VALUE"""),FALSE)</f>
        <v>0</v>
      </c>
      <c r="AI1212" s="32"/>
      <c r="AJ1212" s="32"/>
      <c r="AK1212" s="32"/>
      <c r="AL1212" s="32"/>
      <c r="AM1212" s="32"/>
      <c r="AN1212" s="32"/>
      <c r="AO1212" s="32"/>
      <c r="AP1212" s="32"/>
      <c r="AQ1212" s="32"/>
      <c r="AR1212" s="32"/>
      <c r="AS1212" s="32"/>
      <c r="AT1212" s="32"/>
      <c r="AU1212" s="32"/>
      <c r="AV1212" s="32"/>
      <c r="AW1212" s="32"/>
      <c r="AX1212" s="32"/>
    </row>
    <row r="1213">
      <c r="A1213" s="32"/>
      <c r="B1213" s="32"/>
      <c r="C1213" s="32"/>
      <c r="D1213" s="32"/>
      <c r="E1213" s="32">
        <f>IFERROR(__xludf.DUMMYFUNCTION("""COMPUTED_VALUE"""),1.0)</f>
        <v>1</v>
      </c>
      <c r="F1213" s="44">
        <f>IFERROR(__xludf.DUMMYFUNCTION("""COMPUTED_VALUE"""),0.0)</f>
        <v>0</v>
      </c>
      <c r="G1213" s="32"/>
      <c r="H1213" s="32"/>
      <c r="I1213" s="32"/>
      <c r="J1213" s="32"/>
      <c r="K1213" s="32"/>
      <c r="L1213" s="32"/>
      <c r="M1213" s="32"/>
      <c r="N1213" s="32"/>
      <c r="O1213" s="32"/>
      <c r="P1213" s="32"/>
      <c r="Q1213" s="32"/>
      <c r="R1213" s="32"/>
      <c r="S1213" s="32"/>
      <c r="T1213" s="32"/>
      <c r="U1213" s="32"/>
      <c r="V1213" s="32"/>
      <c r="W1213" s="32"/>
      <c r="X1213" s="32"/>
      <c r="Y1213" s="32"/>
      <c r="Z1213" s="32"/>
      <c r="AA1213" s="32"/>
      <c r="AB1213" s="32"/>
      <c r="AC1213" s="32"/>
      <c r="AD1213" s="32"/>
      <c r="AE1213" s="32"/>
      <c r="AF1213" s="32"/>
      <c r="AG1213" s="32"/>
      <c r="AH1213" s="32" t="b">
        <f>IFERROR(__xludf.DUMMYFUNCTION("""COMPUTED_VALUE"""),FALSE)</f>
        <v>0</v>
      </c>
      <c r="AI1213" s="32"/>
      <c r="AJ1213" s="32"/>
      <c r="AK1213" s="32"/>
      <c r="AL1213" s="32"/>
      <c r="AM1213" s="32"/>
      <c r="AN1213" s="32"/>
      <c r="AO1213" s="32"/>
      <c r="AP1213" s="32"/>
      <c r="AQ1213" s="32"/>
      <c r="AR1213" s="32"/>
      <c r="AS1213" s="32"/>
      <c r="AT1213" s="32"/>
      <c r="AU1213" s="32"/>
      <c r="AV1213" s="32"/>
      <c r="AW1213" s="32"/>
      <c r="AX1213" s="32"/>
    </row>
    <row r="1214">
      <c r="A1214" s="32"/>
      <c r="B1214" s="32"/>
      <c r="C1214" s="32"/>
      <c r="D1214" s="32"/>
      <c r="E1214" s="32">
        <f>IFERROR(__xludf.DUMMYFUNCTION("""COMPUTED_VALUE"""),1.0)</f>
        <v>1</v>
      </c>
      <c r="F1214" s="44">
        <f>IFERROR(__xludf.DUMMYFUNCTION("""COMPUTED_VALUE"""),0.0)</f>
        <v>0</v>
      </c>
      <c r="G1214" s="32"/>
      <c r="H1214" s="32"/>
      <c r="I1214" s="32"/>
      <c r="J1214" s="32"/>
      <c r="K1214" s="32"/>
      <c r="L1214" s="32"/>
      <c r="M1214" s="32"/>
      <c r="N1214" s="32"/>
      <c r="O1214" s="32"/>
      <c r="P1214" s="32"/>
      <c r="Q1214" s="32"/>
      <c r="R1214" s="32"/>
      <c r="S1214" s="32"/>
      <c r="T1214" s="32"/>
      <c r="U1214" s="32"/>
      <c r="V1214" s="32"/>
      <c r="W1214" s="32"/>
      <c r="X1214" s="32"/>
      <c r="Y1214" s="32"/>
      <c r="Z1214" s="32"/>
      <c r="AA1214" s="32"/>
      <c r="AB1214" s="32"/>
      <c r="AC1214" s="32"/>
      <c r="AD1214" s="32"/>
      <c r="AE1214" s="32"/>
      <c r="AF1214" s="32"/>
      <c r="AG1214" s="32"/>
      <c r="AH1214" s="32" t="b">
        <f>IFERROR(__xludf.DUMMYFUNCTION("""COMPUTED_VALUE"""),FALSE)</f>
        <v>0</v>
      </c>
      <c r="AI1214" s="32"/>
      <c r="AJ1214" s="32"/>
      <c r="AK1214" s="32"/>
      <c r="AL1214" s="32"/>
      <c r="AM1214" s="32"/>
      <c r="AN1214" s="32"/>
      <c r="AO1214" s="32"/>
      <c r="AP1214" s="32"/>
      <c r="AQ1214" s="32"/>
      <c r="AR1214" s="32"/>
      <c r="AS1214" s="32"/>
      <c r="AT1214" s="32"/>
      <c r="AU1214" s="32"/>
      <c r="AV1214" s="32"/>
      <c r="AW1214" s="32"/>
      <c r="AX1214" s="32"/>
    </row>
    <row r="1215">
      <c r="A1215" s="32"/>
      <c r="B1215" s="32"/>
      <c r="C1215" s="32"/>
      <c r="D1215" s="32"/>
      <c r="E1215" s="32">
        <f>IFERROR(__xludf.DUMMYFUNCTION("""COMPUTED_VALUE"""),1.0)</f>
        <v>1</v>
      </c>
      <c r="F1215" s="44">
        <f>IFERROR(__xludf.DUMMYFUNCTION("""COMPUTED_VALUE"""),0.0)</f>
        <v>0</v>
      </c>
      <c r="G1215" s="32"/>
      <c r="H1215" s="32"/>
      <c r="I1215" s="32"/>
      <c r="J1215" s="32"/>
      <c r="K1215" s="32"/>
      <c r="L1215" s="32"/>
      <c r="M1215" s="32"/>
      <c r="N1215" s="32"/>
      <c r="O1215" s="32"/>
      <c r="P1215" s="32"/>
      <c r="Q1215" s="32"/>
      <c r="R1215" s="32"/>
      <c r="S1215" s="32"/>
      <c r="T1215" s="32"/>
      <c r="U1215" s="32"/>
      <c r="V1215" s="32"/>
      <c r="W1215" s="32"/>
      <c r="X1215" s="32"/>
      <c r="Y1215" s="32"/>
      <c r="Z1215" s="32"/>
      <c r="AA1215" s="32"/>
      <c r="AB1215" s="32"/>
      <c r="AC1215" s="32"/>
      <c r="AD1215" s="32"/>
      <c r="AE1215" s="32"/>
      <c r="AF1215" s="32"/>
      <c r="AG1215" s="32"/>
      <c r="AH1215" s="32" t="b">
        <f>IFERROR(__xludf.DUMMYFUNCTION("""COMPUTED_VALUE"""),FALSE)</f>
        <v>0</v>
      </c>
      <c r="AI1215" s="32"/>
      <c r="AJ1215" s="32"/>
      <c r="AK1215" s="32"/>
      <c r="AL1215" s="32"/>
      <c r="AM1215" s="32"/>
      <c r="AN1215" s="32"/>
      <c r="AO1215" s="32"/>
      <c r="AP1215" s="32"/>
      <c r="AQ1215" s="32"/>
      <c r="AR1215" s="32"/>
      <c r="AS1215" s="32"/>
      <c r="AT1215" s="32"/>
      <c r="AU1215" s="32"/>
      <c r="AV1215" s="32"/>
      <c r="AW1215" s="32"/>
      <c r="AX1215" s="32"/>
    </row>
    <row r="1216">
      <c r="A1216" s="32"/>
      <c r="B1216" s="32"/>
      <c r="C1216" s="32"/>
      <c r="D1216" s="32"/>
      <c r="E1216" s="32">
        <f>IFERROR(__xludf.DUMMYFUNCTION("""COMPUTED_VALUE"""),1.0)</f>
        <v>1</v>
      </c>
      <c r="F1216" s="44">
        <f>IFERROR(__xludf.DUMMYFUNCTION("""COMPUTED_VALUE"""),0.0)</f>
        <v>0</v>
      </c>
      <c r="G1216" s="32"/>
      <c r="H1216" s="32"/>
      <c r="I1216" s="32"/>
      <c r="J1216" s="32"/>
      <c r="K1216" s="32"/>
      <c r="L1216" s="32"/>
      <c r="M1216" s="32"/>
      <c r="N1216" s="32"/>
      <c r="O1216" s="32"/>
      <c r="P1216" s="32"/>
      <c r="Q1216" s="32"/>
      <c r="R1216" s="32"/>
      <c r="S1216" s="32"/>
      <c r="T1216" s="32"/>
      <c r="U1216" s="32"/>
      <c r="V1216" s="32"/>
      <c r="W1216" s="32"/>
      <c r="X1216" s="32"/>
      <c r="Y1216" s="32"/>
      <c r="Z1216" s="32"/>
      <c r="AA1216" s="32"/>
      <c r="AB1216" s="32"/>
      <c r="AC1216" s="32"/>
      <c r="AD1216" s="32"/>
      <c r="AE1216" s="32"/>
      <c r="AF1216" s="32"/>
      <c r="AG1216" s="32"/>
      <c r="AH1216" s="32" t="b">
        <f>IFERROR(__xludf.DUMMYFUNCTION("""COMPUTED_VALUE"""),FALSE)</f>
        <v>0</v>
      </c>
      <c r="AI1216" s="32"/>
      <c r="AJ1216" s="32"/>
      <c r="AK1216" s="32"/>
      <c r="AL1216" s="32"/>
      <c r="AM1216" s="32"/>
      <c r="AN1216" s="32"/>
      <c r="AO1216" s="32"/>
      <c r="AP1216" s="32"/>
      <c r="AQ1216" s="32"/>
      <c r="AR1216" s="32"/>
      <c r="AS1216" s="32"/>
      <c r="AT1216" s="32"/>
      <c r="AU1216" s="32"/>
      <c r="AV1216" s="32"/>
      <c r="AW1216" s="32"/>
      <c r="AX1216" s="32"/>
    </row>
    <row r="1217">
      <c r="A1217" s="32"/>
      <c r="B1217" s="32"/>
      <c r="C1217" s="32"/>
      <c r="D1217" s="32"/>
      <c r="E1217" s="32">
        <f>IFERROR(__xludf.DUMMYFUNCTION("""COMPUTED_VALUE"""),1.0)</f>
        <v>1</v>
      </c>
      <c r="F1217" s="44">
        <f>IFERROR(__xludf.DUMMYFUNCTION("""COMPUTED_VALUE"""),0.0)</f>
        <v>0</v>
      </c>
      <c r="G1217" s="32"/>
      <c r="H1217" s="32"/>
      <c r="I1217" s="32"/>
      <c r="J1217" s="32"/>
      <c r="K1217" s="32"/>
      <c r="L1217" s="32"/>
      <c r="M1217" s="32"/>
      <c r="N1217" s="32"/>
      <c r="O1217" s="32"/>
      <c r="P1217" s="32"/>
      <c r="Q1217" s="32"/>
      <c r="R1217" s="32"/>
      <c r="S1217" s="32"/>
      <c r="T1217" s="32"/>
      <c r="U1217" s="32"/>
      <c r="V1217" s="32"/>
      <c r="W1217" s="32"/>
      <c r="X1217" s="32"/>
      <c r="Y1217" s="32"/>
      <c r="Z1217" s="32"/>
      <c r="AA1217" s="32"/>
      <c r="AB1217" s="32"/>
      <c r="AC1217" s="32"/>
      <c r="AD1217" s="32"/>
      <c r="AE1217" s="32"/>
      <c r="AF1217" s="32"/>
      <c r="AG1217" s="32"/>
      <c r="AH1217" s="32" t="b">
        <f>IFERROR(__xludf.DUMMYFUNCTION("""COMPUTED_VALUE"""),FALSE)</f>
        <v>0</v>
      </c>
      <c r="AI1217" s="32"/>
      <c r="AJ1217" s="32"/>
      <c r="AK1217" s="32"/>
      <c r="AL1217" s="32"/>
      <c r="AM1217" s="32"/>
      <c r="AN1217" s="32"/>
      <c r="AO1217" s="32"/>
      <c r="AP1217" s="32"/>
      <c r="AQ1217" s="32"/>
      <c r="AR1217" s="32"/>
      <c r="AS1217" s="32"/>
      <c r="AT1217" s="32"/>
      <c r="AU1217" s="32"/>
      <c r="AV1217" s="32"/>
      <c r="AW1217" s="32"/>
      <c r="AX1217" s="32"/>
    </row>
    <row r="1218">
      <c r="A1218" s="32"/>
      <c r="B1218" s="32"/>
      <c r="C1218" s="32"/>
      <c r="D1218" s="32"/>
      <c r="E1218" s="32">
        <f>IFERROR(__xludf.DUMMYFUNCTION("""COMPUTED_VALUE"""),1.0)</f>
        <v>1</v>
      </c>
      <c r="F1218" s="44">
        <f>IFERROR(__xludf.DUMMYFUNCTION("""COMPUTED_VALUE"""),0.0)</f>
        <v>0</v>
      </c>
      <c r="G1218" s="32"/>
      <c r="H1218" s="32"/>
      <c r="I1218" s="32"/>
      <c r="J1218" s="32"/>
      <c r="K1218" s="32"/>
      <c r="L1218" s="32"/>
      <c r="M1218" s="32"/>
      <c r="N1218" s="32"/>
      <c r="O1218" s="32"/>
      <c r="P1218" s="32"/>
      <c r="Q1218" s="32"/>
      <c r="R1218" s="32"/>
      <c r="S1218" s="32"/>
      <c r="T1218" s="32"/>
      <c r="U1218" s="32"/>
      <c r="V1218" s="32"/>
      <c r="W1218" s="32"/>
      <c r="X1218" s="32"/>
      <c r="Y1218" s="32"/>
      <c r="Z1218" s="32"/>
      <c r="AA1218" s="32"/>
      <c r="AB1218" s="32"/>
      <c r="AC1218" s="32"/>
      <c r="AD1218" s="32"/>
      <c r="AE1218" s="32"/>
      <c r="AF1218" s="32"/>
      <c r="AG1218" s="32"/>
      <c r="AH1218" s="32" t="b">
        <f>IFERROR(__xludf.DUMMYFUNCTION("""COMPUTED_VALUE"""),FALSE)</f>
        <v>0</v>
      </c>
      <c r="AI1218" s="32"/>
      <c r="AJ1218" s="32"/>
      <c r="AK1218" s="32"/>
      <c r="AL1218" s="32"/>
      <c r="AM1218" s="32"/>
      <c r="AN1218" s="32"/>
      <c r="AO1218" s="32"/>
      <c r="AP1218" s="32"/>
      <c r="AQ1218" s="32"/>
      <c r="AR1218" s="32"/>
      <c r="AS1218" s="32"/>
      <c r="AT1218" s="32"/>
      <c r="AU1218" s="32"/>
      <c r="AV1218" s="32"/>
      <c r="AW1218" s="32"/>
      <c r="AX1218" s="32"/>
    </row>
    <row r="1219">
      <c r="A1219" s="32"/>
      <c r="B1219" s="32"/>
      <c r="C1219" s="32"/>
      <c r="D1219" s="32"/>
      <c r="E1219" s="32">
        <f>IFERROR(__xludf.DUMMYFUNCTION("""COMPUTED_VALUE"""),1.0)</f>
        <v>1</v>
      </c>
      <c r="F1219" s="44">
        <f>IFERROR(__xludf.DUMMYFUNCTION("""COMPUTED_VALUE"""),0.0)</f>
        <v>0</v>
      </c>
      <c r="G1219" s="32"/>
      <c r="H1219" s="32"/>
      <c r="I1219" s="32"/>
      <c r="J1219" s="32"/>
      <c r="K1219" s="32"/>
      <c r="L1219" s="32"/>
      <c r="M1219" s="32"/>
      <c r="N1219" s="32"/>
      <c r="O1219" s="32"/>
      <c r="P1219" s="32"/>
      <c r="Q1219" s="32"/>
      <c r="R1219" s="32"/>
      <c r="S1219" s="32"/>
      <c r="T1219" s="32"/>
      <c r="U1219" s="32"/>
      <c r="V1219" s="32"/>
      <c r="W1219" s="32"/>
      <c r="X1219" s="32"/>
      <c r="Y1219" s="32"/>
      <c r="Z1219" s="32"/>
      <c r="AA1219" s="32"/>
      <c r="AB1219" s="32"/>
      <c r="AC1219" s="32"/>
      <c r="AD1219" s="32"/>
      <c r="AE1219" s="32"/>
      <c r="AF1219" s="32"/>
      <c r="AG1219" s="32"/>
      <c r="AH1219" s="32" t="b">
        <f>IFERROR(__xludf.DUMMYFUNCTION("""COMPUTED_VALUE"""),FALSE)</f>
        <v>0</v>
      </c>
      <c r="AI1219" s="32"/>
      <c r="AJ1219" s="32"/>
      <c r="AK1219" s="32"/>
      <c r="AL1219" s="32"/>
      <c r="AM1219" s="32"/>
      <c r="AN1219" s="32"/>
      <c r="AO1219" s="32"/>
      <c r="AP1219" s="32"/>
      <c r="AQ1219" s="32"/>
      <c r="AR1219" s="32"/>
      <c r="AS1219" s="32"/>
      <c r="AT1219" s="32"/>
      <c r="AU1219" s="32"/>
      <c r="AV1219" s="32"/>
      <c r="AW1219" s="32"/>
      <c r="AX1219" s="32"/>
    </row>
    <row r="1220">
      <c r="A1220" s="32"/>
      <c r="B1220" s="32"/>
      <c r="C1220" s="32"/>
      <c r="D1220" s="32"/>
      <c r="E1220" s="32">
        <f>IFERROR(__xludf.DUMMYFUNCTION("""COMPUTED_VALUE"""),1.0)</f>
        <v>1</v>
      </c>
      <c r="F1220" s="44">
        <f>IFERROR(__xludf.DUMMYFUNCTION("""COMPUTED_VALUE"""),0.0)</f>
        <v>0</v>
      </c>
      <c r="G1220" s="32"/>
      <c r="H1220" s="32"/>
      <c r="I1220" s="32"/>
      <c r="J1220" s="32"/>
      <c r="K1220" s="32"/>
      <c r="L1220" s="32"/>
      <c r="M1220" s="32"/>
      <c r="N1220" s="32"/>
      <c r="O1220" s="32"/>
      <c r="P1220" s="32"/>
      <c r="Q1220" s="32"/>
      <c r="R1220" s="32"/>
      <c r="S1220" s="32"/>
      <c r="T1220" s="32"/>
      <c r="U1220" s="32"/>
      <c r="V1220" s="32"/>
      <c r="W1220" s="32"/>
      <c r="X1220" s="32"/>
      <c r="Y1220" s="32"/>
      <c r="Z1220" s="32"/>
      <c r="AA1220" s="32"/>
      <c r="AB1220" s="32"/>
      <c r="AC1220" s="32"/>
      <c r="AD1220" s="32"/>
      <c r="AE1220" s="32"/>
      <c r="AF1220" s="32"/>
      <c r="AG1220" s="32"/>
      <c r="AH1220" s="32" t="b">
        <f>IFERROR(__xludf.DUMMYFUNCTION("""COMPUTED_VALUE"""),FALSE)</f>
        <v>0</v>
      </c>
      <c r="AI1220" s="32"/>
      <c r="AJ1220" s="32"/>
      <c r="AK1220" s="32"/>
      <c r="AL1220" s="32"/>
      <c r="AM1220" s="32"/>
      <c r="AN1220" s="32"/>
      <c r="AO1220" s="32"/>
      <c r="AP1220" s="32"/>
      <c r="AQ1220" s="32"/>
      <c r="AR1220" s="32"/>
      <c r="AS1220" s="32"/>
      <c r="AT1220" s="32"/>
      <c r="AU1220" s="32"/>
      <c r="AV1220" s="32"/>
      <c r="AW1220" s="32"/>
      <c r="AX1220" s="32"/>
    </row>
    <row r="1221">
      <c r="A1221" s="32"/>
      <c r="B1221" s="32"/>
      <c r="C1221" s="32"/>
      <c r="D1221" s="32"/>
      <c r="E1221" s="32">
        <f>IFERROR(__xludf.DUMMYFUNCTION("""COMPUTED_VALUE"""),1.0)</f>
        <v>1</v>
      </c>
      <c r="F1221" s="44">
        <f>IFERROR(__xludf.DUMMYFUNCTION("""COMPUTED_VALUE"""),0.0)</f>
        <v>0</v>
      </c>
      <c r="G1221" s="32"/>
      <c r="H1221" s="32"/>
      <c r="I1221" s="32"/>
      <c r="J1221" s="32"/>
      <c r="K1221" s="32"/>
      <c r="L1221" s="32"/>
      <c r="M1221" s="32"/>
      <c r="N1221" s="32"/>
      <c r="O1221" s="32"/>
      <c r="P1221" s="32"/>
      <c r="Q1221" s="32"/>
      <c r="R1221" s="32"/>
      <c r="S1221" s="32"/>
      <c r="T1221" s="32"/>
      <c r="U1221" s="32"/>
      <c r="V1221" s="32"/>
      <c r="W1221" s="32"/>
      <c r="X1221" s="32"/>
      <c r="Y1221" s="32"/>
      <c r="Z1221" s="32"/>
      <c r="AA1221" s="32"/>
      <c r="AB1221" s="32"/>
      <c r="AC1221" s="32"/>
      <c r="AD1221" s="32"/>
      <c r="AE1221" s="32"/>
      <c r="AF1221" s="32"/>
      <c r="AG1221" s="32"/>
      <c r="AH1221" s="32" t="b">
        <f>IFERROR(__xludf.DUMMYFUNCTION("""COMPUTED_VALUE"""),FALSE)</f>
        <v>0</v>
      </c>
      <c r="AI1221" s="32"/>
      <c r="AJ1221" s="32"/>
      <c r="AK1221" s="32"/>
      <c r="AL1221" s="32"/>
      <c r="AM1221" s="32"/>
      <c r="AN1221" s="32"/>
      <c r="AO1221" s="32"/>
      <c r="AP1221" s="32"/>
      <c r="AQ1221" s="32"/>
      <c r="AR1221" s="32"/>
      <c r="AS1221" s="32"/>
      <c r="AT1221" s="32"/>
      <c r="AU1221" s="32"/>
      <c r="AV1221" s="32"/>
      <c r="AW1221" s="32"/>
      <c r="AX1221" s="32"/>
    </row>
    <row r="1222">
      <c r="A1222" s="32"/>
      <c r="B1222" s="32"/>
      <c r="C1222" s="32"/>
      <c r="D1222" s="32"/>
      <c r="E1222" s="32">
        <f>IFERROR(__xludf.DUMMYFUNCTION("""COMPUTED_VALUE"""),1.0)</f>
        <v>1</v>
      </c>
      <c r="F1222" s="44">
        <f>IFERROR(__xludf.DUMMYFUNCTION("""COMPUTED_VALUE"""),0.0)</f>
        <v>0</v>
      </c>
      <c r="G1222" s="32"/>
      <c r="H1222" s="32"/>
      <c r="I1222" s="32"/>
      <c r="J1222" s="32"/>
      <c r="K1222" s="32"/>
      <c r="L1222" s="32"/>
      <c r="M1222" s="32"/>
      <c r="N1222" s="32"/>
      <c r="O1222" s="32"/>
      <c r="P1222" s="32"/>
      <c r="Q1222" s="32"/>
      <c r="R1222" s="32"/>
      <c r="S1222" s="32"/>
      <c r="T1222" s="32"/>
      <c r="U1222" s="32"/>
      <c r="V1222" s="32"/>
      <c r="W1222" s="32"/>
      <c r="X1222" s="32"/>
      <c r="Y1222" s="32"/>
      <c r="Z1222" s="32"/>
      <c r="AA1222" s="32"/>
      <c r="AB1222" s="32"/>
      <c r="AC1222" s="32"/>
      <c r="AD1222" s="32"/>
      <c r="AE1222" s="32"/>
      <c r="AF1222" s="32"/>
      <c r="AG1222" s="32"/>
      <c r="AH1222" s="32" t="b">
        <f>IFERROR(__xludf.DUMMYFUNCTION("""COMPUTED_VALUE"""),FALSE)</f>
        <v>0</v>
      </c>
      <c r="AI1222" s="32"/>
      <c r="AJ1222" s="32"/>
      <c r="AK1222" s="32"/>
      <c r="AL1222" s="32"/>
      <c r="AM1222" s="32"/>
      <c r="AN1222" s="32"/>
      <c r="AO1222" s="32"/>
      <c r="AP1222" s="32"/>
      <c r="AQ1222" s="32"/>
      <c r="AR1222" s="32"/>
      <c r="AS1222" s="32"/>
      <c r="AT1222" s="32"/>
      <c r="AU1222" s="32"/>
      <c r="AV1222" s="32"/>
      <c r="AW1222" s="32"/>
      <c r="AX1222" s="32"/>
    </row>
    <row r="1223">
      <c r="A1223" s="32"/>
      <c r="B1223" s="32"/>
      <c r="C1223" s="32"/>
      <c r="D1223" s="32"/>
      <c r="E1223" s="32">
        <f>IFERROR(__xludf.DUMMYFUNCTION("""COMPUTED_VALUE"""),1.0)</f>
        <v>1</v>
      </c>
      <c r="F1223" s="44">
        <f>IFERROR(__xludf.DUMMYFUNCTION("""COMPUTED_VALUE"""),0.0)</f>
        <v>0</v>
      </c>
      <c r="G1223" s="32"/>
      <c r="H1223" s="32"/>
      <c r="I1223" s="32"/>
      <c r="J1223" s="32"/>
      <c r="K1223" s="32"/>
      <c r="L1223" s="32"/>
      <c r="M1223" s="32"/>
      <c r="N1223" s="32"/>
      <c r="O1223" s="32"/>
      <c r="P1223" s="32"/>
      <c r="Q1223" s="32"/>
      <c r="R1223" s="32"/>
      <c r="S1223" s="32"/>
      <c r="T1223" s="32"/>
      <c r="U1223" s="32"/>
      <c r="V1223" s="32"/>
      <c r="W1223" s="32"/>
      <c r="X1223" s="32"/>
      <c r="Y1223" s="32"/>
      <c r="Z1223" s="32"/>
      <c r="AA1223" s="32"/>
      <c r="AB1223" s="32"/>
      <c r="AC1223" s="32"/>
      <c r="AD1223" s="32"/>
      <c r="AE1223" s="32"/>
      <c r="AF1223" s="32"/>
      <c r="AG1223" s="32"/>
      <c r="AH1223" s="32" t="b">
        <f>IFERROR(__xludf.DUMMYFUNCTION("""COMPUTED_VALUE"""),FALSE)</f>
        <v>0</v>
      </c>
      <c r="AI1223" s="32"/>
      <c r="AJ1223" s="32"/>
      <c r="AK1223" s="32"/>
      <c r="AL1223" s="32"/>
      <c r="AM1223" s="32"/>
      <c r="AN1223" s="32"/>
      <c r="AO1223" s="32"/>
      <c r="AP1223" s="32"/>
      <c r="AQ1223" s="32"/>
      <c r="AR1223" s="32"/>
      <c r="AS1223" s="32"/>
      <c r="AT1223" s="32"/>
      <c r="AU1223" s="32"/>
      <c r="AV1223" s="32"/>
      <c r="AW1223" s="32"/>
      <c r="AX1223" s="32"/>
    </row>
    <row r="1224">
      <c r="A1224" s="32"/>
      <c r="B1224" s="32"/>
      <c r="C1224" s="32"/>
      <c r="D1224" s="32"/>
      <c r="E1224" s="32">
        <f>IFERROR(__xludf.DUMMYFUNCTION("""COMPUTED_VALUE"""),1.0)</f>
        <v>1</v>
      </c>
      <c r="F1224" s="44">
        <f>IFERROR(__xludf.DUMMYFUNCTION("""COMPUTED_VALUE"""),0.0)</f>
        <v>0</v>
      </c>
      <c r="G1224" s="32"/>
      <c r="H1224" s="32"/>
      <c r="I1224" s="32"/>
      <c r="J1224" s="32"/>
      <c r="K1224" s="32"/>
      <c r="L1224" s="32"/>
      <c r="M1224" s="32"/>
      <c r="N1224" s="32"/>
      <c r="O1224" s="32"/>
      <c r="P1224" s="32"/>
      <c r="Q1224" s="32"/>
      <c r="R1224" s="32"/>
      <c r="S1224" s="32"/>
      <c r="T1224" s="32"/>
      <c r="U1224" s="32"/>
      <c r="V1224" s="32"/>
      <c r="W1224" s="32"/>
      <c r="X1224" s="32"/>
      <c r="Y1224" s="32"/>
      <c r="Z1224" s="32"/>
      <c r="AA1224" s="32"/>
      <c r="AB1224" s="32"/>
      <c r="AC1224" s="32"/>
      <c r="AD1224" s="32"/>
      <c r="AE1224" s="32"/>
      <c r="AF1224" s="32"/>
      <c r="AG1224" s="32"/>
      <c r="AH1224" s="32" t="b">
        <f>IFERROR(__xludf.DUMMYFUNCTION("""COMPUTED_VALUE"""),FALSE)</f>
        <v>0</v>
      </c>
      <c r="AI1224" s="32"/>
      <c r="AJ1224" s="32"/>
      <c r="AK1224" s="32"/>
      <c r="AL1224" s="32"/>
      <c r="AM1224" s="32"/>
      <c r="AN1224" s="32"/>
      <c r="AO1224" s="32"/>
      <c r="AP1224" s="32"/>
      <c r="AQ1224" s="32"/>
      <c r="AR1224" s="32"/>
      <c r="AS1224" s="32"/>
      <c r="AT1224" s="32"/>
      <c r="AU1224" s="32"/>
      <c r="AV1224" s="32"/>
      <c r="AW1224" s="32"/>
      <c r="AX1224" s="32"/>
    </row>
    <row r="1225">
      <c r="A1225" s="32"/>
      <c r="B1225" s="32"/>
      <c r="C1225" s="32"/>
      <c r="D1225" s="32"/>
      <c r="E1225" s="32">
        <f>IFERROR(__xludf.DUMMYFUNCTION("""COMPUTED_VALUE"""),1.0)</f>
        <v>1</v>
      </c>
      <c r="F1225" s="44">
        <f>IFERROR(__xludf.DUMMYFUNCTION("""COMPUTED_VALUE"""),0.0)</f>
        <v>0</v>
      </c>
      <c r="G1225" s="32"/>
      <c r="H1225" s="32"/>
      <c r="I1225" s="32"/>
      <c r="J1225" s="32"/>
      <c r="K1225" s="32"/>
      <c r="L1225" s="32"/>
      <c r="M1225" s="32"/>
      <c r="N1225" s="32"/>
      <c r="O1225" s="32"/>
      <c r="P1225" s="32"/>
      <c r="Q1225" s="32"/>
      <c r="R1225" s="32"/>
      <c r="S1225" s="32"/>
      <c r="T1225" s="32"/>
      <c r="U1225" s="32"/>
      <c r="V1225" s="32"/>
      <c r="W1225" s="32"/>
      <c r="X1225" s="32"/>
      <c r="Y1225" s="32"/>
      <c r="Z1225" s="32"/>
      <c r="AA1225" s="32"/>
      <c r="AB1225" s="32"/>
      <c r="AC1225" s="32"/>
      <c r="AD1225" s="32"/>
      <c r="AE1225" s="32"/>
      <c r="AF1225" s="32"/>
      <c r="AG1225" s="32"/>
      <c r="AH1225" s="32" t="b">
        <f>IFERROR(__xludf.DUMMYFUNCTION("""COMPUTED_VALUE"""),FALSE)</f>
        <v>0</v>
      </c>
      <c r="AI1225" s="32"/>
      <c r="AJ1225" s="32"/>
      <c r="AK1225" s="32"/>
      <c r="AL1225" s="32"/>
      <c r="AM1225" s="32"/>
      <c r="AN1225" s="32"/>
      <c r="AO1225" s="32"/>
      <c r="AP1225" s="32"/>
      <c r="AQ1225" s="32"/>
      <c r="AR1225" s="32"/>
      <c r="AS1225" s="32"/>
      <c r="AT1225" s="32"/>
      <c r="AU1225" s="32"/>
      <c r="AV1225" s="32"/>
      <c r="AW1225" s="32"/>
      <c r="AX1225" s="32"/>
    </row>
    <row r="1226">
      <c r="A1226" s="32"/>
      <c r="B1226" s="32"/>
      <c r="C1226" s="32"/>
      <c r="D1226" s="32"/>
      <c r="E1226" s="32">
        <f>IFERROR(__xludf.DUMMYFUNCTION("""COMPUTED_VALUE"""),1.0)</f>
        <v>1</v>
      </c>
      <c r="F1226" s="44">
        <f>IFERROR(__xludf.DUMMYFUNCTION("""COMPUTED_VALUE"""),0.0)</f>
        <v>0</v>
      </c>
      <c r="G1226" s="32"/>
      <c r="H1226" s="32"/>
      <c r="I1226" s="32"/>
      <c r="J1226" s="32"/>
      <c r="K1226" s="32"/>
      <c r="L1226" s="32"/>
      <c r="M1226" s="32"/>
      <c r="N1226" s="32"/>
      <c r="O1226" s="32"/>
      <c r="P1226" s="32"/>
      <c r="Q1226" s="32"/>
      <c r="R1226" s="32"/>
      <c r="S1226" s="32"/>
      <c r="T1226" s="32"/>
      <c r="U1226" s="32"/>
      <c r="V1226" s="32"/>
      <c r="W1226" s="32"/>
      <c r="X1226" s="32"/>
      <c r="Y1226" s="32"/>
      <c r="Z1226" s="32"/>
      <c r="AA1226" s="32"/>
      <c r="AB1226" s="32"/>
      <c r="AC1226" s="32"/>
      <c r="AD1226" s="32"/>
      <c r="AE1226" s="32"/>
      <c r="AF1226" s="32"/>
      <c r="AG1226" s="32"/>
      <c r="AH1226" s="32" t="b">
        <f>IFERROR(__xludf.DUMMYFUNCTION("""COMPUTED_VALUE"""),FALSE)</f>
        <v>0</v>
      </c>
      <c r="AI1226" s="32"/>
      <c r="AJ1226" s="32"/>
      <c r="AK1226" s="32"/>
      <c r="AL1226" s="32"/>
      <c r="AM1226" s="32"/>
      <c r="AN1226" s="32"/>
      <c r="AO1226" s="32"/>
      <c r="AP1226" s="32"/>
      <c r="AQ1226" s="32"/>
      <c r="AR1226" s="32"/>
      <c r="AS1226" s="32"/>
      <c r="AT1226" s="32"/>
      <c r="AU1226" s="32"/>
      <c r="AV1226" s="32"/>
      <c r="AW1226" s="32"/>
      <c r="AX1226" s="32"/>
    </row>
    <row r="1227">
      <c r="A1227" s="32"/>
      <c r="B1227" s="32"/>
      <c r="C1227" s="32"/>
      <c r="D1227" s="32"/>
      <c r="E1227" s="32">
        <f>IFERROR(__xludf.DUMMYFUNCTION("""COMPUTED_VALUE"""),1.0)</f>
        <v>1</v>
      </c>
      <c r="F1227" s="44">
        <f>IFERROR(__xludf.DUMMYFUNCTION("""COMPUTED_VALUE"""),0.0)</f>
        <v>0</v>
      </c>
      <c r="G1227" s="32"/>
      <c r="H1227" s="32"/>
      <c r="I1227" s="32"/>
      <c r="J1227" s="32"/>
      <c r="K1227" s="32"/>
      <c r="L1227" s="32"/>
      <c r="M1227" s="32"/>
      <c r="N1227" s="32"/>
      <c r="O1227" s="32"/>
      <c r="P1227" s="32"/>
      <c r="Q1227" s="32"/>
      <c r="R1227" s="32"/>
      <c r="S1227" s="32"/>
      <c r="T1227" s="32"/>
      <c r="U1227" s="32"/>
      <c r="V1227" s="32"/>
      <c r="W1227" s="32"/>
      <c r="X1227" s="32"/>
      <c r="Y1227" s="32"/>
      <c r="Z1227" s="32"/>
      <c r="AA1227" s="32"/>
      <c r="AB1227" s="32"/>
      <c r="AC1227" s="32"/>
      <c r="AD1227" s="32"/>
      <c r="AE1227" s="32"/>
      <c r="AF1227" s="32"/>
      <c r="AG1227" s="32"/>
      <c r="AH1227" s="32" t="b">
        <f>IFERROR(__xludf.DUMMYFUNCTION("""COMPUTED_VALUE"""),FALSE)</f>
        <v>0</v>
      </c>
      <c r="AI1227" s="32"/>
      <c r="AJ1227" s="32"/>
      <c r="AK1227" s="32"/>
      <c r="AL1227" s="32"/>
      <c r="AM1227" s="32"/>
      <c r="AN1227" s="32"/>
      <c r="AO1227" s="32"/>
      <c r="AP1227" s="32"/>
      <c r="AQ1227" s="32"/>
      <c r="AR1227" s="32"/>
      <c r="AS1227" s="32"/>
      <c r="AT1227" s="32"/>
      <c r="AU1227" s="32"/>
      <c r="AV1227" s="32"/>
      <c r="AW1227" s="32"/>
      <c r="AX1227" s="32"/>
    </row>
    <row r="1228">
      <c r="A1228" s="32"/>
      <c r="B1228" s="32"/>
      <c r="C1228" s="32"/>
      <c r="D1228" s="32"/>
      <c r="E1228" s="32">
        <f>IFERROR(__xludf.DUMMYFUNCTION("""COMPUTED_VALUE"""),1.0)</f>
        <v>1</v>
      </c>
      <c r="F1228" s="44">
        <f>IFERROR(__xludf.DUMMYFUNCTION("""COMPUTED_VALUE"""),0.0)</f>
        <v>0</v>
      </c>
      <c r="G1228" s="32"/>
      <c r="H1228" s="32"/>
      <c r="I1228" s="32"/>
      <c r="J1228" s="32"/>
      <c r="K1228" s="32"/>
      <c r="L1228" s="32"/>
      <c r="M1228" s="32"/>
      <c r="N1228" s="32"/>
      <c r="O1228" s="32"/>
      <c r="P1228" s="32"/>
      <c r="Q1228" s="32"/>
      <c r="R1228" s="32"/>
      <c r="S1228" s="32"/>
      <c r="T1228" s="32"/>
      <c r="U1228" s="32"/>
      <c r="V1228" s="32"/>
      <c r="W1228" s="32"/>
      <c r="X1228" s="32"/>
      <c r="Y1228" s="32"/>
      <c r="Z1228" s="32"/>
      <c r="AA1228" s="32"/>
      <c r="AB1228" s="32"/>
      <c r="AC1228" s="32"/>
      <c r="AD1228" s="32"/>
      <c r="AE1228" s="32"/>
      <c r="AF1228" s="32"/>
      <c r="AG1228" s="32"/>
      <c r="AH1228" s="32" t="b">
        <f>IFERROR(__xludf.DUMMYFUNCTION("""COMPUTED_VALUE"""),FALSE)</f>
        <v>0</v>
      </c>
      <c r="AI1228" s="32"/>
      <c r="AJ1228" s="32"/>
      <c r="AK1228" s="32"/>
      <c r="AL1228" s="32"/>
      <c r="AM1228" s="32"/>
      <c r="AN1228" s="32"/>
      <c r="AO1228" s="32"/>
      <c r="AP1228" s="32"/>
      <c r="AQ1228" s="32"/>
      <c r="AR1228" s="32"/>
      <c r="AS1228" s="32"/>
      <c r="AT1228" s="32"/>
      <c r="AU1228" s="32"/>
      <c r="AV1228" s="32"/>
      <c r="AW1228" s="32"/>
      <c r="AX1228" s="32"/>
    </row>
    <row r="1229">
      <c r="A1229" s="32"/>
      <c r="B1229" s="32"/>
      <c r="C1229" s="32"/>
      <c r="D1229" s="32"/>
      <c r="E1229" s="32">
        <f>IFERROR(__xludf.DUMMYFUNCTION("""COMPUTED_VALUE"""),1.0)</f>
        <v>1</v>
      </c>
      <c r="F1229" s="44">
        <f>IFERROR(__xludf.DUMMYFUNCTION("""COMPUTED_VALUE"""),0.0)</f>
        <v>0</v>
      </c>
      <c r="G1229" s="32"/>
      <c r="H1229" s="32"/>
      <c r="I1229" s="32"/>
      <c r="J1229" s="32"/>
      <c r="K1229" s="32"/>
      <c r="L1229" s="32"/>
      <c r="M1229" s="32"/>
      <c r="N1229" s="32"/>
      <c r="O1229" s="32"/>
      <c r="P1229" s="32"/>
      <c r="Q1229" s="32"/>
      <c r="R1229" s="32"/>
      <c r="S1229" s="32"/>
      <c r="T1229" s="32"/>
      <c r="U1229" s="32"/>
      <c r="V1229" s="32"/>
      <c r="W1229" s="32"/>
      <c r="X1229" s="32"/>
      <c r="Y1229" s="32"/>
      <c r="Z1229" s="32"/>
      <c r="AA1229" s="32"/>
      <c r="AB1229" s="32"/>
      <c r="AC1229" s="32"/>
      <c r="AD1229" s="32"/>
      <c r="AE1229" s="32"/>
      <c r="AF1229" s="32"/>
      <c r="AG1229" s="32"/>
      <c r="AH1229" s="32" t="b">
        <f>IFERROR(__xludf.DUMMYFUNCTION("""COMPUTED_VALUE"""),FALSE)</f>
        <v>0</v>
      </c>
      <c r="AI1229" s="32"/>
      <c r="AJ1229" s="32"/>
      <c r="AK1229" s="32"/>
      <c r="AL1229" s="32"/>
      <c r="AM1229" s="32"/>
      <c r="AN1229" s="32"/>
      <c r="AO1229" s="32"/>
      <c r="AP1229" s="32"/>
      <c r="AQ1229" s="32"/>
      <c r="AR1229" s="32"/>
      <c r="AS1229" s="32"/>
      <c r="AT1229" s="32"/>
      <c r="AU1229" s="32"/>
      <c r="AV1229" s="32"/>
      <c r="AW1229" s="32"/>
      <c r="AX1229" s="32"/>
    </row>
    <row r="1230">
      <c r="A1230" s="32"/>
      <c r="B1230" s="32"/>
      <c r="C1230" s="32"/>
      <c r="D1230" s="32"/>
      <c r="E1230" s="32">
        <f>IFERROR(__xludf.DUMMYFUNCTION("""COMPUTED_VALUE"""),1.0)</f>
        <v>1</v>
      </c>
      <c r="F1230" s="44">
        <f>IFERROR(__xludf.DUMMYFUNCTION("""COMPUTED_VALUE"""),0.0)</f>
        <v>0</v>
      </c>
      <c r="G1230" s="32"/>
      <c r="H1230" s="32"/>
      <c r="I1230" s="32"/>
      <c r="J1230" s="32"/>
      <c r="K1230" s="32"/>
      <c r="L1230" s="32"/>
      <c r="M1230" s="32"/>
      <c r="N1230" s="32"/>
      <c r="O1230" s="32"/>
      <c r="P1230" s="32"/>
      <c r="Q1230" s="32"/>
      <c r="R1230" s="32"/>
      <c r="S1230" s="32"/>
      <c r="T1230" s="32"/>
      <c r="U1230" s="32"/>
      <c r="V1230" s="32"/>
      <c r="W1230" s="32"/>
      <c r="X1230" s="32"/>
      <c r="Y1230" s="32"/>
      <c r="Z1230" s="32"/>
      <c r="AA1230" s="32"/>
      <c r="AB1230" s="32"/>
      <c r="AC1230" s="32"/>
      <c r="AD1230" s="32"/>
      <c r="AE1230" s="32"/>
      <c r="AF1230" s="32"/>
      <c r="AG1230" s="32"/>
      <c r="AH1230" s="32" t="b">
        <f>IFERROR(__xludf.DUMMYFUNCTION("""COMPUTED_VALUE"""),FALSE)</f>
        <v>0</v>
      </c>
      <c r="AI1230" s="32"/>
      <c r="AJ1230" s="32"/>
      <c r="AK1230" s="32"/>
      <c r="AL1230" s="32"/>
      <c r="AM1230" s="32"/>
      <c r="AN1230" s="32"/>
      <c r="AO1230" s="32"/>
      <c r="AP1230" s="32"/>
      <c r="AQ1230" s="32"/>
      <c r="AR1230" s="32"/>
      <c r="AS1230" s="32"/>
      <c r="AT1230" s="32"/>
      <c r="AU1230" s="32"/>
      <c r="AV1230" s="32"/>
      <c r="AW1230" s="32"/>
      <c r="AX1230" s="32"/>
    </row>
    <row r="1231">
      <c r="A1231" s="32"/>
      <c r="B1231" s="32"/>
      <c r="C1231" s="32"/>
      <c r="D1231" s="32"/>
      <c r="E1231" s="32">
        <f>IFERROR(__xludf.DUMMYFUNCTION("""COMPUTED_VALUE"""),1.0)</f>
        <v>1</v>
      </c>
      <c r="F1231" s="44">
        <f>IFERROR(__xludf.DUMMYFUNCTION("""COMPUTED_VALUE"""),0.0)</f>
        <v>0</v>
      </c>
      <c r="G1231" s="32"/>
      <c r="H1231" s="32"/>
      <c r="I1231" s="32"/>
      <c r="J1231" s="32"/>
      <c r="K1231" s="32"/>
      <c r="L1231" s="32"/>
      <c r="M1231" s="32"/>
      <c r="N1231" s="32"/>
      <c r="O1231" s="32"/>
      <c r="P1231" s="32"/>
      <c r="Q1231" s="32"/>
      <c r="R1231" s="32"/>
      <c r="S1231" s="32"/>
      <c r="T1231" s="32"/>
      <c r="U1231" s="32"/>
      <c r="V1231" s="32"/>
      <c r="W1231" s="32"/>
      <c r="X1231" s="32"/>
      <c r="Y1231" s="32"/>
      <c r="Z1231" s="32"/>
      <c r="AA1231" s="32"/>
      <c r="AB1231" s="32"/>
      <c r="AC1231" s="32"/>
      <c r="AD1231" s="32"/>
      <c r="AE1231" s="32"/>
      <c r="AF1231" s="32"/>
      <c r="AG1231" s="32"/>
      <c r="AH1231" s="32" t="b">
        <f>IFERROR(__xludf.DUMMYFUNCTION("""COMPUTED_VALUE"""),FALSE)</f>
        <v>0</v>
      </c>
      <c r="AI1231" s="32"/>
      <c r="AJ1231" s="32"/>
      <c r="AK1231" s="32"/>
      <c r="AL1231" s="32"/>
      <c r="AM1231" s="32"/>
      <c r="AN1231" s="32"/>
      <c r="AO1231" s="32"/>
      <c r="AP1231" s="32"/>
      <c r="AQ1231" s="32"/>
      <c r="AR1231" s="32"/>
      <c r="AS1231" s="32"/>
      <c r="AT1231" s="32"/>
      <c r="AU1231" s="32"/>
      <c r="AV1231" s="32"/>
      <c r="AW1231" s="32"/>
      <c r="AX1231" s="32"/>
    </row>
    <row r="1232">
      <c r="A1232" s="32"/>
      <c r="B1232" s="32"/>
      <c r="C1232" s="32"/>
      <c r="D1232" s="32"/>
      <c r="E1232" s="32">
        <f>IFERROR(__xludf.DUMMYFUNCTION("""COMPUTED_VALUE"""),1.0)</f>
        <v>1</v>
      </c>
      <c r="F1232" s="44">
        <f>IFERROR(__xludf.DUMMYFUNCTION("""COMPUTED_VALUE"""),0.0)</f>
        <v>0</v>
      </c>
      <c r="G1232" s="32"/>
      <c r="H1232" s="32"/>
      <c r="I1232" s="32"/>
      <c r="J1232" s="32"/>
      <c r="K1232" s="32"/>
      <c r="L1232" s="32"/>
      <c r="M1232" s="32"/>
      <c r="N1232" s="32"/>
      <c r="O1232" s="32"/>
      <c r="P1232" s="32"/>
      <c r="Q1232" s="32"/>
      <c r="R1232" s="32"/>
      <c r="S1232" s="32"/>
      <c r="T1232" s="32"/>
      <c r="U1232" s="32"/>
      <c r="V1232" s="32"/>
      <c r="W1232" s="32"/>
      <c r="X1232" s="32"/>
      <c r="Y1232" s="32"/>
      <c r="Z1232" s="32"/>
      <c r="AA1232" s="32"/>
      <c r="AB1232" s="32"/>
      <c r="AC1232" s="32"/>
      <c r="AD1232" s="32"/>
      <c r="AE1232" s="32"/>
      <c r="AF1232" s="32"/>
      <c r="AG1232" s="32"/>
      <c r="AH1232" s="32" t="b">
        <f>IFERROR(__xludf.DUMMYFUNCTION("""COMPUTED_VALUE"""),FALSE)</f>
        <v>0</v>
      </c>
      <c r="AI1232" s="32"/>
      <c r="AJ1232" s="32"/>
      <c r="AK1232" s="32"/>
      <c r="AL1232" s="32"/>
      <c r="AM1232" s="32"/>
      <c r="AN1232" s="32"/>
      <c r="AO1232" s="32"/>
      <c r="AP1232" s="32"/>
      <c r="AQ1232" s="32"/>
      <c r="AR1232" s="32"/>
      <c r="AS1232" s="32"/>
      <c r="AT1232" s="32"/>
      <c r="AU1232" s="32"/>
      <c r="AV1232" s="32"/>
      <c r="AW1232" s="32"/>
      <c r="AX1232" s="32"/>
    </row>
    <row r="1233">
      <c r="A1233" s="32"/>
      <c r="B1233" s="32"/>
      <c r="C1233" s="32"/>
      <c r="D1233" s="32"/>
      <c r="E1233" s="32">
        <f>IFERROR(__xludf.DUMMYFUNCTION("""COMPUTED_VALUE"""),1.0)</f>
        <v>1</v>
      </c>
      <c r="F1233" s="44">
        <f>IFERROR(__xludf.DUMMYFUNCTION("""COMPUTED_VALUE"""),0.0)</f>
        <v>0</v>
      </c>
      <c r="G1233" s="32"/>
      <c r="H1233" s="32"/>
      <c r="I1233" s="32"/>
      <c r="J1233" s="32"/>
      <c r="K1233" s="32"/>
      <c r="L1233" s="32"/>
      <c r="M1233" s="32"/>
      <c r="N1233" s="32"/>
      <c r="O1233" s="32"/>
      <c r="P1233" s="32"/>
      <c r="Q1233" s="32"/>
      <c r="R1233" s="32"/>
      <c r="S1233" s="32"/>
      <c r="T1233" s="32"/>
      <c r="U1233" s="32"/>
      <c r="V1233" s="32"/>
      <c r="W1233" s="32"/>
      <c r="X1233" s="32"/>
      <c r="Y1233" s="32"/>
      <c r="Z1233" s="32"/>
      <c r="AA1233" s="32"/>
      <c r="AB1233" s="32"/>
      <c r="AC1233" s="32"/>
      <c r="AD1233" s="32"/>
      <c r="AE1233" s="32"/>
      <c r="AF1233" s="32"/>
      <c r="AG1233" s="32"/>
      <c r="AH1233" s="32" t="b">
        <f>IFERROR(__xludf.DUMMYFUNCTION("""COMPUTED_VALUE"""),FALSE)</f>
        <v>0</v>
      </c>
      <c r="AI1233" s="32"/>
      <c r="AJ1233" s="32"/>
      <c r="AK1233" s="32"/>
      <c r="AL1233" s="32"/>
      <c r="AM1233" s="32"/>
      <c r="AN1233" s="32"/>
      <c r="AO1233" s="32"/>
      <c r="AP1233" s="32"/>
      <c r="AQ1233" s="32"/>
      <c r="AR1233" s="32"/>
      <c r="AS1233" s="32"/>
      <c r="AT1233" s="32"/>
      <c r="AU1233" s="32"/>
      <c r="AV1233" s="32"/>
      <c r="AW1233" s="32"/>
      <c r="AX1233" s="32"/>
    </row>
    <row r="1234">
      <c r="A1234" s="32"/>
      <c r="B1234" s="32"/>
      <c r="C1234" s="32"/>
      <c r="D1234" s="32"/>
      <c r="E1234" s="32">
        <f>IFERROR(__xludf.DUMMYFUNCTION("""COMPUTED_VALUE"""),1.0)</f>
        <v>1</v>
      </c>
      <c r="F1234" s="44">
        <f>IFERROR(__xludf.DUMMYFUNCTION("""COMPUTED_VALUE"""),0.0)</f>
        <v>0</v>
      </c>
      <c r="G1234" s="32"/>
      <c r="H1234" s="32"/>
      <c r="I1234" s="32"/>
      <c r="J1234" s="32"/>
      <c r="K1234" s="32"/>
      <c r="L1234" s="32"/>
      <c r="M1234" s="32"/>
      <c r="N1234" s="32"/>
      <c r="O1234" s="32"/>
      <c r="P1234" s="32"/>
      <c r="Q1234" s="32"/>
      <c r="R1234" s="32"/>
      <c r="S1234" s="32"/>
      <c r="T1234" s="32"/>
      <c r="U1234" s="32"/>
      <c r="V1234" s="32"/>
      <c r="W1234" s="32"/>
      <c r="X1234" s="32"/>
      <c r="Y1234" s="32"/>
      <c r="Z1234" s="32"/>
      <c r="AA1234" s="32"/>
      <c r="AB1234" s="32"/>
      <c r="AC1234" s="32"/>
      <c r="AD1234" s="32"/>
      <c r="AE1234" s="32"/>
      <c r="AF1234" s="32"/>
      <c r="AG1234" s="32"/>
      <c r="AH1234" s="32" t="b">
        <f>IFERROR(__xludf.DUMMYFUNCTION("""COMPUTED_VALUE"""),FALSE)</f>
        <v>0</v>
      </c>
      <c r="AI1234" s="32"/>
      <c r="AJ1234" s="32"/>
      <c r="AK1234" s="32"/>
      <c r="AL1234" s="32"/>
      <c r="AM1234" s="32"/>
      <c r="AN1234" s="32"/>
      <c r="AO1234" s="32"/>
      <c r="AP1234" s="32"/>
      <c r="AQ1234" s="32"/>
      <c r="AR1234" s="32"/>
      <c r="AS1234" s="32"/>
      <c r="AT1234" s="32"/>
      <c r="AU1234" s="32"/>
      <c r="AV1234" s="32"/>
      <c r="AW1234" s="32"/>
      <c r="AX1234" s="32"/>
    </row>
    <row r="1235">
      <c r="A1235" s="32"/>
      <c r="B1235" s="32"/>
      <c r="C1235" s="32"/>
      <c r="D1235" s="32"/>
      <c r="E1235" s="32">
        <f>IFERROR(__xludf.DUMMYFUNCTION("""COMPUTED_VALUE"""),1.0)</f>
        <v>1</v>
      </c>
      <c r="F1235" s="44">
        <f>IFERROR(__xludf.DUMMYFUNCTION("""COMPUTED_VALUE"""),0.0)</f>
        <v>0</v>
      </c>
      <c r="G1235" s="32"/>
      <c r="H1235" s="32"/>
      <c r="I1235" s="32"/>
      <c r="J1235" s="32"/>
      <c r="K1235" s="32"/>
      <c r="L1235" s="32"/>
      <c r="M1235" s="32"/>
      <c r="N1235" s="32"/>
      <c r="O1235" s="32"/>
      <c r="P1235" s="32"/>
      <c r="Q1235" s="32"/>
      <c r="R1235" s="32"/>
      <c r="S1235" s="32"/>
      <c r="T1235" s="32"/>
      <c r="U1235" s="32"/>
      <c r="V1235" s="32"/>
      <c r="W1235" s="32"/>
      <c r="X1235" s="32"/>
      <c r="Y1235" s="32"/>
      <c r="Z1235" s="32"/>
      <c r="AA1235" s="32"/>
      <c r="AB1235" s="32"/>
      <c r="AC1235" s="32"/>
      <c r="AD1235" s="32"/>
      <c r="AE1235" s="32"/>
      <c r="AF1235" s="32"/>
      <c r="AG1235" s="32"/>
      <c r="AH1235" s="32" t="b">
        <f>IFERROR(__xludf.DUMMYFUNCTION("""COMPUTED_VALUE"""),FALSE)</f>
        <v>0</v>
      </c>
      <c r="AI1235" s="32"/>
      <c r="AJ1235" s="32"/>
      <c r="AK1235" s="32"/>
      <c r="AL1235" s="32"/>
      <c r="AM1235" s="32"/>
      <c r="AN1235" s="32"/>
      <c r="AO1235" s="32"/>
      <c r="AP1235" s="32"/>
      <c r="AQ1235" s="32"/>
      <c r="AR1235" s="32"/>
      <c r="AS1235" s="32"/>
      <c r="AT1235" s="32"/>
      <c r="AU1235" s="32"/>
      <c r="AV1235" s="32"/>
      <c r="AW1235" s="32"/>
      <c r="AX1235" s="32"/>
    </row>
    <row r="1236">
      <c r="A1236" s="32"/>
      <c r="B1236" s="32"/>
      <c r="C1236" s="32"/>
      <c r="D1236" s="32"/>
      <c r="E1236" s="32">
        <f>IFERROR(__xludf.DUMMYFUNCTION("""COMPUTED_VALUE"""),1.0)</f>
        <v>1</v>
      </c>
      <c r="F1236" s="44">
        <f>IFERROR(__xludf.DUMMYFUNCTION("""COMPUTED_VALUE"""),0.0)</f>
        <v>0</v>
      </c>
      <c r="G1236" s="32"/>
      <c r="H1236" s="32"/>
      <c r="I1236" s="32"/>
      <c r="J1236" s="32"/>
      <c r="K1236" s="32"/>
      <c r="L1236" s="32"/>
      <c r="M1236" s="32"/>
      <c r="N1236" s="32"/>
      <c r="O1236" s="32"/>
      <c r="P1236" s="32"/>
      <c r="Q1236" s="32"/>
      <c r="R1236" s="32"/>
      <c r="S1236" s="32"/>
      <c r="T1236" s="32"/>
      <c r="U1236" s="32"/>
      <c r="V1236" s="32"/>
      <c r="W1236" s="32"/>
      <c r="X1236" s="32"/>
      <c r="Y1236" s="32"/>
      <c r="Z1236" s="32"/>
      <c r="AA1236" s="32"/>
      <c r="AB1236" s="32"/>
      <c r="AC1236" s="32"/>
      <c r="AD1236" s="32"/>
      <c r="AE1236" s="32"/>
      <c r="AF1236" s="32"/>
      <c r="AG1236" s="32"/>
      <c r="AH1236" s="32" t="b">
        <f>IFERROR(__xludf.DUMMYFUNCTION("""COMPUTED_VALUE"""),FALSE)</f>
        <v>0</v>
      </c>
      <c r="AI1236" s="32"/>
      <c r="AJ1236" s="32"/>
      <c r="AK1236" s="32"/>
      <c r="AL1236" s="32"/>
      <c r="AM1236" s="32"/>
      <c r="AN1236" s="32"/>
      <c r="AO1236" s="32"/>
      <c r="AP1236" s="32"/>
      <c r="AQ1236" s="32"/>
      <c r="AR1236" s="32"/>
      <c r="AS1236" s="32"/>
      <c r="AT1236" s="32"/>
      <c r="AU1236" s="32"/>
      <c r="AV1236" s="32"/>
      <c r="AW1236" s="32"/>
      <c r="AX1236" s="32"/>
    </row>
    <row r="1237">
      <c r="A1237" s="32"/>
      <c r="B1237" s="32"/>
      <c r="C1237" s="32"/>
      <c r="D1237" s="32"/>
      <c r="E1237" s="32">
        <f>IFERROR(__xludf.DUMMYFUNCTION("""COMPUTED_VALUE"""),1.0)</f>
        <v>1</v>
      </c>
      <c r="F1237" s="44">
        <f>IFERROR(__xludf.DUMMYFUNCTION("""COMPUTED_VALUE"""),0.0)</f>
        <v>0</v>
      </c>
      <c r="G1237" s="32"/>
      <c r="H1237" s="32"/>
      <c r="I1237" s="32"/>
      <c r="J1237" s="32"/>
      <c r="K1237" s="32"/>
      <c r="L1237" s="32"/>
      <c r="M1237" s="32"/>
      <c r="N1237" s="32"/>
      <c r="O1237" s="32"/>
      <c r="P1237" s="32"/>
      <c r="Q1237" s="32"/>
      <c r="R1237" s="32"/>
      <c r="S1237" s="32"/>
      <c r="T1237" s="32"/>
      <c r="U1237" s="32"/>
      <c r="V1237" s="32"/>
      <c r="W1237" s="32"/>
      <c r="X1237" s="32"/>
      <c r="Y1237" s="32"/>
      <c r="Z1237" s="32"/>
      <c r="AA1237" s="32"/>
      <c r="AB1237" s="32"/>
      <c r="AC1237" s="32"/>
      <c r="AD1237" s="32"/>
      <c r="AE1237" s="32"/>
      <c r="AF1237" s="32"/>
      <c r="AG1237" s="32"/>
      <c r="AH1237" s="32" t="b">
        <f>IFERROR(__xludf.DUMMYFUNCTION("""COMPUTED_VALUE"""),FALSE)</f>
        <v>0</v>
      </c>
      <c r="AI1237" s="32"/>
      <c r="AJ1237" s="32"/>
      <c r="AK1237" s="32"/>
      <c r="AL1237" s="32"/>
      <c r="AM1237" s="32"/>
      <c r="AN1237" s="32"/>
      <c r="AO1237" s="32"/>
      <c r="AP1237" s="32"/>
      <c r="AQ1237" s="32"/>
      <c r="AR1237" s="32"/>
      <c r="AS1237" s="32"/>
      <c r="AT1237" s="32"/>
      <c r="AU1237" s="32"/>
      <c r="AV1237" s="32"/>
      <c r="AW1237" s="32"/>
      <c r="AX1237" s="32"/>
    </row>
    <row r="1238">
      <c r="A1238" s="32"/>
      <c r="B1238" s="32"/>
      <c r="C1238" s="32"/>
      <c r="D1238" s="32"/>
      <c r="E1238" s="32">
        <f>IFERROR(__xludf.DUMMYFUNCTION("""COMPUTED_VALUE"""),1.0)</f>
        <v>1</v>
      </c>
      <c r="F1238" s="44">
        <f>IFERROR(__xludf.DUMMYFUNCTION("""COMPUTED_VALUE"""),0.0)</f>
        <v>0</v>
      </c>
      <c r="G1238" s="32"/>
      <c r="H1238" s="32"/>
      <c r="I1238" s="32"/>
      <c r="J1238" s="32"/>
      <c r="K1238" s="32"/>
      <c r="L1238" s="32"/>
      <c r="M1238" s="32"/>
      <c r="N1238" s="32"/>
      <c r="O1238" s="32"/>
      <c r="P1238" s="32"/>
      <c r="Q1238" s="32"/>
      <c r="R1238" s="32"/>
      <c r="S1238" s="32"/>
      <c r="T1238" s="32"/>
      <c r="U1238" s="32"/>
      <c r="V1238" s="32"/>
      <c r="W1238" s="32"/>
      <c r="X1238" s="32"/>
      <c r="Y1238" s="32"/>
      <c r="Z1238" s="32"/>
      <c r="AA1238" s="32"/>
      <c r="AB1238" s="32"/>
      <c r="AC1238" s="32"/>
      <c r="AD1238" s="32"/>
      <c r="AE1238" s="32"/>
      <c r="AF1238" s="32"/>
      <c r="AG1238" s="32"/>
      <c r="AH1238" s="32" t="b">
        <f>IFERROR(__xludf.DUMMYFUNCTION("""COMPUTED_VALUE"""),FALSE)</f>
        <v>0</v>
      </c>
      <c r="AI1238" s="32"/>
      <c r="AJ1238" s="32"/>
      <c r="AK1238" s="32"/>
      <c r="AL1238" s="32"/>
      <c r="AM1238" s="32"/>
      <c r="AN1238" s="32"/>
      <c r="AO1238" s="32"/>
      <c r="AP1238" s="32"/>
      <c r="AQ1238" s="32"/>
      <c r="AR1238" s="32"/>
      <c r="AS1238" s="32"/>
      <c r="AT1238" s="32"/>
      <c r="AU1238" s="32"/>
      <c r="AV1238" s="32"/>
      <c r="AW1238" s="32"/>
      <c r="AX1238" s="32"/>
    </row>
    <row r="1239">
      <c r="A1239" s="32"/>
      <c r="B1239" s="32"/>
      <c r="C1239" s="32"/>
      <c r="D1239" s="32"/>
      <c r="E1239" s="32">
        <f>IFERROR(__xludf.DUMMYFUNCTION("""COMPUTED_VALUE"""),1.0)</f>
        <v>1</v>
      </c>
      <c r="F1239" s="44">
        <f>IFERROR(__xludf.DUMMYFUNCTION("""COMPUTED_VALUE"""),0.0)</f>
        <v>0</v>
      </c>
      <c r="G1239" s="32"/>
      <c r="H1239" s="32"/>
      <c r="I1239" s="32"/>
      <c r="J1239" s="32"/>
      <c r="K1239" s="32"/>
      <c r="L1239" s="32"/>
      <c r="M1239" s="32"/>
      <c r="N1239" s="32"/>
      <c r="O1239" s="32"/>
      <c r="P1239" s="32"/>
      <c r="Q1239" s="32"/>
      <c r="R1239" s="32"/>
      <c r="S1239" s="32"/>
      <c r="T1239" s="32"/>
      <c r="U1239" s="32"/>
      <c r="V1239" s="32"/>
      <c r="W1239" s="32"/>
      <c r="X1239" s="32"/>
      <c r="Y1239" s="32"/>
      <c r="Z1239" s="32"/>
      <c r="AA1239" s="32"/>
      <c r="AB1239" s="32"/>
      <c r="AC1239" s="32"/>
      <c r="AD1239" s="32"/>
      <c r="AE1239" s="32"/>
      <c r="AF1239" s="32"/>
      <c r="AG1239" s="32"/>
      <c r="AH1239" s="32" t="b">
        <f>IFERROR(__xludf.DUMMYFUNCTION("""COMPUTED_VALUE"""),FALSE)</f>
        <v>0</v>
      </c>
      <c r="AI1239" s="32"/>
      <c r="AJ1239" s="32"/>
      <c r="AK1239" s="32"/>
      <c r="AL1239" s="32"/>
      <c r="AM1239" s="32"/>
      <c r="AN1239" s="32"/>
      <c r="AO1239" s="32"/>
      <c r="AP1239" s="32"/>
      <c r="AQ1239" s="32"/>
      <c r="AR1239" s="32"/>
      <c r="AS1239" s="32"/>
      <c r="AT1239" s="32"/>
      <c r="AU1239" s="32"/>
      <c r="AV1239" s="32"/>
      <c r="AW1239" s="32"/>
      <c r="AX1239" s="32"/>
    </row>
    <row r="1240">
      <c r="A1240" s="32"/>
      <c r="B1240" s="32"/>
      <c r="C1240" s="32"/>
      <c r="D1240" s="32"/>
      <c r="E1240" s="32">
        <f>IFERROR(__xludf.DUMMYFUNCTION("""COMPUTED_VALUE"""),1.0)</f>
        <v>1</v>
      </c>
      <c r="F1240" s="44">
        <f>IFERROR(__xludf.DUMMYFUNCTION("""COMPUTED_VALUE"""),0.0)</f>
        <v>0</v>
      </c>
      <c r="G1240" s="32"/>
      <c r="H1240" s="32"/>
      <c r="I1240" s="32"/>
      <c r="J1240" s="32"/>
      <c r="K1240" s="32"/>
      <c r="L1240" s="32"/>
      <c r="M1240" s="32"/>
      <c r="N1240" s="32"/>
      <c r="O1240" s="32"/>
      <c r="P1240" s="32"/>
      <c r="Q1240" s="32"/>
      <c r="R1240" s="32"/>
      <c r="S1240" s="32"/>
      <c r="T1240" s="32"/>
      <c r="U1240" s="32"/>
      <c r="V1240" s="32"/>
      <c r="W1240" s="32"/>
      <c r="X1240" s="32"/>
      <c r="Y1240" s="32"/>
      <c r="Z1240" s="32"/>
      <c r="AA1240" s="32"/>
      <c r="AB1240" s="32"/>
      <c r="AC1240" s="32"/>
      <c r="AD1240" s="32"/>
      <c r="AE1240" s="32"/>
      <c r="AF1240" s="32"/>
      <c r="AG1240" s="32"/>
      <c r="AH1240" s="32" t="b">
        <f>IFERROR(__xludf.DUMMYFUNCTION("""COMPUTED_VALUE"""),FALSE)</f>
        <v>0</v>
      </c>
      <c r="AI1240" s="32"/>
      <c r="AJ1240" s="32"/>
      <c r="AK1240" s="32"/>
      <c r="AL1240" s="32"/>
      <c r="AM1240" s="32"/>
      <c r="AN1240" s="32"/>
      <c r="AO1240" s="32"/>
      <c r="AP1240" s="32"/>
      <c r="AQ1240" s="32"/>
      <c r="AR1240" s="32"/>
      <c r="AS1240" s="32"/>
      <c r="AT1240" s="32"/>
      <c r="AU1240" s="32"/>
      <c r="AV1240" s="32"/>
      <c r="AW1240" s="32"/>
      <c r="AX1240" s="32"/>
    </row>
    <row r="1241">
      <c r="A1241" s="32"/>
      <c r="B1241" s="32"/>
      <c r="C1241" s="32"/>
      <c r="D1241" s="32"/>
      <c r="E1241" s="32">
        <f>IFERROR(__xludf.DUMMYFUNCTION("""COMPUTED_VALUE"""),1.0)</f>
        <v>1</v>
      </c>
      <c r="F1241" s="44">
        <f>IFERROR(__xludf.DUMMYFUNCTION("""COMPUTED_VALUE"""),0.0)</f>
        <v>0</v>
      </c>
      <c r="G1241" s="32"/>
      <c r="H1241" s="32"/>
      <c r="I1241" s="32"/>
      <c r="J1241" s="32"/>
      <c r="K1241" s="32"/>
      <c r="L1241" s="32"/>
      <c r="M1241" s="32"/>
      <c r="N1241" s="32"/>
      <c r="O1241" s="32"/>
      <c r="P1241" s="32"/>
      <c r="Q1241" s="32"/>
      <c r="R1241" s="32"/>
      <c r="S1241" s="32"/>
      <c r="T1241" s="32"/>
      <c r="U1241" s="32"/>
      <c r="V1241" s="32"/>
      <c r="W1241" s="32"/>
      <c r="X1241" s="32"/>
      <c r="Y1241" s="32"/>
      <c r="Z1241" s="32"/>
      <c r="AA1241" s="32"/>
      <c r="AB1241" s="32"/>
      <c r="AC1241" s="32"/>
      <c r="AD1241" s="32"/>
      <c r="AE1241" s="32"/>
      <c r="AF1241" s="32"/>
      <c r="AG1241" s="32"/>
      <c r="AH1241" s="32" t="b">
        <f>IFERROR(__xludf.DUMMYFUNCTION("""COMPUTED_VALUE"""),FALSE)</f>
        <v>0</v>
      </c>
      <c r="AI1241" s="32"/>
      <c r="AJ1241" s="32"/>
      <c r="AK1241" s="32"/>
      <c r="AL1241" s="32"/>
      <c r="AM1241" s="32"/>
      <c r="AN1241" s="32"/>
      <c r="AO1241" s="32"/>
      <c r="AP1241" s="32"/>
      <c r="AQ1241" s="32"/>
      <c r="AR1241" s="32"/>
      <c r="AS1241" s="32"/>
      <c r="AT1241" s="32"/>
      <c r="AU1241" s="32"/>
      <c r="AV1241" s="32"/>
      <c r="AW1241" s="32"/>
      <c r="AX1241" s="32"/>
    </row>
    <row r="1242">
      <c r="A1242" s="32"/>
      <c r="B1242" s="32"/>
      <c r="C1242" s="32"/>
      <c r="D1242" s="32"/>
      <c r="E1242" s="32">
        <f>IFERROR(__xludf.DUMMYFUNCTION("""COMPUTED_VALUE"""),1.0)</f>
        <v>1</v>
      </c>
      <c r="F1242" s="44">
        <f>IFERROR(__xludf.DUMMYFUNCTION("""COMPUTED_VALUE"""),0.0)</f>
        <v>0</v>
      </c>
      <c r="G1242" s="32"/>
      <c r="H1242" s="32"/>
      <c r="I1242" s="32"/>
      <c r="J1242" s="32"/>
      <c r="K1242" s="32"/>
      <c r="L1242" s="32"/>
      <c r="M1242" s="32"/>
      <c r="N1242" s="32"/>
      <c r="O1242" s="32"/>
      <c r="P1242" s="32"/>
      <c r="Q1242" s="32"/>
      <c r="R1242" s="32"/>
      <c r="S1242" s="32"/>
      <c r="T1242" s="32"/>
      <c r="U1242" s="32"/>
      <c r="V1242" s="32"/>
      <c r="W1242" s="32"/>
      <c r="X1242" s="32"/>
      <c r="Y1242" s="32"/>
      <c r="Z1242" s="32"/>
      <c r="AA1242" s="32"/>
      <c r="AB1242" s="32"/>
      <c r="AC1242" s="32"/>
      <c r="AD1242" s="32"/>
      <c r="AE1242" s="32"/>
      <c r="AF1242" s="32"/>
      <c r="AG1242" s="32"/>
      <c r="AH1242" s="32" t="b">
        <f>IFERROR(__xludf.DUMMYFUNCTION("""COMPUTED_VALUE"""),FALSE)</f>
        <v>0</v>
      </c>
      <c r="AI1242" s="32"/>
      <c r="AJ1242" s="32"/>
      <c r="AK1242" s="32"/>
      <c r="AL1242" s="32"/>
      <c r="AM1242" s="32"/>
      <c r="AN1242" s="32"/>
      <c r="AO1242" s="32"/>
      <c r="AP1242" s="32"/>
      <c r="AQ1242" s="32"/>
      <c r="AR1242" s="32"/>
      <c r="AS1242" s="32"/>
      <c r="AT1242" s="32"/>
      <c r="AU1242" s="32"/>
      <c r="AV1242" s="32"/>
      <c r="AW1242" s="32"/>
      <c r="AX1242" s="32"/>
    </row>
    <row r="1243">
      <c r="A1243" s="32"/>
      <c r="B1243" s="32"/>
      <c r="C1243" s="32"/>
      <c r="D1243" s="32"/>
      <c r="E1243" s="32">
        <f>IFERROR(__xludf.DUMMYFUNCTION("""COMPUTED_VALUE"""),1.0)</f>
        <v>1</v>
      </c>
      <c r="F1243" s="44">
        <f>IFERROR(__xludf.DUMMYFUNCTION("""COMPUTED_VALUE"""),0.0)</f>
        <v>0</v>
      </c>
      <c r="G1243" s="32"/>
      <c r="H1243" s="32"/>
      <c r="I1243" s="32"/>
      <c r="J1243" s="32"/>
      <c r="K1243" s="32"/>
      <c r="L1243" s="32"/>
      <c r="M1243" s="32"/>
      <c r="N1243" s="32"/>
      <c r="O1243" s="32"/>
      <c r="P1243" s="32"/>
      <c r="Q1243" s="32"/>
      <c r="R1243" s="32"/>
      <c r="S1243" s="32"/>
      <c r="T1243" s="32"/>
      <c r="U1243" s="32"/>
      <c r="V1243" s="32"/>
      <c r="W1243" s="32"/>
      <c r="X1243" s="32"/>
      <c r="Y1243" s="32"/>
      <c r="Z1243" s="32"/>
      <c r="AA1243" s="32"/>
      <c r="AB1243" s="32"/>
      <c r="AC1243" s="32"/>
      <c r="AD1243" s="32"/>
      <c r="AE1243" s="32"/>
      <c r="AF1243" s="32"/>
      <c r="AG1243" s="32"/>
      <c r="AH1243" s="32" t="b">
        <f>IFERROR(__xludf.DUMMYFUNCTION("""COMPUTED_VALUE"""),FALSE)</f>
        <v>0</v>
      </c>
      <c r="AI1243" s="32"/>
      <c r="AJ1243" s="32"/>
      <c r="AK1243" s="32"/>
      <c r="AL1243" s="32"/>
      <c r="AM1243" s="32"/>
      <c r="AN1243" s="32"/>
      <c r="AO1243" s="32"/>
      <c r="AP1243" s="32"/>
      <c r="AQ1243" s="32"/>
      <c r="AR1243" s="32"/>
      <c r="AS1243" s="32"/>
      <c r="AT1243" s="32"/>
      <c r="AU1243" s="32"/>
      <c r="AV1243" s="32"/>
      <c r="AW1243" s="32"/>
      <c r="AX1243" s="32"/>
    </row>
    <row r="1244">
      <c r="A1244" s="32"/>
      <c r="B1244" s="32"/>
      <c r="C1244" s="32"/>
      <c r="D1244" s="32"/>
      <c r="E1244" s="32">
        <f>IFERROR(__xludf.DUMMYFUNCTION("""COMPUTED_VALUE"""),1.0)</f>
        <v>1</v>
      </c>
      <c r="F1244" s="44">
        <f>IFERROR(__xludf.DUMMYFUNCTION("""COMPUTED_VALUE"""),0.0)</f>
        <v>0</v>
      </c>
      <c r="G1244" s="32"/>
      <c r="H1244" s="32"/>
      <c r="I1244" s="32"/>
      <c r="J1244" s="32"/>
      <c r="K1244" s="32"/>
      <c r="L1244" s="32"/>
      <c r="M1244" s="32"/>
      <c r="N1244" s="32"/>
      <c r="O1244" s="32"/>
      <c r="P1244" s="32"/>
      <c r="Q1244" s="32"/>
      <c r="R1244" s="32"/>
      <c r="S1244" s="32"/>
      <c r="T1244" s="32"/>
      <c r="U1244" s="32"/>
      <c r="V1244" s="32"/>
      <c r="W1244" s="32"/>
      <c r="X1244" s="32"/>
      <c r="Y1244" s="32"/>
      <c r="Z1244" s="32"/>
      <c r="AA1244" s="32"/>
      <c r="AB1244" s="32"/>
      <c r="AC1244" s="32"/>
      <c r="AD1244" s="32"/>
      <c r="AE1244" s="32"/>
      <c r="AF1244" s="32"/>
      <c r="AG1244" s="32"/>
      <c r="AH1244" s="32" t="b">
        <f>IFERROR(__xludf.DUMMYFUNCTION("""COMPUTED_VALUE"""),FALSE)</f>
        <v>0</v>
      </c>
      <c r="AI1244" s="32"/>
      <c r="AJ1244" s="32"/>
      <c r="AK1244" s="32"/>
      <c r="AL1244" s="32"/>
      <c r="AM1244" s="32"/>
      <c r="AN1244" s="32"/>
      <c r="AO1244" s="32"/>
      <c r="AP1244" s="32"/>
      <c r="AQ1244" s="32"/>
      <c r="AR1244" s="32"/>
      <c r="AS1244" s="32"/>
      <c r="AT1244" s="32"/>
      <c r="AU1244" s="32"/>
      <c r="AV1244" s="32"/>
      <c r="AW1244" s="32"/>
      <c r="AX1244" s="32"/>
    </row>
    <row r="1245">
      <c r="A1245" s="32"/>
      <c r="B1245" s="32"/>
      <c r="C1245" s="32"/>
      <c r="D1245" s="32"/>
      <c r="E1245" s="32">
        <f>IFERROR(__xludf.DUMMYFUNCTION("""COMPUTED_VALUE"""),1.0)</f>
        <v>1</v>
      </c>
      <c r="F1245" s="44">
        <f>IFERROR(__xludf.DUMMYFUNCTION("""COMPUTED_VALUE"""),0.0)</f>
        <v>0</v>
      </c>
      <c r="G1245" s="32"/>
      <c r="H1245" s="32"/>
      <c r="I1245" s="32"/>
      <c r="J1245" s="32"/>
      <c r="K1245" s="32"/>
      <c r="L1245" s="32"/>
      <c r="M1245" s="32"/>
      <c r="N1245" s="32"/>
      <c r="O1245" s="32"/>
      <c r="P1245" s="32"/>
      <c r="Q1245" s="32"/>
      <c r="R1245" s="32"/>
      <c r="S1245" s="32"/>
      <c r="T1245" s="32"/>
      <c r="U1245" s="32"/>
      <c r="V1245" s="32"/>
      <c r="W1245" s="32"/>
      <c r="X1245" s="32"/>
      <c r="Y1245" s="32"/>
      <c r="Z1245" s="32"/>
      <c r="AA1245" s="32"/>
      <c r="AB1245" s="32"/>
      <c r="AC1245" s="32"/>
      <c r="AD1245" s="32"/>
      <c r="AE1245" s="32"/>
      <c r="AF1245" s="32"/>
      <c r="AG1245" s="32"/>
      <c r="AH1245" s="32" t="b">
        <f>IFERROR(__xludf.DUMMYFUNCTION("""COMPUTED_VALUE"""),FALSE)</f>
        <v>0</v>
      </c>
      <c r="AI1245" s="32"/>
      <c r="AJ1245" s="32"/>
      <c r="AK1245" s="32"/>
      <c r="AL1245" s="32"/>
      <c r="AM1245" s="32"/>
      <c r="AN1245" s="32"/>
      <c r="AO1245" s="32"/>
      <c r="AP1245" s="32"/>
      <c r="AQ1245" s="32"/>
      <c r="AR1245" s="32"/>
      <c r="AS1245" s="32"/>
      <c r="AT1245" s="32"/>
      <c r="AU1245" s="32"/>
      <c r="AV1245" s="32"/>
      <c r="AW1245" s="32"/>
      <c r="AX1245" s="32"/>
    </row>
    <row r="1246">
      <c r="A1246" s="32"/>
      <c r="B1246" s="32"/>
      <c r="C1246" s="32"/>
      <c r="D1246" s="32"/>
      <c r="E1246" s="32">
        <f>IFERROR(__xludf.DUMMYFUNCTION("""COMPUTED_VALUE"""),1.0)</f>
        <v>1</v>
      </c>
      <c r="F1246" s="44">
        <f>IFERROR(__xludf.DUMMYFUNCTION("""COMPUTED_VALUE"""),0.0)</f>
        <v>0</v>
      </c>
      <c r="G1246" s="32"/>
      <c r="H1246" s="32"/>
      <c r="I1246" s="32"/>
      <c r="J1246" s="32"/>
      <c r="K1246" s="32"/>
      <c r="L1246" s="32"/>
      <c r="M1246" s="32"/>
      <c r="N1246" s="32"/>
      <c r="O1246" s="32"/>
      <c r="P1246" s="32"/>
      <c r="Q1246" s="32"/>
      <c r="R1246" s="32"/>
      <c r="S1246" s="32"/>
      <c r="T1246" s="32"/>
      <c r="U1246" s="32"/>
      <c r="V1246" s="32"/>
      <c r="W1246" s="32"/>
      <c r="X1246" s="32"/>
      <c r="Y1246" s="32"/>
      <c r="Z1246" s="32"/>
      <c r="AA1246" s="32"/>
      <c r="AB1246" s="32"/>
      <c r="AC1246" s="32"/>
      <c r="AD1246" s="32"/>
      <c r="AE1246" s="32"/>
      <c r="AF1246" s="32"/>
      <c r="AG1246" s="32"/>
      <c r="AH1246" s="32" t="b">
        <f>IFERROR(__xludf.DUMMYFUNCTION("""COMPUTED_VALUE"""),FALSE)</f>
        <v>0</v>
      </c>
      <c r="AI1246" s="32"/>
      <c r="AJ1246" s="32"/>
      <c r="AK1246" s="32"/>
      <c r="AL1246" s="32"/>
      <c r="AM1246" s="32"/>
      <c r="AN1246" s="32"/>
      <c r="AO1246" s="32"/>
      <c r="AP1246" s="32"/>
      <c r="AQ1246" s="32"/>
      <c r="AR1246" s="32"/>
      <c r="AS1246" s="32"/>
      <c r="AT1246" s="32"/>
      <c r="AU1246" s="32"/>
      <c r="AV1246" s="32"/>
      <c r="AW1246" s="32"/>
      <c r="AX1246" s="32"/>
    </row>
    <row r="1247">
      <c r="A1247" s="32"/>
      <c r="B1247" s="32"/>
      <c r="C1247" s="32"/>
      <c r="D1247" s="32"/>
      <c r="E1247" s="32">
        <f>IFERROR(__xludf.DUMMYFUNCTION("""COMPUTED_VALUE"""),1.0)</f>
        <v>1</v>
      </c>
      <c r="F1247" s="44">
        <f>IFERROR(__xludf.DUMMYFUNCTION("""COMPUTED_VALUE"""),0.0)</f>
        <v>0</v>
      </c>
      <c r="G1247" s="32"/>
      <c r="H1247" s="32"/>
      <c r="I1247" s="32"/>
      <c r="J1247" s="32"/>
      <c r="K1247" s="32"/>
      <c r="L1247" s="32"/>
      <c r="M1247" s="32"/>
      <c r="N1247" s="32"/>
      <c r="O1247" s="32"/>
      <c r="P1247" s="32"/>
      <c r="Q1247" s="32"/>
      <c r="R1247" s="32"/>
      <c r="S1247" s="32"/>
      <c r="T1247" s="32"/>
      <c r="U1247" s="32"/>
      <c r="V1247" s="32"/>
      <c r="W1247" s="32"/>
      <c r="X1247" s="32"/>
      <c r="Y1247" s="32"/>
      <c r="Z1247" s="32"/>
      <c r="AA1247" s="32"/>
      <c r="AB1247" s="32"/>
      <c r="AC1247" s="32"/>
      <c r="AD1247" s="32"/>
      <c r="AE1247" s="32"/>
      <c r="AF1247" s="32"/>
      <c r="AG1247" s="32"/>
      <c r="AH1247" s="32" t="b">
        <f>IFERROR(__xludf.DUMMYFUNCTION("""COMPUTED_VALUE"""),FALSE)</f>
        <v>0</v>
      </c>
      <c r="AI1247" s="32"/>
      <c r="AJ1247" s="32"/>
      <c r="AK1247" s="32"/>
      <c r="AL1247" s="32"/>
      <c r="AM1247" s="32"/>
      <c r="AN1247" s="32"/>
      <c r="AO1247" s="32"/>
      <c r="AP1247" s="32"/>
      <c r="AQ1247" s="32"/>
      <c r="AR1247" s="32"/>
      <c r="AS1247" s="32"/>
      <c r="AT1247" s="32"/>
      <c r="AU1247" s="32"/>
      <c r="AV1247" s="32"/>
      <c r="AW1247" s="32"/>
      <c r="AX1247" s="32"/>
    </row>
    <row r="1248">
      <c r="A1248" s="32"/>
      <c r="B1248" s="32"/>
      <c r="C1248" s="32"/>
      <c r="D1248" s="32"/>
      <c r="E1248" s="32">
        <f>IFERROR(__xludf.DUMMYFUNCTION("""COMPUTED_VALUE"""),1.0)</f>
        <v>1</v>
      </c>
      <c r="F1248" s="44">
        <f>IFERROR(__xludf.DUMMYFUNCTION("""COMPUTED_VALUE"""),0.0)</f>
        <v>0</v>
      </c>
      <c r="G1248" s="32"/>
      <c r="H1248" s="32"/>
      <c r="I1248" s="32"/>
      <c r="J1248" s="32"/>
      <c r="K1248" s="32"/>
      <c r="L1248" s="32"/>
      <c r="M1248" s="32"/>
      <c r="N1248" s="32"/>
      <c r="O1248" s="32"/>
      <c r="P1248" s="32"/>
      <c r="Q1248" s="32"/>
      <c r="R1248" s="32"/>
      <c r="S1248" s="32"/>
      <c r="T1248" s="32"/>
      <c r="U1248" s="32"/>
      <c r="V1248" s="32"/>
      <c r="W1248" s="32"/>
      <c r="X1248" s="32"/>
      <c r="Y1248" s="32"/>
      <c r="Z1248" s="32"/>
      <c r="AA1248" s="32"/>
      <c r="AB1248" s="32"/>
      <c r="AC1248" s="32"/>
      <c r="AD1248" s="32"/>
      <c r="AE1248" s="32"/>
      <c r="AF1248" s="32"/>
      <c r="AG1248" s="32"/>
      <c r="AH1248" s="32" t="b">
        <f>IFERROR(__xludf.DUMMYFUNCTION("""COMPUTED_VALUE"""),FALSE)</f>
        <v>0</v>
      </c>
      <c r="AI1248" s="32"/>
      <c r="AJ1248" s="32"/>
      <c r="AK1248" s="32"/>
      <c r="AL1248" s="32"/>
      <c r="AM1248" s="32"/>
      <c r="AN1248" s="32"/>
      <c r="AO1248" s="32"/>
      <c r="AP1248" s="32"/>
      <c r="AQ1248" s="32"/>
      <c r="AR1248" s="32"/>
      <c r="AS1248" s="32"/>
      <c r="AT1248" s="32"/>
      <c r="AU1248" s="32"/>
      <c r="AV1248" s="32"/>
      <c r="AW1248" s="32"/>
      <c r="AX1248" s="32"/>
    </row>
    <row r="1249">
      <c r="A1249" s="32"/>
      <c r="B1249" s="32"/>
      <c r="C1249" s="32"/>
      <c r="D1249" s="32"/>
      <c r="E1249" s="32">
        <f>IFERROR(__xludf.DUMMYFUNCTION("""COMPUTED_VALUE"""),1.0)</f>
        <v>1</v>
      </c>
      <c r="F1249" s="44">
        <f>IFERROR(__xludf.DUMMYFUNCTION("""COMPUTED_VALUE"""),0.0)</f>
        <v>0</v>
      </c>
      <c r="G1249" s="32"/>
      <c r="H1249" s="32"/>
      <c r="I1249" s="32"/>
      <c r="J1249" s="32"/>
      <c r="K1249" s="32"/>
      <c r="L1249" s="32"/>
      <c r="M1249" s="32"/>
      <c r="N1249" s="32"/>
      <c r="O1249" s="32"/>
      <c r="P1249" s="32"/>
      <c r="Q1249" s="32"/>
      <c r="R1249" s="32"/>
      <c r="S1249" s="32"/>
      <c r="T1249" s="32"/>
      <c r="U1249" s="32"/>
      <c r="V1249" s="32"/>
      <c r="W1249" s="32"/>
      <c r="X1249" s="32"/>
      <c r="Y1249" s="32"/>
      <c r="Z1249" s="32"/>
      <c r="AA1249" s="32"/>
      <c r="AB1249" s="32"/>
      <c r="AC1249" s="32"/>
      <c r="AD1249" s="32"/>
      <c r="AE1249" s="32"/>
      <c r="AF1249" s="32"/>
      <c r="AG1249" s="32"/>
      <c r="AH1249" s="32" t="b">
        <f>IFERROR(__xludf.DUMMYFUNCTION("""COMPUTED_VALUE"""),FALSE)</f>
        <v>0</v>
      </c>
      <c r="AI1249" s="32"/>
      <c r="AJ1249" s="32"/>
      <c r="AK1249" s="32"/>
      <c r="AL1249" s="32"/>
      <c r="AM1249" s="32"/>
      <c r="AN1249" s="32"/>
      <c r="AO1249" s="32"/>
      <c r="AP1249" s="32"/>
      <c r="AQ1249" s="32"/>
      <c r="AR1249" s="32"/>
      <c r="AS1249" s="32"/>
      <c r="AT1249" s="32"/>
      <c r="AU1249" s="32"/>
      <c r="AV1249" s="32"/>
      <c r="AW1249" s="32"/>
      <c r="AX1249" s="32"/>
    </row>
    <row r="1250">
      <c r="A1250" s="32"/>
      <c r="B1250" s="32"/>
      <c r="C1250" s="32"/>
      <c r="D1250" s="32"/>
      <c r="E1250" s="32">
        <f>IFERROR(__xludf.DUMMYFUNCTION("""COMPUTED_VALUE"""),1.0)</f>
        <v>1</v>
      </c>
      <c r="F1250" s="44">
        <f>IFERROR(__xludf.DUMMYFUNCTION("""COMPUTED_VALUE"""),0.0)</f>
        <v>0</v>
      </c>
      <c r="G1250" s="32"/>
      <c r="H1250" s="32"/>
      <c r="I1250" s="32"/>
      <c r="J1250" s="32"/>
      <c r="K1250" s="32"/>
      <c r="L1250" s="32"/>
      <c r="M1250" s="32"/>
      <c r="N1250" s="32"/>
      <c r="O1250" s="32"/>
      <c r="P1250" s="32"/>
      <c r="Q1250" s="32"/>
      <c r="R1250" s="32"/>
      <c r="S1250" s="32"/>
      <c r="T1250" s="32"/>
      <c r="U1250" s="32"/>
      <c r="V1250" s="32"/>
      <c r="W1250" s="32"/>
      <c r="X1250" s="32"/>
      <c r="Y1250" s="32"/>
      <c r="Z1250" s="32"/>
      <c r="AA1250" s="32"/>
      <c r="AB1250" s="32"/>
      <c r="AC1250" s="32"/>
      <c r="AD1250" s="32"/>
      <c r="AE1250" s="32"/>
      <c r="AF1250" s="32"/>
      <c r="AG1250" s="32"/>
      <c r="AH1250" s="32" t="b">
        <f>IFERROR(__xludf.DUMMYFUNCTION("""COMPUTED_VALUE"""),FALSE)</f>
        <v>0</v>
      </c>
      <c r="AI1250" s="32"/>
      <c r="AJ1250" s="32"/>
      <c r="AK1250" s="32"/>
      <c r="AL1250" s="32"/>
      <c r="AM1250" s="32"/>
      <c r="AN1250" s="32"/>
      <c r="AO1250" s="32"/>
      <c r="AP1250" s="32"/>
      <c r="AQ1250" s="32"/>
      <c r="AR1250" s="32"/>
      <c r="AS1250" s="32"/>
      <c r="AT1250" s="32"/>
      <c r="AU1250" s="32"/>
      <c r="AV1250" s="32"/>
      <c r="AW1250" s="32"/>
      <c r="AX1250" s="32"/>
    </row>
    <row r="1251">
      <c r="A1251" s="32"/>
      <c r="B1251" s="32"/>
      <c r="C1251" s="32"/>
      <c r="D1251" s="32"/>
      <c r="E1251" s="32">
        <f>IFERROR(__xludf.DUMMYFUNCTION("""COMPUTED_VALUE"""),1.0)</f>
        <v>1</v>
      </c>
      <c r="F1251" s="44">
        <f>IFERROR(__xludf.DUMMYFUNCTION("""COMPUTED_VALUE"""),0.0)</f>
        <v>0</v>
      </c>
      <c r="G1251" s="32"/>
      <c r="H1251" s="32"/>
      <c r="I1251" s="32"/>
      <c r="J1251" s="32"/>
      <c r="K1251" s="32"/>
      <c r="L1251" s="32"/>
      <c r="M1251" s="32"/>
      <c r="N1251" s="32"/>
      <c r="O1251" s="32"/>
      <c r="P1251" s="32"/>
      <c r="Q1251" s="32"/>
      <c r="R1251" s="32"/>
      <c r="S1251" s="32"/>
      <c r="T1251" s="32"/>
      <c r="U1251" s="32"/>
      <c r="V1251" s="32"/>
      <c r="W1251" s="32"/>
      <c r="X1251" s="32"/>
      <c r="Y1251" s="32"/>
      <c r="Z1251" s="32"/>
      <c r="AA1251" s="32"/>
      <c r="AB1251" s="32"/>
      <c r="AC1251" s="32"/>
      <c r="AD1251" s="32"/>
      <c r="AE1251" s="32"/>
      <c r="AF1251" s="32"/>
      <c r="AG1251" s="32"/>
      <c r="AH1251" s="32" t="b">
        <f>IFERROR(__xludf.DUMMYFUNCTION("""COMPUTED_VALUE"""),FALSE)</f>
        <v>0</v>
      </c>
      <c r="AI1251" s="32"/>
      <c r="AJ1251" s="32"/>
      <c r="AK1251" s="32"/>
      <c r="AL1251" s="32"/>
      <c r="AM1251" s="32"/>
      <c r="AN1251" s="32"/>
      <c r="AO1251" s="32"/>
      <c r="AP1251" s="32"/>
      <c r="AQ1251" s="32"/>
      <c r="AR1251" s="32"/>
      <c r="AS1251" s="32"/>
      <c r="AT1251" s="32"/>
      <c r="AU1251" s="32"/>
      <c r="AV1251" s="32"/>
      <c r="AW1251" s="32"/>
      <c r="AX1251" s="32"/>
    </row>
    <row r="1252">
      <c r="A1252" s="32"/>
      <c r="B1252" s="32"/>
      <c r="C1252" s="32"/>
      <c r="D1252" s="32"/>
      <c r="E1252" s="32">
        <f>IFERROR(__xludf.DUMMYFUNCTION("""COMPUTED_VALUE"""),1.0)</f>
        <v>1</v>
      </c>
      <c r="F1252" s="44">
        <f>IFERROR(__xludf.DUMMYFUNCTION("""COMPUTED_VALUE"""),0.0)</f>
        <v>0</v>
      </c>
      <c r="G1252" s="32"/>
      <c r="H1252" s="32"/>
      <c r="I1252" s="32"/>
      <c r="J1252" s="32"/>
      <c r="K1252" s="32"/>
      <c r="L1252" s="32"/>
      <c r="M1252" s="32"/>
      <c r="N1252" s="32"/>
      <c r="O1252" s="32"/>
      <c r="P1252" s="32"/>
      <c r="Q1252" s="32"/>
      <c r="R1252" s="32"/>
      <c r="S1252" s="32"/>
      <c r="T1252" s="32"/>
      <c r="U1252" s="32"/>
      <c r="V1252" s="32"/>
      <c r="W1252" s="32"/>
      <c r="X1252" s="32"/>
      <c r="Y1252" s="32"/>
      <c r="Z1252" s="32"/>
      <c r="AA1252" s="32"/>
      <c r="AB1252" s="32"/>
      <c r="AC1252" s="32"/>
      <c r="AD1252" s="32"/>
      <c r="AE1252" s="32"/>
      <c r="AF1252" s="32"/>
      <c r="AG1252" s="32"/>
      <c r="AH1252" s="32" t="b">
        <f>IFERROR(__xludf.DUMMYFUNCTION("""COMPUTED_VALUE"""),FALSE)</f>
        <v>0</v>
      </c>
      <c r="AI1252" s="32"/>
      <c r="AJ1252" s="32"/>
      <c r="AK1252" s="32"/>
      <c r="AL1252" s="32"/>
      <c r="AM1252" s="32"/>
      <c r="AN1252" s="32"/>
      <c r="AO1252" s="32"/>
      <c r="AP1252" s="32"/>
      <c r="AQ1252" s="32"/>
      <c r="AR1252" s="32"/>
      <c r="AS1252" s="32"/>
      <c r="AT1252" s="32"/>
      <c r="AU1252" s="32"/>
      <c r="AV1252" s="32"/>
      <c r="AW1252" s="32"/>
      <c r="AX1252" s="32"/>
    </row>
    <row r="1253">
      <c r="A1253" s="32"/>
      <c r="B1253" s="32"/>
      <c r="C1253" s="32"/>
      <c r="D1253" s="32"/>
      <c r="E1253" s="32">
        <f>IFERROR(__xludf.DUMMYFUNCTION("""COMPUTED_VALUE"""),1.0)</f>
        <v>1</v>
      </c>
      <c r="F1253" s="44">
        <f>IFERROR(__xludf.DUMMYFUNCTION("""COMPUTED_VALUE"""),0.0)</f>
        <v>0</v>
      </c>
      <c r="G1253" s="32"/>
      <c r="H1253" s="32"/>
      <c r="I1253" s="32"/>
      <c r="J1253" s="32"/>
      <c r="K1253" s="32"/>
      <c r="L1253" s="32"/>
      <c r="M1253" s="32"/>
      <c r="N1253" s="32"/>
      <c r="O1253" s="32"/>
      <c r="P1253" s="32"/>
      <c r="Q1253" s="32"/>
      <c r="R1253" s="32"/>
      <c r="S1253" s="32"/>
      <c r="T1253" s="32"/>
      <c r="U1253" s="32"/>
      <c r="V1253" s="32"/>
      <c r="W1253" s="32"/>
      <c r="X1253" s="32"/>
      <c r="Y1253" s="32"/>
      <c r="Z1253" s="32"/>
      <c r="AA1253" s="32"/>
      <c r="AB1253" s="32"/>
      <c r="AC1253" s="32"/>
      <c r="AD1253" s="32"/>
      <c r="AE1253" s="32"/>
      <c r="AF1253" s="32"/>
      <c r="AG1253" s="32"/>
      <c r="AH1253" s="32" t="b">
        <f>IFERROR(__xludf.DUMMYFUNCTION("""COMPUTED_VALUE"""),FALSE)</f>
        <v>0</v>
      </c>
      <c r="AI1253" s="32"/>
      <c r="AJ1253" s="32"/>
      <c r="AK1253" s="32"/>
      <c r="AL1253" s="32"/>
      <c r="AM1253" s="32"/>
      <c r="AN1253" s="32"/>
      <c r="AO1253" s="32"/>
      <c r="AP1253" s="32"/>
      <c r="AQ1253" s="32"/>
      <c r="AR1253" s="32"/>
      <c r="AS1253" s="32"/>
      <c r="AT1253" s="32"/>
      <c r="AU1253" s="32"/>
      <c r="AV1253" s="32"/>
      <c r="AW1253" s="32"/>
      <c r="AX1253" s="32"/>
    </row>
    <row r="1254">
      <c r="A1254" s="32"/>
      <c r="B1254" s="32"/>
      <c r="C1254" s="32"/>
      <c r="D1254" s="32"/>
      <c r="E1254" s="32">
        <f>IFERROR(__xludf.DUMMYFUNCTION("""COMPUTED_VALUE"""),1.0)</f>
        <v>1</v>
      </c>
      <c r="F1254" s="44">
        <f>IFERROR(__xludf.DUMMYFUNCTION("""COMPUTED_VALUE"""),0.0)</f>
        <v>0</v>
      </c>
      <c r="G1254" s="32"/>
      <c r="H1254" s="32"/>
      <c r="I1254" s="32"/>
      <c r="J1254" s="32"/>
      <c r="K1254" s="32"/>
      <c r="L1254" s="32"/>
      <c r="M1254" s="32"/>
      <c r="N1254" s="32"/>
      <c r="O1254" s="32"/>
      <c r="P1254" s="32"/>
      <c r="Q1254" s="32"/>
      <c r="R1254" s="32"/>
      <c r="S1254" s="32"/>
      <c r="T1254" s="32"/>
      <c r="U1254" s="32"/>
      <c r="V1254" s="32"/>
      <c r="W1254" s="32"/>
      <c r="X1254" s="32"/>
      <c r="Y1254" s="32"/>
      <c r="Z1254" s="32"/>
      <c r="AA1254" s="32"/>
      <c r="AB1254" s="32"/>
      <c r="AC1254" s="32"/>
      <c r="AD1254" s="32"/>
      <c r="AE1254" s="32"/>
      <c r="AF1254" s="32"/>
      <c r="AG1254" s="32"/>
      <c r="AH1254" s="32" t="b">
        <f>IFERROR(__xludf.DUMMYFUNCTION("""COMPUTED_VALUE"""),FALSE)</f>
        <v>0</v>
      </c>
      <c r="AI1254" s="32"/>
      <c r="AJ1254" s="32"/>
      <c r="AK1254" s="32"/>
      <c r="AL1254" s="32"/>
      <c r="AM1254" s="32"/>
      <c r="AN1254" s="32"/>
      <c r="AO1254" s="32"/>
      <c r="AP1254" s="32"/>
      <c r="AQ1254" s="32"/>
      <c r="AR1254" s="32"/>
      <c r="AS1254" s="32"/>
      <c r="AT1254" s="32"/>
      <c r="AU1254" s="32"/>
      <c r="AV1254" s="32"/>
      <c r="AW1254" s="32"/>
      <c r="AX1254" s="32"/>
    </row>
    <row r="1255">
      <c r="A1255" s="32"/>
      <c r="B1255" s="32"/>
      <c r="C1255" s="32"/>
      <c r="D1255" s="32"/>
      <c r="E1255" s="32">
        <f>IFERROR(__xludf.DUMMYFUNCTION("""COMPUTED_VALUE"""),1.0)</f>
        <v>1</v>
      </c>
      <c r="F1255" s="44">
        <f>IFERROR(__xludf.DUMMYFUNCTION("""COMPUTED_VALUE"""),0.0)</f>
        <v>0</v>
      </c>
      <c r="G1255" s="32"/>
      <c r="H1255" s="32"/>
      <c r="I1255" s="32"/>
      <c r="J1255" s="32"/>
      <c r="K1255" s="32"/>
      <c r="L1255" s="32"/>
      <c r="M1255" s="32"/>
      <c r="N1255" s="32"/>
      <c r="O1255" s="32"/>
      <c r="P1255" s="32"/>
      <c r="Q1255" s="32"/>
      <c r="R1255" s="32"/>
      <c r="S1255" s="32"/>
      <c r="T1255" s="32"/>
      <c r="U1255" s="32"/>
      <c r="V1255" s="32"/>
      <c r="W1255" s="32"/>
      <c r="X1255" s="32"/>
      <c r="Y1255" s="32"/>
      <c r="Z1255" s="32"/>
      <c r="AA1255" s="32"/>
      <c r="AB1255" s="32"/>
      <c r="AC1255" s="32"/>
      <c r="AD1255" s="32"/>
      <c r="AE1255" s="32"/>
      <c r="AF1255" s="32"/>
      <c r="AG1255" s="32"/>
      <c r="AH1255" s="32" t="b">
        <f>IFERROR(__xludf.DUMMYFUNCTION("""COMPUTED_VALUE"""),FALSE)</f>
        <v>0</v>
      </c>
      <c r="AI1255" s="32"/>
      <c r="AJ1255" s="32"/>
      <c r="AK1255" s="32"/>
      <c r="AL1255" s="32"/>
      <c r="AM1255" s="32"/>
      <c r="AN1255" s="32"/>
      <c r="AO1255" s="32"/>
      <c r="AP1255" s="32"/>
      <c r="AQ1255" s="32"/>
      <c r="AR1255" s="32"/>
      <c r="AS1255" s="32"/>
      <c r="AT1255" s="32"/>
      <c r="AU1255" s="32"/>
      <c r="AV1255" s="32"/>
      <c r="AW1255" s="32"/>
      <c r="AX1255" s="32"/>
    </row>
    <row r="1256">
      <c r="A1256" s="32"/>
      <c r="B1256" s="32"/>
      <c r="C1256" s="32"/>
      <c r="D1256" s="32"/>
      <c r="E1256" s="32">
        <f>IFERROR(__xludf.DUMMYFUNCTION("""COMPUTED_VALUE"""),1.0)</f>
        <v>1</v>
      </c>
      <c r="F1256" s="44">
        <f>IFERROR(__xludf.DUMMYFUNCTION("""COMPUTED_VALUE"""),0.0)</f>
        <v>0</v>
      </c>
      <c r="G1256" s="32"/>
      <c r="H1256" s="32"/>
      <c r="I1256" s="32"/>
      <c r="J1256" s="32"/>
      <c r="K1256" s="32"/>
      <c r="L1256" s="32"/>
      <c r="M1256" s="32"/>
      <c r="N1256" s="32"/>
      <c r="O1256" s="32"/>
      <c r="P1256" s="32"/>
      <c r="Q1256" s="32"/>
      <c r="R1256" s="32"/>
      <c r="S1256" s="32"/>
      <c r="T1256" s="32"/>
      <c r="U1256" s="32"/>
      <c r="V1256" s="32"/>
      <c r="W1256" s="32"/>
      <c r="X1256" s="32"/>
      <c r="Y1256" s="32"/>
      <c r="Z1256" s="32"/>
      <c r="AA1256" s="32"/>
      <c r="AB1256" s="32"/>
      <c r="AC1256" s="32"/>
      <c r="AD1256" s="32"/>
      <c r="AE1256" s="32"/>
      <c r="AF1256" s="32"/>
      <c r="AG1256" s="32"/>
      <c r="AH1256" s="32" t="b">
        <f>IFERROR(__xludf.DUMMYFUNCTION("""COMPUTED_VALUE"""),FALSE)</f>
        <v>0</v>
      </c>
      <c r="AI1256" s="32"/>
      <c r="AJ1256" s="32"/>
      <c r="AK1256" s="32"/>
      <c r="AL1256" s="32"/>
      <c r="AM1256" s="32"/>
      <c r="AN1256" s="32"/>
      <c r="AO1256" s="32"/>
      <c r="AP1256" s="32"/>
      <c r="AQ1256" s="32"/>
      <c r="AR1256" s="32"/>
      <c r="AS1256" s="32"/>
      <c r="AT1256" s="32"/>
      <c r="AU1256" s="32"/>
      <c r="AV1256" s="32"/>
      <c r="AW1256" s="32"/>
      <c r="AX1256" s="32"/>
    </row>
    <row r="1257">
      <c r="A1257" s="32"/>
      <c r="B1257" s="32"/>
      <c r="C1257" s="32"/>
      <c r="D1257" s="32"/>
      <c r="E1257" s="32">
        <f>IFERROR(__xludf.DUMMYFUNCTION("""COMPUTED_VALUE"""),1.0)</f>
        <v>1</v>
      </c>
      <c r="F1257" s="44">
        <f>IFERROR(__xludf.DUMMYFUNCTION("""COMPUTED_VALUE"""),0.0)</f>
        <v>0</v>
      </c>
      <c r="G1257" s="32"/>
      <c r="H1257" s="32"/>
      <c r="I1257" s="32"/>
      <c r="J1257" s="32"/>
      <c r="K1257" s="32"/>
      <c r="L1257" s="32"/>
      <c r="M1257" s="32"/>
      <c r="N1257" s="32"/>
      <c r="O1257" s="32"/>
      <c r="P1257" s="32"/>
      <c r="Q1257" s="32"/>
      <c r="R1257" s="32"/>
      <c r="S1257" s="32"/>
      <c r="T1257" s="32"/>
      <c r="U1257" s="32"/>
      <c r="V1257" s="32"/>
      <c r="W1257" s="32"/>
      <c r="X1257" s="32"/>
      <c r="Y1257" s="32"/>
      <c r="Z1257" s="32"/>
      <c r="AA1257" s="32"/>
      <c r="AB1257" s="32"/>
      <c r="AC1257" s="32"/>
      <c r="AD1257" s="32"/>
      <c r="AE1257" s="32"/>
      <c r="AF1257" s="32"/>
      <c r="AG1257" s="32"/>
      <c r="AH1257" s="32" t="b">
        <f>IFERROR(__xludf.DUMMYFUNCTION("""COMPUTED_VALUE"""),FALSE)</f>
        <v>0</v>
      </c>
      <c r="AI1257" s="32"/>
      <c r="AJ1257" s="32"/>
      <c r="AK1257" s="32"/>
      <c r="AL1257" s="32"/>
      <c r="AM1257" s="32"/>
      <c r="AN1257" s="32"/>
      <c r="AO1257" s="32"/>
      <c r="AP1257" s="32"/>
      <c r="AQ1257" s="32"/>
      <c r="AR1257" s="32"/>
      <c r="AS1257" s="32"/>
      <c r="AT1257" s="32"/>
      <c r="AU1257" s="32"/>
      <c r="AV1257" s="32"/>
      <c r="AW1257" s="32"/>
      <c r="AX1257" s="32"/>
    </row>
    <row r="1258">
      <c r="A1258" s="32"/>
      <c r="B1258" s="32"/>
      <c r="C1258" s="32"/>
      <c r="D1258" s="32"/>
      <c r="E1258" s="32">
        <f>IFERROR(__xludf.DUMMYFUNCTION("""COMPUTED_VALUE"""),1.0)</f>
        <v>1</v>
      </c>
      <c r="F1258" s="44">
        <f>IFERROR(__xludf.DUMMYFUNCTION("""COMPUTED_VALUE"""),0.0)</f>
        <v>0</v>
      </c>
      <c r="G1258" s="32"/>
      <c r="H1258" s="32"/>
      <c r="I1258" s="32"/>
      <c r="J1258" s="32"/>
      <c r="K1258" s="32"/>
      <c r="L1258" s="32"/>
      <c r="M1258" s="32"/>
      <c r="N1258" s="32"/>
      <c r="O1258" s="32"/>
      <c r="P1258" s="32"/>
      <c r="Q1258" s="32"/>
      <c r="R1258" s="32"/>
      <c r="S1258" s="32"/>
      <c r="T1258" s="32"/>
      <c r="U1258" s="32"/>
      <c r="V1258" s="32"/>
      <c r="W1258" s="32"/>
      <c r="X1258" s="32"/>
      <c r="Y1258" s="32"/>
      <c r="Z1258" s="32"/>
      <c r="AA1258" s="32"/>
      <c r="AB1258" s="32"/>
      <c r="AC1258" s="32"/>
      <c r="AD1258" s="32"/>
      <c r="AE1258" s="32"/>
      <c r="AF1258" s="32"/>
      <c r="AG1258" s="32"/>
      <c r="AH1258" s="32" t="b">
        <f>IFERROR(__xludf.DUMMYFUNCTION("""COMPUTED_VALUE"""),FALSE)</f>
        <v>0</v>
      </c>
      <c r="AI1258" s="32"/>
      <c r="AJ1258" s="32"/>
      <c r="AK1258" s="32"/>
      <c r="AL1258" s="32"/>
      <c r="AM1258" s="32"/>
      <c r="AN1258" s="32"/>
      <c r="AO1258" s="32"/>
      <c r="AP1258" s="32"/>
      <c r="AQ1258" s="32"/>
      <c r="AR1258" s="32"/>
      <c r="AS1258" s="32"/>
      <c r="AT1258" s="32"/>
      <c r="AU1258" s="32"/>
      <c r="AV1258" s="32"/>
      <c r="AW1258" s="32"/>
      <c r="AX1258" s="32"/>
    </row>
    <row r="1259">
      <c r="A1259" s="32"/>
      <c r="B1259" s="32"/>
      <c r="C1259" s="32"/>
      <c r="D1259" s="32"/>
      <c r="E1259" s="32">
        <f>IFERROR(__xludf.DUMMYFUNCTION("""COMPUTED_VALUE"""),1.0)</f>
        <v>1</v>
      </c>
      <c r="F1259" s="44">
        <f>IFERROR(__xludf.DUMMYFUNCTION("""COMPUTED_VALUE"""),0.0)</f>
        <v>0</v>
      </c>
      <c r="G1259" s="32"/>
      <c r="H1259" s="32"/>
      <c r="I1259" s="32"/>
      <c r="J1259" s="32"/>
      <c r="K1259" s="32"/>
      <c r="L1259" s="32"/>
      <c r="M1259" s="32"/>
      <c r="N1259" s="32"/>
      <c r="O1259" s="32"/>
      <c r="P1259" s="32"/>
      <c r="Q1259" s="32"/>
      <c r="R1259" s="32"/>
      <c r="S1259" s="32"/>
      <c r="T1259" s="32"/>
      <c r="U1259" s="32"/>
      <c r="V1259" s="32"/>
      <c r="W1259" s="32"/>
      <c r="X1259" s="32"/>
      <c r="Y1259" s="32"/>
      <c r="Z1259" s="32"/>
      <c r="AA1259" s="32"/>
      <c r="AB1259" s="32"/>
      <c r="AC1259" s="32"/>
      <c r="AD1259" s="32"/>
      <c r="AE1259" s="32"/>
      <c r="AF1259" s="32"/>
      <c r="AG1259" s="32"/>
      <c r="AH1259" s="32" t="b">
        <f>IFERROR(__xludf.DUMMYFUNCTION("""COMPUTED_VALUE"""),FALSE)</f>
        <v>0</v>
      </c>
      <c r="AI1259" s="32"/>
      <c r="AJ1259" s="32"/>
      <c r="AK1259" s="32"/>
      <c r="AL1259" s="32"/>
      <c r="AM1259" s="32"/>
      <c r="AN1259" s="32"/>
      <c r="AO1259" s="32"/>
      <c r="AP1259" s="32"/>
      <c r="AQ1259" s="32"/>
      <c r="AR1259" s="32"/>
      <c r="AS1259" s="32"/>
      <c r="AT1259" s="32"/>
      <c r="AU1259" s="32"/>
      <c r="AV1259" s="32"/>
      <c r="AW1259" s="32"/>
      <c r="AX1259" s="32"/>
    </row>
    <row r="1260">
      <c r="A1260" s="32"/>
      <c r="B1260" s="32"/>
      <c r="C1260" s="32"/>
      <c r="D1260" s="32"/>
      <c r="E1260" s="32">
        <f>IFERROR(__xludf.DUMMYFUNCTION("""COMPUTED_VALUE"""),1.0)</f>
        <v>1</v>
      </c>
      <c r="F1260" s="44">
        <f>IFERROR(__xludf.DUMMYFUNCTION("""COMPUTED_VALUE"""),0.0)</f>
        <v>0</v>
      </c>
      <c r="G1260" s="32"/>
      <c r="H1260" s="32"/>
      <c r="I1260" s="32"/>
      <c r="J1260" s="32"/>
      <c r="K1260" s="32"/>
      <c r="L1260" s="32"/>
      <c r="M1260" s="32"/>
      <c r="N1260" s="32"/>
      <c r="O1260" s="32"/>
      <c r="P1260" s="32"/>
      <c r="Q1260" s="32"/>
      <c r="R1260" s="32"/>
      <c r="S1260" s="32"/>
      <c r="T1260" s="32"/>
      <c r="U1260" s="32"/>
      <c r="V1260" s="32"/>
      <c r="W1260" s="32"/>
      <c r="X1260" s="32"/>
      <c r="Y1260" s="32"/>
      <c r="Z1260" s="32"/>
      <c r="AA1260" s="32"/>
      <c r="AB1260" s="32"/>
      <c r="AC1260" s="32"/>
      <c r="AD1260" s="32"/>
      <c r="AE1260" s="32"/>
      <c r="AF1260" s="32"/>
      <c r="AG1260" s="32"/>
      <c r="AH1260" s="32" t="b">
        <f>IFERROR(__xludf.DUMMYFUNCTION("""COMPUTED_VALUE"""),FALSE)</f>
        <v>0</v>
      </c>
      <c r="AI1260" s="32"/>
      <c r="AJ1260" s="32"/>
      <c r="AK1260" s="32"/>
      <c r="AL1260" s="32"/>
      <c r="AM1260" s="32"/>
      <c r="AN1260" s="32"/>
      <c r="AO1260" s="32"/>
      <c r="AP1260" s="32"/>
      <c r="AQ1260" s="32"/>
      <c r="AR1260" s="32"/>
      <c r="AS1260" s="32"/>
      <c r="AT1260" s="32"/>
      <c r="AU1260" s="32"/>
      <c r="AV1260" s="32"/>
      <c r="AW1260" s="32"/>
      <c r="AX1260" s="32"/>
    </row>
    <row r="1261">
      <c r="A1261" s="32"/>
      <c r="B1261" s="32"/>
      <c r="C1261" s="32"/>
      <c r="D1261" s="32"/>
      <c r="E1261" s="32">
        <f>IFERROR(__xludf.DUMMYFUNCTION("""COMPUTED_VALUE"""),1.0)</f>
        <v>1</v>
      </c>
      <c r="F1261" s="44">
        <f>IFERROR(__xludf.DUMMYFUNCTION("""COMPUTED_VALUE"""),0.0)</f>
        <v>0</v>
      </c>
      <c r="G1261" s="32"/>
      <c r="H1261" s="32"/>
      <c r="I1261" s="32"/>
      <c r="J1261" s="32"/>
      <c r="K1261" s="32"/>
      <c r="L1261" s="32"/>
      <c r="M1261" s="32"/>
      <c r="N1261" s="32"/>
      <c r="O1261" s="32"/>
      <c r="P1261" s="32"/>
      <c r="Q1261" s="32"/>
      <c r="R1261" s="32"/>
      <c r="S1261" s="32"/>
      <c r="T1261" s="32"/>
      <c r="U1261" s="32"/>
      <c r="V1261" s="32"/>
      <c r="W1261" s="32"/>
      <c r="X1261" s="32"/>
      <c r="Y1261" s="32"/>
      <c r="Z1261" s="32"/>
      <c r="AA1261" s="32"/>
      <c r="AB1261" s="32"/>
      <c r="AC1261" s="32"/>
      <c r="AD1261" s="32"/>
      <c r="AE1261" s="32"/>
      <c r="AF1261" s="32"/>
      <c r="AG1261" s="32"/>
      <c r="AH1261" s="32" t="b">
        <f>IFERROR(__xludf.DUMMYFUNCTION("""COMPUTED_VALUE"""),FALSE)</f>
        <v>0</v>
      </c>
      <c r="AI1261" s="32"/>
      <c r="AJ1261" s="32"/>
      <c r="AK1261" s="32"/>
      <c r="AL1261" s="32"/>
      <c r="AM1261" s="32"/>
      <c r="AN1261" s="32"/>
      <c r="AO1261" s="32"/>
      <c r="AP1261" s="32"/>
      <c r="AQ1261" s="32"/>
      <c r="AR1261" s="32"/>
      <c r="AS1261" s="32"/>
      <c r="AT1261" s="32"/>
      <c r="AU1261" s="32"/>
      <c r="AV1261" s="32"/>
      <c r="AW1261" s="32"/>
      <c r="AX1261" s="32"/>
    </row>
    <row r="1262">
      <c r="A1262" s="32"/>
      <c r="B1262" s="32"/>
      <c r="C1262" s="32"/>
      <c r="D1262" s="32"/>
      <c r="E1262" s="32">
        <f>IFERROR(__xludf.DUMMYFUNCTION("""COMPUTED_VALUE"""),1.0)</f>
        <v>1</v>
      </c>
      <c r="F1262" s="44">
        <f>IFERROR(__xludf.DUMMYFUNCTION("""COMPUTED_VALUE"""),0.0)</f>
        <v>0</v>
      </c>
      <c r="G1262" s="32"/>
      <c r="H1262" s="32"/>
      <c r="I1262" s="32"/>
      <c r="J1262" s="32"/>
      <c r="K1262" s="32"/>
      <c r="L1262" s="32"/>
      <c r="M1262" s="32"/>
      <c r="N1262" s="32"/>
      <c r="O1262" s="32"/>
      <c r="P1262" s="32"/>
      <c r="Q1262" s="32"/>
      <c r="R1262" s="32"/>
      <c r="S1262" s="32"/>
      <c r="T1262" s="32"/>
      <c r="U1262" s="32"/>
      <c r="V1262" s="32"/>
      <c r="W1262" s="32"/>
      <c r="X1262" s="32"/>
      <c r="Y1262" s="32"/>
      <c r="Z1262" s="32"/>
      <c r="AA1262" s="32"/>
      <c r="AB1262" s="32"/>
      <c r="AC1262" s="32"/>
      <c r="AD1262" s="32"/>
      <c r="AE1262" s="32"/>
      <c r="AF1262" s="32"/>
      <c r="AG1262" s="32"/>
      <c r="AH1262" s="32" t="b">
        <f>IFERROR(__xludf.DUMMYFUNCTION("""COMPUTED_VALUE"""),FALSE)</f>
        <v>0</v>
      </c>
      <c r="AI1262" s="32"/>
      <c r="AJ1262" s="32"/>
      <c r="AK1262" s="32"/>
      <c r="AL1262" s="32"/>
      <c r="AM1262" s="32"/>
      <c r="AN1262" s="32"/>
      <c r="AO1262" s="32"/>
      <c r="AP1262" s="32"/>
      <c r="AQ1262" s="32"/>
      <c r="AR1262" s="32"/>
      <c r="AS1262" s="32"/>
      <c r="AT1262" s="32"/>
      <c r="AU1262" s="32"/>
      <c r="AV1262" s="32"/>
      <c r="AW1262" s="32"/>
      <c r="AX1262" s="32"/>
    </row>
    <row r="1263">
      <c r="A1263" s="32"/>
      <c r="B1263" s="32"/>
      <c r="C1263" s="32"/>
      <c r="D1263" s="32"/>
      <c r="E1263" s="32">
        <f>IFERROR(__xludf.DUMMYFUNCTION("""COMPUTED_VALUE"""),1.0)</f>
        <v>1</v>
      </c>
      <c r="F1263" s="44">
        <f>IFERROR(__xludf.DUMMYFUNCTION("""COMPUTED_VALUE"""),0.0)</f>
        <v>0</v>
      </c>
      <c r="G1263" s="32"/>
      <c r="H1263" s="32"/>
      <c r="I1263" s="32"/>
      <c r="J1263" s="32"/>
      <c r="K1263" s="32"/>
      <c r="L1263" s="32"/>
      <c r="M1263" s="32"/>
      <c r="N1263" s="32"/>
      <c r="O1263" s="32"/>
      <c r="P1263" s="32"/>
      <c r="Q1263" s="32"/>
      <c r="R1263" s="32"/>
      <c r="S1263" s="32"/>
      <c r="T1263" s="32"/>
      <c r="U1263" s="32"/>
      <c r="V1263" s="32"/>
      <c r="W1263" s="32"/>
      <c r="X1263" s="32"/>
      <c r="Y1263" s="32"/>
      <c r="Z1263" s="32"/>
      <c r="AA1263" s="32"/>
      <c r="AB1263" s="32"/>
      <c r="AC1263" s="32"/>
      <c r="AD1263" s="32"/>
      <c r="AE1263" s="32"/>
      <c r="AF1263" s="32"/>
      <c r="AG1263" s="32"/>
      <c r="AH1263" s="32" t="b">
        <f>IFERROR(__xludf.DUMMYFUNCTION("""COMPUTED_VALUE"""),FALSE)</f>
        <v>0</v>
      </c>
      <c r="AI1263" s="32"/>
      <c r="AJ1263" s="32"/>
      <c r="AK1263" s="32"/>
      <c r="AL1263" s="32"/>
      <c r="AM1263" s="32"/>
      <c r="AN1263" s="32"/>
      <c r="AO1263" s="32"/>
      <c r="AP1263" s="32"/>
      <c r="AQ1263" s="32"/>
      <c r="AR1263" s="32"/>
      <c r="AS1263" s="32"/>
      <c r="AT1263" s="32"/>
      <c r="AU1263" s="32"/>
      <c r="AV1263" s="32"/>
      <c r="AW1263" s="32"/>
      <c r="AX1263" s="32"/>
    </row>
    <row r="1264">
      <c r="A1264" s="32"/>
      <c r="B1264" s="32"/>
      <c r="C1264" s="32"/>
      <c r="D1264" s="32"/>
      <c r="E1264" s="32">
        <f>IFERROR(__xludf.DUMMYFUNCTION("""COMPUTED_VALUE"""),1.0)</f>
        <v>1</v>
      </c>
      <c r="F1264" s="44">
        <f>IFERROR(__xludf.DUMMYFUNCTION("""COMPUTED_VALUE"""),0.0)</f>
        <v>0</v>
      </c>
      <c r="G1264" s="32"/>
      <c r="H1264" s="32"/>
      <c r="I1264" s="32"/>
      <c r="J1264" s="32"/>
      <c r="K1264" s="32"/>
      <c r="L1264" s="32"/>
      <c r="M1264" s="32"/>
      <c r="N1264" s="32"/>
      <c r="O1264" s="32"/>
      <c r="P1264" s="32"/>
      <c r="Q1264" s="32"/>
      <c r="R1264" s="32"/>
      <c r="S1264" s="32"/>
      <c r="T1264" s="32"/>
      <c r="U1264" s="32"/>
      <c r="V1264" s="32"/>
      <c r="W1264" s="32"/>
      <c r="X1264" s="32"/>
      <c r="Y1264" s="32"/>
      <c r="Z1264" s="32"/>
      <c r="AA1264" s="32"/>
      <c r="AB1264" s="32"/>
      <c r="AC1264" s="32"/>
      <c r="AD1264" s="32"/>
      <c r="AE1264" s="32"/>
      <c r="AF1264" s="32"/>
      <c r="AG1264" s="32"/>
      <c r="AH1264" s="32" t="b">
        <f>IFERROR(__xludf.DUMMYFUNCTION("""COMPUTED_VALUE"""),FALSE)</f>
        <v>0</v>
      </c>
      <c r="AI1264" s="32"/>
      <c r="AJ1264" s="32"/>
      <c r="AK1264" s="32"/>
      <c r="AL1264" s="32"/>
      <c r="AM1264" s="32"/>
      <c r="AN1264" s="32"/>
      <c r="AO1264" s="32"/>
      <c r="AP1264" s="32"/>
      <c r="AQ1264" s="32"/>
      <c r="AR1264" s="32"/>
      <c r="AS1264" s="32"/>
      <c r="AT1264" s="32"/>
      <c r="AU1264" s="32"/>
      <c r="AV1264" s="32"/>
      <c r="AW1264" s="32"/>
      <c r="AX1264" s="32"/>
    </row>
    <row r="1265">
      <c r="A1265" s="32"/>
      <c r="B1265" s="32"/>
      <c r="C1265" s="32"/>
      <c r="D1265" s="32"/>
      <c r="E1265" s="32">
        <f>IFERROR(__xludf.DUMMYFUNCTION("""COMPUTED_VALUE"""),1.0)</f>
        <v>1</v>
      </c>
      <c r="F1265" s="44">
        <f>IFERROR(__xludf.DUMMYFUNCTION("""COMPUTED_VALUE"""),0.0)</f>
        <v>0</v>
      </c>
      <c r="G1265" s="32"/>
      <c r="H1265" s="32"/>
      <c r="I1265" s="32"/>
      <c r="J1265" s="32"/>
      <c r="K1265" s="32"/>
      <c r="L1265" s="32"/>
      <c r="M1265" s="32"/>
      <c r="N1265" s="32"/>
      <c r="O1265" s="32"/>
      <c r="P1265" s="32"/>
      <c r="Q1265" s="32"/>
      <c r="R1265" s="32"/>
      <c r="S1265" s="32"/>
      <c r="T1265" s="32"/>
      <c r="U1265" s="32"/>
      <c r="V1265" s="32"/>
      <c r="W1265" s="32"/>
      <c r="X1265" s="32"/>
      <c r="Y1265" s="32"/>
      <c r="Z1265" s="32"/>
      <c r="AA1265" s="32"/>
      <c r="AB1265" s="32"/>
      <c r="AC1265" s="32"/>
      <c r="AD1265" s="32"/>
      <c r="AE1265" s="32"/>
      <c r="AF1265" s="32"/>
      <c r="AG1265" s="32"/>
      <c r="AH1265" s="32" t="b">
        <f>IFERROR(__xludf.DUMMYFUNCTION("""COMPUTED_VALUE"""),FALSE)</f>
        <v>0</v>
      </c>
      <c r="AI1265" s="32"/>
      <c r="AJ1265" s="32"/>
      <c r="AK1265" s="32"/>
      <c r="AL1265" s="32"/>
      <c r="AM1265" s="32"/>
      <c r="AN1265" s="32"/>
      <c r="AO1265" s="32"/>
      <c r="AP1265" s="32"/>
      <c r="AQ1265" s="32"/>
      <c r="AR1265" s="32"/>
      <c r="AS1265" s="32"/>
      <c r="AT1265" s="32"/>
      <c r="AU1265" s="32"/>
      <c r="AV1265" s="32"/>
      <c r="AW1265" s="32"/>
      <c r="AX1265" s="32"/>
    </row>
    <row r="1266">
      <c r="A1266" s="32"/>
      <c r="B1266" s="32"/>
      <c r="C1266" s="32"/>
      <c r="D1266" s="32"/>
      <c r="E1266" s="32">
        <f>IFERROR(__xludf.DUMMYFUNCTION("""COMPUTED_VALUE"""),1.0)</f>
        <v>1</v>
      </c>
      <c r="F1266" s="44">
        <f>IFERROR(__xludf.DUMMYFUNCTION("""COMPUTED_VALUE"""),0.0)</f>
        <v>0</v>
      </c>
      <c r="G1266" s="32"/>
      <c r="H1266" s="32"/>
      <c r="I1266" s="32"/>
      <c r="J1266" s="32"/>
      <c r="K1266" s="32"/>
      <c r="L1266" s="32"/>
      <c r="M1266" s="32"/>
      <c r="N1266" s="32"/>
      <c r="O1266" s="32"/>
      <c r="P1266" s="32"/>
      <c r="Q1266" s="32"/>
      <c r="R1266" s="32"/>
      <c r="S1266" s="32"/>
      <c r="T1266" s="32"/>
      <c r="U1266" s="32"/>
      <c r="V1266" s="32"/>
      <c r="W1266" s="32"/>
      <c r="X1266" s="32"/>
      <c r="Y1266" s="32"/>
      <c r="Z1266" s="32"/>
      <c r="AA1266" s="32"/>
      <c r="AB1266" s="32"/>
      <c r="AC1266" s="32"/>
      <c r="AD1266" s="32"/>
      <c r="AE1266" s="32"/>
      <c r="AF1266" s="32"/>
      <c r="AG1266" s="32"/>
      <c r="AH1266" s="32" t="b">
        <f>IFERROR(__xludf.DUMMYFUNCTION("""COMPUTED_VALUE"""),FALSE)</f>
        <v>0</v>
      </c>
      <c r="AI1266" s="32"/>
      <c r="AJ1266" s="32"/>
      <c r="AK1266" s="32"/>
      <c r="AL1266" s="32"/>
      <c r="AM1266" s="32"/>
      <c r="AN1266" s="32"/>
      <c r="AO1266" s="32"/>
      <c r="AP1266" s="32"/>
      <c r="AQ1266" s="32"/>
      <c r="AR1266" s="32"/>
      <c r="AS1266" s="32"/>
      <c r="AT1266" s="32"/>
      <c r="AU1266" s="32"/>
      <c r="AV1266" s="32"/>
      <c r="AW1266" s="32"/>
      <c r="AX1266" s="32"/>
    </row>
    <row r="1267">
      <c r="A1267" s="32"/>
      <c r="B1267" s="32"/>
      <c r="C1267" s="32"/>
      <c r="D1267" s="32"/>
      <c r="E1267" s="32">
        <f>IFERROR(__xludf.DUMMYFUNCTION("""COMPUTED_VALUE"""),1.0)</f>
        <v>1</v>
      </c>
      <c r="F1267" s="44">
        <f>IFERROR(__xludf.DUMMYFUNCTION("""COMPUTED_VALUE"""),0.0)</f>
        <v>0</v>
      </c>
      <c r="G1267" s="32"/>
      <c r="H1267" s="32"/>
      <c r="I1267" s="32"/>
      <c r="J1267" s="32"/>
      <c r="K1267" s="32"/>
      <c r="L1267" s="32"/>
      <c r="M1267" s="32"/>
      <c r="N1267" s="32"/>
      <c r="O1267" s="32"/>
      <c r="P1267" s="32"/>
      <c r="Q1267" s="32"/>
      <c r="R1267" s="32"/>
      <c r="S1267" s="32"/>
      <c r="T1267" s="32"/>
      <c r="U1267" s="32"/>
      <c r="V1267" s="32"/>
      <c r="W1267" s="32"/>
      <c r="X1267" s="32"/>
      <c r="Y1267" s="32"/>
      <c r="Z1267" s="32"/>
      <c r="AA1267" s="32"/>
      <c r="AB1267" s="32"/>
      <c r="AC1267" s="32"/>
      <c r="AD1267" s="32"/>
      <c r="AE1267" s="32"/>
      <c r="AF1267" s="32"/>
      <c r="AG1267" s="32"/>
      <c r="AH1267" s="32" t="b">
        <f>IFERROR(__xludf.DUMMYFUNCTION("""COMPUTED_VALUE"""),FALSE)</f>
        <v>0</v>
      </c>
      <c r="AI1267" s="32"/>
      <c r="AJ1267" s="32"/>
      <c r="AK1267" s="32"/>
      <c r="AL1267" s="32"/>
      <c r="AM1267" s="32"/>
      <c r="AN1267" s="32"/>
      <c r="AO1267" s="32"/>
      <c r="AP1267" s="32"/>
      <c r="AQ1267" s="32"/>
      <c r="AR1267" s="32"/>
      <c r="AS1267" s="32"/>
      <c r="AT1267" s="32"/>
      <c r="AU1267" s="32"/>
      <c r="AV1267" s="32"/>
      <c r="AW1267" s="32"/>
      <c r="AX1267" s="32"/>
    </row>
    <row r="1268">
      <c r="A1268" s="32"/>
      <c r="B1268" s="32"/>
      <c r="C1268" s="32"/>
      <c r="D1268" s="32"/>
      <c r="E1268" s="32">
        <f>IFERROR(__xludf.DUMMYFUNCTION("""COMPUTED_VALUE"""),1.0)</f>
        <v>1</v>
      </c>
      <c r="F1268" s="44">
        <f>IFERROR(__xludf.DUMMYFUNCTION("""COMPUTED_VALUE"""),0.0)</f>
        <v>0</v>
      </c>
      <c r="G1268" s="32"/>
      <c r="H1268" s="32"/>
      <c r="I1268" s="32"/>
      <c r="J1268" s="32"/>
      <c r="K1268" s="32"/>
      <c r="L1268" s="32"/>
      <c r="M1268" s="32"/>
      <c r="N1268" s="32"/>
      <c r="O1268" s="32"/>
      <c r="P1268" s="32"/>
      <c r="Q1268" s="32"/>
      <c r="R1268" s="32"/>
      <c r="S1268" s="32"/>
      <c r="T1268" s="32"/>
      <c r="U1268" s="32"/>
      <c r="V1268" s="32"/>
      <c r="W1268" s="32"/>
      <c r="X1268" s="32"/>
      <c r="Y1268" s="32"/>
      <c r="Z1268" s="32"/>
      <c r="AA1268" s="32"/>
      <c r="AB1268" s="32"/>
      <c r="AC1268" s="32"/>
      <c r="AD1268" s="32"/>
      <c r="AE1268" s="32"/>
      <c r="AF1268" s="32"/>
      <c r="AG1268" s="32"/>
      <c r="AH1268" s="32" t="b">
        <f>IFERROR(__xludf.DUMMYFUNCTION("""COMPUTED_VALUE"""),FALSE)</f>
        <v>0</v>
      </c>
      <c r="AI1268" s="32"/>
      <c r="AJ1268" s="32"/>
      <c r="AK1268" s="32"/>
      <c r="AL1268" s="32"/>
      <c r="AM1268" s="32"/>
      <c r="AN1268" s="32"/>
      <c r="AO1268" s="32"/>
      <c r="AP1268" s="32"/>
      <c r="AQ1268" s="32"/>
      <c r="AR1268" s="32"/>
      <c r="AS1268" s="32"/>
      <c r="AT1268" s="32"/>
      <c r="AU1268" s="32"/>
      <c r="AV1268" s="32"/>
      <c r="AW1268" s="32"/>
      <c r="AX1268" s="32"/>
    </row>
    <row r="1269">
      <c r="A1269" s="32"/>
      <c r="B1269" s="32"/>
      <c r="C1269" s="32"/>
      <c r="D1269" s="32"/>
      <c r="E1269" s="32">
        <f>IFERROR(__xludf.DUMMYFUNCTION("""COMPUTED_VALUE"""),1.0)</f>
        <v>1</v>
      </c>
      <c r="F1269" s="44">
        <f>IFERROR(__xludf.DUMMYFUNCTION("""COMPUTED_VALUE"""),0.0)</f>
        <v>0</v>
      </c>
      <c r="G1269" s="32"/>
      <c r="H1269" s="32"/>
      <c r="I1269" s="32"/>
      <c r="J1269" s="32"/>
      <c r="K1269" s="32"/>
      <c r="L1269" s="32"/>
      <c r="M1269" s="32"/>
      <c r="N1269" s="32"/>
      <c r="O1269" s="32"/>
      <c r="P1269" s="32"/>
      <c r="Q1269" s="32"/>
      <c r="R1269" s="32"/>
      <c r="S1269" s="32"/>
      <c r="T1269" s="32"/>
      <c r="U1269" s="32"/>
      <c r="V1269" s="32"/>
      <c r="W1269" s="32"/>
      <c r="X1269" s="32"/>
      <c r="Y1269" s="32"/>
      <c r="Z1269" s="32"/>
      <c r="AA1269" s="32"/>
      <c r="AB1269" s="32"/>
      <c r="AC1269" s="32"/>
      <c r="AD1269" s="32"/>
      <c r="AE1269" s="32"/>
      <c r="AF1269" s="32"/>
      <c r="AG1269" s="32"/>
      <c r="AH1269" s="32" t="b">
        <f>IFERROR(__xludf.DUMMYFUNCTION("""COMPUTED_VALUE"""),FALSE)</f>
        <v>0</v>
      </c>
      <c r="AI1269" s="32"/>
      <c r="AJ1269" s="32"/>
      <c r="AK1269" s="32"/>
      <c r="AL1269" s="32"/>
      <c r="AM1269" s="32"/>
      <c r="AN1269" s="32"/>
      <c r="AO1269" s="32"/>
      <c r="AP1269" s="32"/>
      <c r="AQ1269" s="32"/>
      <c r="AR1269" s="32"/>
      <c r="AS1269" s="32"/>
      <c r="AT1269" s="32"/>
      <c r="AU1269" s="32"/>
      <c r="AV1269" s="32"/>
      <c r="AW1269" s="32"/>
      <c r="AX1269" s="32"/>
    </row>
    <row r="1270">
      <c r="A1270" s="32"/>
      <c r="B1270" s="32"/>
      <c r="C1270" s="32"/>
      <c r="D1270" s="32"/>
      <c r="E1270" s="32">
        <f>IFERROR(__xludf.DUMMYFUNCTION("""COMPUTED_VALUE"""),1.0)</f>
        <v>1</v>
      </c>
      <c r="F1270" s="44">
        <f>IFERROR(__xludf.DUMMYFUNCTION("""COMPUTED_VALUE"""),0.0)</f>
        <v>0</v>
      </c>
      <c r="G1270" s="32"/>
      <c r="H1270" s="32"/>
      <c r="I1270" s="32"/>
      <c r="J1270" s="32"/>
      <c r="K1270" s="32"/>
      <c r="L1270" s="32"/>
      <c r="M1270" s="32"/>
      <c r="N1270" s="32"/>
      <c r="O1270" s="32"/>
      <c r="P1270" s="32"/>
      <c r="Q1270" s="32"/>
      <c r="R1270" s="32"/>
      <c r="S1270" s="32"/>
      <c r="T1270" s="32"/>
      <c r="U1270" s="32"/>
      <c r="V1270" s="32"/>
      <c r="W1270" s="32"/>
      <c r="X1270" s="32"/>
      <c r="Y1270" s="32"/>
      <c r="Z1270" s="32"/>
      <c r="AA1270" s="32"/>
      <c r="AB1270" s="32"/>
      <c r="AC1270" s="32"/>
      <c r="AD1270" s="32"/>
      <c r="AE1270" s="32"/>
      <c r="AF1270" s="32"/>
      <c r="AG1270" s="32"/>
      <c r="AH1270" s="32" t="b">
        <f>IFERROR(__xludf.DUMMYFUNCTION("""COMPUTED_VALUE"""),FALSE)</f>
        <v>0</v>
      </c>
      <c r="AI1270" s="32"/>
      <c r="AJ1270" s="32"/>
      <c r="AK1270" s="32"/>
      <c r="AL1270" s="32"/>
      <c r="AM1270" s="32"/>
      <c r="AN1270" s="32"/>
      <c r="AO1270" s="32"/>
      <c r="AP1270" s="32"/>
      <c r="AQ1270" s="32"/>
      <c r="AR1270" s="32"/>
      <c r="AS1270" s="32"/>
      <c r="AT1270" s="32"/>
      <c r="AU1270" s="32"/>
      <c r="AV1270" s="32"/>
      <c r="AW1270" s="32"/>
      <c r="AX1270" s="32"/>
    </row>
    <row r="1271">
      <c r="A1271" s="32"/>
      <c r="B1271" s="32"/>
      <c r="C1271" s="32"/>
      <c r="D1271" s="32"/>
      <c r="E1271" s="32">
        <f>IFERROR(__xludf.DUMMYFUNCTION("""COMPUTED_VALUE"""),1.0)</f>
        <v>1</v>
      </c>
      <c r="F1271" s="44">
        <f>IFERROR(__xludf.DUMMYFUNCTION("""COMPUTED_VALUE"""),0.0)</f>
        <v>0</v>
      </c>
      <c r="G1271" s="32"/>
      <c r="H1271" s="32"/>
      <c r="I1271" s="32"/>
      <c r="J1271" s="32"/>
      <c r="K1271" s="32"/>
      <c r="L1271" s="32"/>
      <c r="M1271" s="32"/>
      <c r="N1271" s="32"/>
      <c r="O1271" s="32"/>
      <c r="P1271" s="32"/>
      <c r="Q1271" s="32"/>
      <c r="R1271" s="32"/>
      <c r="S1271" s="32"/>
      <c r="T1271" s="32"/>
      <c r="U1271" s="32"/>
      <c r="V1271" s="32"/>
      <c r="W1271" s="32"/>
      <c r="X1271" s="32"/>
      <c r="Y1271" s="32"/>
      <c r="Z1271" s="32"/>
      <c r="AA1271" s="32"/>
      <c r="AB1271" s="32"/>
      <c r="AC1271" s="32"/>
      <c r="AD1271" s="32"/>
      <c r="AE1271" s="32"/>
      <c r="AF1271" s="32"/>
      <c r="AG1271" s="32"/>
      <c r="AH1271" s="32" t="b">
        <f>IFERROR(__xludf.DUMMYFUNCTION("""COMPUTED_VALUE"""),FALSE)</f>
        <v>0</v>
      </c>
      <c r="AI1271" s="32"/>
      <c r="AJ1271" s="32"/>
      <c r="AK1271" s="32"/>
      <c r="AL1271" s="32"/>
      <c r="AM1271" s="32"/>
      <c r="AN1271" s="32"/>
      <c r="AO1271" s="32"/>
      <c r="AP1271" s="32"/>
      <c r="AQ1271" s="32"/>
      <c r="AR1271" s="32"/>
      <c r="AS1271" s="32"/>
      <c r="AT1271" s="32"/>
      <c r="AU1271" s="32"/>
      <c r="AV1271" s="32"/>
      <c r="AW1271" s="32"/>
      <c r="AX1271" s="32"/>
    </row>
    <row r="1272">
      <c r="A1272" s="32"/>
      <c r="B1272" s="32"/>
      <c r="C1272" s="32"/>
      <c r="D1272" s="32"/>
      <c r="E1272" s="32">
        <f>IFERROR(__xludf.DUMMYFUNCTION("""COMPUTED_VALUE"""),1.0)</f>
        <v>1</v>
      </c>
      <c r="F1272" s="44">
        <f>IFERROR(__xludf.DUMMYFUNCTION("""COMPUTED_VALUE"""),0.0)</f>
        <v>0</v>
      </c>
      <c r="G1272" s="32"/>
      <c r="H1272" s="32"/>
      <c r="I1272" s="32"/>
      <c r="J1272" s="32"/>
      <c r="K1272" s="32"/>
      <c r="L1272" s="32"/>
      <c r="M1272" s="32"/>
      <c r="N1272" s="32"/>
      <c r="O1272" s="32"/>
      <c r="P1272" s="32"/>
      <c r="Q1272" s="32"/>
      <c r="R1272" s="32"/>
      <c r="S1272" s="32"/>
      <c r="T1272" s="32"/>
      <c r="U1272" s="32"/>
      <c r="V1272" s="32"/>
      <c r="W1272" s="32"/>
      <c r="X1272" s="32"/>
      <c r="Y1272" s="32"/>
      <c r="Z1272" s="32"/>
      <c r="AA1272" s="32"/>
      <c r="AB1272" s="32"/>
      <c r="AC1272" s="32"/>
      <c r="AD1272" s="32"/>
      <c r="AE1272" s="32"/>
      <c r="AF1272" s="32"/>
      <c r="AG1272" s="32"/>
      <c r="AH1272" s="32" t="b">
        <f>IFERROR(__xludf.DUMMYFUNCTION("""COMPUTED_VALUE"""),FALSE)</f>
        <v>0</v>
      </c>
      <c r="AI1272" s="32"/>
      <c r="AJ1272" s="32"/>
      <c r="AK1272" s="32"/>
      <c r="AL1272" s="32"/>
      <c r="AM1272" s="32"/>
      <c r="AN1272" s="32"/>
      <c r="AO1272" s="32"/>
      <c r="AP1272" s="32"/>
      <c r="AQ1272" s="32"/>
      <c r="AR1272" s="32"/>
      <c r="AS1272" s="32"/>
      <c r="AT1272" s="32"/>
      <c r="AU1272" s="32"/>
      <c r="AV1272" s="32"/>
      <c r="AW1272" s="32"/>
      <c r="AX1272" s="32"/>
    </row>
    <row r="1273">
      <c r="A1273" s="32"/>
      <c r="B1273" s="32"/>
      <c r="C1273" s="32"/>
      <c r="D1273" s="32"/>
      <c r="E1273" s="32">
        <f>IFERROR(__xludf.DUMMYFUNCTION("""COMPUTED_VALUE"""),1.0)</f>
        <v>1</v>
      </c>
      <c r="F1273" s="44">
        <f>IFERROR(__xludf.DUMMYFUNCTION("""COMPUTED_VALUE"""),0.0)</f>
        <v>0</v>
      </c>
      <c r="G1273" s="32"/>
      <c r="H1273" s="32"/>
      <c r="I1273" s="32"/>
      <c r="J1273" s="32"/>
      <c r="K1273" s="32"/>
      <c r="L1273" s="32"/>
      <c r="M1273" s="32"/>
      <c r="N1273" s="32"/>
      <c r="O1273" s="32"/>
      <c r="P1273" s="32"/>
      <c r="Q1273" s="32"/>
      <c r="R1273" s="32"/>
      <c r="S1273" s="32"/>
      <c r="T1273" s="32"/>
      <c r="U1273" s="32"/>
      <c r="V1273" s="32"/>
      <c r="W1273" s="32"/>
      <c r="X1273" s="32"/>
      <c r="Y1273" s="32"/>
      <c r="Z1273" s="32"/>
      <c r="AA1273" s="32"/>
      <c r="AB1273" s="32"/>
      <c r="AC1273" s="32"/>
      <c r="AD1273" s="32"/>
      <c r="AE1273" s="32"/>
      <c r="AF1273" s="32"/>
      <c r="AG1273" s="32"/>
      <c r="AH1273" s="32" t="b">
        <f>IFERROR(__xludf.DUMMYFUNCTION("""COMPUTED_VALUE"""),FALSE)</f>
        <v>0</v>
      </c>
      <c r="AI1273" s="32"/>
      <c r="AJ1273" s="32"/>
      <c r="AK1273" s="32"/>
      <c r="AL1273" s="32"/>
      <c r="AM1273" s="32"/>
      <c r="AN1273" s="32"/>
      <c r="AO1273" s="32"/>
      <c r="AP1273" s="32"/>
      <c r="AQ1273" s="32"/>
      <c r="AR1273" s="32"/>
      <c r="AS1273" s="32"/>
      <c r="AT1273" s="32"/>
      <c r="AU1273" s="32"/>
      <c r="AV1273" s="32"/>
      <c r="AW1273" s="32"/>
      <c r="AX1273" s="32"/>
    </row>
    <row r="1274">
      <c r="A1274" s="32"/>
      <c r="B1274" s="32"/>
      <c r="C1274" s="32"/>
      <c r="D1274" s="32"/>
      <c r="E1274" s="32">
        <f>IFERROR(__xludf.DUMMYFUNCTION("""COMPUTED_VALUE"""),1.0)</f>
        <v>1</v>
      </c>
      <c r="F1274" s="44">
        <f>IFERROR(__xludf.DUMMYFUNCTION("""COMPUTED_VALUE"""),0.0)</f>
        <v>0</v>
      </c>
      <c r="G1274" s="32"/>
      <c r="H1274" s="32"/>
      <c r="I1274" s="32"/>
      <c r="J1274" s="32"/>
      <c r="K1274" s="32"/>
      <c r="L1274" s="32"/>
      <c r="M1274" s="32"/>
      <c r="N1274" s="32"/>
      <c r="O1274" s="32"/>
      <c r="P1274" s="32"/>
      <c r="Q1274" s="32"/>
      <c r="R1274" s="32"/>
      <c r="S1274" s="32"/>
      <c r="T1274" s="32"/>
      <c r="U1274" s="32"/>
      <c r="V1274" s="32"/>
      <c r="W1274" s="32"/>
      <c r="X1274" s="32"/>
      <c r="Y1274" s="32"/>
      <c r="Z1274" s="32"/>
      <c r="AA1274" s="32"/>
      <c r="AB1274" s="32"/>
      <c r="AC1274" s="32"/>
      <c r="AD1274" s="32"/>
      <c r="AE1274" s="32"/>
      <c r="AF1274" s="32"/>
      <c r="AG1274" s="32"/>
      <c r="AH1274" s="32" t="b">
        <f>IFERROR(__xludf.DUMMYFUNCTION("""COMPUTED_VALUE"""),FALSE)</f>
        <v>0</v>
      </c>
      <c r="AI1274" s="32"/>
      <c r="AJ1274" s="32"/>
      <c r="AK1274" s="32"/>
      <c r="AL1274" s="32"/>
      <c r="AM1274" s="32"/>
      <c r="AN1274" s="32"/>
      <c r="AO1274" s="32"/>
      <c r="AP1274" s="32"/>
      <c r="AQ1274" s="32"/>
      <c r="AR1274" s="32"/>
      <c r="AS1274" s="32"/>
      <c r="AT1274" s="32"/>
      <c r="AU1274" s="32"/>
      <c r="AV1274" s="32"/>
      <c r="AW1274" s="32"/>
      <c r="AX1274" s="32"/>
    </row>
    <row r="1275">
      <c r="A1275" s="32"/>
      <c r="B1275" s="32"/>
      <c r="C1275" s="32"/>
      <c r="D1275" s="32"/>
      <c r="E1275" s="32">
        <f>IFERROR(__xludf.DUMMYFUNCTION("""COMPUTED_VALUE"""),1.0)</f>
        <v>1</v>
      </c>
      <c r="F1275" s="44">
        <f>IFERROR(__xludf.DUMMYFUNCTION("""COMPUTED_VALUE"""),0.0)</f>
        <v>0</v>
      </c>
      <c r="G1275" s="32"/>
      <c r="H1275" s="32"/>
      <c r="I1275" s="32"/>
      <c r="J1275" s="32"/>
      <c r="K1275" s="32"/>
      <c r="L1275" s="32"/>
      <c r="M1275" s="32"/>
      <c r="N1275" s="32"/>
      <c r="O1275" s="32"/>
      <c r="P1275" s="32"/>
      <c r="Q1275" s="32"/>
      <c r="R1275" s="32"/>
      <c r="S1275" s="32"/>
      <c r="T1275" s="32"/>
      <c r="U1275" s="32"/>
      <c r="V1275" s="32"/>
      <c r="W1275" s="32"/>
      <c r="X1275" s="32"/>
      <c r="Y1275" s="32"/>
      <c r="Z1275" s="32"/>
      <c r="AA1275" s="32"/>
      <c r="AB1275" s="32"/>
      <c r="AC1275" s="32"/>
      <c r="AD1275" s="32"/>
      <c r="AE1275" s="32"/>
      <c r="AF1275" s="32"/>
      <c r="AG1275" s="32"/>
      <c r="AH1275" s="32" t="b">
        <f>IFERROR(__xludf.DUMMYFUNCTION("""COMPUTED_VALUE"""),FALSE)</f>
        <v>0</v>
      </c>
      <c r="AI1275" s="32"/>
      <c r="AJ1275" s="32"/>
      <c r="AK1275" s="32"/>
      <c r="AL1275" s="32"/>
      <c r="AM1275" s="32"/>
      <c r="AN1275" s="32"/>
      <c r="AO1275" s="32"/>
      <c r="AP1275" s="32"/>
      <c r="AQ1275" s="32"/>
      <c r="AR1275" s="32"/>
      <c r="AS1275" s="32"/>
      <c r="AT1275" s="32"/>
      <c r="AU1275" s="32"/>
      <c r="AV1275" s="32"/>
      <c r="AW1275" s="32"/>
      <c r="AX1275" s="32"/>
    </row>
    <row r="1276">
      <c r="A1276" s="32"/>
      <c r="B1276" s="32"/>
      <c r="C1276" s="32"/>
      <c r="D1276" s="32"/>
      <c r="E1276" s="32">
        <f>IFERROR(__xludf.DUMMYFUNCTION("""COMPUTED_VALUE"""),1.0)</f>
        <v>1</v>
      </c>
      <c r="F1276" s="44">
        <f>IFERROR(__xludf.DUMMYFUNCTION("""COMPUTED_VALUE"""),0.0)</f>
        <v>0</v>
      </c>
      <c r="G1276" s="32"/>
      <c r="H1276" s="32"/>
      <c r="I1276" s="32"/>
      <c r="J1276" s="32"/>
      <c r="K1276" s="32"/>
      <c r="L1276" s="32"/>
      <c r="M1276" s="32"/>
      <c r="N1276" s="32"/>
      <c r="O1276" s="32"/>
      <c r="P1276" s="32"/>
      <c r="Q1276" s="32"/>
      <c r="R1276" s="32"/>
      <c r="S1276" s="32"/>
      <c r="T1276" s="32"/>
      <c r="U1276" s="32"/>
      <c r="V1276" s="32"/>
      <c r="W1276" s="32"/>
      <c r="X1276" s="32"/>
      <c r="Y1276" s="32"/>
      <c r="Z1276" s="32"/>
      <c r="AA1276" s="32"/>
      <c r="AB1276" s="32"/>
      <c r="AC1276" s="32"/>
      <c r="AD1276" s="32"/>
      <c r="AE1276" s="32"/>
      <c r="AF1276" s="32"/>
      <c r="AG1276" s="32"/>
      <c r="AH1276" s="32" t="b">
        <f>IFERROR(__xludf.DUMMYFUNCTION("""COMPUTED_VALUE"""),FALSE)</f>
        <v>0</v>
      </c>
      <c r="AI1276" s="32"/>
      <c r="AJ1276" s="32"/>
      <c r="AK1276" s="32"/>
      <c r="AL1276" s="32"/>
      <c r="AM1276" s="32"/>
      <c r="AN1276" s="32"/>
      <c r="AO1276" s="32"/>
      <c r="AP1276" s="32"/>
      <c r="AQ1276" s="32"/>
      <c r="AR1276" s="32"/>
      <c r="AS1276" s="32"/>
      <c r="AT1276" s="32"/>
      <c r="AU1276" s="32"/>
      <c r="AV1276" s="32"/>
      <c r="AW1276" s="32"/>
      <c r="AX1276" s="32"/>
    </row>
    <row r="1277">
      <c r="A1277" s="32"/>
      <c r="B1277" s="32"/>
      <c r="C1277" s="32"/>
      <c r="D1277" s="32"/>
      <c r="E1277" s="32">
        <f>IFERROR(__xludf.DUMMYFUNCTION("""COMPUTED_VALUE"""),1.0)</f>
        <v>1</v>
      </c>
      <c r="F1277" s="44">
        <f>IFERROR(__xludf.DUMMYFUNCTION("""COMPUTED_VALUE"""),0.0)</f>
        <v>0</v>
      </c>
      <c r="G1277" s="32"/>
      <c r="H1277" s="32"/>
      <c r="I1277" s="32"/>
      <c r="J1277" s="32"/>
      <c r="K1277" s="32"/>
      <c r="L1277" s="32"/>
      <c r="M1277" s="32"/>
      <c r="N1277" s="32"/>
      <c r="O1277" s="32"/>
      <c r="P1277" s="32"/>
      <c r="Q1277" s="32"/>
      <c r="R1277" s="32"/>
      <c r="S1277" s="32"/>
      <c r="T1277" s="32"/>
      <c r="U1277" s="32"/>
      <c r="V1277" s="32"/>
      <c r="W1277" s="32"/>
      <c r="X1277" s="32"/>
      <c r="Y1277" s="32"/>
      <c r="Z1277" s="32"/>
      <c r="AA1277" s="32"/>
      <c r="AB1277" s="32"/>
      <c r="AC1277" s="32"/>
      <c r="AD1277" s="32"/>
      <c r="AE1277" s="32"/>
      <c r="AF1277" s="32"/>
      <c r="AG1277" s="32"/>
      <c r="AH1277" s="32" t="b">
        <f>IFERROR(__xludf.DUMMYFUNCTION("""COMPUTED_VALUE"""),FALSE)</f>
        <v>0</v>
      </c>
      <c r="AI1277" s="32"/>
      <c r="AJ1277" s="32"/>
      <c r="AK1277" s="32"/>
      <c r="AL1277" s="32"/>
      <c r="AM1277" s="32"/>
      <c r="AN1277" s="32"/>
      <c r="AO1277" s="32"/>
      <c r="AP1277" s="32"/>
      <c r="AQ1277" s="32"/>
      <c r="AR1277" s="32"/>
      <c r="AS1277" s="32"/>
      <c r="AT1277" s="32"/>
      <c r="AU1277" s="32"/>
      <c r="AV1277" s="32"/>
      <c r="AW1277" s="32"/>
      <c r="AX1277" s="32"/>
    </row>
    <row r="1278">
      <c r="A1278" s="32"/>
      <c r="B1278" s="32"/>
      <c r="C1278" s="32"/>
      <c r="D1278" s="32"/>
      <c r="E1278" s="32">
        <f>IFERROR(__xludf.DUMMYFUNCTION("""COMPUTED_VALUE"""),1.0)</f>
        <v>1</v>
      </c>
      <c r="F1278" s="44">
        <f>IFERROR(__xludf.DUMMYFUNCTION("""COMPUTED_VALUE"""),0.0)</f>
        <v>0</v>
      </c>
      <c r="G1278" s="32"/>
      <c r="H1278" s="32"/>
      <c r="I1278" s="32"/>
      <c r="J1278" s="32"/>
      <c r="K1278" s="32"/>
      <c r="L1278" s="32"/>
      <c r="M1278" s="32"/>
      <c r="N1278" s="32"/>
      <c r="O1278" s="32"/>
      <c r="P1278" s="32"/>
      <c r="Q1278" s="32"/>
      <c r="R1278" s="32"/>
      <c r="S1278" s="32"/>
      <c r="T1278" s="32"/>
      <c r="U1278" s="32"/>
      <c r="V1278" s="32"/>
      <c r="W1278" s="32"/>
      <c r="X1278" s="32"/>
      <c r="Y1278" s="32"/>
      <c r="Z1278" s="32"/>
      <c r="AA1278" s="32"/>
      <c r="AB1278" s="32"/>
      <c r="AC1278" s="32"/>
      <c r="AD1278" s="32"/>
      <c r="AE1278" s="32"/>
      <c r="AF1278" s="32"/>
      <c r="AG1278" s="32"/>
      <c r="AH1278" s="32" t="b">
        <f>IFERROR(__xludf.DUMMYFUNCTION("""COMPUTED_VALUE"""),FALSE)</f>
        <v>0</v>
      </c>
      <c r="AI1278" s="32"/>
      <c r="AJ1278" s="32"/>
      <c r="AK1278" s="32"/>
      <c r="AL1278" s="32"/>
      <c r="AM1278" s="32"/>
      <c r="AN1278" s="32"/>
      <c r="AO1278" s="32"/>
      <c r="AP1278" s="32"/>
      <c r="AQ1278" s="32"/>
      <c r="AR1278" s="32"/>
      <c r="AS1278" s="32"/>
      <c r="AT1278" s="32"/>
      <c r="AU1278" s="32"/>
      <c r="AV1278" s="32"/>
      <c r="AW1278" s="32"/>
      <c r="AX1278" s="32"/>
    </row>
    <row r="1279">
      <c r="A1279" s="32"/>
      <c r="B1279" s="32"/>
      <c r="C1279" s="32"/>
      <c r="D1279" s="32"/>
      <c r="E1279" s="32">
        <f>IFERROR(__xludf.DUMMYFUNCTION("""COMPUTED_VALUE"""),1.0)</f>
        <v>1</v>
      </c>
      <c r="F1279" s="44">
        <f>IFERROR(__xludf.DUMMYFUNCTION("""COMPUTED_VALUE"""),0.0)</f>
        <v>0</v>
      </c>
      <c r="G1279" s="32"/>
      <c r="H1279" s="32"/>
      <c r="I1279" s="32"/>
      <c r="J1279" s="32"/>
      <c r="K1279" s="32"/>
      <c r="L1279" s="32"/>
      <c r="M1279" s="32"/>
      <c r="N1279" s="32"/>
      <c r="O1279" s="32"/>
      <c r="P1279" s="32"/>
      <c r="Q1279" s="32"/>
      <c r="R1279" s="32"/>
      <c r="S1279" s="32"/>
      <c r="T1279" s="32"/>
      <c r="U1279" s="32"/>
      <c r="V1279" s="32"/>
      <c r="W1279" s="32"/>
      <c r="X1279" s="32"/>
      <c r="Y1279" s="32"/>
      <c r="Z1279" s="32"/>
      <c r="AA1279" s="32"/>
      <c r="AB1279" s="32"/>
      <c r="AC1279" s="32"/>
      <c r="AD1279" s="32"/>
      <c r="AE1279" s="32"/>
      <c r="AF1279" s="32"/>
      <c r="AG1279" s="32"/>
      <c r="AH1279" s="32" t="b">
        <f>IFERROR(__xludf.DUMMYFUNCTION("""COMPUTED_VALUE"""),FALSE)</f>
        <v>0</v>
      </c>
      <c r="AI1279" s="32"/>
      <c r="AJ1279" s="32"/>
      <c r="AK1279" s="32"/>
      <c r="AL1279" s="32"/>
      <c r="AM1279" s="32"/>
      <c r="AN1279" s="32"/>
      <c r="AO1279" s="32"/>
      <c r="AP1279" s="32"/>
      <c r="AQ1279" s="32"/>
      <c r="AR1279" s="32"/>
      <c r="AS1279" s="32"/>
      <c r="AT1279" s="32"/>
      <c r="AU1279" s="32"/>
      <c r="AV1279" s="32"/>
      <c r="AW1279" s="32"/>
      <c r="AX1279" s="32"/>
    </row>
    <row r="1280">
      <c r="A1280" s="32"/>
      <c r="B1280" s="32"/>
      <c r="C1280" s="32"/>
      <c r="D1280" s="32"/>
      <c r="E1280" s="32">
        <f>IFERROR(__xludf.DUMMYFUNCTION("""COMPUTED_VALUE"""),1.0)</f>
        <v>1</v>
      </c>
      <c r="F1280" s="44">
        <f>IFERROR(__xludf.DUMMYFUNCTION("""COMPUTED_VALUE"""),0.0)</f>
        <v>0</v>
      </c>
      <c r="G1280" s="32"/>
      <c r="H1280" s="32"/>
      <c r="I1280" s="32"/>
      <c r="J1280" s="32"/>
      <c r="K1280" s="32"/>
      <c r="L1280" s="32"/>
      <c r="M1280" s="32"/>
      <c r="N1280" s="32"/>
      <c r="O1280" s="32"/>
      <c r="P1280" s="32"/>
      <c r="Q1280" s="32"/>
      <c r="R1280" s="32"/>
      <c r="S1280" s="32"/>
      <c r="T1280" s="32"/>
      <c r="U1280" s="32"/>
      <c r="V1280" s="32"/>
      <c r="W1280" s="32"/>
      <c r="X1280" s="32"/>
      <c r="Y1280" s="32"/>
      <c r="Z1280" s="32"/>
      <c r="AA1280" s="32"/>
      <c r="AB1280" s="32"/>
      <c r="AC1280" s="32"/>
      <c r="AD1280" s="32"/>
      <c r="AE1280" s="32"/>
      <c r="AF1280" s="32"/>
      <c r="AG1280" s="32"/>
      <c r="AH1280" s="32" t="b">
        <f>IFERROR(__xludf.DUMMYFUNCTION("""COMPUTED_VALUE"""),FALSE)</f>
        <v>0</v>
      </c>
      <c r="AI1280" s="32"/>
      <c r="AJ1280" s="32"/>
      <c r="AK1280" s="32"/>
      <c r="AL1280" s="32"/>
      <c r="AM1280" s="32"/>
      <c r="AN1280" s="32"/>
      <c r="AO1280" s="32"/>
      <c r="AP1280" s="32"/>
      <c r="AQ1280" s="32"/>
      <c r="AR1280" s="32"/>
      <c r="AS1280" s="32"/>
      <c r="AT1280" s="32"/>
      <c r="AU1280" s="32"/>
      <c r="AV1280" s="32"/>
      <c r="AW1280" s="32"/>
      <c r="AX1280" s="32"/>
    </row>
    <row r="1281">
      <c r="A1281" s="32"/>
      <c r="B1281" s="32"/>
      <c r="C1281" s="32"/>
      <c r="D1281" s="32"/>
      <c r="E1281" s="32">
        <f>IFERROR(__xludf.DUMMYFUNCTION("""COMPUTED_VALUE"""),1.0)</f>
        <v>1</v>
      </c>
      <c r="F1281" s="44">
        <f>IFERROR(__xludf.DUMMYFUNCTION("""COMPUTED_VALUE"""),0.0)</f>
        <v>0</v>
      </c>
      <c r="G1281" s="32"/>
      <c r="H1281" s="32"/>
      <c r="I1281" s="32"/>
      <c r="J1281" s="32"/>
      <c r="K1281" s="32"/>
      <c r="L1281" s="32"/>
      <c r="M1281" s="32"/>
      <c r="N1281" s="32"/>
      <c r="O1281" s="32"/>
      <c r="P1281" s="32"/>
      <c r="Q1281" s="32"/>
      <c r="R1281" s="32"/>
      <c r="S1281" s="32"/>
      <c r="T1281" s="32"/>
      <c r="U1281" s="32"/>
      <c r="V1281" s="32"/>
      <c r="W1281" s="32"/>
      <c r="X1281" s="32"/>
      <c r="Y1281" s="32"/>
      <c r="Z1281" s="32"/>
      <c r="AA1281" s="32"/>
      <c r="AB1281" s="32"/>
      <c r="AC1281" s="32"/>
      <c r="AD1281" s="32"/>
      <c r="AE1281" s="32"/>
      <c r="AF1281" s="32"/>
      <c r="AG1281" s="32"/>
      <c r="AH1281" s="32" t="b">
        <f>IFERROR(__xludf.DUMMYFUNCTION("""COMPUTED_VALUE"""),FALSE)</f>
        <v>0</v>
      </c>
      <c r="AI1281" s="32"/>
      <c r="AJ1281" s="32"/>
      <c r="AK1281" s="32"/>
      <c r="AL1281" s="32"/>
      <c r="AM1281" s="32"/>
      <c r="AN1281" s="32"/>
      <c r="AO1281" s="32"/>
      <c r="AP1281" s="32"/>
      <c r="AQ1281" s="32"/>
      <c r="AR1281" s="32"/>
      <c r="AS1281" s="32"/>
      <c r="AT1281" s="32"/>
      <c r="AU1281" s="32"/>
      <c r="AV1281" s="32"/>
      <c r="AW1281" s="32"/>
      <c r="AX1281" s="32"/>
    </row>
    <row r="1282">
      <c r="A1282" s="32"/>
      <c r="B1282" s="32"/>
      <c r="C1282" s="32"/>
      <c r="D1282" s="32"/>
      <c r="E1282" s="32">
        <f>IFERROR(__xludf.DUMMYFUNCTION("""COMPUTED_VALUE"""),1.0)</f>
        <v>1</v>
      </c>
      <c r="F1282" s="44">
        <f>IFERROR(__xludf.DUMMYFUNCTION("""COMPUTED_VALUE"""),0.0)</f>
        <v>0</v>
      </c>
      <c r="G1282" s="32"/>
      <c r="H1282" s="32"/>
      <c r="I1282" s="32"/>
      <c r="J1282" s="32"/>
      <c r="K1282" s="32"/>
      <c r="L1282" s="32"/>
      <c r="M1282" s="32"/>
      <c r="N1282" s="32"/>
      <c r="O1282" s="32"/>
      <c r="P1282" s="32"/>
      <c r="Q1282" s="32"/>
      <c r="R1282" s="32"/>
      <c r="S1282" s="32"/>
      <c r="T1282" s="32"/>
      <c r="U1282" s="32"/>
      <c r="V1282" s="32"/>
      <c r="W1282" s="32"/>
      <c r="X1282" s="32"/>
      <c r="Y1282" s="32"/>
      <c r="Z1282" s="32"/>
      <c r="AA1282" s="32"/>
      <c r="AB1282" s="32"/>
      <c r="AC1282" s="32"/>
      <c r="AD1282" s="32"/>
      <c r="AE1282" s="32"/>
      <c r="AF1282" s="32"/>
      <c r="AG1282" s="32"/>
      <c r="AH1282" s="32" t="b">
        <f>IFERROR(__xludf.DUMMYFUNCTION("""COMPUTED_VALUE"""),FALSE)</f>
        <v>0</v>
      </c>
      <c r="AI1282" s="32"/>
      <c r="AJ1282" s="32"/>
      <c r="AK1282" s="32"/>
      <c r="AL1282" s="32"/>
      <c r="AM1282" s="32"/>
      <c r="AN1282" s="32"/>
      <c r="AO1282" s="32"/>
      <c r="AP1282" s="32"/>
      <c r="AQ1282" s="32"/>
      <c r="AR1282" s="32"/>
      <c r="AS1282" s="32"/>
      <c r="AT1282" s="32"/>
      <c r="AU1282" s="32"/>
      <c r="AV1282" s="32"/>
      <c r="AW1282" s="32"/>
      <c r="AX1282" s="32"/>
    </row>
    <row r="1283">
      <c r="A1283" s="32"/>
      <c r="B1283" s="32"/>
      <c r="C1283" s="32"/>
      <c r="D1283" s="32"/>
      <c r="E1283" s="32">
        <f>IFERROR(__xludf.DUMMYFUNCTION("""COMPUTED_VALUE"""),1.0)</f>
        <v>1</v>
      </c>
      <c r="F1283" s="44">
        <f>IFERROR(__xludf.DUMMYFUNCTION("""COMPUTED_VALUE"""),0.0)</f>
        <v>0</v>
      </c>
      <c r="G1283" s="32"/>
      <c r="H1283" s="32"/>
      <c r="I1283" s="32"/>
      <c r="J1283" s="32"/>
      <c r="K1283" s="32"/>
      <c r="L1283" s="32"/>
      <c r="M1283" s="32"/>
      <c r="N1283" s="32"/>
      <c r="O1283" s="32"/>
      <c r="P1283" s="32"/>
      <c r="Q1283" s="32"/>
      <c r="R1283" s="32"/>
      <c r="S1283" s="32"/>
      <c r="T1283" s="32"/>
      <c r="U1283" s="32"/>
      <c r="V1283" s="32"/>
      <c r="W1283" s="32"/>
      <c r="X1283" s="32"/>
      <c r="Y1283" s="32"/>
      <c r="Z1283" s="32"/>
      <c r="AA1283" s="32"/>
      <c r="AB1283" s="32"/>
      <c r="AC1283" s="32"/>
      <c r="AD1283" s="32"/>
      <c r="AE1283" s="32"/>
      <c r="AF1283" s="32"/>
      <c r="AG1283" s="32"/>
      <c r="AH1283" s="32" t="b">
        <f>IFERROR(__xludf.DUMMYFUNCTION("""COMPUTED_VALUE"""),FALSE)</f>
        <v>0</v>
      </c>
      <c r="AI1283" s="32"/>
      <c r="AJ1283" s="32"/>
      <c r="AK1283" s="32"/>
      <c r="AL1283" s="32"/>
      <c r="AM1283" s="32"/>
      <c r="AN1283" s="32"/>
      <c r="AO1283" s="32"/>
      <c r="AP1283" s="32"/>
      <c r="AQ1283" s="32"/>
      <c r="AR1283" s="32"/>
      <c r="AS1283" s="32"/>
      <c r="AT1283" s="32"/>
      <c r="AU1283" s="32"/>
      <c r="AV1283" s="32"/>
      <c r="AW1283" s="32"/>
      <c r="AX1283" s="32"/>
    </row>
    <row r="1284">
      <c r="A1284" s="32"/>
      <c r="B1284" s="32"/>
      <c r="C1284" s="32"/>
      <c r="D1284" s="32"/>
      <c r="E1284" s="32">
        <f>IFERROR(__xludf.DUMMYFUNCTION("""COMPUTED_VALUE"""),1.0)</f>
        <v>1</v>
      </c>
      <c r="F1284" s="44">
        <f>IFERROR(__xludf.DUMMYFUNCTION("""COMPUTED_VALUE"""),0.0)</f>
        <v>0</v>
      </c>
      <c r="G1284" s="32"/>
      <c r="H1284" s="32"/>
      <c r="I1284" s="32"/>
      <c r="J1284" s="32"/>
      <c r="K1284" s="32"/>
      <c r="L1284" s="32"/>
      <c r="M1284" s="32"/>
      <c r="N1284" s="32"/>
      <c r="O1284" s="32"/>
      <c r="P1284" s="32"/>
      <c r="Q1284" s="32"/>
      <c r="R1284" s="32"/>
      <c r="S1284" s="32"/>
      <c r="T1284" s="32"/>
      <c r="U1284" s="32"/>
      <c r="V1284" s="32"/>
      <c r="W1284" s="32"/>
      <c r="X1284" s="32"/>
      <c r="Y1284" s="32"/>
      <c r="Z1284" s="32"/>
      <c r="AA1284" s="32"/>
      <c r="AB1284" s="32"/>
      <c r="AC1284" s="32"/>
      <c r="AD1284" s="32"/>
      <c r="AE1284" s="32"/>
      <c r="AF1284" s="32"/>
      <c r="AG1284" s="32"/>
      <c r="AH1284" s="32" t="b">
        <f>IFERROR(__xludf.DUMMYFUNCTION("""COMPUTED_VALUE"""),FALSE)</f>
        <v>0</v>
      </c>
      <c r="AI1284" s="32"/>
      <c r="AJ1284" s="32"/>
      <c r="AK1284" s="32"/>
      <c r="AL1284" s="32"/>
      <c r="AM1284" s="32"/>
      <c r="AN1284" s="32"/>
      <c r="AO1284" s="32"/>
      <c r="AP1284" s="32"/>
      <c r="AQ1284" s="32"/>
      <c r="AR1284" s="32"/>
      <c r="AS1284" s="32"/>
      <c r="AT1284" s="32"/>
      <c r="AU1284" s="32"/>
      <c r="AV1284" s="32"/>
      <c r="AW1284" s="32"/>
      <c r="AX1284" s="32"/>
    </row>
    <row r="1285">
      <c r="A1285" s="32"/>
      <c r="B1285" s="32"/>
      <c r="C1285" s="32"/>
      <c r="D1285" s="32"/>
      <c r="E1285" s="32">
        <f>IFERROR(__xludf.DUMMYFUNCTION("""COMPUTED_VALUE"""),1.0)</f>
        <v>1</v>
      </c>
      <c r="F1285" s="44">
        <f>IFERROR(__xludf.DUMMYFUNCTION("""COMPUTED_VALUE"""),0.0)</f>
        <v>0</v>
      </c>
      <c r="G1285" s="32"/>
      <c r="H1285" s="32"/>
      <c r="I1285" s="32"/>
      <c r="J1285" s="32"/>
      <c r="K1285" s="32"/>
      <c r="L1285" s="32"/>
      <c r="M1285" s="32"/>
      <c r="N1285" s="32"/>
      <c r="O1285" s="32"/>
      <c r="P1285" s="32"/>
      <c r="Q1285" s="32"/>
      <c r="R1285" s="32"/>
      <c r="S1285" s="32"/>
      <c r="T1285" s="32"/>
      <c r="U1285" s="32"/>
      <c r="V1285" s="32"/>
      <c r="W1285" s="32"/>
      <c r="X1285" s="32"/>
      <c r="Y1285" s="32"/>
      <c r="Z1285" s="32"/>
      <c r="AA1285" s="32"/>
      <c r="AB1285" s="32"/>
      <c r="AC1285" s="32"/>
      <c r="AD1285" s="32"/>
      <c r="AE1285" s="32"/>
      <c r="AF1285" s="32"/>
      <c r="AG1285" s="32"/>
      <c r="AH1285" s="32" t="b">
        <f>IFERROR(__xludf.DUMMYFUNCTION("""COMPUTED_VALUE"""),FALSE)</f>
        <v>0</v>
      </c>
      <c r="AI1285" s="32"/>
      <c r="AJ1285" s="32"/>
      <c r="AK1285" s="32"/>
      <c r="AL1285" s="32"/>
      <c r="AM1285" s="32"/>
      <c r="AN1285" s="32"/>
      <c r="AO1285" s="32"/>
      <c r="AP1285" s="32"/>
      <c r="AQ1285" s="32"/>
      <c r="AR1285" s="32"/>
      <c r="AS1285" s="32"/>
      <c r="AT1285" s="32"/>
      <c r="AU1285" s="32"/>
      <c r="AV1285" s="32"/>
      <c r="AW1285" s="32"/>
      <c r="AX1285" s="32"/>
    </row>
    <row r="1286">
      <c r="A1286" s="32"/>
      <c r="B1286" s="32"/>
      <c r="C1286" s="32"/>
      <c r="D1286" s="32"/>
      <c r="E1286" s="32">
        <f>IFERROR(__xludf.DUMMYFUNCTION("""COMPUTED_VALUE"""),1.0)</f>
        <v>1</v>
      </c>
      <c r="F1286" s="44">
        <f>IFERROR(__xludf.DUMMYFUNCTION("""COMPUTED_VALUE"""),0.0)</f>
        <v>0</v>
      </c>
      <c r="G1286" s="32"/>
      <c r="H1286" s="32"/>
      <c r="I1286" s="32"/>
      <c r="J1286" s="32"/>
      <c r="K1286" s="32"/>
      <c r="L1286" s="32"/>
      <c r="M1286" s="32"/>
      <c r="N1286" s="32"/>
      <c r="O1286" s="32"/>
      <c r="P1286" s="32"/>
      <c r="Q1286" s="32"/>
      <c r="R1286" s="32"/>
      <c r="S1286" s="32"/>
      <c r="T1286" s="32"/>
      <c r="U1286" s="32"/>
      <c r="V1286" s="32"/>
      <c r="W1286" s="32"/>
      <c r="X1286" s="32"/>
      <c r="Y1286" s="32"/>
      <c r="Z1286" s="32"/>
      <c r="AA1286" s="32"/>
      <c r="AB1286" s="32"/>
      <c r="AC1286" s="32"/>
      <c r="AD1286" s="32"/>
      <c r="AE1286" s="32"/>
      <c r="AF1286" s="32"/>
      <c r="AG1286" s="32"/>
      <c r="AH1286" s="32" t="b">
        <f>IFERROR(__xludf.DUMMYFUNCTION("""COMPUTED_VALUE"""),FALSE)</f>
        <v>0</v>
      </c>
      <c r="AI1286" s="32"/>
      <c r="AJ1286" s="32"/>
      <c r="AK1286" s="32"/>
      <c r="AL1286" s="32"/>
      <c r="AM1286" s="32"/>
      <c r="AN1286" s="32"/>
      <c r="AO1286" s="32"/>
      <c r="AP1286" s="32"/>
      <c r="AQ1286" s="32"/>
      <c r="AR1286" s="32"/>
      <c r="AS1286" s="32"/>
      <c r="AT1286" s="32"/>
      <c r="AU1286" s="32"/>
      <c r="AV1286" s="32"/>
      <c r="AW1286" s="32"/>
      <c r="AX1286" s="32"/>
    </row>
    <row r="1287">
      <c r="A1287" s="32"/>
      <c r="B1287" s="32"/>
      <c r="C1287" s="32"/>
      <c r="D1287" s="32"/>
      <c r="E1287" s="32">
        <f>IFERROR(__xludf.DUMMYFUNCTION("""COMPUTED_VALUE"""),1.0)</f>
        <v>1</v>
      </c>
      <c r="F1287" s="44">
        <f>IFERROR(__xludf.DUMMYFUNCTION("""COMPUTED_VALUE"""),0.0)</f>
        <v>0</v>
      </c>
      <c r="G1287" s="32"/>
      <c r="H1287" s="32"/>
      <c r="I1287" s="32"/>
      <c r="J1287" s="32"/>
      <c r="K1287" s="32"/>
      <c r="L1287" s="32"/>
      <c r="M1287" s="32"/>
      <c r="N1287" s="32"/>
      <c r="O1287" s="32"/>
      <c r="P1287" s="32"/>
      <c r="Q1287" s="32"/>
      <c r="R1287" s="32"/>
      <c r="S1287" s="32"/>
      <c r="T1287" s="32"/>
      <c r="U1287" s="32"/>
      <c r="V1287" s="32"/>
      <c r="W1287" s="32"/>
      <c r="X1287" s="32"/>
      <c r="Y1287" s="32"/>
      <c r="Z1287" s="32"/>
      <c r="AA1287" s="32"/>
      <c r="AB1287" s="32"/>
      <c r="AC1287" s="32"/>
      <c r="AD1287" s="32"/>
      <c r="AE1287" s="32"/>
      <c r="AF1287" s="32"/>
      <c r="AG1287" s="32"/>
      <c r="AH1287" s="32" t="b">
        <f>IFERROR(__xludf.DUMMYFUNCTION("""COMPUTED_VALUE"""),FALSE)</f>
        <v>0</v>
      </c>
      <c r="AI1287" s="32"/>
      <c r="AJ1287" s="32"/>
      <c r="AK1287" s="32"/>
      <c r="AL1287" s="32"/>
      <c r="AM1287" s="32"/>
      <c r="AN1287" s="32"/>
      <c r="AO1287" s="32"/>
      <c r="AP1287" s="32"/>
      <c r="AQ1287" s="32"/>
      <c r="AR1287" s="32"/>
      <c r="AS1287" s="32"/>
      <c r="AT1287" s="32"/>
      <c r="AU1287" s="32"/>
      <c r="AV1287" s="32"/>
      <c r="AW1287" s="32"/>
      <c r="AX1287" s="32"/>
    </row>
    <row r="1288">
      <c r="A1288" s="32"/>
      <c r="B1288" s="32"/>
      <c r="C1288" s="32"/>
      <c r="D1288" s="32"/>
      <c r="E1288" s="32">
        <f>IFERROR(__xludf.DUMMYFUNCTION("""COMPUTED_VALUE"""),1.0)</f>
        <v>1</v>
      </c>
      <c r="F1288" s="44">
        <f>IFERROR(__xludf.DUMMYFUNCTION("""COMPUTED_VALUE"""),0.0)</f>
        <v>0</v>
      </c>
      <c r="G1288" s="32"/>
      <c r="H1288" s="32"/>
      <c r="I1288" s="32"/>
      <c r="J1288" s="32"/>
      <c r="K1288" s="32"/>
      <c r="L1288" s="32"/>
      <c r="M1288" s="32"/>
      <c r="N1288" s="32"/>
      <c r="O1288" s="32"/>
      <c r="P1288" s="32"/>
      <c r="Q1288" s="32"/>
      <c r="R1288" s="32"/>
      <c r="S1288" s="32"/>
      <c r="T1288" s="32"/>
      <c r="U1288" s="32"/>
      <c r="V1288" s="32"/>
      <c r="W1288" s="32"/>
      <c r="X1288" s="32"/>
      <c r="Y1288" s="32"/>
      <c r="Z1288" s="32"/>
      <c r="AA1288" s="32"/>
      <c r="AB1288" s="32"/>
      <c r="AC1288" s="32"/>
      <c r="AD1288" s="32"/>
      <c r="AE1288" s="32"/>
      <c r="AF1288" s="32"/>
      <c r="AG1288" s="32"/>
      <c r="AH1288" s="32" t="b">
        <f>IFERROR(__xludf.DUMMYFUNCTION("""COMPUTED_VALUE"""),FALSE)</f>
        <v>0</v>
      </c>
      <c r="AI1288" s="32"/>
      <c r="AJ1288" s="32"/>
      <c r="AK1288" s="32"/>
      <c r="AL1288" s="32"/>
      <c r="AM1288" s="32"/>
      <c r="AN1288" s="32"/>
      <c r="AO1288" s="32"/>
      <c r="AP1288" s="32"/>
      <c r="AQ1288" s="32"/>
      <c r="AR1288" s="32"/>
      <c r="AS1288" s="32"/>
      <c r="AT1288" s="32"/>
      <c r="AU1288" s="32"/>
      <c r="AV1288" s="32"/>
      <c r="AW1288" s="32"/>
      <c r="AX1288" s="32"/>
    </row>
    <row r="1289">
      <c r="A1289" s="32"/>
      <c r="B1289" s="32"/>
      <c r="C1289" s="32"/>
      <c r="D1289" s="32"/>
      <c r="E1289" s="32">
        <f>IFERROR(__xludf.DUMMYFUNCTION("""COMPUTED_VALUE"""),1.0)</f>
        <v>1</v>
      </c>
      <c r="F1289" s="44">
        <f>IFERROR(__xludf.DUMMYFUNCTION("""COMPUTED_VALUE"""),0.0)</f>
        <v>0</v>
      </c>
      <c r="G1289" s="32"/>
      <c r="H1289" s="32"/>
      <c r="I1289" s="32"/>
      <c r="J1289" s="32"/>
      <c r="K1289" s="32"/>
      <c r="L1289" s="32"/>
      <c r="M1289" s="32"/>
      <c r="N1289" s="32"/>
      <c r="O1289" s="32"/>
      <c r="P1289" s="32"/>
      <c r="Q1289" s="32"/>
      <c r="R1289" s="32"/>
      <c r="S1289" s="32"/>
      <c r="T1289" s="32"/>
      <c r="U1289" s="32"/>
      <c r="V1289" s="32"/>
      <c r="W1289" s="32"/>
      <c r="X1289" s="32"/>
      <c r="Y1289" s="32"/>
      <c r="Z1289" s="32"/>
      <c r="AA1289" s="32"/>
      <c r="AB1289" s="32"/>
      <c r="AC1289" s="32"/>
      <c r="AD1289" s="32"/>
      <c r="AE1289" s="32"/>
      <c r="AF1289" s="32"/>
      <c r="AG1289" s="32"/>
      <c r="AH1289" s="32" t="b">
        <f>IFERROR(__xludf.DUMMYFUNCTION("""COMPUTED_VALUE"""),FALSE)</f>
        <v>0</v>
      </c>
      <c r="AI1289" s="32"/>
      <c r="AJ1289" s="32"/>
      <c r="AK1289" s="32"/>
      <c r="AL1289" s="32"/>
      <c r="AM1289" s="32"/>
      <c r="AN1289" s="32"/>
      <c r="AO1289" s="32"/>
      <c r="AP1289" s="32"/>
      <c r="AQ1289" s="32"/>
      <c r="AR1289" s="32"/>
      <c r="AS1289" s="32"/>
      <c r="AT1289" s="32"/>
      <c r="AU1289" s="32"/>
      <c r="AV1289" s="32"/>
      <c r="AW1289" s="32"/>
      <c r="AX1289" s="32"/>
    </row>
    <row r="1290">
      <c r="A1290" s="32"/>
      <c r="B1290" s="32"/>
      <c r="C1290" s="32"/>
      <c r="D1290" s="32"/>
      <c r="E1290" s="32">
        <f>IFERROR(__xludf.DUMMYFUNCTION("""COMPUTED_VALUE"""),1.0)</f>
        <v>1</v>
      </c>
      <c r="F1290" s="44">
        <f>IFERROR(__xludf.DUMMYFUNCTION("""COMPUTED_VALUE"""),0.0)</f>
        <v>0</v>
      </c>
      <c r="G1290" s="32"/>
      <c r="H1290" s="32"/>
      <c r="I1290" s="32"/>
      <c r="J1290" s="32"/>
      <c r="K1290" s="32"/>
      <c r="L1290" s="32"/>
      <c r="M1290" s="32"/>
      <c r="N1290" s="32"/>
      <c r="O1290" s="32"/>
      <c r="P1290" s="32"/>
      <c r="Q1290" s="32"/>
      <c r="R1290" s="32"/>
      <c r="S1290" s="32"/>
      <c r="T1290" s="32"/>
      <c r="U1290" s="32"/>
      <c r="V1290" s="32"/>
      <c r="W1290" s="32"/>
      <c r="X1290" s="32"/>
      <c r="Y1290" s="32"/>
      <c r="Z1290" s="32"/>
      <c r="AA1290" s="32"/>
      <c r="AB1290" s="32"/>
      <c r="AC1290" s="32"/>
      <c r="AD1290" s="32"/>
      <c r="AE1290" s="32"/>
      <c r="AF1290" s="32"/>
      <c r="AG1290" s="32"/>
      <c r="AH1290" s="32" t="b">
        <f>IFERROR(__xludf.DUMMYFUNCTION("""COMPUTED_VALUE"""),FALSE)</f>
        <v>0</v>
      </c>
      <c r="AI1290" s="32"/>
      <c r="AJ1290" s="32"/>
      <c r="AK1290" s="32"/>
      <c r="AL1290" s="32"/>
      <c r="AM1290" s="32"/>
      <c r="AN1290" s="32"/>
      <c r="AO1290" s="32"/>
      <c r="AP1290" s="32"/>
      <c r="AQ1290" s="32"/>
      <c r="AR1290" s="32"/>
      <c r="AS1290" s="32"/>
      <c r="AT1290" s="32"/>
      <c r="AU1290" s="32"/>
      <c r="AV1290" s="32"/>
      <c r="AW1290" s="32"/>
      <c r="AX1290" s="32"/>
    </row>
    <row r="1291">
      <c r="A1291" s="32"/>
      <c r="B1291" s="32"/>
      <c r="C1291" s="32"/>
      <c r="D1291" s="32"/>
      <c r="E1291" s="32">
        <f>IFERROR(__xludf.DUMMYFUNCTION("""COMPUTED_VALUE"""),1.0)</f>
        <v>1</v>
      </c>
      <c r="F1291" s="44">
        <f>IFERROR(__xludf.DUMMYFUNCTION("""COMPUTED_VALUE"""),0.0)</f>
        <v>0</v>
      </c>
      <c r="G1291" s="32"/>
      <c r="H1291" s="32"/>
      <c r="I1291" s="32"/>
      <c r="J1291" s="32"/>
      <c r="K1291" s="32"/>
      <c r="L1291" s="32"/>
      <c r="M1291" s="32"/>
      <c r="N1291" s="32"/>
      <c r="O1291" s="32"/>
      <c r="P1291" s="32"/>
      <c r="Q1291" s="32"/>
      <c r="R1291" s="32"/>
      <c r="S1291" s="32"/>
      <c r="T1291" s="32"/>
      <c r="U1291" s="32"/>
      <c r="V1291" s="32"/>
      <c r="W1291" s="32"/>
      <c r="X1291" s="32"/>
      <c r="Y1291" s="32"/>
      <c r="Z1291" s="32"/>
      <c r="AA1291" s="32"/>
      <c r="AB1291" s="32"/>
      <c r="AC1291" s="32"/>
      <c r="AD1291" s="32"/>
      <c r="AE1291" s="32"/>
      <c r="AF1291" s="32"/>
      <c r="AG1291" s="32"/>
      <c r="AH1291" s="32" t="b">
        <f>IFERROR(__xludf.DUMMYFUNCTION("""COMPUTED_VALUE"""),FALSE)</f>
        <v>0</v>
      </c>
      <c r="AI1291" s="32"/>
      <c r="AJ1291" s="32"/>
      <c r="AK1291" s="32"/>
      <c r="AL1291" s="32"/>
      <c r="AM1291" s="32"/>
      <c r="AN1291" s="32"/>
      <c r="AO1291" s="32"/>
      <c r="AP1291" s="32"/>
      <c r="AQ1291" s="32"/>
      <c r="AR1291" s="32"/>
      <c r="AS1291" s="32"/>
      <c r="AT1291" s="32"/>
      <c r="AU1291" s="32"/>
      <c r="AV1291" s="32"/>
      <c r="AW1291" s="32"/>
      <c r="AX1291" s="32"/>
    </row>
    <row r="1292">
      <c r="A1292" s="32"/>
      <c r="B1292" s="32"/>
      <c r="C1292" s="32"/>
      <c r="D1292" s="32"/>
      <c r="E1292" s="32">
        <f>IFERROR(__xludf.DUMMYFUNCTION("""COMPUTED_VALUE"""),1.0)</f>
        <v>1</v>
      </c>
      <c r="F1292" s="44">
        <f>IFERROR(__xludf.DUMMYFUNCTION("""COMPUTED_VALUE"""),0.0)</f>
        <v>0</v>
      </c>
      <c r="G1292" s="32"/>
      <c r="H1292" s="32"/>
      <c r="I1292" s="32"/>
      <c r="J1292" s="32"/>
      <c r="K1292" s="32"/>
      <c r="L1292" s="32"/>
      <c r="M1292" s="32"/>
      <c r="N1292" s="32"/>
      <c r="O1292" s="32"/>
      <c r="P1292" s="32"/>
      <c r="Q1292" s="32"/>
      <c r="R1292" s="32"/>
      <c r="S1292" s="32"/>
      <c r="T1292" s="32"/>
      <c r="U1292" s="32"/>
      <c r="V1292" s="32"/>
      <c r="W1292" s="32"/>
      <c r="X1292" s="32"/>
      <c r="Y1292" s="32"/>
      <c r="Z1292" s="32"/>
      <c r="AA1292" s="32"/>
      <c r="AB1292" s="32"/>
      <c r="AC1292" s="32"/>
      <c r="AD1292" s="32"/>
      <c r="AE1292" s="32"/>
      <c r="AF1292" s="32"/>
      <c r="AG1292" s="32"/>
      <c r="AH1292" s="32" t="b">
        <f>IFERROR(__xludf.DUMMYFUNCTION("""COMPUTED_VALUE"""),FALSE)</f>
        <v>0</v>
      </c>
      <c r="AI1292" s="32"/>
      <c r="AJ1292" s="32"/>
      <c r="AK1292" s="32"/>
      <c r="AL1292" s="32"/>
      <c r="AM1292" s="32"/>
      <c r="AN1292" s="32"/>
      <c r="AO1292" s="32"/>
      <c r="AP1292" s="32"/>
      <c r="AQ1292" s="32"/>
      <c r="AR1292" s="32"/>
      <c r="AS1292" s="32"/>
      <c r="AT1292" s="32"/>
      <c r="AU1292" s="32"/>
      <c r="AV1292" s="32"/>
      <c r="AW1292" s="32"/>
      <c r="AX1292" s="32"/>
    </row>
    <row r="1293">
      <c r="A1293" s="32"/>
      <c r="B1293" s="32"/>
      <c r="C1293" s="32"/>
      <c r="D1293" s="32"/>
      <c r="E1293" s="32">
        <f>IFERROR(__xludf.DUMMYFUNCTION("""COMPUTED_VALUE"""),1.0)</f>
        <v>1</v>
      </c>
      <c r="F1293" s="44">
        <f>IFERROR(__xludf.DUMMYFUNCTION("""COMPUTED_VALUE"""),0.0)</f>
        <v>0</v>
      </c>
      <c r="G1293" s="32"/>
      <c r="H1293" s="32"/>
      <c r="I1293" s="32"/>
      <c r="J1293" s="32"/>
      <c r="K1293" s="32"/>
      <c r="L1293" s="32"/>
      <c r="M1293" s="32"/>
      <c r="N1293" s="32"/>
      <c r="O1293" s="32"/>
      <c r="P1293" s="32"/>
      <c r="Q1293" s="32"/>
      <c r="R1293" s="32"/>
      <c r="S1293" s="32"/>
      <c r="T1293" s="32"/>
      <c r="U1293" s="32"/>
      <c r="V1293" s="32"/>
      <c r="W1293" s="32"/>
      <c r="X1293" s="32"/>
      <c r="Y1293" s="32"/>
      <c r="Z1293" s="32"/>
      <c r="AA1293" s="32"/>
      <c r="AB1293" s="32"/>
      <c r="AC1293" s="32"/>
      <c r="AD1293" s="32"/>
      <c r="AE1293" s="32"/>
      <c r="AF1293" s="32"/>
      <c r="AG1293" s="32"/>
      <c r="AH1293" s="32" t="b">
        <f>IFERROR(__xludf.DUMMYFUNCTION("""COMPUTED_VALUE"""),FALSE)</f>
        <v>0</v>
      </c>
      <c r="AI1293" s="32"/>
      <c r="AJ1293" s="32"/>
      <c r="AK1293" s="32"/>
      <c r="AL1293" s="32"/>
      <c r="AM1293" s="32"/>
      <c r="AN1293" s="32"/>
      <c r="AO1293" s="32"/>
      <c r="AP1293" s="32"/>
      <c r="AQ1293" s="32"/>
      <c r="AR1293" s="32"/>
      <c r="AS1293" s="32"/>
      <c r="AT1293" s="32"/>
      <c r="AU1293" s="32"/>
      <c r="AV1293" s="32"/>
      <c r="AW1293" s="32"/>
      <c r="AX1293" s="32"/>
    </row>
    <row r="1294">
      <c r="A1294" s="32"/>
      <c r="B1294" s="32"/>
      <c r="C1294" s="32"/>
      <c r="D1294" s="32"/>
      <c r="E1294" s="32">
        <f>IFERROR(__xludf.DUMMYFUNCTION("""COMPUTED_VALUE"""),1.0)</f>
        <v>1</v>
      </c>
      <c r="F1294" s="44">
        <f>IFERROR(__xludf.DUMMYFUNCTION("""COMPUTED_VALUE"""),0.0)</f>
        <v>0</v>
      </c>
      <c r="G1294" s="32"/>
      <c r="H1294" s="32"/>
      <c r="I1294" s="32"/>
      <c r="J1294" s="32"/>
      <c r="K1294" s="32"/>
      <c r="L1294" s="32"/>
      <c r="M1294" s="32"/>
      <c r="N1294" s="32"/>
      <c r="O1294" s="32"/>
      <c r="P1294" s="32"/>
      <c r="Q1294" s="32"/>
      <c r="R1294" s="32"/>
      <c r="S1294" s="32"/>
      <c r="T1294" s="32"/>
      <c r="U1294" s="32"/>
      <c r="V1294" s="32"/>
      <c r="W1294" s="32"/>
      <c r="X1294" s="32"/>
      <c r="Y1294" s="32"/>
      <c r="Z1294" s="32"/>
      <c r="AA1294" s="32"/>
      <c r="AB1294" s="32"/>
      <c r="AC1294" s="32"/>
      <c r="AD1294" s="32"/>
      <c r="AE1294" s="32"/>
      <c r="AF1294" s="32"/>
      <c r="AG1294" s="32"/>
      <c r="AH1294" s="32" t="b">
        <f>IFERROR(__xludf.DUMMYFUNCTION("""COMPUTED_VALUE"""),FALSE)</f>
        <v>0</v>
      </c>
      <c r="AI1294" s="32"/>
      <c r="AJ1294" s="32"/>
      <c r="AK1294" s="32"/>
      <c r="AL1294" s="32"/>
      <c r="AM1294" s="32"/>
      <c r="AN1294" s="32"/>
      <c r="AO1294" s="32"/>
      <c r="AP1294" s="32"/>
      <c r="AQ1294" s="32"/>
      <c r="AR1294" s="32"/>
      <c r="AS1294" s="32"/>
      <c r="AT1294" s="32"/>
      <c r="AU1294" s="32"/>
      <c r="AV1294" s="32"/>
      <c r="AW1294" s="32"/>
      <c r="AX1294" s="32"/>
    </row>
    <row r="1295">
      <c r="A1295" s="32"/>
      <c r="B1295" s="32"/>
      <c r="C1295" s="32"/>
      <c r="D1295" s="32"/>
      <c r="E1295" s="32">
        <f>IFERROR(__xludf.DUMMYFUNCTION("""COMPUTED_VALUE"""),1.0)</f>
        <v>1</v>
      </c>
      <c r="F1295" s="44">
        <f>IFERROR(__xludf.DUMMYFUNCTION("""COMPUTED_VALUE"""),0.0)</f>
        <v>0</v>
      </c>
      <c r="G1295" s="32"/>
      <c r="H1295" s="32"/>
      <c r="I1295" s="32"/>
      <c r="J1295" s="32"/>
      <c r="K1295" s="32"/>
      <c r="L1295" s="32"/>
      <c r="M1295" s="32"/>
      <c r="N1295" s="32"/>
      <c r="O1295" s="32"/>
      <c r="P1295" s="32"/>
      <c r="Q1295" s="32"/>
      <c r="R1295" s="32"/>
      <c r="S1295" s="32"/>
      <c r="T1295" s="32"/>
      <c r="U1295" s="32"/>
      <c r="V1295" s="32"/>
      <c r="W1295" s="32"/>
      <c r="X1295" s="32"/>
      <c r="Y1295" s="32"/>
      <c r="Z1295" s="32"/>
      <c r="AA1295" s="32"/>
      <c r="AB1295" s="32"/>
      <c r="AC1295" s="32"/>
      <c r="AD1295" s="32"/>
      <c r="AE1295" s="32"/>
      <c r="AF1295" s="32"/>
      <c r="AG1295" s="32"/>
      <c r="AH1295" s="32" t="b">
        <f>IFERROR(__xludf.DUMMYFUNCTION("""COMPUTED_VALUE"""),FALSE)</f>
        <v>0</v>
      </c>
      <c r="AI1295" s="32"/>
      <c r="AJ1295" s="32"/>
      <c r="AK1295" s="32"/>
      <c r="AL1295" s="32"/>
      <c r="AM1295" s="32"/>
      <c r="AN1295" s="32"/>
      <c r="AO1295" s="32"/>
      <c r="AP1295" s="32"/>
      <c r="AQ1295" s="32"/>
      <c r="AR1295" s="32"/>
      <c r="AS1295" s="32"/>
      <c r="AT1295" s="32"/>
      <c r="AU1295" s="32"/>
      <c r="AV1295" s="32"/>
      <c r="AW1295" s="32"/>
      <c r="AX1295" s="32"/>
    </row>
    <row r="1296">
      <c r="A1296" s="32"/>
      <c r="B1296" s="32"/>
      <c r="C1296" s="32"/>
      <c r="D1296" s="32"/>
      <c r="E1296" s="32">
        <f>IFERROR(__xludf.DUMMYFUNCTION("""COMPUTED_VALUE"""),1.0)</f>
        <v>1</v>
      </c>
      <c r="F1296" s="44">
        <f>IFERROR(__xludf.DUMMYFUNCTION("""COMPUTED_VALUE"""),0.0)</f>
        <v>0</v>
      </c>
      <c r="G1296" s="32"/>
      <c r="H1296" s="32"/>
      <c r="I1296" s="32"/>
      <c r="J1296" s="32"/>
      <c r="K1296" s="32"/>
      <c r="L1296" s="32"/>
      <c r="M1296" s="32"/>
      <c r="N1296" s="32"/>
      <c r="O1296" s="32"/>
      <c r="P1296" s="32"/>
      <c r="Q1296" s="32"/>
      <c r="R1296" s="32"/>
      <c r="S1296" s="32"/>
      <c r="T1296" s="32"/>
      <c r="U1296" s="32"/>
      <c r="V1296" s="32"/>
      <c r="W1296" s="32"/>
      <c r="X1296" s="32"/>
      <c r="Y1296" s="32"/>
      <c r="Z1296" s="32"/>
      <c r="AA1296" s="32"/>
      <c r="AB1296" s="32"/>
      <c r="AC1296" s="32"/>
      <c r="AD1296" s="32"/>
      <c r="AE1296" s="32"/>
      <c r="AF1296" s="32"/>
      <c r="AG1296" s="32"/>
      <c r="AH1296" s="32" t="b">
        <f>IFERROR(__xludf.DUMMYFUNCTION("""COMPUTED_VALUE"""),FALSE)</f>
        <v>0</v>
      </c>
      <c r="AI1296" s="32"/>
      <c r="AJ1296" s="32"/>
      <c r="AK1296" s="32"/>
      <c r="AL1296" s="32"/>
      <c r="AM1296" s="32"/>
      <c r="AN1296" s="32"/>
      <c r="AO1296" s="32"/>
      <c r="AP1296" s="32"/>
      <c r="AQ1296" s="32"/>
      <c r="AR1296" s="32"/>
      <c r="AS1296" s="32"/>
      <c r="AT1296" s="32"/>
      <c r="AU1296" s="32"/>
      <c r="AV1296" s="32"/>
      <c r="AW1296" s="32"/>
      <c r="AX1296" s="32"/>
    </row>
    <row r="1297">
      <c r="A1297" s="32"/>
      <c r="B1297" s="32"/>
      <c r="C1297" s="32"/>
      <c r="D1297" s="32"/>
      <c r="E1297" s="32">
        <f>IFERROR(__xludf.DUMMYFUNCTION("""COMPUTED_VALUE"""),1.0)</f>
        <v>1</v>
      </c>
      <c r="F1297" s="44">
        <f>IFERROR(__xludf.DUMMYFUNCTION("""COMPUTED_VALUE"""),0.0)</f>
        <v>0</v>
      </c>
      <c r="G1297" s="32"/>
      <c r="H1297" s="32"/>
      <c r="I1297" s="32"/>
      <c r="J1297" s="32"/>
      <c r="K1297" s="32"/>
      <c r="L1297" s="32"/>
      <c r="M1297" s="32"/>
      <c r="N1297" s="32"/>
      <c r="O1297" s="32"/>
      <c r="P1297" s="32"/>
      <c r="Q1297" s="32"/>
      <c r="R1297" s="32"/>
      <c r="S1297" s="32"/>
      <c r="T1297" s="32"/>
      <c r="U1297" s="32"/>
      <c r="V1297" s="32"/>
      <c r="W1297" s="32"/>
      <c r="X1297" s="32"/>
      <c r="Y1297" s="32"/>
      <c r="Z1297" s="32"/>
      <c r="AA1297" s="32"/>
      <c r="AB1297" s="32"/>
      <c r="AC1297" s="32"/>
      <c r="AD1297" s="32"/>
      <c r="AE1297" s="32"/>
      <c r="AF1297" s="32"/>
      <c r="AG1297" s="32"/>
      <c r="AH1297" s="32" t="b">
        <f>IFERROR(__xludf.DUMMYFUNCTION("""COMPUTED_VALUE"""),FALSE)</f>
        <v>0</v>
      </c>
      <c r="AI1297" s="32"/>
      <c r="AJ1297" s="32"/>
      <c r="AK1297" s="32"/>
      <c r="AL1297" s="32"/>
      <c r="AM1297" s="32"/>
      <c r="AN1297" s="32"/>
      <c r="AO1297" s="32"/>
      <c r="AP1297" s="32"/>
      <c r="AQ1297" s="32"/>
      <c r="AR1297" s="32"/>
      <c r="AS1297" s="32"/>
      <c r="AT1297" s="32"/>
      <c r="AU1297" s="32"/>
      <c r="AV1297" s="32"/>
      <c r="AW1297" s="32"/>
      <c r="AX1297" s="32"/>
    </row>
    <row r="1298">
      <c r="A1298" s="32"/>
      <c r="B1298" s="32"/>
      <c r="C1298" s="32"/>
      <c r="D1298" s="32"/>
      <c r="E1298" s="32">
        <f>IFERROR(__xludf.DUMMYFUNCTION("""COMPUTED_VALUE"""),1.0)</f>
        <v>1</v>
      </c>
      <c r="F1298" s="44">
        <f>IFERROR(__xludf.DUMMYFUNCTION("""COMPUTED_VALUE"""),0.0)</f>
        <v>0</v>
      </c>
      <c r="G1298" s="32"/>
      <c r="H1298" s="32"/>
      <c r="I1298" s="32"/>
      <c r="J1298" s="32"/>
      <c r="K1298" s="32"/>
      <c r="L1298" s="32"/>
      <c r="M1298" s="32"/>
      <c r="N1298" s="32"/>
      <c r="O1298" s="32"/>
      <c r="P1298" s="32"/>
      <c r="Q1298" s="32"/>
      <c r="R1298" s="32"/>
      <c r="S1298" s="32"/>
      <c r="T1298" s="32"/>
      <c r="U1298" s="32"/>
      <c r="V1298" s="32"/>
      <c r="W1298" s="32"/>
      <c r="X1298" s="32"/>
      <c r="Y1298" s="32"/>
      <c r="Z1298" s="32"/>
      <c r="AA1298" s="32"/>
      <c r="AB1298" s="32"/>
      <c r="AC1298" s="32"/>
      <c r="AD1298" s="32"/>
      <c r="AE1298" s="32"/>
      <c r="AF1298" s="32"/>
      <c r="AG1298" s="32"/>
      <c r="AH1298" s="32" t="b">
        <f>IFERROR(__xludf.DUMMYFUNCTION("""COMPUTED_VALUE"""),FALSE)</f>
        <v>0</v>
      </c>
      <c r="AI1298" s="32"/>
      <c r="AJ1298" s="32"/>
      <c r="AK1298" s="32"/>
      <c r="AL1298" s="32"/>
      <c r="AM1298" s="32"/>
      <c r="AN1298" s="32"/>
      <c r="AO1298" s="32"/>
      <c r="AP1298" s="32"/>
      <c r="AQ1298" s="32"/>
      <c r="AR1298" s="32"/>
      <c r="AS1298" s="32"/>
      <c r="AT1298" s="32"/>
      <c r="AU1298" s="32"/>
      <c r="AV1298" s="32"/>
      <c r="AW1298" s="32"/>
      <c r="AX1298" s="32"/>
    </row>
    <row r="1299">
      <c r="A1299" s="32"/>
      <c r="B1299" s="32"/>
      <c r="C1299" s="32"/>
      <c r="D1299" s="32"/>
      <c r="E1299" s="32">
        <f>IFERROR(__xludf.DUMMYFUNCTION("""COMPUTED_VALUE"""),1.0)</f>
        <v>1</v>
      </c>
      <c r="F1299" s="44">
        <f>IFERROR(__xludf.DUMMYFUNCTION("""COMPUTED_VALUE"""),0.0)</f>
        <v>0</v>
      </c>
      <c r="G1299" s="32"/>
      <c r="H1299" s="32"/>
      <c r="I1299" s="32"/>
      <c r="J1299" s="32"/>
      <c r="K1299" s="32"/>
      <c r="L1299" s="32"/>
      <c r="M1299" s="32"/>
      <c r="N1299" s="32"/>
      <c r="O1299" s="32"/>
      <c r="P1299" s="32"/>
      <c r="Q1299" s="32"/>
      <c r="R1299" s="32"/>
      <c r="S1299" s="32"/>
      <c r="T1299" s="32"/>
      <c r="U1299" s="32"/>
      <c r="V1299" s="32"/>
      <c r="W1299" s="32"/>
      <c r="X1299" s="32"/>
      <c r="Y1299" s="32"/>
      <c r="Z1299" s="32"/>
      <c r="AA1299" s="32"/>
      <c r="AB1299" s="32"/>
      <c r="AC1299" s="32"/>
      <c r="AD1299" s="32"/>
      <c r="AE1299" s="32"/>
      <c r="AF1299" s="32"/>
      <c r="AG1299" s="32"/>
      <c r="AH1299" s="32" t="b">
        <f>IFERROR(__xludf.DUMMYFUNCTION("""COMPUTED_VALUE"""),FALSE)</f>
        <v>0</v>
      </c>
      <c r="AI1299" s="32"/>
      <c r="AJ1299" s="32"/>
      <c r="AK1299" s="32"/>
      <c r="AL1299" s="32"/>
      <c r="AM1299" s="32"/>
      <c r="AN1299" s="32"/>
      <c r="AO1299" s="32"/>
      <c r="AP1299" s="32"/>
      <c r="AQ1299" s="32"/>
      <c r="AR1299" s="32"/>
      <c r="AS1299" s="32"/>
      <c r="AT1299" s="32"/>
      <c r="AU1299" s="32"/>
      <c r="AV1299" s="32"/>
      <c r="AW1299" s="32"/>
      <c r="AX1299" s="32"/>
    </row>
    <row r="1300">
      <c r="A1300" s="32"/>
      <c r="B1300" s="32"/>
      <c r="C1300" s="32"/>
      <c r="D1300" s="32"/>
      <c r="E1300" s="32">
        <f>IFERROR(__xludf.DUMMYFUNCTION("""COMPUTED_VALUE"""),1.0)</f>
        <v>1</v>
      </c>
      <c r="F1300" s="44">
        <f>IFERROR(__xludf.DUMMYFUNCTION("""COMPUTED_VALUE"""),0.0)</f>
        <v>0</v>
      </c>
      <c r="G1300" s="32"/>
      <c r="H1300" s="32"/>
      <c r="I1300" s="32"/>
      <c r="J1300" s="32"/>
      <c r="K1300" s="32"/>
      <c r="L1300" s="32"/>
      <c r="M1300" s="32"/>
      <c r="N1300" s="32"/>
      <c r="O1300" s="32"/>
      <c r="P1300" s="32"/>
      <c r="Q1300" s="32"/>
      <c r="R1300" s="32"/>
      <c r="S1300" s="32"/>
      <c r="T1300" s="32"/>
      <c r="U1300" s="32"/>
      <c r="V1300" s="32"/>
      <c r="W1300" s="32"/>
      <c r="X1300" s="32"/>
      <c r="Y1300" s="32"/>
      <c r="Z1300" s="32"/>
      <c r="AA1300" s="32"/>
      <c r="AB1300" s="32"/>
      <c r="AC1300" s="32"/>
      <c r="AD1300" s="32"/>
      <c r="AE1300" s="32"/>
      <c r="AF1300" s="32"/>
      <c r="AG1300" s="32"/>
      <c r="AH1300" s="32" t="b">
        <f>IFERROR(__xludf.DUMMYFUNCTION("""COMPUTED_VALUE"""),FALSE)</f>
        <v>0</v>
      </c>
      <c r="AI1300" s="32"/>
      <c r="AJ1300" s="32"/>
      <c r="AK1300" s="32"/>
      <c r="AL1300" s="32"/>
      <c r="AM1300" s="32"/>
      <c r="AN1300" s="32"/>
      <c r="AO1300" s="32"/>
      <c r="AP1300" s="32"/>
      <c r="AQ1300" s="32"/>
      <c r="AR1300" s="32"/>
      <c r="AS1300" s="32"/>
      <c r="AT1300" s="32"/>
      <c r="AU1300" s="32"/>
      <c r="AV1300" s="32"/>
      <c r="AW1300" s="32"/>
      <c r="AX1300" s="32"/>
    </row>
    <row r="1301">
      <c r="A1301" s="32"/>
      <c r="B1301" s="32"/>
      <c r="C1301" s="32"/>
      <c r="D1301" s="32"/>
      <c r="E1301" s="32">
        <f>IFERROR(__xludf.DUMMYFUNCTION("""COMPUTED_VALUE"""),1.0)</f>
        <v>1</v>
      </c>
      <c r="F1301" s="44">
        <f>IFERROR(__xludf.DUMMYFUNCTION("""COMPUTED_VALUE"""),0.0)</f>
        <v>0</v>
      </c>
      <c r="G1301" s="32"/>
      <c r="H1301" s="32"/>
      <c r="I1301" s="32"/>
      <c r="J1301" s="32"/>
      <c r="K1301" s="32"/>
      <c r="L1301" s="32"/>
      <c r="M1301" s="32"/>
      <c r="N1301" s="32"/>
      <c r="O1301" s="32"/>
      <c r="P1301" s="32"/>
      <c r="Q1301" s="32"/>
      <c r="R1301" s="32"/>
      <c r="S1301" s="32"/>
      <c r="T1301" s="32"/>
      <c r="U1301" s="32"/>
      <c r="V1301" s="32"/>
      <c r="W1301" s="32"/>
      <c r="X1301" s="32"/>
      <c r="Y1301" s="32"/>
      <c r="Z1301" s="32"/>
      <c r="AA1301" s="32"/>
      <c r="AB1301" s="32"/>
      <c r="AC1301" s="32"/>
      <c r="AD1301" s="32"/>
      <c r="AE1301" s="32"/>
      <c r="AF1301" s="32"/>
      <c r="AG1301" s="32"/>
      <c r="AH1301" s="32" t="b">
        <f>IFERROR(__xludf.DUMMYFUNCTION("""COMPUTED_VALUE"""),FALSE)</f>
        <v>0</v>
      </c>
      <c r="AI1301" s="32"/>
      <c r="AJ1301" s="32"/>
      <c r="AK1301" s="32"/>
      <c r="AL1301" s="32"/>
      <c r="AM1301" s="32"/>
      <c r="AN1301" s="32"/>
      <c r="AO1301" s="32"/>
      <c r="AP1301" s="32"/>
      <c r="AQ1301" s="32"/>
      <c r="AR1301" s="32"/>
      <c r="AS1301" s="32"/>
      <c r="AT1301" s="32"/>
      <c r="AU1301" s="32"/>
      <c r="AV1301" s="32"/>
      <c r="AW1301" s="32"/>
      <c r="AX1301" s="32"/>
    </row>
    <row r="1302">
      <c r="A1302" s="32"/>
      <c r="B1302" s="32"/>
      <c r="C1302" s="32"/>
      <c r="D1302" s="32"/>
      <c r="E1302" s="32">
        <f>IFERROR(__xludf.DUMMYFUNCTION("""COMPUTED_VALUE"""),1.0)</f>
        <v>1</v>
      </c>
      <c r="F1302" s="44">
        <f>IFERROR(__xludf.DUMMYFUNCTION("""COMPUTED_VALUE"""),0.0)</f>
        <v>0</v>
      </c>
      <c r="G1302" s="32"/>
      <c r="H1302" s="32"/>
      <c r="I1302" s="32"/>
      <c r="J1302" s="32"/>
      <c r="K1302" s="32"/>
      <c r="L1302" s="32"/>
      <c r="M1302" s="32"/>
      <c r="N1302" s="32"/>
      <c r="O1302" s="32"/>
      <c r="P1302" s="32"/>
      <c r="Q1302" s="32"/>
      <c r="R1302" s="32"/>
      <c r="S1302" s="32"/>
      <c r="T1302" s="32"/>
      <c r="U1302" s="32"/>
      <c r="V1302" s="32"/>
      <c r="W1302" s="32"/>
      <c r="X1302" s="32"/>
      <c r="Y1302" s="32"/>
      <c r="Z1302" s="32"/>
      <c r="AA1302" s="32"/>
      <c r="AB1302" s="32"/>
      <c r="AC1302" s="32"/>
      <c r="AD1302" s="32"/>
      <c r="AE1302" s="32"/>
      <c r="AF1302" s="32"/>
      <c r="AG1302" s="32"/>
      <c r="AH1302" s="32" t="b">
        <f>IFERROR(__xludf.DUMMYFUNCTION("""COMPUTED_VALUE"""),FALSE)</f>
        <v>0</v>
      </c>
      <c r="AI1302" s="32"/>
      <c r="AJ1302" s="32"/>
      <c r="AK1302" s="32"/>
      <c r="AL1302" s="32"/>
      <c r="AM1302" s="32"/>
      <c r="AN1302" s="32"/>
      <c r="AO1302" s="32"/>
      <c r="AP1302" s="32"/>
      <c r="AQ1302" s="32"/>
      <c r="AR1302" s="32"/>
      <c r="AS1302" s="32"/>
      <c r="AT1302" s="32"/>
      <c r="AU1302" s="32"/>
      <c r="AV1302" s="32"/>
      <c r="AW1302" s="32"/>
      <c r="AX1302" s="32"/>
    </row>
    <row r="1303">
      <c r="A1303" s="32"/>
      <c r="B1303" s="32"/>
      <c r="C1303" s="32"/>
      <c r="D1303" s="32"/>
      <c r="E1303" s="32">
        <f>IFERROR(__xludf.DUMMYFUNCTION("""COMPUTED_VALUE"""),1.0)</f>
        <v>1</v>
      </c>
      <c r="F1303" s="44">
        <f>IFERROR(__xludf.DUMMYFUNCTION("""COMPUTED_VALUE"""),0.0)</f>
        <v>0</v>
      </c>
      <c r="G1303" s="32"/>
      <c r="H1303" s="32"/>
      <c r="I1303" s="32"/>
      <c r="J1303" s="32"/>
      <c r="K1303" s="32"/>
      <c r="L1303" s="32"/>
      <c r="M1303" s="32"/>
      <c r="N1303" s="32"/>
      <c r="O1303" s="32"/>
      <c r="P1303" s="32"/>
      <c r="Q1303" s="32"/>
      <c r="R1303" s="32"/>
      <c r="S1303" s="32"/>
      <c r="T1303" s="32"/>
      <c r="U1303" s="32"/>
      <c r="V1303" s="32"/>
      <c r="W1303" s="32"/>
      <c r="X1303" s="32"/>
      <c r="Y1303" s="32"/>
      <c r="Z1303" s="32"/>
      <c r="AA1303" s="32"/>
      <c r="AB1303" s="32"/>
      <c r="AC1303" s="32"/>
      <c r="AD1303" s="32"/>
      <c r="AE1303" s="32"/>
      <c r="AF1303" s="32"/>
      <c r="AG1303" s="32"/>
      <c r="AH1303" s="32" t="b">
        <f>IFERROR(__xludf.DUMMYFUNCTION("""COMPUTED_VALUE"""),FALSE)</f>
        <v>0</v>
      </c>
      <c r="AI1303" s="32"/>
      <c r="AJ1303" s="32"/>
      <c r="AK1303" s="32"/>
      <c r="AL1303" s="32"/>
      <c r="AM1303" s="32"/>
      <c r="AN1303" s="32"/>
      <c r="AO1303" s="32"/>
      <c r="AP1303" s="32"/>
      <c r="AQ1303" s="32"/>
      <c r="AR1303" s="32"/>
      <c r="AS1303" s="32"/>
      <c r="AT1303" s="32"/>
      <c r="AU1303" s="32"/>
      <c r="AV1303" s="32"/>
      <c r="AW1303" s="32"/>
      <c r="AX1303" s="32"/>
    </row>
    <row r="1304">
      <c r="A1304" s="32"/>
      <c r="B1304" s="32"/>
      <c r="C1304" s="32"/>
      <c r="D1304" s="32"/>
      <c r="E1304" s="32">
        <f>IFERROR(__xludf.DUMMYFUNCTION("""COMPUTED_VALUE"""),1.0)</f>
        <v>1</v>
      </c>
      <c r="F1304" s="44">
        <f>IFERROR(__xludf.DUMMYFUNCTION("""COMPUTED_VALUE"""),0.0)</f>
        <v>0</v>
      </c>
      <c r="G1304" s="32"/>
      <c r="H1304" s="32"/>
      <c r="I1304" s="32"/>
      <c r="J1304" s="32"/>
      <c r="K1304" s="32"/>
      <c r="L1304" s="32"/>
      <c r="M1304" s="32"/>
      <c r="N1304" s="32"/>
      <c r="O1304" s="32"/>
      <c r="P1304" s="32"/>
      <c r="Q1304" s="32"/>
      <c r="R1304" s="32"/>
      <c r="S1304" s="32"/>
      <c r="T1304" s="32"/>
      <c r="U1304" s="32"/>
      <c r="V1304" s="32"/>
      <c r="W1304" s="32"/>
      <c r="X1304" s="32"/>
      <c r="Y1304" s="32"/>
      <c r="Z1304" s="32"/>
      <c r="AA1304" s="32"/>
      <c r="AB1304" s="32"/>
      <c r="AC1304" s="32"/>
      <c r="AD1304" s="32"/>
      <c r="AE1304" s="32"/>
      <c r="AF1304" s="32"/>
      <c r="AG1304" s="32"/>
      <c r="AH1304" s="32" t="b">
        <f>IFERROR(__xludf.DUMMYFUNCTION("""COMPUTED_VALUE"""),FALSE)</f>
        <v>0</v>
      </c>
      <c r="AI1304" s="32"/>
      <c r="AJ1304" s="32"/>
      <c r="AK1304" s="32"/>
      <c r="AL1304" s="32"/>
      <c r="AM1304" s="32"/>
      <c r="AN1304" s="32"/>
      <c r="AO1304" s="32"/>
      <c r="AP1304" s="32"/>
      <c r="AQ1304" s="32"/>
      <c r="AR1304" s="32"/>
      <c r="AS1304" s="32"/>
      <c r="AT1304" s="32"/>
      <c r="AU1304" s="32"/>
      <c r="AV1304" s="32"/>
      <c r="AW1304" s="32"/>
      <c r="AX1304" s="32"/>
    </row>
    <row r="1305">
      <c r="A1305" s="32"/>
      <c r="B1305" s="32"/>
      <c r="C1305" s="32"/>
      <c r="D1305" s="32"/>
      <c r="E1305" s="32">
        <f>IFERROR(__xludf.DUMMYFUNCTION("""COMPUTED_VALUE"""),1.0)</f>
        <v>1</v>
      </c>
      <c r="F1305" s="44">
        <f>IFERROR(__xludf.DUMMYFUNCTION("""COMPUTED_VALUE"""),0.0)</f>
        <v>0</v>
      </c>
      <c r="G1305" s="32"/>
      <c r="H1305" s="32"/>
      <c r="I1305" s="32"/>
      <c r="J1305" s="32"/>
      <c r="K1305" s="32"/>
      <c r="L1305" s="32"/>
      <c r="M1305" s="32"/>
      <c r="N1305" s="32"/>
      <c r="O1305" s="32"/>
      <c r="P1305" s="32"/>
      <c r="Q1305" s="32"/>
      <c r="R1305" s="32"/>
      <c r="S1305" s="32"/>
      <c r="T1305" s="32"/>
      <c r="U1305" s="32"/>
      <c r="V1305" s="32"/>
      <c r="W1305" s="32"/>
      <c r="X1305" s="32"/>
      <c r="Y1305" s="32"/>
      <c r="Z1305" s="32"/>
      <c r="AA1305" s="32"/>
      <c r="AB1305" s="32"/>
      <c r="AC1305" s="32"/>
      <c r="AD1305" s="32"/>
      <c r="AE1305" s="32"/>
      <c r="AF1305" s="32"/>
      <c r="AG1305" s="32"/>
      <c r="AH1305" s="32" t="b">
        <f>IFERROR(__xludf.DUMMYFUNCTION("""COMPUTED_VALUE"""),FALSE)</f>
        <v>0</v>
      </c>
      <c r="AI1305" s="32"/>
      <c r="AJ1305" s="32"/>
      <c r="AK1305" s="32"/>
      <c r="AL1305" s="32"/>
      <c r="AM1305" s="32"/>
      <c r="AN1305" s="32"/>
      <c r="AO1305" s="32"/>
      <c r="AP1305" s="32"/>
      <c r="AQ1305" s="32"/>
      <c r="AR1305" s="32"/>
      <c r="AS1305" s="32"/>
      <c r="AT1305" s="32"/>
      <c r="AU1305" s="32"/>
      <c r="AV1305" s="32"/>
      <c r="AW1305" s="32"/>
      <c r="AX1305" s="32"/>
    </row>
    <row r="1306">
      <c r="A1306" s="32"/>
      <c r="B1306" s="32"/>
      <c r="C1306" s="32"/>
      <c r="D1306" s="32"/>
      <c r="E1306" s="32">
        <f>IFERROR(__xludf.DUMMYFUNCTION("""COMPUTED_VALUE"""),1.0)</f>
        <v>1</v>
      </c>
      <c r="F1306" s="44">
        <f>IFERROR(__xludf.DUMMYFUNCTION("""COMPUTED_VALUE"""),0.0)</f>
        <v>0</v>
      </c>
      <c r="G1306" s="32"/>
      <c r="H1306" s="32"/>
      <c r="I1306" s="32"/>
      <c r="J1306" s="32"/>
      <c r="K1306" s="32"/>
      <c r="L1306" s="32"/>
      <c r="M1306" s="32"/>
      <c r="N1306" s="32"/>
      <c r="O1306" s="32"/>
      <c r="P1306" s="32"/>
      <c r="Q1306" s="32"/>
      <c r="R1306" s="32"/>
      <c r="S1306" s="32"/>
      <c r="T1306" s="32"/>
      <c r="U1306" s="32"/>
      <c r="V1306" s="32"/>
      <c r="W1306" s="32"/>
      <c r="X1306" s="32"/>
      <c r="Y1306" s="32"/>
      <c r="Z1306" s="32"/>
      <c r="AA1306" s="32"/>
      <c r="AB1306" s="32"/>
      <c r="AC1306" s="32"/>
      <c r="AD1306" s="32"/>
      <c r="AE1306" s="32"/>
      <c r="AF1306" s="32"/>
      <c r="AG1306" s="32"/>
      <c r="AH1306" s="32" t="b">
        <f>IFERROR(__xludf.DUMMYFUNCTION("""COMPUTED_VALUE"""),FALSE)</f>
        <v>0</v>
      </c>
      <c r="AI1306" s="32"/>
      <c r="AJ1306" s="32"/>
      <c r="AK1306" s="32"/>
      <c r="AL1306" s="32"/>
      <c r="AM1306" s="32"/>
      <c r="AN1306" s="32"/>
      <c r="AO1306" s="32"/>
      <c r="AP1306" s="32"/>
      <c r="AQ1306" s="32"/>
      <c r="AR1306" s="32"/>
      <c r="AS1306" s="32"/>
      <c r="AT1306" s="32"/>
      <c r="AU1306" s="32"/>
      <c r="AV1306" s="32"/>
      <c r="AW1306" s="32"/>
      <c r="AX1306" s="32"/>
    </row>
    <row r="1307">
      <c r="A1307" s="32"/>
      <c r="B1307" s="32"/>
      <c r="C1307" s="32"/>
      <c r="D1307" s="32"/>
      <c r="E1307" s="32">
        <f>IFERROR(__xludf.DUMMYFUNCTION("""COMPUTED_VALUE"""),1.0)</f>
        <v>1</v>
      </c>
      <c r="F1307" s="44">
        <f>IFERROR(__xludf.DUMMYFUNCTION("""COMPUTED_VALUE"""),0.0)</f>
        <v>0</v>
      </c>
      <c r="G1307" s="32"/>
      <c r="H1307" s="32"/>
      <c r="I1307" s="32"/>
      <c r="J1307" s="32"/>
      <c r="K1307" s="32"/>
      <c r="L1307" s="32"/>
      <c r="M1307" s="32"/>
      <c r="N1307" s="32"/>
      <c r="O1307" s="32"/>
      <c r="P1307" s="32"/>
      <c r="Q1307" s="32"/>
      <c r="R1307" s="32"/>
      <c r="S1307" s="32"/>
      <c r="T1307" s="32"/>
      <c r="U1307" s="32"/>
      <c r="V1307" s="32"/>
      <c r="W1307" s="32"/>
      <c r="X1307" s="32"/>
      <c r="Y1307" s="32"/>
      <c r="Z1307" s="32"/>
      <c r="AA1307" s="32"/>
      <c r="AB1307" s="32"/>
      <c r="AC1307" s="32"/>
      <c r="AD1307" s="32"/>
      <c r="AE1307" s="32"/>
      <c r="AF1307" s="32"/>
      <c r="AG1307" s="32"/>
      <c r="AH1307" s="32" t="b">
        <f>IFERROR(__xludf.DUMMYFUNCTION("""COMPUTED_VALUE"""),FALSE)</f>
        <v>0</v>
      </c>
      <c r="AI1307" s="32"/>
      <c r="AJ1307" s="32"/>
      <c r="AK1307" s="32"/>
      <c r="AL1307" s="32"/>
      <c r="AM1307" s="32"/>
      <c r="AN1307" s="32"/>
      <c r="AO1307" s="32"/>
      <c r="AP1307" s="32"/>
      <c r="AQ1307" s="32"/>
      <c r="AR1307" s="32"/>
      <c r="AS1307" s="32"/>
      <c r="AT1307" s="32"/>
      <c r="AU1307" s="32"/>
      <c r="AV1307" s="32"/>
      <c r="AW1307" s="32"/>
      <c r="AX1307" s="32"/>
    </row>
    <row r="1308">
      <c r="A1308" s="32"/>
      <c r="B1308" s="32"/>
      <c r="C1308" s="32"/>
      <c r="D1308" s="32"/>
      <c r="E1308" s="32">
        <f>IFERROR(__xludf.DUMMYFUNCTION("""COMPUTED_VALUE"""),1.0)</f>
        <v>1</v>
      </c>
      <c r="F1308" s="44">
        <f>IFERROR(__xludf.DUMMYFUNCTION("""COMPUTED_VALUE"""),0.0)</f>
        <v>0</v>
      </c>
      <c r="G1308" s="32"/>
      <c r="H1308" s="32"/>
      <c r="I1308" s="32"/>
      <c r="J1308" s="32"/>
      <c r="K1308" s="32"/>
      <c r="L1308" s="32"/>
      <c r="M1308" s="32"/>
      <c r="N1308" s="32"/>
      <c r="O1308" s="32"/>
      <c r="P1308" s="32"/>
      <c r="Q1308" s="32"/>
      <c r="R1308" s="32"/>
      <c r="S1308" s="32"/>
      <c r="T1308" s="32"/>
      <c r="U1308" s="32"/>
      <c r="V1308" s="32"/>
      <c r="W1308" s="32"/>
      <c r="X1308" s="32"/>
      <c r="Y1308" s="32"/>
      <c r="Z1308" s="32"/>
      <c r="AA1308" s="32"/>
      <c r="AB1308" s="32"/>
      <c r="AC1308" s="32"/>
      <c r="AD1308" s="32"/>
      <c r="AE1308" s="32"/>
      <c r="AF1308" s="32"/>
      <c r="AG1308" s="32"/>
      <c r="AH1308" s="32" t="b">
        <f>IFERROR(__xludf.DUMMYFUNCTION("""COMPUTED_VALUE"""),FALSE)</f>
        <v>0</v>
      </c>
      <c r="AI1308" s="32"/>
      <c r="AJ1308" s="32"/>
      <c r="AK1308" s="32"/>
      <c r="AL1308" s="32"/>
      <c r="AM1308" s="32"/>
      <c r="AN1308" s="32"/>
      <c r="AO1308" s="32"/>
      <c r="AP1308" s="32"/>
      <c r="AQ1308" s="32"/>
      <c r="AR1308" s="32"/>
      <c r="AS1308" s="32"/>
      <c r="AT1308" s="32"/>
      <c r="AU1308" s="32"/>
      <c r="AV1308" s="32"/>
      <c r="AW1308" s="32"/>
      <c r="AX1308" s="32"/>
    </row>
    <row r="1309">
      <c r="A1309" s="32"/>
      <c r="B1309" s="32"/>
      <c r="C1309" s="32"/>
      <c r="D1309" s="32"/>
      <c r="E1309" s="32">
        <f>IFERROR(__xludf.DUMMYFUNCTION("""COMPUTED_VALUE"""),1.0)</f>
        <v>1</v>
      </c>
      <c r="F1309" s="44">
        <f>IFERROR(__xludf.DUMMYFUNCTION("""COMPUTED_VALUE"""),0.0)</f>
        <v>0</v>
      </c>
      <c r="G1309" s="32"/>
      <c r="H1309" s="32"/>
      <c r="I1309" s="32"/>
      <c r="J1309" s="32"/>
      <c r="K1309" s="32"/>
      <c r="L1309" s="32"/>
      <c r="M1309" s="32"/>
      <c r="N1309" s="32"/>
      <c r="O1309" s="32"/>
      <c r="P1309" s="32"/>
      <c r="Q1309" s="32"/>
      <c r="R1309" s="32"/>
      <c r="S1309" s="32"/>
      <c r="T1309" s="32"/>
      <c r="U1309" s="32"/>
      <c r="V1309" s="32"/>
      <c r="W1309" s="32"/>
      <c r="X1309" s="32"/>
      <c r="Y1309" s="32"/>
      <c r="Z1309" s="32"/>
      <c r="AA1309" s="32"/>
      <c r="AB1309" s="32"/>
      <c r="AC1309" s="32"/>
      <c r="AD1309" s="32"/>
      <c r="AE1309" s="32"/>
      <c r="AF1309" s="32"/>
      <c r="AG1309" s="32"/>
      <c r="AH1309" s="32" t="b">
        <f>IFERROR(__xludf.DUMMYFUNCTION("""COMPUTED_VALUE"""),FALSE)</f>
        <v>0</v>
      </c>
      <c r="AI1309" s="32"/>
      <c r="AJ1309" s="32"/>
      <c r="AK1309" s="32"/>
      <c r="AL1309" s="32"/>
      <c r="AM1309" s="32"/>
      <c r="AN1309" s="32"/>
      <c r="AO1309" s="32"/>
      <c r="AP1309" s="32"/>
      <c r="AQ1309" s="32"/>
      <c r="AR1309" s="32"/>
      <c r="AS1309" s="32"/>
      <c r="AT1309" s="32"/>
      <c r="AU1309" s="32"/>
      <c r="AV1309" s="32"/>
      <c r="AW1309" s="32"/>
      <c r="AX1309" s="32"/>
    </row>
    <row r="1310">
      <c r="A1310" s="32"/>
      <c r="B1310" s="32"/>
      <c r="C1310" s="32"/>
      <c r="D1310" s="32"/>
      <c r="E1310" s="32">
        <f>IFERROR(__xludf.DUMMYFUNCTION("""COMPUTED_VALUE"""),1.0)</f>
        <v>1</v>
      </c>
      <c r="F1310" s="44">
        <f>IFERROR(__xludf.DUMMYFUNCTION("""COMPUTED_VALUE"""),0.0)</f>
        <v>0</v>
      </c>
      <c r="G1310" s="32"/>
      <c r="H1310" s="32"/>
      <c r="I1310" s="32"/>
      <c r="J1310" s="32"/>
      <c r="K1310" s="32"/>
      <c r="L1310" s="32"/>
      <c r="M1310" s="32"/>
      <c r="N1310" s="32"/>
      <c r="O1310" s="32"/>
      <c r="P1310" s="32"/>
      <c r="Q1310" s="32"/>
      <c r="R1310" s="32"/>
      <c r="S1310" s="32"/>
      <c r="T1310" s="32"/>
      <c r="U1310" s="32"/>
      <c r="V1310" s="32"/>
      <c r="W1310" s="32"/>
      <c r="X1310" s="32"/>
      <c r="Y1310" s="32"/>
      <c r="Z1310" s="32"/>
      <c r="AA1310" s="32"/>
      <c r="AB1310" s="32"/>
      <c r="AC1310" s="32"/>
      <c r="AD1310" s="32"/>
      <c r="AE1310" s="32"/>
      <c r="AF1310" s="32"/>
      <c r="AG1310" s="32"/>
      <c r="AH1310" s="32" t="b">
        <f>IFERROR(__xludf.DUMMYFUNCTION("""COMPUTED_VALUE"""),FALSE)</f>
        <v>0</v>
      </c>
      <c r="AI1310" s="32"/>
      <c r="AJ1310" s="32"/>
      <c r="AK1310" s="32"/>
      <c r="AL1310" s="32"/>
      <c r="AM1310" s="32"/>
      <c r="AN1310" s="32"/>
      <c r="AO1310" s="32"/>
      <c r="AP1310" s="32"/>
      <c r="AQ1310" s="32"/>
      <c r="AR1310" s="32"/>
      <c r="AS1310" s="32"/>
      <c r="AT1310" s="32"/>
      <c r="AU1310" s="32"/>
      <c r="AV1310" s="32"/>
      <c r="AW1310" s="32"/>
      <c r="AX1310" s="32"/>
    </row>
    <row r="1311">
      <c r="A1311" s="32"/>
      <c r="B1311" s="32"/>
      <c r="C1311" s="32"/>
      <c r="D1311" s="32"/>
      <c r="E1311" s="32">
        <f>IFERROR(__xludf.DUMMYFUNCTION("""COMPUTED_VALUE"""),1.0)</f>
        <v>1</v>
      </c>
      <c r="F1311" s="44">
        <f>IFERROR(__xludf.DUMMYFUNCTION("""COMPUTED_VALUE"""),0.0)</f>
        <v>0</v>
      </c>
      <c r="G1311" s="32"/>
      <c r="H1311" s="32"/>
      <c r="I1311" s="32"/>
      <c r="J1311" s="32"/>
      <c r="K1311" s="32"/>
      <c r="L1311" s="32"/>
      <c r="M1311" s="32"/>
      <c r="N1311" s="32"/>
      <c r="O1311" s="32"/>
      <c r="P1311" s="32"/>
      <c r="Q1311" s="32"/>
      <c r="R1311" s="32"/>
      <c r="S1311" s="32"/>
      <c r="T1311" s="32"/>
      <c r="U1311" s="32"/>
      <c r="V1311" s="32"/>
      <c r="W1311" s="32"/>
      <c r="X1311" s="32"/>
      <c r="Y1311" s="32"/>
      <c r="Z1311" s="32"/>
      <c r="AA1311" s="32"/>
      <c r="AB1311" s="32"/>
      <c r="AC1311" s="32"/>
      <c r="AD1311" s="32"/>
      <c r="AE1311" s="32"/>
      <c r="AF1311" s="32"/>
      <c r="AG1311" s="32"/>
      <c r="AH1311" s="32" t="b">
        <f>IFERROR(__xludf.DUMMYFUNCTION("""COMPUTED_VALUE"""),FALSE)</f>
        <v>0</v>
      </c>
      <c r="AI1311" s="32"/>
      <c r="AJ1311" s="32"/>
      <c r="AK1311" s="32"/>
      <c r="AL1311" s="32"/>
      <c r="AM1311" s="32"/>
      <c r="AN1311" s="32"/>
      <c r="AO1311" s="32"/>
      <c r="AP1311" s="32"/>
      <c r="AQ1311" s="32"/>
      <c r="AR1311" s="32"/>
      <c r="AS1311" s="32"/>
      <c r="AT1311" s="32"/>
      <c r="AU1311" s="32"/>
      <c r="AV1311" s="32"/>
      <c r="AW1311" s="32"/>
      <c r="AX1311" s="32"/>
    </row>
    <row r="1312">
      <c r="A1312" s="32"/>
      <c r="B1312" s="32"/>
      <c r="C1312" s="32"/>
      <c r="D1312" s="32"/>
      <c r="E1312" s="32">
        <f>IFERROR(__xludf.DUMMYFUNCTION("""COMPUTED_VALUE"""),1.0)</f>
        <v>1</v>
      </c>
      <c r="F1312" s="44">
        <f>IFERROR(__xludf.DUMMYFUNCTION("""COMPUTED_VALUE"""),0.0)</f>
        <v>0</v>
      </c>
      <c r="G1312" s="32"/>
      <c r="H1312" s="32"/>
      <c r="I1312" s="32"/>
      <c r="J1312" s="32"/>
      <c r="K1312" s="32"/>
      <c r="L1312" s="32"/>
      <c r="M1312" s="32"/>
      <c r="N1312" s="32"/>
      <c r="O1312" s="32"/>
      <c r="P1312" s="32"/>
      <c r="Q1312" s="32"/>
      <c r="R1312" s="32"/>
      <c r="S1312" s="32"/>
      <c r="T1312" s="32"/>
      <c r="U1312" s="32"/>
      <c r="V1312" s="32"/>
      <c r="W1312" s="32"/>
      <c r="X1312" s="32"/>
      <c r="Y1312" s="32"/>
      <c r="Z1312" s="32"/>
      <c r="AA1312" s="32"/>
      <c r="AB1312" s="32"/>
      <c r="AC1312" s="32"/>
      <c r="AD1312" s="32"/>
      <c r="AE1312" s="32"/>
      <c r="AF1312" s="32"/>
      <c r="AG1312" s="32"/>
      <c r="AH1312" s="32" t="b">
        <f>IFERROR(__xludf.DUMMYFUNCTION("""COMPUTED_VALUE"""),FALSE)</f>
        <v>0</v>
      </c>
      <c r="AI1312" s="32"/>
      <c r="AJ1312" s="32"/>
      <c r="AK1312" s="32"/>
      <c r="AL1312" s="32"/>
      <c r="AM1312" s="32"/>
      <c r="AN1312" s="32"/>
      <c r="AO1312" s="32"/>
      <c r="AP1312" s="32"/>
      <c r="AQ1312" s="32"/>
      <c r="AR1312" s="32"/>
      <c r="AS1312" s="32"/>
      <c r="AT1312" s="32"/>
      <c r="AU1312" s="32"/>
      <c r="AV1312" s="32"/>
      <c r="AW1312" s="32"/>
      <c r="AX1312" s="32"/>
    </row>
    <row r="1313">
      <c r="A1313" s="32"/>
      <c r="B1313" s="32"/>
      <c r="C1313" s="32"/>
      <c r="D1313" s="32"/>
      <c r="E1313" s="32">
        <f>IFERROR(__xludf.DUMMYFUNCTION("""COMPUTED_VALUE"""),1.0)</f>
        <v>1</v>
      </c>
      <c r="F1313" s="44">
        <f>IFERROR(__xludf.DUMMYFUNCTION("""COMPUTED_VALUE"""),0.0)</f>
        <v>0</v>
      </c>
      <c r="G1313" s="32"/>
      <c r="H1313" s="32"/>
      <c r="I1313" s="32"/>
      <c r="J1313" s="32"/>
      <c r="K1313" s="32"/>
      <c r="L1313" s="32"/>
      <c r="M1313" s="32"/>
      <c r="N1313" s="32"/>
      <c r="O1313" s="32"/>
      <c r="P1313" s="32"/>
      <c r="Q1313" s="32"/>
      <c r="R1313" s="32"/>
      <c r="S1313" s="32"/>
      <c r="T1313" s="32"/>
      <c r="U1313" s="32"/>
      <c r="V1313" s="32"/>
      <c r="W1313" s="32"/>
      <c r="X1313" s="32"/>
      <c r="Y1313" s="32"/>
      <c r="Z1313" s="32"/>
      <c r="AA1313" s="32"/>
      <c r="AB1313" s="32"/>
      <c r="AC1313" s="32"/>
      <c r="AD1313" s="32"/>
      <c r="AE1313" s="32"/>
      <c r="AF1313" s="32"/>
      <c r="AG1313" s="32"/>
      <c r="AH1313" s="32" t="b">
        <f>IFERROR(__xludf.DUMMYFUNCTION("""COMPUTED_VALUE"""),FALSE)</f>
        <v>0</v>
      </c>
      <c r="AI1313" s="32"/>
      <c r="AJ1313" s="32"/>
      <c r="AK1313" s="32"/>
      <c r="AL1313" s="32"/>
      <c r="AM1313" s="32"/>
      <c r="AN1313" s="32"/>
      <c r="AO1313" s="32"/>
      <c r="AP1313" s="32"/>
      <c r="AQ1313" s="32"/>
      <c r="AR1313" s="32"/>
      <c r="AS1313" s="32"/>
      <c r="AT1313" s="32"/>
      <c r="AU1313" s="32"/>
      <c r="AV1313" s="32"/>
      <c r="AW1313" s="32"/>
      <c r="AX1313" s="32"/>
    </row>
    <row r="1314">
      <c r="A1314" s="32"/>
      <c r="B1314" s="32"/>
      <c r="C1314" s="32"/>
      <c r="D1314" s="32"/>
      <c r="E1314" s="32">
        <f>IFERROR(__xludf.DUMMYFUNCTION("""COMPUTED_VALUE"""),1.0)</f>
        <v>1</v>
      </c>
      <c r="F1314" s="44">
        <f>IFERROR(__xludf.DUMMYFUNCTION("""COMPUTED_VALUE"""),0.0)</f>
        <v>0</v>
      </c>
      <c r="G1314" s="32"/>
      <c r="H1314" s="32"/>
      <c r="I1314" s="32"/>
      <c r="J1314" s="32"/>
      <c r="K1314" s="32"/>
      <c r="L1314" s="32"/>
      <c r="M1314" s="32"/>
      <c r="N1314" s="32"/>
      <c r="O1314" s="32"/>
      <c r="P1314" s="32"/>
      <c r="Q1314" s="32"/>
      <c r="R1314" s="32"/>
      <c r="S1314" s="32"/>
      <c r="T1314" s="32"/>
      <c r="U1314" s="32"/>
      <c r="V1314" s="32"/>
      <c r="W1314" s="32"/>
      <c r="X1314" s="32"/>
      <c r="Y1314" s="32"/>
      <c r="Z1314" s="32"/>
      <c r="AA1314" s="32"/>
      <c r="AB1314" s="32"/>
      <c r="AC1314" s="32"/>
      <c r="AD1314" s="32"/>
      <c r="AE1314" s="32"/>
      <c r="AF1314" s="32"/>
      <c r="AG1314" s="32"/>
      <c r="AH1314" s="32" t="b">
        <f>IFERROR(__xludf.DUMMYFUNCTION("""COMPUTED_VALUE"""),FALSE)</f>
        <v>0</v>
      </c>
      <c r="AI1314" s="32"/>
      <c r="AJ1314" s="32"/>
      <c r="AK1314" s="32"/>
      <c r="AL1314" s="32"/>
      <c r="AM1314" s="32"/>
      <c r="AN1314" s="32"/>
      <c r="AO1314" s="32"/>
      <c r="AP1314" s="32"/>
      <c r="AQ1314" s="32"/>
      <c r="AR1314" s="32"/>
      <c r="AS1314" s="32"/>
      <c r="AT1314" s="32"/>
      <c r="AU1314" s="32"/>
      <c r="AV1314" s="32"/>
      <c r="AW1314" s="32"/>
      <c r="AX1314" s="32"/>
    </row>
    <row r="1315">
      <c r="A1315" s="32"/>
      <c r="B1315" s="32"/>
      <c r="C1315" s="32"/>
      <c r="D1315" s="32"/>
      <c r="E1315" s="32">
        <f>IFERROR(__xludf.DUMMYFUNCTION("""COMPUTED_VALUE"""),1.0)</f>
        <v>1</v>
      </c>
      <c r="F1315" s="44">
        <f>IFERROR(__xludf.DUMMYFUNCTION("""COMPUTED_VALUE"""),0.0)</f>
        <v>0</v>
      </c>
      <c r="G1315" s="32"/>
      <c r="H1315" s="32"/>
      <c r="I1315" s="32"/>
      <c r="J1315" s="32"/>
      <c r="K1315" s="32"/>
      <c r="L1315" s="32"/>
      <c r="M1315" s="32"/>
      <c r="N1315" s="32"/>
      <c r="O1315" s="32"/>
      <c r="P1315" s="32"/>
      <c r="Q1315" s="32"/>
      <c r="R1315" s="32"/>
      <c r="S1315" s="32"/>
      <c r="T1315" s="32"/>
      <c r="U1315" s="32"/>
      <c r="V1315" s="32"/>
      <c r="W1315" s="32"/>
      <c r="X1315" s="32"/>
      <c r="Y1315" s="32"/>
      <c r="Z1315" s="32"/>
      <c r="AA1315" s="32"/>
      <c r="AB1315" s="32"/>
      <c r="AC1315" s="32"/>
      <c r="AD1315" s="32"/>
      <c r="AE1315" s="32"/>
      <c r="AF1315" s="32"/>
      <c r="AG1315" s="32"/>
      <c r="AH1315" s="32" t="b">
        <f>IFERROR(__xludf.DUMMYFUNCTION("""COMPUTED_VALUE"""),FALSE)</f>
        <v>0</v>
      </c>
      <c r="AI1315" s="32"/>
      <c r="AJ1315" s="32"/>
      <c r="AK1315" s="32"/>
      <c r="AL1315" s="32"/>
      <c r="AM1315" s="32"/>
      <c r="AN1315" s="32"/>
      <c r="AO1315" s="32"/>
      <c r="AP1315" s="32"/>
      <c r="AQ1315" s="32"/>
      <c r="AR1315" s="32"/>
      <c r="AS1315" s="32"/>
      <c r="AT1315" s="32"/>
      <c r="AU1315" s="32"/>
      <c r="AV1315" s="32"/>
      <c r="AW1315" s="32"/>
      <c r="AX1315" s="32"/>
    </row>
    <row r="1316">
      <c r="A1316" s="32"/>
      <c r="B1316" s="32"/>
      <c r="C1316" s="32"/>
      <c r="D1316" s="32"/>
      <c r="E1316" s="32">
        <f>IFERROR(__xludf.DUMMYFUNCTION("""COMPUTED_VALUE"""),1.0)</f>
        <v>1</v>
      </c>
      <c r="F1316" s="44">
        <f>IFERROR(__xludf.DUMMYFUNCTION("""COMPUTED_VALUE"""),0.0)</f>
        <v>0</v>
      </c>
      <c r="G1316" s="32"/>
      <c r="H1316" s="32"/>
      <c r="I1316" s="32"/>
      <c r="J1316" s="32"/>
      <c r="K1316" s="32"/>
      <c r="L1316" s="32"/>
      <c r="M1316" s="32"/>
      <c r="N1316" s="32"/>
      <c r="O1316" s="32"/>
      <c r="P1316" s="32"/>
      <c r="Q1316" s="32"/>
      <c r="R1316" s="32"/>
      <c r="S1316" s="32"/>
      <c r="T1316" s="32"/>
      <c r="U1316" s="32"/>
      <c r="V1316" s="32"/>
      <c r="W1316" s="32"/>
      <c r="X1316" s="32"/>
      <c r="Y1316" s="32"/>
      <c r="Z1316" s="32"/>
      <c r="AA1316" s="32"/>
      <c r="AB1316" s="32"/>
      <c r="AC1316" s="32"/>
      <c r="AD1316" s="32"/>
      <c r="AE1316" s="32"/>
      <c r="AF1316" s="32"/>
      <c r="AG1316" s="32"/>
      <c r="AH1316" s="32" t="b">
        <f>IFERROR(__xludf.DUMMYFUNCTION("""COMPUTED_VALUE"""),FALSE)</f>
        <v>0</v>
      </c>
      <c r="AI1316" s="32"/>
      <c r="AJ1316" s="32"/>
      <c r="AK1316" s="32"/>
      <c r="AL1316" s="32"/>
      <c r="AM1316" s="32"/>
      <c r="AN1316" s="32"/>
      <c r="AO1316" s="32"/>
      <c r="AP1316" s="32"/>
      <c r="AQ1316" s="32"/>
      <c r="AR1316" s="32"/>
      <c r="AS1316" s="32"/>
      <c r="AT1316" s="32"/>
      <c r="AU1316" s="32"/>
      <c r="AV1316" s="32"/>
      <c r="AW1316" s="32"/>
      <c r="AX1316" s="32"/>
    </row>
    <row r="1317">
      <c r="A1317" s="32"/>
      <c r="B1317" s="32"/>
      <c r="C1317" s="32"/>
      <c r="D1317" s="32"/>
      <c r="E1317" s="32">
        <f>IFERROR(__xludf.DUMMYFUNCTION("""COMPUTED_VALUE"""),1.0)</f>
        <v>1</v>
      </c>
      <c r="F1317" s="44">
        <f>IFERROR(__xludf.DUMMYFUNCTION("""COMPUTED_VALUE"""),0.0)</f>
        <v>0</v>
      </c>
      <c r="G1317" s="32"/>
      <c r="H1317" s="32"/>
      <c r="I1317" s="32"/>
      <c r="J1317" s="32"/>
      <c r="K1317" s="32"/>
      <c r="L1317" s="32"/>
      <c r="M1317" s="32"/>
      <c r="N1317" s="32"/>
      <c r="O1317" s="32"/>
      <c r="P1317" s="32"/>
      <c r="Q1317" s="32"/>
      <c r="R1317" s="32"/>
      <c r="S1317" s="32"/>
      <c r="T1317" s="32"/>
      <c r="U1317" s="32"/>
      <c r="V1317" s="32"/>
      <c r="W1317" s="32"/>
      <c r="X1317" s="32"/>
      <c r="Y1317" s="32"/>
      <c r="Z1317" s="32"/>
      <c r="AA1317" s="32"/>
      <c r="AB1317" s="32"/>
      <c r="AC1317" s="32"/>
      <c r="AD1317" s="32"/>
      <c r="AE1317" s="32"/>
      <c r="AF1317" s="32"/>
      <c r="AG1317" s="32"/>
      <c r="AH1317" s="32" t="b">
        <f>IFERROR(__xludf.DUMMYFUNCTION("""COMPUTED_VALUE"""),FALSE)</f>
        <v>0</v>
      </c>
      <c r="AI1317" s="32"/>
      <c r="AJ1317" s="32"/>
      <c r="AK1317" s="32"/>
      <c r="AL1317" s="32"/>
      <c r="AM1317" s="32"/>
      <c r="AN1317" s="32"/>
      <c r="AO1317" s="32"/>
      <c r="AP1317" s="32"/>
      <c r="AQ1317" s="32"/>
      <c r="AR1317" s="32"/>
      <c r="AS1317" s="32"/>
      <c r="AT1317" s="32"/>
      <c r="AU1317" s="32"/>
      <c r="AV1317" s="32"/>
      <c r="AW1317" s="32"/>
      <c r="AX1317" s="32"/>
    </row>
    <row r="1318">
      <c r="A1318" s="32"/>
      <c r="B1318" s="32"/>
      <c r="C1318" s="32"/>
      <c r="D1318" s="32"/>
      <c r="E1318" s="32">
        <f>IFERROR(__xludf.DUMMYFUNCTION("""COMPUTED_VALUE"""),1.0)</f>
        <v>1</v>
      </c>
      <c r="F1318" s="44">
        <f>IFERROR(__xludf.DUMMYFUNCTION("""COMPUTED_VALUE"""),0.0)</f>
        <v>0</v>
      </c>
      <c r="G1318" s="32"/>
      <c r="H1318" s="32"/>
      <c r="I1318" s="32"/>
      <c r="J1318" s="32"/>
      <c r="K1318" s="32"/>
      <c r="L1318" s="32"/>
      <c r="M1318" s="32"/>
      <c r="N1318" s="32"/>
      <c r="O1318" s="32"/>
      <c r="P1318" s="32"/>
      <c r="Q1318" s="32"/>
      <c r="R1318" s="32"/>
      <c r="S1318" s="32"/>
      <c r="T1318" s="32"/>
      <c r="U1318" s="32"/>
      <c r="V1318" s="32"/>
      <c r="W1318" s="32"/>
      <c r="X1318" s="32"/>
      <c r="Y1318" s="32"/>
      <c r="Z1318" s="32"/>
      <c r="AA1318" s="32"/>
      <c r="AB1318" s="32"/>
      <c r="AC1318" s="32"/>
      <c r="AD1318" s="32"/>
      <c r="AE1318" s="32"/>
      <c r="AF1318" s="32"/>
      <c r="AG1318" s="32"/>
      <c r="AH1318" s="32" t="b">
        <f>IFERROR(__xludf.DUMMYFUNCTION("""COMPUTED_VALUE"""),FALSE)</f>
        <v>0</v>
      </c>
      <c r="AI1318" s="32"/>
      <c r="AJ1318" s="32"/>
      <c r="AK1318" s="32"/>
      <c r="AL1318" s="32"/>
      <c r="AM1318" s="32"/>
      <c r="AN1318" s="32"/>
      <c r="AO1318" s="32"/>
      <c r="AP1318" s="32"/>
      <c r="AQ1318" s="32"/>
      <c r="AR1318" s="32"/>
      <c r="AS1318" s="32"/>
      <c r="AT1318" s="32"/>
      <c r="AU1318" s="32"/>
      <c r="AV1318" s="32"/>
      <c r="AW1318" s="32"/>
      <c r="AX1318" s="32"/>
    </row>
    <row r="1319">
      <c r="A1319" s="32"/>
      <c r="B1319" s="32"/>
      <c r="C1319" s="32"/>
      <c r="D1319" s="32"/>
      <c r="E1319" s="32">
        <f>IFERROR(__xludf.DUMMYFUNCTION("""COMPUTED_VALUE"""),1.0)</f>
        <v>1</v>
      </c>
      <c r="F1319" s="44">
        <f>IFERROR(__xludf.DUMMYFUNCTION("""COMPUTED_VALUE"""),0.0)</f>
        <v>0</v>
      </c>
      <c r="G1319" s="32"/>
      <c r="H1319" s="32"/>
      <c r="I1319" s="32"/>
      <c r="J1319" s="32"/>
      <c r="K1319" s="32"/>
      <c r="L1319" s="32"/>
      <c r="M1319" s="32"/>
      <c r="N1319" s="32"/>
      <c r="O1319" s="32"/>
      <c r="P1319" s="32"/>
      <c r="Q1319" s="32"/>
      <c r="R1319" s="32"/>
      <c r="S1319" s="32"/>
      <c r="T1319" s="32"/>
      <c r="U1319" s="32"/>
      <c r="V1319" s="32"/>
      <c r="W1319" s="32"/>
      <c r="X1319" s="32"/>
      <c r="Y1319" s="32"/>
      <c r="Z1319" s="32"/>
      <c r="AA1319" s="32"/>
      <c r="AB1319" s="32"/>
      <c r="AC1319" s="32"/>
      <c r="AD1319" s="32"/>
      <c r="AE1319" s="32"/>
      <c r="AF1319" s="32"/>
      <c r="AG1319" s="32"/>
      <c r="AH1319" s="32" t="b">
        <f>IFERROR(__xludf.DUMMYFUNCTION("""COMPUTED_VALUE"""),FALSE)</f>
        <v>0</v>
      </c>
      <c r="AI1319" s="32"/>
      <c r="AJ1319" s="32"/>
      <c r="AK1319" s="32"/>
      <c r="AL1319" s="32"/>
      <c r="AM1319" s="32"/>
      <c r="AN1319" s="32"/>
      <c r="AO1319" s="32"/>
      <c r="AP1319" s="32"/>
      <c r="AQ1319" s="32"/>
      <c r="AR1319" s="32"/>
      <c r="AS1319" s="32"/>
      <c r="AT1319" s="32"/>
      <c r="AU1319" s="32"/>
      <c r="AV1319" s="32"/>
      <c r="AW1319" s="32"/>
      <c r="AX1319" s="32"/>
    </row>
    <row r="1320">
      <c r="A1320" s="32"/>
      <c r="B1320" s="32"/>
      <c r="C1320" s="32"/>
      <c r="D1320" s="32"/>
      <c r="E1320" s="32">
        <f>IFERROR(__xludf.DUMMYFUNCTION("""COMPUTED_VALUE"""),1.0)</f>
        <v>1</v>
      </c>
      <c r="F1320" s="44">
        <f>IFERROR(__xludf.DUMMYFUNCTION("""COMPUTED_VALUE"""),0.0)</f>
        <v>0</v>
      </c>
      <c r="G1320" s="32"/>
      <c r="H1320" s="32"/>
      <c r="I1320" s="32"/>
      <c r="J1320" s="32"/>
      <c r="K1320" s="32"/>
      <c r="L1320" s="32"/>
      <c r="M1320" s="32"/>
      <c r="N1320" s="32"/>
      <c r="O1320" s="32"/>
      <c r="P1320" s="32"/>
      <c r="Q1320" s="32"/>
      <c r="R1320" s="32"/>
      <c r="S1320" s="32"/>
      <c r="T1320" s="32"/>
      <c r="U1320" s="32"/>
      <c r="V1320" s="32"/>
      <c r="W1320" s="32"/>
      <c r="X1320" s="32"/>
      <c r="Y1320" s="32"/>
      <c r="Z1320" s="32"/>
      <c r="AA1320" s="32"/>
      <c r="AB1320" s="32"/>
      <c r="AC1320" s="32"/>
      <c r="AD1320" s="32"/>
      <c r="AE1320" s="32"/>
      <c r="AF1320" s="32"/>
      <c r="AG1320" s="32"/>
      <c r="AH1320" s="32" t="b">
        <f>IFERROR(__xludf.DUMMYFUNCTION("""COMPUTED_VALUE"""),FALSE)</f>
        <v>0</v>
      </c>
      <c r="AI1320" s="32"/>
      <c r="AJ1320" s="32"/>
      <c r="AK1320" s="32"/>
      <c r="AL1320" s="32"/>
      <c r="AM1320" s="32"/>
      <c r="AN1320" s="32"/>
      <c r="AO1320" s="32"/>
      <c r="AP1320" s="32"/>
      <c r="AQ1320" s="32"/>
      <c r="AR1320" s="32"/>
      <c r="AS1320" s="32"/>
      <c r="AT1320" s="32"/>
      <c r="AU1320" s="32"/>
      <c r="AV1320" s="32"/>
      <c r="AW1320" s="32"/>
      <c r="AX1320" s="32"/>
    </row>
    <row r="1321">
      <c r="A1321" s="32"/>
      <c r="B1321" s="32"/>
      <c r="C1321" s="32"/>
      <c r="D1321" s="32"/>
      <c r="E1321" s="32">
        <f>IFERROR(__xludf.DUMMYFUNCTION("""COMPUTED_VALUE"""),1.0)</f>
        <v>1</v>
      </c>
      <c r="F1321" s="44">
        <f>IFERROR(__xludf.DUMMYFUNCTION("""COMPUTED_VALUE"""),0.0)</f>
        <v>0</v>
      </c>
      <c r="G1321" s="32"/>
      <c r="H1321" s="32"/>
      <c r="I1321" s="32"/>
      <c r="J1321" s="32"/>
      <c r="K1321" s="32"/>
      <c r="L1321" s="32"/>
      <c r="M1321" s="32"/>
      <c r="N1321" s="32"/>
      <c r="O1321" s="32"/>
      <c r="P1321" s="32"/>
      <c r="Q1321" s="32"/>
      <c r="R1321" s="32"/>
      <c r="S1321" s="32"/>
      <c r="T1321" s="32"/>
      <c r="U1321" s="32"/>
      <c r="V1321" s="32"/>
      <c r="W1321" s="32"/>
      <c r="X1321" s="32"/>
      <c r="Y1321" s="32"/>
      <c r="Z1321" s="32"/>
      <c r="AA1321" s="32"/>
      <c r="AB1321" s="32"/>
      <c r="AC1321" s="32"/>
      <c r="AD1321" s="32"/>
      <c r="AE1321" s="32"/>
      <c r="AF1321" s="32"/>
      <c r="AG1321" s="32"/>
      <c r="AH1321" s="32" t="b">
        <f>IFERROR(__xludf.DUMMYFUNCTION("""COMPUTED_VALUE"""),FALSE)</f>
        <v>0</v>
      </c>
      <c r="AI1321" s="32"/>
      <c r="AJ1321" s="32"/>
      <c r="AK1321" s="32"/>
      <c r="AL1321" s="32"/>
      <c r="AM1321" s="32"/>
      <c r="AN1321" s="32"/>
      <c r="AO1321" s="32"/>
      <c r="AP1321" s="32"/>
      <c r="AQ1321" s="32"/>
      <c r="AR1321" s="32"/>
      <c r="AS1321" s="32"/>
      <c r="AT1321" s="32"/>
      <c r="AU1321" s="32"/>
      <c r="AV1321" s="32"/>
      <c r="AW1321" s="32"/>
      <c r="AX1321" s="32"/>
    </row>
    <row r="1322">
      <c r="A1322" s="32"/>
      <c r="B1322" s="32"/>
      <c r="C1322" s="32"/>
      <c r="D1322" s="32"/>
      <c r="E1322" s="32">
        <f>IFERROR(__xludf.DUMMYFUNCTION("""COMPUTED_VALUE"""),1.0)</f>
        <v>1</v>
      </c>
      <c r="F1322" s="44">
        <f>IFERROR(__xludf.DUMMYFUNCTION("""COMPUTED_VALUE"""),0.0)</f>
        <v>0</v>
      </c>
      <c r="G1322" s="32"/>
      <c r="H1322" s="32"/>
      <c r="I1322" s="32"/>
      <c r="J1322" s="32"/>
      <c r="K1322" s="32"/>
      <c r="L1322" s="32"/>
      <c r="M1322" s="32"/>
      <c r="N1322" s="32"/>
      <c r="O1322" s="32"/>
      <c r="P1322" s="32"/>
      <c r="Q1322" s="32"/>
      <c r="R1322" s="32"/>
      <c r="S1322" s="32"/>
      <c r="T1322" s="32"/>
      <c r="U1322" s="32"/>
      <c r="V1322" s="32"/>
      <c r="W1322" s="32"/>
      <c r="X1322" s="32"/>
      <c r="Y1322" s="32"/>
      <c r="Z1322" s="32"/>
      <c r="AA1322" s="32"/>
      <c r="AB1322" s="32"/>
      <c r="AC1322" s="32"/>
      <c r="AD1322" s="32"/>
      <c r="AE1322" s="32"/>
      <c r="AF1322" s="32"/>
      <c r="AG1322" s="32"/>
      <c r="AH1322" s="32" t="b">
        <f>IFERROR(__xludf.DUMMYFUNCTION("""COMPUTED_VALUE"""),FALSE)</f>
        <v>0</v>
      </c>
      <c r="AI1322" s="32"/>
      <c r="AJ1322" s="32"/>
      <c r="AK1322" s="32"/>
      <c r="AL1322" s="32"/>
      <c r="AM1322" s="32"/>
      <c r="AN1322" s="32"/>
      <c r="AO1322" s="32"/>
      <c r="AP1322" s="32"/>
      <c r="AQ1322" s="32"/>
      <c r="AR1322" s="32"/>
      <c r="AS1322" s="32"/>
      <c r="AT1322" s="32"/>
      <c r="AU1322" s="32"/>
      <c r="AV1322" s="32"/>
      <c r="AW1322" s="32"/>
      <c r="AX1322" s="32"/>
    </row>
    <row r="1323">
      <c r="A1323" s="32"/>
      <c r="B1323" s="32"/>
      <c r="C1323" s="32"/>
      <c r="D1323" s="32"/>
      <c r="E1323" s="32">
        <f>IFERROR(__xludf.DUMMYFUNCTION("""COMPUTED_VALUE"""),1.0)</f>
        <v>1</v>
      </c>
      <c r="F1323" s="44">
        <f>IFERROR(__xludf.DUMMYFUNCTION("""COMPUTED_VALUE"""),0.0)</f>
        <v>0</v>
      </c>
      <c r="G1323" s="32"/>
      <c r="H1323" s="32"/>
      <c r="I1323" s="32"/>
      <c r="J1323" s="32"/>
      <c r="K1323" s="32"/>
      <c r="L1323" s="32"/>
      <c r="M1323" s="32"/>
      <c r="N1323" s="32"/>
      <c r="O1323" s="32"/>
      <c r="P1323" s="32"/>
      <c r="Q1323" s="32"/>
      <c r="R1323" s="32"/>
      <c r="S1323" s="32"/>
      <c r="T1323" s="32"/>
      <c r="U1323" s="32"/>
      <c r="V1323" s="32"/>
      <c r="W1323" s="32"/>
      <c r="X1323" s="32"/>
      <c r="Y1323" s="32"/>
      <c r="Z1323" s="32"/>
      <c r="AA1323" s="32"/>
      <c r="AB1323" s="32"/>
      <c r="AC1323" s="32"/>
      <c r="AD1323" s="32"/>
      <c r="AE1323" s="32"/>
      <c r="AF1323" s="32"/>
      <c r="AG1323" s="32"/>
      <c r="AH1323" s="32" t="b">
        <f>IFERROR(__xludf.DUMMYFUNCTION("""COMPUTED_VALUE"""),FALSE)</f>
        <v>0</v>
      </c>
      <c r="AI1323" s="32"/>
      <c r="AJ1323" s="32"/>
      <c r="AK1323" s="32"/>
      <c r="AL1323" s="32"/>
      <c r="AM1323" s="32"/>
      <c r="AN1323" s="32"/>
      <c r="AO1323" s="32"/>
      <c r="AP1323" s="32"/>
      <c r="AQ1323" s="32"/>
      <c r="AR1323" s="32"/>
      <c r="AS1323" s="32"/>
      <c r="AT1323" s="32"/>
      <c r="AU1323" s="32"/>
      <c r="AV1323" s="32"/>
      <c r="AW1323" s="32"/>
      <c r="AX1323" s="32"/>
    </row>
    <row r="1324">
      <c r="A1324" s="32"/>
      <c r="B1324" s="32"/>
      <c r="C1324" s="32"/>
      <c r="D1324" s="32"/>
      <c r="E1324" s="32">
        <f>IFERROR(__xludf.DUMMYFUNCTION("""COMPUTED_VALUE"""),1.0)</f>
        <v>1</v>
      </c>
      <c r="F1324" s="44">
        <f>IFERROR(__xludf.DUMMYFUNCTION("""COMPUTED_VALUE"""),0.0)</f>
        <v>0</v>
      </c>
      <c r="G1324" s="32"/>
      <c r="H1324" s="32"/>
      <c r="I1324" s="32"/>
      <c r="J1324" s="32"/>
      <c r="K1324" s="32"/>
      <c r="L1324" s="32"/>
      <c r="M1324" s="32"/>
      <c r="N1324" s="32"/>
      <c r="O1324" s="32"/>
      <c r="P1324" s="32"/>
      <c r="Q1324" s="32"/>
      <c r="R1324" s="32"/>
      <c r="S1324" s="32"/>
      <c r="T1324" s="32"/>
      <c r="U1324" s="32"/>
      <c r="V1324" s="32"/>
      <c r="W1324" s="32"/>
      <c r="X1324" s="32"/>
      <c r="Y1324" s="32"/>
      <c r="Z1324" s="32"/>
      <c r="AA1324" s="32"/>
      <c r="AB1324" s="32"/>
      <c r="AC1324" s="32"/>
      <c r="AD1324" s="32"/>
      <c r="AE1324" s="32"/>
      <c r="AF1324" s="32"/>
      <c r="AG1324" s="32"/>
      <c r="AH1324" s="32" t="b">
        <f>IFERROR(__xludf.DUMMYFUNCTION("""COMPUTED_VALUE"""),FALSE)</f>
        <v>0</v>
      </c>
      <c r="AI1324" s="32"/>
      <c r="AJ1324" s="32"/>
      <c r="AK1324" s="32"/>
      <c r="AL1324" s="32"/>
      <c r="AM1324" s="32"/>
      <c r="AN1324" s="32"/>
      <c r="AO1324" s="32"/>
      <c r="AP1324" s="32"/>
      <c r="AQ1324" s="32"/>
      <c r="AR1324" s="32"/>
      <c r="AS1324" s="32"/>
      <c r="AT1324" s="32"/>
      <c r="AU1324" s="32"/>
      <c r="AV1324" s="32"/>
      <c r="AW1324" s="32"/>
      <c r="AX1324" s="32"/>
    </row>
    <row r="1325">
      <c r="A1325" s="32"/>
      <c r="B1325" s="32"/>
      <c r="C1325" s="32"/>
      <c r="D1325" s="32"/>
      <c r="E1325" s="32">
        <f>IFERROR(__xludf.DUMMYFUNCTION("""COMPUTED_VALUE"""),1.0)</f>
        <v>1</v>
      </c>
      <c r="F1325" s="44">
        <f>IFERROR(__xludf.DUMMYFUNCTION("""COMPUTED_VALUE"""),0.0)</f>
        <v>0</v>
      </c>
      <c r="G1325" s="32"/>
      <c r="H1325" s="32"/>
      <c r="I1325" s="32"/>
      <c r="J1325" s="32"/>
      <c r="K1325" s="32"/>
      <c r="L1325" s="32"/>
      <c r="M1325" s="32"/>
      <c r="N1325" s="32"/>
      <c r="O1325" s="32"/>
      <c r="P1325" s="32"/>
      <c r="Q1325" s="32"/>
      <c r="R1325" s="32"/>
      <c r="S1325" s="32"/>
      <c r="T1325" s="32"/>
      <c r="U1325" s="32"/>
      <c r="V1325" s="32"/>
      <c r="W1325" s="32"/>
      <c r="X1325" s="32"/>
      <c r="Y1325" s="32"/>
      <c r="Z1325" s="32"/>
      <c r="AA1325" s="32"/>
      <c r="AB1325" s="32"/>
      <c r="AC1325" s="32"/>
      <c r="AD1325" s="32"/>
      <c r="AE1325" s="32"/>
      <c r="AF1325" s="32"/>
      <c r="AG1325" s="32"/>
      <c r="AH1325" s="32" t="b">
        <f>IFERROR(__xludf.DUMMYFUNCTION("""COMPUTED_VALUE"""),FALSE)</f>
        <v>0</v>
      </c>
      <c r="AI1325" s="32"/>
      <c r="AJ1325" s="32"/>
      <c r="AK1325" s="32"/>
      <c r="AL1325" s="32"/>
      <c r="AM1325" s="32"/>
      <c r="AN1325" s="32"/>
      <c r="AO1325" s="32"/>
      <c r="AP1325" s="32"/>
      <c r="AQ1325" s="32"/>
      <c r="AR1325" s="32"/>
      <c r="AS1325" s="32"/>
      <c r="AT1325" s="32"/>
      <c r="AU1325" s="32"/>
      <c r="AV1325" s="32"/>
      <c r="AW1325" s="32"/>
      <c r="AX1325" s="32"/>
    </row>
    <row r="1326">
      <c r="A1326" s="32"/>
      <c r="B1326" s="32"/>
      <c r="C1326" s="32"/>
      <c r="D1326" s="32"/>
      <c r="E1326" s="32">
        <f>IFERROR(__xludf.DUMMYFUNCTION("""COMPUTED_VALUE"""),1.0)</f>
        <v>1</v>
      </c>
      <c r="F1326" s="44">
        <f>IFERROR(__xludf.DUMMYFUNCTION("""COMPUTED_VALUE"""),0.0)</f>
        <v>0</v>
      </c>
      <c r="G1326" s="32"/>
      <c r="H1326" s="32"/>
      <c r="I1326" s="32"/>
      <c r="J1326" s="32"/>
      <c r="K1326" s="32"/>
      <c r="L1326" s="32"/>
      <c r="M1326" s="32"/>
      <c r="N1326" s="32"/>
      <c r="O1326" s="32"/>
      <c r="P1326" s="32"/>
      <c r="Q1326" s="32"/>
      <c r="R1326" s="32"/>
      <c r="S1326" s="32"/>
      <c r="T1326" s="32"/>
      <c r="U1326" s="32"/>
      <c r="V1326" s="32"/>
      <c r="W1326" s="32"/>
      <c r="X1326" s="32"/>
      <c r="Y1326" s="32"/>
      <c r="Z1326" s="32"/>
      <c r="AA1326" s="32"/>
      <c r="AB1326" s="32"/>
      <c r="AC1326" s="32"/>
      <c r="AD1326" s="32"/>
      <c r="AE1326" s="32"/>
      <c r="AF1326" s="32"/>
      <c r="AG1326" s="32"/>
      <c r="AH1326" s="32" t="b">
        <f>IFERROR(__xludf.DUMMYFUNCTION("""COMPUTED_VALUE"""),FALSE)</f>
        <v>0</v>
      </c>
      <c r="AI1326" s="32"/>
      <c r="AJ1326" s="32"/>
      <c r="AK1326" s="32"/>
      <c r="AL1326" s="32"/>
      <c r="AM1326" s="32"/>
      <c r="AN1326" s="32"/>
      <c r="AO1326" s="32"/>
      <c r="AP1326" s="32"/>
      <c r="AQ1326" s="32"/>
      <c r="AR1326" s="32"/>
      <c r="AS1326" s="32"/>
      <c r="AT1326" s="32"/>
      <c r="AU1326" s="32"/>
      <c r="AV1326" s="32"/>
      <c r="AW1326" s="32"/>
      <c r="AX1326" s="32"/>
    </row>
    <row r="1327">
      <c r="A1327" s="32"/>
      <c r="B1327" s="32"/>
      <c r="C1327" s="32"/>
      <c r="D1327" s="32"/>
      <c r="E1327" s="32">
        <f>IFERROR(__xludf.DUMMYFUNCTION("""COMPUTED_VALUE"""),1.0)</f>
        <v>1</v>
      </c>
      <c r="F1327" s="44">
        <f>IFERROR(__xludf.DUMMYFUNCTION("""COMPUTED_VALUE"""),0.0)</f>
        <v>0</v>
      </c>
      <c r="G1327" s="32"/>
      <c r="H1327" s="32"/>
      <c r="I1327" s="32"/>
      <c r="J1327" s="32"/>
      <c r="K1327" s="32"/>
      <c r="L1327" s="32"/>
      <c r="M1327" s="32"/>
      <c r="N1327" s="32"/>
      <c r="O1327" s="32"/>
      <c r="P1327" s="32"/>
      <c r="Q1327" s="32"/>
      <c r="R1327" s="32"/>
      <c r="S1327" s="32"/>
      <c r="T1327" s="32"/>
      <c r="U1327" s="32"/>
      <c r="V1327" s="32"/>
      <c r="W1327" s="32"/>
      <c r="X1327" s="32"/>
      <c r="Y1327" s="32"/>
      <c r="Z1327" s="32"/>
      <c r="AA1327" s="32"/>
      <c r="AB1327" s="32"/>
      <c r="AC1327" s="32"/>
      <c r="AD1327" s="32"/>
      <c r="AE1327" s="32"/>
      <c r="AF1327" s="32"/>
      <c r="AG1327" s="32"/>
      <c r="AH1327" s="32" t="b">
        <f>IFERROR(__xludf.DUMMYFUNCTION("""COMPUTED_VALUE"""),FALSE)</f>
        <v>0</v>
      </c>
      <c r="AI1327" s="32"/>
      <c r="AJ1327" s="32"/>
      <c r="AK1327" s="32"/>
      <c r="AL1327" s="32"/>
      <c r="AM1327" s="32"/>
      <c r="AN1327" s="32"/>
      <c r="AO1327" s="32"/>
      <c r="AP1327" s="32"/>
      <c r="AQ1327" s="32"/>
      <c r="AR1327" s="32"/>
      <c r="AS1327" s="32"/>
      <c r="AT1327" s="32"/>
      <c r="AU1327" s="32"/>
      <c r="AV1327" s="32"/>
      <c r="AW1327" s="32"/>
      <c r="AX1327" s="32"/>
    </row>
    <row r="1328">
      <c r="A1328" s="32"/>
      <c r="B1328" s="32"/>
      <c r="C1328" s="32"/>
      <c r="D1328" s="32"/>
      <c r="E1328" s="32">
        <f>IFERROR(__xludf.DUMMYFUNCTION("""COMPUTED_VALUE"""),1.0)</f>
        <v>1</v>
      </c>
      <c r="F1328" s="44">
        <f>IFERROR(__xludf.DUMMYFUNCTION("""COMPUTED_VALUE"""),0.0)</f>
        <v>0</v>
      </c>
      <c r="G1328" s="32"/>
      <c r="H1328" s="32"/>
      <c r="I1328" s="32"/>
      <c r="J1328" s="32"/>
      <c r="K1328" s="32"/>
      <c r="L1328" s="32"/>
      <c r="M1328" s="32"/>
      <c r="N1328" s="32"/>
      <c r="O1328" s="32"/>
      <c r="P1328" s="32"/>
      <c r="Q1328" s="32"/>
      <c r="R1328" s="32"/>
      <c r="S1328" s="32"/>
      <c r="T1328" s="32"/>
      <c r="U1328" s="32"/>
      <c r="V1328" s="32"/>
      <c r="W1328" s="32"/>
      <c r="X1328" s="32"/>
      <c r="Y1328" s="32"/>
      <c r="Z1328" s="32"/>
      <c r="AA1328" s="32"/>
      <c r="AB1328" s="32"/>
      <c r="AC1328" s="32"/>
      <c r="AD1328" s="32"/>
      <c r="AE1328" s="32"/>
      <c r="AF1328" s="32"/>
      <c r="AG1328" s="32"/>
      <c r="AH1328" s="32" t="b">
        <f>IFERROR(__xludf.DUMMYFUNCTION("""COMPUTED_VALUE"""),FALSE)</f>
        <v>0</v>
      </c>
      <c r="AI1328" s="32"/>
      <c r="AJ1328" s="32"/>
      <c r="AK1328" s="32"/>
      <c r="AL1328" s="32"/>
      <c r="AM1328" s="32"/>
      <c r="AN1328" s="32"/>
      <c r="AO1328" s="32"/>
      <c r="AP1328" s="32"/>
      <c r="AQ1328" s="32"/>
      <c r="AR1328" s="32"/>
      <c r="AS1328" s="32"/>
      <c r="AT1328" s="32"/>
      <c r="AU1328" s="32"/>
      <c r="AV1328" s="32"/>
      <c r="AW1328" s="32"/>
      <c r="AX1328" s="32"/>
    </row>
    <row r="1329">
      <c r="A1329" s="32"/>
      <c r="B1329" s="32"/>
      <c r="C1329" s="32"/>
      <c r="D1329" s="32"/>
      <c r="E1329" s="32">
        <f>IFERROR(__xludf.DUMMYFUNCTION("""COMPUTED_VALUE"""),1.0)</f>
        <v>1</v>
      </c>
      <c r="F1329" s="44">
        <f>IFERROR(__xludf.DUMMYFUNCTION("""COMPUTED_VALUE"""),0.0)</f>
        <v>0</v>
      </c>
      <c r="G1329" s="32"/>
      <c r="H1329" s="32"/>
      <c r="I1329" s="32"/>
      <c r="J1329" s="32"/>
      <c r="K1329" s="32"/>
      <c r="L1329" s="32"/>
      <c r="M1329" s="32"/>
      <c r="N1329" s="32"/>
      <c r="O1329" s="32"/>
      <c r="P1329" s="32"/>
      <c r="Q1329" s="32"/>
      <c r="R1329" s="32"/>
      <c r="S1329" s="32"/>
      <c r="T1329" s="32"/>
      <c r="U1329" s="32"/>
      <c r="V1329" s="32"/>
      <c r="W1329" s="32"/>
      <c r="X1329" s="32"/>
      <c r="Y1329" s="32"/>
      <c r="Z1329" s="32"/>
      <c r="AA1329" s="32"/>
      <c r="AB1329" s="32"/>
      <c r="AC1329" s="32"/>
      <c r="AD1329" s="32"/>
      <c r="AE1329" s="32"/>
      <c r="AF1329" s="32"/>
      <c r="AG1329" s="32"/>
      <c r="AH1329" s="32" t="b">
        <f>IFERROR(__xludf.DUMMYFUNCTION("""COMPUTED_VALUE"""),FALSE)</f>
        <v>0</v>
      </c>
      <c r="AI1329" s="32"/>
      <c r="AJ1329" s="32"/>
      <c r="AK1329" s="32"/>
      <c r="AL1329" s="32"/>
      <c r="AM1329" s="32"/>
      <c r="AN1329" s="32"/>
      <c r="AO1329" s="32"/>
      <c r="AP1329" s="32"/>
      <c r="AQ1329" s="32"/>
      <c r="AR1329" s="32"/>
      <c r="AS1329" s="32"/>
      <c r="AT1329" s="32"/>
      <c r="AU1329" s="32"/>
      <c r="AV1329" s="32"/>
      <c r="AW1329" s="32"/>
      <c r="AX1329" s="32"/>
    </row>
    <row r="1330">
      <c r="A1330" s="32"/>
      <c r="B1330" s="32"/>
      <c r="C1330" s="32"/>
      <c r="D1330" s="32"/>
      <c r="E1330" s="32">
        <f>IFERROR(__xludf.DUMMYFUNCTION("""COMPUTED_VALUE"""),1.0)</f>
        <v>1</v>
      </c>
      <c r="F1330" s="44">
        <f>IFERROR(__xludf.DUMMYFUNCTION("""COMPUTED_VALUE"""),0.0)</f>
        <v>0</v>
      </c>
      <c r="G1330" s="32"/>
      <c r="H1330" s="32"/>
      <c r="I1330" s="32"/>
      <c r="J1330" s="32"/>
      <c r="K1330" s="32"/>
      <c r="L1330" s="32"/>
      <c r="M1330" s="32"/>
      <c r="N1330" s="32"/>
      <c r="O1330" s="32"/>
      <c r="P1330" s="32"/>
      <c r="Q1330" s="32"/>
      <c r="R1330" s="32"/>
      <c r="S1330" s="32"/>
      <c r="T1330" s="32"/>
      <c r="U1330" s="32"/>
      <c r="V1330" s="32"/>
      <c r="W1330" s="32"/>
      <c r="X1330" s="32"/>
      <c r="Y1330" s="32"/>
      <c r="Z1330" s="32"/>
      <c r="AA1330" s="32"/>
      <c r="AB1330" s="32"/>
      <c r="AC1330" s="32"/>
      <c r="AD1330" s="32"/>
      <c r="AE1330" s="32"/>
      <c r="AF1330" s="32"/>
      <c r="AG1330" s="32"/>
      <c r="AH1330" s="32" t="b">
        <f>IFERROR(__xludf.DUMMYFUNCTION("""COMPUTED_VALUE"""),FALSE)</f>
        <v>0</v>
      </c>
      <c r="AI1330" s="32"/>
      <c r="AJ1330" s="32"/>
      <c r="AK1330" s="32"/>
      <c r="AL1330" s="32"/>
      <c r="AM1330" s="32"/>
      <c r="AN1330" s="32"/>
      <c r="AO1330" s="32"/>
      <c r="AP1330" s="32"/>
      <c r="AQ1330" s="32"/>
      <c r="AR1330" s="32"/>
      <c r="AS1330" s="32"/>
      <c r="AT1330" s="32"/>
      <c r="AU1330" s="32"/>
      <c r="AV1330" s="32"/>
      <c r="AW1330" s="32"/>
      <c r="AX1330" s="32"/>
    </row>
    <row r="1331">
      <c r="A1331" s="32"/>
      <c r="B1331" s="32"/>
      <c r="C1331" s="32"/>
      <c r="D1331" s="32"/>
      <c r="E1331" s="32">
        <f>IFERROR(__xludf.DUMMYFUNCTION("""COMPUTED_VALUE"""),1.0)</f>
        <v>1</v>
      </c>
      <c r="F1331" s="44">
        <f>IFERROR(__xludf.DUMMYFUNCTION("""COMPUTED_VALUE"""),0.0)</f>
        <v>0</v>
      </c>
      <c r="G1331" s="32"/>
      <c r="H1331" s="32"/>
      <c r="I1331" s="32"/>
      <c r="J1331" s="32"/>
      <c r="K1331" s="32"/>
      <c r="L1331" s="32"/>
      <c r="M1331" s="32"/>
      <c r="N1331" s="32"/>
      <c r="O1331" s="32"/>
      <c r="P1331" s="32"/>
      <c r="Q1331" s="32"/>
      <c r="R1331" s="32"/>
      <c r="S1331" s="32"/>
      <c r="T1331" s="32"/>
      <c r="U1331" s="32"/>
      <c r="V1331" s="32"/>
      <c r="W1331" s="32"/>
      <c r="X1331" s="32"/>
      <c r="Y1331" s="32"/>
      <c r="Z1331" s="32"/>
      <c r="AA1331" s="32"/>
      <c r="AB1331" s="32"/>
      <c r="AC1331" s="32"/>
      <c r="AD1331" s="32"/>
      <c r="AE1331" s="32"/>
      <c r="AF1331" s="32"/>
      <c r="AG1331" s="32"/>
      <c r="AH1331" s="32" t="b">
        <f>IFERROR(__xludf.DUMMYFUNCTION("""COMPUTED_VALUE"""),FALSE)</f>
        <v>0</v>
      </c>
      <c r="AI1331" s="32"/>
      <c r="AJ1331" s="32"/>
      <c r="AK1331" s="32"/>
      <c r="AL1331" s="32"/>
      <c r="AM1331" s="32"/>
      <c r="AN1331" s="32"/>
      <c r="AO1331" s="32"/>
      <c r="AP1331" s="32"/>
      <c r="AQ1331" s="32"/>
      <c r="AR1331" s="32"/>
      <c r="AS1331" s="32"/>
      <c r="AT1331" s="32"/>
      <c r="AU1331" s="32"/>
      <c r="AV1331" s="32"/>
      <c r="AW1331" s="32"/>
      <c r="AX1331" s="32"/>
    </row>
    <row r="1332">
      <c r="A1332" s="32"/>
      <c r="B1332" s="32"/>
      <c r="C1332" s="32"/>
      <c r="D1332" s="32"/>
      <c r="E1332" s="32">
        <f>IFERROR(__xludf.DUMMYFUNCTION("""COMPUTED_VALUE"""),1.0)</f>
        <v>1</v>
      </c>
      <c r="F1332" s="44">
        <f>IFERROR(__xludf.DUMMYFUNCTION("""COMPUTED_VALUE"""),0.0)</f>
        <v>0</v>
      </c>
      <c r="G1332" s="32"/>
      <c r="H1332" s="32"/>
      <c r="I1332" s="32"/>
      <c r="J1332" s="32"/>
      <c r="K1332" s="32"/>
      <c r="L1332" s="32"/>
      <c r="M1332" s="32"/>
      <c r="N1332" s="32"/>
      <c r="O1332" s="32"/>
      <c r="P1332" s="32"/>
      <c r="Q1332" s="32"/>
      <c r="R1332" s="32"/>
      <c r="S1332" s="32"/>
      <c r="T1332" s="32"/>
      <c r="U1332" s="32"/>
      <c r="V1332" s="32"/>
      <c r="W1332" s="32"/>
      <c r="X1332" s="32"/>
      <c r="Y1332" s="32"/>
      <c r="Z1332" s="32"/>
      <c r="AA1332" s="32"/>
      <c r="AB1332" s="32"/>
      <c r="AC1332" s="32"/>
      <c r="AD1332" s="32"/>
      <c r="AE1332" s="32"/>
      <c r="AF1332" s="32"/>
      <c r="AG1332" s="32"/>
      <c r="AH1332" s="32" t="b">
        <f>IFERROR(__xludf.DUMMYFUNCTION("""COMPUTED_VALUE"""),FALSE)</f>
        <v>0</v>
      </c>
      <c r="AI1332" s="32"/>
      <c r="AJ1332" s="32"/>
      <c r="AK1332" s="32"/>
      <c r="AL1332" s="32"/>
      <c r="AM1332" s="32"/>
      <c r="AN1332" s="32"/>
      <c r="AO1332" s="32"/>
      <c r="AP1332" s="32"/>
      <c r="AQ1332" s="32"/>
      <c r="AR1332" s="32"/>
      <c r="AS1332" s="32"/>
      <c r="AT1332" s="32"/>
      <c r="AU1332" s="32"/>
      <c r="AV1332" s="32"/>
      <c r="AW1332" s="32"/>
      <c r="AX1332" s="32"/>
    </row>
    <row r="1333">
      <c r="A1333" s="32"/>
      <c r="B1333" s="32"/>
      <c r="C1333" s="32"/>
      <c r="D1333" s="32"/>
      <c r="E1333" s="32">
        <f>IFERROR(__xludf.DUMMYFUNCTION("""COMPUTED_VALUE"""),1.0)</f>
        <v>1</v>
      </c>
      <c r="F1333" s="44">
        <f>IFERROR(__xludf.DUMMYFUNCTION("""COMPUTED_VALUE"""),0.0)</f>
        <v>0</v>
      </c>
      <c r="G1333" s="32"/>
      <c r="H1333" s="32"/>
      <c r="I1333" s="32"/>
      <c r="J1333" s="32"/>
      <c r="K1333" s="32"/>
      <c r="L1333" s="32"/>
      <c r="M1333" s="32"/>
      <c r="N1333" s="32"/>
      <c r="O1333" s="32"/>
      <c r="P1333" s="32"/>
      <c r="Q1333" s="32"/>
      <c r="R1333" s="32"/>
      <c r="S1333" s="32"/>
      <c r="T1333" s="32"/>
      <c r="U1333" s="32"/>
      <c r="V1333" s="32"/>
      <c r="W1333" s="32"/>
      <c r="X1333" s="32"/>
      <c r="Y1333" s="32"/>
      <c r="Z1333" s="32"/>
      <c r="AA1333" s="32"/>
      <c r="AB1333" s="32"/>
      <c r="AC1333" s="32"/>
      <c r="AD1333" s="32"/>
      <c r="AE1333" s="32"/>
      <c r="AF1333" s="32"/>
      <c r="AG1333" s="32"/>
      <c r="AH1333" s="32" t="b">
        <f>IFERROR(__xludf.DUMMYFUNCTION("""COMPUTED_VALUE"""),FALSE)</f>
        <v>0</v>
      </c>
      <c r="AI1333" s="32"/>
      <c r="AJ1333" s="32"/>
      <c r="AK1333" s="32"/>
      <c r="AL1333" s="32"/>
      <c r="AM1333" s="32"/>
      <c r="AN1333" s="32"/>
      <c r="AO1333" s="32"/>
      <c r="AP1333" s="32"/>
      <c r="AQ1333" s="32"/>
      <c r="AR1333" s="32"/>
      <c r="AS1333" s="32"/>
      <c r="AT1333" s="32"/>
      <c r="AU1333" s="32"/>
      <c r="AV1333" s="32"/>
      <c r="AW1333" s="32"/>
      <c r="AX1333" s="32"/>
    </row>
    <row r="1334">
      <c r="A1334" s="32"/>
      <c r="B1334" s="32"/>
      <c r="C1334" s="32"/>
      <c r="D1334" s="32"/>
      <c r="E1334" s="32">
        <f>IFERROR(__xludf.DUMMYFUNCTION("""COMPUTED_VALUE"""),1.0)</f>
        <v>1</v>
      </c>
      <c r="F1334" s="44">
        <f>IFERROR(__xludf.DUMMYFUNCTION("""COMPUTED_VALUE"""),0.0)</f>
        <v>0</v>
      </c>
      <c r="G1334" s="32"/>
      <c r="H1334" s="32"/>
      <c r="I1334" s="32"/>
      <c r="J1334" s="32"/>
      <c r="K1334" s="32"/>
      <c r="L1334" s="32"/>
      <c r="M1334" s="32"/>
      <c r="N1334" s="32"/>
      <c r="O1334" s="32"/>
      <c r="P1334" s="32"/>
      <c r="Q1334" s="32"/>
      <c r="R1334" s="32"/>
      <c r="S1334" s="32"/>
      <c r="T1334" s="32"/>
      <c r="U1334" s="32"/>
      <c r="V1334" s="32"/>
      <c r="W1334" s="32"/>
      <c r="X1334" s="32"/>
      <c r="Y1334" s="32"/>
      <c r="Z1334" s="32"/>
      <c r="AA1334" s="32"/>
      <c r="AB1334" s="32"/>
      <c r="AC1334" s="32"/>
      <c r="AD1334" s="32"/>
      <c r="AE1334" s="32"/>
      <c r="AF1334" s="32"/>
      <c r="AG1334" s="32"/>
      <c r="AH1334" s="32" t="b">
        <f>IFERROR(__xludf.DUMMYFUNCTION("""COMPUTED_VALUE"""),FALSE)</f>
        <v>0</v>
      </c>
      <c r="AI1334" s="32"/>
      <c r="AJ1334" s="32"/>
      <c r="AK1334" s="32"/>
      <c r="AL1334" s="32"/>
      <c r="AM1334" s="32"/>
      <c r="AN1334" s="32"/>
      <c r="AO1334" s="32"/>
      <c r="AP1334" s="32"/>
      <c r="AQ1334" s="32"/>
      <c r="AR1334" s="32"/>
      <c r="AS1334" s="32"/>
      <c r="AT1334" s="32"/>
      <c r="AU1334" s="32"/>
      <c r="AV1334" s="32"/>
      <c r="AW1334" s="32"/>
      <c r="AX1334" s="32"/>
    </row>
    <row r="1335">
      <c r="A1335" s="32"/>
      <c r="B1335" s="32"/>
      <c r="C1335" s="32"/>
      <c r="D1335" s="32"/>
      <c r="E1335" s="32">
        <f>IFERROR(__xludf.DUMMYFUNCTION("""COMPUTED_VALUE"""),1.0)</f>
        <v>1</v>
      </c>
      <c r="F1335" s="44">
        <f>IFERROR(__xludf.DUMMYFUNCTION("""COMPUTED_VALUE"""),0.0)</f>
        <v>0</v>
      </c>
      <c r="G1335" s="32"/>
      <c r="H1335" s="32"/>
      <c r="I1335" s="32"/>
      <c r="J1335" s="32"/>
      <c r="K1335" s="32"/>
      <c r="L1335" s="32"/>
      <c r="M1335" s="32"/>
      <c r="N1335" s="32"/>
      <c r="O1335" s="32"/>
      <c r="P1335" s="32"/>
      <c r="Q1335" s="32"/>
      <c r="R1335" s="32"/>
      <c r="S1335" s="32"/>
      <c r="T1335" s="32"/>
      <c r="U1335" s="32"/>
      <c r="V1335" s="32"/>
      <c r="W1335" s="32"/>
      <c r="X1335" s="32"/>
      <c r="Y1335" s="32"/>
      <c r="Z1335" s="32"/>
      <c r="AA1335" s="32"/>
      <c r="AB1335" s="32"/>
      <c r="AC1335" s="32"/>
      <c r="AD1335" s="32"/>
      <c r="AE1335" s="32"/>
      <c r="AF1335" s="32"/>
      <c r="AG1335" s="32"/>
      <c r="AH1335" s="32" t="b">
        <f>IFERROR(__xludf.DUMMYFUNCTION("""COMPUTED_VALUE"""),FALSE)</f>
        <v>0</v>
      </c>
      <c r="AI1335" s="32"/>
      <c r="AJ1335" s="32"/>
      <c r="AK1335" s="32"/>
      <c r="AL1335" s="32"/>
      <c r="AM1335" s="32"/>
      <c r="AN1335" s="32"/>
      <c r="AO1335" s="32"/>
      <c r="AP1335" s="32"/>
      <c r="AQ1335" s="32"/>
      <c r="AR1335" s="32"/>
      <c r="AS1335" s="32"/>
      <c r="AT1335" s="32"/>
      <c r="AU1335" s="32"/>
      <c r="AV1335" s="32"/>
      <c r="AW1335" s="32"/>
      <c r="AX1335" s="32"/>
    </row>
    <row r="1336">
      <c r="A1336" s="32"/>
      <c r="B1336" s="32"/>
      <c r="C1336" s="32"/>
      <c r="D1336" s="32"/>
      <c r="E1336" s="32">
        <f>IFERROR(__xludf.DUMMYFUNCTION("""COMPUTED_VALUE"""),1.0)</f>
        <v>1</v>
      </c>
      <c r="F1336" s="44">
        <f>IFERROR(__xludf.DUMMYFUNCTION("""COMPUTED_VALUE"""),0.0)</f>
        <v>0</v>
      </c>
      <c r="G1336" s="32"/>
      <c r="H1336" s="32"/>
      <c r="I1336" s="32"/>
      <c r="J1336" s="32"/>
      <c r="K1336" s="32"/>
      <c r="L1336" s="32"/>
      <c r="M1336" s="32"/>
      <c r="N1336" s="32"/>
      <c r="O1336" s="32"/>
      <c r="P1336" s="32"/>
      <c r="Q1336" s="32"/>
      <c r="R1336" s="32"/>
      <c r="S1336" s="32"/>
      <c r="T1336" s="32"/>
      <c r="U1336" s="32"/>
      <c r="V1336" s="32"/>
      <c r="W1336" s="32"/>
      <c r="X1336" s="32"/>
      <c r="Y1336" s="32"/>
      <c r="Z1336" s="32"/>
      <c r="AA1336" s="32"/>
      <c r="AB1336" s="32"/>
      <c r="AC1336" s="32"/>
      <c r="AD1336" s="32"/>
      <c r="AE1336" s="32"/>
      <c r="AF1336" s="32"/>
      <c r="AG1336" s="32"/>
      <c r="AH1336" s="32" t="b">
        <f>IFERROR(__xludf.DUMMYFUNCTION("""COMPUTED_VALUE"""),FALSE)</f>
        <v>0</v>
      </c>
      <c r="AI1336" s="32"/>
      <c r="AJ1336" s="32"/>
      <c r="AK1336" s="32"/>
      <c r="AL1336" s="32"/>
      <c r="AM1336" s="32"/>
      <c r="AN1336" s="32"/>
      <c r="AO1336" s="32"/>
      <c r="AP1336" s="32"/>
      <c r="AQ1336" s="32"/>
      <c r="AR1336" s="32"/>
      <c r="AS1336" s="32"/>
      <c r="AT1336" s="32"/>
      <c r="AU1336" s="32"/>
      <c r="AV1336" s="32"/>
      <c r="AW1336" s="32"/>
      <c r="AX1336" s="32"/>
    </row>
    <row r="1337">
      <c r="A1337" s="32"/>
      <c r="B1337" s="32"/>
      <c r="C1337" s="32"/>
      <c r="D1337" s="32"/>
      <c r="E1337" s="32">
        <f>IFERROR(__xludf.DUMMYFUNCTION("""COMPUTED_VALUE"""),1.0)</f>
        <v>1</v>
      </c>
      <c r="F1337" s="44">
        <f>IFERROR(__xludf.DUMMYFUNCTION("""COMPUTED_VALUE"""),0.0)</f>
        <v>0</v>
      </c>
      <c r="G1337" s="32"/>
      <c r="H1337" s="32"/>
      <c r="I1337" s="32"/>
      <c r="J1337" s="32"/>
      <c r="K1337" s="32"/>
      <c r="L1337" s="32"/>
      <c r="M1337" s="32"/>
      <c r="N1337" s="32"/>
      <c r="O1337" s="32"/>
      <c r="P1337" s="32"/>
      <c r="Q1337" s="32"/>
      <c r="R1337" s="32"/>
      <c r="S1337" s="32"/>
      <c r="T1337" s="32"/>
      <c r="U1337" s="32"/>
      <c r="V1337" s="32"/>
      <c r="W1337" s="32"/>
      <c r="X1337" s="32"/>
      <c r="Y1337" s="32"/>
      <c r="Z1337" s="32"/>
      <c r="AA1337" s="32"/>
      <c r="AB1337" s="32"/>
      <c r="AC1337" s="32"/>
      <c r="AD1337" s="32"/>
      <c r="AE1337" s="32"/>
      <c r="AF1337" s="32"/>
      <c r="AG1337" s="32"/>
      <c r="AH1337" s="32" t="b">
        <f>IFERROR(__xludf.DUMMYFUNCTION("""COMPUTED_VALUE"""),FALSE)</f>
        <v>0</v>
      </c>
      <c r="AI1337" s="32"/>
      <c r="AJ1337" s="32"/>
      <c r="AK1337" s="32"/>
      <c r="AL1337" s="32"/>
      <c r="AM1337" s="32"/>
      <c r="AN1337" s="32"/>
      <c r="AO1337" s="32"/>
      <c r="AP1337" s="32"/>
      <c r="AQ1337" s="32"/>
      <c r="AR1337" s="32"/>
      <c r="AS1337" s="32"/>
      <c r="AT1337" s="32"/>
      <c r="AU1337" s="32"/>
      <c r="AV1337" s="32"/>
      <c r="AW1337" s="32"/>
      <c r="AX1337" s="32"/>
    </row>
    <row r="1338">
      <c r="A1338" s="32"/>
      <c r="B1338" s="32"/>
      <c r="C1338" s="32"/>
      <c r="D1338" s="32"/>
      <c r="E1338" s="32">
        <f>IFERROR(__xludf.DUMMYFUNCTION("""COMPUTED_VALUE"""),1.0)</f>
        <v>1</v>
      </c>
      <c r="F1338" s="44">
        <f>IFERROR(__xludf.DUMMYFUNCTION("""COMPUTED_VALUE"""),0.0)</f>
        <v>0</v>
      </c>
      <c r="G1338" s="32"/>
      <c r="H1338" s="32"/>
      <c r="I1338" s="32"/>
      <c r="J1338" s="32"/>
      <c r="K1338" s="32"/>
      <c r="L1338" s="32"/>
      <c r="M1338" s="32"/>
      <c r="N1338" s="32"/>
      <c r="O1338" s="32"/>
      <c r="P1338" s="32"/>
      <c r="Q1338" s="32"/>
      <c r="R1338" s="32"/>
      <c r="S1338" s="32"/>
      <c r="T1338" s="32"/>
      <c r="U1338" s="32"/>
      <c r="V1338" s="32"/>
      <c r="W1338" s="32"/>
      <c r="X1338" s="32"/>
      <c r="Y1338" s="32"/>
      <c r="Z1338" s="32"/>
      <c r="AA1338" s="32"/>
      <c r="AB1338" s="32"/>
      <c r="AC1338" s="32"/>
      <c r="AD1338" s="32"/>
      <c r="AE1338" s="32"/>
      <c r="AF1338" s="32"/>
      <c r="AG1338" s="32"/>
      <c r="AH1338" s="32" t="b">
        <f>IFERROR(__xludf.DUMMYFUNCTION("""COMPUTED_VALUE"""),FALSE)</f>
        <v>0</v>
      </c>
      <c r="AI1338" s="32"/>
      <c r="AJ1338" s="32"/>
      <c r="AK1338" s="32"/>
      <c r="AL1338" s="32"/>
      <c r="AM1338" s="32"/>
      <c r="AN1338" s="32"/>
      <c r="AO1338" s="32"/>
      <c r="AP1338" s="32"/>
      <c r="AQ1338" s="32"/>
      <c r="AR1338" s="32"/>
      <c r="AS1338" s="32"/>
      <c r="AT1338" s="32"/>
      <c r="AU1338" s="32"/>
      <c r="AV1338" s="32"/>
      <c r="AW1338" s="32"/>
      <c r="AX1338" s="32"/>
    </row>
    <row r="1339">
      <c r="A1339" s="32"/>
      <c r="B1339" s="32"/>
      <c r="C1339" s="32"/>
      <c r="D1339" s="32"/>
      <c r="E1339" s="32">
        <f>IFERROR(__xludf.DUMMYFUNCTION("""COMPUTED_VALUE"""),1.0)</f>
        <v>1</v>
      </c>
      <c r="F1339" s="44">
        <f>IFERROR(__xludf.DUMMYFUNCTION("""COMPUTED_VALUE"""),0.0)</f>
        <v>0</v>
      </c>
      <c r="G1339" s="32"/>
      <c r="H1339" s="32"/>
      <c r="I1339" s="32"/>
      <c r="J1339" s="32"/>
      <c r="K1339" s="32"/>
      <c r="L1339" s="32"/>
      <c r="M1339" s="32"/>
      <c r="N1339" s="32"/>
      <c r="O1339" s="32"/>
      <c r="P1339" s="32"/>
      <c r="Q1339" s="32"/>
      <c r="R1339" s="32"/>
      <c r="S1339" s="32"/>
      <c r="T1339" s="32"/>
      <c r="U1339" s="32"/>
      <c r="V1339" s="32"/>
      <c r="W1339" s="32"/>
      <c r="X1339" s="32"/>
      <c r="Y1339" s="32"/>
      <c r="Z1339" s="32"/>
      <c r="AA1339" s="32"/>
      <c r="AB1339" s="32"/>
      <c r="AC1339" s="32"/>
      <c r="AD1339" s="32"/>
      <c r="AE1339" s="32"/>
      <c r="AF1339" s="32"/>
      <c r="AG1339" s="32"/>
      <c r="AH1339" s="32" t="b">
        <f>IFERROR(__xludf.DUMMYFUNCTION("""COMPUTED_VALUE"""),FALSE)</f>
        <v>0</v>
      </c>
      <c r="AI1339" s="32"/>
      <c r="AJ1339" s="32"/>
      <c r="AK1339" s="32"/>
      <c r="AL1339" s="32"/>
      <c r="AM1339" s="32"/>
      <c r="AN1339" s="32"/>
      <c r="AO1339" s="32"/>
      <c r="AP1339" s="32"/>
      <c r="AQ1339" s="32"/>
      <c r="AR1339" s="32"/>
      <c r="AS1339" s="32"/>
      <c r="AT1339" s="32"/>
      <c r="AU1339" s="32"/>
      <c r="AV1339" s="32"/>
      <c r="AW1339" s="32"/>
      <c r="AX1339" s="32"/>
    </row>
    <row r="1340">
      <c r="A1340" s="32"/>
      <c r="B1340" s="32"/>
      <c r="C1340" s="32"/>
      <c r="D1340" s="32"/>
      <c r="E1340" s="32">
        <f>IFERROR(__xludf.DUMMYFUNCTION("""COMPUTED_VALUE"""),1.0)</f>
        <v>1</v>
      </c>
      <c r="F1340" s="44">
        <f>IFERROR(__xludf.DUMMYFUNCTION("""COMPUTED_VALUE"""),0.0)</f>
        <v>0</v>
      </c>
      <c r="G1340" s="32"/>
      <c r="H1340" s="32"/>
      <c r="I1340" s="32"/>
      <c r="J1340" s="32"/>
      <c r="K1340" s="32"/>
      <c r="L1340" s="32"/>
      <c r="M1340" s="32"/>
      <c r="N1340" s="32"/>
      <c r="O1340" s="32"/>
      <c r="P1340" s="32"/>
      <c r="Q1340" s="32"/>
      <c r="R1340" s="32"/>
      <c r="S1340" s="32"/>
      <c r="T1340" s="32"/>
      <c r="U1340" s="32"/>
      <c r="V1340" s="32"/>
      <c r="W1340" s="32"/>
      <c r="X1340" s="32"/>
      <c r="Y1340" s="32"/>
      <c r="Z1340" s="32"/>
      <c r="AA1340" s="32"/>
      <c r="AB1340" s="32"/>
      <c r="AC1340" s="32"/>
      <c r="AD1340" s="32"/>
      <c r="AE1340" s="32"/>
      <c r="AF1340" s="32"/>
      <c r="AG1340" s="32"/>
      <c r="AH1340" s="32" t="b">
        <f>IFERROR(__xludf.DUMMYFUNCTION("""COMPUTED_VALUE"""),FALSE)</f>
        <v>0</v>
      </c>
      <c r="AI1340" s="32"/>
      <c r="AJ1340" s="32"/>
      <c r="AK1340" s="32"/>
      <c r="AL1340" s="32"/>
      <c r="AM1340" s="32"/>
      <c r="AN1340" s="32"/>
      <c r="AO1340" s="32"/>
      <c r="AP1340" s="32"/>
      <c r="AQ1340" s="32"/>
      <c r="AR1340" s="32"/>
      <c r="AS1340" s="32"/>
      <c r="AT1340" s="32"/>
      <c r="AU1340" s="32"/>
      <c r="AV1340" s="32"/>
      <c r="AW1340" s="32"/>
      <c r="AX1340" s="32"/>
    </row>
    <row r="1341">
      <c r="A1341" s="32"/>
      <c r="B1341" s="32"/>
      <c r="C1341" s="32"/>
      <c r="D1341" s="32"/>
      <c r="E1341" s="32">
        <f>IFERROR(__xludf.DUMMYFUNCTION("""COMPUTED_VALUE"""),1.0)</f>
        <v>1</v>
      </c>
      <c r="F1341" s="44">
        <f>IFERROR(__xludf.DUMMYFUNCTION("""COMPUTED_VALUE"""),0.0)</f>
        <v>0</v>
      </c>
      <c r="G1341" s="32"/>
      <c r="H1341" s="32"/>
      <c r="I1341" s="32"/>
      <c r="J1341" s="32"/>
      <c r="K1341" s="32"/>
      <c r="L1341" s="32"/>
      <c r="M1341" s="32"/>
      <c r="N1341" s="32"/>
      <c r="O1341" s="32"/>
      <c r="P1341" s="32"/>
      <c r="Q1341" s="32"/>
      <c r="R1341" s="32"/>
      <c r="S1341" s="32"/>
      <c r="T1341" s="32"/>
      <c r="U1341" s="32"/>
      <c r="V1341" s="32"/>
      <c r="W1341" s="32"/>
      <c r="X1341" s="32"/>
      <c r="Y1341" s="32"/>
      <c r="Z1341" s="32"/>
      <c r="AA1341" s="32"/>
      <c r="AB1341" s="32"/>
      <c r="AC1341" s="32"/>
      <c r="AD1341" s="32"/>
      <c r="AE1341" s="32"/>
      <c r="AF1341" s="32"/>
      <c r="AG1341" s="32"/>
      <c r="AH1341" s="32" t="b">
        <f>IFERROR(__xludf.DUMMYFUNCTION("""COMPUTED_VALUE"""),FALSE)</f>
        <v>0</v>
      </c>
      <c r="AI1341" s="32"/>
      <c r="AJ1341" s="32"/>
      <c r="AK1341" s="32"/>
      <c r="AL1341" s="32"/>
      <c r="AM1341" s="32"/>
      <c r="AN1341" s="32"/>
      <c r="AO1341" s="32"/>
      <c r="AP1341" s="32"/>
      <c r="AQ1341" s="32"/>
      <c r="AR1341" s="32"/>
      <c r="AS1341" s="32"/>
      <c r="AT1341" s="32"/>
      <c r="AU1341" s="32"/>
      <c r="AV1341" s="32"/>
      <c r="AW1341" s="32"/>
      <c r="AX1341" s="32"/>
    </row>
    <row r="1342">
      <c r="A1342" s="32"/>
      <c r="B1342" s="32"/>
      <c r="C1342" s="32"/>
      <c r="D1342" s="32"/>
      <c r="E1342" s="32">
        <f>IFERROR(__xludf.DUMMYFUNCTION("""COMPUTED_VALUE"""),1.0)</f>
        <v>1</v>
      </c>
      <c r="F1342" s="44">
        <f>IFERROR(__xludf.DUMMYFUNCTION("""COMPUTED_VALUE"""),0.0)</f>
        <v>0</v>
      </c>
      <c r="G1342" s="32"/>
      <c r="H1342" s="32"/>
      <c r="I1342" s="32"/>
      <c r="J1342" s="32"/>
      <c r="K1342" s="32"/>
      <c r="L1342" s="32"/>
      <c r="M1342" s="32"/>
      <c r="N1342" s="32"/>
      <c r="O1342" s="32"/>
      <c r="P1342" s="32"/>
      <c r="Q1342" s="32"/>
      <c r="R1342" s="32"/>
      <c r="S1342" s="32"/>
      <c r="T1342" s="32"/>
      <c r="U1342" s="32"/>
      <c r="V1342" s="32"/>
      <c r="W1342" s="32"/>
      <c r="X1342" s="32"/>
      <c r="Y1342" s="32"/>
      <c r="Z1342" s="32"/>
      <c r="AA1342" s="32"/>
      <c r="AB1342" s="32"/>
      <c r="AC1342" s="32"/>
      <c r="AD1342" s="32"/>
      <c r="AE1342" s="32"/>
      <c r="AF1342" s="32"/>
      <c r="AG1342" s="32"/>
      <c r="AH1342" s="32" t="b">
        <f>IFERROR(__xludf.DUMMYFUNCTION("""COMPUTED_VALUE"""),FALSE)</f>
        <v>0</v>
      </c>
      <c r="AI1342" s="32"/>
      <c r="AJ1342" s="32"/>
      <c r="AK1342" s="32"/>
      <c r="AL1342" s="32"/>
      <c r="AM1342" s="32"/>
      <c r="AN1342" s="32"/>
      <c r="AO1342" s="32"/>
      <c r="AP1342" s="32"/>
      <c r="AQ1342" s="32"/>
      <c r="AR1342" s="32"/>
      <c r="AS1342" s="32"/>
      <c r="AT1342" s="32"/>
      <c r="AU1342" s="32"/>
      <c r="AV1342" s="32"/>
      <c r="AW1342" s="32"/>
      <c r="AX1342" s="32"/>
    </row>
    <row r="1343">
      <c r="A1343" s="32"/>
      <c r="B1343" s="32"/>
      <c r="C1343" s="32"/>
      <c r="D1343" s="32"/>
      <c r="E1343" s="32">
        <f>IFERROR(__xludf.DUMMYFUNCTION("""COMPUTED_VALUE"""),1.0)</f>
        <v>1</v>
      </c>
      <c r="F1343" s="44">
        <f>IFERROR(__xludf.DUMMYFUNCTION("""COMPUTED_VALUE"""),0.0)</f>
        <v>0</v>
      </c>
      <c r="G1343" s="32"/>
      <c r="H1343" s="32"/>
      <c r="I1343" s="32"/>
      <c r="J1343" s="32"/>
      <c r="K1343" s="32"/>
      <c r="L1343" s="32"/>
      <c r="M1343" s="32"/>
      <c r="N1343" s="32"/>
      <c r="O1343" s="32"/>
      <c r="P1343" s="32"/>
      <c r="Q1343" s="32"/>
      <c r="R1343" s="32"/>
      <c r="S1343" s="32"/>
      <c r="T1343" s="32"/>
      <c r="U1343" s="32"/>
      <c r="V1343" s="32"/>
      <c r="W1343" s="32"/>
      <c r="X1343" s="32"/>
      <c r="Y1343" s="32"/>
      <c r="Z1343" s="32"/>
      <c r="AA1343" s="32"/>
      <c r="AB1343" s="32"/>
      <c r="AC1343" s="32"/>
      <c r="AD1343" s="32"/>
      <c r="AE1343" s="32"/>
      <c r="AF1343" s="32"/>
      <c r="AG1343" s="32"/>
      <c r="AH1343" s="32" t="b">
        <f>IFERROR(__xludf.DUMMYFUNCTION("""COMPUTED_VALUE"""),FALSE)</f>
        <v>0</v>
      </c>
      <c r="AI1343" s="32"/>
      <c r="AJ1343" s="32"/>
      <c r="AK1343" s="32"/>
      <c r="AL1343" s="32"/>
      <c r="AM1343" s="32"/>
      <c r="AN1343" s="32"/>
      <c r="AO1343" s="32"/>
      <c r="AP1343" s="32"/>
      <c r="AQ1343" s="32"/>
      <c r="AR1343" s="32"/>
      <c r="AS1343" s="32"/>
      <c r="AT1343" s="32"/>
      <c r="AU1343" s="32"/>
      <c r="AV1343" s="32"/>
      <c r="AW1343" s="32"/>
      <c r="AX1343" s="32"/>
    </row>
    <row r="1344">
      <c r="A1344" s="32"/>
      <c r="B1344" s="32"/>
      <c r="C1344" s="32"/>
      <c r="D1344" s="32"/>
      <c r="E1344" s="32">
        <f>IFERROR(__xludf.DUMMYFUNCTION("""COMPUTED_VALUE"""),1.0)</f>
        <v>1</v>
      </c>
      <c r="F1344" s="44">
        <f>IFERROR(__xludf.DUMMYFUNCTION("""COMPUTED_VALUE"""),0.0)</f>
        <v>0</v>
      </c>
      <c r="G1344" s="32"/>
      <c r="H1344" s="32"/>
      <c r="I1344" s="32"/>
      <c r="J1344" s="32"/>
      <c r="K1344" s="32"/>
      <c r="L1344" s="32"/>
      <c r="M1344" s="32"/>
      <c r="N1344" s="32"/>
      <c r="O1344" s="32"/>
      <c r="P1344" s="32"/>
      <c r="Q1344" s="32"/>
      <c r="R1344" s="32"/>
      <c r="S1344" s="32"/>
      <c r="T1344" s="32"/>
      <c r="U1344" s="32"/>
      <c r="V1344" s="32"/>
      <c r="W1344" s="32"/>
      <c r="X1344" s="32"/>
      <c r="Y1344" s="32"/>
      <c r="Z1344" s="32"/>
      <c r="AA1344" s="32"/>
      <c r="AB1344" s="32"/>
      <c r="AC1344" s="32"/>
      <c r="AD1344" s="32"/>
      <c r="AE1344" s="32"/>
      <c r="AF1344" s="32"/>
      <c r="AG1344" s="32"/>
      <c r="AH1344" s="32" t="b">
        <f>IFERROR(__xludf.DUMMYFUNCTION("""COMPUTED_VALUE"""),FALSE)</f>
        <v>0</v>
      </c>
      <c r="AI1344" s="32"/>
      <c r="AJ1344" s="32"/>
      <c r="AK1344" s="32"/>
      <c r="AL1344" s="32"/>
      <c r="AM1344" s="32"/>
      <c r="AN1344" s="32"/>
      <c r="AO1344" s="32"/>
      <c r="AP1344" s="32"/>
      <c r="AQ1344" s="32"/>
      <c r="AR1344" s="32"/>
      <c r="AS1344" s="32"/>
      <c r="AT1344" s="32"/>
      <c r="AU1344" s="32"/>
      <c r="AV1344" s="32"/>
      <c r="AW1344" s="32"/>
      <c r="AX1344" s="32"/>
    </row>
    <row r="1345">
      <c r="A1345" s="32"/>
      <c r="B1345" s="32"/>
      <c r="C1345" s="32"/>
      <c r="D1345" s="32"/>
      <c r="E1345" s="32">
        <f>IFERROR(__xludf.DUMMYFUNCTION("""COMPUTED_VALUE"""),1.0)</f>
        <v>1</v>
      </c>
      <c r="F1345" s="44">
        <f>IFERROR(__xludf.DUMMYFUNCTION("""COMPUTED_VALUE"""),0.0)</f>
        <v>0</v>
      </c>
      <c r="G1345" s="32"/>
      <c r="H1345" s="32"/>
      <c r="I1345" s="32"/>
      <c r="J1345" s="32"/>
      <c r="K1345" s="32"/>
      <c r="L1345" s="32"/>
      <c r="M1345" s="32"/>
      <c r="N1345" s="32"/>
      <c r="O1345" s="32"/>
      <c r="P1345" s="32"/>
      <c r="Q1345" s="32"/>
      <c r="R1345" s="32"/>
      <c r="S1345" s="32"/>
      <c r="T1345" s="32"/>
      <c r="U1345" s="32"/>
      <c r="V1345" s="32"/>
      <c r="W1345" s="32"/>
      <c r="X1345" s="32"/>
      <c r="Y1345" s="32"/>
      <c r="Z1345" s="32"/>
      <c r="AA1345" s="32"/>
      <c r="AB1345" s="32"/>
      <c r="AC1345" s="32"/>
      <c r="AD1345" s="32"/>
      <c r="AE1345" s="32"/>
      <c r="AF1345" s="32"/>
      <c r="AG1345" s="32"/>
      <c r="AH1345" s="32" t="b">
        <f>IFERROR(__xludf.DUMMYFUNCTION("""COMPUTED_VALUE"""),FALSE)</f>
        <v>0</v>
      </c>
      <c r="AI1345" s="32"/>
      <c r="AJ1345" s="32"/>
      <c r="AK1345" s="32"/>
      <c r="AL1345" s="32"/>
      <c r="AM1345" s="32"/>
      <c r="AN1345" s="32"/>
      <c r="AO1345" s="32"/>
      <c r="AP1345" s="32"/>
      <c r="AQ1345" s="32"/>
      <c r="AR1345" s="32"/>
      <c r="AS1345" s="32"/>
      <c r="AT1345" s="32"/>
      <c r="AU1345" s="32"/>
      <c r="AV1345" s="32"/>
      <c r="AW1345" s="32"/>
      <c r="AX1345" s="32"/>
    </row>
    <row r="1346">
      <c r="A1346" s="32"/>
      <c r="B1346" s="32"/>
      <c r="C1346" s="32"/>
      <c r="D1346" s="32"/>
      <c r="E1346" s="32">
        <f>IFERROR(__xludf.DUMMYFUNCTION("""COMPUTED_VALUE"""),1.0)</f>
        <v>1</v>
      </c>
      <c r="F1346" s="44">
        <f>IFERROR(__xludf.DUMMYFUNCTION("""COMPUTED_VALUE"""),0.0)</f>
        <v>0</v>
      </c>
      <c r="G1346" s="32"/>
      <c r="H1346" s="32"/>
      <c r="I1346" s="32"/>
      <c r="J1346" s="32"/>
      <c r="K1346" s="32"/>
      <c r="L1346" s="32"/>
      <c r="M1346" s="32"/>
      <c r="N1346" s="32"/>
      <c r="O1346" s="32"/>
      <c r="P1346" s="32"/>
      <c r="Q1346" s="32"/>
      <c r="R1346" s="32"/>
      <c r="S1346" s="32"/>
      <c r="T1346" s="32"/>
      <c r="U1346" s="32"/>
      <c r="V1346" s="32"/>
      <c r="W1346" s="32"/>
      <c r="X1346" s="32"/>
      <c r="Y1346" s="32"/>
      <c r="Z1346" s="32"/>
      <c r="AA1346" s="32"/>
      <c r="AB1346" s="32"/>
      <c r="AC1346" s="32"/>
      <c r="AD1346" s="32"/>
      <c r="AE1346" s="32"/>
      <c r="AF1346" s="32"/>
      <c r="AG1346" s="32"/>
      <c r="AH1346" s="32" t="b">
        <f>IFERROR(__xludf.DUMMYFUNCTION("""COMPUTED_VALUE"""),FALSE)</f>
        <v>0</v>
      </c>
      <c r="AI1346" s="32"/>
      <c r="AJ1346" s="32"/>
      <c r="AK1346" s="32"/>
      <c r="AL1346" s="32"/>
      <c r="AM1346" s="32"/>
      <c r="AN1346" s="32"/>
      <c r="AO1346" s="32"/>
      <c r="AP1346" s="32"/>
      <c r="AQ1346" s="32"/>
      <c r="AR1346" s="32"/>
      <c r="AS1346" s="32"/>
      <c r="AT1346" s="32"/>
      <c r="AU1346" s="32"/>
      <c r="AV1346" s="32"/>
      <c r="AW1346" s="32"/>
      <c r="AX1346" s="32"/>
    </row>
    <row r="1347">
      <c r="A1347" s="32"/>
      <c r="B1347" s="32"/>
      <c r="C1347" s="32"/>
      <c r="D1347" s="32"/>
      <c r="E1347" s="32">
        <f>IFERROR(__xludf.DUMMYFUNCTION("""COMPUTED_VALUE"""),1.0)</f>
        <v>1</v>
      </c>
      <c r="F1347" s="44">
        <f>IFERROR(__xludf.DUMMYFUNCTION("""COMPUTED_VALUE"""),0.0)</f>
        <v>0</v>
      </c>
      <c r="G1347" s="32"/>
      <c r="H1347" s="32"/>
      <c r="I1347" s="32"/>
      <c r="J1347" s="32"/>
      <c r="K1347" s="32"/>
      <c r="L1347" s="32"/>
      <c r="M1347" s="32"/>
      <c r="N1347" s="32"/>
      <c r="O1347" s="32"/>
      <c r="P1347" s="32"/>
      <c r="Q1347" s="32"/>
      <c r="R1347" s="32"/>
      <c r="S1347" s="32"/>
      <c r="T1347" s="32"/>
      <c r="U1347" s="32"/>
      <c r="V1347" s="32"/>
      <c r="W1347" s="32"/>
      <c r="X1347" s="32"/>
      <c r="Y1347" s="32"/>
      <c r="Z1347" s="32"/>
      <c r="AA1347" s="32"/>
      <c r="AB1347" s="32"/>
      <c r="AC1347" s="32"/>
      <c r="AD1347" s="32"/>
      <c r="AE1347" s="32"/>
      <c r="AF1347" s="32"/>
      <c r="AG1347" s="32"/>
      <c r="AH1347" s="32" t="b">
        <f>IFERROR(__xludf.DUMMYFUNCTION("""COMPUTED_VALUE"""),FALSE)</f>
        <v>0</v>
      </c>
      <c r="AI1347" s="32"/>
      <c r="AJ1347" s="32"/>
      <c r="AK1347" s="32"/>
      <c r="AL1347" s="32"/>
      <c r="AM1347" s="32"/>
      <c r="AN1347" s="32"/>
      <c r="AO1347" s="32"/>
      <c r="AP1347" s="32"/>
      <c r="AQ1347" s="32"/>
      <c r="AR1347" s="32"/>
      <c r="AS1347" s="32"/>
      <c r="AT1347" s="32"/>
      <c r="AU1347" s="32"/>
      <c r="AV1347" s="32"/>
      <c r="AW1347" s="32"/>
      <c r="AX1347" s="32"/>
    </row>
    <row r="1348">
      <c r="A1348" s="32"/>
      <c r="B1348" s="32"/>
      <c r="C1348" s="32"/>
      <c r="D1348" s="32"/>
      <c r="E1348" s="32">
        <f>IFERROR(__xludf.DUMMYFUNCTION("""COMPUTED_VALUE"""),1.0)</f>
        <v>1</v>
      </c>
      <c r="F1348" s="44">
        <f>IFERROR(__xludf.DUMMYFUNCTION("""COMPUTED_VALUE"""),0.0)</f>
        <v>0</v>
      </c>
      <c r="G1348" s="32"/>
      <c r="H1348" s="32"/>
      <c r="I1348" s="32"/>
      <c r="J1348" s="32"/>
      <c r="K1348" s="32"/>
      <c r="L1348" s="32"/>
      <c r="M1348" s="32"/>
      <c r="N1348" s="32"/>
      <c r="O1348" s="32"/>
      <c r="P1348" s="32"/>
      <c r="Q1348" s="32"/>
      <c r="R1348" s="32"/>
      <c r="S1348" s="32"/>
      <c r="T1348" s="32"/>
      <c r="U1348" s="32"/>
      <c r="V1348" s="32"/>
      <c r="W1348" s="32"/>
      <c r="X1348" s="32"/>
      <c r="Y1348" s="32"/>
      <c r="Z1348" s="32"/>
      <c r="AA1348" s="32"/>
      <c r="AB1348" s="32"/>
      <c r="AC1348" s="32"/>
      <c r="AD1348" s="32"/>
      <c r="AE1348" s="32"/>
      <c r="AF1348" s="32"/>
      <c r="AG1348" s="32"/>
      <c r="AH1348" s="32" t="b">
        <f>IFERROR(__xludf.DUMMYFUNCTION("""COMPUTED_VALUE"""),FALSE)</f>
        <v>0</v>
      </c>
      <c r="AI1348" s="32"/>
      <c r="AJ1348" s="32"/>
      <c r="AK1348" s="32"/>
      <c r="AL1348" s="32"/>
      <c r="AM1348" s="32"/>
      <c r="AN1348" s="32"/>
      <c r="AO1348" s="32"/>
      <c r="AP1348" s="32"/>
      <c r="AQ1348" s="32"/>
      <c r="AR1348" s="32"/>
      <c r="AS1348" s="32"/>
      <c r="AT1348" s="32"/>
      <c r="AU1348" s="32"/>
      <c r="AV1348" s="32"/>
      <c r="AW1348" s="32"/>
      <c r="AX1348" s="32"/>
    </row>
    <row r="1349">
      <c r="A1349" s="32"/>
      <c r="B1349" s="32"/>
      <c r="C1349" s="32"/>
      <c r="D1349" s="32"/>
      <c r="E1349" s="32">
        <f>IFERROR(__xludf.DUMMYFUNCTION("""COMPUTED_VALUE"""),1.0)</f>
        <v>1</v>
      </c>
      <c r="F1349" s="44">
        <f>IFERROR(__xludf.DUMMYFUNCTION("""COMPUTED_VALUE"""),0.0)</f>
        <v>0</v>
      </c>
      <c r="G1349" s="32"/>
      <c r="H1349" s="32"/>
      <c r="I1349" s="32"/>
      <c r="J1349" s="32"/>
      <c r="K1349" s="32"/>
      <c r="L1349" s="32"/>
      <c r="M1349" s="32"/>
      <c r="N1349" s="32"/>
      <c r="O1349" s="32"/>
      <c r="P1349" s="32"/>
      <c r="Q1349" s="32"/>
      <c r="R1349" s="32"/>
      <c r="S1349" s="32"/>
      <c r="T1349" s="32"/>
      <c r="U1349" s="32"/>
      <c r="V1349" s="32"/>
      <c r="W1349" s="32"/>
      <c r="X1349" s="32"/>
      <c r="Y1349" s="32"/>
      <c r="Z1349" s="32"/>
      <c r="AA1349" s="32"/>
      <c r="AB1349" s="32"/>
      <c r="AC1349" s="32"/>
      <c r="AD1349" s="32"/>
      <c r="AE1349" s="32"/>
      <c r="AF1349" s="32"/>
      <c r="AG1349" s="32"/>
      <c r="AH1349" s="32" t="b">
        <f>IFERROR(__xludf.DUMMYFUNCTION("""COMPUTED_VALUE"""),FALSE)</f>
        <v>0</v>
      </c>
      <c r="AI1349" s="32"/>
      <c r="AJ1349" s="32"/>
      <c r="AK1349" s="32"/>
      <c r="AL1349" s="32"/>
      <c r="AM1349" s="32"/>
      <c r="AN1349" s="32"/>
      <c r="AO1349" s="32"/>
      <c r="AP1349" s="32"/>
      <c r="AQ1349" s="32"/>
      <c r="AR1349" s="32"/>
      <c r="AS1349" s="32"/>
      <c r="AT1349" s="32"/>
      <c r="AU1349" s="32"/>
      <c r="AV1349" s="32"/>
      <c r="AW1349" s="32"/>
      <c r="AX1349" s="32"/>
    </row>
    <row r="1350">
      <c r="A1350" s="32"/>
      <c r="B1350" s="32"/>
      <c r="C1350" s="32"/>
      <c r="D1350" s="32"/>
      <c r="E1350" s="32">
        <f>IFERROR(__xludf.DUMMYFUNCTION("""COMPUTED_VALUE"""),1.0)</f>
        <v>1</v>
      </c>
      <c r="F1350" s="44">
        <f>IFERROR(__xludf.DUMMYFUNCTION("""COMPUTED_VALUE"""),0.0)</f>
        <v>0</v>
      </c>
      <c r="G1350" s="32"/>
      <c r="H1350" s="32"/>
      <c r="I1350" s="32"/>
      <c r="J1350" s="32"/>
      <c r="K1350" s="32"/>
      <c r="L1350" s="32"/>
      <c r="M1350" s="32"/>
      <c r="N1350" s="32"/>
      <c r="O1350" s="32"/>
      <c r="P1350" s="32"/>
      <c r="Q1350" s="32"/>
      <c r="R1350" s="32"/>
      <c r="S1350" s="32"/>
      <c r="T1350" s="32"/>
      <c r="U1350" s="32"/>
      <c r="V1350" s="32"/>
      <c r="W1350" s="32"/>
      <c r="X1350" s="32"/>
      <c r="Y1350" s="32"/>
      <c r="Z1350" s="32"/>
      <c r="AA1350" s="32"/>
      <c r="AB1350" s="32"/>
      <c r="AC1350" s="32"/>
      <c r="AD1350" s="32"/>
      <c r="AE1350" s="32"/>
      <c r="AF1350" s="32"/>
      <c r="AG1350" s="32"/>
      <c r="AH1350" s="32" t="b">
        <f>IFERROR(__xludf.DUMMYFUNCTION("""COMPUTED_VALUE"""),FALSE)</f>
        <v>0</v>
      </c>
      <c r="AI1350" s="32"/>
      <c r="AJ1350" s="32"/>
      <c r="AK1350" s="32"/>
      <c r="AL1350" s="32"/>
      <c r="AM1350" s="32"/>
      <c r="AN1350" s="32"/>
      <c r="AO1350" s="32"/>
      <c r="AP1350" s="32"/>
      <c r="AQ1350" s="32"/>
      <c r="AR1350" s="32"/>
      <c r="AS1350" s="32"/>
      <c r="AT1350" s="32"/>
      <c r="AU1350" s="32"/>
      <c r="AV1350" s="32"/>
      <c r="AW1350" s="32"/>
      <c r="AX1350" s="32"/>
    </row>
    <row r="1351">
      <c r="A1351" s="32"/>
      <c r="B1351" s="32"/>
      <c r="C1351" s="32"/>
      <c r="D1351" s="32"/>
      <c r="E1351" s="32">
        <f>IFERROR(__xludf.DUMMYFUNCTION("""COMPUTED_VALUE"""),1.0)</f>
        <v>1</v>
      </c>
      <c r="F1351" s="44">
        <f>IFERROR(__xludf.DUMMYFUNCTION("""COMPUTED_VALUE"""),0.0)</f>
        <v>0</v>
      </c>
      <c r="G1351" s="32"/>
      <c r="H1351" s="32"/>
      <c r="I1351" s="32"/>
      <c r="J1351" s="32"/>
      <c r="K1351" s="32"/>
      <c r="L1351" s="32"/>
      <c r="M1351" s="32"/>
      <c r="N1351" s="32"/>
      <c r="O1351" s="32"/>
      <c r="P1351" s="32"/>
      <c r="Q1351" s="32"/>
      <c r="R1351" s="32"/>
      <c r="S1351" s="32"/>
      <c r="T1351" s="32"/>
      <c r="U1351" s="32"/>
      <c r="V1351" s="32"/>
      <c r="W1351" s="32"/>
      <c r="X1351" s="32"/>
      <c r="Y1351" s="32"/>
      <c r="Z1351" s="32"/>
      <c r="AA1351" s="32"/>
      <c r="AB1351" s="32"/>
      <c r="AC1351" s="32"/>
      <c r="AD1351" s="32"/>
      <c r="AE1351" s="32"/>
      <c r="AF1351" s="32"/>
      <c r="AG1351" s="32"/>
      <c r="AH1351" s="32" t="b">
        <f>IFERROR(__xludf.DUMMYFUNCTION("""COMPUTED_VALUE"""),FALSE)</f>
        <v>0</v>
      </c>
      <c r="AI1351" s="32"/>
      <c r="AJ1351" s="32"/>
      <c r="AK1351" s="32"/>
      <c r="AL1351" s="32"/>
      <c r="AM1351" s="32"/>
      <c r="AN1351" s="32"/>
      <c r="AO1351" s="32"/>
      <c r="AP1351" s="32"/>
      <c r="AQ1351" s="32"/>
      <c r="AR1351" s="32"/>
      <c r="AS1351" s="32"/>
      <c r="AT1351" s="32"/>
      <c r="AU1351" s="32"/>
      <c r="AV1351" s="32"/>
      <c r="AW1351" s="32"/>
      <c r="AX1351" s="32"/>
    </row>
    <row r="1352">
      <c r="A1352" s="32"/>
      <c r="B1352" s="32"/>
      <c r="C1352" s="32"/>
      <c r="D1352" s="32"/>
      <c r="E1352" s="32">
        <f>IFERROR(__xludf.DUMMYFUNCTION("""COMPUTED_VALUE"""),1.0)</f>
        <v>1</v>
      </c>
      <c r="F1352" s="44">
        <f>IFERROR(__xludf.DUMMYFUNCTION("""COMPUTED_VALUE"""),0.0)</f>
        <v>0</v>
      </c>
      <c r="G1352" s="32"/>
      <c r="H1352" s="32"/>
      <c r="I1352" s="32"/>
      <c r="J1352" s="32"/>
      <c r="K1352" s="32"/>
      <c r="L1352" s="32"/>
      <c r="M1352" s="32"/>
      <c r="N1352" s="32"/>
      <c r="O1352" s="32"/>
      <c r="P1352" s="32"/>
      <c r="Q1352" s="32"/>
      <c r="R1352" s="32"/>
      <c r="S1352" s="32"/>
      <c r="T1352" s="32"/>
      <c r="U1352" s="32"/>
      <c r="V1352" s="32"/>
      <c r="W1352" s="32"/>
      <c r="X1352" s="32"/>
      <c r="Y1352" s="32"/>
      <c r="Z1352" s="32"/>
      <c r="AA1352" s="32"/>
      <c r="AB1352" s="32"/>
      <c r="AC1352" s="32"/>
      <c r="AD1352" s="32"/>
      <c r="AE1352" s="32"/>
      <c r="AF1352" s="32"/>
      <c r="AG1352" s="32"/>
      <c r="AH1352" s="32" t="b">
        <f>IFERROR(__xludf.DUMMYFUNCTION("""COMPUTED_VALUE"""),FALSE)</f>
        <v>0</v>
      </c>
      <c r="AI1352" s="32"/>
      <c r="AJ1352" s="32"/>
      <c r="AK1352" s="32"/>
      <c r="AL1352" s="32"/>
      <c r="AM1352" s="32"/>
      <c r="AN1352" s="32"/>
      <c r="AO1352" s="32"/>
      <c r="AP1352" s="32"/>
      <c r="AQ1352" s="32"/>
      <c r="AR1352" s="32"/>
      <c r="AS1352" s="32"/>
      <c r="AT1352" s="32"/>
      <c r="AU1352" s="32"/>
      <c r="AV1352" s="32"/>
      <c r="AW1352" s="32"/>
      <c r="AX1352" s="32"/>
    </row>
    <row r="1353">
      <c r="A1353" s="32"/>
      <c r="B1353" s="32"/>
      <c r="C1353" s="32"/>
      <c r="D1353" s="32"/>
      <c r="E1353" s="32">
        <f>IFERROR(__xludf.DUMMYFUNCTION("""COMPUTED_VALUE"""),1.0)</f>
        <v>1</v>
      </c>
      <c r="F1353" s="44">
        <f>IFERROR(__xludf.DUMMYFUNCTION("""COMPUTED_VALUE"""),0.0)</f>
        <v>0</v>
      </c>
      <c r="G1353" s="32"/>
      <c r="H1353" s="32"/>
      <c r="I1353" s="32"/>
      <c r="J1353" s="32"/>
      <c r="K1353" s="32"/>
      <c r="L1353" s="32"/>
      <c r="M1353" s="32"/>
      <c r="N1353" s="32"/>
      <c r="O1353" s="32"/>
      <c r="P1353" s="32"/>
      <c r="Q1353" s="32"/>
      <c r="R1353" s="32"/>
      <c r="S1353" s="32"/>
      <c r="T1353" s="32"/>
      <c r="U1353" s="32"/>
      <c r="V1353" s="32"/>
      <c r="W1353" s="32"/>
      <c r="X1353" s="32"/>
      <c r="Y1353" s="32"/>
      <c r="Z1353" s="32"/>
      <c r="AA1353" s="32"/>
      <c r="AB1353" s="32"/>
      <c r="AC1353" s="32"/>
      <c r="AD1353" s="32"/>
      <c r="AE1353" s="32"/>
      <c r="AF1353" s="32"/>
      <c r="AG1353" s="32"/>
      <c r="AH1353" s="32" t="b">
        <f>IFERROR(__xludf.DUMMYFUNCTION("""COMPUTED_VALUE"""),FALSE)</f>
        <v>0</v>
      </c>
      <c r="AI1353" s="32"/>
      <c r="AJ1353" s="32"/>
      <c r="AK1353" s="32"/>
      <c r="AL1353" s="32"/>
      <c r="AM1353" s="32"/>
      <c r="AN1353" s="32"/>
      <c r="AO1353" s="32"/>
      <c r="AP1353" s="32"/>
      <c r="AQ1353" s="32"/>
      <c r="AR1353" s="32"/>
      <c r="AS1353" s="32"/>
      <c r="AT1353" s="32"/>
      <c r="AU1353" s="32"/>
      <c r="AV1353" s="32"/>
      <c r="AW1353" s="32"/>
      <c r="AX1353" s="32"/>
    </row>
    <row r="1354">
      <c r="A1354" s="32"/>
      <c r="B1354" s="32"/>
      <c r="C1354" s="32"/>
      <c r="D1354" s="32"/>
      <c r="E1354" s="32">
        <f>IFERROR(__xludf.DUMMYFUNCTION("""COMPUTED_VALUE"""),1.0)</f>
        <v>1</v>
      </c>
      <c r="F1354" s="44">
        <f>IFERROR(__xludf.DUMMYFUNCTION("""COMPUTED_VALUE"""),0.0)</f>
        <v>0</v>
      </c>
      <c r="G1354" s="32"/>
      <c r="H1354" s="32"/>
      <c r="I1354" s="32"/>
      <c r="J1354" s="32"/>
      <c r="K1354" s="32"/>
      <c r="L1354" s="32"/>
      <c r="M1354" s="32"/>
      <c r="N1354" s="32"/>
      <c r="O1354" s="32"/>
      <c r="P1354" s="32"/>
      <c r="Q1354" s="32"/>
      <c r="R1354" s="32"/>
      <c r="S1354" s="32"/>
      <c r="T1354" s="32"/>
      <c r="U1354" s="32"/>
      <c r="V1354" s="32"/>
      <c r="W1354" s="32"/>
      <c r="X1354" s="32"/>
      <c r="Y1354" s="32"/>
      <c r="Z1354" s="32"/>
      <c r="AA1354" s="32"/>
      <c r="AB1354" s="32"/>
      <c r="AC1354" s="32"/>
      <c r="AD1354" s="32"/>
      <c r="AE1354" s="32"/>
      <c r="AF1354" s="32"/>
      <c r="AG1354" s="32"/>
      <c r="AH1354" s="32" t="b">
        <f>IFERROR(__xludf.DUMMYFUNCTION("""COMPUTED_VALUE"""),FALSE)</f>
        <v>0</v>
      </c>
      <c r="AI1354" s="32"/>
      <c r="AJ1354" s="32"/>
      <c r="AK1354" s="32"/>
      <c r="AL1354" s="32"/>
      <c r="AM1354" s="32"/>
      <c r="AN1354" s="32"/>
      <c r="AO1354" s="32"/>
      <c r="AP1354" s="32"/>
      <c r="AQ1354" s="32"/>
      <c r="AR1354" s="32"/>
      <c r="AS1354" s="32"/>
      <c r="AT1354" s="32"/>
      <c r="AU1354" s="32"/>
      <c r="AV1354" s="32"/>
      <c r="AW1354" s="32"/>
      <c r="AX1354" s="32"/>
    </row>
    <row r="1355">
      <c r="A1355" s="32"/>
      <c r="B1355" s="32"/>
      <c r="C1355" s="32"/>
      <c r="D1355" s="32"/>
      <c r="E1355" s="32">
        <f>IFERROR(__xludf.DUMMYFUNCTION("""COMPUTED_VALUE"""),1.0)</f>
        <v>1</v>
      </c>
      <c r="F1355" s="44">
        <f>IFERROR(__xludf.DUMMYFUNCTION("""COMPUTED_VALUE"""),0.0)</f>
        <v>0</v>
      </c>
      <c r="G1355" s="32"/>
      <c r="H1355" s="32"/>
      <c r="I1355" s="32"/>
      <c r="J1355" s="32"/>
      <c r="K1355" s="32"/>
      <c r="L1355" s="32"/>
      <c r="M1355" s="32"/>
      <c r="N1355" s="32"/>
      <c r="O1355" s="32"/>
      <c r="P1355" s="32"/>
      <c r="Q1355" s="32"/>
      <c r="R1355" s="32"/>
      <c r="S1355" s="32"/>
      <c r="T1355" s="32"/>
      <c r="U1355" s="32"/>
      <c r="V1355" s="32"/>
      <c r="W1355" s="32"/>
      <c r="X1355" s="32"/>
      <c r="Y1355" s="32"/>
      <c r="Z1355" s="32"/>
      <c r="AA1355" s="32"/>
      <c r="AB1355" s="32"/>
      <c r="AC1355" s="32"/>
      <c r="AD1355" s="32"/>
      <c r="AE1355" s="32"/>
      <c r="AF1355" s="32"/>
      <c r="AG1355" s="32"/>
      <c r="AH1355" s="32" t="b">
        <f>IFERROR(__xludf.DUMMYFUNCTION("""COMPUTED_VALUE"""),FALSE)</f>
        <v>0</v>
      </c>
      <c r="AI1355" s="32"/>
      <c r="AJ1355" s="32"/>
      <c r="AK1355" s="32"/>
      <c r="AL1355" s="32"/>
      <c r="AM1355" s="32"/>
      <c r="AN1355" s="32"/>
      <c r="AO1355" s="32"/>
      <c r="AP1355" s="32"/>
      <c r="AQ1355" s="32"/>
      <c r="AR1355" s="32"/>
      <c r="AS1355" s="32"/>
      <c r="AT1355" s="32"/>
      <c r="AU1355" s="32"/>
      <c r="AV1355" s="32"/>
      <c r="AW1355" s="32"/>
      <c r="AX1355" s="32"/>
    </row>
    <row r="1356">
      <c r="A1356" s="32"/>
      <c r="B1356" s="32"/>
      <c r="C1356" s="32"/>
      <c r="D1356" s="32"/>
      <c r="E1356" s="32">
        <f>IFERROR(__xludf.DUMMYFUNCTION("""COMPUTED_VALUE"""),1.0)</f>
        <v>1</v>
      </c>
      <c r="F1356" s="44">
        <f>IFERROR(__xludf.DUMMYFUNCTION("""COMPUTED_VALUE"""),0.0)</f>
        <v>0</v>
      </c>
      <c r="G1356" s="32"/>
      <c r="H1356" s="32"/>
      <c r="I1356" s="32"/>
      <c r="J1356" s="32"/>
      <c r="K1356" s="32"/>
      <c r="L1356" s="32"/>
      <c r="M1356" s="32"/>
      <c r="N1356" s="32"/>
      <c r="O1356" s="32"/>
      <c r="P1356" s="32"/>
      <c r="Q1356" s="32"/>
      <c r="R1356" s="32"/>
      <c r="S1356" s="32"/>
      <c r="T1356" s="32"/>
      <c r="U1356" s="32"/>
      <c r="V1356" s="32"/>
      <c r="W1356" s="32"/>
      <c r="X1356" s="32"/>
      <c r="Y1356" s="32"/>
      <c r="Z1356" s="32"/>
      <c r="AA1356" s="32"/>
      <c r="AB1356" s="32"/>
      <c r="AC1356" s="32"/>
      <c r="AD1356" s="32"/>
      <c r="AE1356" s="32"/>
      <c r="AF1356" s="32"/>
      <c r="AG1356" s="32"/>
      <c r="AH1356" s="32" t="b">
        <f>IFERROR(__xludf.DUMMYFUNCTION("""COMPUTED_VALUE"""),FALSE)</f>
        <v>0</v>
      </c>
      <c r="AI1356" s="32"/>
      <c r="AJ1356" s="32"/>
      <c r="AK1356" s="32"/>
      <c r="AL1356" s="32"/>
      <c r="AM1356" s="32"/>
      <c r="AN1356" s="32"/>
      <c r="AO1356" s="32"/>
      <c r="AP1356" s="32"/>
      <c r="AQ1356" s="32"/>
      <c r="AR1356" s="32"/>
      <c r="AS1356" s="32"/>
      <c r="AT1356" s="32"/>
      <c r="AU1356" s="32"/>
      <c r="AV1356" s="32"/>
      <c r="AW1356" s="32"/>
      <c r="AX1356" s="32"/>
    </row>
    <row r="1357">
      <c r="A1357" s="32"/>
      <c r="B1357" s="32"/>
      <c r="C1357" s="32"/>
      <c r="D1357" s="32"/>
      <c r="E1357" s="32">
        <f>IFERROR(__xludf.DUMMYFUNCTION("""COMPUTED_VALUE"""),1.0)</f>
        <v>1</v>
      </c>
      <c r="F1357" s="44">
        <f>IFERROR(__xludf.DUMMYFUNCTION("""COMPUTED_VALUE"""),0.0)</f>
        <v>0</v>
      </c>
      <c r="G1357" s="32"/>
      <c r="H1357" s="32"/>
      <c r="I1357" s="32"/>
      <c r="J1357" s="32"/>
      <c r="K1357" s="32"/>
      <c r="L1357" s="32"/>
      <c r="M1357" s="32"/>
      <c r="N1357" s="32"/>
      <c r="O1357" s="32"/>
      <c r="P1357" s="32"/>
      <c r="Q1357" s="32"/>
      <c r="R1357" s="32"/>
      <c r="S1357" s="32"/>
      <c r="T1357" s="32"/>
      <c r="U1357" s="32"/>
      <c r="V1357" s="32"/>
      <c r="W1357" s="32"/>
      <c r="X1357" s="32"/>
      <c r="Y1357" s="32"/>
      <c r="Z1357" s="32"/>
      <c r="AA1357" s="32"/>
      <c r="AB1357" s="32"/>
      <c r="AC1357" s="32"/>
      <c r="AD1357" s="32"/>
      <c r="AE1357" s="32"/>
      <c r="AF1357" s="32"/>
      <c r="AG1357" s="32"/>
      <c r="AH1357" s="32" t="b">
        <f>IFERROR(__xludf.DUMMYFUNCTION("""COMPUTED_VALUE"""),FALSE)</f>
        <v>0</v>
      </c>
      <c r="AI1357" s="32"/>
      <c r="AJ1357" s="32"/>
      <c r="AK1357" s="32"/>
      <c r="AL1357" s="32"/>
      <c r="AM1357" s="32"/>
      <c r="AN1357" s="32"/>
      <c r="AO1357" s="32"/>
      <c r="AP1357" s="32"/>
      <c r="AQ1357" s="32"/>
      <c r="AR1357" s="32"/>
      <c r="AS1357" s="32"/>
      <c r="AT1357" s="32"/>
      <c r="AU1357" s="32"/>
      <c r="AV1357" s="32"/>
      <c r="AW1357" s="32"/>
      <c r="AX1357" s="32"/>
    </row>
    <row r="1358">
      <c r="A1358" s="32"/>
      <c r="B1358" s="32"/>
      <c r="C1358" s="32"/>
      <c r="D1358" s="32"/>
      <c r="E1358" s="32">
        <f>IFERROR(__xludf.DUMMYFUNCTION("""COMPUTED_VALUE"""),1.0)</f>
        <v>1</v>
      </c>
      <c r="F1358" s="44">
        <f>IFERROR(__xludf.DUMMYFUNCTION("""COMPUTED_VALUE"""),0.0)</f>
        <v>0</v>
      </c>
      <c r="G1358" s="32"/>
      <c r="H1358" s="32"/>
      <c r="I1358" s="32"/>
      <c r="J1358" s="32"/>
      <c r="K1358" s="32"/>
      <c r="L1358" s="32"/>
      <c r="M1358" s="32"/>
      <c r="N1358" s="32"/>
      <c r="O1358" s="32"/>
      <c r="P1358" s="32"/>
      <c r="Q1358" s="32"/>
      <c r="R1358" s="32"/>
      <c r="S1358" s="32"/>
      <c r="T1358" s="32"/>
      <c r="U1358" s="32"/>
      <c r="V1358" s="32"/>
      <c r="W1358" s="32"/>
      <c r="X1358" s="32"/>
      <c r="Y1358" s="32"/>
      <c r="Z1358" s="32"/>
      <c r="AA1358" s="32"/>
      <c r="AB1358" s="32"/>
      <c r="AC1358" s="32"/>
      <c r="AD1358" s="32"/>
      <c r="AE1358" s="32"/>
      <c r="AF1358" s="32"/>
      <c r="AG1358" s="32"/>
      <c r="AH1358" s="32" t="b">
        <f>IFERROR(__xludf.DUMMYFUNCTION("""COMPUTED_VALUE"""),FALSE)</f>
        <v>0</v>
      </c>
      <c r="AI1358" s="32"/>
      <c r="AJ1358" s="32"/>
      <c r="AK1358" s="32"/>
      <c r="AL1358" s="32"/>
      <c r="AM1358" s="32"/>
      <c r="AN1358" s="32"/>
      <c r="AO1358" s="32"/>
      <c r="AP1358" s="32"/>
      <c r="AQ1358" s="32"/>
      <c r="AR1358" s="32"/>
      <c r="AS1358" s="32"/>
      <c r="AT1358" s="32"/>
      <c r="AU1358" s="32"/>
      <c r="AV1358" s="32"/>
      <c r="AW1358" s="32"/>
      <c r="AX1358" s="32"/>
    </row>
    <row r="1359">
      <c r="A1359" s="32"/>
      <c r="B1359" s="32"/>
      <c r="C1359" s="32"/>
      <c r="D1359" s="32"/>
      <c r="E1359" s="32">
        <f>IFERROR(__xludf.DUMMYFUNCTION("""COMPUTED_VALUE"""),1.0)</f>
        <v>1</v>
      </c>
      <c r="F1359" s="44">
        <f>IFERROR(__xludf.DUMMYFUNCTION("""COMPUTED_VALUE"""),0.0)</f>
        <v>0</v>
      </c>
      <c r="G1359" s="32"/>
      <c r="H1359" s="32"/>
      <c r="I1359" s="32"/>
      <c r="J1359" s="32"/>
      <c r="K1359" s="32"/>
      <c r="L1359" s="32"/>
      <c r="M1359" s="32"/>
      <c r="N1359" s="32"/>
      <c r="O1359" s="32"/>
      <c r="P1359" s="32"/>
      <c r="Q1359" s="32"/>
      <c r="R1359" s="32"/>
      <c r="S1359" s="32"/>
      <c r="T1359" s="32"/>
      <c r="U1359" s="32"/>
      <c r="V1359" s="32"/>
      <c r="W1359" s="32"/>
      <c r="X1359" s="32"/>
      <c r="Y1359" s="32"/>
      <c r="Z1359" s="32"/>
      <c r="AA1359" s="32"/>
      <c r="AB1359" s="32"/>
      <c r="AC1359" s="32"/>
      <c r="AD1359" s="32"/>
      <c r="AE1359" s="32"/>
      <c r="AF1359" s="32"/>
      <c r="AG1359" s="32"/>
      <c r="AH1359" s="32" t="b">
        <f>IFERROR(__xludf.DUMMYFUNCTION("""COMPUTED_VALUE"""),FALSE)</f>
        <v>0</v>
      </c>
      <c r="AI1359" s="32"/>
      <c r="AJ1359" s="32"/>
      <c r="AK1359" s="32"/>
      <c r="AL1359" s="32"/>
      <c r="AM1359" s="32"/>
      <c r="AN1359" s="32"/>
      <c r="AO1359" s="32"/>
      <c r="AP1359" s="32"/>
      <c r="AQ1359" s="32"/>
      <c r="AR1359" s="32"/>
      <c r="AS1359" s="32"/>
      <c r="AT1359" s="32"/>
      <c r="AU1359" s="32"/>
      <c r="AV1359" s="32"/>
      <c r="AW1359" s="32"/>
      <c r="AX1359" s="32"/>
    </row>
    <row r="1360">
      <c r="A1360" s="32"/>
      <c r="B1360" s="32"/>
      <c r="C1360" s="32"/>
      <c r="D1360" s="32"/>
      <c r="E1360" s="32">
        <f>IFERROR(__xludf.DUMMYFUNCTION("""COMPUTED_VALUE"""),1.0)</f>
        <v>1</v>
      </c>
      <c r="F1360" s="44">
        <f>IFERROR(__xludf.DUMMYFUNCTION("""COMPUTED_VALUE"""),0.0)</f>
        <v>0</v>
      </c>
      <c r="G1360" s="32"/>
      <c r="H1360" s="32"/>
      <c r="I1360" s="32"/>
      <c r="J1360" s="32"/>
      <c r="K1360" s="32"/>
      <c r="L1360" s="32"/>
      <c r="M1360" s="32"/>
      <c r="N1360" s="32"/>
      <c r="O1360" s="32"/>
      <c r="P1360" s="32"/>
      <c r="Q1360" s="32"/>
      <c r="R1360" s="32"/>
      <c r="S1360" s="32"/>
      <c r="T1360" s="32"/>
      <c r="U1360" s="32"/>
      <c r="V1360" s="32"/>
      <c r="W1360" s="32"/>
      <c r="X1360" s="32"/>
      <c r="Y1360" s="32"/>
      <c r="Z1360" s="32"/>
      <c r="AA1360" s="32"/>
      <c r="AB1360" s="32"/>
      <c r="AC1360" s="32"/>
      <c r="AD1360" s="32"/>
      <c r="AE1360" s="32"/>
      <c r="AF1360" s="32"/>
      <c r="AG1360" s="32"/>
      <c r="AH1360" s="32" t="b">
        <f>IFERROR(__xludf.DUMMYFUNCTION("""COMPUTED_VALUE"""),FALSE)</f>
        <v>0</v>
      </c>
      <c r="AI1360" s="32"/>
      <c r="AJ1360" s="32"/>
      <c r="AK1360" s="32"/>
      <c r="AL1360" s="32"/>
      <c r="AM1360" s="32"/>
      <c r="AN1360" s="32"/>
      <c r="AO1360" s="32"/>
      <c r="AP1360" s="32"/>
      <c r="AQ1360" s="32"/>
      <c r="AR1360" s="32"/>
      <c r="AS1360" s="32"/>
      <c r="AT1360" s="32"/>
      <c r="AU1360" s="32"/>
      <c r="AV1360" s="32"/>
      <c r="AW1360" s="32"/>
      <c r="AX1360" s="32"/>
    </row>
    <row r="1361">
      <c r="A1361" s="32"/>
      <c r="B1361" s="32"/>
      <c r="C1361" s="32"/>
      <c r="D1361" s="32"/>
      <c r="E1361" s="32">
        <f>IFERROR(__xludf.DUMMYFUNCTION("""COMPUTED_VALUE"""),1.0)</f>
        <v>1</v>
      </c>
      <c r="F1361" s="44">
        <f>IFERROR(__xludf.DUMMYFUNCTION("""COMPUTED_VALUE"""),0.0)</f>
        <v>0</v>
      </c>
      <c r="G1361" s="32"/>
      <c r="H1361" s="32"/>
      <c r="I1361" s="32"/>
      <c r="J1361" s="32"/>
      <c r="K1361" s="32"/>
      <c r="L1361" s="32"/>
      <c r="M1361" s="32"/>
      <c r="N1361" s="32"/>
      <c r="O1361" s="32"/>
      <c r="P1361" s="32"/>
      <c r="Q1361" s="32"/>
      <c r="R1361" s="32"/>
      <c r="S1361" s="32"/>
      <c r="T1361" s="32"/>
      <c r="U1361" s="32"/>
      <c r="V1361" s="32"/>
      <c r="W1361" s="32"/>
      <c r="X1361" s="32"/>
      <c r="Y1361" s="32"/>
      <c r="Z1361" s="32"/>
      <c r="AA1361" s="32"/>
      <c r="AB1361" s="32"/>
      <c r="AC1361" s="32"/>
      <c r="AD1361" s="32"/>
      <c r="AE1361" s="32"/>
      <c r="AF1361" s="32"/>
      <c r="AG1361" s="32"/>
      <c r="AH1361" s="32" t="b">
        <f>IFERROR(__xludf.DUMMYFUNCTION("""COMPUTED_VALUE"""),FALSE)</f>
        <v>0</v>
      </c>
      <c r="AI1361" s="32"/>
      <c r="AJ1361" s="32"/>
      <c r="AK1361" s="32"/>
      <c r="AL1361" s="32"/>
      <c r="AM1361" s="32"/>
      <c r="AN1361" s="32"/>
      <c r="AO1361" s="32"/>
      <c r="AP1361" s="32"/>
      <c r="AQ1361" s="32"/>
      <c r="AR1361" s="32"/>
      <c r="AS1361" s="32"/>
      <c r="AT1361" s="32"/>
      <c r="AU1361" s="32"/>
      <c r="AV1361" s="32"/>
      <c r="AW1361" s="32"/>
      <c r="AX1361" s="32"/>
    </row>
    <row r="1362">
      <c r="A1362" s="32"/>
      <c r="B1362" s="32"/>
      <c r="C1362" s="32"/>
      <c r="D1362" s="32"/>
      <c r="E1362" s="32">
        <f>IFERROR(__xludf.DUMMYFUNCTION("""COMPUTED_VALUE"""),1.0)</f>
        <v>1</v>
      </c>
      <c r="F1362" s="44">
        <f>IFERROR(__xludf.DUMMYFUNCTION("""COMPUTED_VALUE"""),0.0)</f>
        <v>0</v>
      </c>
      <c r="G1362" s="32"/>
      <c r="H1362" s="32"/>
      <c r="I1362" s="32"/>
      <c r="J1362" s="32"/>
      <c r="K1362" s="32"/>
      <c r="L1362" s="32"/>
      <c r="M1362" s="32"/>
      <c r="N1362" s="32"/>
      <c r="O1362" s="32"/>
      <c r="P1362" s="32"/>
      <c r="Q1362" s="32"/>
      <c r="R1362" s="32"/>
      <c r="S1362" s="32"/>
      <c r="T1362" s="32"/>
      <c r="U1362" s="32"/>
      <c r="V1362" s="32"/>
      <c r="W1362" s="32"/>
      <c r="X1362" s="32"/>
      <c r="Y1362" s="32"/>
      <c r="Z1362" s="32"/>
      <c r="AA1362" s="32"/>
      <c r="AB1362" s="32"/>
      <c r="AC1362" s="32"/>
      <c r="AD1362" s="32"/>
      <c r="AE1362" s="32"/>
      <c r="AF1362" s="32"/>
      <c r="AG1362" s="32"/>
      <c r="AH1362" s="32" t="b">
        <f>IFERROR(__xludf.DUMMYFUNCTION("""COMPUTED_VALUE"""),FALSE)</f>
        <v>0</v>
      </c>
      <c r="AI1362" s="32"/>
      <c r="AJ1362" s="32"/>
      <c r="AK1362" s="32"/>
      <c r="AL1362" s="32"/>
      <c r="AM1362" s="32"/>
      <c r="AN1362" s="32"/>
      <c r="AO1362" s="32"/>
      <c r="AP1362" s="32"/>
      <c r="AQ1362" s="32"/>
      <c r="AR1362" s="32"/>
      <c r="AS1362" s="32"/>
      <c r="AT1362" s="32"/>
      <c r="AU1362" s="32"/>
      <c r="AV1362" s="32"/>
      <c r="AW1362" s="32"/>
      <c r="AX1362" s="32"/>
    </row>
    <row r="1363">
      <c r="A1363" s="32"/>
      <c r="B1363" s="32"/>
      <c r="C1363" s="32"/>
      <c r="D1363" s="32"/>
      <c r="E1363" s="32">
        <f>IFERROR(__xludf.DUMMYFUNCTION("""COMPUTED_VALUE"""),1.0)</f>
        <v>1</v>
      </c>
      <c r="F1363" s="44">
        <f>IFERROR(__xludf.DUMMYFUNCTION("""COMPUTED_VALUE"""),0.0)</f>
        <v>0</v>
      </c>
      <c r="G1363" s="32"/>
      <c r="H1363" s="32"/>
      <c r="I1363" s="32"/>
      <c r="J1363" s="32"/>
      <c r="K1363" s="32"/>
      <c r="L1363" s="32"/>
      <c r="M1363" s="32"/>
      <c r="N1363" s="32"/>
      <c r="O1363" s="32"/>
      <c r="P1363" s="32"/>
      <c r="Q1363" s="32"/>
      <c r="R1363" s="32"/>
      <c r="S1363" s="32"/>
      <c r="T1363" s="32"/>
      <c r="U1363" s="32"/>
      <c r="V1363" s="32"/>
      <c r="W1363" s="32"/>
      <c r="X1363" s="32"/>
      <c r="Y1363" s="32"/>
      <c r="Z1363" s="32"/>
      <c r="AA1363" s="32"/>
      <c r="AB1363" s="32"/>
      <c r="AC1363" s="32"/>
      <c r="AD1363" s="32"/>
      <c r="AE1363" s="32"/>
      <c r="AF1363" s="32"/>
      <c r="AG1363" s="32"/>
      <c r="AH1363" s="32" t="b">
        <f>IFERROR(__xludf.DUMMYFUNCTION("""COMPUTED_VALUE"""),FALSE)</f>
        <v>0</v>
      </c>
      <c r="AI1363" s="32"/>
      <c r="AJ1363" s="32"/>
      <c r="AK1363" s="32"/>
      <c r="AL1363" s="32"/>
      <c r="AM1363" s="32"/>
      <c r="AN1363" s="32"/>
      <c r="AO1363" s="32"/>
      <c r="AP1363" s="32"/>
      <c r="AQ1363" s="32"/>
      <c r="AR1363" s="32"/>
      <c r="AS1363" s="32"/>
      <c r="AT1363" s="32"/>
      <c r="AU1363" s="32"/>
      <c r="AV1363" s="32"/>
      <c r="AW1363" s="32"/>
      <c r="AX1363" s="32"/>
    </row>
    <row r="1364">
      <c r="A1364" s="32"/>
      <c r="B1364" s="32"/>
      <c r="C1364" s="32"/>
      <c r="D1364" s="32"/>
      <c r="E1364" s="32">
        <f>IFERROR(__xludf.DUMMYFUNCTION("""COMPUTED_VALUE"""),1.0)</f>
        <v>1</v>
      </c>
      <c r="F1364" s="44">
        <f>IFERROR(__xludf.DUMMYFUNCTION("""COMPUTED_VALUE"""),0.0)</f>
        <v>0</v>
      </c>
      <c r="G1364" s="32"/>
      <c r="H1364" s="32"/>
      <c r="I1364" s="32"/>
      <c r="J1364" s="32"/>
      <c r="K1364" s="32"/>
      <c r="L1364" s="32"/>
      <c r="M1364" s="32"/>
      <c r="N1364" s="32"/>
      <c r="O1364" s="32"/>
      <c r="P1364" s="32"/>
      <c r="Q1364" s="32"/>
      <c r="R1364" s="32"/>
      <c r="S1364" s="32"/>
      <c r="T1364" s="32"/>
      <c r="U1364" s="32"/>
      <c r="V1364" s="32"/>
      <c r="W1364" s="32"/>
      <c r="X1364" s="32"/>
      <c r="Y1364" s="32"/>
      <c r="Z1364" s="32"/>
      <c r="AA1364" s="32"/>
      <c r="AB1364" s="32"/>
      <c r="AC1364" s="32"/>
      <c r="AD1364" s="32"/>
      <c r="AE1364" s="32"/>
      <c r="AF1364" s="32"/>
      <c r="AG1364" s="32"/>
      <c r="AH1364" s="32" t="b">
        <f>IFERROR(__xludf.DUMMYFUNCTION("""COMPUTED_VALUE"""),FALSE)</f>
        <v>0</v>
      </c>
      <c r="AI1364" s="32"/>
      <c r="AJ1364" s="32"/>
      <c r="AK1364" s="32"/>
      <c r="AL1364" s="32"/>
      <c r="AM1364" s="32"/>
      <c r="AN1364" s="32"/>
      <c r="AO1364" s="32"/>
      <c r="AP1364" s="32"/>
      <c r="AQ1364" s="32"/>
      <c r="AR1364" s="32"/>
      <c r="AS1364" s="32"/>
      <c r="AT1364" s="32"/>
      <c r="AU1364" s="32"/>
      <c r="AV1364" s="32"/>
      <c r="AW1364" s="32"/>
      <c r="AX1364" s="32"/>
    </row>
    <row r="1365">
      <c r="A1365" s="32"/>
      <c r="B1365" s="32"/>
      <c r="C1365" s="32"/>
      <c r="D1365" s="32"/>
      <c r="E1365" s="32">
        <f>IFERROR(__xludf.DUMMYFUNCTION("""COMPUTED_VALUE"""),1.0)</f>
        <v>1</v>
      </c>
      <c r="F1365" s="44">
        <f>IFERROR(__xludf.DUMMYFUNCTION("""COMPUTED_VALUE"""),0.0)</f>
        <v>0</v>
      </c>
      <c r="G1365" s="32"/>
      <c r="H1365" s="32"/>
      <c r="I1365" s="32"/>
      <c r="J1365" s="32"/>
      <c r="K1365" s="32"/>
      <c r="L1365" s="32"/>
      <c r="M1365" s="32"/>
      <c r="N1365" s="32"/>
      <c r="O1365" s="32"/>
      <c r="P1365" s="32"/>
      <c r="Q1365" s="32"/>
      <c r="R1365" s="32"/>
      <c r="S1365" s="32"/>
      <c r="T1365" s="32"/>
      <c r="U1365" s="32"/>
      <c r="V1365" s="32"/>
      <c r="W1365" s="32"/>
      <c r="X1365" s="32"/>
      <c r="Y1365" s="32"/>
      <c r="Z1365" s="32"/>
      <c r="AA1365" s="32"/>
      <c r="AB1365" s="32"/>
      <c r="AC1365" s="32"/>
      <c r="AD1365" s="32"/>
      <c r="AE1365" s="32"/>
      <c r="AF1365" s="32"/>
      <c r="AG1365" s="32"/>
      <c r="AH1365" s="32" t="b">
        <f>IFERROR(__xludf.DUMMYFUNCTION("""COMPUTED_VALUE"""),FALSE)</f>
        <v>0</v>
      </c>
      <c r="AI1365" s="32"/>
      <c r="AJ1365" s="32"/>
      <c r="AK1365" s="32"/>
      <c r="AL1365" s="32"/>
      <c r="AM1365" s="32"/>
      <c r="AN1365" s="32"/>
      <c r="AO1365" s="32"/>
      <c r="AP1365" s="32"/>
      <c r="AQ1365" s="32"/>
      <c r="AR1365" s="32"/>
      <c r="AS1365" s="32"/>
      <c r="AT1365" s="32"/>
      <c r="AU1365" s="32"/>
      <c r="AV1365" s="32"/>
      <c r="AW1365" s="32"/>
      <c r="AX1365" s="32"/>
    </row>
    <row r="1366">
      <c r="A1366" s="32"/>
      <c r="B1366" s="32"/>
      <c r="C1366" s="32"/>
      <c r="D1366" s="32"/>
      <c r="E1366" s="32">
        <f>IFERROR(__xludf.DUMMYFUNCTION("""COMPUTED_VALUE"""),1.0)</f>
        <v>1</v>
      </c>
      <c r="F1366" s="44">
        <f>IFERROR(__xludf.DUMMYFUNCTION("""COMPUTED_VALUE"""),0.0)</f>
        <v>0</v>
      </c>
      <c r="G1366" s="32"/>
      <c r="H1366" s="32"/>
      <c r="I1366" s="32"/>
      <c r="J1366" s="32"/>
      <c r="K1366" s="32"/>
      <c r="L1366" s="32"/>
      <c r="M1366" s="32"/>
      <c r="N1366" s="32"/>
      <c r="O1366" s="32"/>
      <c r="P1366" s="32"/>
      <c r="Q1366" s="32"/>
      <c r="R1366" s="32"/>
      <c r="S1366" s="32"/>
      <c r="T1366" s="32"/>
      <c r="U1366" s="32"/>
      <c r="V1366" s="32"/>
      <c r="W1366" s="32"/>
      <c r="X1366" s="32"/>
      <c r="Y1366" s="32"/>
      <c r="Z1366" s="32"/>
      <c r="AA1366" s="32"/>
      <c r="AB1366" s="32"/>
      <c r="AC1366" s="32"/>
      <c r="AD1366" s="32"/>
      <c r="AE1366" s="32"/>
      <c r="AF1366" s="32"/>
      <c r="AG1366" s="32"/>
      <c r="AH1366" s="32" t="b">
        <f>IFERROR(__xludf.DUMMYFUNCTION("""COMPUTED_VALUE"""),FALSE)</f>
        <v>0</v>
      </c>
      <c r="AI1366" s="32"/>
      <c r="AJ1366" s="32"/>
      <c r="AK1366" s="32"/>
      <c r="AL1366" s="32"/>
      <c r="AM1366" s="32"/>
      <c r="AN1366" s="32"/>
      <c r="AO1366" s="32"/>
      <c r="AP1366" s="32"/>
      <c r="AQ1366" s="32"/>
      <c r="AR1366" s="32"/>
      <c r="AS1366" s="32"/>
      <c r="AT1366" s="32"/>
      <c r="AU1366" s="32"/>
      <c r="AV1366" s="32"/>
      <c r="AW1366" s="32"/>
      <c r="AX1366" s="32"/>
    </row>
    <row r="1367">
      <c r="A1367" s="32"/>
      <c r="B1367" s="32"/>
      <c r="C1367" s="32"/>
      <c r="D1367" s="32"/>
      <c r="E1367" s="32">
        <f>IFERROR(__xludf.DUMMYFUNCTION("""COMPUTED_VALUE"""),1.0)</f>
        <v>1</v>
      </c>
      <c r="F1367" s="44">
        <f>IFERROR(__xludf.DUMMYFUNCTION("""COMPUTED_VALUE"""),0.0)</f>
        <v>0</v>
      </c>
      <c r="G1367" s="32"/>
      <c r="H1367" s="32"/>
      <c r="I1367" s="32"/>
      <c r="J1367" s="32"/>
      <c r="K1367" s="32"/>
      <c r="L1367" s="32"/>
      <c r="M1367" s="32"/>
      <c r="N1367" s="32"/>
      <c r="O1367" s="32"/>
      <c r="P1367" s="32"/>
      <c r="Q1367" s="32"/>
      <c r="R1367" s="32"/>
      <c r="S1367" s="32"/>
      <c r="T1367" s="32"/>
      <c r="U1367" s="32"/>
      <c r="V1367" s="32"/>
      <c r="W1367" s="32"/>
      <c r="X1367" s="32"/>
      <c r="Y1367" s="32"/>
      <c r="Z1367" s="32"/>
      <c r="AA1367" s="32"/>
      <c r="AB1367" s="32"/>
      <c r="AC1367" s="32"/>
      <c r="AD1367" s="32"/>
      <c r="AE1367" s="32"/>
      <c r="AF1367" s="32"/>
      <c r="AG1367" s="32"/>
      <c r="AH1367" s="32" t="b">
        <f>IFERROR(__xludf.DUMMYFUNCTION("""COMPUTED_VALUE"""),FALSE)</f>
        <v>0</v>
      </c>
      <c r="AI1367" s="32"/>
      <c r="AJ1367" s="32"/>
      <c r="AK1367" s="32"/>
      <c r="AL1367" s="32"/>
      <c r="AM1367" s="32"/>
      <c r="AN1367" s="32"/>
      <c r="AO1367" s="32"/>
      <c r="AP1367" s="32"/>
      <c r="AQ1367" s="32"/>
      <c r="AR1367" s="32"/>
      <c r="AS1367" s="32"/>
      <c r="AT1367" s="32"/>
      <c r="AU1367" s="32"/>
      <c r="AV1367" s="32"/>
      <c r="AW1367" s="32"/>
      <c r="AX1367" s="32"/>
    </row>
    <row r="1368">
      <c r="A1368" s="32"/>
      <c r="B1368" s="32"/>
      <c r="C1368" s="32"/>
      <c r="D1368" s="32"/>
      <c r="E1368" s="32">
        <f>IFERROR(__xludf.DUMMYFUNCTION("""COMPUTED_VALUE"""),1.0)</f>
        <v>1</v>
      </c>
      <c r="F1368" s="44">
        <f>IFERROR(__xludf.DUMMYFUNCTION("""COMPUTED_VALUE"""),0.0)</f>
        <v>0</v>
      </c>
      <c r="G1368" s="32"/>
      <c r="H1368" s="32"/>
      <c r="I1368" s="32"/>
      <c r="J1368" s="32"/>
      <c r="K1368" s="32"/>
      <c r="L1368" s="32"/>
      <c r="M1368" s="32"/>
      <c r="N1368" s="32"/>
      <c r="O1368" s="32"/>
      <c r="P1368" s="32"/>
      <c r="Q1368" s="32"/>
      <c r="R1368" s="32"/>
      <c r="S1368" s="32"/>
      <c r="T1368" s="32"/>
      <c r="U1368" s="32"/>
      <c r="V1368" s="32"/>
      <c r="W1368" s="32"/>
      <c r="X1368" s="32"/>
      <c r="Y1368" s="32"/>
      <c r="Z1368" s="32"/>
      <c r="AA1368" s="32"/>
      <c r="AB1368" s="32"/>
      <c r="AC1368" s="32"/>
      <c r="AD1368" s="32"/>
      <c r="AE1368" s="32"/>
      <c r="AF1368" s="32"/>
      <c r="AG1368" s="32"/>
      <c r="AH1368" s="32" t="b">
        <f>IFERROR(__xludf.DUMMYFUNCTION("""COMPUTED_VALUE"""),FALSE)</f>
        <v>0</v>
      </c>
      <c r="AI1368" s="32"/>
      <c r="AJ1368" s="32"/>
      <c r="AK1368" s="32"/>
      <c r="AL1368" s="32"/>
      <c r="AM1368" s="32"/>
      <c r="AN1368" s="32"/>
      <c r="AO1368" s="32"/>
      <c r="AP1368" s="32"/>
      <c r="AQ1368" s="32"/>
      <c r="AR1368" s="32"/>
      <c r="AS1368" s="32"/>
      <c r="AT1368" s="32"/>
      <c r="AU1368" s="32"/>
      <c r="AV1368" s="32"/>
      <c r="AW1368" s="32"/>
      <c r="AX1368" s="32"/>
    </row>
    <row r="1369">
      <c r="A1369" s="32"/>
      <c r="B1369" s="32"/>
      <c r="C1369" s="32"/>
      <c r="D1369" s="32"/>
      <c r="E1369" s="32">
        <f>IFERROR(__xludf.DUMMYFUNCTION("""COMPUTED_VALUE"""),1.0)</f>
        <v>1</v>
      </c>
      <c r="F1369" s="44">
        <f>IFERROR(__xludf.DUMMYFUNCTION("""COMPUTED_VALUE"""),0.0)</f>
        <v>0</v>
      </c>
      <c r="G1369" s="32"/>
      <c r="H1369" s="32"/>
      <c r="I1369" s="32"/>
      <c r="J1369" s="32"/>
      <c r="K1369" s="32"/>
      <c r="L1369" s="32"/>
      <c r="M1369" s="32"/>
      <c r="N1369" s="32"/>
      <c r="O1369" s="32"/>
      <c r="P1369" s="32"/>
      <c r="Q1369" s="32"/>
      <c r="R1369" s="32"/>
      <c r="S1369" s="32"/>
      <c r="T1369" s="32"/>
      <c r="U1369" s="32"/>
      <c r="V1369" s="32"/>
      <c r="W1369" s="32"/>
      <c r="X1369" s="32"/>
      <c r="Y1369" s="32"/>
      <c r="Z1369" s="32"/>
      <c r="AA1369" s="32"/>
      <c r="AB1369" s="32"/>
      <c r="AC1369" s="32"/>
      <c r="AD1369" s="32"/>
      <c r="AE1369" s="32"/>
      <c r="AF1369" s="32"/>
      <c r="AG1369" s="32"/>
      <c r="AH1369" s="32" t="b">
        <f>IFERROR(__xludf.DUMMYFUNCTION("""COMPUTED_VALUE"""),FALSE)</f>
        <v>0</v>
      </c>
      <c r="AI1369" s="32"/>
      <c r="AJ1369" s="32"/>
      <c r="AK1369" s="32"/>
      <c r="AL1369" s="32"/>
      <c r="AM1369" s="32"/>
      <c r="AN1369" s="32"/>
      <c r="AO1369" s="32"/>
      <c r="AP1369" s="32"/>
      <c r="AQ1369" s="32"/>
      <c r="AR1369" s="32"/>
      <c r="AS1369" s="32"/>
      <c r="AT1369" s="32"/>
      <c r="AU1369" s="32"/>
      <c r="AV1369" s="32"/>
      <c r="AW1369" s="32"/>
      <c r="AX1369" s="32"/>
    </row>
    <row r="1370">
      <c r="A1370" s="32"/>
      <c r="B1370" s="32"/>
      <c r="C1370" s="32"/>
      <c r="D1370" s="32"/>
      <c r="E1370" s="32">
        <f>IFERROR(__xludf.DUMMYFUNCTION("""COMPUTED_VALUE"""),1.0)</f>
        <v>1</v>
      </c>
      <c r="F1370" s="44">
        <f>IFERROR(__xludf.DUMMYFUNCTION("""COMPUTED_VALUE"""),0.0)</f>
        <v>0</v>
      </c>
      <c r="G1370" s="32"/>
      <c r="H1370" s="32"/>
      <c r="I1370" s="32"/>
      <c r="J1370" s="32"/>
      <c r="K1370" s="32"/>
      <c r="L1370" s="32"/>
      <c r="M1370" s="32"/>
      <c r="N1370" s="32"/>
      <c r="O1370" s="32"/>
      <c r="P1370" s="32"/>
      <c r="Q1370" s="32"/>
      <c r="R1370" s="32"/>
      <c r="S1370" s="32"/>
      <c r="T1370" s="32"/>
      <c r="U1370" s="32"/>
      <c r="V1370" s="32"/>
      <c r="W1370" s="32"/>
      <c r="X1370" s="32"/>
      <c r="Y1370" s="32"/>
      <c r="Z1370" s="32"/>
      <c r="AA1370" s="32"/>
      <c r="AB1370" s="32"/>
      <c r="AC1370" s="32"/>
      <c r="AD1370" s="32"/>
      <c r="AE1370" s="32"/>
      <c r="AF1370" s="32"/>
      <c r="AG1370" s="32"/>
      <c r="AH1370" s="32" t="b">
        <f>IFERROR(__xludf.DUMMYFUNCTION("""COMPUTED_VALUE"""),FALSE)</f>
        <v>0</v>
      </c>
      <c r="AI1370" s="32"/>
      <c r="AJ1370" s="32"/>
      <c r="AK1370" s="32"/>
      <c r="AL1370" s="32"/>
      <c r="AM1370" s="32"/>
      <c r="AN1370" s="32"/>
      <c r="AO1370" s="32"/>
      <c r="AP1370" s="32"/>
      <c r="AQ1370" s="32"/>
      <c r="AR1370" s="32"/>
      <c r="AS1370" s="32"/>
      <c r="AT1370" s="32"/>
      <c r="AU1370" s="32"/>
      <c r="AV1370" s="32"/>
      <c r="AW1370" s="32"/>
      <c r="AX1370" s="32"/>
    </row>
    <row r="1371">
      <c r="A1371" s="32"/>
      <c r="B1371" s="32"/>
      <c r="C1371" s="32"/>
      <c r="D1371" s="32"/>
      <c r="E1371" s="32">
        <f>IFERROR(__xludf.DUMMYFUNCTION("""COMPUTED_VALUE"""),1.0)</f>
        <v>1</v>
      </c>
      <c r="F1371" s="44">
        <f>IFERROR(__xludf.DUMMYFUNCTION("""COMPUTED_VALUE"""),0.0)</f>
        <v>0</v>
      </c>
      <c r="G1371" s="32"/>
      <c r="H1371" s="32"/>
      <c r="I1371" s="32"/>
      <c r="J1371" s="32"/>
      <c r="K1371" s="32"/>
      <c r="L1371" s="32"/>
      <c r="M1371" s="32"/>
      <c r="N1371" s="32"/>
      <c r="O1371" s="32"/>
      <c r="P1371" s="32"/>
      <c r="Q1371" s="32"/>
      <c r="R1371" s="32"/>
      <c r="S1371" s="32"/>
      <c r="T1371" s="32"/>
      <c r="U1371" s="32"/>
      <c r="V1371" s="32"/>
      <c r="W1371" s="32"/>
      <c r="X1371" s="32"/>
      <c r="Y1371" s="32"/>
      <c r="Z1371" s="32"/>
      <c r="AA1371" s="32"/>
      <c r="AB1371" s="32"/>
      <c r="AC1371" s="32"/>
      <c r="AD1371" s="32"/>
      <c r="AE1371" s="32"/>
      <c r="AF1371" s="32"/>
      <c r="AG1371" s="32"/>
      <c r="AH1371" s="32" t="b">
        <f>IFERROR(__xludf.DUMMYFUNCTION("""COMPUTED_VALUE"""),FALSE)</f>
        <v>0</v>
      </c>
      <c r="AI1371" s="32"/>
      <c r="AJ1371" s="32"/>
      <c r="AK1371" s="32"/>
      <c r="AL1371" s="32"/>
      <c r="AM1371" s="32"/>
      <c r="AN1371" s="32"/>
      <c r="AO1371" s="32"/>
      <c r="AP1371" s="32"/>
      <c r="AQ1371" s="32"/>
      <c r="AR1371" s="32"/>
      <c r="AS1371" s="32"/>
      <c r="AT1371" s="32"/>
      <c r="AU1371" s="32"/>
      <c r="AV1371" s="32"/>
      <c r="AW1371" s="32"/>
      <c r="AX1371" s="32"/>
    </row>
    <row r="1372">
      <c r="A1372" s="32"/>
      <c r="B1372" s="32"/>
      <c r="C1372" s="32"/>
      <c r="D1372" s="32"/>
      <c r="E1372" s="32">
        <f>IFERROR(__xludf.DUMMYFUNCTION("""COMPUTED_VALUE"""),1.0)</f>
        <v>1</v>
      </c>
      <c r="F1372" s="44">
        <f>IFERROR(__xludf.DUMMYFUNCTION("""COMPUTED_VALUE"""),0.0)</f>
        <v>0</v>
      </c>
      <c r="G1372" s="32"/>
      <c r="H1372" s="32"/>
      <c r="I1372" s="32"/>
      <c r="J1372" s="32"/>
      <c r="K1372" s="32"/>
      <c r="L1372" s="32"/>
      <c r="M1372" s="32"/>
      <c r="N1372" s="32"/>
      <c r="O1372" s="32"/>
      <c r="P1372" s="32"/>
      <c r="Q1372" s="32"/>
      <c r="R1372" s="32"/>
      <c r="S1372" s="32"/>
      <c r="T1372" s="32"/>
      <c r="U1372" s="32"/>
      <c r="V1372" s="32"/>
      <c r="W1372" s="32"/>
      <c r="X1372" s="32"/>
      <c r="Y1372" s="32"/>
      <c r="Z1372" s="32"/>
      <c r="AA1372" s="32"/>
      <c r="AB1372" s="32"/>
      <c r="AC1372" s="32"/>
      <c r="AD1372" s="32"/>
      <c r="AE1372" s="32"/>
      <c r="AF1372" s="32"/>
      <c r="AG1372" s="32"/>
      <c r="AH1372" s="32" t="b">
        <f>IFERROR(__xludf.DUMMYFUNCTION("""COMPUTED_VALUE"""),FALSE)</f>
        <v>0</v>
      </c>
      <c r="AI1372" s="32"/>
      <c r="AJ1372" s="32"/>
      <c r="AK1372" s="32"/>
      <c r="AL1372" s="32"/>
      <c r="AM1372" s="32"/>
      <c r="AN1372" s="32"/>
      <c r="AO1372" s="32"/>
      <c r="AP1372" s="32"/>
      <c r="AQ1372" s="32"/>
      <c r="AR1372" s="32"/>
      <c r="AS1372" s="32"/>
      <c r="AT1372" s="32"/>
      <c r="AU1372" s="32"/>
      <c r="AV1372" s="32"/>
      <c r="AW1372" s="32"/>
      <c r="AX1372" s="32"/>
    </row>
    <row r="1373">
      <c r="A1373" s="32"/>
      <c r="B1373" s="32"/>
      <c r="C1373" s="32"/>
      <c r="D1373" s="32"/>
      <c r="E1373" s="32">
        <f>IFERROR(__xludf.DUMMYFUNCTION("""COMPUTED_VALUE"""),1.0)</f>
        <v>1</v>
      </c>
      <c r="F1373" s="44">
        <f>IFERROR(__xludf.DUMMYFUNCTION("""COMPUTED_VALUE"""),0.0)</f>
        <v>0</v>
      </c>
      <c r="G1373" s="32"/>
      <c r="H1373" s="32"/>
      <c r="I1373" s="32"/>
      <c r="J1373" s="32"/>
      <c r="K1373" s="32"/>
      <c r="L1373" s="32"/>
      <c r="M1373" s="32"/>
      <c r="N1373" s="32"/>
      <c r="O1373" s="32"/>
      <c r="P1373" s="32"/>
      <c r="Q1373" s="32"/>
      <c r="R1373" s="32"/>
      <c r="S1373" s="32"/>
      <c r="T1373" s="32"/>
      <c r="U1373" s="32"/>
      <c r="V1373" s="32"/>
      <c r="W1373" s="32"/>
      <c r="X1373" s="32"/>
      <c r="Y1373" s="32"/>
      <c r="Z1373" s="32"/>
      <c r="AA1373" s="32"/>
      <c r="AB1373" s="32"/>
      <c r="AC1373" s="32"/>
      <c r="AD1373" s="32"/>
      <c r="AE1373" s="32"/>
      <c r="AF1373" s="32"/>
      <c r="AG1373" s="32"/>
      <c r="AH1373" s="32" t="b">
        <f>IFERROR(__xludf.DUMMYFUNCTION("""COMPUTED_VALUE"""),FALSE)</f>
        <v>0</v>
      </c>
      <c r="AI1373" s="32"/>
      <c r="AJ1373" s="32"/>
      <c r="AK1373" s="32"/>
      <c r="AL1373" s="32"/>
      <c r="AM1373" s="32"/>
      <c r="AN1373" s="32"/>
      <c r="AO1373" s="32"/>
      <c r="AP1373" s="32"/>
      <c r="AQ1373" s="32"/>
      <c r="AR1373" s="32"/>
      <c r="AS1373" s="32"/>
      <c r="AT1373" s="32"/>
      <c r="AU1373" s="32"/>
      <c r="AV1373" s="32"/>
      <c r="AW1373" s="32"/>
      <c r="AX1373" s="32"/>
    </row>
    <row r="1374">
      <c r="A1374" s="32"/>
      <c r="B1374" s="32"/>
      <c r="C1374" s="32"/>
      <c r="D1374" s="32"/>
      <c r="E1374" s="32">
        <f>IFERROR(__xludf.DUMMYFUNCTION("""COMPUTED_VALUE"""),1.0)</f>
        <v>1</v>
      </c>
      <c r="F1374" s="44">
        <f>IFERROR(__xludf.DUMMYFUNCTION("""COMPUTED_VALUE"""),0.0)</f>
        <v>0</v>
      </c>
      <c r="G1374" s="32"/>
      <c r="H1374" s="32"/>
      <c r="I1374" s="32"/>
      <c r="J1374" s="32"/>
      <c r="K1374" s="32"/>
      <c r="L1374" s="32"/>
      <c r="M1374" s="32"/>
      <c r="N1374" s="32"/>
      <c r="O1374" s="32"/>
      <c r="P1374" s="32"/>
      <c r="Q1374" s="32"/>
      <c r="R1374" s="32"/>
      <c r="S1374" s="32"/>
      <c r="T1374" s="32"/>
      <c r="U1374" s="32"/>
      <c r="V1374" s="32"/>
      <c r="W1374" s="32"/>
      <c r="X1374" s="32"/>
      <c r="Y1374" s="32"/>
      <c r="Z1374" s="32"/>
      <c r="AA1374" s="32"/>
      <c r="AB1374" s="32"/>
      <c r="AC1374" s="32"/>
      <c r="AD1374" s="32"/>
      <c r="AE1374" s="32"/>
      <c r="AF1374" s="32"/>
      <c r="AG1374" s="32"/>
      <c r="AH1374" s="32" t="b">
        <f>IFERROR(__xludf.DUMMYFUNCTION("""COMPUTED_VALUE"""),FALSE)</f>
        <v>0</v>
      </c>
      <c r="AI1374" s="32"/>
      <c r="AJ1374" s="32"/>
      <c r="AK1374" s="32"/>
      <c r="AL1374" s="32"/>
      <c r="AM1374" s="32"/>
      <c r="AN1374" s="32"/>
      <c r="AO1374" s="32"/>
      <c r="AP1374" s="32"/>
      <c r="AQ1374" s="32"/>
      <c r="AR1374" s="32"/>
      <c r="AS1374" s="32"/>
      <c r="AT1374" s="32"/>
      <c r="AU1374" s="32"/>
      <c r="AV1374" s="32"/>
      <c r="AW1374" s="32"/>
      <c r="AX1374" s="32"/>
    </row>
    <row r="1375">
      <c r="A1375" s="32"/>
      <c r="B1375" s="32"/>
      <c r="C1375" s="32"/>
      <c r="D1375" s="32"/>
      <c r="E1375" s="32">
        <f>IFERROR(__xludf.DUMMYFUNCTION("""COMPUTED_VALUE"""),1.0)</f>
        <v>1</v>
      </c>
      <c r="F1375" s="44">
        <f>IFERROR(__xludf.DUMMYFUNCTION("""COMPUTED_VALUE"""),0.0)</f>
        <v>0</v>
      </c>
      <c r="G1375" s="32"/>
      <c r="H1375" s="32"/>
      <c r="I1375" s="32"/>
      <c r="J1375" s="32"/>
      <c r="K1375" s="32"/>
      <c r="L1375" s="32"/>
      <c r="M1375" s="32"/>
      <c r="N1375" s="32"/>
      <c r="O1375" s="32"/>
      <c r="P1375" s="32"/>
      <c r="Q1375" s="32"/>
      <c r="R1375" s="32"/>
      <c r="S1375" s="32"/>
      <c r="T1375" s="32"/>
      <c r="U1375" s="32"/>
      <c r="V1375" s="32"/>
      <c r="W1375" s="32"/>
      <c r="X1375" s="32"/>
      <c r="Y1375" s="32"/>
      <c r="Z1375" s="32"/>
      <c r="AA1375" s="32"/>
      <c r="AB1375" s="32"/>
      <c r="AC1375" s="32"/>
      <c r="AD1375" s="32"/>
      <c r="AE1375" s="32"/>
      <c r="AF1375" s="32"/>
      <c r="AG1375" s="32"/>
      <c r="AH1375" s="32" t="b">
        <f>IFERROR(__xludf.DUMMYFUNCTION("""COMPUTED_VALUE"""),FALSE)</f>
        <v>0</v>
      </c>
      <c r="AI1375" s="32"/>
      <c r="AJ1375" s="32"/>
      <c r="AK1375" s="32"/>
      <c r="AL1375" s="32"/>
      <c r="AM1375" s="32"/>
      <c r="AN1375" s="32"/>
      <c r="AO1375" s="32"/>
      <c r="AP1375" s="32"/>
      <c r="AQ1375" s="32"/>
      <c r="AR1375" s="32"/>
      <c r="AS1375" s="32"/>
      <c r="AT1375" s="32"/>
      <c r="AU1375" s="32"/>
      <c r="AV1375" s="32"/>
      <c r="AW1375" s="32"/>
      <c r="AX1375" s="32"/>
    </row>
    <row r="1376">
      <c r="A1376" s="32"/>
      <c r="B1376" s="32"/>
      <c r="C1376" s="32"/>
      <c r="D1376" s="32"/>
      <c r="E1376" s="32">
        <f>IFERROR(__xludf.DUMMYFUNCTION("""COMPUTED_VALUE"""),1.0)</f>
        <v>1</v>
      </c>
      <c r="F1376" s="44">
        <f>IFERROR(__xludf.DUMMYFUNCTION("""COMPUTED_VALUE"""),0.0)</f>
        <v>0</v>
      </c>
      <c r="G1376" s="32"/>
      <c r="H1376" s="32"/>
      <c r="I1376" s="32"/>
      <c r="J1376" s="32"/>
      <c r="K1376" s="32"/>
      <c r="L1376" s="32"/>
      <c r="M1376" s="32"/>
      <c r="N1376" s="32"/>
      <c r="O1376" s="32"/>
      <c r="P1376" s="32"/>
      <c r="Q1376" s="32"/>
      <c r="R1376" s="32"/>
      <c r="S1376" s="32"/>
      <c r="T1376" s="32"/>
      <c r="U1376" s="32"/>
      <c r="V1376" s="32"/>
      <c r="W1376" s="32"/>
      <c r="X1376" s="32"/>
      <c r="Y1376" s="32"/>
      <c r="Z1376" s="32"/>
      <c r="AA1376" s="32"/>
      <c r="AB1376" s="32"/>
      <c r="AC1376" s="32"/>
      <c r="AD1376" s="32"/>
      <c r="AE1376" s="32"/>
      <c r="AF1376" s="32"/>
      <c r="AG1376" s="32"/>
      <c r="AH1376" s="32" t="b">
        <f>IFERROR(__xludf.DUMMYFUNCTION("""COMPUTED_VALUE"""),FALSE)</f>
        <v>0</v>
      </c>
      <c r="AI1376" s="32"/>
      <c r="AJ1376" s="32"/>
      <c r="AK1376" s="32"/>
      <c r="AL1376" s="32"/>
      <c r="AM1376" s="32"/>
      <c r="AN1376" s="32"/>
      <c r="AO1376" s="32"/>
      <c r="AP1376" s="32"/>
      <c r="AQ1376" s="32"/>
      <c r="AR1376" s="32"/>
      <c r="AS1376" s="32"/>
      <c r="AT1376" s="32"/>
      <c r="AU1376" s="32"/>
      <c r="AV1376" s="32"/>
      <c r="AW1376" s="32"/>
      <c r="AX1376" s="32"/>
    </row>
    <row r="1377">
      <c r="A1377" s="32"/>
      <c r="B1377" s="32"/>
      <c r="C1377" s="32"/>
      <c r="D1377" s="32"/>
      <c r="E1377" s="32">
        <f>IFERROR(__xludf.DUMMYFUNCTION("""COMPUTED_VALUE"""),1.0)</f>
        <v>1</v>
      </c>
      <c r="F1377" s="44">
        <f>IFERROR(__xludf.DUMMYFUNCTION("""COMPUTED_VALUE"""),0.0)</f>
        <v>0</v>
      </c>
      <c r="G1377" s="32"/>
      <c r="H1377" s="32"/>
      <c r="I1377" s="32"/>
      <c r="J1377" s="32"/>
      <c r="K1377" s="32"/>
      <c r="L1377" s="32"/>
      <c r="M1377" s="32"/>
      <c r="N1377" s="32"/>
      <c r="O1377" s="32"/>
      <c r="P1377" s="32"/>
      <c r="Q1377" s="32"/>
      <c r="R1377" s="32"/>
      <c r="S1377" s="32"/>
      <c r="T1377" s="32"/>
      <c r="U1377" s="32"/>
      <c r="V1377" s="32"/>
      <c r="W1377" s="32"/>
      <c r="X1377" s="32"/>
      <c r="Y1377" s="32"/>
      <c r="Z1377" s="32"/>
      <c r="AA1377" s="32"/>
      <c r="AB1377" s="32"/>
      <c r="AC1377" s="32"/>
      <c r="AD1377" s="32"/>
      <c r="AE1377" s="32"/>
      <c r="AF1377" s="32"/>
      <c r="AG1377" s="32"/>
      <c r="AH1377" s="32" t="b">
        <f>IFERROR(__xludf.DUMMYFUNCTION("""COMPUTED_VALUE"""),FALSE)</f>
        <v>0</v>
      </c>
      <c r="AI1377" s="32"/>
      <c r="AJ1377" s="32"/>
      <c r="AK1377" s="32"/>
      <c r="AL1377" s="32"/>
      <c r="AM1377" s="32"/>
      <c r="AN1377" s="32"/>
      <c r="AO1377" s="32"/>
      <c r="AP1377" s="32"/>
      <c r="AQ1377" s="32"/>
      <c r="AR1377" s="32"/>
      <c r="AS1377" s="32"/>
      <c r="AT1377" s="32"/>
      <c r="AU1377" s="32"/>
      <c r="AV1377" s="32"/>
      <c r="AW1377" s="32"/>
      <c r="AX1377" s="32"/>
    </row>
    <row r="1378">
      <c r="A1378" s="32"/>
      <c r="B1378" s="32"/>
      <c r="C1378" s="32"/>
      <c r="D1378" s="32"/>
      <c r="E1378" s="32">
        <f>IFERROR(__xludf.DUMMYFUNCTION("""COMPUTED_VALUE"""),1.0)</f>
        <v>1</v>
      </c>
      <c r="F1378" s="44">
        <f>IFERROR(__xludf.DUMMYFUNCTION("""COMPUTED_VALUE"""),0.0)</f>
        <v>0</v>
      </c>
      <c r="G1378" s="32"/>
      <c r="H1378" s="32"/>
      <c r="I1378" s="32"/>
      <c r="J1378" s="32"/>
      <c r="K1378" s="32"/>
      <c r="L1378" s="32"/>
      <c r="M1378" s="32"/>
      <c r="N1378" s="32"/>
      <c r="O1378" s="32"/>
      <c r="P1378" s="32"/>
      <c r="Q1378" s="32"/>
      <c r="R1378" s="32"/>
      <c r="S1378" s="32"/>
      <c r="T1378" s="32"/>
      <c r="U1378" s="32"/>
      <c r="V1378" s="32"/>
      <c r="W1378" s="32"/>
      <c r="X1378" s="32"/>
      <c r="Y1378" s="32"/>
      <c r="Z1378" s="32"/>
      <c r="AA1378" s="32"/>
      <c r="AB1378" s="32"/>
      <c r="AC1378" s="32"/>
      <c r="AD1378" s="32"/>
      <c r="AE1378" s="32"/>
      <c r="AF1378" s="32"/>
      <c r="AG1378" s="32"/>
      <c r="AH1378" s="32" t="b">
        <f>IFERROR(__xludf.DUMMYFUNCTION("""COMPUTED_VALUE"""),FALSE)</f>
        <v>0</v>
      </c>
      <c r="AI1378" s="32"/>
      <c r="AJ1378" s="32"/>
      <c r="AK1378" s="32"/>
      <c r="AL1378" s="32"/>
      <c r="AM1378" s="32"/>
      <c r="AN1378" s="32"/>
      <c r="AO1378" s="32"/>
      <c r="AP1378" s="32"/>
      <c r="AQ1378" s="32"/>
      <c r="AR1378" s="32"/>
      <c r="AS1378" s="32"/>
      <c r="AT1378" s="32"/>
      <c r="AU1378" s="32"/>
      <c r="AV1378" s="32"/>
      <c r="AW1378" s="32"/>
      <c r="AX1378" s="32"/>
    </row>
    <row r="1379">
      <c r="A1379" s="32"/>
      <c r="B1379" s="32"/>
      <c r="C1379" s="32"/>
      <c r="D1379" s="32"/>
      <c r="E1379" s="32">
        <f>IFERROR(__xludf.DUMMYFUNCTION("""COMPUTED_VALUE"""),1.0)</f>
        <v>1</v>
      </c>
      <c r="F1379" s="44">
        <f>IFERROR(__xludf.DUMMYFUNCTION("""COMPUTED_VALUE"""),0.0)</f>
        <v>0</v>
      </c>
      <c r="G1379" s="32"/>
      <c r="H1379" s="32"/>
      <c r="I1379" s="32"/>
      <c r="J1379" s="32"/>
      <c r="K1379" s="32"/>
      <c r="L1379" s="32"/>
      <c r="M1379" s="32"/>
      <c r="N1379" s="32"/>
      <c r="O1379" s="32"/>
      <c r="P1379" s="32"/>
      <c r="Q1379" s="32"/>
      <c r="R1379" s="32"/>
      <c r="S1379" s="32"/>
      <c r="T1379" s="32"/>
      <c r="U1379" s="32"/>
      <c r="V1379" s="32"/>
      <c r="W1379" s="32"/>
      <c r="X1379" s="32"/>
      <c r="Y1379" s="32"/>
      <c r="Z1379" s="32"/>
      <c r="AA1379" s="32"/>
      <c r="AB1379" s="32"/>
      <c r="AC1379" s="32"/>
      <c r="AD1379" s="32"/>
      <c r="AE1379" s="32"/>
      <c r="AF1379" s="32"/>
      <c r="AG1379" s="32"/>
      <c r="AH1379" s="32" t="b">
        <f>IFERROR(__xludf.DUMMYFUNCTION("""COMPUTED_VALUE"""),FALSE)</f>
        <v>0</v>
      </c>
      <c r="AI1379" s="32"/>
      <c r="AJ1379" s="32"/>
      <c r="AK1379" s="32"/>
      <c r="AL1379" s="32"/>
      <c r="AM1379" s="32"/>
      <c r="AN1379" s="32"/>
      <c r="AO1379" s="32"/>
      <c r="AP1379" s="32"/>
      <c r="AQ1379" s="32"/>
      <c r="AR1379" s="32"/>
      <c r="AS1379" s="32"/>
      <c r="AT1379" s="32"/>
      <c r="AU1379" s="32"/>
      <c r="AV1379" s="32"/>
      <c r="AW1379" s="32"/>
      <c r="AX1379" s="32"/>
    </row>
    <row r="1380">
      <c r="A1380" s="32"/>
      <c r="B1380" s="32"/>
      <c r="C1380" s="32"/>
      <c r="D1380" s="32"/>
      <c r="E1380" s="32">
        <f>IFERROR(__xludf.DUMMYFUNCTION("""COMPUTED_VALUE"""),1.0)</f>
        <v>1</v>
      </c>
      <c r="F1380" s="44">
        <f>IFERROR(__xludf.DUMMYFUNCTION("""COMPUTED_VALUE"""),0.0)</f>
        <v>0</v>
      </c>
      <c r="G1380" s="32"/>
      <c r="H1380" s="32"/>
      <c r="I1380" s="32"/>
      <c r="J1380" s="32"/>
      <c r="K1380" s="32"/>
      <c r="L1380" s="32"/>
      <c r="M1380" s="32"/>
      <c r="N1380" s="32"/>
      <c r="O1380" s="32"/>
      <c r="P1380" s="32"/>
      <c r="Q1380" s="32"/>
      <c r="R1380" s="32"/>
      <c r="S1380" s="32"/>
      <c r="T1380" s="32"/>
      <c r="U1380" s="32"/>
      <c r="V1380" s="32"/>
      <c r="W1380" s="32"/>
      <c r="X1380" s="32"/>
      <c r="Y1380" s="32"/>
      <c r="Z1380" s="32"/>
      <c r="AA1380" s="32"/>
      <c r="AB1380" s="32"/>
      <c r="AC1380" s="32"/>
      <c r="AD1380" s="32"/>
      <c r="AE1380" s="32"/>
      <c r="AF1380" s="32"/>
      <c r="AG1380" s="32"/>
      <c r="AH1380" s="32" t="b">
        <f>IFERROR(__xludf.DUMMYFUNCTION("""COMPUTED_VALUE"""),FALSE)</f>
        <v>0</v>
      </c>
      <c r="AI1380" s="32"/>
      <c r="AJ1380" s="32"/>
      <c r="AK1380" s="32"/>
      <c r="AL1380" s="32"/>
      <c r="AM1380" s="32"/>
      <c r="AN1380" s="32"/>
      <c r="AO1380" s="32"/>
      <c r="AP1380" s="32"/>
      <c r="AQ1380" s="32"/>
      <c r="AR1380" s="32"/>
      <c r="AS1380" s="32"/>
      <c r="AT1380" s="32"/>
      <c r="AU1380" s="32"/>
      <c r="AV1380" s="32"/>
      <c r="AW1380" s="32"/>
      <c r="AX1380" s="32"/>
    </row>
    <row r="1381">
      <c r="A1381" s="32"/>
      <c r="B1381" s="32"/>
      <c r="C1381" s="32"/>
      <c r="D1381" s="32"/>
      <c r="E1381" s="32">
        <f>IFERROR(__xludf.DUMMYFUNCTION("""COMPUTED_VALUE"""),1.0)</f>
        <v>1</v>
      </c>
      <c r="F1381" s="44">
        <f>IFERROR(__xludf.DUMMYFUNCTION("""COMPUTED_VALUE"""),0.0)</f>
        <v>0</v>
      </c>
      <c r="G1381" s="32"/>
      <c r="H1381" s="32"/>
      <c r="I1381" s="32"/>
      <c r="J1381" s="32"/>
      <c r="K1381" s="32"/>
      <c r="L1381" s="32"/>
      <c r="M1381" s="32"/>
      <c r="N1381" s="32"/>
      <c r="O1381" s="32"/>
      <c r="P1381" s="32"/>
      <c r="Q1381" s="32"/>
      <c r="R1381" s="32"/>
      <c r="S1381" s="32"/>
      <c r="T1381" s="32"/>
      <c r="U1381" s="32"/>
      <c r="V1381" s="32"/>
      <c r="W1381" s="32"/>
      <c r="X1381" s="32"/>
      <c r="Y1381" s="32"/>
      <c r="Z1381" s="32"/>
      <c r="AA1381" s="32"/>
      <c r="AB1381" s="32"/>
      <c r="AC1381" s="32"/>
      <c r="AD1381" s="32"/>
      <c r="AE1381" s="32"/>
      <c r="AF1381" s="32"/>
      <c r="AG1381" s="32"/>
      <c r="AH1381" s="32" t="b">
        <f>IFERROR(__xludf.DUMMYFUNCTION("""COMPUTED_VALUE"""),FALSE)</f>
        <v>0</v>
      </c>
      <c r="AI1381" s="32"/>
      <c r="AJ1381" s="32"/>
      <c r="AK1381" s="32"/>
      <c r="AL1381" s="32"/>
      <c r="AM1381" s="32"/>
      <c r="AN1381" s="32"/>
      <c r="AO1381" s="32"/>
      <c r="AP1381" s="32"/>
      <c r="AQ1381" s="32"/>
      <c r="AR1381" s="32"/>
      <c r="AS1381" s="32"/>
      <c r="AT1381" s="32"/>
      <c r="AU1381" s="32"/>
      <c r="AV1381" s="32"/>
      <c r="AW1381" s="32"/>
      <c r="AX1381" s="32"/>
    </row>
    <row r="1382">
      <c r="A1382" s="32"/>
      <c r="B1382" s="32"/>
      <c r="C1382" s="32"/>
      <c r="D1382" s="32"/>
      <c r="E1382" s="32">
        <f>IFERROR(__xludf.DUMMYFUNCTION("""COMPUTED_VALUE"""),1.0)</f>
        <v>1</v>
      </c>
      <c r="F1382" s="44">
        <f>IFERROR(__xludf.DUMMYFUNCTION("""COMPUTED_VALUE"""),0.0)</f>
        <v>0</v>
      </c>
      <c r="G1382" s="32"/>
      <c r="H1382" s="32"/>
      <c r="I1382" s="32"/>
      <c r="J1382" s="32"/>
      <c r="K1382" s="32"/>
      <c r="L1382" s="32"/>
      <c r="M1382" s="32"/>
      <c r="N1382" s="32"/>
      <c r="O1382" s="32"/>
      <c r="P1382" s="32"/>
      <c r="Q1382" s="32"/>
      <c r="R1382" s="32"/>
      <c r="S1382" s="32"/>
      <c r="T1382" s="32"/>
      <c r="U1382" s="32"/>
      <c r="V1382" s="32"/>
      <c r="W1382" s="32"/>
      <c r="X1382" s="32"/>
      <c r="Y1382" s="32"/>
      <c r="Z1382" s="32"/>
      <c r="AA1382" s="32"/>
      <c r="AB1382" s="32"/>
      <c r="AC1382" s="32"/>
      <c r="AD1382" s="32"/>
      <c r="AE1382" s="32"/>
      <c r="AF1382" s="32"/>
      <c r="AG1382" s="32"/>
      <c r="AH1382" s="32" t="b">
        <f>IFERROR(__xludf.DUMMYFUNCTION("""COMPUTED_VALUE"""),FALSE)</f>
        <v>0</v>
      </c>
      <c r="AI1382" s="32"/>
      <c r="AJ1382" s="32"/>
      <c r="AK1382" s="32"/>
      <c r="AL1382" s="32"/>
      <c r="AM1382" s="32"/>
      <c r="AN1382" s="32"/>
      <c r="AO1382" s="32"/>
      <c r="AP1382" s="32"/>
      <c r="AQ1382" s="32"/>
      <c r="AR1382" s="32"/>
      <c r="AS1382" s="32"/>
      <c r="AT1382" s="32"/>
      <c r="AU1382" s="32"/>
      <c r="AV1382" s="32"/>
      <c r="AW1382" s="32"/>
      <c r="AX1382" s="32"/>
    </row>
    <row r="1383">
      <c r="A1383" s="32"/>
      <c r="B1383" s="32"/>
      <c r="C1383" s="32"/>
      <c r="D1383" s="32"/>
      <c r="E1383" s="32">
        <f>IFERROR(__xludf.DUMMYFUNCTION("""COMPUTED_VALUE"""),1.0)</f>
        <v>1</v>
      </c>
      <c r="F1383" s="44">
        <f>IFERROR(__xludf.DUMMYFUNCTION("""COMPUTED_VALUE"""),0.0)</f>
        <v>0</v>
      </c>
      <c r="G1383" s="32"/>
      <c r="H1383" s="32"/>
      <c r="I1383" s="32"/>
      <c r="J1383" s="32"/>
      <c r="K1383" s="32"/>
      <c r="L1383" s="32"/>
      <c r="M1383" s="32"/>
      <c r="N1383" s="32"/>
      <c r="O1383" s="32"/>
      <c r="P1383" s="32"/>
      <c r="Q1383" s="32"/>
      <c r="R1383" s="32"/>
      <c r="S1383" s="32"/>
      <c r="T1383" s="32"/>
      <c r="U1383" s="32"/>
      <c r="V1383" s="32"/>
      <c r="W1383" s="32"/>
      <c r="X1383" s="32"/>
      <c r="Y1383" s="32"/>
      <c r="Z1383" s="32"/>
      <c r="AA1383" s="32"/>
      <c r="AB1383" s="32"/>
      <c r="AC1383" s="32"/>
      <c r="AD1383" s="32"/>
      <c r="AE1383" s="32"/>
      <c r="AF1383" s="32"/>
      <c r="AG1383" s="32"/>
      <c r="AH1383" s="32" t="b">
        <f>IFERROR(__xludf.DUMMYFUNCTION("""COMPUTED_VALUE"""),FALSE)</f>
        <v>0</v>
      </c>
      <c r="AI1383" s="32"/>
      <c r="AJ1383" s="32"/>
      <c r="AK1383" s="32"/>
      <c r="AL1383" s="32"/>
      <c r="AM1383" s="32"/>
      <c r="AN1383" s="32"/>
      <c r="AO1383" s="32"/>
      <c r="AP1383" s="32"/>
      <c r="AQ1383" s="32"/>
      <c r="AR1383" s="32"/>
      <c r="AS1383" s="32"/>
      <c r="AT1383" s="32"/>
      <c r="AU1383" s="32"/>
      <c r="AV1383" s="32"/>
      <c r="AW1383" s="32"/>
      <c r="AX1383" s="32"/>
    </row>
    <row r="1384">
      <c r="A1384" s="32"/>
      <c r="B1384" s="32"/>
      <c r="C1384" s="32"/>
      <c r="D1384" s="32"/>
      <c r="E1384" s="32">
        <f>IFERROR(__xludf.DUMMYFUNCTION("""COMPUTED_VALUE"""),1.0)</f>
        <v>1</v>
      </c>
      <c r="F1384" s="44">
        <f>IFERROR(__xludf.DUMMYFUNCTION("""COMPUTED_VALUE"""),0.0)</f>
        <v>0</v>
      </c>
      <c r="G1384" s="32"/>
      <c r="H1384" s="32"/>
      <c r="I1384" s="32"/>
      <c r="J1384" s="32"/>
      <c r="K1384" s="32"/>
      <c r="L1384" s="32"/>
      <c r="M1384" s="32"/>
      <c r="N1384" s="32"/>
      <c r="O1384" s="32"/>
      <c r="P1384" s="32"/>
      <c r="Q1384" s="32"/>
      <c r="R1384" s="32"/>
      <c r="S1384" s="32"/>
      <c r="T1384" s="32"/>
      <c r="U1384" s="32"/>
      <c r="V1384" s="32"/>
      <c r="W1384" s="32"/>
      <c r="X1384" s="32"/>
      <c r="Y1384" s="32"/>
      <c r="Z1384" s="32"/>
      <c r="AA1384" s="32"/>
      <c r="AB1384" s="32"/>
      <c r="AC1384" s="32"/>
      <c r="AD1384" s="32"/>
      <c r="AE1384" s="32"/>
      <c r="AF1384" s="32"/>
      <c r="AG1384" s="32"/>
      <c r="AH1384" s="32" t="b">
        <f>IFERROR(__xludf.DUMMYFUNCTION("""COMPUTED_VALUE"""),FALSE)</f>
        <v>0</v>
      </c>
      <c r="AI1384" s="32"/>
      <c r="AJ1384" s="32"/>
      <c r="AK1384" s="32"/>
      <c r="AL1384" s="32"/>
      <c r="AM1384" s="32"/>
      <c r="AN1384" s="32"/>
      <c r="AO1384" s="32"/>
      <c r="AP1384" s="32"/>
      <c r="AQ1384" s="32"/>
      <c r="AR1384" s="32"/>
      <c r="AS1384" s="32"/>
      <c r="AT1384" s="32"/>
      <c r="AU1384" s="32"/>
      <c r="AV1384" s="32"/>
      <c r="AW1384" s="32"/>
      <c r="AX1384" s="32"/>
    </row>
    <row r="1385">
      <c r="A1385" s="32"/>
      <c r="B1385" s="32"/>
      <c r="C1385" s="32"/>
      <c r="D1385" s="32"/>
      <c r="E1385" s="32">
        <f>IFERROR(__xludf.DUMMYFUNCTION("""COMPUTED_VALUE"""),1.0)</f>
        <v>1</v>
      </c>
      <c r="F1385" s="44">
        <f>IFERROR(__xludf.DUMMYFUNCTION("""COMPUTED_VALUE"""),0.0)</f>
        <v>0</v>
      </c>
      <c r="G1385" s="32"/>
      <c r="H1385" s="32"/>
      <c r="I1385" s="32"/>
      <c r="J1385" s="32"/>
      <c r="K1385" s="32"/>
      <c r="L1385" s="32"/>
      <c r="M1385" s="32"/>
      <c r="N1385" s="32"/>
      <c r="O1385" s="32"/>
      <c r="P1385" s="32"/>
      <c r="Q1385" s="32"/>
      <c r="R1385" s="32"/>
      <c r="S1385" s="32"/>
      <c r="T1385" s="32"/>
      <c r="U1385" s="32"/>
      <c r="V1385" s="32"/>
      <c r="W1385" s="32"/>
      <c r="X1385" s="32"/>
      <c r="Y1385" s="32"/>
      <c r="Z1385" s="32"/>
      <c r="AA1385" s="32"/>
      <c r="AB1385" s="32"/>
      <c r="AC1385" s="32"/>
      <c r="AD1385" s="32"/>
      <c r="AE1385" s="32"/>
      <c r="AF1385" s="32"/>
      <c r="AG1385" s="32"/>
      <c r="AH1385" s="32" t="b">
        <f>IFERROR(__xludf.DUMMYFUNCTION("""COMPUTED_VALUE"""),FALSE)</f>
        <v>0</v>
      </c>
      <c r="AI1385" s="32"/>
      <c r="AJ1385" s="32"/>
      <c r="AK1385" s="32"/>
      <c r="AL1385" s="32"/>
      <c r="AM1385" s="32"/>
      <c r="AN1385" s="32"/>
      <c r="AO1385" s="32"/>
      <c r="AP1385" s="32"/>
      <c r="AQ1385" s="32"/>
      <c r="AR1385" s="32"/>
      <c r="AS1385" s="32"/>
      <c r="AT1385" s="32"/>
      <c r="AU1385" s="32"/>
      <c r="AV1385" s="32"/>
      <c r="AW1385" s="32"/>
      <c r="AX1385" s="32"/>
    </row>
    <row r="1386">
      <c r="A1386" s="32"/>
      <c r="B1386" s="32"/>
      <c r="C1386" s="32"/>
      <c r="D1386" s="32"/>
      <c r="E1386" s="32">
        <f>IFERROR(__xludf.DUMMYFUNCTION("""COMPUTED_VALUE"""),1.0)</f>
        <v>1</v>
      </c>
      <c r="F1386" s="44">
        <f>IFERROR(__xludf.DUMMYFUNCTION("""COMPUTED_VALUE"""),0.0)</f>
        <v>0</v>
      </c>
      <c r="G1386" s="32"/>
      <c r="H1386" s="32"/>
      <c r="I1386" s="32"/>
      <c r="J1386" s="32"/>
      <c r="K1386" s="32"/>
      <c r="L1386" s="32"/>
      <c r="M1386" s="32"/>
      <c r="N1386" s="32"/>
      <c r="O1386" s="32"/>
      <c r="P1386" s="32"/>
      <c r="Q1386" s="32"/>
      <c r="R1386" s="32"/>
      <c r="S1386" s="32"/>
      <c r="T1386" s="32"/>
      <c r="U1386" s="32"/>
      <c r="V1386" s="32"/>
      <c r="W1386" s="32"/>
      <c r="X1386" s="32"/>
      <c r="Y1386" s="32"/>
      <c r="Z1386" s="32"/>
      <c r="AA1386" s="32"/>
      <c r="AB1386" s="32"/>
      <c r="AC1386" s="32"/>
      <c r="AD1386" s="32"/>
      <c r="AE1386" s="32"/>
      <c r="AF1386" s="32"/>
      <c r="AG1386" s="32"/>
      <c r="AH1386" s="32" t="b">
        <f>IFERROR(__xludf.DUMMYFUNCTION("""COMPUTED_VALUE"""),FALSE)</f>
        <v>0</v>
      </c>
      <c r="AI1386" s="32"/>
      <c r="AJ1386" s="32"/>
      <c r="AK1386" s="32"/>
      <c r="AL1386" s="32"/>
      <c r="AM1386" s="32"/>
      <c r="AN1386" s="32"/>
      <c r="AO1386" s="32"/>
      <c r="AP1386" s="32"/>
      <c r="AQ1386" s="32"/>
      <c r="AR1386" s="32"/>
      <c r="AS1386" s="32"/>
      <c r="AT1386" s="32"/>
      <c r="AU1386" s="32"/>
      <c r="AV1386" s="32"/>
      <c r="AW1386" s="32"/>
      <c r="AX1386" s="32"/>
    </row>
    <row r="1387">
      <c r="A1387" s="32"/>
      <c r="B1387" s="32"/>
      <c r="C1387" s="32"/>
      <c r="D1387" s="32"/>
      <c r="E1387" s="32">
        <f>IFERROR(__xludf.DUMMYFUNCTION("""COMPUTED_VALUE"""),1.0)</f>
        <v>1</v>
      </c>
      <c r="F1387" s="44">
        <f>IFERROR(__xludf.DUMMYFUNCTION("""COMPUTED_VALUE"""),0.0)</f>
        <v>0</v>
      </c>
      <c r="G1387" s="32"/>
      <c r="H1387" s="32"/>
      <c r="I1387" s="32"/>
      <c r="J1387" s="32"/>
      <c r="K1387" s="32"/>
      <c r="L1387" s="32"/>
      <c r="M1387" s="32"/>
      <c r="N1387" s="32"/>
      <c r="O1387" s="32"/>
      <c r="P1387" s="32"/>
      <c r="Q1387" s="32"/>
      <c r="R1387" s="32"/>
      <c r="S1387" s="32"/>
      <c r="T1387" s="32"/>
      <c r="U1387" s="32"/>
      <c r="V1387" s="32"/>
      <c r="W1387" s="32"/>
      <c r="X1387" s="32"/>
      <c r="Y1387" s="32"/>
      <c r="Z1387" s="32"/>
      <c r="AA1387" s="32"/>
      <c r="AB1387" s="32"/>
      <c r="AC1387" s="32"/>
      <c r="AD1387" s="32"/>
      <c r="AE1387" s="32"/>
      <c r="AF1387" s="32"/>
      <c r="AG1387" s="32"/>
      <c r="AH1387" s="32" t="b">
        <f>IFERROR(__xludf.DUMMYFUNCTION("""COMPUTED_VALUE"""),FALSE)</f>
        <v>0</v>
      </c>
      <c r="AI1387" s="32"/>
      <c r="AJ1387" s="32"/>
      <c r="AK1387" s="32"/>
      <c r="AL1387" s="32"/>
      <c r="AM1387" s="32"/>
      <c r="AN1387" s="32"/>
      <c r="AO1387" s="32"/>
      <c r="AP1387" s="32"/>
      <c r="AQ1387" s="32"/>
      <c r="AR1387" s="32"/>
      <c r="AS1387" s="32"/>
      <c r="AT1387" s="32"/>
      <c r="AU1387" s="32"/>
      <c r="AV1387" s="32"/>
      <c r="AW1387" s="32"/>
      <c r="AX1387" s="32"/>
    </row>
    <row r="1388">
      <c r="A1388" s="32"/>
      <c r="B1388" s="32"/>
      <c r="C1388" s="32"/>
      <c r="D1388" s="32"/>
      <c r="E1388" s="32">
        <f>IFERROR(__xludf.DUMMYFUNCTION("""COMPUTED_VALUE"""),1.0)</f>
        <v>1</v>
      </c>
      <c r="F1388" s="44">
        <f>IFERROR(__xludf.DUMMYFUNCTION("""COMPUTED_VALUE"""),0.0)</f>
        <v>0</v>
      </c>
      <c r="G1388" s="32"/>
      <c r="H1388" s="32"/>
      <c r="I1388" s="32"/>
      <c r="J1388" s="32"/>
      <c r="K1388" s="32"/>
      <c r="L1388" s="32"/>
      <c r="M1388" s="32"/>
      <c r="N1388" s="32"/>
      <c r="O1388" s="32"/>
      <c r="P1388" s="32"/>
      <c r="Q1388" s="32"/>
      <c r="R1388" s="32"/>
      <c r="S1388" s="32"/>
      <c r="T1388" s="32"/>
      <c r="U1388" s="32"/>
      <c r="V1388" s="32"/>
      <c r="W1388" s="32"/>
      <c r="X1388" s="32"/>
      <c r="Y1388" s="32"/>
      <c r="Z1388" s="32"/>
      <c r="AA1388" s="32"/>
      <c r="AB1388" s="32"/>
      <c r="AC1388" s="32"/>
      <c r="AD1388" s="32"/>
      <c r="AE1388" s="32"/>
      <c r="AF1388" s="32"/>
      <c r="AG1388" s="32"/>
      <c r="AH1388" s="32" t="b">
        <f>IFERROR(__xludf.DUMMYFUNCTION("""COMPUTED_VALUE"""),FALSE)</f>
        <v>0</v>
      </c>
      <c r="AI1388" s="32"/>
      <c r="AJ1388" s="32"/>
      <c r="AK1388" s="32"/>
      <c r="AL1388" s="32"/>
      <c r="AM1388" s="32"/>
      <c r="AN1388" s="32"/>
      <c r="AO1388" s="32"/>
      <c r="AP1388" s="32"/>
      <c r="AQ1388" s="32"/>
      <c r="AR1388" s="32"/>
      <c r="AS1388" s="32"/>
      <c r="AT1388" s="32"/>
      <c r="AU1388" s="32"/>
      <c r="AV1388" s="32"/>
      <c r="AW1388" s="32"/>
      <c r="AX1388" s="32"/>
    </row>
    <row r="1389">
      <c r="A1389" s="32"/>
      <c r="B1389" s="32"/>
      <c r="C1389" s="32"/>
      <c r="D1389" s="32"/>
      <c r="E1389" s="32">
        <f>IFERROR(__xludf.DUMMYFUNCTION("""COMPUTED_VALUE"""),1.0)</f>
        <v>1</v>
      </c>
      <c r="F1389" s="44">
        <f>IFERROR(__xludf.DUMMYFUNCTION("""COMPUTED_VALUE"""),0.0)</f>
        <v>0</v>
      </c>
      <c r="G1389" s="32"/>
      <c r="H1389" s="32"/>
      <c r="I1389" s="32"/>
      <c r="J1389" s="32"/>
      <c r="K1389" s="32"/>
      <c r="L1389" s="32"/>
      <c r="M1389" s="32"/>
      <c r="N1389" s="32"/>
      <c r="O1389" s="32"/>
      <c r="P1389" s="32"/>
      <c r="Q1389" s="32"/>
      <c r="R1389" s="32"/>
      <c r="S1389" s="32"/>
      <c r="T1389" s="32"/>
      <c r="U1389" s="32"/>
      <c r="V1389" s="32"/>
      <c r="W1389" s="32"/>
      <c r="X1389" s="32"/>
      <c r="Y1389" s="32"/>
      <c r="Z1389" s="32"/>
      <c r="AA1389" s="32"/>
      <c r="AB1389" s="32"/>
      <c r="AC1389" s="32"/>
      <c r="AD1389" s="32"/>
      <c r="AE1389" s="32"/>
      <c r="AF1389" s="32"/>
      <c r="AG1389" s="32"/>
      <c r="AH1389" s="32" t="b">
        <f>IFERROR(__xludf.DUMMYFUNCTION("""COMPUTED_VALUE"""),FALSE)</f>
        <v>0</v>
      </c>
      <c r="AI1389" s="32"/>
      <c r="AJ1389" s="32"/>
      <c r="AK1389" s="32"/>
      <c r="AL1389" s="32"/>
      <c r="AM1389" s="32"/>
      <c r="AN1389" s="32"/>
      <c r="AO1389" s="32"/>
      <c r="AP1389" s="32"/>
      <c r="AQ1389" s="32"/>
      <c r="AR1389" s="32"/>
      <c r="AS1389" s="32"/>
      <c r="AT1389" s="32"/>
      <c r="AU1389" s="32"/>
      <c r="AV1389" s="32"/>
      <c r="AW1389" s="32"/>
      <c r="AX1389" s="32"/>
    </row>
    <row r="1390">
      <c r="A1390" s="32"/>
      <c r="B1390" s="32"/>
      <c r="C1390" s="32"/>
      <c r="D1390" s="32"/>
      <c r="E1390" s="32">
        <f>IFERROR(__xludf.DUMMYFUNCTION("""COMPUTED_VALUE"""),1.0)</f>
        <v>1</v>
      </c>
      <c r="F1390" s="44">
        <f>IFERROR(__xludf.DUMMYFUNCTION("""COMPUTED_VALUE"""),0.0)</f>
        <v>0</v>
      </c>
      <c r="G1390" s="32"/>
      <c r="H1390" s="32"/>
      <c r="I1390" s="32"/>
      <c r="J1390" s="32"/>
      <c r="K1390" s="32"/>
      <c r="L1390" s="32"/>
      <c r="M1390" s="32"/>
      <c r="N1390" s="32"/>
      <c r="O1390" s="32"/>
      <c r="P1390" s="32"/>
      <c r="Q1390" s="32"/>
      <c r="R1390" s="32"/>
      <c r="S1390" s="32"/>
      <c r="T1390" s="32"/>
      <c r="U1390" s="32"/>
      <c r="V1390" s="32"/>
      <c r="W1390" s="32"/>
      <c r="X1390" s="32"/>
      <c r="Y1390" s="32"/>
      <c r="Z1390" s="32"/>
      <c r="AA1390" s="32"/>
      <c r="AB1390" s="32"/>
      <c r="AC1390" s="32"/>
      <c r="AD1390" s="32"/>
      <c r="AE1390" s="32"/>
      <c r="AF1390" s="32"/>
      <c r="AG1390" s="32"/>
      <c r="AH1390" s="32" t="b">
        <f>IFERROR(__xludf.DUMMYFUNCTION("""COMPUTED_VALUE"""),FALSE)</f>
        <v>0</v>
      </c>
      <c r="AI1390" s="32"/>
      <c r="AJ1390" s="32"/>
      <c r="AK1390" s="32"/>
      <c r="AL1390" s="32"/>
      <c r="AM1390" s="32"/>
      <c r="AN1390" s="32"/>
      <c r="AO1390" s="32"/>
      <c r="AP1390" s="32"/>
      <c r="AQ1390" s="32"/>
      <c r="AR1390" s="32"/>
      <c r="AS1390" s="32"/>
      <c r="AT1390" s="32"/>
      <c r="AU1390" s="32"/>
      <c r="AV1390" s="32"/>
      <c r="AW1390" s="32"/>
      <c r="AX1390" s="32"/>
    </row>
    <row r="1391">
      <c r="A1391" s="32"/>
      <c r="B1391" s="32"/>
      <c r="C1391" s="32"/>
      <c r="D1391" s="32"/>
      <c r="E1391" s="32">
        <f>IFERROR(__xludf.DUMMYFUNCTION("""COMPUTED_VALUE"""),1.0)</f>
        <v>1</v>
      </c>
      <c r="F1391" s="44">
        <f>IFERROR(__xludf.DUMMYFUNCTION("""COMPUTED_VALUE"""),0.0)</f>
        <v>0</v>
      </c>
      <c r="G1391" s="32"/>
      <c r="H1391" s="32"/>
      <c r="I1391" s="32"/>
      <c r="J1391" s="32"/>
      <c r="K1391" s="32"/>
      <c r="L1391" s="32"/>
      <c r="M1391" s="32"/>
      <c r="N1391" s="32"/>
      <c r="O1391" s="32"/>
      <c r="P1391" s="32"/>
      <c r="Q1391" s="32"/>
      <c r="R1391" s="32"/>
      <c r="S1391" s="32"/>
      <c r="T1391" s="32"/>
      <c r="U1391" s="32"/>
      <c r="V1391" s="32"/>
      <c r="W1391" s="32"/>
      <c r="X1391" s="32"/>
      <c r="Y1391" s="32"/>
      <c r="Z1391" s="32"/>
      <c r="AA1391" s="32"/>
      <c r="AB1391" s="32"/>
      <c r="AC1391" s="32"/>
      <c r="AD1391" s="32"/>
      <c r="AE1391" s="32"/>
      <c r="AF1391" s="32"/>
      <c r="AG1391" s="32"/>
      <c r="AH1391" s="32" t="b">
        <f>IFERROR(__xludf.DUMMYFUNCTION("""COMPUTED_VALUE"""),FALSE)</f>
        <v>0</v>
      </c>
      <c r="AI1391" s="32"/>
      <c r="AJ1391" s="32"/>
      <c r="AK1391" s="32"/>
      <c r="AL1391" s="32"/>
      <c r="AM1391" s="32"/>
      <c r="AN1391" s="32"/>
      <c r="AO1391" s="32"/>
      <c r="AP1391" s="32"/>
      <c r="AQ1391" s="32"/>
      <c r="AR1391" s="32"/>
      <c r="AS1391" s="32"/>
      <c r="AT1391" s="32"/>
      <c r="AU1391" s="32"/>
      <c r="AV1391" s="32"/>
      <c r="AW1391" s="32"/>
      <c r="AX1391" s="32"/>
    </row>
    <row r="1392">
      <c r="A1392" s="32"/>
      <c r="B1392" s="32"/>
      <c r="C1392" s="32"/>
      <c r="D1392" s="32"/>
      <c r="E1392" s="32">
        <f>IFERROR(__xludf.DUMMYFUNCTION("""COMPUTED_VALUE"""),1.0)</f>
        <v>1</v>
      </c>
      <c r="F1392" s="44">
        <f>IFERROR(__xludf.DUMMYFUNCTION("""COMPUTED_VALUE"""),0.0)</f>
        <v>0</v>
      </c>
      <c r="G1392" s="32"/>
      <c r="H1392" s="32"/>
      <c r="I1392" s="32"/>
      <c r="J1392" s="32"/>
      <c r="K1392" s="32"/>
      <c r="L1392" s="32"/>
      <c r="M1392" s="32"/>
      <c r="N1392" s="32"/>
      <c r="O1392" s="32"/>
      <c r="P1392" s="32"/>
      <c r="Q1392" s="32"/>
      <c r="R1392" s="32"/>
      <c r="S1392" s="32"/>
      <c r="T1392" s="32"/>
      <c r="U1392" s="32"/>
      <c r="V1392" s="32"/>
      <c r="W1392" s="32"/>
      <c r="X1392" s="32"/>
      <c r="Y1392" s="32"/>
      <c r="Z1392" s="32"/>
      <c r="AA1392" s="32"/>
      <c r="AB1392" s="32"/>
      <c r="AC1392" s="32"/>
      <c r="AD1392" s="32"/>
      <c r="AE1392" s="32"/>
      <c r="AF1392" s="32"/>
      <c r="AG1392" s="32"/>
      <c r="AH1392" s="32" t="b">
        <f>IFERROR(__xludf.DUMMYFUNCTION("""COMPUTED_VALUE"""),FALSE)</f>
        <v>0</v>
      </c>
      <c r="AI1392" s="32"/>
      <c r="AJ1392" s="32"/>
      <c r="AK1392" s="32"/>
      <c r="AL1392" s="32"/>
      <c r="AM1392" s="32"/>
      <c r="AN1392" s="32"/>
      <c r="AO1392" s="32"/>
      <c r="AP1392" s="32"/>
      <c r="AQ1392" s="32"/>
      <c r="AR1392" s="32"/>
      <c r="AS1392" s="32"/>
      <c r="AT1392" s="32"/>
      <c r="AU1392" s="32"/>
      <c r="AV1392" s="32"/>
      <c r="AW1392" s="32"/>
      <c r="AX1392" s="32"/>
    </row>
    <row r="1393">
      <c r="A1393" s="32"/>
      <c r="B1393" s="32"/>
      <c r="C1393" s="32"/>
      <c r="D1393" s="32"/>
      <c r="E1393" s="32">
        <f>IFERROR(__xludf.DUMMYFUNCTION("""COMPUTED_VALUE"""),1.0)</f>
        <v>1</v>
      </c>
      <c r="F1393" s="44">
        <f>IFERROR(__xludf.DUMMYFUNCTION("""COMPUTED_VALUE"""),0.0)</f>
        <v>0</v>
      </c>
      <c r="G1393" s="32"/>
      <c r="H1393" s="32"/>
      <c r="I1393" s="32"/>
      <c r="J1393" s="32"/>
      <c r="K1393" s="32"/>
      <c r="L1393" s="32"/>
      <c r="M1393" s="32"/>
      <c r="N1393" s="32"/>
      <c r="O1393" s="32"/>
      <c r="P1393" s="32"/>
      <c r="Q1393" s="32"/>
      <c r="R1393" s="32"/>
      <c r="S1393" s="32"/>
      <c r="T1393" s="32"/>
      <c r="U1393" s="32"/>
      <c r="V1393" s="32"/>
      <c r="W1393" s="32"/>
      <c r="X1393" s="32"/>
      <c r="Y1393" s="32"/>
      <c r="Z1393" s="32"/>
      <c r="AA1393" s="32"/>
      <c r="AB1393" s="32"/>
      <c r="AC1393" s="32"/>
      <c r="AD1393" s="32"/>
      <c r="AE1393" s="32"/>
      <c r="AF1393" s="32"/>
      <c r="AG1393" s="32"/>
      <c r="AH1393" s="32" t="b">
        <f>IFERROR(__xludf.DUMMYFUNCTION("""COMPUTED_VALUE"""),FALSE)</f>
        <v>0</v>
      </c>
      <c r="AI1393" s="32"/>
      <c r="AJ1393" s="32"/>
      <c r="AK1393" s="32"/>
      <c r="AL1393" s="32"/>
      <c r="AM1393" s="32"/>
      <c r="AN1393" s="32"/>
      <c r="AO1393" s="32"/>
      <c r="AP1393" s="32"/>
      <c r="AQ1393" s="32"/>
      <c r="AR1393" s="32"/>
      <c r="AS1393" s="32"/>
      <c r="AT1393" s="32"/>
      <c r="AU1393" s="32"/>
      <c r="AV1393" s="32"/>
      <c r="AW1393" s="32"/>
      <c r="AX1393" s="32"/>
    </row>
    <row r="1394">
      <c r="A1394" s="32"/>
      <c r="B1394" s="32"/>
      <c r="C1394" s="32"/>
      <c r="D1394" s="32"/>
      <c r="E1394" s="32">
        <f>IFERROR(__xludf.DUMMYFUNCTION("""COMPUTED_VALUE"""),1.0)</f>
        <v>1</v>
      </c>
      <c r="F1394" s="44">
        <f>IFERROR(__xludf.DUMMYFUNCTION("""COMPUTED_VALUE"""),0.0)</f>
        <v>0</v>
      </c>
      <c r="G1394" s="32"/>
      <c r="H1394" s="32"/>
      <c r="I1394" s="32"/>
      <c r="J1394" s="32"/>
      <c r="K1394" s="32"/>
      <c r="L1394" s="32"/>
      <c r="M1394" s="32"/>
      <c r="N1394" s="32"/>
      <c r="O1394" s="32"/>
      <c r="P1394" s="32"/>
      <c r="Q1394" s="32"/>
      <c r="R1394" s="32"/>
      <c r="S1394" s="32"/>
      <c r="T1394" s="32"/>
      <c r="U1394" s="32"/>
      <c r="V1394" s="32"/>
      <c r="W1394" s="32"/>
      <c r="X1394" s="32"/>
      <c r="Y1394" s="32"/>
      <c r="Z1394" s="32"/>
      <c r="AA1394" s="32"/>
      <c r="AB1394" s="32"/>
      <c r="AC1394" s="32"/>
      <c r="AD1394" s="32"/>
      <c r="AE1394" s="32"/>
      <c r="AF1394" s="32"/>
      <c r="AG1394" s="32"/>
      <c r="AH1394" s="32" t="b">
        <f>IFERROR(__xludf.DUMMYFUNCTION("""COMPUTED_VALUE"""),FALSE)</f>
        <v>0</v>
      </c>
      <c r="AI1394" s="32"/>
      <c r="AJ1394" s="32"/>
      <c r="AK1394" s="32"/>
      <c r="AL1394" s="32"/>
      <c r="AM1394" s="32"/>
      <c r="AN1394" s="32"/>
      <c r="AO1394" s="32"/>
      <c r="AP1394" s="32"/>
      <c r="AQ1394" s="32"/>
      <c r="AR1394" s="32"/>
      <c r="AS1394" s="32"/>
      <c r="AT1394" s="32"/>
      <c r="AU1394" s="32"/>
      <c r="AV1394" s="32"/>
      <c r="AW1394" s="32"/>
      <c r="AX1394" s="32"/>
    </row>
    <row r="1395">
      <c r="A1395" s="32"/>
      <c r="B1395" s="32"/>
      <c r="C1395" s="32"/>
      <c r="D1395" s="32"/>
      <c r="E1395" s="32">
        <f>IFERROR(__xludf.DUMMYFUNCTION("""COMPUTED_VALUE"""),1.0)</f>
        <v>1</v>
      </c>
      <c r="F1395" s="44">
        <f>IFERROR(__xludf.DUMMYFUNCTION("""COMPUTED_VALUE"""),0.0)</f>
        <v>0</v>
      </c>
      <c r="G1395" s="32"/>
      <c r="H1395" s="32"/>
      <c r="I1395" s="32"/>
      <c r="J1395" s="32"/>
      <c r="K1395" s="32"/>
      <c r="L1395" s="32"/>
      <c r="M1395" s="32"/>
      <c r="N1395" s="32"/>
      <c r="O1395" s="32"/>
      <c r="P1395" s="32"/>
      <c r="Q1395" s="32"/>
      <c r="R1395" s="32"/>
      <c r="S1395" s="32"/>
      <c r="T1395" s="32"/>
      <c r="U1395" s="32"/>
      <c r="V1395" s="32"/>
      <c r="W1395" s="32"/>
      <c r="X1395" s="32"/>
      <c r="Y1395" s="32"/>
      <c r="Z1395" s="32"/>
      <c r="AA1395" s="32"/>
      <c r="AB1395" s="32"/>
      <c r="AC1395" s="32"/>
      <c r="AD1395" s="32"/>
      <c r="AE1395" s="32"/>
      <c r="AF1395" s="32"/>
      <c r="AG1395" s="32"/>
      <c r="AH1395" s="32" t="b">
        <f>IFERROR(__xludf.DUMMYFUNCTION("""COMPUTED_VALUE"""),FALSE)</f>
        <v>0</v>
      </c>
      <c r="AI1395" s="32"/>
      <c r="AJ1395" s="32"/>
      <c r="AK1395" s="32"/>
      <c r="AL1395" s="32"/>
      <c r="AM1395" s="32"/>
      <c r="AN1395" s="32"/>
      <c r="AO1395" s="32"/>
      <c r="AP1395" s="32"/>
      <c r="AQ1395" s="32"/>
      <c r="AR1395" s="32"/>
      <c r="AS1395" s="32"/>
      <c r="AT1395" s="32"/>
      <c r="AU1395" s="32"/>
      <c r="AV1395" s="32"/>
      <c r="AW1395" s="32"/>
      <c r="AX1395" s="32"/>
    </row>
    <row r="1396">
      <c r="A1396" s="32"/>
      <c r="B1396" s="32"/>
      <c r="C1396" s="32"/>
      <c r="D1396" s="32"/>
      <c r="E1396" s="32">
        <f>IFERROR(__xludf.DUMMYFUNCTION("""COMPUTED_VALUE"""),1.0)</f>
        <v>1</v>
      </c>
      <c r="F1396" s="44">
        <f>IFERROR(__xludf.DUMMYFUNCTION("""COMPUTED_VALUE"""),0.0)</f>
        <v>0</v>
      </c>
      <c r="G1396" s="32"/>
      <c r="H1396" s="32"/>
      <c r="I1396" s="32"/>
      <c r="J1396" s="32"/>
      <c r="K1396" s="32"/>
      <c r="L1396" s="32"/>
      <c r="M1396" s="32"/>
      <c r="N1396" s="32"/>
      <c r="O1396" s="32"/>
      <c r="P1396" s="32"/>
      <c r="Q1396" s="32"/>
      <c r="R1396" s="32"/>
      <c r="S1396" s="32"/>
      <c r="T1396" s="32"/>
      <c r="U1396" s="32"/>
      <c r="V1396" s="32"/>
      <c r="W1396" s="32"/>
      <c r="X1396" s="32"/>
      <c r="Y1396" s="32"/>
      <c r="Z1396" s="32"/>
      <c r="AA1396" s="32"/>
      <c r="AB1396" s="32"/>
      <c r="AC1396" s="32"/>
      <c r="AD1396" s="32"/>
      <c r="AE1396" s="32"/>
      <c r="AF1396" s="32"/>
      <c r="AG1396" s="32"/>
      <c r="AH1396" s="32" t="b">
        <f>IFERROR(__xludf.DUMMYFUNCTION("""COMPUTED_VALUE"""),FALSE)</f>
        <v>0</v>
      </c>
      <c r="AI1396" s="32"/>
      <c r="AJ1396" s="32"/>
      <c r="AK1396" s="32"/>
      <c r="AL1396" s="32"/>
      <c r="AM1396" s="32"/>
      <c r="AN1396" s="32"/>
      <c r="AO1396" s="32"/>
      <c r="AP1396" s="32"/>
      <c r="AQ1396" s="32"/>
      <c r="AR1396" s="32"/>
      <c r="AS1396" s="32"/>
      <c r="AT1396" s="32"/>
      <c r="AU1396" s="32"/>
      <c r="AV1396" s="32"/>
      <c r="AW1396" s="32"/>
      <c r="AX1396" s="32"/>
    </row>
    <row r="1397">
      <c r="A1397" s="32"/>
      <c r="B1397" s="32"/>
      <c r="C1397" s="32"/>
      <c r="D1397" s="32"/>
      <c r="E1397" s="32">
        <f>IFERROR(__xludf.DUMMYFUNCTION("""COMPUTED_VALUE"""),1.0)</f>
        <v>1</v>
      </c>
      <c r="F1397" s="44">
        <f>IFERROR(__xludf.DUMMYFUNCTION("""COMPUTED_VALUE"""),0.0)</f>
        <v>0</v>
      </c>
      <c r="G1397" s="32"/>
      <c r="H1397" s="32"/>
      <c r="I1397" s="32"/>
      <c r="J1397" s="32"/>
      <c r="K1397" s="32"/>
      <c r="L1397" s="32"/>
      <c r="M1397" s="32"/>
      <c r="N1397" s="32"/>
      <c r="O1397" s="32"/>
      <c r="P1397" s="32"/>
      <c r="Q1397" s="32"/>
      <c r="R1397" s="32"/>
      <c r="S1397" s="32"/>
      <c r="T1397" s="32"/>
      <c r="U1397" s="32"/>
      <c r="V1397" s="32"/>
      <c r="W1397" s="32"/>
      <c r="X1397" s="32"/>
      <c r="Y1397" s="32"/>
      <c r="Z1397" s="32"/>
      <c r="AA1397" s="32"/>
      <c r="AB1397" s="32"/>
      <c r="AC1397" s="32"/>
      <c r="AD1397" s="32"/>
      <c r="AE1397" s="32"/>
      <c r="AF1397" s="32"/>
      <c r="AG1397" s="32"/>
      <c r="AH1397" s="32" t="b">
        <f>IFERROR(__xludf.DUMMYFUNCTION("""COMPUTED_VALUE"""),FALSE)</f>
        <v>0</v>
      </c>
      <c r="AI1397" s="32"/>
      <c r="AJ1397" s="32"/>
      <c r="AK1397" s="32"/>
      <c r="AL1397" s="32"/>
      <c r="AM1397" s="32"/>
      <c r="AN1397" s="32"/>
      <c r="AO1397" s="32"/>
      <c r="AP1397" s="32"/>
      <c r="AQ1397" s="32"/>
      <c r="AR1397" s="32"/>
      <c r="AS1397" s="32"/>
      <c r="AT1397" s="32"/>
      <c r="AU1397" s="32"/>
      <c r="AV1397" s="32"/>
      <c r="AW1397" s="32"/>
      <c r="AX1397" s="32"/>
    </row>
    <row r="1398">
      <c r="A1398" s="32"/>
      <c r="B1398" s="32"/>
      <c r="C1398" s="32"/>
      <c r="D1398" s="32"/>
      <c r="E1398" s="32">
        <f>IFERROR(__xludf.DUMMYFUNCTION("""COMPUTED_VALUE"""),1.0)</f>
        <v>1</v>
      </c>
      <c r="F1398" s="44">
        <f>IFERROR(__xludf.DUMMYFUNCTION("""COMPUTED_VALUE"""),0.0)</f>
        <v>0</v>
      </c>
      <c r="G1398" s="32"/>
      <c r="H1398" s="32"/>
      <c r="I1398" s="32"/>
      <c r="J1398" s="32"/>
      <c r="K1398" s="32"/>
      <c r="L1398" s="32"/>
      <c r="M1398" s="32"/>
      <c r="N1398" s="32"/>
      <c r="O1398" s="32"/>
      <c r="P1398" s="32"/>
      <c r="Q1398" s="32"/>
      <c r="R1398" s="32"/>
      <c r="S1398" s="32"/>
      <c r="T1398" s="32"/>
      <c r="U1398" s="32"/>
      <c r="V1398" s="32"/>
      <c r="W1398" s="32"/>
      <c r="X1398" s="32"/>
      <c r="Y1398" s="32"/>
      <c r="Z1398" s="32"/>
      <c r="AA1398" s="32"/>
      <c r="AB1398" s="32"/>
      <c r="AC1398" s="32"/>
      <c r="AD1398" s="32"/>
      <c r="AE1398" s="32"/>
      <c r="AF1398" s="32"/>
      <c r="AG1398" s="32"/>
      <c r="AH1398" s="32" t="b">
        <f>IFERROR(__xludf.DUMMYFUNCTION("""COMPUTED_VALUE"""),FALSE)</f>
        <v>0</v>
      </c>
      <c r="AI1398" s="32"/>
      <c r="AJ1398" s="32"/>
      <c r="AK1398" s="32"/>
      <c r="AL1398" s="32"/>
      <c r="AM1398" s="32"/>
      <c r="AN1398" s="32"/>
      <c r="AO1398" s="32"/>
      <c r="AP1398" s="32"/>
      <c r="AQ1398" s="32"/>
      <c r="AR1398" s="32"/>
      <c r="AS1398" s="32"/>
      <c r="AT1398" s="32"/>
      <c r="AU1398" s="32"/>
      <c r="AV1398" s="32"/>
      <c r="AW1398" s="32"/>
      <c r="AX1398" s="32"/>
    </row>
    <row r="1399">
      <c r="A1399" s="32"/>
      <c r="B1399" s="32"/>
      <c r="C1399" s="32"/>
      <c r="D1399" s="32"/>
      <c r="E1399" s="32">
        <f>IFERROR(__xludf.DUMMYFUNCTION("""COMPUTED_VALUE"""),1.0)</f>
        <v>1</v>
      </c>
      <c r="F1399" s="44">
        <f>IFERROR(__xludf.DUMMYFUNCTION("""COMPUTED_VALUE"""),0.0)</f>
        <v>0</v>
      </c>
      <c r="G1399" s="32"/>
      <c r="H1399" s="32"/>
      <c r="I1399" s="32"/>
      <c r="J1399" s="32"/>
      <c r="K1399" s="32"/>
      <c r="L1399" s="32"/>
      <c r="M1399" s="32"/>
      <c r="N1399" s="32"/>
      <c r="O1399" s="32"/>
      <c r="P1399" s="32"/>
      <c r="Q1399" s="32"/>
      <c r="R1399" s="32"/>
      <c r="S1399" s="32"/>
      <c r="T1399" s="32"/>
      <c r="U1399" s="32"/>
      <c r="V1399" s="32"/>
      <c r="W1399" s="32"/>
      <c r="X1399" s="32"/>
      <c r="Y1399" s="32"/>
      <c r="Z1399" s="32"/>
      <c r="AA1399" s="32"/>
      <c r="AB1399" s="32"/>
      <c r="AC1399" s="32"/>
      <c r="AD1399" s="32"/>
      <c r="AE1399" s="32"/>
      <c r="AF1399" s="32"/>
      <c r="AG1399" s="32"/>
      <c r="AH1399" s="32" t="b">
        <f>IFERROR(__xludf.DUMMYFUNCTION("""COMPUTED_VALUE"""),FALSE)</f>
        <v>0</v>
      </c>
      <c r="AI1399" s="32"/>
      <c r="AJ1399" s="32"/>
      <c r="AK1399" s="32"/>
      <c r="AL1399" s="32"/>
      <c r="AM1399" s="32"/>
      <c r="AN1399" s="32"/>
      <c r="AO1399" s="32"/>
      <c r="AP1399" s="32"/>
      <c r="AQ1399" s="32"/>
      <c r="AR1399" s="32"/>
      <c r="AS1399" s="32"/>
      <c r="AT1399" s="32"/>
      <c r="AU1399" s="32"/>
      <c r="AV1399" s="32"/>
      <c r="AW1399" s="32"/>
      <c r="AX1399" s="32"/>
    </row>
    <row r="1400">
      <c r="A1400" s="32"/>
      <c r="B1400" s="32"/>
      <c r="C1400" s="32"/>
      <c r="D1400" s="32"/>
      <c r="E1400" s="32">
        <f>IFERROR(__xludf.DUMMYFUNCTION("""COMPUTED_VALUE"""),1.0)</f>
        <v>1</v>
      </c>
      <c r="F1400" s="44">
        <f>IFERROR(__xludf.DUMMYFUNCTION("""COMPUTED_VALUE"""),0.0)</f>
        <v>0</v>
      </c>
      <c r="G1400" s="32"/>
      <c r="H1400" s="32"/>
      <c r="I1400" s="32"/>
      <c r="J1400" s="32"/>
      <c r="K1400" s="32"/>
      <c r="L1400" s="32"/>
      <c r="M1400" s="32"/>
      <c r="N1400" s="32"/>
      <c r="O1400" s="32"/>
      <c r="P1400" s="32"/>
      <c r="Q1400" s="32"/>
      <c r="R1400" s="32"/>
      <c r="S1400" s="32"/>
      <c r="T1400" s="32"/>
      <c r="U1400" s="32"/>
      <c r="V1400" s="32"/>
      <c r="W1400" s="32"/>
      <c r="X1400" s="32"/>
      <c r="Y1400" s="32"/>
      <c r="Z1400" s="32"/>
      <c r="AA1400" s="32"/>
      <c r="AB1400" s="32"/>
      <c r="AC1400" s="32"/>
      <c r="AD1400" s="32"/>
      <c r="AE1400" s="32"/>
      <c r="AF1400" s="32"/>
      <c r="AG1400" s="32"/>
      <c r="AH1400" s="32" t="b">
        <f>IFERROR(__xludf.DUMMYFUNCTION("""COMPUTED_VALUE"""),FALSE)</f>
        <v>0</v>
      </c>
      <c r="AI1400" s="32"/>
      <c r="AJ1400" s="32"/>
      <c r="AK1400" s="32"/>
      <c r="AL1400" s="32"/>
      <c r="AM1400" s="32"/>
      <c r="AN1400" s="32"/>
      <c r="AO1400" s="32"/>
      <c r="AP1400" s="32"/>
      <c r="AQ1400" s="32"/>
      <c r="AR1400" s="32"/>
      <c r="AS1400" s="32"/>
      <c r="AT1400" s="32"/>
      <c r="AU1400" s="32"/>
      <c r="AV1400" s="32"/>
      <c r="AW1400" s="32"/>
      <c r="AX1400" s="32"/>
    </row>
    <row r="1401">
      <c r="A1401" s="32"/>
      <c r="B1401" s="32"/>
      <c r="C1401" s="32"/>
      <c r="D1401" s="32"/>
      <c r="E1401" s="32">
        <f>IFERROR(__xludf.DUMMYFUNCTION("""COMPUTED_VALUE"""),1.0)</f>
        <v>1</v>
      </c>
      <c r="F1401" s="44">
        <f>IFERROR(__xludf.DUMMYFUNCTION("""COMPUTED_VALUE"""),0.0)</f>
        <v>0</v>
      </c>
      <c r="G1401" s="32"/>
      <c r="H1401" s="32"/>
      <c r="I1401" s="32"/>
      <c r="J1401" s="32"/>
      <c r="K1401" s="32"/>
      <c r="L1401" s="32"/>
      <c r="M1401" s="32"/>
      <c r="N1401" s="32"/>
      <c r="O1401" s="32"/>
      <c r="P1401" s="32"/>
      <c r="Q1401" s="32"/>
      <c r="R1401" s="32"/>
      <c r="S1401" s="32"/>
      <c r="T1401" s="32"/>
      <c r="U1401" s="32"/>
      <c r="V1401" s="32"/>
      <c r="W1401" s="32"/>
      <c r="X1401" s="32"/>
      <c r="Y1401" s="32"/>
      <c r="Z1401" s="32"/>
      <c r="AA1401" s="32"/>
      <c r="AB1401" s="32"/>
      <c r="AC1401" s="32"/>
      <c r="AD1401" s="32"/>
      <c r="AE1401" s="32"/>
      <c r="AF1401" s="32"/>
      <c r="AG1401" s="32"/>
      <c r="AH1401" s="32" t="b">
        <f>IFERROR(__xludf.DUMMYFUNCTION("""COMPUTED_VALUE"""),FALSE)</f>
        <v>0</v>
      </c>
      <c r="AI1401" s="32"/>
      <c r="AJ1401" s="32"/>
      <c r="AK1401" s="32"/>
      <c r="AL1401" s="32"/>
      <c r="AM1401" s="32"/>
      <c r="AN1401" s="32"/>
      <c r="AO1401" s="32"/>
      <c r="AP1401" s="32"/>
      <c r="AQ1401" s="32"/>
      <c r="AR1401" s="32"/>
      <c r="AS1401" s="32"/>
      <c r="AT1401" s="32"/>
      <c r="AU1401" s="32"/>
      <c r="AV1401" s="32"/>
      <c r="AW1401" s="32"/>
      <c r="AX1401" s="32"/>
    </row>
    <row r="1402">
      <c r="A1402" s="32"/>
      <c r="B1402" s="32"/>
      <c r="C1402" s="32"/>
      <c r="D1402" s="32"/>
      <c r="E1402" s="32">
        <f>IFERROR(__xludf.DUMMYFUNCTION("""COMPUTED_VALUE"""),1.0)</f>
        <v>1</v>
      </c>
      <c r="F1402" s="44">
        <f>IFERROR(__xludf.DUMMYFUNCTION("""COMPUTED_VALUE"""),0.0)</f>
        <v>0</v>
      </c>
      <c r="G1402" s="32"/>
      <c r="H1402" s="32"/>
      <c r="I1402" s="32"/>
      <c r="J1402" s="32"/>
      <c r="K1402" s="32"/>
      <c r="L1402" s="32"/>
      <c r="M1402" s="32"/>
      <c r="N1402" s="32"/>
      <c r="O1402" s="32"/>
      <c r="P1402" s="32"/>
      <c r="Q1402" s="32"/>
      <c r="R1402" s="32"/>
      <c r="S1402" s="32"/>
      <c r="T1402" s="32"/>
      <c r="U1402" s="32"/>
      <c r="V1402" s="32"/>
      <c r="W1402" s="32"/>
      <c r="X1402" s="32"/>
      <c r="Y1402" s="32"/>
      <c r="Z1402" s="32"/>
      <c r="AA1402" s="32"/>
      <c r="AB1402" s="32"/>
      <c r="AC1402" s="32"/>
      <c r="AD1402" s="32"/>
      <c r="AE1402" s="32"/>
      <c r="AF1402" s="32"/>
      <c r="AG1402" s="32"/>
      <c r="AH1402" s="32" t="b">
        <f>IFERROR(__xludf.DUMMYFUNCTION("""COMPUTED_VALUE"""),FALSE)</f>
        <v>0</v>
      </c>
      <c r="AI1402" s="32"/>
      <c r="AJ1402" s="32"/>
      <c r="AK1402" s="32"/>
      <c r="AL1402" s="32"/>
      <c r="AM1402" s="32"/>
      <c r="AN1402" s="32"/>
      <c r="AO1402" s="32"/>
      <c r="AP1402" s="32"/>
      <c r="AQ1402" s="32"/>
      <c r="AR1402" s="32"/>
      <c r="AS1402" s="32"/>
      <c r="AT1402" s="32"/>
      <c r="AU1402" s="32"/>
      <c r="AV1402" s="32"/>
      <c r="AW1402" s="32"/>
      <c r="AX1402" s="32"/>
    </row>
    <row r="1403">
      <c r="A1403" s="32"/>
      <c r="B1403" s="32"/>
      <c r="C1403" s="32"/>
      <c r="D1403" s="32"/>
      <c r="E1403" s="32">
        <f>IFERROR(__xludf.DUMMYFUNCTION("""COMPUTED_VALUE"""),1.0)</f>
        <v>1</v>
      </c>
      <c r="F1403" s="44">
        <f>IFERROR(__xludf.DUMMYFUNCTION("""COMPUTED_VALUE"""),0.0)</f>
        <v>0</v>
      </c>
      <c r="G1403" s="32"/>
      <c r="H1403" s="32"/>
      <c r="I1403" s="32"/>
      <c r="J1403" s="32"/>
      <c r="K1403" s="32"/>
      <c r="L1403" s="32"/>
      <c r="M1403" s="32"/>
      <c r="N1403" s="32"/>
      <c r="O1403" s="32"/>
      <c r="P1403" s="32"/>
      <c r="Q1403" s="32"/>
      <c r="R1403" s="32"/>
      <c r="S1403" s="32"/>
      <c r="T1403" s="32"/>
      <c r="U1403" s="32"/>
      <c r="V1403" s="32"/>
      <c r="W1403" s="32"/>
      <c r="X1403" s="32"/>
      <c r="Y1403" s="32"/>
      <c r="Z1403" s="32"/>
      <c r="AA1403" s="32"/>
      <c r="AB1403" s="32"/>
      <c r="AC1403" s="32"/>
      <c r="AD1403" s="32"/>
      <c r="AE1403" s="32"/>
      <c r="AF1403" s="32"/>
      <c r="AG1403" s="32"/>
      <c r="AH1403" s="32" t="b">
        <f>IFERROR(__xludf.DUMMYFUNCTION("""COMPUTED_VALUE"""),FALSE)</f>
        <v>0</v>
      </c>
      <c r="AI1403" s="32"/>
      <c r="AJ1403" s="32"/>
      <c r="AK1403" s="32"/>
      <c r="AL1403" s="32"/>
      <c r="AM1403" s="32"/>
      <c r="AN1403" s="32"/>
      <c r="AO1403" s="32"/>
      <c r="AP1403" s="32"/>
      <c r="AQ1403" s="32"/>
      <c r="AR1403" s="32"/>
      <c r="AS1403" s="32"/>
      <c r="AT1403" s="32"/>
      <c r="AU1403" s="32"/>
      <c r="AV1403" s="32"/>
      <c r="AW1403" s="32"/>
      <c r="AX1403" s="32"/>
    </row>
    <row r="1404">
      <c r="A1404" s="32"/>
      <c r="B1404" s="32"/>
      <c r="C1404" s="32"/>
      <c r="D1404" s="32"/>
      <c r="E1404" s="32">
        <f>IFERROR(__xludf.DUMMYFUNCTION("""COMPUTED_VALUE"""),1.0)</f>
        <v>1</v>
      </c>
      <c r="F1404" s="44">
        <f>IFERROR(__xludf.DUMMYFUNCTION("""COMPUTED_VALUE"""),0.0)</f>
        <v>0</v>
      </c>
      <c r="G1404" s="32"/>
      <c r="H1404" s="32"/>
      <c r="I1404" s="32"/>
      <c r="J1404" s="32"/>
      <c r="K1404" s="32"/>
      <c r="L1404" s="32"/>
      <c r="M1404" s="32"/>
      <c r="N1404" s="32"/>
      <c r="O1404" s="32"/>
      <c r="P1404" s="32"/>
      <c r="Q1404" s="32"/>
      <c r="R1404" s="32"/>
      <c r="S1404" s="32"/>
      <c r="T1404" s="32"/>
      <c r="U1404" s="32"/>
      <c r="V1404" s="32"/>
      <c r="W1404" s="32"/>
      <c r="X1404" s="32"/>
      <c r="Y1404" s="32"/>
      <c r="Z1404" s="32"/>
      <c r="AA1404" s="32"/>
      <c r="AB1404" s="32"/>
      <c r="AC1404" s="32"/>
      <c r="AD1404" s="32"/>
      <c r="AE1404" s="32"/>
      <c r="AF1404" s="32"/>
      <c r="AG1404" s="32"/>
      <c r="AH1404" s="32" t="b">
        <f>IFERROR(__xludf.DUMMYFUNCTION("""COMPUTED_VALUE"""),FALSE)</f>
        <v>0</v>
      </c>
      <c r="AI1404" s="32"/>
      <c r="AJ1404" s="32"/>
      <c r="AK1404" s="32"/>
      <c r="AL1404" s="32"/>
      <c r="AM1404" s="32"/>
      <c r="AN1404" s="32"/>
      <c r="AO1404" s="32"/>
      <c r="AP1404" s="32"/>
      <c r="AQ1404" s="32"/>
      <c r="AR1404" s="32"/>
      <c r="AS1404" s="32"/>
      <c r="AT1404" s="32"/>
      <c r="AU1404" s="32"/>
      <c r="AV1404" s="32"/>
      <c r="AW1404" s="32"/>
      <c r="AX1404" s="32"/>
    </row>
    <row r="1405">
      <c r="A1405" s="32"/>
      <c r="B1405" s="32"/>
      <c r="C1405" s="32"/>
      <c r="D1405" s="32"/>
      <c r="E1405" s="32">
        <f>IFERROR(__xludf.DUMMYFUNCTION("""COMPUTED_VALUE"""),1.0)</f>
        <v>1</v>
      </c>
      <c r="F1405" s="44">
        <f>IFERROR(__xludf.DUMMYFUNCTION("""COMPUTED_VALUE"""),0.0)</f>
        <v>0</v>
      </c>
      <c r="G1405" s="32"/>
      <c r="H1405" s="32"/>
      <c r="I1405" s="32"/>
      <c r="J1405" s="32"/>
      <c r="K1405" s="32"/>
      <c r="L1405" s="32"/>
      <c r="M1405" s="32"/>
      <c r="N1405" s="32"/>
      <c r="O1405" s="32"/>
      <c r="P1405" s="32"/>
      <c r="Q1405" s="32"/>
      <c r="R1405" s="32"/>
      <c r="S1405" s="32"/>
      <c r="T1405" s="32"/>
      <c r="U1405" s="32"/>
      <c r="V1405" s="32"/>
      <c r="W1405" s="32"/>
      <c r="X1405" s="32"/>
      <c r="Y1405" s="32"/>
      <c r="Z1405" s="32"/>
      <c r="AA1405" s="32"/>
      <c r="AB1405" s="32"/>
      <c r="AC1405" s="32"/>
      <c r="AD1405" s="32"/>
      <c r="AE1405" s="32"/>
      <c r="AF1405" s="32"/>
      <c r="AG1405" s="32"/>
      <c r="AH1405" s="32" t="b">
        <f>IFERROR(__xludf.DUMMYFUNCTION("""COMPUTED_VALUE"""),FALSE)</f>
        <v>0</v>
      </c>
      <c r="AI1405" s="32"/>
      <c r="AJ1405" s="32"/>
      <c r="AK1405" s="32"/>
      <c r="AL1405" s="32"/>
      <c r="AM1405" s="32"/>
      <c r="AN1405" s="32"/>
      <c r="AO1405" s="32"/>
      <c r="AP1405" s="32"/>
      <c r="AQ1405" s="32"/>
      <c r="AR1405" s="32"/>
      <c r="AS1405" s="32"/>
      <c r="AT1405" s="32"/>
      <c r="AU1405" s="32"/>
      <c r="AV1405" s="32"/>
      <c r="AW1405" s="32"/>
      <c r="AX1405" s="32"/>
    </row>
    <row r="1406">
      <c r="A1406" s="32"/>
      <c r="B1406" s="32"/>
      <c r="C1406" s="32"/>
      <c r="D1406" s="32"/>
      <c r="E1406" s="32">
        <f>IFERROR(__xludf.DUMMYFUNCTION("""COMPUTED_VALUE"""),1.0)</f>
        <v>1</v>
      </c>
      <c r="F1406" s="44">
        <f>IFERROR(__xludf.DUMMYFUNCTION("""COMPUTED_VALUE"""),0.0)</f>
        <v>0</v>
      </c>
      <c r="G1406" s="32"/>
      <c r="H1406" s="32"/>
      <c r="I1406" s="32"/>
      <c r="J1406" s="32"/>
      <c r="K1406" s="32"/>
      <c r="L1406" s="32"/>
      <c r="M1406" s="32"/>
      <c r="N1406" s="32"/>
      <c r="O1406" s="32"/>
      <c r="P1406" s="32"/>
      <c r="Q1406" s="32"/>
      <c r="R1406" s="32"/>
      <c r="S1406" s="32"/>
      <c r="T1406" s="32"/>
      <c r="U1406" s="32"/>
      <c r="V1406" s="32"/>
      <c r="W1406" s="32"/>
      <c r="X1406" s="32"/>
      <c r="Y1406" s="32"/>
      <c r="Z1406" s="32"/>
      <c r="AA1406" s="32"/>
      <c r="AB1406" s="32"/>
      <c r="AC1406" s="32"/>
      <c r="AD1406" s="32"/>
      <c r="AE1406" s="32"/>
      <c r="AF1406" s="32"/>
      <c r="AG1406" s="32"/>
      <c r="AH1406" s="32" t="b">
        <f>IFERROR(__xludf.DUMMYFUNCTION("""COMPUTED_VALUE"""),FALSE)</f>
        <v>0</v>
      </c>
      <c r="AI1406" s="32"/>
      <c r="AJ1406" s="32"/>
      <c r="AK1406" s="32"/>
      <c r="AL1406" s="32"/>
      <c r="AM1406" s="32"/>
      <c r="AN1406" s="32"/>
      <c r="AO1406" s="32"/>
      <c r="AP1406" s="32"/>
      <c r="AQ1406" s="32"/>
      <c r="AR1406" s="32"/>
      <c r="AS1406" s="32"/>
      <c r="AT1406" s="32"/>
      <c r="AU1406" s="32"/>
      <c r="AV1406" s="32"/>
      <c r="AW1406" s="32"/>
      <c r="AX1406" s="32"/>
    </row>
    <row r="1407">
      <c r="A1407" s="32"/>
      <c r="B1407" s="32"/>
      <c r="C1407" s="32"/>
      <c r="D1407" s="32"/>
      <c r="E1407" s="32">
        <f>IFERROR(__xludf.DUMMYFUNCTION("""COMPUTED_VALUE"""),1.0)</f>
        <v>1</v>
      </c>
      <c r="F1407" s="44">
        <f>IFERROR(__xludf.DUMMYFUNCTION("""COMPUTED_VALUE"""),0.0)</f>
        <v>0</v>
      </c>
      <c r="G1407" s="32"/>
      <c r="H1407" s="32"/>
      <c r="I1407" s="32"/>
      <c r="J1407" s="32"/>
      <c r="K1407" s="32"/>
      <c r="L1407" s="32"/>
      <c r="M1407" s="32"/>
      <c r="N1407" s="32"/>
      <c r="O1407" s="32"/>
      <c r="P1407" s="32"/>
      <c r="Q1407" s="32"/>
      <c r="R1407" s="32"/>
      <c r="S1407" s="32"/>
      <c r="T1407" s="32"/>
      <c r="U1407" s="32"/>
      <c r="V1407" s="32"/>
      <c r="W1407" s="32"/>
      <c r="X1407" s="32"/>
      <c r="Y1407" s="32"/>
      <c r="Z1407" s="32"/>
      <c r="AA1407" s="32"/>
      <c r="AB1407" s="32"/>
      <c r="AC1407" s="32"/>
      <c r="AD1407" s="32"/>
      <c r="AE1407" s="32"/>
      <c r="AF1407" s="32"/>
      <c r="AG1407" s="32"/>
      <c r="AH1407" s="32" t="b">
        <f>IFERROR(__xludf.DUMMYFUNCTION("""COMPUTED_VALUE"""),FALSE)</f>
        <v>0</v>
      </c>
      <c r="AI1407" s="32"/>
      <c r="AJ1407" s="32"/>
      <c r="AK1407" s="32"/>
      <c r="AL1407" s="32"/>
      <c r="AM1407" s="32"/>
      <c r="AN1407" s="32"/>
      <c r="AO1407" s="32"/>
      <c r="AP1407" s="32"/>
      <c r="AQ1407" s="32"/>
      <c r="AR1407" s="32"/>
      <c r="AS1407" s="32"/>
      <c r="AT1407" s="32"/>
      <c r="AU1407" s="32"/>
      <c r="AV1407" s="32"/>
      <c r="AW1407" s="32"/>
      <c r="AX1407" s="32"/>
    </row>
    <row r="1408">
      <c r="A1408" s="32"/>
      <c r="B1408" s="32"/>
      <c r="C1408" s="32"/>
      <c r="D1408" s="32"/>
      <c r="E1408" s="32">
        <f>IFERROR(__xludf.DUMMYFUNCTION("""COMPUTED_VALUE"""),1.0)</f>
        <v>1</v>
      </c>
      <c r="F1408" s="44">
        <f>IFERROR(__xludf.DUMMYFUNCTION("""COMPUTED_VALUE"""),0.0)</f>
        <v>0</v>
      </c>
      <c r="G1408" s="32"/>
      <c r="H1408" s="32"/>
      <c r="I1408" s="32"/>
      <c r="J1408" s="32"/>
      <c r="K1408" s="32"/>
      <c r="L1408" s="32"/>
      <c r="M1408" s="32"/>
      <c r="N1408" s="32"/>
      <c r="O1408" s="32"/>
      <c r="P1408" s="32"/>
      <c r="Q1408" s="32"/>
      <c r="R1408" s="32"/>
      <c r="S1408" s="32"/>
      <c r="T1408" s="32"/>
      <c r="U1408" s="32"/>
      <c r="V1408" s="32"/>
      <c r="W1408" s="32"/>
      <c r="X1408" s="32"/>
      <c r="Y1408" s="32"/>
      <c r="Z1408" s="32"/>
      <c r="AA1408" s="32"/>
      <c r="AB1408" s="32"/>
      <c r="AC1408" s="32"/>
      <c r="AD1408" s="32"/>
      <c r="AE1408" s="32"/>
      <c r="AF1408" s="32"/>
      <c r="AG1408" s="32"/>
      <c r="AH1408" s="32" t="b">
        <f>IFERROR(__xludf.DUMMYFUNCTION("""COMPUTED_VALUE"""),FALSE)</f>
        <v>0</v>
      </c>
      <c r="AI1408" s="32"/>
      <c r="AJ1408" s="32"/>
      <c r="AK1408" s="32"/>
      <c r="AL1408" s="32"/>
      <c r="AM1408" s="32"/>
      <c r="AN1408" s="32"/>
      <c r="AO1408" s="32"/>
      <c r="AP1408" s="32"/>
      <c r="AQ1408" s="32"/>
      <c r="AR1408" s="32"/>
      <c r="AS1408" s="32"/>
      <c r="AT1408" s="32"/>
      <c r="AU1408" s="32"/>
      <c r="AV1408" s="32"/>
      <c r="AW1408" s="32"/>
      <c r="AX1408" s="32"/>
    </row>
    <row r="1409">
      <c r="A1409" s="32"/>
      <c r="B1409" s="32"/>
      <c r="C1409" s="32"/>
      <c r="D1409" s="32"/>
      <c r="E1409" s="32">
        <f>IFERROR(__xludf.DUMMYFUNCTION("""COMPUTED_VALUE"""),1.0)</f>
        <v>1</v>
      </c>
      <c r="F1409" s="44">
        <f>IFERROR(__xludf.DUMMYFUNCTION("""COMPUTED_VALUE"""),0.0)</f>
        <v>0</v>
      </c>
      <c r="G1409" s="32"/>
      <c r="H1409" s="32"/>
      <c r="I1409" s="32"/>
      <c r="J1409" s="32"/>
      <c r="K1409" s="32"/>
      <c r="L1409" s="32"/>
      <c r="M1409" s="32"/>
      <c r="N1409" s="32"/>
      <c r="O1409" s="32"/>
      <c r="P1409" s="32"/>
      <c r="Q1409" s="32"/>
      <c r="R1409" s="32"/>
      <c r="S1409" s="32"/>
      <c r="T1409" s="32"/>
      <c r="U1409" s="32"/>
      <c r="V1409" s="32"/>
      <c r="W1409" s="32"/>
      <c r="X1409" s="32"/>
      <c r="Y1409" s="32"/>
      <c r="Z1409" s="32"/>
      <c r="AA1409" s="32"/>
      <c r="AB1409" s="32"/>
      <c r="AC1409" s="32"/>
      <c r="AD1409" s="32"/>
      <c r="AE1409" s="32"/>
      <c r="AF1409" s="32"/>
      <c r="AG1409" s="32"/>
      <c r="AH1409" s="32" t="b">
        <f>IFERROR(__xludf.DUMMYFUNCTION("""COMPUTED_VALUE"""),FALSE)</f>
        <v>0</v>
      </c>
      <c r="AI1409" s="32"/>
      <c r="AJ1409" s="32"/>
      <c r="AK1409" s="32"/>
      <c r="AL1409" s="32"/>
      <c r="AM1409" s="32"/>
      <c r="AN1409" s="32"/>
      <c r="AO1409" s="32"/>
      <c r="AP1409" s="32"/>
      <c r="AQ1409" s="32"/>
      <c r="AR1409" s="32"/>
      <c r="AS1409" s="32"/>
      <c r="AT1409" s="32"/>
      <c r="AU1409" s="32"/>
      <c r="AV1409" s="32"/>
      <c r="AW1409" s="32"/>
      <c r="AX1409" s="32"/>
    </row>
    <row r="1410">
      <c r="A1410" s="32"/>
      <c r="B1410" s="32"/>
      <c r="C1410" s="32"/>
      <c r="D1410" s="32"/>
      <c r="E1410" s="32">
        <f>IFERROR(__xludf.DUMMYFUNCTION("""COMPUTED_VALUE"""),1.0)</f>
        <v>1</v>
      </c>
      <c r="F1410" s="44">
        <f>IFERROR(__xludf.DUMMYFUNCTION("""COMPUTED_VALUE"""),0.0)</f>
        <v>0</v>
      </c>
      <c r="G1410" s="32"/>
      <c r="H1410" s="32"/>
      <c r="I1410" s="32"/>
      <c r="J1410" s="32"/>
      <c r="K1410" s="32"/>
      <c r="L1410" s="32"/>
      <c r="M1410" s="32"/>
      <c r="N1410" s="32"/>
      <c r="O1410" s="32"/>
      <c r="P1410" s="32"/>
      <c r="Q1410" s="32"/>
      <c r="R1410" s="32"/>
      <c r="S1410" s="32"/>
      <c r="T1410" s="32"/>
      <c r="U1410" s="32"/>
      <c r="V1410" s="32"/>
      <c r="W1410" s="32"/>
      <c r="X1410" s="32"/>
      <c r="Y1410" s="32"/>
      <c r="Z1410" s="32"/>
      <c r="AA1410" s="32"/>
      <c r="AB1410" s="32"/>
      <c r="AC1410" s="32"/>
      <c r="AD1410" s="32"/>
      <c r="AE1410" s="32"/>
      <c r="AF1410" s="32"/>
      <c r="AG1410" s="32"/>
      <c r="AH1410" s="32" t="b">
        <f>IFERROR(__xludf.DUMMYFUNCTION("""COMPUTED_VALUE"""),FALSE)</f>
        <v>0</v>
      </c>
      <c r="AI1410" s="32"/>
      <c r="AJ1410" s="32"/>
      <c r="AK1410" s="32"/>
      <c r="AL1410" s="32"/>
      <c r="AM1410" s="32"/>
      <c r="AN1410" s="32"/>
      <c r="AO1410" s="32"/>
      <c r="AP1410" s="32"/>
      <c r="AQ1410" s="32"/>
      <c r="AR1410" s="32"/>
      <c r="AS1410" s="32"/>
      <c r="AT1410" s="32"/>
      <c r="AU1410" s="32"/>
      <c r="AV1410" s="32"/>
      <c r="AW1410" s="32"/>
      <c r="AX1410" s="32"/>
    </row>
    <row r="1411">
      <c r="A1411" s="32"/>
      <c r="B1411" s="32"/>
      <c r="C1411" s="32"/>
      <c r="D1411" s="32"/>
      <c r="E1411" s="32">
        <f>IFERROR(__xludf.DUMMYFUNCTION("""COMPUTED_VALUE"""),1.0)</f>
        <v>1</v>
      </c>
      <c r="F1411" s="44">
        <f>IFERROR(__xludf.DUMMYFUNCTION("""COMPUTED_VALUE"""),0.0)</f>
        <v>0</v>
      </c>
      <c r="G1411" s="32"/>
      <c r="H1411" s="32"/>
      <c r="I1411" s="32"/>
      <c r="J1411" s="32"/>
      <c r="K1411" s="32"/>
      <c r="L1411" s="32"/>
      <c r="M1411" s="32"/>
      <c r="N1411" s="32"/>
      <c r="O1411" s="32"/>
      <c r="P1411" s="32"/>
      <c r="Q1411" s="32"/>
      <c r="R1411" s="32"/>
      <c r="S1411" s="32"/>
      <c r="T1411" s="32"/>
      <c r="U1411" s="32"/>
      <c r="V1411" s="32"/>
      <c r="W1411" s="32"/>
      <c r="X1411" s="32"/>
      <c r="Y1411" s="32"/>
      <c r="Z1411" s="32"/>
      <c r="AA1411" s="32"/>
      <c r="AB1411" s="32"/>
      <c r="AC1411" s="32"/>
      <c r="AD1411" s="32"/>
      <c r="AE1411" s="32"/>
      <c r="AF1411" s="32"/>
      <c r="AG1411" s="32"/>
      <c r="AH1411" s="32" t="b">
        <f>IFERROR(__xludf.DUMMYFUNCTION("""COMPUTED_VALUE"""),FALSE)</f>
        <v>0</v>
      </c>
      <c r="AI1411" s="32"/>
      <c r="AJ1411" s="32"/>
      <c r="AK1411" s="32"/>
      <c r="AL1411" s="32"/>
      <c r="AM1411" s="32"/>
      <c r="AN1411" s="32"/>
      <c r="AO1411" s="32"/>
      <c r="AP1411" s="32"/>
      <c r="AQ1411" s="32"/>
      <c r="AR1411" s="32"/>
      <c r="AS1411" s="32"/>
      <c r="AT1411" s="32"/>
      <c r="AU1411" s="32"/>
      <c r="AV1411" s="32"/>
      <c r="AW1411" s="32"/>
      <c r="AX1411" s="32"/>
    </row>
    <row r="1412">
      <c r="A1412" s="32"/>
      <c r="B1412" s="32"/>
      <c r="C1412" s="32"/>
      <c r="D1412" s="32"/>
      <c r="E1412" s="32">
        <f>IFERROR(__xludf.DUMMYFUNCTION("""COMPUTED_VALUE"""),1.0)</f>
        <v>1</v>
      </c>
      <c r="F1412" s="44">
        <f>IFERROR(__xludf.DUMMYFUNCTION("""COMPUTED_VALUE"""),0.0)</f>
        <v>0</v>
      </c>
      <c r="G1412" s="32"/>
      <c r="H1412" s="32"/>
      <c r="I1412" s="32"/>
      <c r="J1412" s="32"/>
      <c r="K1412" s="32"/>
      <c r="L1412" s="32"/>
      <c r="M1412" s="32"/>
      <c r="N1412" s="32"/>
      <c r="O1412" s="32"/>
      <c r="P1412" s="32"/>
      <c r="Q1412" s="32"/>
      <c r="R1412" s="32"/>
      <c r="S1412" s="32"/>
      <c r="T1412" s="32"/>
      <c r="U1412" s="32"/>
      <c r="V1412" s="32"/>
      <c r="W1412" s="32"/>
      <c r="X1412" s="32"/>
      <c r="Y1412" s="32"/>
      <c r="Z1412" s="32"/>
      <c r="AA1412" s="32"/>
      <c r="AB1412" s="32"/>
      <c r="AC1412" s="32"/>
      <c r="AD1412" s="32"/>
      <c r="AE1412" s="32"/>
      <c r="AF1412" s="32"/>
      <c r="AG1412" s="32"/>
      <c r="AH1412" s="32" t="b">
        <f>IFERROR(__xludf.DUMMYFUNCTION("""COMPUTED_VALUE"""),FALSE)</f>
        <v>0</v>
      </c>
      <c r="AI1412" s="32"/>
      <c r="AJ1412" s="32"/>
      <c r="AK1412" s="32"/>
      <c r="AL1412" s="32"/>
      <c r="AM1412" s="32"/>
      <c r="AN1412" s="32"/>
      <c r="AO1412" s="32"/>
      <c r="AP1412" s="32"/>
      <c r="AQ1412" s="32"/>
      <c r="AR1412" s="32"/>
      <c r="AS1412" s="32"/>
      <c r="AT1412" s="32"/>
      <c r="AU1412" s="32"/>
      <c r="AV1412" s="32"/>
      <c r="AW1412" s="32"/>
      <c r="AX1412" s="32"/>
    </row>
    <row r="1413">
      <c r="A1413" s="32"/>
      <c r="B1413" s="32"/>
      <c r="C1413" s="32"/>
      <c r="D1413" s="32"/>
      <c r="E1413" s="32">
        <f>IFERROR(__xludf.DUMMYFUNCTION("""COMPUTED_VALUE"""),1.0)</f>
        <v>1</v>
      </c>
      <c r="F1413" s="44">
        <f>IFERROR(__xludf.DUMMYFUNCTION("""COMPUTED_VALUE"""),0.0)</f>
        <v>0</v>
      </c>
      <c r="G1413" s="32"/>
      <c r="H1413" s="32"/>
      <c r="I1413" s="32"/>
      <c r="J1413" s="32"/>
      <c r="K1413" s="32"/>
      <c r="L1413" s="32"/>
      <c r="M1413" s="32"/>
      <c r="N1413" s="32"/>
      <c r="O1413" s="32"/>
      <c r="P1413" s="32"/>
      <c r="Q1413" s="32"/>
      <c r="R1413" s="32"/>
      <c r="S1413" s="32"/>
      <c r="T1413" s="32"/>
      <c r="U1413" s="32"/>
      <c r="V1413" s="32"/>
      <c r="W1413" s="32"/>
      <c r="X1413" s="32"/>
      <c r="Y1413" s="32"/>
      <c r="Z1413" s="32"/>
      <c r="AA1413" s="32"/>
      <c r="AB1413" s="32"/>
      <c r="AC1413" s="32"/>
      <c r="AD1413" s="32"/>
      <c r="AE1413" s="32"/>
      <c r="AF1413" s="32"/>
      <c r="AG1413" s="32"/>
      <c r="AH1413" s="32" t="b">
        <f>IFERROR(__xludf.DUMMYFUNCTION("""COMPUTED_VALUE"""),FALSE)</f>
        <v>0</v>
      </c>
      <c r="AI1413" s="32"/>
      <c r="AJ1413" s="32"/>
      <c r="AK1413" s="32"/>
      <c r="AL1413" s="32"/>
      <c r="AM1413" s="32"/>
      <c r="AN1413" s="32"/>
      <c r="AO1413" s="32"/>
      <c r="AP1413" s="32"/>
      <c r="AQ1413" s="32"/>
      <c r="AR1413" s="32"/>
      <c r="AS1413" s="32"/>
      <c r="AT1413" s="32"/>
      <c r="AU1413" s="32"/>
      <c r="AV1413" s="32"/>
      <c r="AW1413" s="32"/>
      <c r="AX1413" s="32"/>
    </row>
    <row r="1414">
      <c r="A1414" s="32"/>
      <c r="B1414" s="32"/>
      <c r="C1414" s="32"/>
      <c r="D1414" s="32"/>
      <c r="E1414" s="32">
        <f>IFERROR(__xludf.DUMMYFUNCTION("""COMPUTED_VALUE"""),1.0)</f>
        <v>1</v>
      </c>
      <c r="F1414" s="44">
        <f>IFERROR(__xludf.DUMMYFUNCTION("""COMPUTED_VALUE"""),0.0)</f>
        <v>0</v>
      </c>
      <c r="G1414" s="32"/>
      <c r="H1414" s="32"/>
      <c r="I1414" s="32"/>
      <c r="J1414" s="32"/>
      <c r="K1414" s="32"/>
      <c r="L1414" s="32"/>
      <c r="M1414" s="32"/>
      <c r="N1414" s="32"/>
      <c r="O1414" s="32"/>
      <c r="P1414" s="32"/>
      <c r="Q1414" s="32"/>
      <c r="R1414" s="32"/>
      <c r="S1414" s="32"/>
      <c r="T1414" s="32"/>
      <c r="U1414" s="32"/>
      <c r="V1414" s="32"/>
      <c r="W1414" s="32"/>
      <c r="X1414" s="32"/>
      <c r="Y1414" s="32"/>
      <c r="Z1414" s="32"/>
      <c r="AA1414" s="32"/>
      <c r="AB1414" s="32"/>
      <c r="AC1414" s="32"/>
      <c r="AD1414" s="32"/>
      <c r="AE1414" s="32"/>
      <c r="AF1414" s="32"/>
      <c r="AG1414" s="32"/>
      <c r="AH1414" s="32" t="b">
        <f>IFERROR(__xludf.DUMMYFUNCTION("""COMPUTED_VALUE"""),FALSE)</f>
        <v>0</v>
      </c>
      <c r="AI1414" s="32"/>
      <c r="AJ1414" s="32"/>
      <c r="AK1414" s="32"/>
      <c r="AL1414" s="32"/>
      <c r="AM1414" s="32"/>
      <c r="AN1414" s="32"/>
      <c r="AO1414" s="32"/>
      <c r="AP1414" s="32"/>
      <c r="AQ1414" s="32"/>
      <c r="AR1414" s="32"/>
      <c r="AS1414" s="32"/>
      <c r="AT1414" s="32"/>
      <c r="AU1414" s="32"/>
      <c r="AV1414" s="32"/>
      <c r="AW1414" s="32"/>
      <c r="AX1414" s="32"/>
    </row>
    <row r="1415">
      <c r="A1415" s="32"/>
      <c r="B1415" s="32"/>
      <c r="C1415" s="32"/>
      <c r="D1415" s="32"/>
      <c r="E1415" s="32">
        <f>IFERROR(__xludf.DUMMYFUNCTION("""COMPUTED_VALUE"""),1.0)</f>
        <v>1</v>
      </c>
      <c r="F1415" s="44">
        <f>IFERROR(__xludf.DUMMYFUNCTION("""COMPUTED_VALUE"""),0.0)</f>
        <v>0</v>
      </c>
      <c r="G1415" s="32"/>
      <c r="H1415" s="32"/>
      <c r="I1415" s="32"/>
      <c r="J1415" s="32"/>
      <c r="K1415" s="32"/>
      <c r="L1415" s="32"/>
      <c r="M1415" s="32"/>
      <c r="N1415" s="32"/>
      <c r="O1415" s="32"/>
      <c r="P1415" s="32"/>
      <c r="Q1415" s="32"/>
      <c r="R1415" s="32"/>
      <c r="S1415" s="32"/>
      <c r="T1415" s="32"/>
      <c r="U1415" s="32"/>
      <c r="V1415" s="32"/>
      <c r="W1415" s="32"/>
      <c r="X1415" s="32"/>
      <c r="Y1415" s="32"/>
      <c r="Z1415" s="32"/>
      <c r="AA1415" s="32"/>
      <c r="AB1415" s="32"/>
      <c r="AC1415" s="32"/>
      <c r="AD1415" s="32"/>
      <c r="AE1415" s="32"/>
      <c r="AF1415" s="32"/>
      <c r="AG1415" s="32"/>
      <c r="AH1415" s="32" t="b">
        <f>IFERROR(__xludf.DUMMYFUNCTION("""COMPUTED_VALUE"""),FALSE)</f>
        <v>0</v>
      </c>
      <c r="AI1415" s="32"/>
      <c r="AJ1415" s="32"/>
      <c r="AK1415" s="32"/>
      <c r="AL1415" s="32"/>
      <c r="AM1415" s="32"/>
      <c r="AN1415" s="32"/>
      <c r="AO1415" s="32"/>
      <c r="AP1415" s="32"/>
      <c r="AQ1415" s="32"/>
      <c r="AR1415" s="32"/>
      <c r="AS1415" s="32"/>
      <c r="AT1415" s="32"/>
      <c r="AU1415" s="32"/>
      <c r="AV1415" s="32"/>
      <c r="AW1415" s="32"/>
      <c r="AX1415" s="32"/>
    </row>
    <row r="1416">
      <c r="A1416" s="32"/>
      <c r="B1416" s="32"/>
      <c r="C1416" s="32"/>
      <c r="D1416" s="32"/>
      <c r="E1416" s="32">
        <f>IFERROR(__xludf.DUMMYFUNCTION("""COMPUTED_VALUE"""),1.0)</f>
        <v>1</v>
      </c>
      <c r="F1416" s="44">
        <f>IFERROR(__xludf.DUMMYFUNCTION("""COMPUTED_VALUE"""),0.0)</f>
        <v>0</v>
      </c>
      <c r="G1416" s="32"/>
      <c r="H1416" s="32"/>
      <c r="I1416" s="32"/>
      <c r="J1416" s="32"/>
      <c r="K1416" s="32"/>
      <c r="L1416" s="32"/>
      <c r="M1416" s="32"/>
      <c r="N1416" s="32"/>
      <c r="O1416" s="32"/>
      <c r="P1416" s="32"/>
      <c r="Q1416" s="32"/>
      <c r="R1416" s="32"/>
      <c r="S1416" s="32"/>
      <c r="T1416" s="32"/>
      <c r="U1416" s="32"/>
      <c r="V1416" s="32"/>
      <c r="W1416" s="32"/>
      <c r="X1416" s="32"/>
      <c r="Y1416" s="32"/>
      <c r="Z1416" s="32"/>
      <c r="AA1416" s="32"/>
      <c r="AB1416" s="32"/>
      <c r="AC1416" s="32"/>
      <c r="AD1416" s="32"/>
      <c r="AE1416" s="32"/>
      <c r="AF1416" s="32"/>
      <c r="AG1416" s="32"/>
      <c r="AH1416" s="32" t="b">
        <f>IFERROR(__xludf.DUMMYFUNCTION("""COMPUTED_VALUE"""),FALSE)</f>
        <v>0</v>
      </c>
      <c r="AI1416" s="32"/>
      <c r="AJ1416" s="32"/>
      <c r="AK1416" s="32"/>
      <c r="AL1416" s="32"/>
      <c r="AM1416" s="32"/>
      <c r="AN1416" s="32"/>
      <c r="AO1416" s="32"/>
      <c r="AP1416" s="32"/>
      <c r="AQ1416" s="32"/>
      <c r="AR1416" s="32"/>
      <c r="AS1416" s="32"/>
      <c r="AT1416" s="32"/>
      <c r="AU1416" s="32"/>
      <c r="AV1416" s="32"/>
      <c r="AW1416" s="32"/>
      <c r="AX1416" s="32"/>
    </row>
    <row r="1417">
      <c r="A1417" s="32"/>
      <c r="B1417" s="32"/>
      <c r="C1417" s="32"/>
      <c r="D1417" s="32"/>
      <c r="E1417" s="32">
        <f>IFERROR(__xludf.DUMMYFUNCTION("""COMPUTED_VALUE"""),1.0)</f>
        <v>1</v>
      </c>
      <c r="F1417" s="44">
        <f>IFERROR(__xludf.DUMMYFUNCTION("""COMPUTED_VALUE"""),0.0)</f>
        <v>0</v>
      </c>
      <c r="G1417" s="32"/>
      <c r="H1417" s="32"/>
      <c r="I1417" s="32"/>
      <c r="J1417" s="32"/>
      <c r="K1417" s="32"/>
      <c r="L1417" s="32"/>
      <c r="M1417" s="32"/>
      <c r="N1417" s="32"/>
      <c r="O1417" s="32"/>
      <c r="P1417" s="32"/>
      <c r="Q1417" s="32"/>
      <c r="R1417" s="32"/>
      <c r="S1417" s="32"/>
      <c r="T1417" s="32"/>
      <c r="U1417" s="32"/>
      <c r="V1417" s="32"/>
      <c r="W1417" s="32"/>
      <c r="X1417" s="32"/>
      <c r="Y1417" s="32"/>
      <c r="Z1417" s="32"/>
      <c r="AA1417" s="32"/>
      <c r="AB1417" s="32"/>
      <c r="AC1417" s="32"/>
      <c r="AD1417" s="32"/>
      <c r="AE1417" s="32"/>
      <c r="AF1417" s="32"/>
      <c r="AG1417" s="32"/>
      <c r="AH1417" s="32" t="b">
        <f>IFERROR(__xludf.DUMMYFUNCTION("""COMPUTED_VALUE"""),FALSE)</f>
        <v>0</v>
      </c>
      <c r="AI1417" s="32"/>
      <c r="AJ1417" s="32"/>
      <c r="AK1417" s="32"/>
      <c r="AL1417" s="32"/>
      <c r="AM1417" s="32"/>
      <c r="AN1417" s="32"/>
      <c r="AO1417" s="32"/>
      <c r="AP1417" s="32"/>
      <c r="AQ1417" s="32"/>
      <c r="AR1417" s="32"/>
      <c r="AS1417" s="32"/>
      <c r="AT1417" s="32"/>
      <c r="AU1417" s="32"/>
      <c r="AV1417" s="32"/>
      <c r="AW1417" s="32"/>
      <c r="AX1417" s="32"/>
    </row>
    <row r="1418">
      <c r="A1418" s="32"/>
      <c r="B1418" s="32"/>
      <c r="C1418" s="32"/>
      <c r="D1418" s="32"/>
      <c r="E1418" s="32">
        <f>IFERROR(__xludf.DUMMYFUNCTION("""COMPUTED_VALUE"""),1.0)</f>
        <v>1</v>
      </c>
      <c r="F1418" s="44">
        <f>IFERROR(__xludf.DUMMYFUNCTION("""COMPUTED_VALUE"""),0.0)</f>
        <v>0</v>
      </c>
      <c r="G1418" s="32"/>
      <c r="H1418" s="32"/>
      <c r="I1418" s="32"/>
      <c r="J1418" s="32"/>
      <c r="K1418" s="32"/>
      <c r="L1418" s="32"/>
      <c r="M1418" s="32"/>
      <c r="N1418" s="32"/>
      <c r="O1418" s="32"/>
      <c r="P1418" s="32"/>
      <c r="Q1418" s="32"/>
      <c r="R1418" s="32"/>
      <c r="S1418" s="32"/>
      <c r="T1418" s="32"/>
      <c r="U1418" s="32"/>
      <c r="V1418" s="32"/>
      <c r="W1418" s="32"/>
      <c r="X1418" s="32"/>
      <c r="Y1418" s="32"/>
      <c r="Z1418" s="32"/>
      <c r="AA1418" s="32"/>
      <c r="AB1418" s="32"/>
      <c r="AC1418" s="32"/>
      <c r="AD1418" s="32"/>
      <c r="AE1418" s="32"/>
      <c r="AF1418" s="32"/>
      <c r="AG1418" s="32"/>
      <c r="AH1418" s="32" t="b">
        <f>IFERROR(__xludf.DUMMYFUNCTION("""COMPUTED_VALUE"""),FALSE)</f>
        <v>0</v>
      </c>
      <c r="AI1418" s="32"/>
      <c r="AJ1418" s="32"/>
      <c r="AK1418" s="32"/>
      <c r="AL1418" s="32"/>
      <c r="AM1418" s="32"/>
      <c r="AN1418" s="32"/>
      <c r="AO1418" s="32"/>
      <c r="AP1418" s="32"/>
      <c r="AQ1418" s="32"/>
      <c r="AR1418" s="32"/>
      <c r="AS1418" s="32"/>
      <c r="AT1418" s="32"/>
      <c r="AU1418" s="32"/>
      <c r="AV1418" s="32"/>
      <c r="AW1418" s="32"/>
      <c r="AX1418" s="32"/>
    </row>
    <row r="1419">
      <c r="A1419" s="32"/>
      <c r="B1419" s="32"/>
      <c r="C1419" s="32"/>
      <c r="D1419" s="32"/>
      <c r="E1419" s="32">
        <f>IFERROR(__xludf.DUMMYFUNCTION("""COMPUTED_VALUE"""),1.0)</f>
        <v>1</v>
      </c>
      <c r="F1419" s="44">
        <f>IFERROR(__xludf.DUMMYFUNCTION("""COMPUTED_VALUE"""),0.0)</f>
        <v>0</v>
      </c>
      <c r="G1419" s="32"/>
      <c r="H1419" s="32"/>
      <c r="I1419" s="32"/>
      <c r="J1419" s="32"/>
      <c r="K1419" s="32"/>
      <c r="L1419" s="32"/>
      <c r="M1419" s="32"/>
      <c r="N1419" s="32"/>
      <c r="O1419" s="32"/>
      <c r="P1419" s="32"/>
      <c r="Q1419" s="32"/>
      <c r="R1419" s="32"/>
      <c r="S1419" s="32"/>
      <c r="T1419" s="32"/>
      <c r="U1419" s="32"/>
      <c r="V1419" s="32"/>
      <c r="W1419" s="32"/>
      <c r="X1419" s="32"/>
      <c r="Y1419" s="32"/>
      <c r="Z1419" s="32"/>
      <c r="AA1419" s="32"/>
      <c r="AB1419" s="32"/>
      <c r="AC1419" s="32"/>
      <c r="AD1419" s="32"/>
      <c r="AE1419" s="32"/>
      <c r="AF1419" s="32"/>
      <c r="AG1419" s="32"/>
      <c r="AH1419" s="32" t="b">
        <f>IFERROR(__xludf.DUMMYFUNCTION("""COMPUTED_VALUE"""),FALSE)</f>
        <v>0</v>
      </c>
      <c r="AI1419" s="32"/>
      <c r="AJ1419" s="32"/>
      <c r="AK1419" s="32"/>
      <c r="AL1419" s="32"/>
      <c r="AM1419" s="32"/>
      <c r="AN1419" s="32"/>
      <c r="AO1419" s="32"/>
      <c r="AP1419" s="32"/>
      <c r="AQ1419" s="32"/>
      <c r="AR1419" s="32"/>
      <c r="AS1419" s="32"/>
      <c r="AT1419" s="32"/>
      <c r="AU1419" s="32"/>
      <c r="AV1419" s="32"/>
      <c r="AW1419" s="32"/>
      <c r="AX1419" s="32"/>
    </row>
    <row r="1420">
      <c r="A1420" s="32"/>
      <c r="B1420" s="32"/>
      <c r="C1420" s="32"/>
      <c r="D1420" s="32"/>
      <c r="E1420" s="32">
        <f>IFERROR(__xludf.DUMMYFUNCTION("""COMPUTED_VALUE"""),1.0)</f>
        <v>1</v>
      </c>
      <c r="F1420" s="44">
        <f>IFERROR(__xludf.DUMMYFUNCTION("""COMPUTED_VALUE"""),0.0)</f>
        <v>0</v>
      </c>
      <c r="G1420" s="32"/>
      <c r="H1420" s="32"/>
      <c r="I1420" s="32"/>
      <c r="J1420" s="32"/>
      <c r="K1420" s="32"/>
      <c r="L1420" s="32"/>
      <c r="M1420" s="32"/>
      <c r="N1420" s="32"/>
      <c r="O1420" s="32"/>
      <c r="P1420" s="32"/>
      <c r="Q1420" s="32"/>
      <c r="R1420" s="32"/>
      <c r="S1420" s="32"/>
      <c r="T1420" s="32"/>
      <c r="U1420" s="32"/>
      <c r="V1420" s="32"/>
      <c r="W1420" s="32"/>
      <c r="X1420" s="32"/>
      <c r="Y1420" s="32"/>
      <c r="Z1420" s="32"/>
      <c r="AA1420" s="32"/>
      <c r="AB1420" s="32"/>
      <c r="AC1420" s="32"/>
      <c r="AD1420" s="32"/>
      <c r="AE1420" s="32"/>
      <c r="AF1420" s="32"/>
      <c r="AG1420" s="32"/>
      <c r="AH1420" s="32" t="b">
        <f>IFERROR(__xludf.DUMMYFUNCTION("""COMPUTED_VALUE"""),FALSE)</f>
        <v>0</v>
      </c>
      <c r="AI1420" s="32"/>
      <c r="AJ1420" s="32"/>
      <c r="AK1420" s="32"/>
      <c r="AL1420" s="32"/>
      <c r="AM1420" s="32"/>
      <c r="AN1420" s="32"/>
      <c r="AO1420" s="32"/>
      <c r="AP1420" s="32"/>
      <c r="AQ1420" s="32"/>
      <c r="AR1420" s="32"/>
      <c r="AS1420" s="32"/>
      <c r="AT1420" s="32"/>
      <c r="AU1420" s="32"/>
      <c r="AV1420" s="32"/>
      <c r="AW1420" s="32"/>
      <c r="AX1420" s="32"/>
    </row>
    <row r="1421">
      <c r="A1421" s="32"/>
      <c r="B1421" s="32"/>
      <c r="C1421" s="32"/>
      <c r="D1421" s="32"/>
      <c r="E1421" s="32">
        <f>IFERROR(__xludf.DUMMYFUNCTION("""COMPUTED_VALUE"""),1.0)</f>
        <v>1</v>
      </c>
      <c r="F1421" s="44">
        <f>IFERROR(__xludf.DUMMYFUNCTION("""COMPUTED_VALUE"""),0.0)</f>
        <v>0</v>
      </c>
      <c r="G1421" s="32"/>
      <c r="H1421" s="32"/>
      <c r="I1421" s="32"/>
      <c r="J1421" s="32"/>
      <c r="K1421" s="32"/>
      <c r="L1421" s="32"/>
      <c r="M1421" s="32"/>
      <c r="N1421" s="32"/>
      <c r="O1421" s="32"/>
      <c r="P1421" s="32"/>
      <c r="Q1421" s="32"/>
      <c r="R1421" s="32"/>
      <c r="S1421" s="32"/>
      <c r="T1421" s="32"/>
      <c r="U1421" s="32"/>
      <c r="V1421" s="32"/>
      <c r="W1421" s="32"/>
      <c r="X1421" s="32"/>
      <c r="Y1421" s="32"/>
      <c r="Z1421" s="32"/>
      <c r="AA1421" s="32"/>
      <c r="AB1421" s="32"/>
      <c r="AC1421" s="32"/>
      <c r="AD1421" s="32"/>
      <c r="AE1421" s="32"/>
      <c r="AF1421" s="32"/>
      <c r="AG1421" s="32"/>
      <c r="AH1421" s="32" t="b">
        <f>IFERROR(__xludf.DUMMYFUNCTION("""COMPUTED_VALUE"""),FALSE)</f>
        <v>0</v>
      </c>
      <c r="AI1421" s="32"/>
      <c r="AJ1421" s="32"/>
      <c r="AK1421" s="32"/>
      <c r="AL1421" s="32"/>
      <c r="AM1421" s="32"/>
      <c r="AN1421" s="32"/>
      <c r="AO1421" s="32"/>
      <c r="AP1421" s="32"/>
      <c r="AQ1421" s="32"/>
      <c r="AR1421" s="32"/>
      <c r="AS1421" s="32"/>
      <c r="AT1421" s="32"/>
      <c r="AU1421" s="32"/>
      <c r="AV1421" s="32"/>
      <c r="AW1421" s="32"/>
      <c r="AX1421" s="32"/>
    </row>
    <row r="1422">
      <c r="A1422" s="32"/>
      <c r="B1422" s="32"/>
      <c r="C1422" s="32"/>
      <c r="D1422" s="32"/>
      <c r="E1422" s="32">
        <f>IFERROR(__xludf.DUMMYFUNCTION("""COMPUTED_VALUE"""),1.0)</f>
        <v>1</v>
      </c>
      <c r="F1422" s="44">
        <f>IFERROR(__xludf.DUMMYFUNCTION("""COMPUTED_VALUE"""),0.0)</f>
        <v>0</v>
      </c>
      <c r="G1422" s="32"/>
      <c r="H1422" s="32"/>
      <c r="I1422" s="32"/>
      <c r="J1422" s="32"/>
      <c r="K1422" s="32"/>
      <c r="L1422" s="32"/>
      <c r="M1422" s="32"/>
      <c r="N1422" s="32"/>
      <c r="O1422" s="32"/>
      <c r="P1422" s="32"/>
      <c r="Q1422" s="32"/>
      <c r="R1422" s="32"/>
      <c r="S1422" s="32"/>
      <c r="T1422" s="32"/>
      <c r="U1422" s="32"/>
      <c r="V1422" s="32"/>
      <c r="W1422" s="32"/>
      <c r="X1422" s="32"/>
      <c r="Y1422" s="32"/>
      <c r="Z1422" s="32"/>
      <c r="AA1422" s="32"/>
      <c r="AB1422" s="32"/>
      <c r="AC1422" s="32"/>
      <c r="AD1422" s="32"/>
      <c r="AE1422" s="32"/>
      <c r="AF1422" s="32"/>
      <c r="AG1422" s="32"/>
      <c r="AH1422" s="32" t="b">
        <f>IFERROR(__xludf.DUMMYFUNCTION("""COMPUTED_VALUE"""),FALSE)</f>
        <v>0</v>
      </c>
      <c r="AI1422" s="32"/>
      <c r="AJ1422" s="32"/>
      <c r="AK1422" s="32"/>
      <c r="AL1422" s="32"/>
      <c r="AM1422" s="32"/>
      <c r="AN1422" s="32"/>
      <c r="AO1422" s="32"/>
      <c r="AP1422" s="32"/>
      <c r="AQ1422" s="32"/>
      <c r="AR1422" s="32"/>
      <c r="AS1422" s="32"/>
      <c r="AT1422" s="32"/>
      <c r="AU1422" s="32"/>
      <c r="AV1422" s="32"/>
      <c r="AW1422" s="32"/>
      <c r="AX1422" s="32"/>
    </row>
    <row r="1423">
      <c r="A1423" s="32"/>
      <c r="B1423" s="32"/>
      <c r="C1423" s="32"/>
      <c r="D1423" s="32"/>
      <c r="E1423" s="32">
        <f>IFERROR(__xludf.DUMMYFUNCTION("""COMPUTED_VALUE"""),1.0)</f>
        <v>1</v>
      </c>
      <c r="F1423" s="44">
        <f>IFERROR(__xludf.DUMMYFUNCTION("""COMPUTED_VALUE"""),0.0)</f>
        <v>0</v>
      </c>
      <c r="G1423" s="32"/>
      <c r="H1423" s="32"/>
      <c r="I1423" s="32"/>
      <c r="J1423" s="32"/>
      <c r="K1423" s="32"/>
      <c r="L1423" s="32"/>
      <c r="M1423" s="32"/>
      <c r="N1423" s="32"/>
      <c r="O1423" s="32"/>
      <c r="P1423" s="32"/>
      <c r="Q1423" s="32"/>
      <c r="R1423" s="32"/>
      <c r="S1423" s="32"/>
      <c r="T1423" s="32"/>
      <c r="U1423" s="32"/>
      <c r="V1423" s="32"/>
      <c r="W1423" s="32"/>
      <c r="X1423" s="32"/>
      <c r="Y1423" s="32"/>
      <c r="Z1423" s="32"/>
      <c r="AA1423" s="32"/>
      <c r="AB1423" s="32"/>
      <c r="AC1423" s="32"/>
      <c r="AD1423" s="32"/>
      <c r="AE1423" s="32"/>
      <c r="AF1423" s="32"/>
      <c r="AG1423" s="32"/>
      <c r="AH1423" s="32" t="b">
        <f>IFERROR(__xludf.DUMMYFUNCTION("""COMPUTED_VALUE"""),FALSE)</f>
        <v>0</v>
      </c>
      <c r="AI1423" s="32"/>
      <c r="AJ1423" s="32"/>
      <c r="AK1423" s="32"/>
      <c r="AL1423" s="32"/>
      <c r="AM1423" s="32"/>
      <c r="AN1423" s="32"/>
      <c r="AO1423" s="32"/>
      <c r="AP1423" s="32"/>
      <c r="AQ1423" s="32"/>
      <c r="AR1423" s="32"/>
      <c r="AS1423" s="32"/>
      <c r="AT1423" s="32"/>
      <c r="AU1423" s="32"/>
      <c r="AV1423" s="32"/>
      <c r="AW1423" s="32"/>
      <c r="AX1423" s="32"/>
    </row>
    <row r="1424">
      <c r="A1424" s="32"/>
      <c r="B1424" s="32"/>
      <c r="C1424" s="32"/>
      <c r="D1424" s="32"/>
      <c r="E1424" s="32">
        <f>IFERROR(__xludf.DUMMYFUNCTION("""COMPUTED_VALUE"""),1.0)</f>
        <v>1</v>
      </c>
      <c r="F1424" s="44">
        <f>IFERROR(__xludf.DUMMYFUNCTION("""COMPUTED_VALUE"""),0.0)</f>
        <v>0</v>
      </c>
      <c r="G1424" s="32"/>
      <c r="H1424" s="32"/>
      <c r="I1424" s="32"/>
      <c r="J1424" s="32"/>
      <c r="K1424" s="32"/>
      <c r="L1424" s="32"/>
      <c r="M1424" s="32"/>
      <c r="N1424" s="32"/>
      <c r="O1424" s="32"/>
      <c r="P1424" s="32"/>
      <c r="Q1424" s="32"/>
      <c r="R1424" s="32"/>
      <c r="S1424" s="32"/>
      <c r="T1424" s="32"/>
      <c r="U1424" s="32"/>
      <c r="V1424" s="32"/>
      <c r="W1424" s="32"/>
      <c r="X1424" s="32"/>
      <c r="Y1424" s="32"/>
      <c r="Z1424" s="32"/>
      <c r="AA1424" s="32"/>
      <c r="AB1424" s="32"/>
      <c r="AC1424" s="32"/>
      <c r="AD1424" s="32"/>
      <c r="AE1424" s="32"/>
      <c r="AF1424" s="32"/>
      <c r="AG1424" s="32"/>
      <c r="AH1424" s="32" t="b">
        <f>IFERROR(__xludf.DUMMYFUNCTION("""COMPUTED_VALUE"""),FALSE)</f>
        <v>0</v>
      </c>
      <c r="AI1424" s="32"/>
      <c r="AJ1424" s="32"/>
      <c r="AK1424" s="32"/>
      <c r="AL1424" s="32"/>
      <c r="AM1424" s="32"/>
      <c r="AN1424" s="32"/>
      <c r="AO1424" s="32"/>
      <c r="AP1424" s="32"/>
      <c r="AQ1424" s="32"/>
      <c r="AR1424" s="32"/>
      <c r="AS1424" s="32"/>
      <c r="AT1424" s="32"/>
      <c r="AU1424" s="32"/>
      <c r="AV1424" s="32"/>
      <c r="AW1424" s="32"/>
      <c r="AX1424" s="32"/>
    </row>
    <row r="1425">
      <c r="A1425" s="32"/>
      <c r="B1425" s="32"/>
      <c r="C1425" s="32"/>
      <c r="D1425" s="32"/>
      <c r="E1425" s="32">
        <f>IFERROR(__xludf.DUMMYFUNCTION("""COMPUTED_VALUE"""),1.0)</f>
        <v>1</v>
      </c>
      <c r="F1425" s="44">
        <f>IFERROR(__xludf.DUMMYFUNCTION("""COMPUTED_VALUE"""),0.0)</f>
        <v>0</v>
      </c>
      <c r="G1425" s="32"/>
      <c r="H1425" s="32"/>
      <c r="I1425" s="32"/>
      <c r="J1425" s="32"/>
      <c r="K1425" s="32"/>
      <c r="L1425" s="32"/>
      <c r="M1425" s="32"/>
      <c r="N1425" s="32"/>
      <c r="O1425" s="32"/>
      <c r="P1425" s="32"/>
      <c r="Q1425" s="32"/>
      <c r="R1425" s="32"/>
      <c r="S1425" s="32"/>
      <c r="T1425" s="32"/>
      <c r="U1425" s="32"/>
      <c r="V1425" s="32"/>
      <c r="W1425" s="32"/>
      <c r="X1425" s="32"/>
      <c r="Y1425" s="32"/>
      <c r="Z1425" s="32"/>
      <c r="AA1425" s="32"/>
      <c r="AB1425" s="32"/>
      <c r="AC1425" s="32"/>
      <c r="AD1425" s="32"/>
      <c r="AE1425" s="32"/>
      <c r="AF1425" s="32"/>
      <c r="AG1425" s="32"/>
      <c r="AH1425" s="32" t="b">
        <f>IFERROR(__xludf.DUMMYFUNCTION("""COMPUTED_VALUE"""),FALSE)</f>
        <v>0</v>
      </c>
      <c r="AI1425" s="32"/>
      <c r="AJ1425" s="32"/>
      <c r="AK1425" s="32"/>
      <c r="AL1425" s="32"/>
      <c r="AM1425" s="32"/>
      <c r="AN1425" s="32"/>
      <c r="AO1425" s="32"/>
      <c r="AP1425" s="32"/>
      <c r="AQ1425" s="32"/>
      <c r="AR1425" s="32"/>
      <c r="AS1425" s="32"/>
      <c r="AT1425" s="32"/>
      <c r="AU1425" s="32"/>
      <c r="AV1425" s="32"/>
      <c r="AW1425" s="32"/>
      <c r="AX1425" s="32"/>
    </row>
    <row r="1426">
      <c r="A1426" s="32"/>
      <c r="B1426" s="32"/>
      <c r="C1426" s="32"/>
      <c r="D1426" s="32"/>
      <c r="E1426" s="32">
        <f>IFERROR(__xludf.DUMMYFUNCTION("""COMPUTED_VALUE"""),1.0)</f>
        <v>1</v>
      </c>
      <c r="F1426" s="44">
        <f>IFERROR(__xludf.DUMMYFUNCTION("""COMPUTED_VALUE"""),0.0)</f>
        <v>0</v>
      </c>
      <c r="G1426" s="32"/>
      <c r="H1426" s="32"/>
      <c r="I1426" s="32"/>
      <c r="J1426" s="32"/>
      <c r="K1426" s="32"/>
      <c r="L1426" s="32"/>
      <c r="M1426" s="32"/>
      <c r="N1426" s="32"/>
      <c r="O1426" s="32"/>
      <c r="P1426" s="32"/>
      <c r="Q1426" s="32"/>
      <c r="R1426" s="32"/>
      <c r="S1426" s="32"/>
      <c r="T1426" s="32"/>
      <c r="U1426" s="32"/>
      <c r="V1426" s="32"/>
      <c r="W1426" s="32"/>
      <c r="X1426" s="32"/>
      <c r="Y1426" s="32"/>
      <c r="Z1426" s="32"/>
      <c r="AA1426" s="32"/>
      <c r="AB1426" s="32"/>
      <c r="AC1426" s="32"/>
      <c r="AD1426" s="32"/>
      <c r="AE1426" s="32"/>
      <c r="AF1426" s="32"/>
      <c r="AG1426" s="32"/>
      <c r="AH1426" s="32" t="b">
        <f>IFERROR(__xludf.DUMMYFUNCTION("""COMPUTED_VALUE"""),FALSE)</f>
        <v>0</v>
      </c>
      <c r="AI1426" s="32"/>
      <c r="AJ1426" s="32"/>
      <c r="AK1426" s="32"/>
      <c r="AL1426" s="32"/>
      <c r="AM1426" s="32"/>
      <c r="AN1426" s="32"/>
      <c r="AO1426" s="32"/>
      <c r="AP1426" s="32"/>
      <c r="AQ1426" s="32"/>
      <c r="AR1426" s="32"/>
      <c r="AS1426" s="32"/>
      <c r="AT1426" s="32"/>
      <c r="AU1426" s="32"/>
      <c r="AV1426" s="32"/>
      <c r="AW1426" s="32"/>
      <c r="AX1426" s="32"/>
    </row>
    <row r="1427">
      <c r="A1427" s="32"/>
      <c r="B1427" s="32"/>
      <c r="C1427" s="32"/>
      <c r="D1427" s="32"/>
      <c r="E1427" s="32">
        <f>IFERROR(__xludf.DUMMYFUNCTION("""COMPUTED_VALUE"""),1.0)</f>
        <v>1</v>
      </c>
      <c r="F1427" s="44">
        <f>IFERROR(__xludf.DUMMYFUNCTION("""COMPUTED_VALUE"""),0.0)</f>
        <v>0</v>
      </c>
      <c r="G1427" s="32"/>
      <c r="H1427" s="32"/>
      <c r="I1427" s="32"/>
      <c r="J1427" s="32"/>
      <c r="K1427" s="32"/>
      <c r="L1427" s="32"/>
      <c r="M1427" s="32"/>
      <c r="N1427" s="32"/>
      <c r="O1427" s="32"/>
      <c r="P1427" s="32"/>
      <c r="Q1427" s="32"/>
      <c r="R1427" s="32"/>
      <c r="S1427" s="32"/>
      <c r="T1427" s="32"/>
      <c r="U1427" s="32"/>
      <c r="V1427" s="32"/>
      <c r="W1427" s="32"/>
      <c r="X1427" s="32"/>
      <c r="Y1427" s="32"/>
      <c r="Z1427" s="32"/>
      <c r="AA1427" s="32"/>
      <c r="AB1427" s="32"/>
      <c r="AC1427" s="32"/>
      <c r="AD1427" s="32"/>
      <c r="AE1427" s="32"/>
      <c r="AF1427" s="32"/>
      <c r="AG1427" s="32"/>
      <c r="AH1427" s="32" t="b">
        <f>IFERROR(__xludf.DUMMYFUNCTION("""COMPUTED_VALUE"""),FALSE)</f>
        <v>0</v>
      </c>
      <c r="AI1427" s="32"/>
      <c r="AJ1427" s="32"/>
      <c r="AK1427" s="32"/>
      <c r="AL1427" s="32"/>
      <c r="AM1427" s="32"/>
      <c r="AN1427" s="32"/>
      <c r="AO1427" s="32"/>
      <c r="AP1427" s="32"/>
      <c r="AQ1427" s="32"/>
      <c r="AR1427" s="32"/>
      <c r="AS1427" s="32"/>
      <c r="AT1427" s="32"/>
      <c r="AU1427" s="32"/>
      <c r="AV1427" s="32"/>
      <c r="AW1427" s="32"/>
      <c r="AX1427" s="32"/>
    </row>
    <row r="1428">
      <c r="A1428" s="32"/>
      <c r="B1428" s="32"/>
      <c r="C1428" s="32"/>
      <c r="D1428" s="32"/>
      <c r="E1428" s="32">
        <f>IFERROR(__xludf.DUMMYFUNCTION("""COMPUTED_VALUE"""),1.0)</f>
        <v>1</v>
      </c>
      <c r="F1428" s="44">
        <f>IFERROR(__xludf.DUMMYFUNCTION("""COMPUTED_VALUE"""),0.0)</f>
        <v>0</v>
      </c>
      <c r="G1428" s="32"/>
      <c r="H1428" s="32"/>
      <c r="I1428" s="32"/>
      <c r="J1428" s="32"/>
      <c r="K1428" s="32"/>
      <c r="L1428" s="32"/>
      <c r="M1428" s="32"/>
      <c r="N1428" s="32"/>
      <c r="O1428" s="32"/>
      <c r="P1428" s="32"/>
      <c r="Q1428" s="32"/>
      <c r="R1428" s="32"/>
      <c r="S1428" s="32"/>
      <c r="T1428" s="32"/>
      <c r="U1428" s="32"/>
      <c r="V1428" s="32"/>
      <c r="W1428" s="32"/>
      <c r="X1428" s="32"/>
      <c r="Y1428" s="32"/>
      <c r="Z1428" s="32"/>
      <c r="AA1428" s="32"/>
      <c r="AB1428" s="32"/>
      <c r="AC1428" s="32"/>
      <c r="AD1428" s="32"/>
      <c r="AE1428" s="32"/>
      <c r="AF1428" s="32"/>
      <c r="AG1428" s="32"/>
      <c r="AH1428" s="32" t="b">
        <f>IFERROR(__xludf.DUMMYFUNCTION("""COMPUTED_VALUE"""),FALSE)</f>
        <v>0</v>
      </c>
      <c r="AI1428" s="32"/>
      <c r="AJ1428" s="32"/>
      <c r="AK1428" s="32"/>
      <c r="AL1428" s="32"/>
      <c r="AM1428" s="32"/>
      <c r="AN1428" s="32"/>
      <c r="AO1428" s="32"/>
      <c r="AP1428" s="32"/>
      <c r="AQ1428" s="32"/>
      <c r="AR1428" s="32"/>
      <c r="AS1428" s="32"/>
      <c r="AT1428" s="32"/>
      <c r="AU1428" s="32"/>
      <c r="AV1428" s="32"/>
      <c r="AW1428" s="32"/>
      <c r="AX1428" s="32"/>
    </row>
    <row r="1429">
      <c r="A1429" s="32"/>
      <c r="B1429" s="32"/>
      <c r="C1429" s="32"/>
      <c r="D1429" s="32"/>
      <c r="E1429" s="32">
        <f>IFERROR(__xludf.DUMMYFUNCTION("""COMPUTED_VALUE"""),1.0)</f>
        <v>1</v>
      </c>
      <c r="F1429" s="44">
        <f>IFERROR(__xludf.DUMMYFUNCTION("""COMPUTED_VALUE"""),0.0)</f>
        <v>0</v>
      </c>
      <c r="G1429" s="32"/>
      <c r="H1429" s="32"/>
      <c r="I1429" s="32"/>
      <c r="J1429" s="32"/>
      <c r="K1429" s="32"/>
      <c r="L1429" s="32"/>
      <c r="M1429" s="32"/>
      <c r="N1429" s="32"/>
      <c r="O1429" s="32"/>
      <c r="P1429" s="32"/>
      <c r="Q1429" s="32"/>
      <c r="R1429" s="32"/>
      <c r="S1429" s="32"/>
      <c r="T1429" s="32"/>
      <c r="U1429" s="32"/>
      <c r="V1429" s="32"/>
      <c r="W1429" s="32"/>
      <c r="X1429" s="32"/>
      <c r="Y1429" s="32"/>
      <c r="Z1429" s="32"/>
      <c r="AA1429" s="32"/>
      <c r="AB1429" s="32"/>
      <c r="AC1429" s="32"/>
      <c r="AD1429" s="32"/>
      <c r="AE1429" s="32"/>
      <c r="AF1429" s="32"/>
      <c r="AG1429" s="32"/>
      <c r="AH1429" s="32" t="b">
        <f>IFERROR(__xludf.DUMMYFUNCTION("""COMPUTED_VALUE"""),FALSE)</f>
        <v>0</v>
      </c>
      <c r="AI1429" s="32"/>
      <c r="AJ1429" s="32"/>
      <c r="AK1429" s="32"/>
      <c r="AL1429" s="32"/>
      <c r="AM1429" s="32"/>
      <c r="AN1429" s="32"/>
      <c r="AO1429" s="32"/>
      <c r="AP1429" s="32"/>
      <c r="AQ1429" s="32"/>
      <c r="AR1429" s="32"/>
      <c r="AS1429" s="32"/>
      <c r="AT1429" s="32"/>
      <c r="AU1429" s="32"/>
      <c r="AV1429" s="32"/>
      <c r="AW1429" s="32"/>
      <c r="AX1429" s="32"/>
    </row>
    <row r="1430">
      <c r="A1430" s="32"/>
      <c r="B1430" s="32"/>
      <c r="C1430" s="32"/>
      <c r="D1430" s="32"/>
      <c r="E1430" s="32">
        <f>IFERROR(__xludf.DUMMYFUNCTION("""COMPUTED_VALUE"""),1.0)</f>
        <v>1</v>
      </c>
      <c r="F1430" s="44">
        <f>IFERROR(__xludf.DUMMYFUNCTION("""COMPUTED_VALUE"""),0.0)</f>
        <v>0</v>
      </c>
      <c r="G1430" s="32"/>
      <c r="H1430" s="32"/>
      <c r="I1430" s="32"/>
      <c r="J1430" s="32"/>
      <c r="K1430" s="32"/>
      <c r="L1430" s="32"/>
      <c r="M1430" s="32"/>
      <c r="N1430" s="32"/>
      <c r="O1430" s="32"/>
      <c r="P1430" s="32"/>
      <c r="Q1430" s="32"/>
      <c r="R1430" s="32"/>
      <c r="S1430" s="32"/>
      <c r="T1430" s="32"/>
      <c r="U1430" s="32"/>
      <c r="V1430" s="32"/>
      <c r="W1430" s="32"/>
      <c r="X1430" s="32"/>
      <c r="Y1430" s="32"/>
      <c r="Z1430" s="32"/>
      <c r="AA1430" s="32"/>
      <c r="AB1430" s="32"/>
      <c r="AC1430" s="32"/>
      <c r="AD1430" s="32"/>
      <c r="AE1430" s="32"/>
      <c r="AF1430" s="32"/>
      <c r="AG1430" s="32"/>
      <c r="AH1430" s="32" t="b">
        <f>IFERROR(__xludf.DUMMYFUNCTION("""COMPUTED_VALUE"""),FALSE)</f>
        <v>0</v>
      </c>
      <c r="AI1430" s="32"/>
      <c r="AJ1430" s="32"/>
      <c r="AK1430" s="32"/>
      <c r="AL1430" s="32"/>
      <c r="AM1430" s="32"/>
      <c r="AN1430" s="32"/>
      <c r="AO1430" s="32"/>
      <c r="AP1430" s="32"/>
      <c r="AQ1430" s="32"/>
      <c r="AR1430" s="32"/>
      <c r="AS1430" s="32"/>
      <c r="AT1430" s="32"/>
      <c r="AU1430" s="32"/>
      <c r="AV1430" s="32"/>
      <c r="AW1430" s="32"/>
      <c r="AX1430" s="32"/>
    </row>
    <row r="1431">
      <c r="A1431" s="32"/>
      <c r="B1431" s="32"/>
      <c r="C1431" s="32"/>
      <c r="D1431" s="32"/>
      <c r="E1431" s="32">
        <f>IFERROR(__xludf.DUMMYFUNCTION("""COMPUTED_VALUE"""),1.0)</f>
        <v>1</v>
      </c>
      <c r="F1431" s="44">
        <f>IFERROR(__xludf.DUMMYFUNCTION("""COMPUTED_VALUE"""),0.0)</f>
        <v>0</v>
      </c>
      <c r="G1431" s="32"/>
      <c r="H1431" s="32"/>
      <c r="I1431" s="32"/>
      <c r="J1431" s="32"/>
      <c r="K1431" s="32"/>
      <c r="L1431" s="32"/>
      <c r="M1431" s="32"/>
      <c r="N1431" s="32"/>
      <c r="O1431" s="32"/>
      <c r="P1431" s="32"/>
      <c r="Q1431" s="32"/>
      <c r="R1431" s="32"/>
      <c r="S1431" s="32"/>
      <c r="T1431" s="32"/>
      <c r="U1431" s="32"/>
      <c r="V1431" s="32"/>
      <c r="W1431" s="32"/>
      <c r="X1431" s="32"/>
      <c r="Y1431" s="32"/>
      <c r="Z1431" s="32"/>
      <c r="AA1431" s="32"/>
      <c r="AB1431" s="32"/>
      <c r="AC1431" s="32"/>
      <c r="AD1431" s="32"/>
      <c r="AE1431" s="32"/>
      <c r="AF1431" s="32"/>
      <c r="AG1431" s="32"/>
      <c r="AH1431" s="32" t="b">
        <f>IFERROR(__xludf.DUMMYFUNCTION("""COMPUTED_VALUE"""),FALSE)</f>
        <v>0</v>
      </c>
      <c r="AI1431" s="32"/>
      <c r="AJ1431" s="32"/>
      <c r="AK1431" s="32"/>
      <c r="AL1431" s="32"/>
      <c r="AM1431" s="32"/>
      <c r="AN1431" s="32"/>
      <c r="AO1431" s="32"/>
      <c r="AP1431" s="32"/>
      <c r="AQ1431" s="32"/>
      <c r="AR1431" s="32"/>
      <c r="AS1431" s="32"/>
      <c r="AT1431" s="32"/>
      <c r="AU1431" s="32"/>
      <c r="AV1431" s="32"/>
      <c r="AW1431" s="32"/>
      <c r="AX1431" s="32"/>
    </row>
    <row r="1432">
      <c r="A1432" s="32"/>
      <c r="B1432" s="32"/>
      <c r="C1432" s="32"/>
      <c r="D1432" s="32"/>
      <c r="E1432" s="32">
        <f>IFERROR(__xludf.DUMMYFUNCTION("""COMPUTED_VALUE"""),1.0)</f>
        <v>1</v>
      </c>
      <c r="F1432" s="44">
        <f>IFERROR(__xludf.DUMMYFUNCTION("""COMPUTED_VALUE"""),0.0)</f>
        <v>0</v>
      </c>
      <c r="G1432" s="32"/>
      <c r="H1432" s="32"/>
      <c r="I1432" s="32"/>
      <c r="J1432" s="32"/>
      <c r="K1432" s="32"/>
      <c r="L1432" s="32"/>
      <c r="M1432" s="32"/>
      <c r="N1432" s="32"/>
      <c r="O1432" s="32"/>
      <c r="P1432" s="32"/>
      <c r="Q1432" s="32"/>
      <c r="R1432" s="32"/>
      <c r="S1432" s="32"/>
      <c r="T1432" s="32"/>
      <c r="U1432" s="32"/>
      <c r="V1432" s="32"/>
      <c r="W1432" s="32"/>
      <c r="X1432" s="32"/>
      <c r="Y1432" s="32"/>
      <c r="Z1432" s="32"/>
      <c r="AA1432" s="32"/>
      <c r="AB1432" s="32"/>
      <c r="AC1432" s="32"/>
      <c r="AD1432" s="32"/>
      <c r="AE1432" s="32"/>
      <c r="AF1432" s="32"/>
      <c r="AG1432" s="32"/>
      <c r="AH1432" s="32" t="b">
        <f>IFERROR(__xludf.DUMMYFUNCTION("""COMPUTED_VALUE"""),FALSE)</f>
        <v>0</v>
      </c>
      <c r="AI1432" s="32"/>
      <c r="AJ1432" s="32"/>
      <c r="AK1432" s="32"/>
      <c r="AL1432" s="32"/>
      <c r="AM1432" s="32"/>
      <c r="AN1432" s="32"/>
      <c r="AO1432" s="32"/>
      <c r="AP1432" s="32"/>
      <c r="AQ1432" s="32"/>
      <c r="AR1432" s="32"/>
      <c r="AS1432" s="32"/>
      <c r="AT1432" s="32"/>
      <c r="AU1432" s="32"/>
      <c r="AV1432" s="32"/>
      <c r="AW1432" s="32"/>
      <c r="AX1432" s="32"/>
    </row>
    <row r="1433">
      <c r="A1433" s="32"/>
      <c r="B1433" s="32"/>
      <c r="C1433" s="32"/>
      <c r="D1433" s="32"/>
      <c r="E1433" s="32">
        <f>IFERROR(__xludf.DUMMYFUNCTION("""COMPUTED_VALUE"""),1.0)</f>
        <v>1</v>
      </c>
      <c r="F1433" s="44">
        <f>IFERROR(__xludf.DUMMYFUNCTION("""COMPUTED_VALUE"""),0.0)</f>
        <v>0</v>
      </c>
      <c r="G1433" s="32"/>
      <c r="H1433" s="32"/>
      <c r="I1433" s="32"/>
      <c r="J1433" s="32"/>
      <c r="K1433" s="32"/>
      <c r="L1433" s="32"/>
      <c r="M1433" s="32"/>
      <c r="N1433" s="32"/>
      <c r="O1433" s="32"/>
      <c r="P1433" s="32"/>
      <c r="Q1433" s="32"/>
      <c r="R1433" s="32"/>
      <c r="S1433" s="32"/>
      <c r="T1433" s="32"/>
      <c r="U1433" s="32"/>
      <c r="V1433" s="32"/>
      <c r="W1433" s="32"/>
      <c r="X1433" s="32"/>
      <c r="Y1433" s="32"/>
      <c r="Z1433" s="32"/>
      <c r="AA1433" s="32"/>
      <c r="AB1433" s="32"/>
      <c r="AC1433" s="32"/>
      <c r="AD1433" s="32"/>
      <c r="AE1433" s="32"/>
      <c r="AF1433" s="32"/>
      <c r="AG1433" s="32"/>
      <c r="AH1433" s="32" t="b">
        <f>IFERROR(__xludf.DUMMYFUNCTION("""COMPUTED_VALUE"""),FALSE)</f>
        <v>0</v>
      </c>
      <c r="AI1433" s="32"/>
      <c r="AJ1433" s="32"/>
      <c r="AK1433" s="32"/>
      <c r="AL1433" s="32"/>
      <c r="AM1433" s="32"/>
      <c r="AN1433" s="32"/>
      <c r="AO1433" s="32"/>
      <c r="AP1433" s="32"/>
      <c r="AQ1433" s="32"/>
      <c r="AR1433" s="32"/>
      <c r="AS1433" s="32"/>
      <c r="AT1433" s="32"/>
      <c r="AU1433" s="32"/>
      <c r="AV1433" s="32"/>
      <c r="AW1433" s="32"/>
      <c r="AX1433" s="32"/>
    </row>
    <row r="1434">
      <c r="A1434" s="32"/>
      <c r="B1434" s="32"/>
      <c r="C1434" s="32"/>
      <c r="D1434" s="32"/>
      <c r="E1434" s="32">
        <f>IFERROR(__xludf.DUMMYFUNCTION("""COMPUTED_VALUE"""),1.0)</f>
        <v>1</v>
      </c>
      <c r="F1434" s="44">
        <f>IFERROR(__xludf.DUMMYFUNCTION("""COMPUTED_VALUE"""),0.0)</f>
        <v>0</v>
      </c>
      <c r="G1434" s="32"/>
      <c r="H1434" s="32"/>
      <c r="I1434" s="32"/>
      <c r="J1434" s="32"/>
      <c r="K1434" s="32"/>
      <c r="L1434" s="32"/>
      <c r="M1434" s="32"/>
      <c r="N1434" s="32"/>
      <c r="O1434" s="32"/>
      <c r="P1434" s="32"/>
      <c r="Q1434" s="32"/>
      <c r="R1434" s="32"/>
      <c r="S1434" s="32"/>
      <c r="T1434" s="32"/>
      <c r="U1434" s="32"/>
      <c r="V1434" s="32"/>
      <c r="W1434" s="32"/>
      <c r="X1434" s="32"/>
      <c r="Y1434" s="32"/>
      <c r="Z1434" s="32"/>
      <c r="AA1434" s="32"/>
      <c r="AB1434" s="32"/>
      <c r="AC1434" s="32"/>
      <c r="AD1434" s="32"/>
      <c r="AE1434" s="32"/>
      <c r="AF1434" s="32"/>
      <c r="AG1434" s="32"/>
      <c r="AH1434" s="32" t="b">
        <f>IFERROR(__xludf.DUMMYFUNCTION("""COMPUTED_VALUE"""),FALSE)</f>
        <v>0</v>
      </c>
      <c r="AI1434" s="32"/>
      <c r="AJ1434" s="32"/>
      <c r="AK1434" s="32"/>
      <c r="AL1434" s="32"/>
      <c r="AM1434" s="32"/>
      <c r="AN1434" s="32"/>
      <c r="AO1434" s="32"/>
      <c r="AP1434" s="32"/>
      <c r="AQ1434" s="32"/>
      <c r="AR1434" s="32"/>
      <c r="AS1434" s="32"/>
      <c r="AT1434" s="32"/>
      <c r="AU1434" s="32"/>
      <c r="AV1434" s="32"/>
      <c r="AW1434" s="32"/>
      <c r="AX1434" s="32"/>
    </row>
    <row r="1435">
      <c r="A1435" s="32"/>
      <c r="B1435" s="32"/>
      <c r="C1435" s="32"/>
      <c r="D1435" s="32"/>
      <c r="E1435" s="32">
        <f>IFERROR(__xludf.DUMMYFUNCTION("""COMPUTED_VALUE"""),1.0)</f>
        <v>1</v>
      </c>
      <c r="F1435" s="44">
        <f>IFERROR(__xludf.DUMMYFUNCTION("""COMPUTED_VALUE"""),0.0)</f>
        <v>0</v>
      </c>
      <c r="G1435" s="32"/>
      <c r="H1435" s="32"/>
      <c r="I1435" s="32"/>
      <c r="J1435" s="32"/>
      <c r="K1435" s="32"/>
      <c r="L1435" s="32"/>
      <c r="M1435" s="32"/>
      <c r="N1435" s="32"/>
      <c r="O1435" s="32"/>
      <c r="P1435" s="32"/>
      <c r="Q1435" s="32"/>
      <c r="R1435" s="32"/>
      <c r="S1435" s="32"/>
      <c r="T1435" s="32"/>
      <c r="U1435" s="32"/>
      <c r="V1435" s="32"/>
      <c r="W1435" s="32"/>
      <c r="X1435" s="32"/>
      <c r="Y1435" s="32"/>
      <c r="Z1435" s="32"/>
      <c r="AA1435" s="32"/>
      <c r="AB1435" s="32"/>
      <c r="AC1435" s="32"/>
      <c r="AD1435" s="32"/>
      <c r="AE1435" s="32"/>
      <c r="AF1435" s="32"/>
      <c r="AG1435" s="32"/>
      <c r="AH1435" s="32" t="b">
        <f>IFERROR(__xludf.DUMMYFUNCTION("""COMPUTED_VALUE"""),FALSE)</f>
        <v>0</v>
      </c>
      <c r="AI1435" s="32"/>
      <c r="AJ1435" s="32"/>
      <c r="AK1435" s="32"/>
      <c r="AL1435" s="32"/>
      <c r="AM1435" s="32"/>
      <c r="AN1435" s="32"/>
      <c r="AO1435" s="32"/>
      <c r="AP1435" s="32"/>
      <c r="AQ1435" s="32"/>
      <c r="AR1435" s="32"/>
      <c r="AS1435" s="32"/>
      <c r="AT1435" s="32"/>
      <c r="AU1435" s="32"/>
      <c r="AV1435" s="32"/>
      <c r="AW1435" s="32"/>
      <c r="AX1435" s="32"/>
    </row>
    <row r="1436">
      <c r="A1436" s="32"/>
      <c r="B1436" s="32"/>
      <c r="C1436" s="32"/>
      <c r="D1436" s="32"/>
      <c r="E1436" s="32">
        <f>IFERROR(__xludf.DUMMYFUNCTION("""COMPUTED_VALUE"""),1.0)</f>
        <v>1</v>
      </c>
      <c r="F1436" s="44">
        <f>IFERROR(__xludf.DUMMYFUNCTION("""COMPUTED_VALUE"""),0.0)</f>
        <v>0</v>
      </c>
      <c r="G1436" s="32"/>
      <c r="H1436" s="32"/>
      <c r="I1436" s="32"/>
      <c r="J1436" s="32"/>
      <c r="K1436" s="32"/>
      <c r="L1436" s="32"/>
      <c r="M1436" s="32"/>
      <c r="N1436" s="32"/>
      <c r="O1436" s="32"/>
      <c r="P1436" s="32"/>
      <c r="Q1436" s="32"/>
      <c r="R1436" s="32"/>
      <c r="S1436" s="32"/>
      <c r="T1436" s="32"/>
      <c r="U1436" s="32"/>
      <c r="V1436" s="32"/>
      <c r="W1436" s="32"/>
      <c r="X1436" s="32"/>
      <c r="Y1436" s="32"/>
      <c r="Z1436" s="32"/>
      <c r="AA1436" s="32"/>
      <c r="AB1436" s="32"/>
      <c r="AC1436" s="32"/>
      <c r="AD1436" s="32"/>
      <c r="AE1436" s="32"/>
      <c r="AF1436" s="32"/>
      <c r="AG1436" s="32"/>
      <c r="AH1436" s="32" t="b">
        <f>IFERROR(__xludf.DUMMYFUNCTION("""COMPUTED_VALUE"""),FALSE)</f>
        <v>0</v>
      </c>
      <c r="AI1436" s="32"/>
      <c r="AJ1436" s="32"/>
      <c r="AK1436" s="32"/>
      <c r="AL1436" s="32"/>
      <c r="AM1436" s="32"/>
      <c r="AN1436" s="32"/>
      <c r="AO1436" s="32"/>
      <c r="AP1436" s="32"/>
      <c r="AQ1436" s="32"/>
      <c r="AR1436" s="32"/>
      <c r="AS1436" s="32"/>
      <c r="AT1436" s="32"/>
      <c r="AU1436" s="32"/>
      <c r="AV1436" s="32"/>
      <c r="AW1436" s="32"/>
      <c r="AX1436" s="32"/>
    </row>
    <row r="1437">
      <c r="A1437" s="32"/>
      <c r="B1437" s="32"/>
      <c r="C1437" s="32"/>
      <c r="D1437" s="32"/>
      <c r="E1437" s="32">
        <f>IFERROR(__xludf.DUMMYFUNCTION("""COMPUTED_VALUE"""),1.0)</f>
        <v>1</v>
      </c>
      <c r="F1437" s="44">
        <f>IFERROR(__xludf.DUMMYFUNCTION("""COMPUTED_VALUE"""),0.0)</f>
        <v>0</v>
      </c>
      <c r="G1437" s="32"/>
      <c r="H1437" s="32"/>
      <c r="I1437" s="32"/>
      <c r="J1437" s="32"/>
      <c r="K1437" s="32"/>
      <c r="L1437" s="32"/>
      <c r="M1437" s="32"/>
      <c r="N1437" s="32"/>
      <c r="O1437" s="32"/>
      <c r="P1437" s="32"/>
      <c r="Q1437" s="32"/>
      <c r="R1437" s="32"/>
      <c r="S1437" s="32"/>
      <c r="T1437" s="32"/>
      <c r="U1437" s="32"/>
      <c r="V1437" s="32"/>
      <c r="W1437" s="32"/>
      <c r="X1437" s="32"/>
      <c r="Y1437" s="32"/>
      <c r="Z1437" s="32"/>
      <c r="AA1437" s="32"/>
      <c r="AB1437" s="32"/>
      <c r="AC1437" s="32"/>
      <c r="AD1437" s="32"/>
      <c r="AE1437" s="32"/>
      <c r="AF1437" s="32"/>
      <c r="AG1437" s="32"/>
      <c r="AH1437" s="32" t="b">
        <f>IFERROR(__xludf.DUMMYFUNCTION("""COMPUTED_VALUE"""),FALSE)</f>
        <v>0</v>
      </c>
      <c r="AI1437" s="32"/>
      <c r="AJ1437" s="32"/>
      <c r="AK1437" s="32"/>
      <c r="AL1437" s="32"/>
      <c r="AM1437" s="32"/>
      <c r="AN1437" s="32"/>
      <c r="AO1437" s="32"/>
      <c r="AP1437" s="32"/>
      <c r="AQ1437" s="32"/>
      <c r="AR1437" s="32"/>
      <c r="AS1437" s="32"/>
      <c r="AT1437" s="32"/>
      <c r="AU1437" s="32"/>
      <c r="AV1437" s="32"/>
      <c r="AW1437" s="32"/>
      <c r="AX1437" s="32"/>
    </row>
    <row r="1438">
      <c r="A1438" s="32"/>
      <c r="B1438" s="32"/>
      <c r="C1438" s="32"/>
      <c r="D1438" s="32"/>
      <c r="E1438" s="32">
        <f>IFERROR(__xludf.DUMMYFUNCTION("""COMPUTED_VALUE"""),1.0)</f>
        <v>1</v>
      </c>
      <c r="F1438" s="44">
        <f>IFERROR(__xludf.DUMMYFUNCTION("""COMPUTED_VALUE"""),0.0)</f>
        <v>0</v>
      </c>
      <c r="G1438" s="32"/>
      <c r="H1438" s="32"/>
      <c r="I1438" s="32"/>
      <c r="J1438" s="32"/>
      <c r="K1438" s="32"/>
      <c r="L1438" s="32"/>
      <c r="M1438" s="32"/>
      <c r="N1438" s="32"/>
      <c r="O1438" s="32"/>
      <c r="P1438" s="32"/>
      <c r="Q1438" s="32"/>
      <c r="R1438" s="32"/>
      <c r="S1438" s="32"/>
      <c r="T1438" s="32"/>
      <c r="U1438" s="32"/>
      <c r="V1438" s="32"/>
      <c r="W1438" s="32"/>
      <c r="X1438" s="32"/>
      <c r="Y1438" s="32"/>
      <c r="Z1438" s="32"/>
      <c r="AA1438" s="32"/>
      <c r="AB1438" s="32"/>
      <c r="AC1438" s="32"/>
      <c r="AD1438" s="32"/>
      <c r="AE1438" s="32"/>
      <c r="AF1438" s="32"/>
      <c r="AG1438" s="32"/>
      <c r="AH1438" s="32" t="b">
        <f>IFERROR(__xludf.DUMMYFUNCTION("""COMPUTED_VALUE"""),FALSE)</f>
        <v>0</v>
      </c>
      <c r="AI1438" s="32"/>
      <c r="AJ1438" s="32"/>
      <c r="AK1438" s="32"/>
      <c r="AL1438" s="32"/>
      <c r="AM1438" s="32"/>
      <c r="AN1438" s="32"/>
      <c r="AO1438" s="32"/>
      <c r="AP1438" s="32"/>
      <c r="AQ1438" s="32"/>
      <c r="AR1438" s="32"/>
      <c r="AS1438" s="32"/>
      <c r="AT1438" s="32"/>
      <c r="AU1438" s="32"/>
      <c r="AV1438" s="32"/>
      <c r="AW1438" s="32"/>
      <c r="AX1438" s="32"/>
    </row>
    <row r="1439">
      <c r="A1439" s="32"/>
      <c r="B1439" s="32"/>
      <c r="C1439" s="32"/>
      <c r="D1439" s="32"/>
      <c r="E1439" s="32">
        <f>IFERROR(__xludf.DUMMYFUNCTION("""COMPUTED_VALUE"""),1.0)</f>
        <v>1</v>
      </c>
      <c r="F1439" s="44">
        <f>IFERROR(__xludf.DUMMYFUNCTION("""COMPUTED_VALUE"""),0.0)</f>
        <v>0</v>
      </c>
      <c r="G1439" s="32"/>
      <c r="H1439" s="32"/>
      <c r="I1439" s="32"/>
      <c r="J1439" s="32"/>
      <c r="K1439" s="32"/>
      <c r="L1439" s="32"/>
      <c r="M1439" s="32"/>
      <c r="N1439" s="32"/>
      <c r="O1439" s="32"/>
      <c r="P1439" s="32"/>
      <c r="Q1439" s="32"/>
      <c r="R1439" s="32"/>
      <c r="S1439" s="32"/>
      <c r="T1439" s="32"/>
      <c r="U1439" s="32"/>
      <c r="V1439" s="32"/>
      <c r="W1439" s="32"/>
      <c r="X1439" s="32"/>
      <c r="Y1439" s="32"/>
      <c r="Z1439" s="32"/>
      <c r="AA1439" s="32"/>
      <c r="AB1439" s="32"/>
      <c r="AC1439" s="32"/>
      <c r="AD1439" s="32"/>
      <c r="AE1439" s="32"/>
      <c r="AF1439" s="32"/>
      <c r="AG1439" s="32"/>
      <c r="AH1439" s="32" t="b">
        <f>IFERROR(__xludf.DUMMYFUNCTION("""COMPUTED_VALUE"""),FALSE)</f>
        <v>0</v>
      </c>
      <c r="AI1439" s="32"/>
      <c r="AJ1439" s="32"/>
      <c r="AK1439" s="32"/>
      <c r="AL1439" s="32"/>
      <c r="AM1439" s="32"/>
      <c r="AN1439" s="32"/>
      <c r="AO1439" s="32"/>
      <c r="AP1439" s="32"/>
      <c r="AQ1439" s="32"/>
      <c r="AR1439" s="32"/>
      <c r="AS1439" s="32"/>
      <c r="AT1439" s="32"/>
      <c r="AU1439" s="32"/>
      <c r="AV1439" s="32"/>
      <c r="AW1439" s="32"/>
      <c r="AX1439" s="32"/>
    </row>
    <row r="1440">
      <c r="A1440" s="32"/>
      <c r="B1440" s="32"/>
      <c r="C1440" s="32"/>
      <c r="D1440" s="32"/>
      <c r="E1440" s="32">
        <f>IFERROR(__xludf.DUMMYFUNCTION("""COMPUTED_VALUE"""),1.0)</f>
        <v>1</v>
      </c>
      <c r="F1440" s="44">
        <f>IFERROR(__xludf.DUMMYFUNCTION("""COMPUTED_VALUE"""),0.0)</f>
        <v>0</v>
      </c>
      <c r="G1440" s="32"/>
      <c r="H1440" s="32"/>
      <c r="I1440" s="32"/>
      <c r="J1440" s="32"/>
      <c r="K1440" s="32"/>
      <c r="L1440" s="32"/>
      <c r="M1440" s="32"/>
      <c r="N1440" s="32"/>
      <c r="O1440" s="32"/>
      <c r="P1440" s="32"/>
      <c r="Q1440" s="32"/>
      <c r="R1440" s="32"/>
      <c r="S1440" s="32"/>
      <c r="T1440" s="32"/>
      <c r="U1440" s="32"/>
      <c r="V1440" s="32"/>
      <c r="W1440" s="32"/>
      <c r="X1440" s="32"/>
      <c r="Y1440" s="32"/>
      <c r="Z1440" s="32"/>
      <c r="AA1440" s="32"/>
      <c r="AB1440" s="32"/>
      <c r="AC1440" s="32"/>
      <c r="AD1440" s="32"/>
      <c r="AE1440" s="32"/>
      <c r="AF1440" s="32"/>
      <c r="AG1440" s="32"/>
      <c r="AH1440" s="32" t="b">
        <f>IFERROR(__xludf.DUMMYFUNCTION("""COMPUTED_VALUE"""),FALSE)</f>
        <v>0</v>
      </c>
      <c r="AI1440" s="32"/>
      <c r="AJ1440" s="32"/>
      <c r="AK1440" s="32"/>
      <c r="AL1440" s="32"/>
      <c r="AM1440" s="32"/>
      <c r="AN1440" s="32"/>
      <c r="AO1440" s="32"/>
      <c r="AP1440" s="32"/>
      <c r="AQ1440" s="32"/>
      <c r="AR1440" s="32"/>
      <c r="AS1440" s="32"/>
      <c r="AT1440" s="32"/>
      <c r="AU1440" s="32"/>
      <c r="AV1440" s="32"/>
      <c r="AW1440" s="32"/>
      <c r="AX1440" s="32"/>
    </row>
    <row r="1441">
      <c r="A1441" s="32"/>
      <c r="B1441" s="32"/>
      <c r="C1441" s="32"/>
      <c r="D1441" s="32"/>
      <c r="E1441" s="32">
        <f>IFERROR(__xludf.DUMMYFUNCTION("""COMPUTED_VALUE"""),1.0)</f>
        <v>1</v>
      </c>
      <c r="F1441" s="44">
        <f>IFERROR(__xludf.DUMMYFUNCTION("""COMPUTED_VALUE"""),0.0)</f>
        <v>0</v>
      </c>
      <c r="G1441" s="32"/>
      <c r="H1441" s="32"/>
      <c r="I1441" s="32"/>
      <c r="J1441" s="32"/>
      <c r="K1441" s="32"/>
      <c r="L1441" s="32"/>
      <c r="M1441" s="32"/>
      <c r="N1441" s="32"/>
      <c r="O1441" s="32"/>
      <c r="P1441" s="32"/>
      <c r="Q1441" s="32"/>
      <c r="R1441" s="32"/>
      <c r="S1441" s="32"/>
      <c r="T1441" s="32"/>
      <c r="U1441" s="32"/>
      <c r="V1441" s="32"/>
      <c r="W1441" s="32"/>
      <c r="X1441" s="32"/>
      <c r="Y1441" s="32"/>
      <c r="Z1441" s="32"/>
      <c r="AA1441" s="32"/>
      <c r="AB1441" s="32"/>
      <c r="AC1441" s="32"/>
      <c r="AD1441" s="32"/>
      <c r="AE1441" s="32"/>
      <c r="AF1441" s="32"/>
      <c r="AG1441" s="32"/>
      <c r="AH1441" s="32" t="b">
        <f>IFERROR(__xludf.DUMMYFUNCTION("""COMPUTED_VALUE"""),FALSE)</f>
        <v>0</v>
      </c>
      <c r="AI1441" s="32"/>
      <c r="AJ1441" s="32"/>
      <c r="AK1441" s="32"/>
      <c r="AL1441" s="32"/>
      <c r="AM1441" s="32"/>
      <c r="AN1441" s="32"/>
      <c r="AO1441" s="32"/>
      <c r="AP1441" s="32"/>
      <c r="AQ1441" s="32"/>
      <c r="AR1441" s="32"/>
      <c r="AS1441" s="32"/>
      <c r="AT1441" s="32"/>
      <c r="AU1441" s="32"/>
      <c r="AV1441" s="32"/>
      <c r="AW1441" s="32"/>
      <c r="AX1441" s="32"/>
    </row>
    <row r="1442">
      <c r="A1442" s="32"/>
      <c r="B1442" s="32"/>
      <c r="C1442" s="32"/>
      <c r="D1442" s="32"/>
      <c r="E1442" s="32">
        <f>IFERROR(__xludf.DUMMYFUNCTION("""COMPUTED_VALUE"""),1.0)</f>
        <v>1</v>
      </c>
      <c r="F1442" s="44">
        <f>IFERROR(__xludf.DUMMYFUNCTION("""COMPUTED_VALUE"""),0.0)</f>
        <v>0</v>
      </c>
      <c r="G1442" s="32"/>
      <c r="H1442" s="32"/>
      <c r="I1442" s="32"/>
      <c r="J1442" s="32"/>
      <c r="K1442" s="32"/>
      <c r="L1442" s="32"/>
      <c r="M1442" s="32"/>
      <c r="N1442" s="32"/>
      <c r="O1442" s="32"/>
      <c r="P1442" s="32"/>
      <c r="Q1442" s="32"/>
      <c r="R1442" s="32"/>
      <c r="S1442" s="32"/>
      <c r="T1442" s="32"/>
      <c r="U1442" s="32"/>
      <c r="V1442" s="32"/>
      <c r="W1442" s="32"/>
      <c r="X1442" s="32"/>
      <c r="Y1442" s="32"/>
      <c r="Z1442" s="32"/>
      <c r="AA1442" s="32"/>
      <c r="AB1442" s="32"/>
      <c r="AC1442" s="32"/>
      <c r="AD1442" s="32"/>
      <c r="AE1442" s="32"/>
      <c r="AF1442" s="32"/>
      <c r="AG1442" s="32"/>
      <c r="AH1442" s="32" t="b">
        <f>IFERROR(__xludf.DUMMYFUNCTION("""COMPUTED_VALUE"""),FALSE)</f>
        <v>0</v>
      </c>
      <c r="AI1442" s="32"/>
      <c r="AJ1442" s="32"/>
      <c r="AK1442" s="32"/>
      <c r="AL1442" s="32"/>
      <c r="AM1442" s="32"/>
      <c r="AN1442" s="32"/>
      <c r="AO1442" s="32"/>
      <c r="AP1442" s="32"/>
      <c r="AQ1442" s="32"/>
      <c r="AR1442" s="32"/>
      <c r="AS1442" s="32"/>
      <c r="AT1442" s="32"/>
      <c r="AU1442" s="32"/>
      <c r="AV1442" s="32"/>
      <c r="AW1442" s="32"/>
      <c r="AX1442" s="32"/>
    </row>
    <row r="1443">
      <c r="A1443" s="32"/>
      <c r="B1443" s="32"/>
      <c r="C1443" s="32"/>
      <c r="D1443" s="32"/>
      <c r="E1443" s="32">
        <f>IFERROR(__xludf.DUMMYFUNCTION("""COMPUTED_VALUE"""),1.0)</f>
        <v>1</v>
      </c>
      <c r="F1443" s="44">
        <f>IFERROR(__xludf.DUMMYFUNCTION("""COMPUTED_VALUE"""),0.0)</f>
        <v>0</v>
      </c>
      <c r="G1443" s="32"/>
      <c r="H1443" s="32"/>
      <c r="I1443" s="32"/>
      <c r="J1443" s="32"/>
      <c r="K1443" s="32"/>
      <c r="L1443" s="32"/>
      <c r="M1443" s="32"/>
      <c r="N1443" s="32"/>
      <c r="O1443" s="32"/>
      <c r="P1443" s="32"/>
      <c r="Q1443" s="32"/>
      <c r="R1443" s="32"/>
      <c r="S1443" s="32"/>
      <c r="T1443" s="32"/>
      <c r="U1443" s="32"/>
      <c r="V1443" s="32"/>
      <c r="W1443" s="32"/>
      <c r="X1443" s="32"/>
      <c r="Y1443" s="32"/>
      <c r="Z1443" s="32"/>
      <c r="AA1443" s="32"/>
      <c r="AB1443" s="32"/>
      <c r="AC1443" s="32"/>
      <c r="AD1443" s="32"/>
      <c r="AE1443" s="32"/>
      <c r="AF1443" s="32"/>
      <c r="AG1443" s="32"/>
      <c r="AH1443" s="32" t="b">
        <f>IFERROR(__xludf.DUMMYFUNCTION("""COMPUTED_VALUE"""),FALSE)</f>
        <v>0</v>
      </c>
      <c r="AI1443" s="32"/>
      <c r="AJ1443" s="32"/>
      <c r="AK1443" s="32"/>
      <c r="AL1443" s="32"/>
      <c r="AM1443" s="32"/>
      <c r="AN1443" s="32"/>
      <c r="AO1443" s="32"/>
      <c r="AP1443" s="32"/>
      <c r="AQ1443" s="32"/>
      <c r="AR1443" s="32"/>
      <c r="AS1443" s="32"/>
      <c r="AT1443" s="32"/>
      <c r="AU1443" s="32"/>
      <c r="AV1443" s="32"/>
      <c r="AW1443" s="32"/>
      <c r="AX1443" s="32"/>
    </row>
    <row r="1444">
      <c r="A1444" s="32"/>
      <c r="B1444" s="32"/>
      <c r="C1444" s="32"/>
      <c r="D1444" s="32"/>
      <c r="E1444" s="32">
        <f>IFERROR(__xludf.DUMMYFUNCTION("""COMPUTED_VALUE"""),1.0)</f>
        <v>1</v>
      </c>
      <c r="F1444" s="44">
        <f>IFERROR(__xludf.DUMMYFUNCTION("""COMPUTED_VALUE"""),0.0)</f>
        <v>0</v>
      </c>
      <c r="G1444" s="32"/>
      <c r="H1444" s="32"/>
      <c r="I1444" s="32"/>
      <c r="J1444" s="32"/>
      <c r="K1444" s="32"/>
      <c r="L1444" s="32"/>
      <c r="M1444" s="32"/>
      <c r="N1444" s="32"/>
      <c r="O1444" s="32"/>
      <c r="P1444" s="32"/>
      <c r="Q1444" s="32"/>
      <c r="R1444" s="32"/>
      <c r="S1444" s="32"/>
      <c r="T1444" s="32"/>
      <c r="U1444" s="32"/>
      <c r="V1444" s="32"/>
      <c r="W1444" s="32"/>
      <c r="X1444" s="32"/>
      <c r="Y1444" s="32"/>
      <c r="Z1444" s="32"/>
      <c r="AA1444" s="32"/>
      <c r="AB1444" s="32"/>
      <c r="AC1444" s="32"/>
      <c r="AD1444" s="32"/>
      <c r="AE1444" s="32"/>
      <c r="AF1444" s="32"/>
      <c r="AG1444" s="32"/>
      <c r="AH1444" s="32" t="b">
        <f>IFERROR(__xludf.DUMMYFUNCTION("""COMPUTED_VALUE"""),FALSE)</f>
        <v>0</v>
      </c>
      <c r="AI1444" s="32"/>
      <c r="AJ1444" s="32"/>
      <c r="AK1444" s="32"/>
      <c r="AL1444" s="32"/>
      <c r="AM1444" s="32"/>
      <c r="AN1444" s="32"/>
      <c r="AO1444" s="32"/>
      <c r="AP1444" s="32"/>
      <c r="AQ1444" s="32"/>
      <c r="AR1444" s="32"/>
      <c r="AS1444" s="32"/>
      <c r="AT1444" s="32"/>
      <c r="AU1444" s="32"/>
      <c r="AV1444" s="32"/>
      <c r="AW1444" s="32"/>
      <c r="AX1444" s="32"/>
    </row>
    <row r="1445">
      <c r="A1445" s="32"/>
      <c r="B1445" s="32"/>
      <c r="C1445" s="32"/>
      <c r="D1445" s="32"/>
      <c r="E1445" s="32">
        <f>IFERROR(__xludf.DUMMYFUNCTION("""COMPUTED_VALUE"""),1.0)</f>
        <v>1</v>
      </c>
      <c r="F1445" s="44">
        <f>IFERROR(__xludf.DUMMYFUNCTION("""COMPUTED_VALUE"""),0.0)</f>
        <v>0</v>
      </c>
      <c r="G1445" s="32"/>
      <c r="H1445" s="32"/>
      <c r="I1445" s="32"/>
      <c r="J1445" s="32"/>
      <c r="K1445" s="32"/>
      <c r="L1445" s="32"/>
      <c r="M1445" s="32"/>
      <c r="N1445" s="32"/>
      <c r="O1445" s="32"/>
      <c r="P1445" s="32"/>
      <c r="Q1445" s="32"/>
      <c r="R1445" s="32"/>
      <c r="S1445" s="32"/>
      <c r="T1445" s="32"/>
      <c r="U1445" s="32"/>
      <c r="V1445" s="32"/>
      <c r="W1445" s="32"/>
      <c r="X1445" s="32"/>
      <c r="Y1445" s="32"/>
      <c r="Z1445" s="32"/>
      <c r="AA1445" s="32"/>
      <c r="AB1445" s="32"/>
      <c r="AC1445" s="32"/>
      <c r="AD1445" s="32"/>
      <c r="AE1445" s="32"/>
      <c r="AF1445" s="32"/>
      <c r="AG1445" s="32"/>
      <c r="AH1445" s="32" t="b">
        <f>IFERROR(__xludf.DUMMYFUNCTION("""COMPUTED_VALUE"""),FALSE)</f>
        <v>0</v>
      </c>
      <c r="AI1445" s="32"/>
      <c r="AJ1445" s="32"/>
      <c r="AK1445" s="32"/>
      <c r="AL1445" s="32"/>
      <c r="AM1445" s="32"/>
      <c r="AN1445" s="32"/>
      <c r="AO1445" s="32"/>
      <c r="AP1445" s="32"/>
      <c r="AQ1445" s="32"/>
      <c r="AR1445" s="32"/>
      <c r="AS1445" s="32"/>
      <c r="AT1445" s="32"/>
      <c r="AU1445" s="32"/>
      <c r="AV1445" s="32"/>
      <c r="AW1445" s="32"/>
      <c r="AX1445" s="32"/>
    </row>
    <row r="1446">
      <c r="A1446" s="32"/>
      <c r="B1446" s="32"/>
      <c r="C1446" s="32"/>
      <c r="D1446" s="32"/>
      <c r="E1446" s="32">
        <f>IFERROR(__xludf.DUMMYFUNCTION("""COMPUTED_VALUE"""),1.0)</f>
        <v>1</v>
      </c>
      <c r="F1446" s="44">
        <f>IFERROR(__xludf.DUMMYFUNCTION("""COMPUTED_VALUE"""),0.0)</f>
        <v>0</v>
      </c>
      <c r="G1446" s="32"/>
      <c r="H1446" s="32"/>
      <c r="I1446" s="32"/>
      <c r="J1446" s="32"/>
      <c r="K1446" s="32"/>
      <c r="L1446" s="32"/>
      <c r="M1446" s="32"/>
      <c r="N1446" s="32"/>
      <c r="O1446" s="32"/>
      <c r="P1446" s="32"/>
      <c r="Q1446" s="32"/>
      <c r="R1446" s="32"/>
      <c r="S1446" s="32"/>
      <c r="T1446" s="32"/>
      <c r="U1446" s="32"/>
      <c r="V1446" s="32"/>
      <c r="W1446" s="32"/>
      <c r="X1446" s="32"/>
      <c r="Y1446" s="32"/>
      <c r="Z1446" s="32"/>
      <c r="AA1446" s="32"/>
      <c r="AB1446" s="32"/>
      <c r="AC1446" s="32"/>
      <c r="AD1446" s="32"/>
      <c r="AE1446" s="32"/>
      <c r="AF1446" s="32"/>
      <c r="AG1446" s="32"/>
      <c r="AH1446" s="32" t="b">
        <f>IFERROR(__xludf.DUMMYFUNCTION("""COMPUTED_VALUE"""),FALSE)</f>
        <v>0</v>
      </c>
      <c r="AI1446" s="32"/>
      <c r="AJ1446" s="32"/>
      <c r="AK1446" s="32"/>
      <c r="AL1446" s="32"/>
      <c r="AM1446" s="32"/>
      <c r="AN1446" s="32"/>
      <c r="AO1446" s="32"/>
      <c r="AP1446" s="32"/>
      <c r="AQ1446" s="32"/>
      <c r="AR1446" s="32"/>
      <c r="AS1446" s="32"/>
      <c r="AT1446" s="32"/>
      <c r="AU1446" s="32"/>
      <c r="AV1446" s="32"/>
      <c r="AW1446" s="32"/>
      <c r="AX1446" s="32"/>
    </row>
    <row r="1447">
      <c r="A1447" s="32"/>
      <c r="B1447" s="32"/>
      <c r="C1447" s="32"/>
      <c r="D1447" s="32"/>
      <c r="E1447" s="32">
        <f>IFERROR(__xludf.DUMMYFUNCTION("""COMPUTED_VALUE"""),1.0)</f>
        <v>1</v>
      </c>
      <c r="F1447" s="44">
        <f>IFERROR(__xludf.DUMMYFUNCTION("""COMPUTED_VALUE"""),0.0)</f>
        <v>0</v>
      </c>
      <c r="G1447" s="32"/>
      <c r="H1447" s="32"/>
      <c r="I1447" s="32"/>
      <c r="J1447" s="32"/>
      <c r="K1447" s="32"/>
      <c r="L1447" s="32"/>
      <c r="M1447" s="32"/>
      <c r="N1447" s="32"/>
      <c r="O1447" s="32"/>
      <c r="P1447" s="32"/>
      <c r="Q1447" s="32"/>
      <c r="R1447" s="32"/>
      <c r="S1447" s="32"/>
      <c r="T1447" s="32"/>
      <c r="U1447" s="32"/>
      <c r="V1447" s="32"/>
      <c r="W1447" s="32"/>
      <c r="X1447" s="32"/>
      <c r="Y1447" s="32"/>
      <c r="Z1447" s="32"/>
      <c r="AA1447" s="32"/>
      <c r="AB1447" s="32"/>
      <c r="AC1447" s="32"/>
      <c r="AD1447" s="32"/>
      <c r="AE1447" s="32"/>
      <c r="AF1447" s="32"/>
      <c r="AG1447" s="32"/>
      <c r="AH1447" s="32" t="b">
        <f>IFERROR(__xludf.DUMMYFUNCTION("""COMPUTED_VALUE"""),FALSE)</f>
        <v>0</v>
      </c>
      <c r="AI1447" s="32"/>
      <c r="AJ1447" s="32"/>
      <c r="AK1447" s="32"/>
      <c r="AL1447" s="32"/>
      <c r="AM1447" s="32"/>
      <c r="AN1447" s="32"/>
      <c r="AO1447" s="32"/>
      <c r="AP1447" s="32"/>
      <c r="AQ1447" s="32"/>
      <c r="AR1447" s="32"/>
      <c r="AS1447" s="32"/>
      <c r="AT1447" s="32"/>
      <c r="AU1447" s="32"/>
      <c r="AV1447" s="32"/>
      <c r="AW1447" s="32"/>
      <c r="AX1447" s="32"/>
    </row>
    <row r="1448">
      <c r="A1448" s="32"/>
      <c r="B1448" s="32"/>
      <c r="C1448" s="32"/>
      <c r="D1448" s="32"/>
      <c r="E1448" s="32">
        <f>IFERROR(__xludf.DUMMYFUNCTION("""COMPUTED_VALUE"""),1.0)</f>
        <v>1</v>
      </c>
      <c r="F1448" s="44">
        <f>IFERROR(__xludf.DUMMYFUNCTION("""COMPUTED_VALUE"""),0.0)</f>
        <v>0</v>
      </c>
      <c r="G1448" s="32"/>
      <c r="H1448" s="32"/>
      <c r="I1448" s="32"/>
      <c r="J1448" s="32"/>
      <c r="K1448" s="32"/>
      <c r="L1448" s="32"/>
      <c r="M1448" s="32"/>
      <c r="N1448" s="32"/>
      <c r="O1448" s="32"/>
      <c r="P1448" s="32"/>
      <c r="Q1448" s="32"/>
      <c r="R1448" s="32"/>
      <c r="S1448" s="32"/>
      <c r="T1448" s="32"/>
      <c r="U1448" s="32"/>
      <c r="V1448" s="32"/>
      <c r="W1448" s="32"/>
      <c r="X1448" s="32"/>
      <c r="Y1448" s="32"/>
      <c r="Z1448" s="32"/>
      <c r="AA1448" s="32"/>
      <c r="AB1448" s="32"/>
      <c r="AC1448" s="32"/>
      <c r="AD1448" s="32"/>
      <c r="AE1448" s="32"/>
      <c r="AF1448" s="32"/>
      <c r="AG1448" s="32"/>
      <c r="AH1448" s="32" t="b">
        <f>IFERROR(__xludf.DUMMYFUNCTION("""COMPUTED_VALUE"""),FALSE)</f>
        <v>0</v>
      </c>
      <c r="AI1448" s="32"/>
      <c r="AJ1448" s="32"/>
      <c r="AK1448" s="32"/>
      <c r="AL1448" s="32"/>
      <c r="AM1448" s="32"/>
      <c r="AN1448" s="32"/>
      <c r="AO1448" s="32"/>
      <c r="AP1448" s="32"/>
      <c r="AQ1448" s="32"/>
      <c r="AR1448" s="32"/>
      <c r="AS1448" s="32"/>
      <c r="AT1448" s="32"/>
      <c r="AU1448" s="32"/>
      <c r="AV1448" s="32"/>
      <c r="AW1448" s="32"/>
      <c r="AX1448" s="32"/>
    </row>
    <row r="1449">
      <c r="A1449" s="32"/>
      <c r="B1449" s="32"/>
      <c r="C1449" s="32"/>
      <c r="D1449" s="32"/>
      <c r="E1449" s="32">
        <f>IFERROR(__xludf.DUMMYFUNCTION("""COMPUTED_VALUE"""),1.0)</f>
        <v>1</v>
      </c>
      <c r="F1449" s="44">
        <f>IFERROR(__xludf.DUMMYFUNCTION("""COMPUTED_VALUE"""),0.0)</f>
        <v>0</v>
      </c>
      <c r="G1449" s="32"/>
      <c r="H1449" s="32"/>
      <c r="I1449" s="32"/>
      <c r="J1449" s="32"/>
      <c r="K1449" s="32"/>
      <c r="L1449" s="32"/>
      <c r="M1449" s="32"/>
      <c r="N1449" s="32"/>
      <c r="O1449" s="32"/>
      <c r="P1449" s="32"/>
      <c r="Q1449" s="32"/>
      <c r="R1449" s="32"/>
      <c r="S1449" s="32"/>
      <c r="T1449" s="32"/>
      <c r="U1449" s="32"/>
      <c r="V1449" s="32"/>
      <c r="W1449" s="32"/>
      <c r="X1449" s="32"/>
      <c r="Y1449" s="32"/>
      <c r="Z1449" s="32"/>
      <c r="AA1449" s="32"/>
      <c r="AB1449" s="32"/>
      <c r="AC1449" s="32"/>
      <c r="AD1449" s="32"/>
      <c r="AE1449" s="32"/>
      <c r="AF1449" s="32"/>
      <c r="AG1449" s="32"/>
      <c r="AH1449" s="32" t="b">
        <f>IFERROR(__xludf.DUMMYFUNCTION("""COMPUTED_VALUE"""),FALSE)</f>
        <v>0</v>
      </c>
      <c r="AI1449" s="32"/>
      <c r="AJ1449" s="32"/>
      <c r="AK1449" s="32"/>
      <c r="AL1449" s="32"/>
      <c r="AM1449" s="32"/>
      <c r="AN1449" s="32"/>
      <c r="AO1449" s="32"/>
      <c r="AP1449" s="32"/>
      <c r="AQ1449" s="32"/>
      <c r="AR1449" s="32"/>
      <c r="AS1449" s="32"/>
      <c r="AT1449" s="32"/>
      <c r="AU1449" s="32"/>
      <c r="AV1449" s="32"/>
      <c r="AW1449" s="32"/>
      <c r="AX1449" s="32"/>
    </row>
    <row r="1450">
      <c r="A1450" s="32"/>
      <c r="B1450" s="32"/>
      <c r="C1450" s="32"/>
      <c r="D1450" s="32"/>
      <c r="E1450" s="32">
        <f>IFERROR(__xludf.DUMMYFUNCTION("""COMPUTED_VALUE"""),1.0)</f>
        <v>1</v>
      </c>
      <c r="F1450" s="44">
        <f>IFERROR(__xludf.DUMMYFUNCTION("""COMPUTED_VALUE"""),0.0)</f>
        <v>0</v>
      </c>
      <c r="G1450" s="32"/>
      <c r="H1450" s="32"/>
      <c r="I1450" s="32"/>
      <c r="J1450" s="32"/>
      <c r="K1450" s="32"/>
      <c r="L1450" s="32"/>
      <c r="M1450" s="32"/>
      <c r="N1450" s="32"/>
      <c r="O1450" s="32"/>
      <c r="P1450" s="32"/>
      <c r="Q1450" s="32"/>
      <c r="R1450" s="32"/>
      <c r="S1450" s="32"/>
      <c r="T1450" s="32"/>
      <c r="U1450" s="32"/>
      <c r="V1450" s="32"/>
      <c r="W1450" s="32"/>
      <c r="X1450" s="32"/>
      <c r="Y1450" s="32"/>
      <c r="Z1450" s="32"/>
      <c r="AA1450" s="32"/>
      <c r="AB1450" s="32"/>
      <c r="AC1450" s="32"/>
      <c r="AD1450" s="32"/>
      <c r="AE1450" s="32"/>
      <c r="AF1450" s="32"/>
      <c r="AG1450" s="32"/>
      <c r="AH1450" s="32" t="b">
        <f>IFERROR(__xludf.DUMMYFUNCTION("""COMPUTED_VALUE"""),FALSE)</f>
        <v>0</v>
      </c>
      <c r="AI1450" s="32"/>
      <c r="AJ1450" s="32"/>
      <c r="AK1450" s="32"/>
      <c r="AL1450" s="32"/>
      <c r="AM1450" s="32"/>
      <c r="AN1450" s="32"/>
      <c r="AO1450" s="32"/>
      <c r="AP1450" s="32"/>
      <c r="AQ1450" s="32"/>
      <c r="AR1450" s="32"/>
      <c r="AS1450" s="32"/>
      <c r="AT1450" s="32"/>
      <c r="AU1450" s="32"/>
      <c r="AV1450" s="32"/>
      <c r="AW1450" s="32"/>
      <c r="AX1450" s="32"/>
    </row>
    <row r="1451">
      <c r="A1451" s="32"/>
      <c r="B1451" s="32"/>
      <c r="C1451" s="32"/>
      <c r="D1451" s="32"/>
      <c r="E1451" s="32">
        <f>IFERROR(__xludf.DUMMYFUNCTION("""COMPUTED_VALUE"""),1.0)</f>
        <v>1</v>
      </c>
      <c r="F1451" s="44">
        <f>IFERROR(__xludf.DUMMYFUNCTION("""COMPUTED_VALUE"""),0.0)</f>
        <v>0</v>
      </c>
      <c r="G1451" s="32"/>
      <c r="H1451" s="32"/>
      <c r="I1451" s="32"/>
      <c r="J1451" s="32"/>
      <c r="K1451" s="32"/>
      <c r="L1451" s="32"/>
      <c r="M1451" s="32"/>
      <c r="N1451" s="32"/>
      <c r="O1451" s="32"/>
      <c r="P1451" s="32"/>
      <c r="Q1451" s="32"/>
      <c r="R1451" s="32"/>
      <c r="S1451" s="32"/>
      <c r="T1451" s="32"/>
      <c r="U1451" s="32"/>
      <c r="V1451" s="32"/>
      <c r="W1451" s="32"/>
      <c r="X1451" s="32"/>
      <c r="Y1451" s="32"/>
      <c r="Z1451" s="32"/>
      <c r="AA1451" s="32"/>
      <c r="AB1451" s="32"/>
      <c r="AC1451" s="32"/>
      <c r="AD1451" s="32"/>
      <c r="AE1451" s="32"/>
      <c r="AF1451" s="32"/>
      <c r="AG1451" s="32"/>
      <c r="AH1451" s="32" t="b">
        <f>IFERROR(__xludf.DUMMYFUNCTION("""COMPUTED_VALUE"""),FALSE)</f>
        <v>0</v>
      </c>
      <c r="AI1451" s="32"/>
      <c r="AJ1451" s="32"/>
      <c r="AK1451" s="32"/>
      <c r="AL1451" s="32"/>
      <c r="AM1451" s="32"/>
      <c r="AN1451" s="32"/>
      <c r="AO1451" s="32"/>
      <c r="AP1451" s="32"/>
      <c r="AQ1451" s="32"/>
      <c r="AR1451" s="32"/>
      <c r="AS1451" s="32"/>
      <c r="AT1451" s="32"/>
      <c r="AU1451" s="32"/>
      <c r="AV1451" s="32"/>
      <c r="AW1451" s="32"/>
      <c r="AX1451" s="32"/>
    </row>
    <row r="1452">
      <c r="A1452" s="32"/>
      <c r="B1452" s="32"/>
      <c r="C1452" s="32"/>
      <c r="D1452" s="32"/>
      <c r="E1452" s="32">
        <f>IFERROR(__xludf.DUMMYFUNCTION("""COMPUTED_VALUE"""),1.0)</f>
        <v>1</v>
      </c>
      <c r="F1452" s="44">
        <f>IFERROR(__xludf.DUMMYFUNCTION("""COMPUTED_VALUE"""),0.0)</f>
        <v>0</v>
      </c>
      <c r="G1452" s="32"/>
      <c r="H1452" s="32"/>
      <c r="I1452" s="32"/>
      <c r="J1452" s="32"/>
      <c r="K1452" s="32"/>
      <c r="L1452" s="32"/>
      <c r="M1452" s="32"/>
      <c r="N1452" s="32"/>
      <c r="O1452" s="32"/>
      <c r="P1452" s="32"/>
      <c r="Q1452" s="32"/>
      <c r="R1452" s="32"/>
      <c r="S1452" s="32"/>
      <c r="T1452" s="32"/>
      <c r="U1452" s="32"/>
      <c r="V1452" s="32"/>
      <c r="W1452" s="32"/>
      <c r="X1452" s="32"/>
      <c r="Y1452" s="32"/>
      <c r="Z1452" s="32"/>
      <c r="AA1452" s="32"/>
      <c r="AB1452" s="32"/>
      <c r="AC1452" s="32"/>
      <c r="AD1452" s="32"/>
      <c r="AE1452" s="32"/>
      <c r="AF1452" s="32"/>
      <c r="AG1452" s="32"/>
      <c r="AH1452" s="32" t="b">
        <f>IFERROR(__xludf.DUMMYFUNCTION("""COMPUTED_VALUE"""),FALSE)</f>
        <v>0</v>
      </c>
      <c r="AI1452" s="32"/>
      <c r="AJ1452" s="32"/>
      <c r="AK1452" s="32"/>
      <c r="AL1452" s="32"/>
      <c r="AM1452" s="32"/>
      <c r="AN1452" s="32"/>
      <c r="AO1452" s="32"/>
      <c r="AP1452" s="32"/>
      <c r="AQ1452" s="32"/>
      <c r="AR1452" s="32"/>
      <c r="AS1452" s="32"/>
      <c r="AT1452" s="32"/>
      <c r="AU1452" s="32"/>
      <c r="AV1452" s="32"/>
      <c r="AW1452" s="32"/>
      <c r="AX1452" s="32"/>
    </row>
    <row r="1453">
      <c r="A1453" s="32"/>
      <c r="B1453" s="32"/>
      <c r="C1453" s="32"/>
      <c r="D1453" s="32"/>
      <c r="E1453" s="32">
        <f>IFERROR(__xludf.DUMMYFUNCTION("""COMPUTED_VALUE"""),1.0)</f>
        <v>1</v>
      </c>
      <c r="F1453" s="44">
        <f>IFERROR(__xludf.DUMMYFUNCTION("""COMPUTED_VALUE"""),0.0)</f>
        <v>0</v>
      </c>
      <c r="G1453" s="32"/>
      <c r="H1453" s="32"/>
      <c r="I1453" s="32"/>
      <c r="J1453" s="32"/>
      <c r="K1453" s="32"/>
      <c r="L1453" s="32"/>
      <c r="M1453" s="32"/>
      <c r="N1453" s="32"/>
      <c r="O1453" s="32"/>
      <c r="P1453" s="32"/>
      <c r="Q1453" s="32"/>
      <c r="R1453" s="32"/>
      <c r="S1453" s="32"/>
      <c r="T1453" s="32"/>
      <c r="U1453" s="32"/>
      <c r="V1453" s="32"/>
      <c r="W1453" s="32"/>
      <c r="X1453" s="32"/>
      <c r="Y1453" s="32"/>
      <c r="Z1453" s="32"/>
      <c r="AA1453" s="32"/>
      <c r="AB1453" s="32"/>
      <c r="AC1453" s="32"/>
      <c r="AD1453" s="32"/>
      <c r="AE1453" s="32"/>
      <c r="AF1453" s="32"/>
      <c r="AG1453" s="32"/>
      <c r="AH1453" s="32" t="b">
        <f>IFERROR(__xludf.DUMMYFUNCTION("""COMPUTED_VALUE"""),FALSE)</f>
        <v>0</v>
      </c>
      <c r="AI1453" s="32"/>
      <c r="AJ1453" s="32"/>
      <c r="AK1453" s="32"/>
      <c r="AL1453" s="32"/>
      <c r="AM1453" s="32"/>
      <c r="AN1453" s="32"/>
      <c r="AO1453" s="32"/>
      <c r="AP1453" s="32"/>
      <c r="AQ1453" s="32"/>
      <c r="AR1453" s="32"/>
      <c r="AS1453" s="32"/>
      <c r="AT1453" s="32"/>
      <c r="AU1453" s="32"/>
      <c r="AV1453" s="32"/>
      <c r="AW1453" s="32"/>
      <c r="AX1453" s="32"/>
    </row>
    <row r="1454">
      <c r="A1454" s="32"/>
      <c r="B1454" s="32"/>
      <c r="C1454" s="32"/>
      <c r="D1454" s="32"/>
      <c r="E1454" s="32">
        <f>IFERROR(__xludf.DUMMYFUNCTION("""COMPUTED_VALUE"""),1.0)</f>
        <v>1</v>
      </c>
      <c r="F1454" s="44">
        <f>IFERROR(__xludf.DUMMYFUNCTION("""COMPUTED_VALUE"""),0.0)</f>
        <v>0</v>
      </c>
      <c r="G1454" s="32"/>
      <c r="H1454" s="32"/>
      <c r="I1454" s="32"/>
      <c r="J1454" s="32"/>
      <c r="K1454" s="32"/>
      <c r="L1454" s="32"/>
      <c r="M1454" s="32"/>
      <c r="N1454" s="32"/>
      <c r="O1454" s="32"/>
      <c r="P1454" s="32"/>
      <c r="Q1454" s="32"/>
      <c r="R1454" s="32"/>
      <c r="S1454" s="32"/>
      <c r="T1454" s="32"/>
      <c r="U1454" s="32"/>
      <c r="V1454" s="32"/>
      <c r="W1454" s="32"/>
      <c r="X1454" s="32"/>
      <c r="Y1454" s="32"/>
      <c r="Z1454" s="32"/>
      <c r="AA1454" s="32"/>
      <c r="AB1454" s="32"/>
      <c r="AC1454" s="32"/>
      <c r="AD1454" s="32"/>
      <c r="AE1454" s="32"/>
      <c r="AF1454" s="32"/>
      <c r="AG1454" s="32"/>
      <c r="AH1454" s="32" t="b">
        <f>IFERROR(__xludf.DUMMYFUNCTION("""COMPUTED_VALUE"""),FALSE)</f>
        <v>0</v>
      </c>
      <c r="AI1454" s="32"/>
      <c r="AJ1454" s="32"/>
      <c r="AK1454" s="32"/>
      <c r="AL1454" s="32"/>
      <c r="AM1454" s="32"/>
      <c r="AN1454" s="32"/>
      <c r="AO1454" s="32"/>
      <c r="AP1454" s="32"/>
      <c r="AQ1454" s="32"/>
      <c r="AR1454" s="32"/>
      <c r="AS1454" s="32"/>
      <c r="AT1454" s="32"/>
      <c r="AU1454" s="32"/>
      <c r="AV1454" s="32"/>
      <c r="AW1454" s="32"/>
      <c r="AX1454" s="32"/>
    </row>
    <row r="1455">
      <c r="A1455" s="32"/>
      <c r="B1455" s="32"/>
      <c r="C1455" s="32"/>
      <c r="D1455" s="32"/>
      <c r="E1455" s="32">
        <f>IFERROR(__xludf.DUMMYFUNCTION("""COMPUTED_VALUE"""),1.0)</f>
        <v>1</v>
      </c>
      <c r="F1455" s="44">
        <f>IFERROR(__xludf.DUMMYFUNCTION("""COMPUTED_VALUE"""),0.0)</f>
        <v>0</v>
      </c>
      <c r="G1455" s="32"/>
      <c r="H1455" s="32"/>
      <c r="I1455" s="32"/>
      <c r="J1455" s="32"/>
      <c r="K1455" s="32"/>
      <c r="L1455" s="32"/>
      <c r="M1455" s="32"/>
      <c r="N1455" s="32"/>
      <c r="O1455" s="32"/>
      <c r="P1455" s="32"/>
      <c r="Q1455" s="32"/>
      <c r="R1455" s="32"/>
      <c r="S1455" s="32"/>
      <c r="T1455" s="32"/>
      <c r="U1455" s="32"/>
      <c r="V1455" s="32"/>
      <c r="W1455" s="32"/>
      <c r="X1455" s="32"/>
      <c r="Y1455" s="32"/>
      <c r="Z1455" s="32"/>
      <c r="AA1455" s="32"/>
      <c r="AB1455" s="32"/>
      <c r="AC1455" s="32"/>
      <c r="AD1455" s="32"/>
      <c r="AE1455" s="32"/>
      <c r="AF1455" s="32"/>
      <c r="AG1455" s="32"/>
      <c r="AH1455" s="32" t="b">
        <f>IFERROR(__xludf.DUMMYFUNCTION("""COMPUTED_VALUE"""),FALSE)</f>
        <v>0</v>
      </c>
      <c r="AI1455" s="32"/>
      <c r="AJ1455" s="32"/>
      <c r="AK1455" s="32"/>
      <c r="AL1455" s="32"/>
      <c r="AM1455" s="32"/>
      <c r="AN1455" s="32"/>
      <c r="AO1455" s="32"/>
      <c r="AP1455" s="32"/>
      <c r="AQ1455" s="32"/>
      <c r="AR1455" s="32"/>
      <c r="AS1455" s="32"/>
      <c r="AT1455" s="32"/>
      <c r="AU1455" s="32"/>
      <c r="AV1455" s="32"/>
      <c r="AW1455" s="32"/>
      <c r="AX1455" s="32"/>
    </row>
    <row r="1456">
      <c r="A1456" s="32"/>
      <c r="B1456" s="32"/>
      <c r="C1456" s="32"/>
      <c r="D1456" s="32"/>
      <c r="E1456" s="32">
        <f>IFERROR(__xludf.DUMMYFUNCTION("""COMPUTED_VALUE"""),1.0)</f>
        <v>1</v>
      </c>
      <c r="F1456" s="44">
        <f>IFERROR(__xludf.DUMMYFUNCTION("""COMPUTED_VALUE"""),0.0)</f>
        <v>0</v>
      </c>
      <c r="G1456" s="32"/>
      <c r="H1456" s="32"/>
      <c r="I1456" s="32"/>
      <c r="J1456" s="32"/>
      <c r="K1456" s="32"/>
      <c r="L1456" s="32"/>
      <c r="M1456" s="32"/>
      <c r="N1456" s="32"/>
      <c r="O1456" s="32"/>
      <c r="P1456" s="32"/>
      <c r="Q1456" s="32"/>
      <c r="R1456" s="32"/>
      <c r="S1456" s="32"/>
      <c r="T1456" s="32"/>
      <c r="U1456" s="32"/>
      <c r="V1456" s="32"/>
      <c r="W1456" s="32"/>
      <c r="X1456" s="32"/>
      <c r="Y1456" s="32"/>
      <c r="Z1456" s="32"/>
      <c r="AA1456" s="32"/>
      <c r="AB1456" s="32"/>
      <c r="AC1456" s="32"/>
      <c r="AD1456" s="32"/>
      <c r="AE1456" s="32"/>
      <c r="AF1456" s="32"/>
      <c r="AG1456" s="32"/>
      <c r="AH1456" s="32" t="b">
        <f>IFERROR(__xludf.DUMMYFUNCTION("""COMPUTED_VALUE"""),FALSE)</f>
        <v>0</v>
      </c>
      <c r="AI1456" s="32"/>
      <c r="AJ1456" s="32"/>
      <c r="AK1456" s="32"/>
      <c r="AL1456" s="32"/>
      <c r="AM1456" s="32"/>
      <c r="AN1456" s="32"/>
      <c r="AO1456" s="32"/>
      <c r="AP1456" s="32"/>
      <c r="AQ1456" s="32"/>
      <c r="AR1456" s="32"/>
      <c r="AS1456" s="32"/>
      <c r="AT1456" s="32"/>
      <c r="AU1456" s="32"/>
      <c r="AV1456" s="32"/>
      <c r="AW1456" s="32"/>
      <c r="AX1456" s="32"/>
    </row>
    <row r="1457">
      <c r="A1457" s="32"/>
      <c r="B1457" s="32"/>
      <c r="C1457" s="32"/>
      <c r="D1457" s="32"/>
      <c r="E1457" s="32">
        <f>IFERROR(__xludf.DUMMYFUNCTION("""COMPUTED_VALUE"""),1.0)</f>
        <v>1</v>
      </c>
      <c r="F1457" s="44">
        <f>IFERROR(__xludf.DUMMYFUNCTION("""COMPUTED_VALUE"""),0.0)</f>
        <v>0</v>
      </c>
      <c r="G1457" s="32"/>
      <c r="H1457" s="32"/>
      <c r="I1457" s="32"/>
      <c r="J1457" s="32"/>
      <c r="K1457" s="32"/>
      <c r="L1457" s="32"/>
      <c r="M1457" s="32"/>
      <c r="N1457" s="32"/>
      <c r="O1457" s="32"/>
      <c r="P1457" s="32"/>
      <c r="Q1457" s="32"/>
      <c r="R1457" s="32"/>
      <c r="S1457" s="32"/>
      <c r="T1457" s="32"/>
      <c r="U1457" s="32"/>
      <c r="V1457" s="32"/>
      <c r="W1457" s="32"/>
      <c r="X1457" s="32"/>
      <c r="Y1457" s="32"/>
      <c r="Z1457" s="32"/>
      <c r="AA1457" s="32"/>
      <c r="AB1457" s="32"/>
      <c r="AC1457" s="32"/>
      <c r="AD1457" s="32"/>
      <c r="AE1457" s="32"/>
      <c r="AF1457" s="32"/>
      <c r="AG1457" s="32"/>
      <c r="AH1457" s="32" t="b">
        <f>IFERROR(__xludf.DUMMYFUNCTION("""COMPUTED_VALUE"""),FALSE)</f>
        <v>0</v>
      </c>
      <c r="AI1457" s="32"/>
      <c r="AJ1457" s="32"/>
      <c r="AK1457" s="32"/>
      <c r="AL1457" s="32"/>
      <c r="AM1457" s="32"/>
      <c r="AN1457" s="32"/>
      <c r="AO1457" s="32"/>
      <c r="AP1457" s="32"/>
      <c r="AQ1457" s="32"/>
      <c r="AR1457" s="32"/>
      <c r="AS1457" s="32"/>
      <c r="AT1457" s="32"/>
      <c r="AU1457" s="32"/>
      <c r="AV1457" s="32"/>
      <c r="AW1457" s="32"/>
      <c r="AX1457" s="32"/>
    </row>
    <row r="1458">
      <c r="A1458" s="32"/>
      <c r="B1458" s="32"/>
      <c r="C1458" s="32"/>
      <c r="D1458" s="32"/>
      <c r="E1458" s="32">
        <f>IFERROR(__xludf.DUMMYFUNCTION("""COMPUTED_VALUE"""),1.0)</f>
        <v>1</v>
      </c>
      <c r="F1458" s="44">
        <f>IFERROR(__xludf.DUMMYFUNCTION("""COMPUTED_VALUE"""),0.0)</f>
        <v>0</v>
      </c>
      <c r="G1458" s="32"/>
      <c r="H1458" s="32"/>
      <c r="I1458" s="32"/>
      <c r="J1458" s="32"/>
      <c r="K1458" s="32"/>
      <c r="L1458" s="32"/>
      <c r="M1458" s="32"/>
      <c r="N1458" s="32"/>
      <c r="O1458" s="32"/>
      <c r="P1458" s="32"/>
      <c r="Q1458" s="32"/>
      <c r="R1458" s="32"/>
      <c r="S1458" s="32"/>
      <c r="T1458" s="32"/>
      <c r="U1458" s="32"/>
      <c r="V1458" s="32"/>
      <c r="W1458" s="32"/>
      <c r="X1458" s="32"/>
      <c r="Y1458" s="32"/>
      <c r="Z1458" s="32"/>
      <c r="AA1458" s="32"/>
      <c r="AB1458" s="32"/>
      <c r="AC1458" s="32"/>
      <c r="AD1458" s="32"/>
      <c r="AE1458" s="32"/>
      <c r="AF1458" s="32"/>
      <c r="AG1458" s="32"/>
      <c r="AH1458" s="32" t="b">
        <f>IFERROR(__xludf.DUMMYFUNCTION("""COMPUTED_VALUE"""),FALSE)</f>
        <v>0</v>
      </c>
      <c r="AI1458" s="32"/>
      <c r="AJ1458" s="32"/>
      <c r="AK1458" s="32"/>
      <c r="AL1458" s="32"/>
      <c r="AM1458" s="32"/>
      <c r="AN1458" s="32"/>
      <c r="AO1458" s="32"/>
      <c r="AP1458" s="32"/>
      <c r="AQ1458" s="32"/>
      <c r="AR1458" s="32"/>
      <c r="AS1458" s="32"/>
      <c r="AT1458" s="32"/>
      <c r="AU1458" s="32"/>
      <c r="AV1458" s="32"/>
      <c r="AW1458" s="32"/>
      <c r="AX1458" s="32"/>
    </row>
    <row r="1459">
      <c r="A1459" s="32"/>
      <c r="B1459" s="32"/>
      <c r="C1459" s="32"/>
      <c r="D1459" s="32"/>
      <c r="E1459" s="32">
        <f>IFERROR(__xludf.DUMMYFUNCTION("""COMPUTED_VALUE"""),1.0)</f>
        <v>1</v>
      </c>
      <c r="F1459" s="44">
        <f>IFERROR(__xludf.DUMMYFUNCTION("""COMPUTED_VALUE"""),0.0)</f>
        <v>0</v>
      </c>
      <c r="G1459" s="32"/>
      <c r="H1459" s="32"/>
      <c r="I1459" s="32"/>
      <c r="J1459" s="32"/>
      <c r="K1459" s="32"/>
      <c r="L1459" s="32"/>
      <c r="M1459" s="32"/>
      <c r="N1459" s="32"/>
      <c r="O1459" s="32"/>
      <c r="P1459" s="32"/>
      <c r="Q1459" s="32"/>
      <c r="R1459" s="32"/>
      <c r="S1459" s="32"/>
      <c r="T1459" s="32"/>
      <c r="U1459" s="32"/>
      <c r="V1459" s="32"/>
      <c r="W1459" s="32"/>
      <c r="X1459" s="32"/>
      <c r="Y1459" s="32"/>
      <c r="Z1459" s="32"/>
      <c r="AA1459" s="32"/>
      <c r="AB1459" s="32"/>
      <c r="AC1459" s="32"/>
      <c r="AD1459" s="32"/>
      <c r="AE1459" s="32"/>
      <c r="AF1459" s="32"/>
      <c r="AG1459" s="32"/>
      <c r="AH1459" s="32" t="b">
        <f>IFERROR(__xludf.DUMMYFUNCTION("""COMPUTED_VALUE"""),FALSE)</f>
        <v>0</v>
      </c>
      <c r="AI1459" s="32"/>
      <c r="AJ1459" s="32"/>
      <c r="AK1459" s="32"/>
      <c r="AL1459" s="32"/>
      <c r="AM1459" s="32"/>
      <c r="AN1459" s="32"/>
      <c r="AO1459" s="32"/>
      <c r="AP1459" s="32"/>
      <c r="AQ1459" s="32"/>
      <c r="AR1459" s="32"/>
      <c r="AS1459" s="32"/>
      <c r="AT1459" s="32"/>
      <c r="AU1459" s="32"/>
      <c r="AV1459" s="32"/>
      <c r="AW1459" s="32"/>
      <c r="AX1459" s="32"/>
    </row>
    <row r="1460">
      <c r="A1460" s="32"/>
      <c r="B1460" s="32"/>
      <c r="C1460" s="32"/>
      <c r="D1460" s="32"/>
      <c r="E1460" s="32">
        <f>IFERROR(__xludf.DUMMYFUNCTION("""COMPUTED_VALUE"""),1.0)</f>
        <v>1</v>
      </c>
      <c r="F1460" s="44">
        <f>IFERROR(__xludf.DUMMYFUNCTION("""COMPUTED_VALUE"""),0.0)</f>
        <v>0</v>
      </c>
      <c r="G1460" s="32"/>
      <c r="H1460" s="32"/>
      <c r="I1460" s="32"/>
      <c r="J1460" s="32"/>
      <c r="K1460" s="32"/>
      <c r="L1460" s="32"/>
      <c r="M1460" s="32"/>
      <c r="N1460" s="32"/>
      <c r="O1460" s="32"/>
      <c r="P1460" s="32"/>
      <c r="Q1460" s="32"/>
      <c r="R1460" s="32"/>
      <c r="S1460" s="32"/>
      <c r="T1460" s="32"/>
      <c r="U1460" s="32"/>
      <c r="V1460" s="32"/>
      <c r="W1460" s="32"/>
      <c r="X1460" s="32"/>
      <c r="Y1460" s="32"/>
      <c r="Z1460" s="32"/>
      <c r="AA1460" s="32"/>
      <c r="AB1460" s="32"/>
      <c r="AC1460" s="32"/>
      <c r="AD1460" s="32"/>
      <c r="AE1460" s="32"/>
      <c r="AF1460" s="32"/>
      <c r="AG1460" s="32"/>
      <c r="AH1460" s="32" t="b">
        <f>IFERROR(__xludf.DUMMYFUNCTION("""COMPUTED_VALUE"""),FALSE)</f>
        <v>0</v>
      </c>
      <c r="AI1460" s="32"/>
      <c r="AJ1460" s="32"/>
      <c r="AK1460" s="32"/>
      <c r="AL1460" s="32"/>
      <c r="AM1460" s="32"/>
      <c r="AN1460" s="32"/>
      <c r="AO1460" s="32"/>
      <c r="AP1460" s="32"/>
      <c r="AQ1460" s="32"/>
      <c r="AR1460" s="32"/>
      <c r="AS1460" s="32"/>
      <c r="AT1460" s="32"/>
      <c r="AU1460" s="32"/>
      <c r="AV1460" s="32"/>
      <c r="AW1460" s="32"/>
      <c r="AX1460" s="32"/>
    </row>
    <row r="1461">
      <c r="A1461" s="32"/>
      <c r="B1461" s="32"/>
      <c r="C1461" s="32"/>
      <c r="D1461" s="32"/>
      <c r="E1461" s="32">
        <f>IFERROR(__xludf.DUMMYFUNCTION("""COMPUTED_VALUE"""),1.0)</f>
        <v>1</v>
      </c>
      <c r="F1461" s="44">
        <f>IFERROR(__xludf.DUMMYFUNCTION("""COMPUTED_VALUE"""),0.0)</f>
        <v>0</v>
      </c>
      <c r="G1461" s="32"/>
      <c r="H1461" s="32"/>
      <c r="I1461" s="32"/>
      <c r="J1461" s="32"/>
      <c r="K1461" s="32"/>
      <c r="L1461" s="32"/>
      <c r="M1461" s="32"/>
      <c r="N1461" s="32"/>
      <c r="O1461" s="32"/>
      <c r="P1461" s="32"/>
      <c r="Q1461" s="32"/>
      <c r="R1461" s="32"/>
      <c r="S1461" s="32"/>
      <c r="T1461" s="32"/>
      <c r="U1461" s="32"/>
      <c r="V1461" s="32"/>
      <c r="W1461" s="32"/>
      <c r="X1461" s="32"/>
      <c r="Y1461" s="32"/>
      <c r="Z1461" s="32"/>
      <c r="AA1461" s="32"/>
      <c r="AB1461" s="32"/>
      <c r="AC1461" s="32"/>
      <c r="AD1461" s="32"/>
      <c r="AE1461" s="32"/>
      <c r="AF1461" s="32"/>
      <c r="AG1461" s="32"/>
      <c r="AH1461" s="32" t="b">
        <f>IFERROR(__xludf.DUMMYFUNCTION("""COMPUTED_VALUE"""),FALSE)</f>
        <v>0</v>
      </c>
      <c r="AI1461" s="32"/>
      <c r="AJ1461" s="32"/>
      <c r="AK1461" s="32"/>
      <c r="AL1461" s="32"/>
      <c r="AM1461" s="32"/>
      <c r="AN1461" s="32"/>
      <c r="AO1461" s="32"/>
      <c r="AP1461" s="32"/>
      <c r="AQ1461" s="32"/>
      <c r="AR1461" s="32"/>
      <c r="AS1461" s="32"/>
      <c r="AT1461" s="32"/>
      <c r="AU1461" s="32"/>
      <c r="AV1461" s="32"/>
      <c r="AW1461" s="32"/>
      <c r="AX1461" s="32"/>
    </row>
    <row r="1462">
      <c r="A1462" s="32"/>
      <c r="B1462" s="32"/>
      <c r="C1462" s="32"/>
      <c r="D1462" s="32"/>
      <c r="E1462" s="32">
        <f>IFERROR(__xludf.DUMMYFUNCTION("""COMPUTED_VALUE"""),1.0)</f>
        <v>1</v>
      </c>
      <c r="F1462" s="44">
        <f>IFERROR(__xludf.DUMMYFUNCTION("""COMPUTED_VALUE"""),0.0)</f>
        <v>0</v>
      </c>
      <c r="G1462" s="32"/>
      <c r="H1462" s="32"/>
      <c r="I1462" s="32"/>
      <c r="J1462" s="32"/>
      <c r="K1462" s="32"/>
      <c r="L1462" s="32"/>
      <c r="M1462" s="32"/>
      <c r="N1462" s="32"/>
      <c r="O1462" s="32"/>
      <c r="P1462" s="32"/>
      <c r="Q1462" s="32"/>
      <c r="R1462" s="32"/>
      <c r="S1462" s="32"/>
      <c r="T1462" s="32"/>
      <c r="U1462" s="32"/>
      <c r="V1462" s="32"/>
      <c r="W1462" s="32"/>
      <c r="X1462" s="32"/>
      <c r="Y1462" s="32"/>
      <c r="Z1462" s="32"/>
      <c r="AA1462" s="32"/>
      <c r="AB1462" s="32"/>
      <c r="AC1462" s="32"/>
      <c r="AD1462" s="32"/>
      <c r="AE1462" s="32"/>
      <c r="AF1462" s="32"/>
      <c r="AG1462" s="32"/>
      <c r="AH1462" s="32" t="b">
        <f>IFERROR(__xludf.DUMMYFUNCTION("""COMPUTED_VALUE"""),FALSE)</f>
        <v>0</v>
      </c>
      <c r="AI1462" s="32"/>
      <c r="AJ1462" s="32"/>
      <c r="AK1462" s="32"/>
      <c r="AL1462" s="32"/>
      <c r="AM1462" s="32"/>
      <c r="AN1462" s="32"/>
      <c r="AO1462" s="32"/>
      <c r="AP1462" s="32"/>
      <c r="AQ1462" s="32"/>
      <c r="AR1462" s="32"/>
      <c r="AS1462" s="32"/>
      <c r="AT1462" s="32"/>
      <c r="AU1462" s="32"/>
      <c r="AV1462" s="32"/>
      <c r="AW1462" s="32"/>
      <c r="AX1462" s="32"/>
    </row>
    <row r="1463">
      <c r="A1463" s="32"/>
      <c r="B1463" s="32"/>
      <c r="C1463" s="32"/>
      <c r="D1463" s="32"/>
      <c r="E1463" s="32">
        <f>IFERROR(__xludf.DUMMYFUNCTION("""COMPUTED_VALUE"""),1.0)</f>
        <v>1</v>
      </c>
      <c r="F1463" s="44">
        <f>IFERROR(__xludf.DUMMYFUNCTION("""COMPUTED_VALUE"""),0.0)</f>
        <v>0</v>
      </c>
      <c r="G1463" s="32"/>
      <c r="H1463" s="32"/>
      <c r="I1463" s="32"/>
      <c r="J1463" s="32"/>
      <c r="K1463" s="32"/>
      <c r="L1463" s="32"/>
      <c r="M1463" s="32"/>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t="b">
        <f>IFERROR(__xludf.DUMMYFUNCTION("""COMPUTED_VALUE"""),FALSE)</f>
        <v>0</v>
      </c>
      <c r="AI1463" s="32"/>
      <c r="AJ1463" s="32"/>
      <c r="AK1463" s="32"/>
      <c r="AL1463" s="32"/>
      <c r="AM1463" s="32"/>
      <c r="AN1463" s="32"/>
      <c r="AO1463" s="32"/>
      <c r="AP1463" s="32"/>
      <c r="AQ1463" s="32"/>
      <c r="AR1463" s="32"/>
      <c r="AS1463" s="32"/>
      <c r="AT1463" s="32"/>
      <c r="AU1463" s="32"/>
      <c r="AV1463" s="32"/>
      <c r="AW1463" s="32"/>
      <c r="AX1463" s="32"/>
    </row>
    <row r="1464">
      <c r="A1464" s="32"/>
      <c r="B1464" s="32"/>
      <c r="C1464" s="32"/>
      <c r="D1464" s="32"/>
      <c r="E1464" s="32">
        <f>IFERROR(__xludf.DUMMYFUNCTION("""COMPUTED_VALUE"""),1.0)</f>
        <v>1</v>
      </c>
      <c r="F1464" s="44">
        <f>IFERROR(__xludf.DUMMYFUNCTION("""COMPUTED_VALUE"""),0.0)</f>
        <v>0</v>
      </c>
      <c r="G1464" s="32"/>
      <c r="H1464" s="32"/>
      <c r="I1464" s="32"/>
      <c r="J1464" s="32"/>
      <c r="K1464" s="32"/>
      <c r="L1464" s="32"/>
      <c r="M1464" s="32"/>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t="b">
        <f>IFERROR(__xludf.DUMMYFUNCTION("""COMPUTED_VALUE"""),FALSE)</f>
        <v>0</v>
      </c>
      <c r="AI1464" s="32"/>
      <c r="AJ1464" s="32"/>
      <c r="AK1464" s="32"/>
      <c r="AL1464" s="32"/>
      <c r="AM1464" s="32"/>
      <c r="AN1464" s="32"/>
      <c r="AO1464" s="32"/>
      <c r="AP1464" s="32"/>
      <c r="AQ1464" s="32"/>
      <c r="AR1464" s="32"/>
      <c r="AS1464" s="32"/>
      <c r="AT1464" s="32"/>
      <c r="AU1464" s="32"/>
      <c r="AV1464" s="32"/>
      <c r="AW1464" s="32"/>
      <c r="AX1464" s="32"/>
    </row>
    <row r="1465">
      <c r="A1465" s="32"/>
      <c r="B1465" s="32"/>
      <c r="C1465" s="32"/>
      <c r="D1465" s="32"/>
      <c r="E1465" s="32">
        <f>IFERROR(__xludf.DUMMYFUNCTION("""COMPUTED_VALUE"""),1.0)</f>
        <v>1</v>
      </c>
      <c r="F1465" s="44">
        <f>IFERROR(__xludf.DUMMYFUNCTION("""COMPUTED_VALUE"""),0.0)</f>
        <v>0</v>
      </c>
      <c r="G1465" s="32"/>
      <c r="H1465" s="32"/>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t="b">
        <f>IFERROR(__xludf.DUMMYFUNCTION("""COMPUTED_VALUE"""),FALSE)</f>
        <v>0</v>
      </c>
      <c r="AI1465" s="32"/>
      <c r="AJ1465" s="32"/>
      <c r="AK1465" s="32"/>
      <c r="AL1465" s="32"/>
      <c r="AM1465" s="32"/>
      <c r="AN1465" s="32"/>
      <c r="AO1465" s="32"/>
      <c r="AP1465" s="32"/>
      <c r="AQ1465" s="32"/>
      <c r="AR1465" s="32"/>
      <c r="AS1465" s="32"/>
      <c r="AT1465" s="32"/>
      <c r="AU1465" s="32"/>
      <c r="AV1465" s="32"/>
      <c r="AW1465" s="32"/>
      <c r="AX1465" s="32"/>
    </row>
    <row r="1466">
      <c r="A1466" s="32"/>
      <c r="B1466" s="32"/>
      <c r="C1466" s="32"/>
      <c r="D1466" s="32"/>
      <c r="E1466" s="32">
        <f>IFERROR(__xludf.DUMMYFUNCTION("""COMPUTED_VALUE"""),1.0)</f>
        <v>1</v>
      </c>
      <c r="F1466" s="44">
        <f>IFERROR(__xludf.DUMMYFUNCTION("""COMPUTED_VALUE"""),0.0)</f>
        <v>0</v>
      </c>
      <c r="G1466" s="32"/>
      <c r="H1466" s="32"/>
      <c r="I1466" s="32"/>
      <c r="J1466" s="32"/>
      <c r="K1466" s="32"/>
      <c r="L1466" s="32"/>
      <c r="M1466" s="32"/>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t="b">
        <f>IFERROR(__xludf.DUMMYFUNCTION("""COMPUTED_VALUE"""),FALSE)</f>
        <v>0</v>
      </c>
      <c r="AI1466" s="32"/>
      <c r="AJ1466" s="32"/>
      <c r="AK1466" s="32"/>
      <c r="AL1466" s="32"/>
      <c r="AM1466" s="32"/>
      <c r="AN1466" s="32"/>
      <c r="AO1466" s="32"/>
      <c r="AP1466" s="32"/>
      <c r="AQ1466" s="32"/>
      <c r="AR1466" s="32"/>
      <c r="AS1466" s="32"/>
      <c r="AT1466" s="32"/>
      <c r="AU1466" s="32"/>
      <c r="AV1466" s="32"/>
      <c r="AW1466" s="32"/>
      <c r="AX1466" s="32"/>
    </row>
    <row r="1467">
      <c r="A1467" s="32"/>
      <c r="B1467" s="32"/>
      <c r="C1467" s="32"/>
      <c r="D1467" s="32"/>
      <c r="E1467" s="32">
        <f>IFERROR(__xludf.DUMMYFUNCTION("""COMPUTED_VALUE"""),1.0)</f>
        <v>1</v>
      </c>
      <c r="F1467" s="44">
        <f>IFERROR(__xludf.DUMMYFUNCTION("""COMPUTED_VALUE"""),0.0)</f>
        <v>0</v>
      </c>
      <c r="G1467" s="32"/>
      <c r="H1467" s="32"/>
      <c r="I1467" s="32"/>
      <c r="J1467" s="32"/>
      <c r="K1467" s="32"/>
      <c r="L1467" s="32"/>
      <c r="M1467" s="32"/>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t="b">
        <f>IFERROR(__xludf.DUMMYFUNCTION("""COMPUTED_VALUE"""),FALSE)</f>
        <v>0</v>
      </c>
      <c r="AI1467" s="32"/>
      <c r="AJ1467" s="32"/>
      <c r="AK1467" s="32"/>
      <c r="AL1467" s="32"/>
      <c r="AM1467" s="32"/>
      <c r="AN1467" s="32"/>
      <c r="AO1467" s="32"/>
      <c r="AP1467" s="32"/>
      <c r="AQ1467" s="32"/>
      <c r="AR1467" s="32"/>
      <c r="AS1467" s="32"/>
      <c r="AT1467" s="32"/>
      <c r="AU1467" s="32"/>
      <c r="AV1467" s="32"/>
      <c r="AW1467" s="32"/>
      <c r="AX1467" s="32"/>
    </row>
    <row r="1468">
      <c r="A1468" s="32"/>
      <c r="B1468" s="32"/>
      <c r="C1468" s="32"/>
      <c r="D1468" s="32"/>
      <c r="E1468" s="32">
        <f>IFERROR(__xludf.DUMMYFUNCTION("""COMPUTED_VALUE"""),1.0)</f>
        <v>1</v>
      </c>
      <c r="F1468" s="44">
        <f>IFERROR(__xludf.DUMMYFUNCTION("""COMPUTED_VALUE"""),0.0)</f>
        <v>0</v>
      </c>
      <c r="G1468" s="32"/>
      <c r="H1468" s="32"/>
      <c r="I1468" s="32"/>
      <c r="J1468" s="32"/>
      <c r="K1468" s="32"/>
      <c r="L1468" s="32"/>
      <c r="M1468" s="32"/>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t="b">
        <f>IFERROR(__xludf.DUMMYFUNCTION("""COMPUTED_VALUE"""),FALSE)</f>
        <v>0</v>
      </c>
      <c r="AI1468" s="32"/>
      <c r="AJ1468" s="32"/>
      <c r="AK1468" s="32"/>
      <c r="AL1468" s="32"/>
      <c r="AM1468" s="32"/>
      <c r="AN1468" s="32"/>
      <c r="AO1468" s="32"/>
      <c r="AP1468" s="32"/>
      <c r="AQ1468" s="32"/>
      <c r="AR1468" s="32"/>
      <c r="AS1468" s="32"/>
      <c r="AT1468" s="32"/>
      <c r="AU1468" s="32"/>
      <c r="AV1468" s="32"/>
      <c r="AW1468" s="32"/>
      <c r="AX1468" s="32"/>
    </row>
    <row r="1469">
      <c r="A1469" s="32"/>
      <c r="B1469" s="32"/>
      <c r="C1469" s="32"/>
      <c r="D1469" s="32"/>
      <c r="E1469" s="32">
        <f>IFERROR(__xludf.DUMMYFUNCTION("""COMPUTED_VALUE"""),1.0)</f>
        <v>1</v>
      </c>
      <c r="F1469" s="44">
        <f>IFERROR(__xludf.DUMMYFUNCTION("""COMPUTED_VALUE"""),0.0)</f>
        <v>0</v>
      </c>
      <c r="G1469" s="32"/>
      <c r="H1469" s="32"/>
      <c r="I1469" s="32"/>
      <c r="J1469" s="32"/>
      <c r="K1469" s="32"/>
      <c r="L1469" s="32"/>
      <c r="M1469" s="32"/>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t="b">
        <f>IFERROR(__xludf.DUMMYFUNCTION("""COMPUTED_VALUE"""),FALSE)</f>
        <v>0</v>
      </c>
      <c r="AI1469" s="32"/>
      <c r="AJ1469" s="32"/>
      <c r="AK1469" s="32"/>
      <c r="AL1469" s="32"/>
      <c r="AM1469" s="32"/>
      <c r="AN1469" s="32"/>
      <c r="AO1469" s="32"/>
      <c r="AP1469" s="32"/>
      <c r="AQ1469" s="32"/>
      <c r="AR1469" s="32"/>
      <c r="AS1469" s="32"/>
      <c r="AT1469" s="32"/>
      <c r="AU1469" s="32"/>
      <c r="AV1469" s="32"/>
      <c r="AW1469" s="32"/>
      <c r="AX1469" s="32"/>
    </row>
    <row r="1470">
      <c r="A1470" s="32"/>
      <c r="B1470" s="32"/>
      <c r="C1470" s="32"/>
      <c r="D1470" s="32"/>
      <c r="E1470" s="32">
        <f>IFERROR(__xludf.DUMMYFUNCTION("""COMPUTED_VALUE"""),1.0)</f>
        <v>1</v>
      </c>
      <c r="F1470" s="44">
        <f>IFERROR(__xludf.DUMMYFUNCTION("""COMPUTED_VALUE"""),0.0)</f>
        <v>0</v>
      </c>
      <c r="G1470" s="32"/>
      <c r="H1470" s="32"/>
      <c r="I1470" s="32"/>
      <c r="J1470" s="32"/>
      <c r="K1470" s="32"/>
      <c r="L1470" s="32"/>
      <c r="M1470" s="32"/>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t="b">
        <f>IFERROR(__xludf.DUMMYFUNCTION("""COMPUTED_VALUE"""),FALSE)</f>
        <v>0</v>
      </c>
      <c r="AI1470" s="32"/>
      <c r="AJ1470" s="32"/>
      <c r="AK1470" s="32"/>
      <c r="AL1470" s="32"/>
      <c r="AM1470" s="32"/>
      <c r="AN1470" s="32"/>
      <c r="AO1470" s="32"/>
      <c r="AP1470" s="32"/>
      <c r="AQ1470" s="32"/>
      <c r="AR1470" s="32"/>
      <c r="AS1470" s="32"/>
      <c r="AT1470" s="32"/>
      <c r="AU1470" s="32"/>
      <c r="AV1470" s="32"/>
      <c r="AW1470" s="32"/>
      <c r="AX1470" s="32"/>
    </row>
    <row r="1471">
      <c r="A1471" s="32"/>
      <c r="B1471" s="32"/>
      <c r="C1471" s="32"/>
      <c r="D1471" s="32"/>
      <c r="E1471" s="32">
        <f>IFERROR(__xludf.DUMMYFUNCTION("""COMPUTED_VALUE"""),1.0)</f>
        <v>1</v>
      </c>
      <c r="F1471" s="44">
        <f>IFERROR(__xludf.DUMMYFUNCTION("""COMPUTED_VALUE"""),0.0)</f>
        <v>0</v>
      </c>
      <c r="G1471" s="32"/>
      <c r="H1471" s="32"/>
      <c r="I1471" s="32"/>
      <c r="J1471" s="32"/>
      <c r="K1471" s="32"/>
      <c r="L1471" s="32"/>
      <c r="M1471" s="32"/>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t="b">
        <f>IFERROR(__xludf.DUMMYFUNCTION("""COMPUTED_VALUE"""),FALSE)</f>
        <v>0</v>
      </c>
      <c r="AI1471" s="32"/>
      <c r="AJ1471" s="32"/>
      <c r="AK1471" s="32"/>
      <c r="AL1471" s="32"/>
      <c r="AM1471" s="32"/>
      <c r="AN1471" s="32"/>
      <c r="AO1471" s="32"/>
      <c r="AP1471" s="32"/>
      <c r="AQ1471" s="32"/>
      <c r="AR1471" s="32"/>
      <c r="AS1471" s="32"/>
      <c r="AT1471" s="32"/>
      <c r="AU1471" s="32"/>
      <c r="AV1471" s="32"/>
      <c r="AW1471" s="32"/>
      <c r="AX1471" s="32"/>
    </row>
    <row r="1472">
      <c r="A1472" s="32"/>
      <c r="B1472" s="32"/>
      <c r="C1472" s="32"/>
      <c r="D1472" s="32"/>
      <c r="E1472" s="32">
        <f>IFERROR(__xludf.DUMMYFUNCTION("""COMPUTED_VALUE"""),1.0)</f>
        <v>1</v>
      </c>
      <c r="F1472" s="44">
        <f>IFERROR(__xludf.DUMMYFUNCTION("""COMPUTED_VALUE"""),0.0)</f>
        <v>0</v>
      </c>
      <c r="G1472" s="32"/>
      <c r="H1472" s="32"/>
      <c r="I1472" s="32"/>
      <c r="J1472" s="32"/>
      <c r="K1472" s="32"/>
      <c r="L1472" s="32"/>
      <c r="M1472" s="32"/>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t="b">
        <f>IFERROR(__xludf.DUMMYFUNCTION("""COMPUTED_VALUE"""),FALSE)</f>
        <v>0</v>
      </c>
      <c r="AI1472" s="32"/>
      <c r="AJ1472" s="32"/>
      <c r="AK1472" s="32"/>
      <c r="AL1472" s="32"/>
      <c r="AM1472" s="32"/>
      <c r="AN1472" s="32"/>
      <c r="AO1472" s="32"/>
      <c r="AP1472" s="32"/>
      <c r="AQ1472" s="32"/>
      <c r="AR1472" s="32"/>
      <c r="AS1472" s="32"/>
      <c r="AT1472" s="32"/>
      <c r="AU1472" s="32"/>
      <c r="AV1472" s="32"/>
      <c r="AW1472" s="32"/>
      <c r="AX1472" s="32"/>
    </row>
    <row r="1473">
      <c r="A1473" s="32"/>
      <c r="B1473" s="32"/>
      <c r="C1473" s="32"/>
      <c r="D1473" s="32"/>
      <c r="E1473" s="32">
        <f>IFERROR(__xludf.DUMMYFUNCTION("""COMPUTED_VALUE"""),1.0)</f>
        <v>1</v>
      </c>
      <c r="F1473" s="44">
        <f>IFERROR(__xludf.DUMMYFUNCTION("""COMPUTED_VALUE"""),0.0)</f>
        <v>0</v>
      </c>
      <c r="G1473" s="32"/>
      <c r="H1473" s="32"/>
      <c r="I1473" s="32"/>
      <c r="J1473" s="32"/>
      <c r="K1473" s="32"/>
      <c r="L1473" s="32"/>
      <c r="M1473" s="32"/>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t="b">
        <f>IFERROR(__xludf.DUMMYFUNCTION("""COMPUTED_VALUE"""),FALSE)</f>
        <v>0</v>
      </c>
      <c r="AI1473" s="32"/>
      <c r="AJ1473" s="32"/>
      <c r="AK1473" s="32"/>
      <c r="AL1473" s="32"/>
      <c r="AM1473" s="32"/>
      <c r="AN1473" s="32"/>
      <c r="AO1473" s="32"/>
      <c r="AP1473" s="32"/>
      <c r="AQ1473" s="32"/>
      <c r="AR1473" s="32"/>
      <c r="AS1473" s="32"/>
      <c r="AT1473" s="32"/>
      <c r="AU1473" s="32"/>
      <c r="AV1473" s="32"/>
      <c r="AW1473" s="32"/>
      <c r="AX1473" s="32"/>
    </row>
    <row r="1474">
      <c r="A1474" s="32"/>
      <c r="B1474" s="32"/>
      <c r="C1474" s="32"/>
      <c r="D1474" s="32"/>
      <c r="E1474" s="32">
        <f>IFERROR(__xludf.DUMMYFUNCTION("""COMPUTED_VALUE"""),1.0)</f>
        <v>1</v>
      </c>
      <c r="F1474" s="44">
        <f>IFERROR(__xludf.DUMMYFUNCTION("""COMPUTED_VALUE"""),0.0)</f>
        <v>0</v>
      </c>
      <c r="G1474" s="32"/>
      <c r="H1474" s="32"/>
      <c r="I1474" s="32"/>
      <c r="J1474" s="32"/>
      <c r="K1474" s="32"/>
      <c r="L1474" s="32"/>
      <c r="M1474" s="32"/>
      <c r="N1474" s="32"/>
      <c r="O1474" s="32"/>
      <c r="P1474" s="32"/>
      <c r="Q1474" s="32"/>
      <c r="R1474" s="32"/>
      <c r="S1474" s="32"/>
      <c r="T1474" s="32"/>
      <c r="U1474" s="32"/>
      <c r="V1474" s="32"/>
      <c r="W1474" s="32"/>
      <c r="X1474" s="32"/>
      <c r="Y1474" s="32"/>
      <c r="Z1474" s="32"/>
      <c r="AA1474" s="32"/>
      <c r="AB1474" s="32"/>
      <c r="AC1474" s="32"/>
      <c r="AD1474" s="32"/>
      <c r="AE1474" s="32"/>
      <c r="AF1474" s="32"/>
      <c r="AG1474" s="32"/>
      <c r="AH1474" s="32" t="b">
        <f>IFERROR(__xludf.DUMMYFUNCTION("""COMPUTED_VALUE"""),FALSE)</f>
        <v>0</v>
      </c>
      <c r="AI1474" s="32"/>
      <c r="AJ1474" s="32"/>
      <c r="AK1474" s="32"/>
      <c r="AL1474" s="32"/>
      <c r="AM1474" s="32"/>
      <c r="AN1474" s="32"/>
      <c r="AO1474" s="32"/>
      <c r="AP1474" s="32"/>
      <c r="AQ1474" s="32"/>
      <c r="AR1474" s="32"/>
      <c r="AS1474" s="32"/>
      <c r="AT1474" s="32"/>
      <c r="AU1474" s="32"/>
      <c r="AV1474" s="32"/>
      <c r="AW1474" s="32"/>
      <c r="AX1474" s="32"/>
    </row>
    <row r="1475">
      <c r="A1475" s="32"/>
      <c r="B1475" s="32"/>
      <c r="C1475" s="32"/>
      <c r="D1475" s="32"/>
      <c r="E1475" s="32">
        <f>IFERROR(__xludf.DUMMYFUNCTION("""COMPUTED_VALUE"""),1.0)</f>
        <v>1</v>
      </c>
      <c r="F1475" s="44">
        <f>IFERROR(__xludf.DUMMYFUNCTION("""COMPUTED_VALUE"""),0.0)</f>
        <v>0</v>
      </c>
      <c r="G1475" s="32"/>
      <c r="H1475" s="32"/>
      <c r="I1475" s="32"/>
      <c r="J1475" s="32"/>
      <c r="K1475" s="32"/>
      <c r="L1475" s="32"/>
      <c r="M1475" s="32"/>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t="b">
        <f>IFERROR(__xludf.DUMMYFUNCTION("""COMPUTED_VALUE"""),FALSE)</f>
        <v>0</v>
      </c>
      <c r="AI1475" s="32"/>
      <c r="AJ1475" s="32"/>
      <c r="AK1475" s="32"/>
      <c r="AL1475" s="32"/>
      <c r="AM1475" s="32"/>
      <c r="AN1475" s="32"/>
      <c r="AO1475" s="32"/>
      <c r="AP1475" s="32"/>
      <c r="AQ1475" s="32"/>
      <c r="AR1475" s="32"/>
      <c r="AS1475" s="32"/>
      <c r="AT1475" s="32"/>
      <c r="AU1475" s="32"/>
      <c r="AV1475" s="32"/>
      <c r="AW1475" s="32"/>
      <c r="AX1475" s="32"/>
    </row>
    <row r="1476">
      <c r="A1476" s="32"/>
      <c r="B1476" s="32"/>
      <c r="C1476" s="32"/>
      <c r="D1476" s="32"/>
      <c r="E1476" s="32">
        <f>IFERROR(__xludf.DUMMYFUNCTION("""COMPUTED_VALUE"""),1.0)</f>
        <v>1</v>
      </c>
      <c r="F1476" s="44">
        <f>IFERROR(__xludf.DUMMYFUNCTION("""COMPUTED_VALUE"""),0.0)</f>
        <v>0</v>
      </c>
      <c r="G1476" s="32"/>
      <c r="H1476" s="32"/>
      <c r="I1476" s="32"/>
      <c r="J1476" s="32"/>
      <c r="K1476" s="32"/>
      <c r="L1476" s="32"/>
      <c r="M1476" s="32"/>
      <c r="N1476" s="32"/>
      <c r="O1476" s="32"/>
      <c r="P1476" s="32"/>
      <c r="Q1476" s="32"/>
      <c r="R1476" s="32"/>
      <c r="S1476" s="32"/>
      <c r="T1476" s="32"/>
      <c r="U1476" s="32"/>
      <c r="V1476" s="32"/>
      <c r="W1476" s="32"/>
      <c r="X1476" s="32"/>
      <c r="Y1476" s="32"/>
      <c r="Z1476" s="32"/>
      <c r="AA1476" s="32"/>
      <c r="AB1476" s="32"/>
      <c r="AC1476" s="32"/>
      <c r="AD1476" s="32"/>
      <c r="AE1476" s="32"/>
      <c r="AF1476" s="32"/>
      <c r="AG1476" s="32"/>
      <c r="AH1476" s="32" t="b">
        <f>IFERROR(__xludf.DUMMYFUNCTION("""COMPUTED_VALUE"""),FALSE)</f>
        <v>0</v>
      </c>
      <c r="AI1476" s="32"/>
      <c r="AJ1476" s="32"/>
      <c r="AK1476" s="32"/>
      <c r="AL1476" s="32"/>
      <c r="AM1476" s="32"/>
      <c r="AN1476" s="32"/>
      <c r="AO1476" s="32"/>
      <c r="AP1476" s="32"/>
      <c r="AQ1476" s="32"/>
      <c r="AR1476" s="32"/>
      <c r="AS1476" s="32"/>
      <c r="AT1476" s="32"/>
      <c r="AU1476" s="32"/>
      <c r="AV1476" s="32"/>
      <c r="AW1476" s="32"/>
      <c r="AX1476" s="32"/>
    </row>
    <row r="1477">
      <c r="A1477" s="32"/>
      <c r="B1477" s="32"/>
      <c r="C1477" s="32"/>
      <c r="D1477" s="32"/>
      <c r="E1477" s="32">
        <f>IFERROR(__xludf.DUMMYFUNCTION("""COMPUTED_VALUE"""),1.0)</f>
        <v>1</v>
      </c>
      <c r="F1477" s="44">
        <f>IFERROR(__xludf.DUMMYFUNCTION("""COMPUTED_VALUE"""),0.0)</f>
        <v>0</v>
      </c>
      <c r="G1477" s="32"/>
      <c r="H1477" s="32"/>
      <c r="I1477" s="32"/>
      <c r="J1477" s="32"/>
      <c r="K1477" s="32"/>
      <c r="L1477" s="32"/>
      <c r="M1477" s="32"/>
      <c r="N1477" s="32"/>
      <c r="O1477" s="32"/>
      <c r="P1477" s="32"/>
      <c r="Q1477" s="32"/>
      <c r="R1477" s="32"/>
      <c r="S1477" s="32"/>
      <c r="T1477" s="32"/>
      <c r="U1477" s="32"/>
      <c r="V1477" s="32"/>
      <c r="W1477" s="32"/>
      <c r="X1477" s="32"/>
      <c r="Y1477" s="32"/>
      <c r="Z1477" s="32"/>
      <c r="AA1477" s="32"/>
      <c r="AB1477" s="32"/>
      <c r="AC1477" s="32"/>
      <c r="AD1477" s="32"/>
      <c r="AE1477" s="32"/>
      <c r="AF1477" s="32"/>
      <c r="AG1477" s="32"/>
      <c r="AH1477" s="32" t="b">
        <f>IFERROR(__xludf.DUMMYFUNCTION("""COMPUTED_VALUE"""),FALSE)</f>
        <v>0</v>
      </c>
      <c r="AI1477" s="32"/>
      <c r="AJ1477" s="32"/>
      <c r="AK1477" s="32"/>
      <c r="AL1477" s="32"/>
      <c r="AM1477" s="32"/>
      <c r="AN1477" s="32"/>
      <c r="AO1477" s="32"/>
      <c r="AP1477" s="32"/>
      <c r="AQ1477" s="32"/>
      <c r="AR1477" s="32"/>
      <c r="AS1477" s="32"/>
      <c r="AT1477" s="32"/>
      <c r="AU1477" s="32"/>
      <c r="AV1477" s="32"/>
      <c r="AW1477" s="32"/>
      <c r="AX1477" s="32"/>
    </row>
    <row r="1478">
      <c r="A1478" s="32"/>
      <c r="B1478" s="32"/>
      <c r="C1478" s="32"/>
      <c r="D1478" s="32"/>
      <c r="E1478" s="32">
        <f>IFERROR(__xludf.DUMMYFUNCTION("""COMPUTED_VALUE"""),1.0)</f>
        <v>1</v>
      </c>
      <c r="F1478" s="44">
        <f>IFERROR(__xludf.DUMMYFUNCTION("""COMPUTED_VALUE"""),0.0)</f>
        <v>0</v>
      </c>
      <c r="G1478" s="32"/>
      <c r="H1478" s="32"/>
      <c r="I1478" s="32"/>
      <c r="J1478" s="32"/>
      <c r="K1478" s="32"/>
      <c r="L1478" s="32"/>
      <c r="M1478" s="32"/>
      <c r="N1478" s="32"/>
      <c r="O1478" s="32"/>
      <c r="P1478" s="32"/>
      <c r="Q1478" s="32"/>
      <c r="R1478" s="32"/>
      <c r="S1478" s="32"/>
      <c r="T1478" s="32"/>
      <c r="U1478" s="32"/>
      <c r="V1478" s="32"/>
      <c r="W1478" s="32"/>
      <c r="X1478" s="32"/>
      <c r="Y1478" s="32"/>
      <c r="Z1478" s="32"/>
      <c r="AA1478" s="32"/>
      <c r="AB1478" s="32"/>
      <c r="AC1478" s="32"/>
      <c r="AD1478" s="32"/>
      <c r="AE1478" s="32"/>
      <c r="AF1478" s="32"/>
      <c r="AG1478" s="32"/>
      <c r="AH1478" s="32" t="b">
        <f>IFERROR(__xludf.DUMMYFUNCTION("""COMPUTED_VALUE"""),FALSE)</f>
        <v>0</v>
      </c>
      <c r="AI1478" s="32"/>
      <c r="AJ1478" s="32"/>
      <c r="AK1478" s="32"/>
      <c r="AL1478" s="32"/>
      <c r="AM1478" s="32"/>
      <c r="AN1478" s="32"/>
      <c r="AO1478" s="32"/>
      <c r="AP1478" s="32"/>
      <c r="AQ1478" s="32"/>
      <c r="AR1478" s="32"/>
      <c r="AS1478" s="32"/>
      <c r="AT1478" s="32"/>
      <c r="AU1478" s="32"/>
      <c r="AV1478" s="32"/>
      <c r="AW1478" s="32"/>
      <c r="AX1478" s="32"/>
    </row>
    <row r="1479">
      <c r="A1479" s="32"/>
      <c r="B1479" s="32"/>
      <c r="C1479" s="32"/>
      <c r="D1479" s="32"/>
      <c r="E1479" s="32">
        <f>IFERROR(__xludf.DUMMYFUNCTION("""COMPUTED_VALUE"""),1.0)</f>
        <v>1</v>
      </c>
      <c r="F1479" s="44">
        <f>IFERROR(__xludf.DUMMYFUNCTION("""COMPUTED_VALUE"""),0.0)</f>
        <v>0</v>
      </c>
      <c r="G1479" s="32"/>
      <c r="H1479" s="32"/>
      <c r="I1479" s="32"/>
      <c r="J1479" s="32"/>
      <c r="K1479" s="32"/>
      <c r="L1479" s="32"/>
      <c r="M1479" s="32"/>
      <c r="N1479" s="32"/>
      <c r="O1479" s="32"/>
      <c r="P1479" s="32"/>
      <c r="Q1479" s="32"/>
      <c r="R1479" s="32"/>
      <c r="S1479" s="32"/>
      <c r="T1479" s="32"/>
      <c r="U1479" s="32"/>
      <c r="V1479" s="32"/>
      <c r="W1479" s="32"/>
      <c r="X1479" s="32"/>
      <c r="Y1479" s="32"/>
      <c r="Z1479" s="32"/>
      <c r="AA1479" s="32"/>
      <c r="AB1479" s="32"/>
      <c r="AC1479" s="32"/>
      <c r="AD1479" s="32"/>
      <c r="AE1479" s="32"/>
      <c r="AF1479" s="32"/>
      <c r="AG1479" s="32"/>
      <c r="AH1479" s="32" t="b">
        <f>IFERROR(__xludf.DUMMYFUNCTION("""COMPUTED_VALUE"""),FALSE)</f>
        <v>0</v>
      </c>
      <c r="AI1479" s="32"/>
      <c r="AJ1479" s="32"/>
      <c r="AK1479" s="32"/>
      <c r="AL1479" s="32"/>
      <c r="AM1479" s="32"/>
      <c r="AN1479" s="32"/>
      <c r="AO1479" s="32"/>
      <c r="AP1479" s="32"/>
      <c r="AQ1479" s="32"/>
      <c r="AR1479" s="32"/>
      <c r="AS1479" s="32"/>
      <c r="AT1479" s="32"/>
      <c r="AU1479" s="32"/>
      <c r="AV1479" s="32"/>
      <c r="AW1479" s="32"/>
      <c r="AX1479" s="32"/>
    </row>
    <row r="1480">
      <c r="A1480" s="32"/>
      <c r="B1480" s="32"/>
      <c r="C1480" s="32"/>
      <c r="D1480" s="32"/>
      <c r="E1480" s="32">
        <f>IFERROR(__xludf.DUMMYFUNCTION("""COMPUTED_VALUE"""),1.0)</f>
        <v>1</v>
      </c>
      <c r="F1480" s="44">
        <f>IFERROR(__xludf.DUMMYFUNCTION("""COMPUTED_VALUE"""),0.0)</f>
        <v>0</v>
      </c>
      <c r="G1480" s="32"/>
      <c r="H1480" s="32"/>
      <c r="I1480" s="32"/>
      <c r="J1480" s="32"/>
      <c r="K1480" s="32"/>
      <c r="L1480" s="32"/>
      <c r="M1480" s="32"/>
      <c r="N1480" s="32"/>
      <c r="O1480" s="32"/>
      <c r="P1480" s="32"/>
      <c r="Q1480" s="32"/>
      <c r="R1480" s="32"/>
      <c r="S1480" s="32"/>
      <c r="T1480" s="32"/>
      <c r="U1480" s="32"/>
      <c r="V1480" s="32"/>
      <c r="W1480" s="32"/>
      <c r="X1480" s="32"/>
      <c r="Y1480" s="32"/>
      <c r="Z1480" s="32"/>
      <c r="AA1480" s="32"/>
      <c r="AB1480" s="32"/>
      <c r="AC1480" s="32"/>
      <c r="AD1480" s="32"/>
      <c r="AE1480" s="32"/>
      <c r="AF1480" s="32"/>
      <c r="AG1480" s="32"/>
      <c r="AH1480" s="32" t="b">
        <f>IFERROR(__xludf.DUMMYFUNCTION("""COMPUTED_VALUE"""),FALSE)</f>
        <v>0</v>
      </c>
      <c r="AI1480" s="32"/>
      <c r="AJ1480" s="32"/>
      <c r="AK1480" s="32"/>
      <c r="AL1480" s="32"/>
      <c r="AM1480" s="32"/>
      <c r="AN1480" s="32"/>
      <c r="AO1480" s="32"/>
      <c r="AP1480" s="32"/>
      <c r="AQ1480" s="32"/>
      <c r="AR1480" s="32"/>
      <c r="AS1480" s="32"/>
      <c r="AT1480" s="32"/>
      <c r="AU1480" s="32"/>
      <c r="AV1480" s="32"/>
      <c r="AW1480" s="32"/>
      <c r="AX1480" s="32"/>
    </row>
    <row r="1481">
      <c r="A1481" s="32"/>
      <c r="B1481" s="32"/>
      <c r="C1481" s="32"/>
      <c r="D1481" s="32"/>
      <c r="E1481" s="32">
        <f>IFERROR(__xludf.DUMMYFUNCTION("""COMPUTED_VALUE"""),1.0)</f>
        <v>1</v>
      </c>
      <c r="F1481" s="44">
        <f>IFERROR(__xludf.DUMMYFUNCTION("""COMPUTED_VALUE"""),0.0)</f>
        <v>0</v>
      </c>
      <c r="G1481" s="32"/>
      <c r="H1481" s="32"/>
      <c r="I1481" s="32"/>
      <c r="J1481" s="32"/>
      <c r="K1481" s="32"/>
      <c r="L1481" s="32"/>
      <c r="M1481" s="32"/>
      <c r="N1481" s="32"/>
      <c r="O1481" s="32"/>
      <c r="P1481" s="32"/>
      <c r="Q1481" s="32"/>
      <c r="R1481" s="32"/>
      <c r="S1481" s="32"/>
      <c r="T1481" s="32"/>
      <c r="U1481" s="32"/>
      <c r="V1481" s="32"/>
      <c r="W1481" s="32"/>
      <c r="X1481" s="32"/>
      <c r="Y1481" s="32"/>
      <c r="Z1481" s="32"/>
      <c r="AA1481" s="32"/>
      <c r="AB1481" s="32"/>
      <c r="AC1481" s="32"/>
      <c r="AD1481" s="32"/>
      <c r="AE1481" s="32"/>
      <c r="AF1481" s="32"/>
      <c r="AG1481" s="32"/>
      <c r="AH1481" s="32" t="b">
        <f>IFERROR(__xludf.DUMMYFUNCTION("""COMPUTED_VALUE"""),FALSE)</f>
        <v>0</v>
      </c>
      <c r="AI1481" s="32"/>
      <c r="AJ1481" s="32"/>
      <c r="AK1481" s="32"/>
      <c r="AL1481" s="32"/>
      <c r="AM1481" s="32"/>
      <c r="AN1481" s="32"/>
      <c r="AO1481" s="32"/>
      <c r="AP1481" s="32"/>
      <c r="AQ1481" s="32"/>
      <c r="AR1481" s="32"/>
      <c r="AS1481" s="32"/>
      <c r="AT1481" s="32"/>
      <c r="AU1481" s="32"/>
      <c r="AV1481" s="32"/>
      <c r="AW1481" s="32"/>
      <c r="AX1481" s="32"/>
    </row>
    <row r="1482">
      <c r="A1482" s="32"/>
      <c r="B1482" s="32"/>
      <c r="C1482" s="32"/>
      <c r="D1482" s="32"/>
      <c r="E1482" s="32">
        <f>IFERROR(__xludf.DUMMYFUNCTION("""COMPUTED_VALUE"""),1.0)</f>
        <v>1</v>
      </c>
      <c r="F1482" s="44">
        <f>IFERROR(__xludf.DUMMYFUNCTION("""COMPUTED_VALUE"""),0.0)</f>
        <v>0</v>
      </c>
      <c r="G1482" s="32"/>
      <c r="H1482" s="32"/>
      <c r="I1482" s="32"/>
      <c r="J1482" s="32"/>
      <c r="K1482" s="32"/>
      <c r="L1482" s="32"/>
      <c r="M1482" s="32"/>
      <c r="N1482" s="32"/>
      <c r="O1482" s="32"/>
      <c r="P1482" s="32"/>
      <c r="Q1482" s="32"/>
      <c r="R1482" s="32"/>
      <c r="S1482" s="32"/>
      <c r="T1482" s="32"/>
      <c r="U1482" s="32"/>
      <c r="V1482" s="32"/>
      <c r="W1482" s="32"/>
      <c r="X1482" s="32"/>
      <c r="Y1482" s="32"/>
      <c r="Z1482" s="32"/>
      <c r="AA1482" s="32"/>
      <c r="AB1482" s="32"/>
      <c r="AC1482" s="32"/>
      <c r="AD1482" s="32"/>
      <c r="AE1482" s="32"/>
      <c r="AF1482" s="32"/>
      <c r="AG1482" s="32"/>
      <c r="AH1482" s="32" t="b">
        <f>IFERROR(__xludf.DUMMYFUNCTION("""COMPUTED_VALUE"""),FALSE)</f>
        <v>0</v>
      </c>
      <c r="AI1482" s="32"/>
      <c r="AJ1482" s="32"/>
      <c r="AK1482" s="32"/>
      <c r="AL1482" s="32"/>
      <c r="AM1482" s="32"/>
      <c r="AN1482" s="32"/>
      <c r="AO1482" s="32"/>
      <c r="AP1482" s="32"/>
      <c r="AQ1482" s="32"/>
      <c r="AR1482" s="32"/>
      <c r="AS1482" s="32"/>
      <c r="AT1482" s="32"/>
      <c r="AU1482" s="32"/>
      <c r="AV1482" s="32"/>
      <c r="AW1482" s="32"/>
      <c r="AX1482" s="32"/>
    </row>
    <row r="1483">
      <c r="A1483" s="32"/>
      <c r="B1483" s="32"/>
      <c r="C1483" s="32"/>
      <c r="D1483" s="32"/>
      <c r="E1483" s="32">
        <f>IFERROR(__xludf.DUMMYFUNCTION("""COMPUTED_VALUE"""),1.0)</f>
        <v>1</v>
      </c>
      <c r="F1483" s="44">
        <f>IFERROR(__xludf.DUMMYFUNCTION("""COMPUTED_VALUE"""),0.0)</f>
        <v>0</v>
      </c>
      <c r="G1483" s="32"/>
      <c r="H1483" s="32"/>
      <c r="I1483" s="32"/>
      <c r="J1483" s="32"/>
      <c r="K1483" s="32"/>
      <c r="L1483" s="32"/>
      <c r="M1483" s="32"/>
      <c r="N1483" s="32"/>
      <c r="O1483" s="32"/>
      <c r="P1483" s="32"/>
      <c r="Q1483" s="32"/>
      <c r="R1483" s="32"/>
      <c r="S1483" s="32"/>
      <c r="T1483" s="32"/>
      <c r="U1483" s="32"/>
      <c r="V1483" s="32"/>
      <c r="W1483" s="32"/>
      <c r="X1483" s="32"/>
      <c r="Y1483" s="32"/>
      <c r="Z1483" s="32"/>
      <c r="AA1483" s="32"/>
      <c r="AB1483" s="32"/>
      <c r="AC1483" s="32"/>
      <c r="AD1483" s="32"/>
      <c r="AE1483" s="32"/>
      <c r="AF1483" s="32"/>
      <c r="AG1483" s="32"/>
      <c r="AH1483" s="32" t="b">
        <f>IFERROR(__xludf.DUMMYFUNCTION("""COMPUTED_VALUE"""),FALSE)</f>
        <v>0</v>
      </c>
      <c r="AI1483" s="32"/>
      <c r="AJ1483" s="32"/>
      <c r="AK1483" s="32"/>
      <c r="AL1483" s="32"/>
      <c r="AM1483" s="32"/>
      <c r="AN1483" s="32"/>
      <c r="AO1483" s="32"/>
      <c r="AP1483" s="32"/>
      <c r="AQ1483" s="32"/>
      <c r="AR1483" s="32"/>
      <c r="AS1483" s="32"/>
      <c r="AT1483" s="32"/>
      <c r="AU1483" s="32"/>
      <c r="AV1483" s="32"/>
      <c r="AW1483" s="32"/>
      <c r="AX1483" s="32"/>
    </row>
    <row r="1484">
      <c r="A1484" s="32"/>
      <c r="B1484" s="32"/>
      <c r="C1484" s="32"/>
      <c r="D1484" s="32"/>
      <c r="E1484" s="32">
        <f>IFERROR(__xludf.DUMMYFUNCTION("""COMPUTED_VALUE"""),1.0)</f>
        <v>1</v>
      </c>
      <c r="F1484" s="44">
        <f>IFERROR(__xludf.DUMMYFUNCTION("""COMPUTED_VALUE"""),0.0)</f>
        <v>0</v>
      </c>
      <c r="G1484" s="32"/>
      <c r="H1484" s="32"/>
      <c r="I1484" s="32"/>
      <c r="J1484" s="32"/>
      <c r="K1484" s="32"/>
      <c r="L1484" s="32"/>
      <c r="M1484" s="32"/>
      <c r="N1484" s="32"/>
      <c r="O1484" s="32"/>
      <c r="P1484" s="32"/>
      <c r="Q1484" s="32"/>
      <c r="R1484" s="32"/>
      <c r="S1484" s="32"/>
      <c r="T1484" s="32"/>
      <c r="U1484" s="32"/>
      <c r="V1484" s="32"/>
      <c r="W1484" s="32"/>
      <c r="X1484" s="32"/>
      <c r="Y1484" s="32"/>
      <c r="Z1484" s="32"/>
      <c r="AA1484" s="32"/>
      <c r="AB1484" s="32"/>
      <c r="AC1484" s="32"/>
      <c r="AD1484" s="32"/>
      <c r="AE1484" s="32"/>
      <c r="AF1484" s="32"/>
      <c r="AG1484" s="32"/>
      <c r="AH1484" s="32" t="b">
        <f>IFERROR(__xludf.DUMMYFUNCTION("""COMPUTED_VALUE"""),FALSE)</f>
        <v>0</v>
      </c>
      <c r="AI1484" s="32"/>
      <c r="AJ1484" s="32"/>
      <c r="AK1484" s="32"/>
      <c r="AL1484" s="32"/>
      <c r="AM1484" s="32"/>
      <c r="AN1484" s="32"/>
      <c r="AO1484" s="32"/>
      <c r="AP1484" s="32"/>
      <c r="AQ1484" s="32"/>
      <c r="AR1484" s="32"/>
      <c r="AS1484" s="32"/>
      <c r="AT1484" s="32"/>
      <c r="AU1484" s="32"/>
      <c r="AV1484" s="32"/>
      <c r="AW1484" s="32"/>
      <c r="AX1484" s="32"/>
    </row>
    <row r="1485">
      <c r="A1485" s="32"/>
      <c r="B1485" s="32"/>
      <c r="C1485" s="32"/>
      <c r="D1485" s="32"/>
      <c r="E1485" s="32">
        <f>IFERROR(__xludf.DUMMYFUNCTION("""COMPUTED_VALUE"""),1.0)</f>
        <v>1</v>
      </c>
      <c r="F1485" s="44">
        <f>IFERROR(__xludf.DUMMYFUNCTION("""COMPUTED_VALUE"""),0.0)</f>
        <v>0</v>
      </c>
      <c r="G1485" s="32"/>
      <c r="H1485" s="32"/>
      <c r="I1485" s="32"/>
      <c r="J1485" s="32"/>
      <c r="K1485" s="32"/>
      <c r="L1485" s="32"/>
      <c r="M1485" s="32"/>
      <c r="N1485" s="32"/>
      <c r="O1485" s="32"/>
      <c r="P1485" s="32"/>
      <c r="Q1485" s="32"/>
      <c r="R1485" s="32"/>
      <c r="S1485" s="32"/>
      <c r="T1485" s="32"/>
      <c r="U1485" s="32"/>
      <c r="V1485" s="32"/>
      <c r="W1485" s="32"/>
      <c r="X1485" s="32"/>
      <c r="Y1485" s="32"/>
      <c r="Z1485" s="32"/>
      <c r="AA1485" s="32"/>
      <c r="AB1485" s="32"/>
      <c r="AC1485" s="32"/>
      <c r="AD1485" s="32"/>
      <c r="AE1485" s="32"/>
      <c r="AF1485" s="32"/>
      <c r="AG1485" s="32"/>
      <c r="AH1485" s="32" t="b">
        <f>IFERROR(__xludf.DUMMYFUNCTION("""COMPUTED_VALUE"""),FALSE)</f>
        <v>0</v>
      </c>
      <c r="AI1485" s="32"/>
      <c r="AJ1485" s="32"/>
      <c r="AK1485" s="32"/>
      <c r="AL1485" s="32"/>
      <c r="AM1485" s="32"/>
      <c r="AN1485" s="32"/>
      <c r="AO1485" s="32"/>
      <c r="AP1485" s="32"/>
      <c r="AQ1485" s="32"/>
      <c r="AR1485" s="32"/>
      <c r="AS1485" s="32"/>
      <c r="AT1485" s="32"/>
      <c r="AU1485" s="32"/>
      <c r="AV1485" s="32"/>
      <c r="AW1485" s="32"/>
      <c r="AX1485" s="32"/>
    </row>
    <row r="1486">
      <c r="A1486" s="32"/>
      <c r="B1486" s="32"/>
      <c r="C1486" s="32"/>
      <c r="D1486" s="32"/>
      <c r="E1486" s="32">
        <f>IFERROR(__xludf.DUMMYFUNCTION("""COMPUTED_VALUE"""),1.0)</f>
        <v>1</v>
      </c>
      <c r="F1486" s="44">
        <f>IFERROR(__xludf.DUMMYFUNCTION("""COMPUTED_VALUE"""),0.0)</f>
        <v>0</v>
      </c>
      <c r="G1486" s="32"/>
      <c r="H1486" s="32"/>
      <c r="I1486" s="32"/>
      <c r="J1486" s="32"/>
      <c r="K1486" s="32"/>
      <c r="L1486" s="32"/>
      <c r="M1486" s="32"/>
      <c r="N1486" s="32"/>
      <c r="O1486" s="32"/>
      <c r="P1486" s="32"/>
      <c r="Q1486" s="32"/>
      <c r="R1486" s="32"/>
      <c r="S1486" s="32"/>
      <c r="T1486" s="32"/>
      <c r="U1486" s="32"/>
      <c r="V1486" s="32"/>
      <c r="W1486" s="32"/>
      <c r="X1486" s="32"/>
      <c r="Y1486" s="32"/>
      <c r="Z1486" s="32"/>
      <c r="AA1486" s="32"/>
      <c r="AB1486" s="32"/>
      <c r="AC1486" s="32"/>
      <c r="AD1486" s="32"/>
      <c r="AE1486" s="32"/>
      <c r="AF1486" s="32"/>
      <c r="AG1486" s="32"/>
      <c r="AH1486" s="32" t="b">
        <f>IFERROR(__xludf.DUMMYFUNCTION("""COMPUTED_VALUE"""),FALSE)</f>
        <v>0</v>
      </c>
      <c r="AI1486" s="32"/>
      <c r="AJ1486" s="32"/>
      <c r="AK1486" s="32"/>
      <c r="AL1486" s="32"/>
      <c r="AM1486" s="32"/>
      <c r="AN1486" s="32"/>
      <c r="AO1486" s="32"/>
      <c r="AP1486" s="32"/>
      <c r="AQ1486" s="32"/>
      <c r="AR1486" s="32"/>
      <c r="AS1486" s="32"/>
      <c r="AT1486" s="32"/>
      <c r="AU1486" s="32"/>
      <c r="AV1486" s="32"/>
      <c r="AW1486" s="32"/>
      <c r="AX1486" s="32"/>
    </row>
    <row r="1487">
      <c r="A1487" s="32"/>
      <c r="B1487" s="32"/>
      <c r="C1487" s="32"/>
      <c r="D1487" s="32"/>
      <c r="E1487" s="32">
        <f>IFERROR(__xludf.DUMMYFUNCTION("""COMPUTED_VALUE"""),1.0)</f>
        <v>1</v>
      </c>
      <c r="F1487" s="44">
        <f>IFERROR(__xludf.DUMMYFUNCTION("""COMPUTED_VALUE"""),0.0)</f>
        <v>0</v>
      </c>
      <c r="G1487" s="32"/>
      <c r="H1487" s="32"/>
      <c r="I1487" s="32"/>
      <c r="J1487" s="32"/>
      <c r="K1487" s="32"/>
      <c r="L1487" s="32"/>
      <c r="M1487" s="32"/>
      <c r="N1487" s="32"/>
      <c r="O1487" s="32"/>
      <c r="P1487" s="32"/>
      <c r="Q1487" s="32"/>
      <c r="R1487" s="32"/>
      <c r="S1487" s="32"/>
      <c r="T1487" s="32"/>
      <c r="U1487" s="32"/>
      <c r="V1487" s="32"/>
      <c r="W1487" s="32"/>
      <c r="X1487" s="32"/>
      <c r="Y1487" s="32"/>
      <c r="Z1487" s="32"/>
      <c r="AA1487" s="32"/>
      <c r="AB1487" s="32"/>
      <c r="AC1487" s="32"/>
      <c r="AD1487" s="32"/>
      <c r="AE1487" s="32"/>
      <c r="AF1487" s="32"/>
      <c r="AG1487" s="32"/>
      <c r="AH1487" s="32" t="b">
        <f>IFERROR(__xludf.DUMMYFUNCTION("""COMPUTED_VALUE"""),FALSE)</f>
        <v>0</v>
      </c>
      <c r="AI1487" s="32"/>
      <c r="AJ1487" s="32"/>
      <c r="AK1487" s="32"/>
      <c r="AL1487" s="32"/>
      <c r="AM1487" s="32"/>
      <c r="AN1487" s="32"/>
      <c r="AO1487" s="32"/>
      <c r="AP1487" s="32"/>
      <c r="AQ1487" s="32"/>
      <c r="AR1487" s="32"/>
      <c r="AS1487" s="32"/>
      <c r="AT1487" s="32"/>
      <c r="AU1487" s="32"/>
      <c r="AV1487" s="32"/>
      <c r="AW1487" s="32"/>
      <c r="AX1487" s="32"/>
    </row>
    <row r="1488">
      <c r="A1488" s="32"/>
      <c r="B1488" s="32"/>
      <c r="C1488" s="32"/>
      <c r="D1488" s="32"/>
      <c r="E1488" s="32">
        <f>IFERROR(__xludf.DUMMYFUNCTION("""COMPUTED_VALUE"""),1.0)</f>
        <v>1</v>
      </c>
      <c r="F1488" s="44">
        <f>IFERROR(__xludf.DUMMYFUNCTION("""COMPUTED_VALUE"""),0.0)</f>
        <v>0</v>
      </c>
      <c r="G1488" s="32"/>
      <c r="H1488" s="32"/>
      <c r="I1488" s="32"/>
      <c r="J1488" s="32"/>
      <c r="K1488" s="32"/>
      <c r="L1488" s="32"/>
      <c r="M1488" s="32"/>
      <c r="N1488" s="32"/>
      <c r="O1488" s="32"/>
      <c r="P1488" s="32"/>
      <c r="Q1488" s="32"/>
      <c r="R1488" s="32"/>
      <c r="S1488" s="32"/>
      <c r="T1488" s="32"/>
      <c r="U1488" s="32"/>
      <c r="V1488" s="32"/>
      <c r="W1488" s="32"/>
      <c r="X1488" s="32"/>
      <c r="Y1488" s="32"/>
      <c r="Z1488" s="32"/>
      <c r="AA1488" s="32"/>
      <c r="AB1488" s="32"/>
      <c r="AC1488" s="32"/>
      <c r="AD1488" s="32"/>
      <c r="AE1488" s="32"/>
      <c r="AF1488" s="32"/>
      <c r="AG1488" s="32"/>
      <c r="AH1488" s="32" t="b">
        <f>IFERROR(__xludf.DUMMYFUNCTION("""COMPUTED_VALUE"""),FALSE)</f>
        <v>0</v>
      </c>
      <c r="AI1488" s="32"/>
      <c r="AJ1488" s="32"/>
      <c r="AK1488" s="32"/>
      <c r="AL1488" s="32"/>
      <c r="AM1488" s="32"/>
      <c r="AN1488" s="32"/>
      <c r="AO1488" s="32"/>
      <c r="AP1488" s="32"/>
      <c r="AQ1488" s="32"/>
      <c r="AR1488" s="32"/>
      <c r="AS1488" s="32"/>
      <c r="AT1488" s="32"/>
      <c r="AU1488" s="32"/>
      <c r="AV1488" s="32"/>
      <c r="AW1488" s="32"/>
      <c r="AX1488" s="32"/>
    </row>
    <row r="1489">
      <c r="A1489" s="32"/>
      <c r="B1489" s="32"/>
      <c r="C1489" s="32"/>
      <c r="D1489" s="32"/>
      <c r="E1489" s="32">
        <f>IFERROR(__xludf.DUMMYFUNCTION("""COMPUTED_VALUE"""),1.0)</f>
        <v>1</v>
      </c>
      <c r="F1489" s="44">
        <f>IFERROR(__xludf.DUMMYFUNCTION("""COMPUTED_VALUE"""),0.0)</f>
        <v>0</v>
      </c>
      <c r="G1489" s="32"/>
      <c r="H1489" s="32"/>
      <c r="I1489" s="32"/>
      <c r="J1489" s="32"/>
      <c r="K1489" s="32"/>
      <c r="L1489" s="32"/>
      <c r="M1489" s="32"/>
      <c r="N1489" s="32"/>
      <c r="O1489" s="32"/>
      <c r="P1489" s="32"/>
      <c r="Q1489" s="32"/>
      <c r="R1489" s="32"/>
      <c r="S1489" s="32"/>
      <c r="T1489" s="32"/>
      <c r="U1489" s="32"/>
      <c r="V1489" s="32"/>
      <c r="W1489" s="32"/>
      <c r="X1489" s="32"/>
      <c r="Y1489" s="32"/>
      <c r="Z1489" s="32"/>
      <c r="AA1489" s="32"/>
      <c r="AB1489" s="32"/>
      <c r="AC1489" s="32"/>
      <c r="AD1489" s="32"/>
      <c r="AE1489" s="32"/>
      <c r="AF1489" s="32"/>
      <c r="AG1489" s="32"/>
      <c r="AH1489" s="32" t="b">
        <f>IFERROR(__xludf.DUMMYFUNCTION("""COMPUTED_VALUE"""),FALSE)</f>
        <v>0</v>
      </c>
      <c r="AI1489" s="32"/>
      <c r="AJ1489" s="32"/>
      <c r="AK1489" s="32"/>
      <c r="AL1489" s="32"/>
      <c r="AM1489" s="32"/>
      <c r="AN1489" s="32"/>
      <c r="AO1489" s="32"/>
      <c r="AP1489" s="32"/>
      <c r="AQ1489" s="32"/>
      <c r="AR1489" s="32"/>
      <c r="AS1489" s="32"/>
      <c r="AT1489" s="32"/>
      <c r="AU1489" s="32"/>
      <c r="AV1489" s="32"/>
      <c r="AW1489" s="32"/>
      <c r="AX1489" s="32"/>
    </row>
    <row r="1490">
      <c r="A1490" s="32"/>
      <c r="B1490" s="32"/>
      <c r="C1490" s="32"/>
      <c r="D1490" s="32"/>
      <c r="E1490" s="32">
        <f>IFERROR(__xludf.DUMMYFUNCTION("""COMPUTED_VALUE"""),1.0)</f>
        <v>1</v>
      </c>
      <c r="F1490" s="44">
        <f>IFERROR(__xludf.DUMMYFUNCTION("""COMPUTED_VALUE"""),0.0)</f>
        <v>0</v>
      </c>
      <c r="G1490" s="32"/>
      <c r="H1490" s="32"/>
      <c r="I1490" s="32"/>
      <c r="J1490" s="32"/>
      <c r="K1490" s="32"/>
      <c r="L1490" s="32"/>
      <c r="M1490" s="32"/>
      <c r="N1490" s="32"/>
      <c r="O1490" s="32"/>
      <c r="P1490" s="32"/>
      <c r="Q1490" s="32"/>
      <c r="R1490" s="32"/>
      <c r="S1490" s="32"/>
      <c r="T1490" s="32"/>
      <c r="U1490" s="32"/>
      <c r="V1490" s="32"/>
      <c r="W1490" s="32"/>
      <c r="X1490" s="32"/>
      <c r="Y1490" s="32"/>
      <c r="Z1490" s="32"/>
      <c r="AA1490" s="32"/>
      <c r="AB1490" s="32"/>
      <c r="AC1490" s="32"/>
      <c r="AD1490" s="32"/>
      <c r="AE1490" s="32"/>
      <c r="AF1490" s="32"/>
      <c r="AG1490" s="32"/>
      <c r="AH1490" s="32" t="b">
        <f>IFERROR(__xludf.DUMMYFUNCTION("""COMPUTED_VALUE"""),FALSE)</f>
        <v>0</v>
      </c>
      <c r="AI1490" s="32"/>
      <c r="AJ1490" s="32"/>
      <c r="AK1490" s="32"/>
      <c r="AL1490" s="32"/>
      <c r="AM1490" s="32"/>
      <c r="AN1490" s="32"/>
      <c r="AO1490" s="32"/>
      <c r="AP1490" s="32"/>
      <c r="AQ1490" s="32"/>
      <c r="AR1490" s="32"/>
      <c r="AS1490" s="32"/>
      <c r="AT1490" s="32"/>
      <c r="AU1490" s="32"/>
      <c r="AV1490" s="32"/>
      <c r="AW1490" s="32"/>
      <c r="AX1490" s="32"/>
    </row>
    <row r="1491">
      <c r="A1491" s="32"/>
      <c r="B1491" s="32"/>
      <c r="C1491" s="32"/>
      <c r="D1491" s="32"/>
      <c r="E1491" s="32">
        <f>IFERROR(__xludf.DUMMYFUNCTION("""COMPUTED_VALUE"""),1.0)</f>
        <v>1</v>
      </c>
      <c r="F1491" s="44">
        <f>IFERROR(__xludf.DUMMYFUNCTION("""COMPUTED_VALUE"""),0.0)</f>
        <v>0</v>
      </c>
      <c r="G1491" s="32"/>
      <c r="H1491" s="32"/>
      <c r="I1491" s="32"/>
      <c r="J1491" s="32"/>
      <c r="K1491" s="32"/>
      <c r="L1491" s="32"/>
      <c r="M1491" s="32"/>
      <c r="N1491" s="32"/>
      <c r="O1491" s="32"/>
      <c r="P1491" s="32"/>
      <c r="Q1491" s="32"/>
      <c r="R1491" s="32"/>
      <c r="S1491" s="32"/>
      <c r="T1491" s="32"/>
      <c r="U1491" s="32"/>
      <c r="V1491" s="32"/>
      <c r="W1491" s="32"/>
      <c r="X1491" s="32"/>
      <c r="Y1491" s="32"/>
      <c r="Z1491" s="32"/>
      <c r="AA1491" s="32"/>
      <c r="AB1491" s="32"/>
      <c r="AC1491" s="32"/>
      <c r="AD1491" s="32"/>
      <c r="AE1491" s="32"/>
      <c r="AF1491" s="32"/>
      <c r="AG1491" s="32"/>
      <c r="AH1491" s="32" t="b">
        <f>IFERROR(__xludf.DUMMYFUNCTION("""COMPUTED_VALUE"""),FALSE)</f>
        <v>0</v>
      </c>
      <c r="AI1491" s="32"/>
      <c r="AJ1491" s="32"/>
      <c r="AK1491" s="32"/>
      <c r="AL1491" s="32"/>
      <c r="AM1491" s="32"/>
      <c r="AN1491" s="32"/>
      <c r="AO1491" s="32"/>
      <c r="AP1491" s="32"/>
      <c r="AQ1491" s="32"/>
      <c r="AR1491" s="32"/>
      <c r="AS1491" s="32"/>
      <c r="AT1491" s="32"/>
      <c r="AU1491" s="32"/>
      <c r="AV1491" s="32"/>
      <c r="AW1491" s="32"/>
      <c r="AX1491" s="32"/>
    </row>
    <row r="1492">
      <c r="A1492" s="32"/>
      <c r="B1492" s="32"/>
      <c r="C1492" s="32"/>
      <c r="D1492" s="32"/>
      <c r="E1492" s="32">
        <f>IFERROR(__xludf.DUMMYFUNCTION("""COMPUTED_VALUE"""),1.0)</f>
        <v>1</v>
      </c>
      <c r="F1492" s="44">
        <f>IFERROR(__xludf.DUMMYFUNCTION("""COMPUTED_VALUE"""),0.0)</f>
        <v>0</v>
      </c>
      <c r="G1492" s="32"/>
      <c r="H1492" s="32"/>
      <c r="I1492" s="32"/>
      <c r="J1492" s="32"/>
      <c r="K1492" s="32"/>
      <c r="L1492" s="32"/>
      <c r="M1492" s="32"/>
      <c r="N1492" s="32"/>
      <c r="O1492" s="32"/>
      <c r="P1492" s="32"/>
      <c r="Q1492" s="32"/>
      <c r="R1492" s="32"/>
      <c r="S1492" s="32"/>
      <c r="T1492" s="32"/>
      <c r="U1492" s="32"/>
      <c r="V1492" s="32"/>
      <c r="W1492" s="32"/>
      <c r="X1492" s="32"/>
      <c r="Y1492" s="32"/>
      <c r="Z1492" s="32"/>
      <c r="AA1492" s="32"/>
      <c r="AB1492" s="32"/>
      <c r="AC1492" s="32"/>
      <c r="AD1492" s="32"/>
      <c r="AE1492" s="32"/>
      <c r="AF1492" s="32"/>
      <c r="AG1492" s="32"/>
      <c r="AH1492" s="32" t="b">
        <f>IFERROR(__xludf.DUMMYFUNCTION("""COMPUTED_VALUE"""),FALSE)</f>
        <v>0</v>
      </c>
      <c r="AI1492" s="32"/>
      <c r="AJ1492" s="32"/>
      <c r="AK1492" s="32"/>
      <c r="AL1492" s="32"/>
      <c r="AM1492" s="32"/>
      <c r="AN1492" s="32"/>
      <c r="AO1492" s="32"/>
      <c r="AP1492" s="32"/>
      <c r="AQ1492" s="32"/>
      <c r="AR1492" s="32"/>
      <c r="AS1492" s="32"/>
      <c r="AT1492" s="32"/>
      <c r="AU1492" s="32"/>
      <c r="AV1492" s="32"/>
      <c r="AW1492" s="32"/>
      <c r="AX1492" s="32"/>
    </row>
    <row r="1493">
      <c r="A1493" s="32"/>
      <c r="B1493" s="32"/>
      <c r="C1493" s="32"/>
      <c r="D1493" s="32"/>
      <c r="E1493" s="32">
        <f>IFERROR(__xludf.DUMMYFUNCTION("""COMPUTED_VALUE"""),1.0)</f>
        <v>1</v>
      </c>
      <c r="F1493" s="44">
        <f>IFERROR(__xludf.DUMMYFUNCTION("""COMPUTED_VALUE"""),0.0)</f>
        <v>0</v>
      </c>
      <c r="G1493" s="32"/>
      <c r="H1493" s="32"/>
      <c r="I1493" s="32"/>
      <c r="J1493" s="32"/>
      <c r="K1493" s="32"/>
      <c r="L1493" s="32"/>
      <c r="M1493" s="32"/>
      <c r="N1493" s="32"/>
      <c r="O1493" s="32"/>
      <c r="P1493" s="32"/>
      <c r="Q1493" s="32"/>
      <c r="R1493" s="32"/>
      <c r="S1493" s="32"/>
      <c r="T1493" s="32"/>
      <c r="U1493" s="32"/>
      <c r="V1493" s="32"/>
      <c r="W1493" s="32"/>
      <c r="X1493" s="32"/>
      <c r="Y1493" s="32"/>
      <c r="Z1493" s="32"/>
      <c r="AA1493" s="32"/>
      <c r="AB1493" s="32"/>
      <c r="AC1493" s="32"/>
      <c r="AD1493" s="32"/>
      <c r="AE1493" s="32"/>
      <c r="AF1493" s="32"/>
      <c r="AG1493" s="32"/>
      <c r="AH1493" s="32" t="b">
        <f>IFERROR(__xludf.DUMMYFUNCTION("""COMPUTED_VALUE"""),FALSE)</f>
        <v>0</v>
      </c>
      <c r="AI1493" s="32"/>
      <c r="AJ1493" s="32"/>
      <c r="AK1493" s="32"/>
      <c r="AL1493" s="32"/>
      <c r="AM1493" s="32"/>
      <c r="AN1493" s="32"/>
      <c r="AO1493" s="32"/>
      <c r="AP1493" s="32"/>
      <c r="AQ1493" s="32"/>
      <c r="AR1493" s="32"/>
      <c r="AS1493" s="32"/>
      <c r="AT1493" s="32"/>
      <c r="AU1493" s="32"/>
      <c r="AV1493" s="32"/>
      <c r="AW1493" s="32"/>
      <c r="AX1493" s="32"/>
    </row>
    <row r="1494">
      <c r="A1494" s="32"/>
      <c r="B1494" s="32"/>
      <c r="C1494" s="32"/>
      <c r="D1494" s="32"/>
      <c r="E1494" s="32">
        <f>IFERROR(__xludf.DUMMYFUNCTION("""COMPUTED_VALUE"""),1.0)</f>
        <v>1</v>
      </c>
      <c r="F1494" s="44">
        <f>IFERROR(__xludf.DUMMYFUNCTION("""COMPUTED_VALUE"""),0.0)</f>
        <v>0</v>
      </c>
      <c r="G1494" s="32"/>
      <c r="H1494" s="32"/>
      <c r="I1494" s="32"/>
      <c r="J1494" s="32"/>
      <c r="K1494" s="32"/>
      <c r="L1494" s="32"/>
      <c r="M1494" s="32"/>
      <c r="N1494" s="32"/>
      <c r="O1494" s="32"/>
      <c r="P1494" s="32"/>
      <c r="Q1494" s="32"/>
      <c r="R1494" s="32"/>
      <c r="S1494" s="32"/>
      <c r="T1494" s="32"/>
      <c r="U1494" s="32"/>
      <c r="V1494" s="32"/>
      <c r="W1494" s="32"/>
      <c r="X1494" s="32"/>
      <c r="Y1494" s="32"/>
      <c r="Z1494" s="32"/>
      <c r="AA1494" s="32"/>
      <c r="AB1494" s="32"/>
      <c r="AC1494" s="32"/>
      <c r="AD1494" s="32"/>
      <c r="AE1494" s="32"/>
      <c r="AF1494" s="32"/>
      <c r="AG1494" s="32"/>
      <c r="AH1494" s="32" t="b">
        <f>IFERROR(__xludf.DUMMYFUNCTION("""COMPUTED_VALUE"""),FALSE)</f>
        <v>0</v>
      </c>
      <c r="AI1494" s="32"/>
      <c r="AJ1494" s="32"/>
      <c r="AK1494" s="32"/>
      <c r="AL1494" s="32"/>
      <c r="AM1494" s="32"/>
      <c r="AN1494" s="32"/>
      <c r="AO1494" s="32"/>
      <c r="AP1494" s="32"/>
      <c r="AQ1494" s="32"/>
      <c r="AR1494" s="32"/>
      <c r="AS1494" s="32"/>
      <c r="AT1494" s="32"/>
      <c r="AU1494" s="32"/>
      <c r="AV1494" s="32"/>
      <c r="AW1494" s="32"/>
      <c r="AX1494" s="32"/>
    </row>
    <row r="1495">
      <c r="A1495" s="32"/>
      <c r="B1495" s="32"/>
      <c r="C1495" s="32"/>
      <c r="D1495" s="32"/>
      <c r="E1495" s="32">
        <f>IFERROR(__xludf.DUMMYFUNCTION("""COMPUTED_VALUE"""),1.0)</f>
        <v>1</v>
      </c>
      <c r="F1495" s="44">
        <f>IFERROR(__xludf.DUMMYFUNCTION("""COMPUTED_VALUE"""),0.0)</f>
        <v>0</v>
      </c>
      <c r="G1495" s="32"/>
      <c r="H1495" s="32"/>
      <c r="I1495" s="32"/>
      <c r="J1495" s="32"/>
      <c r="K1495" s="32"/>
      <c r="L1495" s="32"/>
      <c r="M1495" s="32"/>
      <c r="N1495" s="32"/>
      <c r="O1495" s="32"/>
      <c r="P1495" s="32"/>
      <c r="Q1495" s="32"/>
      <c r="R1495" s="32"/>
      <c r="S1495" s="32"/>
      <c r="T1495" s="32"/>
      <c r="U1495" s="32"/>
      <c r="V1495" s="32"/>
      <c r="W1495" s="32"/>
      <c r="X1495" s="32"/>
      <c r="Y1495" s="32"/>
      <c r="Z1495" s="32"/>
      <c r="AA1495" s="32"/>
      <c r="AB1495" s="32"/>
      <c r="AC1495" s="32"/>
      <c r="AD1495" s="32"/>
      <c r="AE1495" s="32"/>
      <c r="AF1495" s="32"/>
      <c r="AG1495" s="32"/>
      <c r="AH1495" s="32" t="b">
        <f>IFERROR(__xludf.DUMMYFUNCTION("""COMPUTED_VALUE"""),FALSE)</f>
        <v>0</v>
      </c>
      <c r="AI1495" s="32"/>
      <c r="AJ1495" s="32"/>
      <c r="AK1495" s="32"/>
      <c r="AL1495" s="32"/>
      <c r="AM1495" s="32"/>
      <c r="AN1495" s="32"/>
      <c r="AO1495" s="32"/>
      <c r="AP1495" s="32"/>
      <c r="AQ1495" s="32"/>
      <c r="AR1495" s="32"/>
      <c r="AS1495" s="32"/>
      <c r="AT1495" s="32"/>
      <c r="AU1495" s="32"/>
      <c r="AV1495" s="32"/>
      <c r="AW1495" s="32"/>
      <c r="AX1495" s="32"/>
    </row>
    <row r="1496">
      <c r="A1496" s="32"/>
      <c r="B1496" s="32"/>
      <c r="C1496" s="32"/>
      <c r="D1496" s="32"/>
      <c r="E1496" s="32">
        <f>IFERROR(__xludf.DUMMYFUNCTION("""COMPUTED_VALUE"""),1.0)</f>
        <v>1</v>
      </c>
      <c r="F1496" s="44">
        <f>IFERROR(__xludf.DUMMYFUNCTION("""COMPUTED_VALUE"""),0.0)</f>
        <v>0</v>
      </c>
      <c r="G1496" s="32"/>
      <c r="H1496" s="32"/>
      <c r="I1496" s="32"/>
      <c r="J1496" s="32"/>
      <c r="K1496" s="32"/>
      <c r="L1496" s="32"/>
      <c r="M1496" s="32"/>
      <c r="N1496" s="32"/>
      <c r="O1496" s="32"/>
      <c r="P1496" s="32"/>
      <c r="Q1496" s="32"/>
      <c r="R1496" s="32"/>
      <c r="S1496" s="32"/>
      <c r="T1496" s="32"/>
      <c r="U1496" s="32"/>
      <c r="V1496" s="32"/>
      <c r="W1496" s="32"/>
      <c r="X1496" s="32"/>
      <c r="Y1496" s="32"/>
      <c r="Z1496" s="32"/>
      <c r="AA1496" s="32"/>
      <c r="AB1496" s="32"/>
      <c r="AC1496" s="32"/>
      <c r="AD1496" s="32"/>
      <c r="AE1496" s="32"/>
      <c r="AF1496" s="32"/>
      <c r="AG1496" s="32"/>
      <c r="AH1496" s="32" t="b">
        <f>IFERROR(__xludf.DUMMYFUNCTION("""COMPUTED_VALUE"""),FALSE)</f>
        <v>0</v>
      </c>
      <c r="AI1496" s="32"/>
      <c r="AJ1496" s="32"/>
      <c r="AK1496" s="32"/>
      <c r="AL1496" s="32"/>
      <c r="AM1496" s="32"/>
      <c r="AN1496" s="32"/>
      <c r="AO1496" s="32"/>
      <c r="AP1496" s="32"/>
      <c r="AQ1496" s="32"/>
      <c r="AR1496" s="32"/>
      <c r="AS1496" s="32"/>
      <c r="AT1496" s="32"/>
      <c r="AU1496" s="32"/>
      <c r="AV1496" s="32"/>
      <c r="AW1496" s="32"/>
      <c r="AX1496" s="32"/>
    </row>
    <row r="1497">
      <c r="A1497" s="32"/>
      <c r="B1497" s="32"/>
      <c r="C1497" s="32"/>
      <c r="D1497" s="32"/>
      <c r="E1497" s="32">
        <f>IFERROR(__xludf.DUMMYFUNCTION("""COMPUTED_VALUE"""),1.0)</f>
        <v>1</v>
      </c>
      <c r="F1497" s="44">
        <f>IFERROR(__xludf.DUMMYFUNCTION("""COMPUTED_VALUE"""),0.0)</f>
        <v>0</v>
      </c>
      <c r="G1497" s="32"/>
      <c r="H1497" s="32"/>
      <c r="I1497" s="32"/>
      <c r="J1497" s="32"/>
      <c r="K1497" s="32"/>
      <c r="L1497" s="32"/>
      <c r="M1497" s="32"/>
      <c r="N1497" s="32"/>
      <c r="O1497" s="32"/>
      <c r="P1497" s="32"/>
      <c r="Q1497" s="32"/>
      <c r="R1497" s="32"/>
      <c r="S1497" s="32"/>
      <c r="T1497" s="32"/>
      <c r="U1497" s="32"/>
      <c r="V1497" s="32"/>
      <c r="W1497" s="32"/>
      <c r="X1497" s="32"/>
      <c r="Y1497" s="32"/>
      <c r="Z1497" s="32"/>
      <c r="AA1497" s="32"/>
      <c r="AB1497" s="32"/>
      <c r="AC1497" s="32"/>
      <c r="AD1497" s="32"/>
      <c r="AE1497" s="32"/>
      <c r="AF1497" s="32"/>
      <c r="AG1497" s="32"/>
      <c r="AH1497" s="32" t="b">
        <f>IFERROR(__xludf.DUMMYFUNCTION("""COMPUTED_VALUE"""),FALSE)</f>
        <v>0</v>
      </c>
      <c r="AI1497" s="32"/>
      <c r="AJ1497" s="32"/>
      <c r="AK1497" s="32"/>
      <c r="AL1497" s="32"/>
      <c r="AM1497" s="32"/>
      <c r="AN1497" s="32"/>
      <c r="AO1497" s="32"/>
      <c r="AP1497" s="32"/>
      <c r="AQ1497" s="32"/>
      <c r="AR1497" s="32"/>
      <c r="AS1497" s="32"/>
      <c r="AT1497" s="32"/>
      <c r="AU1497" s="32"/>
      <c r="AV1497" s="32"/>
      <c r="AW1497" s="32"/>
      <c r="AX1497" s="32"/>
    </row>
    <row r="1498">
      <c r="A1498" s="32"/>
      <c r="B1498" s="32"/>
      <c r="C1498" s="32"/>
      <c r="D1498" s="32"/>
      <c r="E1498" s="32">
        <f>IFERROR(__xludf.DUMMYFUNCTION("""COMPUTED_VALUE"""),1.0)</f>
        <v>1</v>
      </c>
      <c r="F1498" s="44">
        <f>IFERROR(__xludf.DUMMYFUNCTION("""COMPUTED_VALUE"""),0.0)</f>
        <v>0</v>
      </c>
      <c r="G1498" s="32"/>
      <c r="H1498" s="32"/>
      <c r="I1498" s="32"/>
      <c r="J1498" s="32"/>
      <c r="K1498" s="32"/>
      <c r="L1498" s="32"/>
      <c r="M1498" s="32"/>
      <c r="N1498" s="32"/>
      <c r="O1498" s="32"/>
      <c r="P1498" s="32"/>
      <c r="Q1498" s="32"/>
      <c r="R1498" s="32"/>
      <c r="S1498" s="32"/>
      <c r="T1498" s="32"/>
      <c r="U1498" s="32"/>
      <c r="V1498" s="32"/>
      <c r="W1498" s="32"/>
      <c r="X1498" s="32"/>
      <c r="Y1498" s="32"/>
      <c r="Z1498" s="32"/>
      <c r="AA1498" s="32"/>
      <c r="AB1498" s="32"/>
      <c r="AC1498" s="32"/>
      <c r="AD1498" s="32"/>
      <c r="AE1498" s="32"/>
      <c r="AF1498" s="32"/>
      <c r="AG1498" s="32"/>
      <c r="AH1498" s="32" t="b">
        <f>IFERROR(__xludf.DUMMYFUNCTION("""COMPUTED_VALUE"""),FALSE)</f>
        <v>0</v>
      </c>
      <c r="AI1498" s="32"/>
      <c r="AJ1498" s="32"/>
      <c r="AK1498" s="32"/>
      <c r="AL1498" s="32"/>
      <c r="AM1498" s="32"/>
      <c r="AN1498" s="32"/>
      <c r="AO1498" s="32"/>
      <c r="AP1498" s="32"/>
      <c r="AQ1498" s="32"/>
      <c r="AR1498" s="32"/>
      <c r="AS1498" s="32"/>
      <c r="AT1498" s="32"/>
      <c r="AU1498" s="32"/>
      <c r="AV1498" s="32"/>
      <c r="AW1498" s="32"/>
      <c r="AX1498" s="32"/>
    </row>
    <row r="1499">
      <c r="A1499" s="32"/>
      <c r="B1499" s="32"/>
      <c r="C1499" s="32"/>
      <c r="D1499" s="32"/>
      <c r="E1499" s="32">
        <f>IFERROR(__xludf.DUMMYFUNCTION("""COMPUTED_VALUE"""),1.0)</f>
        <v>1</v>
      </c>
      <c r="F1499" s="44">
        <f>IFERROR(__xludf.DUMMYFUNCTION("""COMPUTED_VALUE"""),0.0)</f>
        <v>0</v>
      </c>
      <c r="G1499" s="32"/>
      <c r="H1499" s="32"/>
      <c r="I1499" s="32"/>
      <c r="J1499" s="32"/>
      <c r="K1499" s="32"/>
      <c r="L1499" s="32"/>
      <c r="M1499" s="32"/>
      <c r="N1499" s="32"/>
      <c r="O1499" s="32"/>
      <c r="P1499" s="32"/>
      <c r="Q1499" s="32"/>
      <c r="R1499" s="32"/>
      <c r="S1499" s="32"/>
      <c r="T1499" s="32"/>
      <c r="U1499" s="32"/>
      <c r="V1499" s="32"/>
      <c r="W1499" s="32"/>
      <c r="X1499" s="32"/>
      <c r="Y1499" s="32"/>
      <c r="Z1499" s="32"/>
      <c r="AA1499" s="32"/>
      <c r="AB1499" s="32"/>
      <c r="AC1499" s="32"/>
      <c r="AD1499" s="32"/>
      <c r="AE1499" s="32"/>
      <c r="AF1499" s="32"/>
      <c r="AG1499" s="32"/>
      <c r="AH1499" s="32" t="b">
        <f>IFERROR(__xludf.DUMMYFUNCTION("""COMPUTED_VALUE"""),FALSE)</f>
        <v>0</v>
      </c>
      <c r="AI1499" s="32"/>
      <c r="AJ1499" s="32"/>
      <c r="AK1499" s="32"/>
      <c r="AL1499" s="32"/>
      <c r="AM1499" s="32"/>
      <c r="AN1499" s="32"/>
      <c r="AO1499" s="32"/>
      <c r="AP1499" s="32"/>
      <c r="AQ1499" s="32"/>
      <c r="AR1499" s="32"/>
      <c r="AS1499" s="32"/>
      <c r="AT1499" s="32"/>
      <c r="AU1499" s="32"/>
      <c r="AV1499" s="32"/>
      <c r="AW1499" s="32"/>
      <c r="AX1499" s="32"/>
    </row>
    <row r="1500">
      <c r="A1500" s="32"/>
      <c r="B1500" s="32"/>
      <c r="C1500" s="32"/>
      <c r="D1500" s="32"/>
      <c r="E1500" s="32">
        <f>IFERROR(__xludf.DUMMYFUNCTION("""COMPUTED_VALUE"""),1.0)</f>
        <v>1</v>
      </c>
      <c r="F1500" s="44">
        <f>IFERROR(__xludf.DUMMYFUNCTION("""COMPUTED_VALUE"""),0.0)</f>
        <v>0</v>
      </c>
      <c r="G1500" s="32"/>
      <c r="H1500" s="32"/>
      <c r="I1500" s="32"/>
      <c r="J1500" s="32"/>
      <c r="K1500" s="32"/>
      <c r="L1500" s="32"/>
      <c r="M1500" s="32"/>
      <c r="N1500" s="32"/>
      <c r="O1500" s="32"/>
      <c r="P1500" s="32"/>
      <c r="Q1500" s="32"/>
      <c r="R1500" s="32"/>
      <c r="S1500" s="32"/>
      <c r="T1500" s="32"/>
      <c r="U1500" s="32"/>
      <c r="V1500" s="32"/>
      <c r="W1500" s="32"/>
      <c r="X1500" s="32"/>
      <c r="Y1500" s="32"/>
      <c r="Z1500" s="32"/>
      <c r="AA1500" s="32"/>
      <c r="AB1500" s="32"/>
      <c r="AC1500" s="32"/>
      <c r="AD1500" s="32"/>
      <c r="AE1500" s="32"/>
      <c r="AF1500" s="32"/>
      <c r="AG1500" s="32"/>
      <c r="AH1500" s="32" t="b">
        <f>IFERROR(__xludf.DUMMYFUNCTION("""COMPUTED_VALUE"""),FALSE)</f>
        <v>0</v>
      </c>
      <c r="AI1500" s="32"/>
      <c r="AJ1500" s="32"/>
      <c r="AK1500" s="32"/>
      <c r="AL1500" s="32"/>
      <c r="AM1500" s="32"/>
      <c r="AN1500" s="32"/>
      <c r="AO1500" s="32"/>
      <c r="AP1500" s="32"/>
      <c r="AQ1500" s="32"/>
      <c r="AR1500" s="32"/>
      <c r="AS1500" s="32"/>
      <c r="AT1500" s="32"/>
      <c r="AU1500" s="32"/>
      <c r="AV1500" s="32"/>
      <c r="AW1500" s="32"/>
      <c r="AX1500" s="32"/>
    </row>
    <row r="1501">
      <c r="A1501" s="32"/>
      <c r="B1501" s="32"/>
      <c r="C1501" s="32"/>
      <c r="D1501" s="32"/>
      <c r="E1501" s="32">
        <f>IFERROR(__xludf.DUMMYFUNCTION("""COMPUTED_VALUE"""),1.0)</f>
        <v>1</v>
      </c>
      <c r="F1501" s="44">
        <f>IFERROR(__xludf.DUMMYFUNCTION("""COMPUTED_VALUE"""),0.0)</f>
        <v>0</v>
      </c>
      <c r="G1501" s="32"/>
      <c r="H1501" s="32"/>
      <c r="I1501" s="32"/>
      <c r="J1501" s="32"/>
      <c r="K1501" s="32"/>
      <c r="L1501" s="32"/>
      <c r="M1501" s="32"/>
      <c r="N1501" s="32"/>
      <c r="O1501" s="32"/>
      <c r="P1501" s="32"/>
      <c r="Q1501" s="32"/>
      <c r="R1501" s="32"/>
      <c r="S1501" s="32"/>
      <c r="T1501" s="32"/>
      <c r="U1501" s="32"/>
      <c r="V1501" s="32"/>
      <c r="W1501" s="32"/>
      <c r="X1501" s="32"/>
      <c r="Y1501" s="32"/>
      <c r="Z1501" s="32"/>
      <c r="AA1501" s="32"/>
      <c r="AB1501" s="32"/>
      <c r="AC1501" s="32"/>
      <c r="AD1501" s="32"/>
      <c r="AE1501" s="32"/>
      <c r="AF1501" s="32"/>
      <c r="AG1501" s="32"/>
      <c r="AH1501" s="32" t="b">
        <f>IFERROR(__xludf.DUMMYFUNCTION("""COMPUTED_VALUE"""),FALSE)</f>
        <v>0</v>
      </c>
      <c r="AI1501" s="32"/>
      <c r="AJ1501" s="32"/>
      <c r="AK1501" s="32"/>
      <c r="AL1501" s="32"/>
      <c r="AM1501" s="32"/>
      <c r="AN1501" s="32"/>
      <c r="AO1501" s="32"/>
      <c r="AP1501" s="32"/>
      <c r="AQ1501" s="32"/>
      <c r="AR1501" s="32"/>
      <c r="AS1501" s="32"/>
      <c r="AT1501" s="32"/>
      <c r="AU1501" s="32"/>
      <c r="AV1501" s="32"/>
      <c r="AW1501" s="32"/>
      <c r="AX1501" s="32"/>
    </row>
    <row r="1502">
      <c r="A1502" s="32"/>
      <c r="B1502" s="32"/>
      <c r="C1502" s="32"/>
      <c r="D1502" s="32"/>
      <c r="E1502" s="32">
        <f>IFERROR(__xludf.DUMMYFUNCTION("""COMPUTED_VALUE"""),1.0)</f>
        <v>1</v>
      </c>
      <c r="F1502" s="44">
        <f>IFERROR(__xludf.DUMMYFUNCTION("""COMPUTED_VALUE"""),0.0)</f>
        <v>0</v>
      </c>
      <c r="G1502" s="32"/>
      <c r="H1502" s="32"/>
      <c r="I1502" s="32"/>
      <c r="J1502" s="32"/>
      <c r="K1502" s="32"/>
      <c r="L1502" s="32"/>
      <c r="M1502" s="32"/>
      <c r="N1502" s="32"/>
      <c r="O1502" s="32"/>
      <c r="P1502" s="32"/>
      <c r="Q1502" s="32"/>
      <c r="R1502" s="32"/>
      <c r="S1502" s="32"/>
      <c r="T1502" s="32"/>
      <c r="U1502" s="32"/>
      <c r="V1502" s="32"/>
      <c r="W1502" s="32"/>
      <c r="X1502" s="32"/>
      <c r="Y1502" s="32"/>
      <c r="Z1502" s="32"/>
      <c r="AA1502" s="32"/>
      <c r="AB1502" s="32"/>
      <c r="AC1502" s="32"/>
      <c r="AD1502" s="32"/>
      <c r="AE1502" s="32"/>
      <c r="AF1502" s="32"/>
      <c r="AG1502" s="32"/>
      <c r="AH1502" s="32" t="b">
        <f>IFERROR(__xludf.DUMMYFUNCTION("""COMPUTED_VALUE"""),FALSE)</f>
        <v>0</v>
      </c>
      <c r="AI1502" s="32"/>
      <c r="AJ1502" s="32"/>
      <c r="AK1502" s="32"/>
      <c r="AL1502" s="32"/>
      <c r="AM1502" s="32"/>
      <c r="AN1502" s="32"/>
      <c r="AO1502" s="32"/>
      <c r="AP1502" s="32"/>
      <c r="AQ1502" s="32"/>
      <c r="AR1502" s="32"/>
      <c r="AS1502" s="32"/>
      <c r="AT1502" s="32"/>
      <c r="AU1502" s="32"/>
      <c r="AV1502" s="32"/>
      <c r="AW1502" s="32"/>
      <c r="AX1502" s="32"/>
    </row>
    <row r="1503">
      <c r="A1503" s="32"/>
      <c r="B1503" s="32"/>
      <c r="C1503" s="32"/>
      <c r="D1503" s="32"/>
      <c r="E1503" s="32">
        <f>IFERROR(__xludf.DUMMYFUNCTION("""COMPUTED_VALUE"""),1.0)</f>
        <v>1</v>
      </c>
      <c r="F1503" s="44">
        <f>IFERROR(__xludf.DUMMYFUNCTION("""COMPUTED_VALUE"""),0.0)</f>
        <v>0</v>
      </c>
      <c r="G1503" s="32"/>
      <c r="H1503" s="32"/>
      <c r="I1503" s="32"/>
      <c r="J1503" s="32"/>
      <c r="K1503" s="32"/>
      <c r="L1503" s="32"/>
      <c r="M1503" s="32"/>
      <c r="N1503" s="32"/>
      <c r="O1503" s="32"/>
      <c r="P1503" s="32"/>
      <c r="Q1503" s="32"/>
      <c r="R1503" s="32"/>
      <c r="S1503" s="32"/>
      <c r="T1503" s="32"/>
      <c r="U1503" s="32"/>
      <c r="V1503" s="32"/>
      <c r="W1503" s="32"/>
      <c r="X1503" s="32"/>
      <c r="Y1503" s="32"/>
      <c r="Z1503" s="32"/>
      <c r="AA1503" s="32"/>
      <c r="AB1503" s="32"/>
      <c r="AC1503" s="32"/>
      <c r="AD1503" s="32"/>
      <c r="AE1503" s="32"/>
      <c r="AF1503" s="32"/>
      <c r="AG1503" s="32"/>
      <c r="AH1503" s="32" t="b">
        <f>IFERROR(__xludf.DUMMYFUNCTION("""COMPUTED_VALUE"""),FALSE)</f>
        <v>0</v>
      </c>
      <c r="AI1503" s="32"/>
      <c r="AJ1503" s="32"/>
      <c r="AK1503" s="32"/>
      <c r="AL1503" s="32"/>
      <c r="AM1503" s="32"/>
      <c r="AN1503" s="32"/>
      <c r="AO1503" s="32"/>
      <c r="AP1503" s="32"/>
      <c r="AQ1503" s="32"/>
      <c r="AR1503" s="32"/>
      <c r="AS1503" s="32"/>
      <c r="AT1503" s="32"/>
      <c r="AU1503" s="32"/>
      <c r="AV1503" s="32"/>
      <c r="AW1503" s="32"/>
      <c r="AX1503" s="32"/>
    </row>
    <row r="1504">
      <c r="A1504" s="32"/>
      <c r="B1504" s="32"/>
      <c r="C1504" s="32"/>
      <c r="D1504" s="32"/>
      <c r="E1504" s="32">
        <f>IFERROR(__xludf.DUMMYFUNCTION("""COMPUTED_VALUE"""),1.0)</f>
        <v>1</v>
      </c>
      <c r="F1504" s="44">
        <f>IFERROR(__xludf.DUMMYFUNCTION("""COMPUTED_VALUE"""),0.0)</f>
        <v>0</v>
      </c>
      <c r="G1504" s="32"/>
      <c r="H1504" s="32"/>
      <c r="I1504" s="32"/>
      <c r="J1504" s="32"/>
      <c r="K1504" s="32"/>
      <c r="L1504" s="32"/>
      <c r="M1504" s="32"/>
      <c r="N1504" s="32"/>
      <c r="O1504" s="32"/>
      <c r="P1504" s="32"/>
      <c r="Q1504" s="32"/>
      <c r="R1504" s="32"/>
      <c r="S1504" s="32"/>
      <c r="T1504" s="32"/>
      <c r="U1504" s="32"/>
      <c r="V1504" s="32"/>
      <c r="W1504" s="32"/>
      <c r="X1504" s="32"/>
      <c r="Y1504" s="32"/>
      <c r="Z1504" s="32"/>
      <c r="AA1504" s="32"/>
      <c r="AB1504" s="32"/>
      <c r="AC1504" s="32"/>
      <c r="AD1504" s="32"/>
      <c r="AE1504" s="32"/>
      <c r="AF1504" s="32"/>
      <c r="AG1504" s="32"/>
      <c r="AH1504" s="32" t="b">
        <f>IFERROR(__xludf.DUMMYFUNCTION("""COMPUTED_VALUE"""),FALSE)</f>
        <v>0</v>
      </c>
      <c r="AI1504" s="32"/>
      <c r="AJ1504" s="32"/>
      <c r="AK1504" s="32"/>
      <c r="AL1504" s="32"/>
      <c r="AM1504" s="32"/>
      <c r="AN1504" s="32"/>
      <c r="AO1504" s="32"/>
      <c r="AP1504" s="32"/>
      <c r="AQ1504" s="32"/>
      <c r="AR1504" s="32"/>
      <c r="AS1504" s="32"/>
      <c r="AT1504" s="32"/>
      <c r="AU1504" s="32"/>
      <c r="AV1504" s="32"/>
      <c r="AW1504" s="32"/>
      <c r="AX1504" s="32"/>
    </row>
    <row r="1505">
      <c r="A1505" s="32"/>
      <c r="B1505" s="32"/>
      <c r="C1505" s="32"/>
      <c r="D1505" s="32"/>
      <c r="E1505" s="32">
        <f>IFERROR(__xludf.DUMMYFUNCTION("""COMPUTED_VALUE"""),1.0)</f>
        <v>1</v>
      </c>
      <c r="F1505" s="44">
        <f>IFERROR(__xludf.DUMMYFUNCTION("""COMPUTED_VALUE"""),0.0)</f>
        <v>0</v>
      </c>
      <c r="G1505" s="32"/>
      <c r="H1505" s="32"/>
      <c r="I1505" s="32"/>
      <c r="J1505" s="32"/>
      <c r="K1505" s="32"/>
      <c r="L1505" s="32"/>
      <c r="M1505" s="32"/>
      <c r="N1505" s="32"/>
      <c r="O1505" s="32"/>
      <c r="P1505" s="32"/>
      <c r="Q1505" s="32"/>
      <c r="R1505" s="32"/>
      <c r="S1505" s="32"/>
      <c r="T1505" s="32"/>
      <c r="U1505" s="32"/>
      <c r="V1505" s="32"/>
      <c r="W1505" s="32"/>
      <c r="X1505" s="32"/>
      <c r="Y1505" s="32"/>
      <c r="Z1505" s="32"/>
      <c r="AA1505" s="32"/>
      <c r="AB1505" s="32"/>
      <c r="AC1505" s="32"/>
      <c r="AD1505" s="32"/>
      <c r="AE1505" s="32"/>
      <c r="AF1505" s="32"/>
      <c r="AG1505" s="32"/>
      <c r="AH1505" s="32" t="b">
        <f>IFERROR(__xludf.DUMMYFUNCTION("""COMPUTED_VALUE"""),FALSE)</f>
        <v>0</v>
      </c>
      <c r="AI1505" s="32"/>
      <c r="AJ1505" s="32"/>
      <c r="AK1505" s="32"/>
      <c r="AL1505" s="32"/>
      <c r="AM1505" s="32"/>
      <c r="AN1505" s="32"/>
      <c r="AO1505" s="32"/>
      <c r="AP1505" s="32"/>
      <c r="AQ1505" s="32"/>
      <c r="AR1505" s="32"/>
      <c r="AS1505" s="32"/>
      <c r="AT1505" s="32"/>
      <c r="AU1505" s="32"/>
      <c r="AV1505" s="32"/>
      <c r="AW1505" s="32"/>
      <c r="AX1505" s="32"/>
    </row>
    <row r="1506">
      <c r="A1506" s="32"/>
      <c r="B1506" s="32"/>
      <c r="C1506" s="32"/>
      <c r="D1506" s="32"/>
      <c r="E1506" s="32">
        <f>IFERROR(__xludf.DUMMYFUNCTION("""COMPUTED_VALUE"""),1.0)</f>
        <v>1</v>
      </c>
      <c r="F1506" s="44">
        <f>IFERROR(__xludf.DUMMYFUNCTION("""COMPUTED_VALUE"""),0.0)</f>
        <v>0</v>
      </c>
      <c r="G1506" s="32"/>
      <c r="H1506" s="32"/>
      <c r="I1506" s="32"/>
      <c r="J1506" s="32"/>
      <c r="K1506" s="32"/>
      <c r="L1506" s="32"/>
      <c r="M1506" s="32"/>
      <c r="N1506" s="32"/>
      <c r="O1506" s="32"/>
      <c r="P1506" s="32"/>
      <c r="Q1506" s="32"/>
      <c r="R1506" s="32"/>
      <c r="S1506" s="32"/>
      <c r="T1506" s="32"/>
      <c r="U1506" s="32"/>
      <c r="V1506" s="32"/>
      <c r="W1506" s="32"/>
      <c r="X1506" s="32"/>
      <c r="Y1506" s="32"/>
      <c r="Z1506" s="32"/>
      <c r="AA1506" s="32"/>
      <c r="AB1506" s="32"/>
      <c r="AC1506" s="32"/>
      <c r="AD1506" s="32"/>
      <c r="AE1506" s="32"/>
      <c r="AF1506" s="32"/>
      <c r="AG1506" s="32"/>
      <c r="AH1506" s="32" t="b">
        <f>IFERROR(__xludf.DUMMYFUNCTION("""COMPUTED_VALUE"""),FALSE)</f>
        <v>0</v>
      </c>
      <c r="AI1506" s="32"/>
      <c r="AJ1506" s="32"/>
      <c r="AK1506" s="32"/>
      <c r="AL1506" s="32"/>
      <c r="AM1506" s="32"/>
      <c r="AN1506" s="32"/>
      <c r="AO1506" s="32"/>
      <c r="AP1506" s="32"/>
      <c r="AQ1506" s="32"/>
      <c r="AR1506" s="32"/>
      <c r="AS1506" s="32"/>
      <c r="AT1506" s="32"/>
      <c r="AU1506" s="32"/>
      <c r="AV1506" s="32"/>
      <c r="AW1506" s="32"/>
      <c r="AX1506" s="32"/>
    </row>
    <row r="1507">
      <c r="A1507" s="32"/>
      <c r="B1507" s="32"/>
      <c r="C1507" s="32"/>
      <c r="D1507" s="32"/>
      <c r="E1507" s="32">
        <f>IFERROR(__xludf.DUMMYFUNCTION("""COMPUTED_VALUE"""),1.0)</f>
        <v>1</v>
      </c>
      <c r="F1507" s="44">
        <f>IFERROR(__xludf.DUMMYFUNCTION("""COMPUTED_VALUE"""),0.0)</f>
        <v>0</v>
      </c>
      <c r="G1507" s="32"/>
      <c r="H1507" s="32"/>
      <c r="I1507" s="32"/>
      <c r="J1507" s="32"/>
      <c r="K1507" s="32"/>
      <c r="L1507" s="32"/>
      <c r="M1507" s="32"/>
      <c r="N1507" s="32"/>
      <c r="O1507" s="32"/>
      <c r="P1507" s="32"/>
      <c r="Q1507" s="32"/>
      <c r="R1507" s="32"/>
      <c r="S1507" s="32"/>
      <c r="T1507" s="32"/>
      <c r="U1507" s="32"/>
      <c r="V1507" s="32"/>
      <c r="W1507" s="32"/>
      <c r="X1507" s="32"/>
      <c r="Y1507" s="32"/>
      <c r="Z1507" s="32"/>
      <c r="AA1507" s="32"/>
      <c r="AB1507" s="32"/>
      <c r="AC1507" s="32"/>
      <c r="AD1507" s="32"/>
      <c r="AE1507" s="32"/>
      <c r="AF1507" s="32"/>
      <c r="AG1507" s="32"/>
      <c r="AH1507" s="32" t="b">
        <f>IFERROR(__xludf.DUMMYFUNCTION("""COMPUTED_VALUE"""),FALSE)</f>
        <v>0</v>
      </c>
      <c r="AI1507" s="32"/>
      <c r="AJ1507" s="32"/>
      <c r="AK1507" s="32"/>
      <c r="AL1507" s="32"/>
      <c r="AM1507" s="32"/>
      <c r="AN1507" s="32"/>
      <c r="AO1507" s="32"/>
      <c r="AP1507" s="32"/>
      <c r="AQ1507" s="32"/>
      <c r="AR1507" s="32"/>
      <c r="AS1507" s="32"/>
      <c r="AT1507" s="32"/>
      <c r="AU1507" s="32"/>
      <c r="AV1507" s="32"/>
      <c r="AW1507" s="32"/>
      <c r="AX1507" s="32"/>
    </row>
    <row r="1508">
      <c r="A1508" s="32"/>
      <c r="B1508" s="32"/>
      <c r="C1508" s="32"/>
      <c r="D1508" s="32"/>
      <c r="E1508" s="32">
        <f>IFERROR(__xludf.DUMMYFUNCTION("""COMPUTED_VALUE"""),1.0)</f>
        <v>1</v>
      </c>
      <c r="F1508" s="44">
        <f>IFERROR(__xludf.DUMMYFUNCTION("""COMPUTED_VALUE"""),0.0)</f>
        <v>0</v>
      </c>
      <c r="G1508" s="32"/>
      <c r="H1508" s="32"/>
      <c r="I1508" s="32"/>
      <c r="J1508" s="32"/>
      <c r="K1508" s="32"/>
      <c r="L1508" s="32"/>
      <c r="M1508" s="32"/>
      <c r="N1508" s="32"/>
      <c r="O1508" s="32"/>
      <c r="P1508" s="32"/>
      <c r="Q1508" s="32"/>
      <c r="R1508" s="32"/>
      <c r="S1508" s="32"/>
      <c r="T1508" s="32"/>
      <c r="U1508" s="32"/>
      <c r="V1508" s="32"/>
      <c r="W1508" s="32"/>
      <c r="X1508" s="32"/>
      <c r="Y1508" s="32"/>
      <c r="Z1508" s="32"/>
      <c r="AA1508" s="32"/>
      <c r="AB1508" s="32"/>
      <c r="AC1508" s="32"/>
      <c r="AD1508" s="32"/>
      <c r="AE1508" s="32"/>
      <c r="AF1508" s="32"/>
      <c r="AG1508" s="32"/>
      <c r="AH1508" s="32" t="b">
        <f>IFERROR(__xludf.DUMMYFUNCTION("""COMPUTED_VALUE"""),FALSE)</f>
        <v>0</v>
      </c>
      <c r="AI1508" s="32"/>
      <c r="AJ1508" s="32"/>
      <c r="AK1508" s="32"/>
      <c r="AL1508" s="32"/>
      <c r="AM1508" s="32"/>
      <c r="AN1508" s="32"/>
      <c r="AO1508" s="32"/>
      <c r="AP1508" s="32"/>
      <c r="AQ1508" s="32"/>
      <c r="AR1508" s="32"/>
      <c r="AS1508" s="32"/>
      <c r="AT1508" s="32"/>
      <c r="AU1508" s="32"/>
      <c r="AV1508" s="32"/>
      <c r="AW1508" s="32"/>
      <c r="AX1508" s="32"/>
    </row>
    <row r="1509">
      <c r="A1509" s="32"/>
      <c r="B1509" s="32"/>
      <c r="C1509" s="32"/>
      <c r="D1509" s="32"/>
      <c r="E1509" s="32">
        <f>IFERROR(__xludf.DUMMYFUNCTION("""COMPUTED_VALUE"""),1.0)</f>
        <v>1</v>
      </c>
      <c r="F1509" s="44">
        <f>IFERROR(__xludf.DUMMYFUNCTION("""COMPUTED_VALUE"""),0.0)</f>
        <v>0</v>
      </c>
      <c r="G1509" s="32"/>
      <c r="H1509" s="32"/>
      <c r="I1509" s="32"/>
      <c r="J1509" s="32"/>
      <c r="K1509" s="32"/>
      <c r="L1509" s="32"/>
      <c r="M1509" s="32"/>
      <c r="N1509" s="32"/>
      <c r="O1509" s="32"/>
      <c r="P1509" s="32"/>
      <c r="Q1509" s="32"/>
      <c r="R1509" s="32"/>
      <c r="S1509" s="32"/>
      <c r="T1509" s="32"/>
      <c r="U1509" s="32"/>
      <c r="V1509" s="32"/>
      <c r="W1509" s="32"/>
      <c r="X1509" s="32"/>
      <c r="Y1509" s="32"/>
      <c r="Z1509" s="32"/>
      <c r="AA1509" s="32"/>
      <c r="AB1509" s="32"/>
      <c r="AC1509" s="32"/>
      <c r="AD1509" s="32"/>
      <c r="AE1509" s="32"/>
      <c r="AF1509" s="32"/>
      <c r="AG1509" s="32"/>
      <c r="AH1509" s="32" t="b">
        <f>IFERROR(__xludf.DUMMYFUNCTION("""COMPUTED_VALUE"""),FALSE)</f>
        <v>0</v>
      </c>
      <c r="AI1509" s="32"/>
      <c r="AJ1509" s="32"/>
      <c r="AK1509" s="32"/>
      <c r="AL1509" s="32"/>
      <c r="AM1509" s="32"/>
      <c r="AN1509" s="32"/>
      <c r="AO1509" s="32"/>
      <c r="AP1509" s="32"/>
      <c r="AQ1509" s="32"/>
      <c r="AR1509" s="32"/>
      <c r="AS1509" s="32"/>
      <c r="AT1509" s="32"/>
      <c r="AU1509" s="32"/>
      <c r="AV1509" s="32"/>
      <c r="AW1509" s="32"/>
      <c r="AX1509" s="32"/>
    </row>
    <row r="1510">
      <c r="A1510" s="32"/>
      <c r="B1510" s="32"/>
      <c r="C1510" s="32"/>
      <c r="D1510" s="32"/>
      <c r="E1510" s="32">
        <f>IFERROR(__xludf.DUMMYFUNCTION("""COMPUTED_VALUE"""),1.0)</f>
        <v>1</v>
      </c>
      <c r="F1510" s="44">
        <f>IFERROR(__xludf.DUMMYFUNCTION("""COMPUTED_VALUE"""),0.0)</f>
        <v>0</v>
      </c>
      <c r="G1510" s="32"/>
      <c r="H1510" s="32"/>
      <c r="I1510" s="32"/>
      <c r="J1510" s="32"/>
      <c r="K1510" s="32"/>
      <c r="L1510" s="32"/>
      <c r="M1510" s="32"/>
      <c r="N1510" s="32"/>
      <c r="O1510" s="32"/>
      <c r="P1510" s="32"/>
      <c r="Q1510" s="32"/>
      <c r="R1510" s="32"/>
      <c r="S1510" s="32"/>
      <c r="T1510" s="32"/>
      <c r="U1510" s="32"/>
      <c r="V1510" s="32"/>
      <c r="W1510" s="32"/>
      <c r="X1510" s="32"/>
      <c r="Y1510" s="32"/>
      <c r="Z1510" s="32"/>
      <c r="AA1510" s="32"/>
      <c r="AB1510" s="32"/>
      <c r="AC1510" s="32"/>
      <c r="AD1510" s="32"/>
      <c r="AE1510" s="32"/>
      <c r="AF1510" s="32"/>
      <c r="AG1510" s="32"/>
      <c r="AH1510" s="32" t="b">
        <f>IFERROR(__xludf.DUMMYFUNCTION("""COMPUTED_VALUE"""),FALSE)</f>
        <v>0</v>
      </c>
      <c r="AI1510" s="32"/>
      <c r="AJ1510" s="32"/>
      <c r="AK1510" s="32"/>
      <c r="AL1510" s="32"/>
      <c r="AM1510" s="32"/>
      <c r="AN1510" s="32"/>
      <c r="AO1510" s="32"/>
      <c r="AP1510" s="32"/>
      <c r="AQ1510" s="32"/>
      <c r="AR1510" s="32"/>
      <c r="AS1510" s="32"/>
      <c r="AT1510" s="32"/>
      <c r="AU1510" s="32"/>
      <c r="AV1510" s="32"/>
      <c r="AW1510" s="32"/>
      <c r="AX1510" s="32"/>
    </row>
    <row r="1511">
      <c r="A1511" s="32"/>
      <c r="B1511" s="32"/>
      <c r="C1511" s="32"/>
      <c r="D1511" s="32"/>
      <c r="E1511" s="32">
        <f>IFERROR(__xludf.DUMMYFUNCTION("""COMPUTED_VALUE"""),1.0)</f>
        <v>1</v>
      </c>
      <c r="F1511" s="44">
        <f>IFERROR(__xludf.DUMMYFUNCTION("""COMPUTED_VALUE"""),0.0)</f>
        <v>0</v>
      </c>
      <c r="G1511" s="32"/>
      <c r="H1511" s="32"/>
      <c r="I1511" s="32"/>
      <c r="J1511" s="32"/>
      <c r="K1511" s="32"/>
      <c r="L1511" s="32"/>
      <c r="M1511" s="32"/>
      <c r="N1511" s="32"/>
      <c r="O1511" s="32"/>
      <c r="P1511" s="32"/>
      <c r="Q1511" s="32"/>
      <c r="R1511" s="32"/>
      <c r="S1511" s="32"/>
      <c r="T1511" s="32"/>
      <c r="U1511" s="32"/>
      <c r="V1511" s="32"/>
      <c r="W1511" s="32"/>
      <c r="X1511" s="32"/>
      <c r="Y1511" s="32"/>
      <c r="Z1511" s="32"/>
      <c r="AA1511" s="32"/>
      <c r="AB1511" s="32"/>
      <c r="AC1511" s="32"/>
      <c r="AD1511" s="32"/>
      <c r="AE1511" s="32"/>
      <c r="AF1511" s="32"/>
      <c r="AG1511" s="32"/>
      <c r="AH1511" s="32" t="b">
        <f>IFERROR(__xludf.DUMMYFUNCTION("""COMPUTED_VALUE"""),FALSE)</f>
        <v>0</v>
      </c>
      <c r="AI1511" s="32"/>
      <c r="AJ1511" s="32"/>
      <c r="AK1511" s="32"/>
      <c r="AL1511" s="32"/>
      <c r="AM1511" s="32"/>
      <c r="AN1511" s="32"/>
      <c r="AO1511" s="32"/>
      <c r="AP1511" s="32"/>
      <c r="AQ1511" s="32"/>
      <c r="AR1511" s="32"/>
      <c r="AS1511" s="32"/>
      <c r="AT1511" s="32"/>
      <c r="AU1511" s="32"/>
      <c r="AV1511" s="32"/>
      <c r="AW1511" s="32"/>
      <c r="AX1511" s="32"/>
    </row>
    <row r="1512">
      <c r="A1512" s="32"/>
      <c r="B1512" s="32"/>
      <c r="C1512" s="32"/>
      <c r="D1512" s="32"/>
      <c r="E1512" s="32">
        <f>IFERROR(__xludf.DUMMYFUNCTION("""COMPUTED_VALUE"""),1.0)</f>
        <v>1</v>
      </c>
      <c r="F1512" s="44">
        <f>IFERROR(__xludf.DUMMYFUNCTION("""COMPUTED_VALUE"""),0.0)</f>
        <v>0</v>
      </c>
      <c r="G1512" s="32"/>
      <c r="H1512" s="32"/>
      <c r="I1512" s="32"/>
      <c r="J1512" s="32"/>
      <c r="K1512" s="32"/>
      <c r="L1512" s="32"/>
      <c r="M1512" s="32"/>
      <c r="N1512" s="32"/>
      <c r="O1512" s="32"/>
      <c r="P1512" s="32"/>
      <c r="Q1512" s="32"/>
      <c r="R1512" s="32"/>
      <c r="S1512" s="32"/>
      <c r="T1512" s="32"/>
      <c r="U1512" s="32"/>
      <c r="V1512" s="32"/>
      <c r="W1512" s="32"/>
      <c r="X1512" s="32"/>
      <c r="Y1512" s="32"/>
      <c r="Z1512" s="32"/>
      <c r="AA1512" s="32"/>
      <c r="AB1512" s="32"/>
      <c r="AC1512" s="32"/>
      <c r="AD1512" s="32"/>
      <c r="AE1512" s="32"/>
      <c r="AF1512" s="32"/>
      <c r="AG1512" s="32"/>
      <c r="AH1512" s="32" t="b">
        <f>IFERROR(__xludf.DUMMYFUNCTION("""COMPUTED_VALUE"""),FALSE)</f>
        <v>0</v>
      </c>
      <c r="AI1512" s="32"/>
      <c r="AJ1512" s="32"/>
      <c r="AK1512" s="32"/>
      <c r="AL1512" s="32"/>
      <c r="AM1512" s="32"/>
      <c r="AN1512" s="32"/>
      <c r="AO1512" s="32"/>
      <c r="AP1512" s="32"/>
      <c r="AQ1512" s="32"/>
      <c r="AR1512" s="32"/>
      <c r="AS1512" s="32"/>
      <c r="AT1512" s="32"/>
      <c r="AU1512" s="32"/>
      <c r="AV1512" s="32"/>
      <c r="AW1512" s="32"/>
      <c r="AX1512" s="32"/>
    </row>
    <row r="1513">
      <c r="A1513" s="32"/>
      <c r="B1513" s="32"/>
      <c r="C1513" s="32"/>
      <c r="D1513" s="32"/>
      <c r="E1513" s="32">
        <f>IFERROR(__xludf.DUMMYFUNCTION("""COMPUTED_VALUE"""),1.0)</f>
        <v>1</v>
      </c>
      <c r="F1513" s="44">
        <f>IFERROR(__xludf.DUMMYFUNCTION("""COMPUTED_VALUE"""),0.0)</f>
        <v>0</v>
      </c>
      <c r="G1513" s="32"/>
      <c r="H1513" s="32"/>
      <c r="I1513" s="32"/>
      <c r="J1513" s="32"/>
      <c r="K1513" s="32"/>
      <c r="L1513" s="32"/>
      <c r="M1513" s="32"/>
      <c r="N1513" s="32"/>
      <c r="O1513" s="32"/>
      <c r="P1513" s="32"/>
      <c r="Q1513" s="32"/>
      <c r="R1513" s="32"/>
      <c r="S1513" s="32"/>
      <c r="T1513" s="32"/>
      <c r="U1513" s="32"/>
      <c r="V1513" s="32"/>
      <c r="W1513" s="32"/>
      <c r="X1513" s="32"/>
      <c r="Y1513" s="32"/>
      <c r="Z1513" s="32"/>
      <c r="AA1513" s="32"/>
      <c r="AB1513" s="32"/>
      <c r="AC1513" s="32"/>
      <c r="AD1513" s="32"/>
      <c r="AE1513" s="32"/>
      <c r="AF1513" s="32"/>
      <c r="AG1513" s="32"/>
      <c r="AH1513" s="32" t="b">
        <f>IFERROR(__xludf.DUMMYFUNCTION("""COMPUTED_VALUE"""),FALSE)</f>
        <v>0</v>
      </c>
      <c r="AI1513" s="32"/>
      <c r="AJ1513" s="32"/>
      <c r="AK1513" s="32"/>
      <c r="AL1513" s="32"/>
      <c r="AM1513" s="32"/>
      <c r="AN1513" s="32"/>
      <c r="AO1513" s="32"/>
      <c r="AP1513" s="32"/>
      <c r="AQ1513" s="32"/>
      <c r="AR1513" s="32"/>
      <c r="AS1513" s="32"/>
      <c r="AT1513" s="32"/>
      <c r="AU1513" s="32"/>
      <c r="AV1513" s="32"/>
      <c r="AW1513" s="32"/>
      <c r="AX1513" s="32"/>
    </row>
    <row r="1514">
      <c r="A1514" s="32"/>
      <c r="B1514" s="32"/>
      <c r="C1514" s="32"/>
      <c r="D1514" s="32"/>
      <c r="E1514" s="32">
        <f>IFERROR(__xludf.DUMMYFUNCTION("""COMPUTED_VALUE"""),1.0)</f>
        <v>1</v>
      </c>
      <c r="F1514" s="44">
        <f>IFERROR(__xludf.DUMMYFUNCTION("""COMPUTED_VALUE"""),0.0)</f>
        <v>0</v>
      </c>
      <c r="G1514" s="32"/>
      <c r="H1514" s="32"/>
      <c r="I1514" s="32"/>
      <c r="J1514" s="32"/>
      <c r="K1514" s="32"/>
      <c r="L1514" s="32"/>
      <c r="M1514" s="32"/>
      <c r="N1514" s="32"/>
      <c r="O1514" s="32"/>
      <c r="P1514" s="32"/>
      <c r="Q1514" s="32"/>
      <c r="R1514" s="32"/>
      <c r="S1514" s="32"/>
      <c r="T1514" s="32"/>
      <c r="U1514" s="32"/>
      <c r="V1514" s="32"/>
      <c r="W1514" s="32"/>
      <c r="X1514" s="32"/>
      <c r="Y1514" s="32"/>
      <c r="Z1514" s="32"/>
      <c r="AA1514" s="32"/>
      <c r="AB1514" s="32"/>
      <c r="AC1514" s="32"/>
      <c r="AD1514" s="32"/>
      <c r="AE1514" s="32"/>
      <c r="AF1514" s="32"/>
      <c r="AG1514" s="32"/>
      <c r="AH1514" s="32" t="b">
        <f>IFERROR(__xludf.DUMMYFUNCTION("""COMPUTED_VALUE"""),FALSE)</f>
        <v>0</v>
      </c>
      <c r="AI1514" s="32"/>
      <c r="AJ1514" s="32"/>
      <c r="AK1514" s="32"/>
      <c r="AL1514" s="32"/>
      <c r="AM1514" s="32"/>
      <c r="AN1514" s="32"/>
      <c r="AO1514" s="32"/>
      <c r="AP1514" s="32"/>
      <c r="AQ1514" s="32"/>
      <c r="AR1514" s="32"/>
      <c r="AS1514" s="32"/>
      <c r="AT1514" s="32"/>
      <c r="AU1514" s="32"/>
      <c r="AV1514" s="32"/>
      <c r="AW1514" s="32"/>
      <c r="AX1514" s="32"/>
    </row>
    <row r="1515">
      <c r="A1515" s="32"/>
      <c r="B1515" s="32"/>
      <c r="C1515" s="32"/>
      <c r="D1515" s="32"/>
      <c r="E1515" s="32">
        <f>IFERROR(__xludf.DUMMYFUNCTION("""COMPUTED_VALUE"""),1.0)</f>
        <v>1</v>
      </c>
      <c r="F1515" s="44">
        <f>IFERROR(__xludf.DUMMYFUNCTION("""COMPUTED_VALUE"""),0.0)</f>
        <v>0</v>
      </c>
      <c r="G1515" s="32"/>
      <c r="H1515" s="32"/>
      <c r="I1515" s="32"/>
      <c r="J1515" s="32"/>
      <c r="K1515" s="32"/>
      <c r="L1515" s="32"/>
      <c r="M1515" s="32"/>
      <c r="N1515" s="32"/>
      <c r="O1515" s="32"/>
      <c r="P1515" s="32"/>
      <c r="Q1515" s="32"/>
      <c r="R1515" s="32"/>
      <c r="S1515" s="32"/>
      <c r="T1515" s="32"/>
      <c r="U1515" s="32"/>
      <c r="V1515" s="32"/>
      <c r="W1515" s="32"/>
      <c r="X1515" s="32"/>
      <c r="Y1515" s="32"/>
      <c r="Z1515" s="32"/>
      <c r="AA1515" s="32"/>
      <c r="AB1515" s="32"/>
      <c r="AC1515" s="32"/>
      <c r="AD1515" s="32"/>
      <c r="AE1515" s="32"/>
      <c r="AF1515" s="32"/>
      <c r="AG1515" s="32"/>
      <c r="AH1515" s="32" t="b">
        <f>IFERROR(__xludf.DUMMYFUNCTION("""COMPUTED_VALUE"""),FALSE)</f>
        <v>0</v>
      </c>
      <c r="AI1515" s="32"/>
      <c r="AJ1515" s="32"/>
      <c r="AK1515" s="32"/>
      <c r="AL1515" s="32"/>
      <c r="AM1515" s="32"/>
      <c r="AN1515" s="32"/>
      <c r="AO1515" s="32"/>
      <c r="AP1515" s="32"/>
      <c r="AQ1515" s="32"/>
      <c r="AR1515" s="32"/>
      <c r="AS1515" s="32"/>
      <c r="AT1515" s="32"/>
      <c r="AU1515" s="32"/>
      <c r="AV1515" s="32"/>
      <c r="AW1515" s="32"/>
      <c r="AX1515" s="32"/>
    </row>
    <row r="1516">
      <c r="A1516" s="32"/>
      <c r="B1516" s="32"/>
      <c r="C1516" s="32"/>
      <c r="D1516" s="32"/>
      <c r="E1516" s="32">
        <f>IFERROR(__xludf.DUMMYFUNCTION("""COMPUTED_VALUE"""),1.0)</f>
        <v>1</v>
      </c>
      <c r="F1516" s="44">
        <f>IFERROR(__xludf.DUMMYFUNCTION("""COMPUTED_VALUE"""),0.0)</f>
        <v>0</v>
      </c>
      <c r="G1516" s="32"/>
      <c r="H1516" s="32"/>
      <c r="I1516" s="32"/>
      <c r="J1516" s="32"/>
      <c r="K1516" s="32"/>
      <c r="L1516" s="32"/>
      <c r="M1516" s="32"/>
      <c r="N1516" s="32"/>
      <c r="O1516" s="32"/>
      <c r="P1516" s="32"/>
      <c r="Q1516" s="32"/>
      <c r="R1516" s="32"/>
      <c r="S1516" s="32"/>
      <c r="T1516" s="32"/>
      <c r="U1516" s="32"/>
      <c r="V1516" s="32"/>
      <c r="W1516" s="32"/>
      <c r="X1516" s="32"/>
      <c r="Y1516" s="32"/>
      <c r="Z1516" s="32"/>
      <c r="AA1516" s="32"/>
      <c r="AB1516" s="32"/>
      <c r="AC1516" s="32"/>
      <c r="AD1516" s="32"/>
      <c r="AE1516" s="32"/>
      <c r="AF1516" s="32"/>
      <c r="AG1516" s="32"/>
      <c r="AH1516" s="32" t="b">
        <f>IFERROR(__xludf.DUMMYFUNCTION("""COMPUTED_VALUE"""),FALSE)</f>
        <v>0</v>
      </c>
      <c r="AI1516" s="32"/>
      <c r="AJ1516" s="32"/>
      <c r="AK1516" s="32"/>
      <c r="AL1516" s="32"/>
      <c r="AM1516" s="32"/>
      <c r="AN1516" s="32"/>
      <c r="AO1516" s="32"/>
      <c r="AP1516" s="32"/>
      <c r="AQ1516" s="32"/>
      <c r="AR1516" s="32"/>
      <c r="AS1516" s="32"/>
      <c r="AT1516" s="32"/>
      <c r="AU1516" s="32"/>
      <c r="AV1516" s="32"/>
      <c r="AW1516" s="32"/>
      <c r="AX1516" s="32"/>
    </row>
    <row r="1517">
      <c r="A1517" s="32"/>
      <c r="B1517" s="32"/>
      <c r="C1517" s="32"/>
      <c r="D1517" s="32"/>
      <c r="E1517" s="32">
        <f>IFERROR(__xludf.DUMMYFUNCTION("""COMPUTED_VALUE"""),1.0)</f>
        <v>1</v>
      </c>
      <c r="F1517" s="44">
        <f>IFERROR(__xludf.DUMMYFUNCTION("""COMPUTED_VALUE"""),0.0)</f>
        <v>0</v>
      </c>
      <c r="G1517" s="32"/>
      <c r="H1517" s="32"/>
      <c r="I1517" s="32"/>
      <c r="J1517" s="32"/>
      <c r="K1517" s="32"/>
      <c r="L1517" s="32"/>
      <c r="M1517" s="32"/>
      <c r="N1517" s="32"/>
      <c r="O1517" s="32"/>
      <c r="P1517" s="32"/>
      <c r="Q1517" s="32"/>
      <c r="R1517" s="32"/>
      <c r="S1517" s="32"/>
      <c r="T1517" s="32"/>
      <c r="U1517" s="32"/>
      <c r="V1517" s="32"/>
      <c r="W1517" s="32"/>
      <c r="X1517" s="32"/>
      <c r="Y1517" s="32"/>
      <c r="Z1517" s="32"/>
      <c r="AA1517" s="32"/>
      <c r="AB1517" s="32"/>
      <c r="AC1517" s="32"/>
      <c r="AD1517" s="32"/>
      <c r="AE1517" s="32"/>
      <c r="AF1517" s="32"/>
      <c r="AG1517" s="32"/>
      <c r="AH1517" s="32" t="b">
        <f>IFERROR(__xludf.DUMMYFUNCTION("""COMPUTED_VALUE"""),FALSE)</f>
        <v>0</v>
      </c>
      <c r="AI1517" s="32"/>
      <c r="AJ1517" s="32"/>
      <c r="AK1517" s="32"/>
      <c r="AL1517" s="32"/>
      <c r="AM1517" s="32"/>
      <c r="AN1517" s="32"/>
      <c r="AO1517" s="32"/>
      <c r="AP1517" s="32"/>
      <c r="AQ1517" s="32"/>
      <c r="AR1517" s="32"/>
      <c r="AS1517" s="32"/>
      <c r="AT1517" s="32"/>
      <c r="AU1517" s="32"/>
      <c r="AV1517" s="32"/>
      <c r="AW1517" s="32"/>
      <c r="AX1517" s="32"/>
    </row>
    <row r="1518">
      <c r="A1518" s="32"/>
      <c r="B1518" s="32"/>
      <c r="C1518" s="32"/>
      <c r="D1518" s="32"/>
      <c r="E1518" s="32">
        <f>IFERROR(__xludf.DUMMYFUNCTION("""COMPUTED_VALUE"""),1.0)</f>
        <v>1</v>
      </c>
      <c r="F1518" s="44">
        <f>IFERROR(__xludf.DUMMYFUNCTION("""COMPUTED_VALUE"""),0.0)</f>
        <v>0</v>
      </c>
      <c r="G1518" s="32"/>
      <c r="H1518" s="32"/>
      <c r="I1518" s="32"/>
      <c r="J1518" s="32"/>
      <c r="K1518" s="32"/>
      <c r="L1518" s="32"/>
      <c r="M1518" s="32"/>
      <c r="N1518" s="32"/>
      <c r="O1518" s="32"/>
      <c r="P1518" s="32"/>
      <c r="Q1518" s="32"/>
      <c r="R1518" s="32"/>
      <c r="S1518" s="32"/>
      <c r="T1518" s="32"/>
      <c r="U1518" s="32"/>
      <c r="V1518" s="32"/>
      <c r="W1518" s="32"/>
      <c r="X1518" s="32"/>
      <c r="Y1518" s="32"/>
      <c r="Z1518" s="32"/>
      <c r="AA1518" s="32"/>
      <c r="AB1518" s="32"/>
      <c r="AC1518" s="32"/>
      <c r="AD1518" s="32"/>
      <c r="AE1518" s="32"/>
      <c r="AF1518" s="32"/>
      <c r="AG1518" s="32"/>
      <c r="AH1518" s="32" t="b">
        <f>IFERROR(__xludf.DUMMYFUNCTION("""COMPUTED_VALUE"""),FALSE)</f>
        <v>0</v>
      </c>
      <c r="AI1518" s="32"/>
      <c r="AJ1518" s="32"/>
      <c r="AK1518" s="32"/>
      <c r="AL1518" s="32"/>
      <c r="AM1518" s="32"/>
      <c r="AN1518" s="32"/>
      <c r="AO1518" s="32"/>
      <c r="AP1518" s="32"/>
      <c r="AQ1518" s="32"/>
      <c r="AR1518" s="32"/>
      <c r="AS1518" s="32"/>
      <c r="AT1518" s="32"/>
      <c r="AU1518" s="32"/>
      <c r="AV1518" s="32"/>
      <c r="AW1518" s="32"/>
      <c r="AX1518" s="32"/>
    </row>
    <row r="1519">
      <c r="A1519" s="32"/>
      <c r="B1519" s="32"/>
      <c r="C1519" s="32"/>
      <c r="D1519" s="32"/>
      <c r="E1519" s="32">
        <f>IFERROR(__xludf.DUMMYFUNCTION("""COMPUTED_VALUE"""),1.0)</f>
        <v>1</v>
      </c>
      <c r="F1519" s="44">
        <f>IFERROR(__xludf.DUMMYFUNCTION("""COMPUTED_VALUE"""),0.0)</f>
        <v>0</v>
      </c>
      <c r="G1519" s="32"/>
      <c r="H1519" s="32"/>
      <c r="I1519" s="32"/>
      <c r="J1519" s="32"/>
      <c r="K1519" s="32"/>
      <c r="L1519" s="32"/>
      <c r="M1519" s="32"/>
      <c r="N1519" s="32"/>
      <c r="O1519" s="32"/>
      <c r="P1519" s="32"/>
      <c r="Q1519" s="32"/>
      <c r="R1519" s="32"/>
      <c r="S1519" s="32"/>
      <c r="T1519" s="32"/>
      <c r="U1519" s="32"/>
      <c r="V1519" s="32"/>
      <c r="W1519" s="32"/>
      <c r="X1519" s="32"/>
      <c r="Y1519" s="32"/>
      <c r="Z1519" s="32"/>
      <c r="AA1519" s="32"/>
      <c r="AB1519" s="32"/>
      <c r="AC1519" s="32"/>
      <c r="AD1519" s="32"/>
      <c r="AE1519" s="32"/>
      <c r="AF1519" s="32"/>
      <c r="AG1519" s="32"/>
      <c r="AH1519" s="32" t="b">
        <f>IFERROR(__xludf.DUMMYFUNCTION("""COMPUTED_VALUE"""),FALSE)</f>
        <v>0</v>
      </c>
      <c r="AI1519" s="32"/>
      <c r="AJ1519" s="32"/>
      <c r="AK1519" s="32"/>
      <c r="AL1519" s="32"/>
      <c r="AM1519" s="32"/>
      <c r="AN1519" s="32"/>
      <c r="AO1519" s="32"/>
      <c r="AP1519" s="32"/>
      <c r="AQ1519" s="32"/>
      <c r="AR1519" s="32"/>
      <c r="AS1519" s="32"/>
      <c r="AT1519" s="32"/>
      <c r="AU1519" s="32"/>
      <c r="AV1519" s="32"/>
      <c r="AW1519" s="32"/>
      <c r="AX1519" s="32"/>
    </row>
    <row r="1520">
      <c r="A1520" s="32"/>
      <c r="B1520" s="32"/>
      <c r="C1520" s="32"/>
      <c r="D1520" s="32"/>
      <c r="E1520" s="32">
        <f>IFERROR(__xludf.DUMMYFUNCTION("""COMPUTED_VALUE"""),1.0)</f>
        <v>1</v>
      </c>
      <c r="F1520" s="44">
        <f>IFERROR(__xludf.DUMMYFUNCTION("""COMPUTED_VALUE"""),0.0)</f>
        <v>0</v>
      </c>
      <c r="G1520" s="32"/>
      <c r="H1520" s="32"/>
      <c r="I1520" s="32"/>
      <c r="J1520" s="32"/>
      <c r="K1520" s="32"/>
      <c r="L1520" s="32"/>
      <c r="M1520" s="32"/>
      <c r="N1520" s="32"/>
      <c r="O1520" s="32"/>
      <c r="P1520" s="32"/>
      <c r="Q1520" s="32"/>
      <c r="R1520" s="32"/>
      <c r="S1520" s="32"/>
      <c r="T1520" s="32"/>
      <c r="U1520" s="32"/>
      <c r="V1520" s="32"/>
      <c r="W1520" s="32"/>
      <c r="X1520" s="32"/>
      <c r="Y1520" s="32"/>
      <c r="Z1520" s="32"/>
      <c r="AA1520" s="32"/>
      <c r="AB1520" s="32"/>
      <c r="AC1520" s="32"/>
      <c r="AD1520" s="32"/>
      <c r="AE1520" s="32"/>
      <c r="AF1520" s="32"/>
      <c r="AG1520" s="32"/>
      <c r="AH1520" s="32" t="b">
        <f>IFERROR(__xludf.DUMMYFUNCTION("""COMPUTED_VALUE"""),FALSE)</f>
        <v>0</v>
      </c>
      <c r="AI1520" s="32"/>
      <c r="AJ1520" s="32"/>
      <c r="AK1520" s="32"/>
      <c r="AL1520" s="32"/>
      <c r="AM1520" s="32"/>
      <c r="AN1520" s="32"/>
      <c r="AO1520" s="32"/>
      <c r="AP1520" s="32"/>
      <c r="AQ1520" s="32"/>
      <c r="AR1520" s="32"/>
      <c r="AS1520" s="32"/>
      <c r="AT1520" s="32"/>
      <c r="AU1520" s="32"/>
      <c r="AV1520" s="32"/>
      <c r="AW1520" s="32"/>
      <c r="AX1520" s="32"/>
    </row>
    <row r="1521">
      <c r="A1521" s="32"/>
      <c r="B1521" s="32"/>
      <c r="C1521" s="32"/>
      <c r="D1521" s="32"/>
      <c r="E1521" s="32">
        <f>IFERROR(__xludf.DUMMYFUNCTION("""COMPUTED_VALUE"""),1.0)</f>
        <v>1</v>
      </c>
      <c r="F1521" s="44">
        <f>IFERROR(__xludf.DUMMYFUNCTION("""COMPUTED_VALUE"""),0.0)</f>
        <v>0</v>
      </c>
      <c r="G1521" s="32"/>
      <c r="H1521" s="32"/>
      <c r="I1521" s="32"/>
      <c r="J1521" s="32"/>
      <c r="K1521" s="32"/>
      <c r="L1521" s="32"/>
      <c r="M1521" s="32"/>
      <c r="N1521" s="32"/>
      <c r="O1521" s="32"/>
      <c r="P1521" s="32"/>
      <c r="Q1521" s="32"/>
      <c r="R1521" s="32"/>
      <c r="S1521" s="32"/>
      <c r="T1521" s="32"/>
      <c r="U1521" s="32"/>
      <c r="V1521" s="32"/>
      <c r="W1521" s="32"/>
      <c r="X1521" s="32"/>
      <c r="Y1521" s="32"/>
      <c r="Z1521" s="32"/>
      <c r="AA1521" s="32"/>
      <c r="AB1521" s="32"/>
      <c r="AC1521" s="32"/>
      <c r="AD1521" s="32"/>
      <c r="AE1521" s="32"/>
      <c r="AF1521" s="32"/>
      <c r="AG1521" s="32"/>
      <c r="AH1521" s="32" t="b">
        <f>IFERROR(__xludf.DUMMYFUNCTION("""COMPUTED_VALUE"""),FALSE)</f>
        <v>0</v>
      </c>
      <c r="AI1521" s="32"/>
      <c r="AJ1521" s="32"/>
      <c r="AK1521" s="32"/>
      <c r="AL1521" s="32"/>
      <c r="AM1521" s="32"/>
      <c r="AN1521" s="32"/>
      <c r="AO1521" s="32"/>
      <c r="AP1521" s="32"/>
      <c r="AQ1521" s="32"/>
      <c r="AR1521" s="32"/>
      <c r="AS1521" s="32"/>
      <c r="AT1521" s="32"/>
      <c r="AU1521" s="32"/>
      <c r="AV1521" s="32"/>
      <c r="AW1521" s="32"/>
      <c r="AX1521" s="32"/>
    </row>
    <row r="1522">
      <c r="A1522" s="32"/>
      <c r="B1522" s="32"/>
      <c r="C1522" s="32"/>
      <c r="D1522" s="32"/>
      <c r="E1522" s="32">
        <f>IFERROR(__xludf.DUMMYFUNCTION("""COMPUTED_VALUE"""),1.0)</f>
        <v>1</v>
      </c>
      <c r="F1522" s="44">
        <f>IFERROR(__xludf.DUMMYFUNCTION("""COMPUTED_VALUE"""),0.0)</f>
        <v>0</v>
      </c>
      <c r="G1522" s="32"/>
      <c r="H1522" s="32"/>
      <c r="I1522" s="32"/>
      <c r="J1522" s="32"/>
      <c r="K1522" s="32"/>
      <c r="L1522" s="32"/>
      <c r="M1522" s="32"/>
      <c r="N1522" s="32"/>
      <c r="O1522" s="32"/>
      <c r="P1522" s="32"/>
      <c r="Q1522" s="32"/>
      <c r="R1522" s="32"/>
      <c r="S1522" s="32"/>
      <c r="T1522" s="32"/>
      <c r="U1522" s="32"/>
      <c r="V1522" s="32"/>
      <c r="W1522" s="32"/>
      <c r="X1522" s="32"/>
      <c r="Y1522" s="32"/>
      <c r="Z1522" s="32"/>
      <c r="AA1522" s="32"/>
      <c r="AB1522" s="32"/>
      <c r="AC1522" s="32"/>
      <c r="AD1522" s="32"/>
      <c r="AE1522" s="32"/>
      <c r="AF1522" s="32"/>
      <c r="AG1522" s="32"/>
      <c r="AH1522" s="32" t="b">
        <f>IFERROR(__xludf.DUMMYFUNCTION("""COMPUTED_VALUE"""),FALSE)</f>
        <v>0</v>
      </c>
      <c r="AI1522" s="32"/>
      <c r="AJ1522" s="32"/>
      <c r="AK1522" s="32"/>
      <c r="AL1522" s="32"/>
      <c r="AM1522" s="32"/>
      <c r="AN1522" s="32"/>
      <c r="AO1522" s="32"/>
      <c r="AP1522" s="32"/>
      <c r="AQ1522" s="32"/>
      <c r="AR1522" s="32"/>
      <c r="AS1522" s="32"/>
      <c r="AT1522" s="32"/>
      <c r="AU1522" s="32"/>
      <c r="AV1522" s="32"/>
      <c r="AW1522" s="32"/>
      <c r="AX1522" s="32"/>
    </row>
    <row r="1523">
      <c r="A1523" s="32"/>
      <c r="B1523" s="32"/>
      <c r="C1523" s="32"/>
      <c r="D1523" s="32"/>
      <c r="E1523" s="32">
        <f>IFERROR(__xludf.DUMMYFUNCTION("""COMPUTED_VALUE"""),1.0)</f>
        <v>1</v>
      </c>
      <c r="F1523" s="44">
        <f>IFERROR(__xludf.DUMMYFUNCTION("""COMPUTED_VALUE"""),0.0)</f>
        <v>0</v>
      </c>
      <c r="G1523" s="32"/>
      <c r="H1523" s="32"/>
      <c r="I1523" s="32"/>
      <c r="J1523" s="32"/>
      <c r="K1523" s="32"/>
      <c r="L1523" s="32"/>
      <c r="M1523" s="32"/>
      <c r="N1523" s="32"/>
      <c r="O1523" s="32"/>
      <c r="P1523" s="32"/>
      <c r="Q1523" s="32"/>
      <c r="R1523" s="32"/>
      <c r="S1523" s="32"/>
      <c r="T1523" s="32"/>
      <c r="U1523" s="32"/>
      <c r="V1523" s="32"/>
      <c r="W1523" s="32"/>
      <c r="X1523" s="32"/>
      <c r="Y1523" s="32"/>
      <c r="Z1523" s="32"/>
      <c r="AA1523" s="32"/>
      <c r="AB1523" s="32"/>
      <c r="AC1523" s="32"/>
      <c r="AD1523" s="32"/>
      <c r="AE1523" s="32"/>
      <c r="AF1523" s="32"/>
      <c r="AG1523" s="32"/>
      <c r="AH1523" s="32" t="b">
        <f>IFERROR(__xludf.DUMMYFUNCTION("""COMPUTED_VALUE"""),FALSE)</f>
        <v>0</v>
      </c>
      <c r="AI1523" s="32"/>
      <c r="AJ1523" s="32"/>
      <c r="AK1523" s="32"/>
      <c r="AL1523" s="32"/>
      <c r="AM1523" s="32"/>
      <c r="AN1523" s="32"/>
      <c r="AO1523" s="32"/>
      <c r="AP1523" s="32"/>
      <c r="AQ1523" s="32"/>
      <c r="AR1523" s="32"/>
      <c r="AS1523" s="32"/>
      <c r="AT1523" s="32"/>
      <c r="AU1523" s="32"/>
      <c r="AV1523" s="32"/>
      <c r="AW1523" s="32"/>
      <c r="AX1523" s="32"/>
    </row>
    <row r="1524">
      <c r="A1524" s="32"/>
      <c r="B1524" s="32"/>
      <c r="C1524" s="32"/>
      <c r="D1524" s="32"/>
      <c r="E1524" s="32">
        <f>IFERROR(__xludf.DUMMYFUNCTION("""COMPUTED_VALUE"""),1.0)</f>
        <v>1</v>
      </c>
      <c r="F1524" s="44">
        <f>IFERROR(__xludf.DUMMYFUNCTION("""COMPUTED_VALUE"""),0.0)</f>
        <v>0</v>
      </c>
      <c r="G1524" s="32"/>
      <c r="H1524" s="32"/>
      <c r="I1524" s="32"/>
      <c r="J1524" s="32"/>
      <c r="K1524" s="32"/>
      <c r="L1524" s="32"/>
      <c r="M1524" s="32"/>
      <c r="N1524" s="32"/>
      <c r="O1524" s="32"/>
      <c r="P1524" s="32"/>
      <c r="Q1524" s="32"/>
      <c r="R1524" s="32"/>
      <c r="S1524" s="32"/>
      <c r="T1524" s="32"/>
      <c r="U1524" s="32"/>
      <c r="V1524" s="32"/>
      <c r="W1524" s="32"/>
      <c r="X1524" s="32"/>
      <c r="Y1524" s="32"/>
      <c r="Z1524" s="32"/>
      <c r="AA1524" s="32"/>
      <c r="AB1524" s="32"/>
      <c r="AC1524" s="32"/>
      <c r="AD1524" s="32"/>
      <c r="AE1524" s="32"/>
      <c r="AF1524" s="32"/>
      <c r="AG1524" s="32"/>
      <c r="AH1524" s="32" t="b">
        <f>IFERROR(__xludf.DUMMYFUNCTION("""COMPUTED_VALUE"""),FALSE)</f>
        <v>0</v>
      </c>
      <c r="AI1524" s="32"/>
      <c r="AJ1524" s="32"/>
      <c r="AK1524" s="32"/>
      <c r="AL1524" s="32"/>
      <c r="AM1524" s="32"/>
      <c r="AN1524" s="32"/>
      <c r="AO1524" s="32"/>
      <c r="AP1524" s="32"/>
      <c r="AQ1524" s="32"/>
      <c r="AR1524" s="32"/>
      <c r="AS1524" s="32"/>
      <c r="AT1524" s="32"/>
      <c r="AU1524" s="32"/>
      <c r="AV1524" s="32"/>
      <c r="AW1524" s="32"/>
      <c r="AX1524" s="32"/>
    </row>
    <row r="1525">
      <c r="A1525" s="32"/>
      <c r="B1525" s="32"/>
      <c r="C1525" s="32"/>
      <c r="D1525" s="32"/>
      <c r="E1525" s="32">
        <f>IFERROR(__xludf.DUMMYFUNCTION("""COMPUTED_VALUE"""),1.0)</f>
        <v>1</v>
      </c>
      <c r="F1525" s="44">
        <f>IFERROR(__xludf.DUMMYFUNCTION("""COMPUTED_VALUE"""),0.0)</f>
        <v>0</v>
      </c>
      <c r="G1525" s="32"/>
      <c r="H1525" s="32"/>
      <c r="I1525" s="32"/>
      <c r="J1525" s="32"/>
      <c r="K1525" s="32"/>
      <c r="L1525" s="32"/>
      <c r="M1525" s="32"/>
      <c r="N1525" s="32"/>
      <c r="O1525" s="32"/>
      <c r="P1525" s="32"/>
      <c r="Q1525" s="32"/>
      <c r="R1525" s="32"/>
      <c r="S1525" s="32"/>
      <c r="T1525" s="32"/>
      <c r="U1525" s="32"/>
      <c r="V1525" s="32"/>
      <c r="W1525" s="32"/>
      <c r="X1525" s="32"/>
      <c r="Y1525" s="32"/>
      <c r="Z1525" s="32"/>
      <c r="AA1525" s="32"/>
      <c r="AB1525" s="32"/>
      <c r="AC1525" s="32"/>
      <c r="AD1525" s="32"/>
      <c r="AE1525" s="32"/>
      <c r="AF1525" s="32"/>
      <c r="AG1525" s="32"/>
      <c r="AH1525" s="32" t="b">
        <f>IFERROR(__xludf.DUMMYFUNCTION("""COMPUTED_VALUE"""),FALSE)</f>
        <v>0</v>
      </c>
      <c r="AI1525" s="32"/>
      <c r="AJ1525" s="32"/>
      <c r="AK1525" s="32"/>
      <c r="AL1525" s="32"/>
      <c r="AM1525" s="32"/>
      <c r="AN1525" s="32"/>
      <c r="AO1525" s="32"/>
      <c r="AP1525" s="32"/>
      <c r="AQ1525" s="32"/>
      <c r="AR1525" s="32"/>
      <c r="AS1525" s="32"/>
      <c r="AT1525" s="32"/>
      <c r="AU1525" s="32"/>
      <c r="AV1525" s="32"/>
      <c r="AW1525" s="32"/>
      <c r="AX1525" s="32"/>
    </row>
    <row r="1526">
      <c r="A1526" s="32"/>
      <c r="B1526" s="32"/>
      <c r="C1526" s="32"/>
      <c r="D1526" s="32"/>
      <c r="E1526" s="32">
        <f>IFERROR(__xludf.DUMMYFUNCTION("""COMPUTED_VALUE"""),1.0)</f>
        <v>1</v>
      </c>
      <c r="F1526" s="44">
        <f>IFERROR(__xludf.DUMMYFUNCTION("""COMPUTED_VALUE"""),0.0)</f>
        <v>0</v>
      </c>
      <c r="G1526" s="32"/>
      <c r="H1526" s="32"/>
      <c r="I1526" s="32"/>
      <c r="J1526" s="32"/>
      <c r="K1526" s="32"/>
      <c r="L1526" s="32"/>
      <c r="M1526" s="32"/>
      <c r="N1526" s="32"/>
      <c r="O1526" s="32"/>
      <c r="P1526" s="32"/>
      <c r="Q1526" s="32"/>
      <c r="R1526" s="32"/>
      <c r="S1526" s="32"/>
      <c r="T1526" s="32"/>
      <c r="U1526" s="32"/>
      <c r="V1526" s="32"/>
      <c r="W1526" s="32"/>
      <c r="X1526" s="32"/>
      <c r="Y1526" s="32"/>
      <c r="Z1526" s="32"/>
      <c r="AA1526" s="32"/>
      <c r="AB1526" s="32"/>
      <c r="AC1526" s="32"/>
      <c r="AD1526" s="32"/>
      <c r="AE1526" s="32"/>
      <c r="AF1526" s="32"/>
      <c r="AG1526" s="32"/>
      <c r="AH1526" s="32" t="b">
        <f>IFERROR(__xludf.DUMMYFUNCTION("""COMPUTED_VALUE"""),FALSE)</f>
        <v>0</v>
      </c>
      <c r="AI1526" s="32"/>
      <c r="AJ1526" s="32"/>
      <c r="AK1526" s="32"/>
      <c r="AL1526" s="32"/>
      <c r="AM1526" s="32"/>
      <c r="AN1526" s="32"/>
      <c r="AO1526" s="32"/>
      <c r="AP1526" s="32"/>
      <c r="AQ1526" s="32"/>
      <c r="AR1526" s="32"/>
      <c r="AS1526" s="32"/>
      <c r="AT1526" s="32"/>
      <c r="AU1526" s="32"/>
      <c r="AV1526" s="32"/>
      <c r="AW1526" s="32"/>
      <c r="AX1526" s="32"/>
    </row>
    <row r="1527">
      <c r="A1527" s="32"/>
      <c r="B1527" s="32"/>
      <c r="C1527" s="32"/>
      <c r="D1527" s="32"/>
      <c r="E1527" s="32">
        <f>IFERROR(__xludf.DUMMYFUNCTION("""COMPUTED_VALUE"""),1.0)</f>
        <v>1</v>
      </c>
      <c r="F1527" s="44">
        <f>IFERROR(__xludf.DUMMYFUNCTION("""COMPUTED_VALUE"""),0.0)</f>
        <v>0</v>
      </c>
      <c r="G1527" s="32"/>
      <c r="H1527" s="32"/>
      <c r="I1527" s="32"/>
      <c r="J1527" s="32"/>
      <c r="K1527" s="32"/>
      <c r="L1527" s="32"/>
      <c r="M1527" s="32"/>
      <c r="N1527" s="32"/>
      <c r="O1527" s="32"/>
      <c r="P1527" s="32"/>
      <c r="Q1527" s="32"/>
      <c r="R1527" s="32"/>
      <c r="S1527" s="32"/>
      <c r="T1527" s="32"/>
      <c r="U1527" s="32"/>
      <c r="V1527" s="32"/>
      <c r="W1527" s="32"/>
      <c r="X1527" s="32"/>
      <c r="Y1527" s="32"/>
      <c r="Z1527" s="32"/>
      <c r="AA1527" s="32"/>
      <c r="AB1527" s="32"/>
      <c r="AC1527" s="32"/>
      <c r="AD1527" s="32"/>
      <c r="AE1527" s="32"/>
      <c r="AF1527" s="32"/>
      <c r="AG1527" s="32"/>
      <c r="AH1527" s="32" t="b">
        <f>IFERROR(__xludf.DUMMYFUNCTION("""COMPUTED_VALUE"""),FALSE)</f>
        <v>0</v>
      </c>
      <c r="AI1527" s="32"/>
      <c r="AJ1527" s="32"/>
      <c r="AK1527" s="32"/>
      <c r="AL1527" s="32"/>
      <c r="AM1527" s="32"/>
      <c r="AN1527" s="32"/>
      <c r="AO1527" s="32"/>
      <c r="AP1527" s="32"/>
      <c r="AQ1527" s="32"/>
      <c r="AR1527" s="32"/>
      <c r="AS1527" s="32"/>
      <c r="AT1527" s="32"/>
      <c r="AU1527" s="32"/>
      <c r="AV1527" s="32"/>
      <c r="AW1527" s="32"/>
      <c r="AX1527" s="32"/>
    </row>
    <row r="1528">
      <c r="A1528" s="32"/>
      <c r="B1528" s="32"/>
      <c r="C1528" s="32"/>
      <c r="D1528" s="32"/>
      <c r="E1528" s="32">
        <f>IFERROR(__xludf.DUMMYFUNCTION("""COMPUTED_VALUE"""),1.0)</f>
        <v>1</v>
      </c>
      <c r="F1528" s="44">
        <f>IFERROR(__xludf.DUMMYFUNCTION("""COMPUTED_VALUE"""),0.0)</f>
        <v>0</v>
      </c>
      <c r="G1528" s="32"/>
      <c r="H1528" s="32"/>
      <c r="I1528" s="32"/>
      <c r="J1528" s="32"/>
      <c r="K1528" s="32"/>
      <c r="L1528" s="32"/>
      <c r="M1528" s="32"/>
      <c r="N1528" s="32"/>
      <c r="O1528" s="32"/>
      <c r="P1528" s="32"/>
      <c r="Q1528" s="32"/>
      <c r="R1528" s="32"/>
      <c r="S1528" s="32"/>
      <c r="T1528" s="32"/>
      <c r="U1528" s="32"/>
      <c r="V1528" s="32"/>
      <c r="W1528" s="32"/>
      <c r="X1528" s="32"/>
      <c r="Y1528" s="32"/>
      <c r="Z1528" s="32"/>
      <c r="AA1528" s="32"/>
      <c r="AB1528" s="32"/>
      <c r="AC1528" s="32"/>
      <c r="AD1528" s="32"/>
      <c r="AE1528" s="32"/>
      <c r="AF1528" s="32"/>
      <c r="AG1528" s="32"/>
      <c r="AH1528" s="32" t="b">
        <f>IFERROR(__xludf.DUMMYFUNCTION("""COMPUTED_VALUE"""),FALSE)</f>
        <v>0</v>
      </c>
      <c r="AI1528" s="32"/>
      <c r="AJ1528" s="32"/>
      <c r="AK1528" s="32"/>
      <c r="AL1528" s="32"/>
      <c r="AM1528" s="32"/>
      <c r="AN1528" s="32"/>
      <c r="AO1528" s="32"/>
      <c r="AP1528" s="32"/>
      <c r="AQ1528" s="32"/>
      <c r="AR1528" s="32"/>
      <c r="AS1528" s="32"/>
      <c r="AT1528" s="32"/>
      <c r="AU1528" s="32"/>
      <c r="AV1528" s="32"/>
      <c r="AW1528" s="32"/>
      <c r="AX1528" s="32"/>
    </row>
    <row r="1529">
      <c r="A1529" s="32"/>
      <c r="B1529" s="32"/>
      <c r="C1529" s="32"/>
      <c r="D1529" s="32"/>
      <c r="E1529" s="32">
        <f>IFERROR(__xludf.DUMMYFUNCTION("""COMPUTED_VALUE"""),1.0)</f>
        <v>1</v>
      </c>
      <c r="F1529" s="44">
        <f>IFERROR(__xludf.DUMMYFUNCTION("""COMPUTED_VALUE"""),0.0)</f>
        <v>0</v>
      </c>
      <c r="G1529" s="32"/>
      <c r="H1529" s="32"/>
      <c r="I1529" s="32"/>
      <c r="J1529" s="32"/>
      <c r="K1529" s="32"/>
      <c r="L1529" s="32"/>
      <c r="M1529" s="32"/>
      <c r="N1529" s="32"/>
      <c r="O1529" s="32"/>
      <c r="P1529" s="32"/>
      <c r="Q1529" s="32"/>
      <c r="R1529" s="32"/>
      <c r="S1529" s="32"/>
      <c r="T1529" s="32"/>
      <c r="U1529" s="32"/>
      <c r="V1529" s="32"/>
      <c r="W1529" s="32"/>
      <c r="X1529" s="32"/>
      <c r="Y1529" s="32"/>
      <c r="Z1529" s="32"/>
      <c r="AA1529" s="32"/>
      <c r="AB1529" s="32"/>
      <c r="AC1529" s="32"/>
      <c r="AD1529" s="32"/>
      <c r="AE1529" s="32"/>
      <c r="AF1529" s="32"/>
      <c r="AG1529" s="32"/>
      <c r="AH1529" s="32" t="b">
        <f>IFERROR(__xludf.DUMMYFUNCTION("""COMPUTED_VALUE"""),FALSE)</f>
        <v>0</v>
      </c>
      <c r="AI1529" s="32"/>
      <c r="AJ1529" s="32"/>
      <c r="AK1529" s="32"/>
      <c r="AL1529" s="32"/>
      <c r="AM1529" s="32"/>
      <c r="AN1529" s="32"/>
      <c r="AO1529" s="32"/>
      <c r="AP1529" s="32"/>
      <c r="AQ1529" s="32"/>
      <c r="AR1529" s="32"/>
      <c r="AS1529" s="32"/>
      <c r="AT1529" s="32"/>
      <c r="AU1529" s="32"/>
      <c r="AV1529" s="32"/>
      <c r="AW1529" s="32"/>
      <c r="AX1529" s="32"/>
    </row>
    <row r="1530">
      <c r="A1530" s="32"/>
      <c r="B1530" s="32"/>
      <c r="C1530" s="32"/>
      <c r="D1530" s="32"/>
      <c r="E1530" s="32">
        <f>IFERROR(__xludf.DUMMYFUNCTION("""COMPUTED_VALUE"""),1.0)</f>
        <v>1</v>
      </c>
      <c r="F1530" s="44">
        <f>IFERROR(__xludf.DUMMYFUNCTION("""COMPUTED_VALUE"""),0.0)</f>
        <v>0</v>
      </c>
      <c r="G1530" s="32"/>
      <c r="H1530" s="32"/>
      <c r="I1530" s="32"/>
      <c r="J1530" s="32"/>
      <c r="K1530" s="32"/>
      <c r="L1530" s="32"/>
      <c r="M1530" s="32"/>
      <c r="N1530" s="32"/>
      <c r="O1530" s="32"/>
      <c r="P1530" s="32"/>
      <c r="Q1530" s="32"/>
      <c r="R1530" s="32"/>
      <c r="S1530" s="32"/>
      <c r="T1530" s="32"/>
      <c r="U1530" s="32"/>
      <c r="V1530" s="32"/>
      <c r="W1530" s="32"/>
      <c r="X1530" s="32"/>
      <c r="Y1530" s="32"/>
      <c r="Z1530" s="32"/>
      <c r="AA1530" s="32"/>
      <c r="AB1530" s="32"/>
      <c r="AC1530" s="32"/>
      <c r="AD1530" s="32"/>
      <c r="AE1530" s="32"/>
      <c r="AF1530" s="32"/>
      <c r="AG1530" s="32"/>
      <c r="AH1530" s="32" t="b">
        <f>IFERROR(__xludf.DUMMYFUNCTION("""COMPUTED_VALUE"""),FALSE)</f>
        <v>0</v>
      </c>
      <c r="AI1530" s="32"/>
      <c r="AJ1530" s="32"/>
      <c r="AK1530" s="32"/>
      <c r="AL1530" s="32"/>
      <c r="AM1530" s="32"/>
      <c r="AN1530" s="32"/>
      <c r="AO1530" s="32"/>
      <c r="AP1530" s="32"/>
      <c r="AQ1530" s="32"/>
      <c r="AR1530" s="32"/>
      <c r="AS1530" s="32"/>
      <c r="AT1530" s="32"/>
      <c r="AU1530" s="32"/>
      <c r="AV1530" s="32"/>
      <c r="AW1530" s="32"/>
      <c r="AX1530" s="32"/>
    </row>
    <row r="1531">
      <c r="A1531" s="32"/>
      <c r="B1531" s="32"/>
      <c r="C1531" s="32"/>
      <c r="D1531" s="32"/>
      <c r="E1531" s="32">
        <f>IFERROR(__xludf.DUMMYFUNCTION("""COMPUTED_VALUE"""),1.0)</f>
        <v>1</v>
      </c>
      <c r="F1531" s="44">
        <f>IFERROR(__xludf.DUMMYFUNCTION("""COMPUTED_VALUE"""),0.0)</f>
        <v>0</v>
      </c>
      <c r="G1531" s="32"/>
      <c r="H1531" s="32"/>
      <c r="I1531" s="32"/>
      <c r="J1531" s="32"/>
      <c r="K1531" s="32"/>
      <c r="L1531" s="32"/>
      <c r="M1531" s="32"/>
      <c r="N1531" s="32"/>
      <c r="O1531" s="32"/>
      <c r="P1531" s="32"/>
      <c r="Q1531" s="32"/>
      <c r="R1531" s="32"/>
      <c r="S1531" s="32"/>
      <c r="T1531" s="32"/>
      <c r="U1531" s="32"/>
      <c r="V1531" s="32"/>
      <c r="W1531" s="32"/>
      <c r="X1531" s="32"/>
      <c r="Y1531" s="32"/>
      <c r="Z1531" s="32"/>
      <c r="AA1531" s="32"/>
      <c r="AB1531" s="32"/>
      <c r="AC1531" s="32"/>
      <c r="AD1531" s="32"/>
      <c r="AE1531" s="32"/>
      <c r="AF1531" s="32"/>
      <c r="AG1531" s="32"/>
      <c r="AH1531" s="32" t="b">
        <f>IFERROR(__xludf.DUMMYFUNCTION("""COMPUTED_VALUE"""),FALSE)</f>
        <v>0</v>
      </c>
      <c r="AI1531" s="32"/>
      <c r="AJ1531" s="32"/>
      <c r="AK1531" s="32"/>
      <c r="AL1531" s="32"/>
      <c r="AM1531" s="32"/>
      <c r="AN1531" s="32"/>
      <c r="AO1531" s="32"/>
      <c r="AP1531" s="32"/>
      <c r="AQ1531" s="32"/>
      <c r="AR1531" s="32"/>
      <c r="AS1531" s="32"/>
      <c r="AT1531" s="32"/>
      <c r="AU1531" s="32"/>
      <c r="AV1531" s="32"/>
      <c r="AW1531" s="32"/>
      <c r="AX1531" s="32"/>
    </row>
    <row r="1532">
      <c r="A1532" s="32"/>
      <c r="B1532" s="32"/>
      <c r="C1532" s="32"/>
      <c r="D1532" s="32"/>
      <c r="E1532" s="32">
        <f>IFERROR(__xludf.DUMMYFUNCTION("""COMPUTED_VALUE"""),1.0)</f>
        <v>1</v>
      </c>
      <c r="F1532" s="44">
        <f>IFERROR(__xludf.DUMMYFUNCTION("""COMPUTED_VALUE"""),0.0)</f>
        <v>0</v>
      </c>
      <c r="G1532" s="32"/>
      <c r="H1532" s="32"/>
      <c r="I1532" s="32"/>
      <c r="J1532" s="32"/>
      <c r="K1532" s="32"/>
      <c r="L1532" s="32"/>
      <c r="M1532" s="32"/>
      <c r="N1532" s="32"/>
      <c r="O1532" s="32"/>
      <c r="P1532" s="32"/>
      <c r="Q1532" s="32"/>
      <c r="R1532" s="32"/>
      <c r="S1532" s="32"/>
      <c r="T1532" s="32"/>
      <c r="U1532" s="32"/>
      <c r="V1532" s="32"/>
      <c r="W1532" s="32"/>
      <c r="X1532" s="32"/>
      <c r="Y1532" s="32"/>
      <c r="Z1532" s="32"/>
      <c r="AA1532" s="32"/>
      <c r="AB1532" s="32"/>
      <c r="AC1532" s="32"/>
      <c r="AD1532" s="32"/>
      <c r="AE1532" s="32"/>
      <c r="AF1532" s="32"/>
      <c r="AG1532" s="32"/>
      <c r="AH1532" s="32" t="b">
        <f>IFERROR(__xludf.DUMMYFUNCTION("""COMPUTED_VALUE"""),FALSE)</f>
        <v>0</v>
      </c>
      <c r="AI1532" s="32"/>
      <c r="AJ1532" s="32"/>
      <c r="AK1532" s="32"/>
      <c r="AL1532" s="32"/>
      <c r="AM1532" s="32"/>
      <c r="AN1532" s="32"/>
      <c r="AO1532" s="32"/>
      <c r="AP1532" s="32"/>
      <c r="AQ1532" s="32"/>
      <c r="AR1532" s="32"/>
      <c r="AS1532" s="32"/>
      <c r="AT1532" s="32"/>
      <c r="AU1532" s="32"/>
      <c r="AV1532" s="32"/>
      <c r="AW1532" s="32"/>
      <c r="AX1532" s="32"/>
    </row>
    <row r="1533">
      <c r="A1533" s="32"/>
      <c r="B1533" s="32"/>
      <c r="C1533" s="32"/>
      <c r="D1533" s="32"/>
      <c r="E1533" s="32">
        <f>IFERROR(__xludf.DUMMYFUNCTION("""COMPUTED_VALUE"""),1.0)</f>
        <v>1</v>
      </c>
      <c r="F1533" s="44">
        <f>IFERROR(__xludf.DUMMYFUNCTION("""COMPUTED_VALUE"""),0.0)</f>
        <v>0</v>
      </c>
      <c r="G1533" s="32"/>
      <c r="H1533" s="32"/>
      <c r="I1533" s="32"/>
      <c r="J1533" s="32"/>
      <c r="K1533" s="32"/>
      <c r="L1533" s="32"/>
      <c r="M1533" s="32"/>
      <c r="N1533" s="32"/>
      <c r="O1533" s="32"/>
      <c r="P1533" s="32"/>
      <c r="Q1533" s="32"/>
      <c r="R1533" s="32"/>
      <c r="S1533" s="32"/>
      <c r="T1533" s="32"/>
      <c r="U1533" s="32"/>
      <c r="V1533" s="32"/>
      <c r="W1533" s="32"/>
      <c r="X1533" s="32"/>
      <c r="Y1533" s="32"/>
      <c r="Z1533" s="32"/>
      <c r="AA1533" s="32"/>
      <c r="AB1533" s="32"/>
      <c r="AC1533" s="32"/>
      <c r="AD1533" s="32"/>
      <c r="AE1533" s="32"/>
      <c r="AF1533" s="32"/>
      <c r="AG1533" s="32"/>
      <c r="AH1533" s="32" t="b">
        <f>IFERROR(__xludf.DUMMYFUNCTION("""COMPUTED_VALUE"""),FALSE)</f>
        <v>0</v>
      </c>
      <c r="AI1533" s="32"/>
      <c r="AJ1533" s="32"/>
      <c r="AK1533" s="32"/>
      <c r="AL1533" s="32"/>
      <c r="AM1533" s="32"/>
      <c r="AN1533" s="32"/>
      <c r="AO1533" s="32"/>
      <c r="AP1533" s="32"/>
      <c r="AQ1533" s="32"/>
      <c r="AR1533" s="32"/>
      <c r="AS1533" s="32"/>
      <c r="AT1533" s="32"/>
      <c r="AU1533" s="32"/>
      <c r="AV1533" s="32"/>
      <c r="AW1533" s="32"/>
      <c r="AX1533" s="32"/>
    </row>
    <row r="1534">
      <c r="A1534" s="32"/>
      <c r="B1534" s="32"/>
      <c r="C1534" s="32"/>
      <c r="D1534" s="32"/>
      <c r="E1534" s="32">
        <f>IFERROR(__xludf.DUMMYFUNCTION("""COMPUTED_VALUE"""),1.0)</f>
        <v>1</v>
      </c>
      <c r="F1534" s="44">
        <f>IFERROR(__xludf.DUMMYFUNCTION("""COMPUTED_VALUE"""),0.0)</f>
        <v>0</v>
      </c>
      <c r="G1534" s="32"/>
      <c r="H1534" s="32"/>
      <c r="I1534" s="32"/>
      <c r="J1534" s="32"/>
      <c r="K1534" s="32"/>
      <c r="L1534" s="32"/>
      <c r="M1534" s="32"/>
      <c r="N1534" s="32"/>
      <c r="O1534" s="32"/>
      <c r="P1534" s="32"/>
      <c r="Q1534" s="32"/>
      <c r="R1534" s="32"/>
      <c r="S1534" s="32"/>
      <c r="T1534" s="32"/>
      <c r="U1534" s="32"/>
      <c r="V1534" s="32"/>
      <c r="W1534" s="32"/>
      <c r="X1534" s="32"/>
      <c r="Y1534" s="32"/>
      <c r="Z1534" s="32"/>
      <c r="AA1534" s="32"/>
      <c r="AB1534" s="32"/>
      <c r="AC1534" s="32"/>
      <c r="AD1534" s="32"/>
      <c r="AE1534" s="32"/>
      <c r="AF1534" s="32"/>
      <c r="AG1534" s="32"/>
      <c r="AH1534" s="32" t="b">
        <f>IFERROR(__xludf.DUMMYFUNCTION("""COMPUTED_VALUE"""),FALSE)</f>
        <v>0</v>
      </c>
      <c r="AI1534" s="32"/>
      <c r="AJ1534" s="32"/>
      <c r="AK1534" s="32"/>
      <c r="AL1534" s="32"/>
      <c r="AM1534" s="32"/>
      <c r="AN1534" s="32"/>
      <c r="AO1534" s="32"/>
      <c r="AP1534" s="32"/>
      <c r="AQ1534" s="32"/>
      <c r="AR1534" s="32"/>
      <c r="AS1534" s="32"/>
      <c r="AT1534" s="32"/>
      <c r="AU1534" s="32"/>
      <c r="AV1534" s="32"/>
      <c r="AW1534" s="32"/>
      <c r="AX1534" s="32"/>
    </row>
    <row r="1535">
      <c r="A1535" s="32"/>
      <c r="B1535" s="32"/>
      <c r="C1535" s="32"/>
      <c r="D1535" s="32"/>
      <c r="E1535" s="32">
        <f>IFERROR(__xludf.DUMMYFUNCTION("""COMPUTED_VALUE"""),1.0)</f>
        <v>1</v>
      </c>
      <c r="F1535" s="44">
        <f>IFERROR(__xludf.DUMMYFUNCTION("""COMPUTED_VALUE"""),0.0)</f>
        <v>0</v>
      </c>
      <c r="G1535" s="32"/>
      <c r="H1535" s="32"/>
      <c r="I1535" s="32"/>
      <c r="J1535" s="32"/>
      <c r="K1535" s="32"/>
      <c r="L1535" s="32"/>
      <c r="M1535" s="32"/>
      <c r="N1535" s="32"/>
      <c r="O1535" s="32"/>
      <c r="P1535" s="32"/>
      <c r="Q1535" s="32"/>
      <c r="R1535" s="32"/>
      <c r="S1535" s="32"/>
      <c r="T1535" s="32"/>
      <c r="U1535" s="32"/>
      <c r="V1535" s="32"/>
      <c r="W1535" s="32"/>
      <c r="X1535" s="32"/>
      <c r="Y1535" s="32"/>
      <c r="Z1535" s="32"/>
      <c r="AA1535" s="32"/>
      <c r="AB1535" s="32"/>
      <c r="AC1535" s="32"/>
      <c r="AD1535" s="32"/>
      <c r="AE1535" s="32"/>
      <c r="AF1535" s="32"/>
      <c r="AG1535" s="32"/>
      <c r="AH1535" s="32" t="b">
        <f>IFERROR(__xludf.DUMMYFUNCTION("""COMPUTED_VALUE"""),FALSE)</f>
        <v>0</v>
      </c>
      <c r="AI1535" s="32"/>
      <c r="AJ1535" s="32"/>
      <c r="AK1535" s="32"/>
      <c r="AL1535" s="32"/>
      <c r="AM1535" s="32"/>
      <c r="AN1535" s="32"/>
      <c r="AO1535" s="32"/>
      <c r="AP1535" s="32"/>
      <c r="AQ1535" s="32"/>
      <c r="AR1535" s="32"/>
      <c r="AS1535" s="32"/>
      <c r="AT1535" s="32"/>
      <c r="AU1535" s="32"/>
      <c r="AV1535" s="32"/>
      <c r="AW1535" s="32"/>
      <c r="AX1535" s="32"/>
    </row>
    <row r="1536">
      <c r="A1536" s="32"/>
      <c r="B1536" s="32"/>
      <c r="C1536" s="32"/>
      <c r="D1536" s="32"/>
      <c r="E1536" s="32">
        <f>IFERROR(__xludf.DUMMYFUNCTION("""COMPUTED_VALUE"""),1.0)</f>
        <v>1</v>
      </c>
      <c r="F1536" s="44">
        <f>IFERROR(__xludf.DUMMYFUNCTION("""COMPUTED_VALUE"""),0.0)</f>
        <v>0</v>
      </c>
      <c r="G1536" s="32"/>
      <c r="H1536" s="32"/>
      <c r="I1536" s="32"/>
      <c r="J1536" s="32"/>
      <c r="K1536" s="32"/>
      <c r="L1536" s="32"/>
      <c r="M1536" s="32"/>
      <c r="N1536" s="32"/>
      <c r="O1536" s="32"/>
      <c r="P1536" s="32"/>
      <c r="Q1536" s="32"/>
      <c r="R1536" s="32"/>
      <c r="S1536" s="32"/>
      <c r="T1536" s="32"/>
      <c r="U1536" s="32"/>
      <c r="V1536" s="32"/>
      <c r="W1536" s="32"/>
      <c r="X1536" s="32"/>
      <c r="Y1536" s="32"/>
      <c r="Z1536" s="32"/>
      <c r="AA1536" s="32"/>
      <c r="AB1536" s="32"/>
      <c r="AC1536" s="32"/>
      <c r="AD1536" s="32"/>
      <c r="AE1536" s="32"/>
      <c r="AF1536" s="32"/>
      <c r="AG1536" s="32"/>
      <c r="AH1536" s="32" t="b">
        <f>IFERROR(__xludf.DUMMYFUNCTION("""COMPUTED_VALUE"""),FALSE)</f>
        <v>0</v>
      </c>
      <c r="AI1536" s="32"/>
      <c r="AJ1536" s="32"/>
      <c r="AK1536" s="32"/>
      <c r="AL1536" s="32"/>
      <c r="AM1536" s="32"/>
      <c r="AN1536" s="32"/>
      <c r="AO1536" s="32"/>
      <c r="AP1536" s="32"/>
      <c r="AQ1536" s="32"/>
      <c r="AR1536" s="32"/>
      <c r="AS1536" s="32"/>
      <c r="AT1536" s="32"/>
      <c r="AU1536" s="32"/>
      <c r="AV1536" s="32"/>
      <c r="AW1536" s="32"/>
      <c r="AX1536" s="32"/>
    </row>
    <row r="1537">
      <c r="A1537" s="32"/>
      <c r="B1537" s="32"/>
      <c r="C1537" s="32"/>
      <c r="D1537" s="32"/>
      <c r="E1537" s="32">
        <f>IFERROR(__xludf.DUMMYFUNCTION("""COMPUTED_VALUE"""),1.0)</f>
        <v>1</v>
      </c>
      <c r="F1537" s="44">
        <f>IFERROR(__xludf.DUMMYFUNCTION("""COMPUTED_VALUE"""),0.0)</f>
        <v>0</v>
      </c>
      <c r="G1537" s="32"/>
      <c r="H1537" s="32"/>
      <c r="I1537" s="32"/>
      <c r="J1537" s="32"/>
      <c r="K1537" s="32"/>
      <c r="L1537" s="32"/>
      <c r="M1537" s="32"/>
      <c r="N1537" s="32"/>
      <c r="O1537" s="32"/>
      <c r="P1537" s="32"/>
      <c r="Q1537" s="32"/>
      <c r="R1537" s="32"/>
      <c r="S1537" s="32"/>
      <c r="T1537" s="32"/>
      <c r="U1537" s="32"/>
      <c r="V1537" s="32"/>
      <c r="W1537" s="32"/>
      <c r="X1537" s="32"/>
      <c r="Y1537" s="32"/>
      <c r="Z1537" s="32"/>
      <c r="AA1537" s="32"/>
      <c r="AB1537" s="32"/>
      <c r="AC1537" s="32"/>
      <c r="AD1537" s="32"/>
      <c r="AE1537" s="32"/>
      <c r="AF1537" s="32"/>
      <c r="AG1537" s="32"/>
      <c r="AH1537" s="32" t="b">
        <f>IFERROR(__xludf.DUMMYFUNCTION("""COMPUTED_VALUE"""),FALSE)</f>
        <v>0</v>
      </c>
      <c r="AI1537" s="32"/>
      <c r="AJ1537" s="32"/>
      <c r="AK1537" s="32"/>
      <c r="AL1537" s="32"/>
      <c r="AM1537" s="32"/>
      <c r="AN1537" s="32"/>
      <c r="AO1537" s="32"/>
      <c r="AP1537" s="32"/>
      <c r="AQ1537" s="32"/>
      <c r="AR1537" s="32"/>
      <c r="AS1537" s="32"/>
      <c r="AT1537" s="32"/>
      <c r="AU1537" s="32"/>
      <c r="AV1537" s="32"/>
      <c r="AW1537" s="32"/>
      <c r="AX1537" s="32"/>
    </row>
    <row r="1538">
      <c r="A1538" s="32"/>
      <c r="B1538" s="32"/>
      <c r="C1538" s="32"/>
      <c r="D1538" s="32"/>
      <c r="E1538" s="32">
        <f>IFERROR(__xludf.DUMMYFUNCTION("""COMPUTED_VALUE"""),1.0)</f>
        <v>1</v>
      </c>
      <c r="F1538" s="44">
        <f>IFERROR(__xludf.DUMMYFUNCTION("""COMPUTED_VALUE"""),0.0)</f>
        <v>0</v>
      </c>
      <c r="G1538" s="32"/>
      <c r="H1538" s="32"/>
      <c r="I1538" s="32"/>
      <c r="J1538" s="32"/>
      <c r="K1538" s="32"/>
      <c r="L1538" s="32"/>
      <c r="M1538" s="32"/>
      <c r="N1538" s="32"/>
      <c r="O1538" s="32"/>
      <c r="P1538" s="32"/>
      <c r="Q1538" s="32"/>
      <c r="R1538" s="32"/>
      <c r="S1538" s="32"/>
      <c r="T1538" s="32"/>
      <c r="U1538" s="32"/>
      <c r="V1538" s="32"/>
      <c r="W1538" s="32"/>
      <c r="X1538" s="32"/>
      <c r="Y1538" s="32"/>
      <c r="Z1538" s="32"/>
      <c r="AA1538" s="32"/>
      <c r="AB1538" s="32"/>
      <c r="AC1538" s="32"/>
      <c r="AD1538" s="32"/>
      <c r="AE1538" s="32"/>
      <c r="AF1538" s="32"/>
      <c r="AG1538" s="32"/>
      <c r="AH1538" s="32" t="b">
        <f>IFERROR(__xludf.DUMMYFUNCTION("""COMPUTED_VALUE"""),FALSE)</f>
        <v>0</v>
      </c>
      <c r="AI1538" s="32"/>
      <c r="AJ1538" s="32"/>
      <c r="AK1538" s="32"/>
      <c r="AL1538" s="32"/>
      <c r="AM1538" s="32"/>
      <c r="AN1538" s="32"/>
      <c r="AO1538" s="32"/>
      <c r="AP1538" s="32"/>
      <c r="AQ1538" s="32"/>
      <c r="AR1538" s="32"/>
      <c r="AS1538" s="32"/>
      <c r="AT1538" s="32"/>
      <c r="AU1538" s="32"/>
      <c r="AV1538" s="32"/>
      <c r="AW1538" s="32"/>
      <c r="AX1538" s="32"/>
    </row>
    <row r="1539">
      <c r="A1539" s="32"/>
      <c r="B1539" s="32"/>
      <c r="C1539" s="32"/>
      <c r="D1539" s="32"/>
      <c r="E1539" s="32">
        <f>IFERROR(__xludf.DUMMYFUNCTION("""COMPUTED_VALUE"""),1.0)</f>
        <v>1</v>
      </c>
      <c r="F1539" s="44">
        <f>IFERROR(__xludf.DUMMYFUNCTION("""COMPUTED_VALUE"""),0.0)</f>
        <v>0</v>
      </c>
      <c r="G1539" s="32"/>
      <c r="H1539" s="32"/>
      <c r="I1539" s="32"/>
      <c r="J1539" s="32"/>
      <c r="K1539" s="32"/>
      <c r="L1539" s="32"/>
      <c r="M1539" s="32"/>
      <c r="N1539" s="32"/>
      <c r="O1539" s="32"/>
      <c r="P1539" s="32"/>
      <c r="Q1539" s="32"/>
      <c r="R1539" s="32"/>
      <c r="S1539" s="32"/>
      <c r="T1539" s="32"/>
      <c r="U1539" s="32"/>
      <c r="V1539" s="32"/>
      <c r="W1539" s="32"/>
      <c r="X1539" s="32"/>
      <c r="Y1539" s="32"/>
      <c r="Z1539" s="32"/>
      <c r="AA1539" s="32"/>
      <c r="AB1539" s="32"/>
      <c r="AC1539" s="32"/>
      <c r="AD1539" s="32"/>
      <c r="AE1539" s="32"/>
      <c r="AF1539" s="32"/>
      <c r="AG1539" s="32"/>
      <c r="AH1539" s="32" t="b">
        <f>IFERROR(__xludf.DUMMYFUNCTION("""COMPUTED_VALUE"""),FALSE)</f>
        <v>0</v>
      </c>
      <c r="AI1539" s="32"/>
      <c r="AJ1539" s="32"/>
      <c r="AK1539" s="32"/>
      <c r="AL1539" s="32"/>
      <c r="AM1539" s="32"/>
      <c r="AN1539" s="32"/>
      <c r="AO1539" s="32"/>
      <c r="AP1539" s="32"/>
      <c r="AQ1539" s="32"/>
      <c r="AR1539" s="32"/>
      <c r="AS1539" s="32"/>
      <c r="AT1539" s="32"/>
      <c r="AU1539" s="32"/>
      <c r="AV1539" s="32"/>
      <c r="AW1539" s="32"/>
      <c r="AX1539" s="32"/>
    </row>
    <row r="1540">
      <c r="A1540" s="32"/>
      <c r="B1540" s="32"/>
      <c r="C1540" s="32"/>
      <c r="D1540" s="32"/>
      <c r="E1540" s="32">
        <f>IFERROR(__xludf.DUMMYFUNCTION("""COMPUTED_VALUE"""),1.0)</f>
        <v>1</v>
      </c>
      <c r="F1540" s="44">
        <f>IFERROR(__xludf.DUMMYFUNCTION("""COMPUTED_VALUE"""),0.0)</f>
        <v>0</v>
      </c>
      <c r="G1540" s="32"/>
      <c r="H1540" s="32"/>
      <c r="I1540" s="32"/>
      <c r="J1540" s="32"/>
      <c r="K1540" s="32"/>
      <c r="L1540" s="32"/>
      <c r="M1540" s="32"/>
      <c r="N1540" s="32"/>
      <c r="O1540" s="32"/>
      <c r="P1540" s="32"/>
      <c r="Q1540" s="32"/>
      <c r="R1540" s="32"/>
      <c r="S1540" s="32"/>
      <c r="T1540" s="32"/>
      <c r="U1540" s="32"/>
      <c r="V1540" s="32"/>
      <c r="W1540" s="32"/>
      <c r="X1540" s="32"/>
      <c r="Y1540" s="32"/>
      <c r="Z1540" s="32"/>
      <c r="AA1540" s="32"/>
      <c r="AB1540" s="32"/>
      <c r="AC1540" s="32"/>
      <c r="AD1540" s="32"/>
      <c r="AE1540" s="32"/>
      <c r="AF1540" s="32"/>
      <c r="AG1540" s="32"/>
      <c r="AH1540" s="32" t="b">
        <f>IFERROR(__xludf.DUMMYFUNCTION("""COMPUTED_VALUE"""),FALSE)</f>
        <v>0</v>
      </c>
      <c r="AI1540" s="32"/>
      <c r="AJ1540" s="32"/>
      <c r="AK1540" s="32"/>
      <c r="AL1540" s="32"/>
      <c r="AM1540" s="32"/>
      <c r="AN1540" s="32"/>
      <c r="AO1540" s="32"/>
      <c r="AP1540" s="32"/>
      <c r="AQ1540" s="32"/>
      <c r="AR1540" s="32"/>
      <c r="AS1540" s="32"/>
      <c r="AT1540" s="32"/>
      <c r="AU1540" s="32"/>
      <c r="AV1540" s="32"/>
      <c r="AW1540" s="32"/>
      <c r="AX1540" s="32"/>
    </row>
    <row r="1541">
      <c r="A1541" s="32"/>
      <c r="B1541" s="32"/>
      <c r="C1541" s="32"/>
      <c r="D1541" s="32"/>
      <c r="E1541" s="32">
        <f>IFERROR(__xludf.DUMMYFUNCTION("""COMPUTED_VALUE"""),1.0)</f>
        <v>1</v>
      </c>
      <c r="F1541" s="44">
        <f>IFERROR(__xludf.DUMMYFUNCTION("""COMPUTED_VALUE"""),0.0)</f>
        <v>0</v>
      </c>
      <c r="G1541" s="32"/>
      <c r="H1541" s="32"/>
      <c r="I1541" s="32"/>
      <c r="J1541" s="32"/>
      <c r="K1541" s="32"/>
      <c r="L1541" s="32"/>
      <c r="M1541" s="32"/>
      <c r="N1541" s="32"/>
      <c r="O1541" s="32"/>
      <c r="P1541" s="32"/>
      <c r="Q1541" s="32"/>
      <c r="R1541" s="32"/>
      <c r="S1541" s="32"/>
      <c r="T1541" s="32"/>
      <c r="U1541" s="32"/>
      <c r="V1541" s="32"/>
      <c r="W1541" s="32"/>
      <c r="X1541" s="32"/>
      <c r="Y1541" s="32"/>
      <c r="Z1541" s="32"/>
      <c r="AA1541" s="32"/>
      <c r="AB1541" s="32"/>
      <c r="AC1541" s="32"/>
      <c r="AD1541" s="32"/>
      <c r="AE1541" s="32"/>
      <c r="AF1541" s="32"/>
      <c r="AG1541" s="32"/>
      <c r="AH1541" s="32" t="b">
        <f>IFERROR(__xludf.DUMMYFUNCTION("""COMPUTED_VALUE"""),FALSE)</f>
        <v>0</v>
      </c>
      <c r="AI1541" s="32"/>
      <c r="AJ1541" s="32"/>
      <c r="AK1541" s="32"/>
      <c r="AL1541" s="32"/>
      <c r="AM1541" s="32"/>
      <c r="AN1541" s="32"/>
      <c r="AO1541" s="32"/>
      <c r="AP1541" s="32"/>
      <c r="AQ1541" s="32"/>
      <c r="AR1541" s="32"/>
      <c r="AS1541" s="32"/>
      <c r="AT1541" s="32"/>
      <c r="AU1541" s="32"/>
      <c r="AV1541" s="32"/>
      <c r="AW1541" s="32"/>
      <c r="AX1541" s="32"/>
    </row>
    <row r="1542">
      <c r="A1542" s="32"/>
      <c r="B1542" s="32"/>
      <c r="C1542" s="32"/>
      <c r="D1542" s="32"/>
      <c r="E1542" s="32">
        <f>IFERROR(__xludf.DUMMYFUNCTION("""COMPUTED_VALUE"""),1.0)</f>
        <v>1</v>
      </c>
      <c r="F1542" s="44">
        <f>IFERROR(__xludf.DUMMYFUNCTION("""COMPUTED_VALUE"""),0.0)</f>
        <v>0</v>
      </c>
      <c r="G1542" s="32"/>
      <c r="H1542" s="32"/>
      <c r="I1542" s="32"/>
      <c r="J1542" s="32"/>
      <c r="K1542" s="32"/>
      <c r="L1542" s="32"/>
      <c r="M1542" s="32"/>
      <c r="N1542" s="32"/>
      <c r="O1542" s="32"/>
      <c r="P1542" s="32"/>
      <c r="Q1542" s="32"/>
      <c r="R1542" s="32"/>
      <c r="S1542" s="32"/>
      <c r="T1542" s="32"/>
      <c r="U1542" s="32"/>
      <c r="V1542" s="32"/>
      <c r="W1542" s="32"/>
      <c r="X1542" s="32"/>
      <c r="Y1542" s="32"/>
      <c r="Z1542" s="32"/>
      <c r="AA1542" s="32"/>
      <c r="AB1542" s="32"/>
      <c r="AC1542" s="32"/>
      <c r="AD1542" s="32"/>
      <c r="AE1542" s="32"/>
      <c r="AF1542" s="32"/>
      <c r="AG1542" s="32"/>
      <c r="AH1542" s="32" t="b">
        <f>IFERROR(__xludf.DUMMYFUNCTION("""COMPUTED_VALUE"""),FALSE)</f>
        <v>0</v>
      </c>
      <c r="AI1542" s="32"/>
      <c r="AJ1542" s="32"/>
      <c r="AK1542" s="32"/>
      <c r="AL1542" s="32"/>
      <c r="AM1542" s="32"/>
      <c r="AN1542" s="32"/>
      <c r="AO1542" s="32"/>
      <c r="AP1542" s="32"/>
      <c r="AQ1542" s="32"/>
      <c r="AR1542" s="32"/>
      <c r="AS1542" s="32"/>
      <c r="AT1542" s="32"/>
      <c r="AU1542" s="32"/>
      <c r="AV1542" s="32"/>
      <c r="AW1542" s="32"/>
      <c r="AX1542" s="32"/>
    </row>
    <row r="1543">
      <c r="A1543" s="32"/>
      <c r="B1543" s="32"/>
      <c r="C1543" s="32"/>
      <c r="D1543" s="32"/>
      <c r="E1543" s="32">
        <f>IFERROR(__xludf.DUMMYFUNCTION("""COMPUTED_VALUE"""),1.0)</f>
        <v>1</v>
      </c>
      <c r="F1543" s="44">
        <f>IFERROR(__xludf.DUMMYFUNCTION("""COMPUTED_VALUE"""),0.0)</f>
        <v>0</v>
      </c>
      <c r="G1543" s="32"/>
      <c r="H1543" s="32"/>
      <c r="I1543" s="32"/>
      <c r="J1543" s="32"/>
      <c r="K1543" s="32"/>
      <c r="L1543" s="32"/>
      <c r="M1543" s="32"/>
      <c r="N1543" s="32"/>
      <c r="O1543" s="32"/>
      <c r="P1543" s="32"/>
      <c r="Q1543" s="32"/>
      <c r="R1543" s="32"/>
      <c r="S1543" s="32"/>
      <c r="T1543" s="32"/>
      <c r="U1543" s="32"/>
      <c r="V1543" s="32"/>
      <c r="W1543" s="32"/>
      <c r="X1543" s="32"/>
      <c r="Y1543" s="32"/>
      <c r="Z1543" s="32"/>
      <c r="AA1543" s="32"/>
      <c r="AB1543" s="32"/>
      <c r="AC1543" s="32"/>
      <c r="AD1543" s="32"/>
      <c r="AE1543" s="32"/>
      <c r="AF1543" s="32"/>
      <c r="AG1543" s="32"/>
      <c r="AH1543" s="32" t="b">
        <f>IFERROR(__xludf.DUMMYFUNCTION("""COMPUTED_VALUE"""),FALSE)</f>
        <v>0</v>
      </c>
      <c r="AI1543" s="32"/>
      <c r="AJ1543" s="32"/>
      <c r="AK1543" s="32"/>
      <c r="AL1543" s="32"/>
      <c r="AM1543" s="32"/>
      <c r="AN1543" s="32"/>
      <c r="AO1543" s="32"/>
      <c r="AP1543" s="32"/>
      <c r="AQ1543" s="32"/>
      <c r="AR1543" s="32"/>
      <c r="AS1543" s="32"/>
      <c r="AT1543" s="32"/>
      <c r="AU1543" s="32"/>
      <c r="AV1543" s="32"/>
      <c r="AW1543" s="32"/>
      <c r="AX1543" s="32"/>
    </row>
    <row r="1544">
      <c r="A1544" s="32"/>
      <c r="B1544" s="32"/>
      <c r="C1544" s="32"/>
      <c r="D1544" s="32"/>
      <c r="E1544" s="32">
        <f>IFERROR(__xludf.DUMMYFUNCTION("""COMPUTED_VALUE"""),1.0)</f>
        <v>1</v>
      </c>
      <c r="F1544" s="44">
        <f>IFERROR(__xludf.DUMMYFUNCTION("""COMPUTED_VALUE"""),0.0)</f>
        <v>0</v>
      </c>
      <c r="G1544" s="32"/>
      <c r="H1544" s="32"/>
      <c r="I1544" s="32"/>
      <c r="J1544" s="32"/>
      <c r="K1544" s="32"/>
      <c r="L1544" s="32"/>
      <c r="M1544" s="32"/>
      <c r="N1544" s="32"/>
      <c r="O1544" s="32"/>
      <c r="P1544" s="32"/>
      <c r="Q1544" s="32"/>
      <c r="R1544" s="32"/>
      <c r="S1544" s="32"/>
      <c r="T1544" s="32"/>
      <c r="U1544" s="32"/>
      <c r="V1544" s="32"/>
      <c r="W1544" s="32"/>
      <c r="X1544" s="32"/>
      <c r="Y1544" s="32"/>
      <c r="Z1544" s="32"/>
      <c r="AA1544" s="32"/>
      <c r="AB1544" s="32"/>
      <c r="AC1544" s="32"/>
      <c r="AD1544" s="32"/>
      <c r="AE1544" s="32"/>
      <c r="AF1544" s="32"/>
      <c r="AG1544" s="32"/>
      <c r="AH1544" s="32" t="b">
        <f>IFERROR(__xludf.DUMMYFUNCTION("""COMPUTED_VALUE"""),FALSE)</f>
        <v>0</v>
      </c>
      <c r="AI1544" s="32"/>
      <c r="AJ1544" s="32"/>
      <c r="AK1544" s="32"/>
      <c r="AL1544" s="32"/>
      <c r="AM1544" s="32"/>
      <c r="AN1544" s="32"/>
      <c r="AO1544" s="32"/>
      <c r="AP1544" s="32"/>
      <c r="AQ1544" s="32"/>
      <c r="AR1544" s="32"/>
      <c r="AS1544" s="32"/>
      <c r="AT1544" s="32"/>
      <c r="AU1544" s="32"/>
      <c r="AV1544" s="32"/>
      <c r="AW1544" s="32"/>
      <c r="AX1544" s="32"/>
    </row>
    <row r="1545">
      <c r="A1545" s="32"/>
      <c r="B1545" s="32"/>
      <c r="C1545" s="32"/>
      <c r="D1545" s="32"/>
      <c r="E1545" s="32">
        <f>IFERROR(__xludf.DUMMYFUNCTION("""COMPUTED_VALUE"""),1.0)</f>
        <v>1</v>
      </c>
      <c r="F1545" s="44">
        <f>IFERROR(__xludf.DUMMYFUNCTION("""COMPUTED_VALUE"""),0.0)</f>
        <v>0</v>
      </c>
      <c r="G1545" s="32"/>
      <c r="H1545" s="32"/>
      <c r="I1545" s="32"/>
      <c r="J1545" s="32"/>
      <c r="K1545" s="32"/>
      <c r="L1545" s="32"/>
      <c r="M1545" s="32"/>
      <c r="N1545" s="32"/>
      <c r="O1545" s="32"/>
      <c r="P1545" s="32"/>
      <c r="Q1545" s="32"/>
      <c r="R1545" s="32"/>
      <c r="S1545" s="32"/>
      <c r="T1545" s="32"/>
      <c r="U1545" s="32"/>
      <c r="V1545" s="32"/>
      <c r="W1545" s="32"/>
      <c r="X1545" s="32"/>
      <c r="Y1545" s="32"/>
      <c r="Z1545" s="32"/>
      <c r="AA1545" s="32"/>
      <c r="AB1545" s="32"/>
      <c r="AC1545" s="32"/>
      <c r="AD1545" s="32"/>
      <c r="AE1545" s="32"/>
      <c r="AF1545" s="32"/>
      <c r="AG1545" s="32"/>
      <c r="AH1545" s="32" t="b">
        <f>IFERROR(__xludf.DUMMYFUNCTION("""COMPUTED_VALUE"""),FALSE)</f>
        <v>0</v>
      </c>
      <c r="AI1545" s="32"/>
      <c r="AJ1545" s="32"/>
      <c r="AK1545" s="32"/>
      <c r="AL1545" s="32"/>
      <c r="AM1545" s="32"/>
      <c r="AN1545" s="32"/>
      <c r="AO1545" s="32"/>
      <c r="AP1545" s="32"/>
      <c r="AQ1545" s="32"/>
      <c r="AR1545" s="32"/>
      <c r="AS1545" s="32"/>
      <c r="AT1545" s="32"/>
      <c r="AU1545" s="32"/>
      <c r="AV1545" s="32"/>
      <c r="AW1545" s="32"/>
      <c r="AX1545" s="32"/>
    </row>
    <row r="1546">
      <c r="A1546" s="32"/>
      <c r="B1546" s="32"/>
      <c r="C1546" s="32"/>
      <c r="D1546" s="32"/>
      <c r="E1546" s="32">
        <f>IFERROR(__xludf.DUMMYFUNCTION("""COMPUTED_VALUE"""),1.0)</f>
        <v>1</v>
      </c>
      <c r="F1546" s="44">
        <f>IFERROR(__xludf.DUMMYFUNCTION("""COMPUTED_VALUE"""),0.0)</f>
        <v>0</v>
      </c>
      <c r="G1546" s="32"/>
      <c r="H1546" s="32"/>
      <c r="I1546" s="32"/>
      <c r="J1546" s="32"/>
      <c r="K1546" s="32"/>
      <c r="L1546" s="32"/>
      <c r="M1546" s="32"/>
      <c r="N1546" s="32"/>
      <c r="O1546" s="32"/>
      <c r="P1546" s="32"/>
      <c r="Q1546" s="32"/>
      <c r="R1546" s="32"/>
      <c r="S1546" s="32"/>
      <c r="T1546" s="32"/>
      <c r="U1546" s="32"/>
      <c r="V1546" s="32"/>
      <c r="W1546" s="32"/>
      <c r="X1546" s="32"/>
      <c r="Y1546" s="32"/>
      <c r="Z1546" s="32"/>
      <c r="AA1546" s="32"/>
      <c r="AB1546" s="32"/>
      <c r="AC1546" s="32"/>
      <c r="AD1546" s="32"/>
      <c r="AE1546" s="32"/>
      <c r="AF1546" s="32"/>
      <c r="AG1546" s="32"/>
      <c r="AH1546" s="32" t="b">
        <f>IFERROR(__xludf.DUMMYFUNCTION("""COMPUTED_VALUE"""),FALSE)</f>
        <v>0</v>
      </c>
      <c r="AI1546" s="32"/>
      <c r="AJ1546" s="32"/>
      <c r="AK1546" s="32"/>
      <c r="AL1546" s="32"/>
      <c r="AM1546" s="32"/>
      <c r="AN1546" s="32"/>
      <c r="AO1546" s="32"/>
      <c r="AP1546" s="32"/>
      <c r="AQ1546" s="32"/>
      <c r="AR1546" s="32"/>
      <c r="AS1546" s="32"/>
      <c r="AT1546" s="32"/>
      <c r="AU1546" s="32"/>
      <c r="AV1546" s="32"/>
      <c r="AW1546" s="32"/>
      <c r="AX1546" s="32"/>
    </row>
    <row r="1547">
      <c r="A1547" s="32"/>
      <c r="B1547" s="32"/>
      <c r="C1547" s="32"/>
      <c r="D1547" s="32"/>
      <c r="E1547" s="32">
        <f>IFERROR(__xludf.DUMMYFUNCTION("""COMPUTED_VALUE"""),1.0)</f>
        <v>1</v>
      </c>
      <c r="F1547" s="44">
        <f>IFERROR(__xludf.DUMMYFUNCTION("""COMPUTED_VALUE"""),0.0)</f>
        <v>0</v>
      </c>
      <c r="G1547" s="32"/>
      <c r="H1547" s="32"/>
      <c r="I1547" s="32"/>
      <c r="J1547" s="32"/>
      <c r="K1547" s="32"/>
      <c r="L1547" s="32"/>
      <c r="M1547" s="32"/>
      <c r="N1547" s="32"/>
      <c r="O1547" s="32"/>
      <c r="P1547" s="32"/>
      <c r="Q1547" s="32"/>
      <c r="R1547" s="32"/>
      <c r="S1547" s="32"/>
      <c r="T1547" s="32"/>
      <c r="U1547" s="32"/>
      <c r="V1547" s="32"/>
      <c r="W1547" s="32"/>
      <c r="X1547" s="32"/>
      <c r="Y1547" s="32"/>
      <c r="Z1547" s="32"/>
      <c r="AA1547" s="32"/>
      <c r="AB1547" s="32"/>
      <c r="AC1547" s="32"/>
      <c r="AD1547" s="32"/>
      <c r="AE1547" s="32"/>
      <c r="AF1547" s="32"/>
      <c r="AG1547" s="32"/>
      <c r="AH1547" s="32" t="b">
        <f>IFERROR(__xludf.DUMMYFUNCTION("""COMPUTED_VALUE"""),FALSE)</f>
        <v>0</v>
      </c>
      <c r="AI1547" s="32"/>
      <c r="AJ1547" s="32"/>
      <c r="AK1547" s="32"/>
      <c r="AL1547" s="32"/>
      <c r="AM1547" s="32"/>
      <c r="AN1547" s="32"/>
      <c r="AO1547" s="32"/>
      <c r="AP1547" s="32"/>
      <c r="AQ1547" s="32"/>
      <c r="AR1547" s="32"/>
      <c r="AS1547" s="32"/>
      <c r="AT1547" s="32"/>
      <c r="AU1547" s="32"/>
      <c r="AV1547" s="32"/>
      <c r="AW1547" s="32"/>
      <c r="AX1547" s="32"/>
    </row>
    <row r="1548">
      <c r="A1548" s="32"/>
      <c r="B1548" s="32"/>
      <c r="C1548" s="32"/>
      <c r="D1548" s="32"/>
      <c r="E1548" s="32">
        <f>IFERROR(__xludf.DUMMYFUNCTION("""COMPUTED_VALUE"""),1.0)</f>
        <v>1</v>
      </c>
      <c r="F1548" s="44">
        <f>IFERROR(__xludf.DUMMYFUNCTION("""COMPUTED_VALUE"""),0.0)</f>
        <v>0</v>
      </c>
      <c r="G1548" s="32"/>
      <c r="H1548" s="32"/>
      <c r="I1548" s="32"/>
      <c r="J1548" s="32"/>
      <c r="K1548" s="32"/>
      <c r="L1548" s="32"/>
      <c r="M1548" s="32"/>
      <c r="N1548" s="32"/>
      <c r="O1548" s="32"/>
      <c r="P1548" s="32"/>
      <c r="Q1548" s="32"/>
      <c r="R1548" s="32"/>
      <c r="S1548" s="32"/>
      <c r="T1548" s="32"/>
      <c r="U1548" s="32"/>
      <c r="V1548" s="32"/>
      <c r="W1548" s="32"/>
      <c r="X1548" s="32"/>
      <c r="Y1548" s="32"/>
      <c r="Z1548" s="32"/>
      <c r="AA1548" s="32"/>
      <c r="AB1548" s="32"/>
      <c r="AC1548" s="32"/>
      <c r="AD1548" s="32"/>
      <c r="AE1548" s="32"/>
      <c r="AF1548" s="32"/>
      <c r="AG1548" s="32"/>
      <c r="AH1548" s="32" t="b">
        <f>IFERROR(__xludf.DUMMYFUNCTION("""COMPUTED_VALUE"""),FALSE)</f>
        <v>0</v>
      </c>
      <c r="AI1548" s="32"/>
      <c r="AJ1548" s="32"/>
      <c r="AK1548" s="32"/>
      <c r="AL1548" s="32"/>
      <c r="AM1548" s="32"/>
      <c r="AN1548" s="32"/>
      <c r="AO1548" s="32"/>
      <c r="AP1548" s="32"/>
      <c r="AQ1548" s="32"/>
      <c r="AR1548" s="32"/>
      <c r="AS1548" s="32"/>
      <c r="AT1548" s="32"/>
      <c r="AU1548" s="32"/>
      <c r="AV1548" s="32"/>
      <c r="AW1548" s="32"/>
      <c r="AX1548" s="32"/>
    </row>
    <row r="1549">
      <c r="A1549" s="32"/>
      <c r="B1549" s="32"/>
      <c r="C1549" s="32"/>
      <c r="D1549" s="32"/>
      <c r="E1549" s="32">
        <f>IFERROR(__xludf.DUMMYFUNCTION("""COMPUTED_VALUE"""),1.0)</f>
        <v>1</v>
      </c>
      <c r="F1549" s="44">
        <f>IFERROR(__xludf.DUMMYFUNCTION("""COMPUTED_VALUE"""),0.0)</f>
        <v>0</v>
      </c>
      <c r="G1549" s="32"/>
      <c r="H1549" s="32"/>
      <c r="I1549" s="32"/>
      <c r="J1549" s="32"/>
      <c r="K1549" s="32"/>
      <c r="L1549" s="32"/>
      <c r="M1549" s="32"/>
      <c r="N1549" s="32"/>
      <c r="O1549" s="32"/>
      <c r="P1549" s="32"/>
      <c r="Q1549" s="32"/>
      <c r="R1549" s="32"/>
      <c r="S1549" s="32"/>
      <c r="T1549" s="32"/>
      <c r="U1549" s="32"/>
      <c r="V1549" s="32"/>
      <c r="W1549" s="32"/>
      <c r="X1549" s="32"/>
      <c r="Y1549" s="32"/>
      <c r="Z1549" s="32"/>
      <c r="AA1549" s="32"/>
      <c r="AB1549" s="32"/>
      <c r="AC1549" s="32"/>
      <c r="AD1549" s="32"/>
      <c r="AE1549" s="32"/>
      <c r="AF1549" s="32"/>
      <c r="AG1549" s="32"/>
      <c r="AH1549" s="32" t="b">
        <f>IFERROR(__xludf.DUMMYFUNCTION("""COMPUTED_VALUE"""),FALSE)</f>
        <v>0</v>
      </c>
      <c r="AI1549" s="32"/>
      <c r="AJ1549" s="32"/>
      <c r="AK1549" s="32"/>
      <c r="AL1549" s="32"/>
      <c r="AM1549" s="32"/>
      <c r="AN1549" s="32"/>
      <c r="AO1549" s="32"/>
      <c r="AP1549" s="32"/>
      <c r="AQ1549" s="32"/>
      <c r="AR1549" s="32"/>
      <c r="AS1549" s="32"/>
      <c r="AT1549" s="32"/>
      <c r="AU1549" s="32"/>
      <c r="AV1549" s="32"/>
      <c r="AW1549" s="32"/>
      <c r="AX1549" s="32"/>
    </row>
    <row r="1550">
      <c r="A1550" s="32"/>
      <c r="B1550" s="32"/>
      <c r="C1550" s="32"/>
      <c r="D1550" s="32"/>
      <c r="E1550" s="32">
        <f>IFERROR(__xludf.DUMMYFUNCTION("""COMPUTED_VALUE"""),1.0)</f>
        <v>1</v>
      </c>
      <c r="F1550" s="44">
        <f>IFERROR(__xludf.DUMMYFUNCTION("""COMPUTED_VALUE"""),0.0)</f>
        <v>0</v>
      </c>
      <c r="G1550" s="32"/>
      <c r="H1550" s="32"/>
      <c r="I1550" s="32"/>
      <c r="J1550" s="32"/>
      <c r="K1550" s="32"/>
      <c r="L1550" s="32"/>
      <c r="M1550" s="32"/>
      <c r="N1550" s="32"/>
      <c r="O1550" s="32"/>
      <c r="P1550" s="32"/>
      <c r="Q1550" s="32"/>
      <c r="R1550" s="32"/>
      <c r="S1550" s="32"/>
      <c r="T1550" s="32"/>
      <c r="U1550" s="32"/>
      <c r="V1550" s="32"/>
      <c r="W1550" s="32"/>
      <c r="X1550" s="32"/>
      <c r="Y1550" s="32"/>
      <c r="Z1550" s="32"/>
      <c r="AA1550" s="32"/>
      <c r="AB1550" s="32"/>
      <c r="AC1550" s="32"/>
      <c r="AD1550" s="32"/>
      <c r="AE1550" s="32"/>
      <c r="AF1550" s="32"/>
      <c r="AG1550" s="32"/>
      <c r="AH1550" s="32" t="b">
        <f>IFERROR(__xludf.DUMMYFUNCTION("""COMPUTED_VALUE"""),FALSE)</f>
        <v>0</v>
      </c>
      <c r="AI1550" s="32"/>
      <c r="AJ1550" s="32"/>
      <c r="AK1550" s="32"/>
      <c r="AL1550" s="32"/>
      <c r="AM1550" s="32"/>
      <c r="AN1550" s="32"/>
      <c r="AO1550" s="32"/>
      <c r="AP1550" s="32"/>
      <c r="AQ1550" s="32"/>
      <c r="AR1550" s="32"/>
      <c r="AS1550" s="32"/>
      <c r="AT1550" s="32"/>
      <c r="AU1550" s="32"/>
      <c r="AV1550" s="32"/>
      <c r="AW1550" s="32"/>
      <c r="AX1550" s="32"/>
    </row>
    <row r="1551">
      <c r="A1551" s="32"/>
      <c r="B1551" s="32"/>
      <c r="C1551" s="32"/>
      <c r="D1551" s="32"/>
      <c r="E1551" s="32">
        <f>IFERROR(__xludf.DUMMYFUNCTION("""COMPUTED_VALUE"""),1.0)</f>
        <v>1</v>
      </c>
      <c r="F1551" s="44">
        <f>IFERROR(__xludf.DUMMYFUNCTION("""COMPUTED_VALUE"""),0.0)</f>
        <v>0</v>
      </c>
      <c r="G1551" s="32"/>
      <c r="H1551" s="32"/>
      <c r="I1551" s="32"/>
      <c r="J1551" s="32"/>
      <c r="K1551" s="32"/>
      <c r="L1551" s="32"/>
      <c r="M1551" s="32"/>
      <c r="N1551" s="32"/>
      <c r="O1551" s="32"/>
      <c r="P1551" s="32"/>
      <c r="Q1551" s="32"/>
      <c r="R1551" s="32"/>
      <c r="S1551" s="32"/>
      <c r="T1551" s="32"/>
      <c r="U1551" s="32"/>
      <c r="V1551" s="32"/>
      <c r="W1551" s="32"/>
      <c r="X1551" s="32"/>
      <c r="Y1551" s="32"/>
      <c r="Z1551" s="32"/>
      <c r="AA1551" s="32"/>
      <c r="AB1551" s="32"/>
      <c r="AC1551" s="32"/>
      <c r="AD1551" s="32"/>
      <c r="AE1551" s="32"/>
      <c r="AF1551" s="32"/>
      <c r="AG1551" s="32"/>
      <c r="AH1551" s="32" t="b">
        <f>IFERROR(__xludf.DUMMYFUNCTION("""COMPUTED_VALUE"""),FALSE)</f>
        <v>0</v>
      </c>
      <c r="AI1551" s="32"/>
      <c r="AJ1551" s="32"/>
      <c r="AK1551" s="32"/>
      <c r="AL1551" s="32"/>
      <c r="AM1551" s="32"/>
      <c r="AN1551" s="32"/>
      <c r="AO1551" s="32"/>
      <c r="AP1551" s="32"/>
      <c r="AQ1551" s="32"/>
      <c r="AR1551" s="32"/>
      <c r="AS1551" s="32"/>
      <c r="AT1551" s="32"/>
      <c r="AU1551" s="32"/>
      <c r="AV1551" s="32"/>
      <c r="AW1551" s="32"/>
      <c r="AX1551" s="32"/>
    </row>
    <row r="1552">
      <c r="A1552" s="32"/>
      <c r="B1552" s="32"/>
      <c r="C1552" s="32"/>
      <c r="D1552" s="32"/>
      <c r="E1552" s="32">
        <f>IFERROR(__xludf.DUMMYFUNCTION("""COMPUTED_VALUE"""),1.0)</f>
        <v>1</v>
      </c>
      <c r="F1552" s="44">
        <f>IFERROR(__xludf.DUMMYFUNCTION("""COMPUTED_VALUE"""),0.0)</f>
        <v>0</v>
      </c>
      <c r="G1552" s="32"/>
      <c r="H1552" s="32"/>
      <c r="I1552" s="32"/>
      <c r="J1552" s="32"/>
      <c r="K1552" s="32"/>
      <c r="L1552" s="32"/>
      <c r="M1552" s="32"/>
      <c r="N1552" s="32"/>
      <c r="O1552" s="32"/>
      <c r="P1552" s="32"/>
      <c r="Q1552" s="32"/>
      <c r="R1552" s="32"/>
      <c r="S1552" s="32"/>
      <c r="T1552" s="32"/>
      <c r="U1552" s="32"/>
      <c r="V1552" s="32"/>
      <c r="W1552" s="32"/>
      <c r="X1552" s="32"/>
      <c r="Y1552" s="32"/>
      <c r="Z1552" s="32"/>
      <c r="AA1552" s="32"/>
      <c r="AB1552" s="32"/>
      <c r="AC1552" s="32"/>
      <c r="AD1552" s="32"/>
      <c r="AE1552" s="32"/>
      <c r="AF1552" s="32"/>
      <c r="AG1552" s="32"/>
      <c r="AH1552" s="32" t="b">
        <f>IFERROR(__xludf.DUMMYFUNCTION("""COMPUTED_VALUE"""),FALSE)</f>
        <v>0</v>
      </c>
      <c r="AI1552" s="32"/>
      <c r="AJ1552" s="32"/>
      <c r="AK1552" s="32"/>
      <c r="AL1552" s="32"/>
      <c r="AM1552" s="32"/>
      <c r="AN1552" s="32"/>
      <c r="AO1552" s="32"/>
      <c r="AP1552" s="32"/>
      <c r="AQ1552" s="32"/>
      <c r="AR1552" s="32"/>
      <c r="AS1552" s="32"/>
      <c r="AT1552" s="32"/>
      <c r="AU1552" s="32"/>
      <c r="AV1552" s="32"/>
      <c r="AW1552" s="32"/>
      <c r="AX1552" s="32"/>
    </row>
    <row r="1553">
      <c r="A1553" s="32"/>
      <c r="B1553" s="32"/>
      <c r="C1553" s="32"/>
      <c r="D1553" s="32"/>
      <c r="E1553" s="32">
        <f>IFERROR(__xludf.DUMMYFUNCTION("""COMPUTED_VALUE"""),1.0)</f>
        <v>1</v>
      </c>
      <c r="F1553" s="44">
        <f>IFERROR(__xludf.DUMMYFUNCTION("""COMPUTED_VALUE"""),0.0)</f>
        <v>0</v>
      </c>
      <c r="G1553" s="32"/>
      <c r="H1553" s="32"/>
      <c r="I1553" s="32"/>
      <c r="J1553" s="32"/>
      <c r="K1553" s="32"/>
      <c r="L1553" s="32"/>
      <c r="M1553" s="32"/>
      <c r="N1553" s="32"/>
      <c r="O1553" s="32"/>
      <c r="P1553" s="32"/>
      <c r="Q1553" s="32"/>
      <c r="R1553" s="32"/>
      <c r="S1553" s="32"/>
      <c r="T1553" s="32"/>
      <c r="U1553" s="32"/>
      <c r="V1553" s="32"/>
      <c r="W1553" s="32"/>
      <c r="X1553" s="32"/>
      <c r="Y1553" s="32"/>
      <c r="Z1553" s="32"/>
      <c r="AA1553" s="32"/>
      <c r="AB1553" s="32"/>
      <c r="AC1553" s="32"/>
      <c r="AD1553" s="32"/>
      <c r="AE1553" s="32"/>
      <c r="AF1553" s="32"/>
      <c r="AG1553" s="32"/>
      <c r="AH1553" s="32" t="b">
        <f>IFERROR(__xludf.DUMMYFUNCTION("""COMPUTED_VALUE"""),FALSE)</f>
        <v>0</v>
      </c>
      <c r="AI1553" s="32"/>
      <c r="AJ1553" s="32"/>
      <c r="AK1553" s="32"/>
      <c r="AL1553" s="32"/>
      <c r="AM1553" s="32"/>
      <c r="AN1553" s="32"/>
      <c r="AO1553" s="32"/>
      <c r="AP1553" s="32"/>
      <c r="AQ1553" s="32"/>
      <c r="AR1553" s="32"/>
      <c r="AS1553" s="32"/>
      <c r="AT1553" s="32"/>
      <c r="AU1553" s="32"/>
      <c r="AV1553" s="32"/>
      <c r="AW1553" s="32"/>
      <c r="AX1553" s="32"/>
    </row>
    <row r="1554">
      <c r="A1554" s="32"/>
      <c r="B1554" s="32"/>
      <c r="C1554" s="32"/>
      <c r="D1554" s="32"/>
      <c r="E1554" s="32">
        <f>IFERROR(__xludf.DUMMYFUNCTION("""COMPUTED_VALUE"""),1.0)</f>
        <v>1</v>
      </c>
      <c r="F1554" s="44">
        <f>IFERROR(__xludf.DUMMYFUNCTION("""COMPUTED_VALUE"""),0.0)</f>
        <v>0</v>
      </c>
      <c r="G1554" s="32"/>
      <c r="H1554" s="32"/>
      <c r="I1554" s="32"/>
      <c r="J1554" s="32"/>
      <c r="K1554" s="32"/>
      <c r="L1554" s="32"/>
      <c r="M1554" s="32"/>
      <c r="N1554" s="32"/>
      <c r="O1554" s="32"/>
      <c r="P1554" s="32"/>
      <c r="Q1554" s="32"/>
      <c r="R1554" s="32"/>
      <c r="S1554" s="32"/>
      <c r="T1554" s="32"/>
      <c r="U1554" s="32"/>
      <c r="V1554" s="32"/>
      <c r="W1554" s="32"/>
      <c r="X1554" s="32"/>
      <c r="Y1554" s="32"/>
      <c r="Z1554" s="32"/>
      <c r="AA1554" s="32"/>
      <c r="AB1554" s="32"/>
      <c r="AC1554" s="32"/>
      <c r="AD1554" s="32"/>
      <c r="AE1554" s="32"/>
      <c r="AF1554" s="32"/>
      <c r="AG1554" s="32"/>
      <c r="AH1554" s="32" t="b">
        <f>IFERROR(__xludf.DUMMYFUNCTION("""COMPUTED_VALUE"""),FALSE)</f>
        <v>0</v>
      </c>
      <c r="AI1554" s="32"/>
      <c r="AJ1554" s="32"/>
      <c r="AK1554" s="32"/>
      <c r="AL1554" s="32"/>
      <c r="AM1554" s="32"/>
      <c r="AN1554" s="32"/>
      <c r="AO1554" s="32"/>
      <c r="AP1554" s="32"/>
      <c r="AQ1554" s="32"/>
      <c r="AR1554" s="32"/>
      <c r="AS1554" s="32"/>
      <c r="AT1554" s="32"/>
      <c r="AU1554" s="32"/>
      <c r="AV1554" s="32"/>
      <c r="AW1554" s="32"/>
      <c r="AX1554" s="32"/>
    </row>
    <row r="1555">
      <c r="A1555" s="32"/>
      <c r="B1555" s="32"/>
      <c r="C1555" s="32"/>
      <c r="D1555" s="32"/>
      <c r="E1555" s="32">
        <f>IFERROR(__xludf.DUMMYFUNCTION("""COMPUTED_VALUE"""),1.0)</f>
        <v>1</v>
      </c>
      <c r="F1555" s="44">
        <f>IFERROR(__xludf.DUMMYFUNCTION("""COMPUTED_VALUE"""),0.0)</f>
        <v>0</v>
      </c>
      <c r="G1555" s="32"/>
      <c r="H1555" s="32"/>
      <c r="I1555" s="32"/>
      <c r="J1555" s="32"/>
      <c r="K1555" s="32"/>
      <c r="L1555" s="32"/>
      <c r="M1555" s="32"/>
      <c r="N1555" s="32"/>
      <c r="O1555" s="32"/>
      <c r="P1555" s="32"/>
      <c r="Q1555" s="32"/>
      <c r="R1555" s="32"/>
      <c r="S1555" s="32"/>
      <c r="T1555" s="32"/>
      <c r="U1555" s="32"/>
      <c r="V1555" s="32"/>
      <c r="W1555" s="32"/>
      <c r="X1555" s="32"/>
      <c r="Y1555" s="32"/>
      <c r="Z1555" s="32"/>
      <c r="AA1555" s="32"/>
      <c r="AB1555" s="32"/>
      <c r="AC1555" s="32"/>
      <c r="AD1555" s="32"/>
      <c r="AE1555" s="32"/>
      <c r="AF1555" s="32"/>
      <c r="AG1555" s="32"/>
      <c r="AH1555" s="32" t="b">
        <f>IFERROR(__xludf.DUMMYFUNCTION("""COMPUTED_VALUE"""),FALSE)</f>
        <v>0</v>
      </c>
      <c r="AI1555" s="32"/>
      <c r="AJ1555" s="32"/>
      <c r="AK1555" s="32"/>
      <c r="AL1555" s="32"/>
      <c r="AM1555" s="32"/>
      <c r="AN1555" s="32"/>
      <c r="AO1555" s="32"/>
      <c r="AP1555" s="32"/>
      <c r="AQ1555" s="32"/>
      <c r="AR1555" s="32"/>
      <c r="AS1555" s="32"/>
      <c r="AT1555" s="32"/>
      <c r="AU1555" s="32"/>
      <c r="AV1555" s="32"/>
      <c r="AW1555" s="32"/>
      <c r="AX1555" s="32"/>
    </row>
    <row r="1556">
      <c r="A1556" s="32"/>
      <c r="B1556" s="32"/>
      <c r="C1556" s="32"/>
      <c r="D1556" s="32"/>
      <c r="E1556" s="32">
        <f>IFERROR(__xludf.DUMMYFUNCTION("""COMPUTED_VALUE"""),1.0)</f>
        <v>1</v>
      </c>
      <c r="F1556" s="44">
        <f>IFERROR(__xludf.DUMMYFUNCTION("""COMPUTED_VALUE"""),0.0)</f>
        <v>0</v>
      </c>
      <c r="G1556" s="32"/>
      <c r="H1556" s="32"/>
      <c r="I1556" s="32"/>
      <c r="J1556" s="32"/>
      <c r="K1556" s="32"/>
      <c r="L1556" s="32"/>
      <c r="M1556" s="32"/>
      <c r="N1556" s="32"/>
      <c r="O1556" s="32"/>
      <c r="P1556" s="32"/>
      <c r="Q1556" s="32"/>
      <c r="R1556" s="32"/>
      <c r="S1556" s="32"/>
      <c r="T1556" s="32"/>
      <c r="U1556" s="32"/>
      <c r="V1556" s="32"/>
      <c r="W1556" s="32"/>
      <c r="X1556" s="32"/>
      <c r="Y1556" s="32"/>
      <c r="Z1556" s="32"/>
      <c r="AA1556" s="32"/>
      <c r="AB1556" s="32"/>
      <c r="AC1556" s="32"/>
      <c r="AD1556" s="32"/>
      <c r="AE1556" s="32"/>
      <c r="AF1556" s="32"/>
      <c r="AG1556" s="32"/>
      <c r="AH1556" s="32" t="b">
        <f>IFERROR(__xludf.DUMMYFUNCTION("""COMPUTED_VALUE"""),FALSE)</f>
        <v>0</v>
      </c>
      <c r="AI1556" s="32"/>
      <c r="AJ1556" s="32"/>
      <c r="AK1556" s="32"/>
      <c r="AL1556" s="32"/>
      <c r="AM1556" s="32"/>
      <c r="AN1556" s="32"/>
      <c r="AO1556" s="32"/>
      <c r="AP1556" s="32"/>
      <c r="AQ1556" s="32"/>
      <c r="AR1556" s="32"/>
      <c r="AS1556" s="32"/>
      <c r="AT1556" s="32"/>
      <c r="AU1556" s="32"/>
      <c r="AV1556" s="32"/>
      <c r="AW1556" s="32"/>
      <c r="AX1556" s="32"/>
    </row>
    <row r="1557">
      <c r="A1557" s="32"/>
      <c r="B1557" s="32"/>
      <c r="C1557" s="32"/>
      <c r="D1557" s="32"/>
      <c r="E1557" s="32">
        <f>IFERROR(__xludf.DUMMYFUNCTION("""COMPUTED_VALUE"""),1.0)</f>
        <v>1</v>
      </c>
      <c r="F1557" s="44">
        <f>IFERROR(__xludf.DUMMYFUNCTION("""COMPUTED_VALUE"""),0.0)</f>
        <v>0</v>
      </c>
      <c r="G1557" s="32"/>
      <c r="H1557" s="32"/>
      <c r="I1557" s="32"/>
      <c r="J1557" s="32"/>
      <c r="K1557" s="32"/>
      <c r="L1557" s="32"/>
      <c r="M1557" s="32"/>
      <c r="N1557" s="32"/>
      <c r="O1557" s="32"/>
      <c r="P1557" s="32"/>
      <c r="Q1557" s="32"/>
      <c r="R1557" s="32"/>
      <c r="S1557" s="32"/>
      <c r="T1557" s="32"/>
      <c r="U1557" s="32"/>
      <c r="V1557" s="32"/>
      <c r="W1557" s="32"/>
      <c r="X1557" s="32"/>
      <c r="Y1557" s="32"/>
      <c r="Z1557" s="32"/>
      <c r="AA1557" s="32"/>
      <c r="AB1557" s="32"/>
      <c r="AC1557" s="32"/>
      <c r="AD1557" s="32"/>
      <c r="AE1557" s="32"/>
      <c r="AF1557" s="32"/>
      <c r="AG1557" s="32"/>
      <c r="AH1557" s="32" t="b">
        <f>IFERROR(__xludf.DUMMYFUNCTION("""COMPUTED_VALUE"""),FALSE)</f>
        <v>0</v>
      </c>
      <c r="AI1557" s="32"/>
      <c r="AJ1557" s="32"/>
      <c r="AK1557" s="32"/>
      <c r="AL1557" s="32"/>
      <c r="AM1557" s="32"/>
      <c r="AN1557" s="32"/>
      <c r="AO1557" s="32"/>
      <c r="AP1557" s="32"/>
      <c r="AQ1557" s="32"/>
      <c r="AR1557" s="32"/>
      <c r="AS1557" s="32"/>
      <c r="AT1557" s="32"/>
      <c r="AU1557" s="32"/>
      <c r="AV1557" s="32"/>
      <c r="AW1557" s="32"/>
      <c r="AX1557" s="32"/>
    </row>
    <row r="1558">
      <c r="A1558" s="32"/>
      <c r="B1558" s="32"/>
      <c r="C1558" s="32"/>
      <c r="D1558" s="32"/>
      <c r="E1558" s="32">
        <f>IFERROR(__xludf.DUMMYFUNCTION("""COMPUTED_VALUE"""),1.0)</f>
        <v>1</v>
      </c>
      <c r="F1558" s="44">
        <f>IFERROR(__xludf.DUMMYFUNCTION("""COMPUTED_VALUE"""),0.0)</f>
        <v>0</v>
      </c>
      <c r="G1558" s="32"/>
      <c r="H1558" s="32"/>
      <c r="I1558" s="32"/>
      <c r="J1558" s="32"/>
      <c r="K1558" s="32"/>
      <c r="L1558" s="32"/>
      <c r="M1558" s="32"/>
      <c r="N1558" s="32"/>
      <c r="O1558" s="32"/>
      <c r="P1558" s="32"/>
      <c r="Q1558" s="32"/>
      <c r="R1558" s="32"/>
      <c r="S1558" s="32"/>
      <c r="T1558" s="32"/>
      <c r="U1558" s="32"/>
      <c r="V1558" s="32"/>
      <c r="W1558" s="32"/>
      <c r="X1558" s="32"/>
      <c r="Y1558" s="32"/>
      <c r="Z1558" s="32"/>
      <c r="AA1558" s="32"/>
      <c r="AB1558" s="32"/>
      <c r="AC1558" s="32"/>
      <c r="AD1558" s="32"/>
      <c r="AE1558" s="32"/>
      <c r="AF1558" s="32"/>
      <c r="AG1558" s="32"/>
      <c r="AH1558" s="32" t="b">
        <f>IFERROR(__xludf.DUMMYFUNCTION("""COMPUTED_VALUE"""),FALSE)</f>
        <v>0</v>
      </c>
      <c r="AI1558" s="32"/>
      <c r="AJ1558" s="32"/>
      <c r="AK1558" s="32"/>
      <c r="AL1558" s="32"/>
      <c r="AM1558" s="32"/>
      <c r="AN1558" s="32"/>
      <c r="AO1558" s="32"/>
      <c r="AP1558" s="32"/>
      <c r="AQ1558" s="32"/>
      <c r="AR1558" s="32"/>
      <c r="AS1558" s="32"/>
      <c r="AT1558" s="32"/>
      <c r="AU1558" s="32"/>
      <c r="AV1558" s="32"/>
      <c r="AW1558" s="32"/>
      <c r="AX1558" s="32"/>
    </row>
    <row r="1559">
      <c r="A1559" s="32"/>
      <c r="B1559" s="32"/>
      <c r="C1559" s="32"/>
      <c r="D1559" s="32"/>
      <c r="E1559" s="32">
        <f>IFERROR(__xludf.DUMMYFUNCTION("""COMPUTED_VALUE"""),1.0)</f>
        <v>1</v>
      </c>
      <c r="F1559" s="44">
        <f>IFERROR(__xludf.DUMMYFUNCTION("""COMPUTED_VALUE"""),0.0)</f>
        <v>0</v>
      </c>
      <c r="G1559" s="32"/>
      <c r="H1559" s="32"/>
      <c r="I1559" s="32"/>
      <c r="J1559" s="32"/>
      <c r="K1559" s="32"/>
      <c r="L1559" s="32"/>
      <c r="M1559" s="32"/>
      <c r="N1559" s="32"/>
      <c r="O1559" s="32"/>
      <c r="P1559" s="32"/>
      <c r="Q1559" s="32"/>
      <c r="R1559" s="32"/>
      <c r="S1559" s="32"/>
      <c r="T1559" s="32"/>
      <c r="U1559" s="32"/>
      <c r="V1559" s="32"/>
      <c r="W1559" s="32"/>
      <c r="X1559" s="32"/>
      <c r="Y1559" s="32"/>
      <c r="Z1559" s="32"/>
      <c r="AA1559" s="32"/>
      <c r="AB1559" s="32"/>
      <c r="AC1559" s="32"/>
      <c r="AD1559" s="32"/>
      <c r="AE1559" s="32"/>
      <c r="AF1559" s="32"/>
      <c r="AG1559" s="32"/>
      <c r="AH1559" s="32" t="b">
        <f>IFERROR(__xludf.DUMMYFUNCTION("""COMPUTED_VALUE"""),FALSE)</f>
        <v>0</v>
      </c>
      <c r="AI1559" s="32"/>
      <c r="AJ1559" s="32"/>
      <c r="AK1559" s="32"/>
      <c r="AL1559" s="32"/>
      <c r="AM1559" s="32"/>
      <c r="AN1559" s="32"/>
      <c r="AO1559" s="32"/>
      <c r="AP1559" s="32"/>
      <c r="AQ1559" s="32"/>
      <c r="AR1559" s="32"/>
      <c r="AS1559" s="32"/>
      <c r="AT1559" s="32"/>
      <c r="AU1559" s="32"/>
      <c r="AV1559" s="32"/>
      <c r="AW1559" s="32"/>
      <c r="AX1559" s="32"/>
    </row>
    <row r="1560">
      <c r="A1560" s="32"/>
      <c r="B1560" s="32"/>
      <c r="C1560" s="32"/>
      <c r="D1560" s="32"/>
      <c r="E1560" s="32">
        <f>IFERROR(__xludf.DUMMYFUNCTION("""COMPUTED_VALUE"""),1.0)</f>
        <v>1</v>
      </c>
      <c r="F1560" s="44">
        <f>IFERROR(__xludf.DUMMYFUNCTION("""COMPUTED_VALUE"""),0.0)</f>
        <v>0</v>
      </c>
      <c r="G1560" s="32"/>
      <c r="H1560" s="32"/>
      <c r="I1560" s="32"/>
      <c r="J1560" s="32"/>
      <c r="K1560" s="32"/>
      <c r="L1560" s="32"/>
      <c r="M1560" s="32"/>
      <c r="N1560" s="32"/>
      <c r="O1560" s="32"/>
      <c r="P1560" s="32"/>
      <c r="Q1560" s="32"/>
      <c r="R1560" s="32"/>
      <c r="S1560" s="32"/>
      <c r="T1560" s="32"/>
      <c r="U1560" s="32"/>
      <c r="V1560" s="32"/>
      <c r="W1560" s="32"/>
      <c r="X1560" s="32"/>
      <c r="Y1560" s="32"/>
      <c r="Z1560" s="32"/>
      <c r="AA1560" s="32"/>
      <c r="AB1560" s="32"/>
      <c r="AC1560" s="32"/>
      <c r="AD1560" s="32"/>
      <c r="AE1560" s="32"/>
      <c r="AF1560" s="32"/>
      <c r="AG1560" s="32"/>
      <c r="AH1560" s="32" t="b">
        <f>IFERROR(__xludf.DUMMYFUNCTION("""COMPUTED_VALUE"""),FALSE)</f>
        <v>0</v>
      </c>
      <c r="AI1560" s="32"/>
      <c r="AJ1560" s="32"/>
      <c r="AK1560" s="32"/>
      <c r="AL1560" s="32"/>
      <c r="AM1560" s="32"/>
      <c r="AN1560" s="32"/>
      <c r="AO1560" s="32"/>
      <c r="AP1560" s="32"/>
      <c r="AQ1560" s="32"/>
      <c r="AR1560" s="32"/>
      <c r="AS1560" s="32"/>
      <c r="AT1560" s="32"/>
      <c r="AU1560" s="32"/>
      <c r="AV1560" s="32"/>
      <c r="AW1560" s="32"/>
      <c r="AX1560" s="32"/>
    </row>
    <row r="1561">
      <c r="A1561" s="32"/>
      <c r="B1561" s="32"/>
      <c r="C1561" s="32"/>
      <c r="D1561" s="32"/>
      <c r="E1561" s="32">
        <f>IFERROR(__xludf.DUMMYFUNCTION("""COMPUTED_VALUE"""),1.0)</f>
        <v>1</v>
      </c>
      <c r="F1561" s="44">
        <f>IFERROR(__xludf.DUMMYFUNCTION("""COMPUTED_VALUE"""),0.0)</f>
        <v>0</v>
      </c>
      <c r="G1561" s="32"/>
      <c r="H1561" s="32"/>
      <c r="I1561" s="32"/>
      <c r="J1561" s="32"/>
      <c r="K1561" s="32"/>
      <c r="L1561" s="32"/>
      <c r="M1561" s="32"/>
      <c r="N1561" s="32"/>
      <c r="O1561" s="32"/>
      <c r="P1561" s="32"/>
      <c r="Q1561" s="32"/>
      <c r="R1561" s="32"/>
      <c r="S1561" s="32"/>
      <c r="T1561" s="32"/>
      <c r="U1561" s="32"/>
      <c r="V1561" s="32"/>
      <c r="W1561" s="32"/>
      <c r="X1561" s="32"/>
      <c r="Y1561" s="32"/>
      <c r="Z1561" s="32"/>
      <c r="AA1561" s="32"/>
      <c r="AB1561" s="32"/>
      <c r="AC1561" s="32"/>
      <c r="AD1561" s="32"/>
      <c r="AE1561" s="32"/>
      <c r="AF1561" s="32"/>
      <c r="AG1561" s="32"/>
      <c r="AH1561" s="32" t="b">
        <f>IFERROR(__xludf.DUMMYFUNCTION("""COMPUTED_VALUE"""),FALSE)</f>
        <v>0</v>
      </c>
      <c r="AI1561" s="32"/>
      <c r="AJ1561" s="32"/>
      <c r="AK1561" s="32"/>
      <c r="AL1561" s="32"/>
      <c r="AM1561" s="32"/>
      <c r="AN1561" s="32"/>
      <c r="AO1561" s="32"/>
      <c r="AP1561" s="32"/>
      <c r="AQ1561" s="32"/>
      <c r="AR1561" s="32"/>
      <c r="AS1561" s="32"/>
      <c r="AT1561" s="32"/>
      <c r="AU1561" s="32"/>
      <c r="AV1561" s="32"/>
      <c r="AW1561" s="32"/>
      <c r="AX1561" s="32"/>
    </row>
    <row r="1562">
      <c r="A1562" s="32"/>
      <c r="B1562" s="32"/>
      <c r="C1562" s="32"/>
      <c r="D1562" s="32"/>
      <c r="E1562" s="32">
        <f>IFERROR(__xludf.DUMMYFUNCTION("""COMPUTED_VALUE"""),1.0)</f>
        <v>1</v>
      </c>
      <c r="F1562" s="44">
        <f>IFERROR(__xludf.DUMMYFUNCTION("""COMPUTED_VALUE"""),0.0)</f>
        <v>0</v>
      </c>
      <c r="G1562" s="32"/>
      <c r="H1562" s="32"/>
      <c r="I1562" s="32"/>
      <c r="J1562" s="32"/>
      <c r="K1562" s="32"/>
      <c r="L1562" s="32"/>
      <c r="M1562" s="32"/>
      <c r="N1562" s="32"/>
      <c r="O1562" s="32"/>
      <c r="P1562" s="32"/>
      <c r="Q1562" s="32"/>
      <c r="R1562" s="32"/>
      <c r="S1562" s="32"/>
      <c r="T1562" s="32"/>
      <c r="U1562" s="32"/>
      <c r="V1562" s="32"/>
      <c r="W1562" s="32"/>
      <c r="X1562" s="32"/>
      <c r="Y1562" s="32"/>
      <c r="Z1562" s="32"/>
      <c r="AA1562" s="32"/>
      <c r="AB1562" s="32"/>
      <c r="AC1562" s="32"/>
      <c r="AD1562" s="32"/>
      <c r="AE1562" s="32"/>
      <c r="AF1562" s="32"/>
      <c r="AG1562" s="32"/>
      <c r="AH1562" s="32" t="b">
        <f>IFERROR(__xludf.DUMMYFUNCTION("""COMPUTED_VALUE"""),FALSE)</f>
        <v>0</v>
      </c>
      <c r="AI1562" s="32"/>
      <c r="AJ1562" s="32"/>
      <c r="AK1562" s="32"/>
      <c r="AL1562" s="32"/>
      <c r="AM1562" s="32"/>
      <c r="AN1562" s="32"/>
      <c r="AO1562" s="32"/>
      <c r="AP1562" s="32"/>
      <c r="AQ1562" s="32"/>
      <c r="AR1562" s="32"/>
      <c r="AS1562" s="32"/>
      <c r="AT1562" s="32"/>
      <c r="AU1562" s="32"/>
      <c r="AV1562" s="32"/>
      <c r="AW1562" s="32"/>
      <c r="AX1562" s="32"/>
    </row>
    <row r="1563">
      <c r="A1563" s="32"/>
      <c r="B1563" s="32"/>
      <c r="C1563" s="32"/>
      <c r="D1563" s="32"/>
      <c r="E1563" s="32">
        <f>IFERROR(__xludf.DUMMYFUNCTION("""COMPUTED_VALUE"""),1.0)</f>
        <v>1</v>
      </c>
      <c r="F1563" s="44">
        <f>IFERROR(__xludf.DUMMYFUNCTION("""COMPUTED_VALUE"""),0.0)</f>
        <v>0</v>
      </c>
      <c r="G1563" s="32"/>
      <c r="H1563" s="32"/>
      <c r="I1563" s="32"/>
      <c r="J1563" s="32"/>
      <c r="K1563" s="32"/>
      <c r="L1563" s="32"/>
      <c r="M1563" s="32"/>
      <c r="N1563" s="32"/>
      <c r="O1563" s="32"/>
      <c r="P1563" s="32"/>
      <c r="Q1563" s="32"/>
      <c r="R1563" s="32"/>
      <c r="S1563" s="32"/>
      <c r="T1563" s="32"/>
      <c r="U1563" s="32"/>
      <c r="V1563" s="32"/>
      <c r="W1563" s="32"/>
      <c r="X1563" s="32"/>
      <c r="Y1563" s="32"/>
      <c r="Z1563" s="32"/>
      <c r="AA1563" s="32"/>
      <c r="AB1563" s="32"/>
      <c r="AC1563" s="32"/>
      <c r="AD1563" s="32"/>
      <c r="AE1563" s="32"/>
      <c r="AF1563" s="32"/>
      <c r="AG1563" s="32"/>
      <c r="AH1563" s="32" t="b">
        <f>IFERROR(__xludf.DUMMYFUNCTION("""COMPUTED_VALUE"""),FALSE)</f>
        <v>0</v>
      </c>
      <c r="AI1563" s="32"/>
      <c r="AJ1563" s="32"/>
      <c r="AK1563" s="32"/>
      <c r="AL1563" s="32"/>
      <c r="AM1563" s="32"/>
      <c r="AN1563" s="32"/>
      <c r="AO1563" s="32"/>
      <c r="AP1563" s="32"/>
      <c r="AQ1563" s="32"/>
      <c r="AR1563" s="32"/>
      <c r="AS1563" s="32"/>
      <c r="AT1563" s="32"/>
      <c r="AU1563" s="32"/>
      <c r="AV1563" s="32"/>
      <c r="AW1563" s="32"/>
      <c r="AX1563" s="32"/>
    </row>
    <row r="1564">
      <c r="A1564" s="32"/>
      <c r="B1564" s="32"/>
      <c r="C1564" s="32"/>
      <c r="D1564" s="32"/>
      <c r="E1564" s="32">
        <f>IFERROR(__xludf.DUMMYFUNCTION("""COMPUTED_VALUE"""),1.0)</f>
        <v>1</v>
      </c>
      <c r="F1564" s="44">
        <f>IFERROR(__xludf.DUMMYFUNCTION("""COMPUTED_VALUE"""),0.0)</f>
        <v>0</v>
      </c>
      <c r="G1564" s="32"/>
      <c r="H1564" s="32"/>
      <c r="I1564" s="32"/>
      <c r="J1564" s="32"/>
      <c r="K1564" s="32"/>
      <c r="L1564" s="32"/>
      <c r="M1564" s="32"/>
      <c r="N1564" s="32"/>
      <c r="O1564" s="32"/>
      <c r="P1564" s="32"/>
      <c r="Q1564" s="32"/>
      <c r="R1564" s="32"/>
      <c r="S1564" s="32"/>
      <c r="T1564" s="32"/>
      <c r="U1564" s="32"/>
      <c r="V1564" s="32"/>
      <c r="W1564" s="32"/>
      <c r="X1564" s="32"/>
      <c r="Y1564" s="32"/>
      <c r="Z1564" s="32"/>
      <c r="AA1564" s="32"/>
      <c r="AB1564" s="32"/>
      <c r="AC1564" s="32"/>
      <c r="AD1564" s="32"/>
      <c r="AE1564" s="32"/>
      <c r="AF1564" s="32"/>
      <c r="AG1564" s="32"/>
      <c r="AH1564" s="32" t="b">
        <f>IFERROR(__xludf.DUMMYFUNCTION("""COMPUTED_VALUE"""),FALSE)</f>
        <v>0</v>
      </c>
      <c r="AI1564" s="32"/>
      <c r="AJ1564" s="32"/>
      <c r="AK1564" s="32"/>
      <c r="AL1564" s="32"/>
      <c r="AM1564" s="32"/>
      <c r="AN1564" s="32"/>
      <c r="AO1564" s="32"/>
      <c r="AP1564" s="32"/>
      <c r="AQ1564" s="32"/>
      <c r="AR1564" s="32"/>
      <c r="AS1564" s="32"/>
      <c r="AT1564" s="32"/>
      <c r="AU1564" s="32"/>
      <c r="AV1564" s="32"/>
      <c r="AW1564" s="32"/>
      <c r="AX1564" s="32"/>
    </row>
    <row r="1565">
      <c r="A1565" s="32"/>
      <c r="B1565" s="32"/>
      <c r="C1565" s="32"/>
      <c r="D1565" s="32"/>
      <c r="E1565" s="32">
        <f>IFERROR(__xludf.DUMMYFUNCTION("""COMPUTED_VALUE"""),1.0)</f>
        <v>1</v>
      </c>
      <c r="F1565" s="44">
        <f>IFERROR(__xludf.DUMMYFUNCTION("""COMPUTED_VALUE"""),0.0)</f>
        <v>0</v>
      </c>
      <c r="G1565" s="32"/>
      <c r="H1565" s="32"/>
      <c r="I1565" s="32"/>
      <c r="J1565" s="32"/>
      <c r="K1565" s="32"/>
      <c r="L1565" s="32"/>
      <c r="M1565" s="32"/>
      <c r="N1565" s="32"/>
      <c r="O1565" s="32"/>
      <c r="P1565" s="32"/>
      <c r="Q1565" s="32"/>
      <c r="R1565" s="32"/>
      <c r="S1565" s="32"/>
      <c r="T1565" s="32"/>
      <c r="U1565" s="32"/>
      <c r="V1565" s="32"/>
      <c r="W1565" s="32"/>
      <c r="X1565" s="32"/>
      <c r="Y1565" s="32"/>
      <c r="Z1565" s="32"/>
      <c r="AA1565" s="32"/>
      <c r="AB1565" s="32"/>
      <c r="AC1565" s="32"/>
      <c r="AD1565" s="32"/>
      <c r="AE1565" s="32"/>
      <c r="AF1565" s="32"/>
      <c r="AG1565" s="32"/>
      <c r="AH1565" s="32" t="b">
        <f>IFERROR(__xludf.DUMMYFUNCTION("""COMPUTED_VALUE"""),FALSE)</f>
        <v>0</v>
      </c>
      <c r="AI1565" s="32"/>
      <c r="AJ1565" s="32"/>
      <c r="AK1565" s="32"/>
      <c r="AL1565" s="32"/>
      <c r="AM1565" s="32"/>
      <c r="AN1565" s="32"/>
      <c r="AO1565" s="32"/>
      <c r="AP1565" s="32"/>
      <c r="AQ1565" s="32"/>
      <c r="AR1565" s="32"/>
      <c r="AS1565" s="32"/>
      <c r="AT1565" s="32"/>
      <c r="AU1565" s="32"/>
      <c r="AV1565" s="32"/>
      <c r="AW1565" s="32"/>
      <c r="AX1565" s="32"/>
    </row>
    <row r="1566">
      <c r="A1566" s="32"/>
      <c r="B1566" s="32"/>
      <c r="C1566" s="32"/>
      <c r="D1566" s="32"/>
      <c r="E1566" s="32">
        <f>IFERROR(__xludf.DUMMYFUNCTION("""COMPUTED_VALUE"""),1.0)</f>
        <v>1</v>
      </c>
      <c r="F1566" s="44">
        <f>IFERROR(__xludf.DUMMYFUNCTION("""COMPUTED_VALUE"""),0.0)</f>
        <v>0</v>
      </c>
      <c r="G1566" s="32"/>
      <c r="H1566" s="32"/>
      <c r="I1566" s="32"/>
      <c r="J1566" s="32"/>
      <c r="K1566" s="32"/>
      <c r="L1566" s="32"/>
      <c r="M1566" s="32"/>
      <c r="N1566" s="32"/>
      <c r="O1566" s="32"/>
      <c r="P1566" s="32"/>
      <c r="Q1566" s="32"/>
      <c r="R1566" s="32"/>
      <c r="S1566" s="32"/>
      <c r="T1566" s="32"/>
      <c r="U1566" s="32"/>
      <c r="V1566" s="32"/>
      <c r="W1566" s="32"/>
      <c r="X1566" s="32"/>
      <c r="Y1566" s="32"/>
      <c r="Z1566" s="32"/>
      <c r="AA1566" s="32"/>
      <c r="AB1566" s="32"/>
      <c r="AC1566" s="32"/>
      <c r="AD1566" s="32"/>
      <c r="AE1566" s="32"/>
      <c r="AF1566" s="32"/>
      <c r="AG1566" s="32"/>
      <c r="AH1566" s="32" t="b">
        <f>IFERROR(__xludf.DUMMYFUNCTION("""COMPUTED_VALUE"""),FALSE)</f>
        <v>0</v>
      </c>
      <c r="AI1566" s="32"/>
      <c r="AJ1566" s="32"/>
      <c r="AK1566" s="32"/>
      <c r="AL1566" s="32"/>
      <c r="AM1566" s="32"/>
      <c r="AN1566" s="32"/>
      <c r="AO1566" s="32"/>
      <c r="AP1566" s="32"/>
      <c r="AQ1566" s="32"/>
      <c r="AR1566" s="32"/>
      <c r="AS1566" s="32"/>
      <c r="AT1566" s="32"/>
      <c r="AU1566" s="32"/>
      <c r="AV1566" s="32"/>
      <c r="AW1566" s="32"/>
      <c r="AX1566" s="32"/>
    </row>
    <row r="1567">
      <c r="A1567" s="32"/>
      <c r="B1567" s="32"/>
      <c r="C1567" s="32"/>
      <c r="D1567" s="32"/>
      <c r="E1567" s="32">
        <f>IFERROR(__xludf.DUMMYFUNCTION("""COMPUTED_VALUE"""),1.0)</f>
        <v>1</v>
      </c>
      <c r="F1567" s="44">
        <f>IFERROR(__xludf.DUMMYFUNCTION("""COMPUTED_VALUE"""),0.0)</f>
        <v>0</v>
      </c>
      <c r="G1567" s="32"/>
      <c r="H1567" s="32"/>
      <c r="I1567" s="32"/>
      <c r="J1567" s="32"/>
      <c r="K1567" s="32"/>
      <c r="L1567" s="32"/>
      <c r="M1567" s="32"/>
      <c r="N1567" s="32"/>
      <c r="O1567" s="32"/>
      <c r="P1567" s="32"/>
      <c r="Q1567" s="32"/>
      <c r="R1567" s="32"/>
      <c r="S1567" s="32"/>
      <c r="T1567" s="32"/>
      <c r="U1567" s="32"/>
      <c r="V1567" s="32"/>
      <c r="W1567" s="32"/>
      <c r="X1567" s="32"/>
      <c r="Y1567" s="32"/>
      <c r="Z1567" s="32"/>
      <c r="AA1567" s="32"/>
      <c r="AB1567" s="32"/>
      <c r="AC1567" s="32"/>
      <c r="AD1567" s="32"/>
      <c r="AE1567" s="32"/>
      <c r="AF1567" s="32"/>
      <c r="AG1567" s="32"/>
      <c r="AH1567" s="32" t="b">
        <f>IFERROR(__xludf.DUMMYFUNCTION("""COMPUTED_VALUE"""),FALSE)</f>
        <v>0</v>
      </c>
      <c r="AI1567" s="32"/>
      <c r="AJ1567" s="32"/>
      <c r="AK1567" s="32"/>
      <c r="AL1567" s="32"/>
      <c r="AM1567" s="32"/>
      <c r="AN1567" s="32"/>
      <c r="AO1567" s="32"/>
      <c r="AP1567" s="32"/>
      <c r="AQ1567" s="32"/>
      <c r="AR1567" s="32"/>
      <c r="AS1567" s="32"/>
      <c r="AT1567" s="32"/>
      <c r="AU1567" s="32"/>
      <c r="AV1567" s="32"/>
      <c r="AW1567" s="32"/>
      <c r="AX1567" s="32"/>
    </row>
    <row r="1568">
      <c r="A1568" s="32"/>
      <c r="B1568" s="32"/>
      <c r="C1568" s="32"/>
      <c r="D1568" s="32"/>
      <c r="E1568" s="32">
        <f>IFERROR(__xludf.DUMMYFUNCTION("""COMPUTED_VALUE"""),1.0)</f>
        <v>1</v>
      </c>
      <c r="F1568" s="44">
        <f>IFERROR(__xludf.DUMMYFUNCTION("""COMPUTED_VALUE"""),0.0)</f>
        <v>0</v>
      </c>
      <c r="G1568" s="32"/>
      <c r="H1568" s="32"/>
      <c r="I1568" s="32"/>
      <c r="J1568" s="32"/>
      <c r="K1568" s="32"/>
      <c r="L1568" s="32"/>
      <c r="M1568" s="32"/>
      <c r="N1568" s="32"/>
      <c r="O1568" s="32"/>
      <c r="P1568" s="32"/>
      <c r="Q1568" s="32"/>
      <c r="R1568" s="32"/>
      <c r="S1568" s="32"/>
      <c r="T1568" s="32"/>
      <c r="U1568" s="32"/>
      <c r="V1568" s="32"/>
      <c r="W1568" s="32"/>
      <c r="X1568" s="32"/>
      <c r="Y1568" s="32"/>
      <c r="Z1568" s="32"/>
      <c r="AA1568" s="32"/>
      <c r="AB1568" s="32"/>
      <c r="AC1568" s="32"/>
      <c r="AD1568" s="32"/>
      <c r="AE1568" s="32"/>
      <c r="AF1568" s="32"/>
      <c r="AG1568" s="32"/>
      <c r="AH1568" s="32" t="b">
        <f>IFERROR(__xludf.DUMMYFUNCTION("""COMPUTED_VALUE"""),FALSE)</f>
        <v>0</v>
      </c>
      <c r="AI1568" s="32"/>
      <c r="AJ1568" s="32"/>
      <c r="AK1568" s="32"/>
      <c r="AL1568" s="32"/>
      <c r="AM1568" s="32"/>
      <c r="AN1568" s="32"/>
      <c r="AO1568" s="32"/>
      <c r="AP1568" s="32"/>
      <c r="AQ1568" s="32"/>
      <c r="AR1568" s="32"/>
      <c r="AS1568" s="32"/>
      <c r="AT1568" s="32"/>
      <c r="AU1568" s="32"/>
      <c r="AV1568" s="32"/>
      <c r="AW1568" s="32"/>
      <c r="AX1568" s="32"/>
    </row>
    <row r="1569">
      <c r="A1569" s="32"/>
      <c r="B1569" s="32"/>
      <c r="C1569" s="32"/>
      <c r="D1569" s="32"/>
      <c r="E1569" s="32">
        <f>IFERROR(__xludf.DUMMYFUNCTION("""COMPUTED_VALUE"""),1.0)</f>
        <v>1</v>
      </c>
      <c r="F1569" s="44">
        <f>IFERROR(__xludf.DUMMYFUNCTION("""COMPUTED_VALUE"""),0.0)</f>
        <v>0</v>
      </c>
      <c r="G1569" s="32"/>
      <c r="H1569" s="32"/>
      <c r="I1569" s="32"/>
      <c r="J1569" s="32"/>
      <c r="K1569" s="32"/>
      <c r="L1569" s="32"/>
      <c r="M1569" s="32"/>
      <c r="N1569" s="32"/>
      <c r="O1569" s="32"/>
      <c r="P1569" s="32"/>
      <c r="Q1569" s="32"/>
      <c r="R1569" s="32"/>
      <c r="S1569" s="32"/>
      <c r="T1569" s="32"/>
      <c r="U1569" s="32"/>
      <c r="V1569" s="32"/>
      <c r="W1569" s="32"/>
      <c r="X1569" s="32"/>
      <c r="Y1569" s="32"/>
      <c r="Z1569" s="32"/>
      <c r="AA1569" s="32"/>
      <c r="AB1569" s="32"/>
      <c r="AC1569" s="32"/>
      <c r="AD1569" s="32"/>
      <c r="AE1569" s="32"/>
      <c r="AF1569" s="32"/>
      <c r="AG1569" s="32"/>
      <c r="AH1569" s="32" t="b">
        <f>IFERROR(__xludf.DUMMYFUNCTION("""COMPUTED_VALUE"""),FALSE)</f>
        <v>0</v>
      </c>
      <c r="AI1569" s="32"/>
      <c r="AJ1569" s="32"/>
      <c r="AK1569" s="32"/>
      <c r="AL1569" s="32"/>
      <c r="AM1569" s="32"/>
      <c r="AN1569" s="32"/>
      <c r="AO1569" s="32"/>
      <c r="AP1569" s="32"/>
      <c r="AQ1569" s="32"/>
      <c r="AR1569" s="32"/>
      <c r="AS1569" s="32"/>
      <c r="AT1569" s="32"/>
      <c r="AU1569" s="32"/>
      <c r="AV1569" s="32"/>
      <c r="AW1569" s="32"/>
      <c r="AX1569" s="32"/>
    </row>
    <row r="1570">
      <c r="A1570" s="32"/>
      <c r="B1570" s="32"/>
      <c r="C1570" s="32"/>
      <c r="D1570" s="32"/>
      <c r="E1570" s="32">
        <f>IFERROR(__xludf.DUMMYFUNCTION("""COMPUTED_VALUE"""),1.0)</f>
        <v>1</v>
      </c>
      <c r="F1570" s="44">
        <f>IFERROR(__xludf.DUMMYFUNCTION("""COMPUTED_VALUE"""),0.0)</f>
        <v>0</v>
      </c>
      <c r="G1570" s="32"/>
      <c r="H1570" s="32"/>
      <c r="I1570" s="32"/>
      <c r="J1570" s="32"/>
      <c r="K1570" s="32"/>
      <c r="L1570" s="32"/>
      <c r="M1570" s="32"/>
      <c r="N1570" s="32"/>
      <c r="O1570" s="32"/>
      <c r="P1570" s="32"/>
      <c r="Q1570" s="32"/>
      <c r="R1570" s="32"/>
      <c r="S1570" s="32"/>
      <c r="T1570" s="32"/>
      <c r="U1570" s="32"/>
      <c r="V1570" s="32"/>
      <c r="W1570" s="32"/>
      <c r="X1570" s="32"/>
      <c r="Y1570" s="32"/>
      <c r="Z1570" s="32"/>
      <c r="AA1570" s="32"/>
      <c r="AB1570" s="32"/>
      <c r="AC1570" s="32"/>
      <c r="AD1570" s="32"/>
      <c r="AE1570" s="32"/>
      <c r="AF1570" s="32"/>
      <c r="AG1570" s="32"/>
      <c r="AH1570" s="32" t="b">
        <f>IFERROR(__xludf.DUMMYFUNCTION("""COMPUTED_VALUE"""),FALSE)</f>
        <v>0</v>
      </c>
      <c r="AI1570" s="32"/>
      <c r="AJ1570" s="32"/>
      <c r="AK1570" s="32"/>
      <c r="AL1570" s="32"/>
      <c r="AM1570" s="32"/>
      <c r="AN1570" s="32"/>
      <c r="AO1570" s="32"/>
      <c r="AP1570" s="32"/>
      <c r="AQ1570" s="32"/>
      <c r="AR1570" s="32"/>
      <c r="AS1570" s="32"/>
      <c r="AT1570" s="32"/>
      <c r="AU1570" s="32"/>
      <c r="AV1570" s="32"/>
      <c r="AW1570" s="32"/>
      <c r="AX1570" s="32"/>
    </row>
    <row r="1571">
      <c r="A1571" s="32"/>
      <c r="B1571" s="32"/>
      <c r="C1571" s="32"/>
      <c r="D1571" s="32"/>
      <c r="E1571" s="32">
        <f>IFERROR(__xludf.DUMMYFUNCTION("""COMPUTED_VALUE"""),1.0)</f>
        <v>1</v>
      </c>
      <c r="F1571" s="44">
        <f>IFERROR(__xludf.DUMMYFUNCTION("""COMPUTED_VALUE"""),0.0)</f>
        <v>0</v>
      </c>
      <c r="G1571" s="32"/>
      <c r="H1571" s="32"/>
      <c r="I1571" s="32"/>
      <c r="J1571" s="32"/>
      <c r="K1571" s="32"/>
      <c r="L1571" s="32"/>
      <c r="M1571" s="32"/>
      <c r="N1571" s="32"/>
      <c r="O1571" s="32"/>
      <c r="P1571" s="32"/>
      <c r="Q1571" s="32"/>
      <c r="R1571" s="32"/>
      <c r="S1571" s="32"/>
      <c r="T1571" s="32"/>
      <c r="U1571" s="32"/>
      <c r="V1571" s="32"/>
      <c r="W1571" s="32"/>
      <c r="X1571" s="32"/>
      <c r="Y1571" s="32"/>
      <c r="Z1571" s="32"/>
      <c r="AA1571" s="32"/>
      <c r="AB1571" s="32"/>
      <c r="AC1571" s="32"/>
      <c r="AD1571" s="32"/>
      <c r="AE1571" s="32"/>
      <c r="AF1571" s="32"/>
      <c r="AG1571" s="32"/>
      <c r="AH1571" s="32" t="b">
        <f>IFERROR(__xludf.DUMMYFUNCTION("""COMPUTED_VALUE"""),FALSE)</f>
        <v>0</v>
      </c>
      <c r="AI1571" s="32"/>
      <c r="AJ1571" s="32"/>
      <c r="AK1571" s="32"/>
      <c r="AL1571" s="32"/>
      <c r="AM1571" s="32"/>
      <c r="AN1571" s="32"/>
      <c r="AO1571" s="32"/>
      <c r="AP1571" s="32"/>
      <c r="AQ1571" s="32"/>
      <c r="AR1571" s="32"/>
      <c r="AS1571" s="32"/>
      <c r="AT1571" s="32"/>
      <c r="AU1571" s="32"/>
      <c r="AV1571" s="32"/>
      <c r="AW1571" s="32"/>
      <c r="AX1571" s="32"/>
    </row>
    <row r="1572">
      <c r="A1572" s="32"/>
      <c r="B1572" s="32"/>
      <c r="C1572" s="32"/>
      <c r="D1572" s="32"/>
      <c r="E1572" s="32">
        <f>IFERROR(__xludf.DUMMYFUNCTION("""COMPUTED_VALUE"""),1.0)</f>
        <v>1</v>
      </c>
      <c r="F1572" s="44">
        <f>IFERROR(__xludf.DUMMYFUNCTION("""COMPUTED_VALUE"""),0.0)</f>
        <v>0</v>
      </c>
      <c r="G1572" s="32"/>
      <c r="H1572" s="32"/>
      <c r="I1572" s="32"/>
      <c r="J1572" s="32"/>
      <c r="K1572" s="32"/>
      <c r="L1572" s="32"/>
      <c r="M1572" s="32"/>
      <c r="N1572" s="32"/>
      <c r="O1572" s="32"/>
      <c r="P1572" s="32"/>
      <c r="Q1572" s="32"/>
      <c r="R1572" s="32"/>
      <c r="S1572" s="32"/>
      <c r="T1572" s="32"/>
      <c r="U1572" s="32"/>
      <c r="V1572" s="32"/>
      <c r="W1572" s="32"/>
      <c r="X1572" s="32"/>
      <c r="Y1572" s="32"/>
      <c r="Z1572" s="32"/>
      <c r="AA1572" s="32"/>
      <c r="AB1572" s="32"/>
      <c r="AC1572" s="32"/>
      <c r="AD1572" s="32"/>
      <c r="AE1572" s="32"/>
      <c r="AF1572" s="32"/>
      <c r="AG1572" s="32"/>
      <c r="AH1572" s="32" t="b">
        <f>IFERROR(__xludf.DUMMYFUNCTION("""COMPUTED_VALUE"""),FALSE)</f>
        <v>0</v>
      </c>
      <c r="AI1572" s="32"/>
      <c r="AJ1572" s="32"/>
      <c r="AK1572" s="32"/>
      <c r="AL1572" s="32"/>
      <c r="AM1572" s="32"/>
      <c r="AN1572" s="32"/>
      <c r="AO1572" s="32"/>
      <c r="AP1572" s="32"/>
      <c r="AQ1572" s="32"/>
      <c r="AR1572" s="32"/>
      <c r="AS1572" s="32"/>
      <c r="AT1572" s="32"/>
      <c r="AU1572" s="32"/>
      <c r="AV1572" s="32"/>
      <c r="AW1572" s="32"/>
      <c r="AX1572" s="32"/>
    </row>
    <row r="1573">
      <c r="A1573" s="32"/>
      <c r="B1573" s="32"/>
      <c r="C1573" s="32"/>
      <c r="D1573" s="32"/>
      <c r="E1573" s="32">
        <f>IFERROR(__xludf.DUMMYFUNCTION("""COMPUTED_VALUE"""),1.0)</f>
        <v>1</v>
      </c>
      <c r="F1573" s="44">
        <f>IFERROR(__xludf.DUMMYFUNCTION("""COMPUTED_VALUE"""),0.0)</f>
        <v>0</v>
      </c>
      <c r="G1573" s="32"/>
      <c r="H1573" s="32"/>
      <c r="I1573" s="32"/>
      <c r="J1573" s="32"/>
      <c r="K1573" s="32"/>
      <c r="L1573" s="32"/>
      <c r="M1573" s="32"/>
      <c r="N1573" s="32"/>
      <c r="O1573" s="32"/>
      <c r="P1573" s="32"/>
      <c r="Q1573" s="32"/>
      <c r="R1573" s="32"/>
      <c r="S1573" s="32"/>
      <c r="T1573" s="32"/>
      <c r="U1573" s="32"/>
      <c r="V1573" s="32"/>
      <c r="W1573" s="32"/>
      <c r="X1573" s="32"/>
      <c r="Y1573" s="32"/>
      <c r="Z1573" s="32"/>
      <c r="AA1573" s="32"/>
      <c r="AB1573" s="32"/>
      <c r="AC1573" s="32"/>
      <c r="AD1573" s="32"/>
      <c r="AE1573" s="32"/>
      <c r="AF1573" s="32"/>
      <c r="AG1573" s="32"/>
      <c r="AH1573" s="32" t="b">
        <f>IFERROR(__xludf.DUMMYFUNCTION("""COMPUTED_VALUE"""),FALSE)</f>
        <v>0</v>
      </c>
      <c r="AI1573" s="32"/>
      <c r="AJ1573" s="32"/>
      <c r="AK1573" s="32"/>
      <c r="AL1573" s="32"/>
      <c r="AM1573" s="32"/>
      <c r="AN1573" s="32"/>
      <c r="AO1573" s="32"/>
      <c r="AP1573" s="32"/>
      <c r="AQ1573" s="32"/>
      <c r="AR1573" s="32"/>
      <c r="AS1573" s="32"/>
      <c r="AT1573" s="32"/>
      <c r="AU1573" s="32"/>
      <c r="AV1573" s="32"/>
      <c r="AW1573" s="32"/>
      <c r="AX1573" s="32"/>
    </row>
    <row r="1574">
      <c r="A1574" s="32"/>
      <c r="B1574" s="32"/>
      <c r="C1574" s="32"/>
      <c r="D1574" s="32"/>
      <c r="E1574" s="32">
        <f>IFERROR(__xludf.DUMMYFUNCTION("""COMPUTED_VALUE"""),1.0)</f>
        <v>1</v>
      </c>
      <c r="F1574" s="44">
        <f>IFERROR(__xludf.DUMMYFUNCTION("""COMPUTED_VALUE"""),0.0)</f>
        <v>0</v>
      </c>
      <c r="G1574" s="32"/>
      <c r="H1574" s="32"/>
      <c r="I1574" s="32"/>
      <c r="J1574" s="32"/>
      <c r="K1574" s="32"/>
      <c r="L1574" s="32"/>
      <c r="M1574" s="32"/>
      <c r="N1574" s="32"/>
      <c r="O1574" s="32"/>
      <c r="P1574" s="32"/>
      <c r="Q1574" s="32"/>
      <c r="R1574" s="32"/>
      <c r="S1574" s="32"/>
      <c r="T1574" s="32"/>
      <c r="U1574" s="32"/>
      <c r="V1574" s="32"/>
      <c r="W1574" s="32"/>
      <c r="X1574" s="32"/>
      <c r="Y1574" s="32"/>
      <c r="Z1574" s="32"/>
      <c r="AA1574" s="32"/>
      <c r="AB1574" s="32"/>
      <c r="AC1574" s="32"/>
      <c r="AD1574" s="32"/>
      <c r="AE1574" s="32"/>
      <c r="AF1574" s="32"/>
      <c r="AG1574" s="32"/>
      <c r="AH1574" s="32" t="b">
        <f>IFERROR(__xludf.DUMMYFUNCTION("""COMPUTED_VALUE"""),FALSE)</f>
        <v>0</v>
      </c>
      <c r="AI1574" s="32"/>
      <c r="AJ1574" s="32"/>
      <c r="AK1574" s="32"/>
      <c r="AL1574" s="32"/>
      <c r="AM1574" s="32"/>
      <c r="AN1574" s="32"/>
      <c r="AO1574" s="32"/>
      <c r="AP1574" s="32"/>
      <c r="AQ1574" s="32"/>
      <c r="AR1574" s="32"/>
      <c r="AS1574" s="32"/>
      <c r="AT1574" s="32"/>
      <c r="AU1574" s="32"/>
      <c r="AV1574" s="32"/>
      <c r="AW1574" s="32"/>
      <c r="AX1574" s="32"/>
    </row>
    <row r="1575">
      <c r="A1575" s="32"/>
      <c r="B1575" s="32"/>
      <c r="C1575" s="32"/>
      <c r="D1575" s="32"/>
      <c r="E1575" s="32">
        <f>IFERROR(__xludf.DUMMYFUNCTION("""COMPUTED_VALUE"""),1.0)</f>
        <v>1</v>
      </c>
      <c r="F1575" s="44">
        <f>IFERROR(__xludf.DUMMYFUNCTION("""COMPUTED_VALUE"""),0.0)</f>
        <v>0</v>
      </c>
      <c r="G1575" s="32"/>
      <c r="H1575" s="32"/>
      <c r="I1575" s="32"/>
      <c r="J1575" s="32"/>
      <c r="K1575" s="32"/>
      <c r="L1575" s="32"/>
      <c r="M1575" s="32"/>
      <c r="N1575" s="32"/>
      <c r="O1575" s="32"/>
      <c r="P1575" s="32"/>
      <c r="Q1575" s="32"/>
      <c r="R1575" s="32"/>
      <c r="S1575" s="32"/>
      <c r="T1575" s="32"/>
      <c r="U1575" s="32"/>
      <c r="V1575" s="32"/>
      <c r="W1575" s="32"/>
      <c r="X1575" s="32"/>
      <c r="Y1575" s="32"/>
      <c r="Z1575" s="32"/>
      <c r="AA1575" s="32"/>
      <c r="AB1575" s="32"/>
      <c r="AC1575" s="32"/>
      <c r="AD1575" s="32"/>
      <c r="AE1575" s="32"/>
      <c r="AF1575" s="32"/>
      <c r="AG1575" s="32"/>
      <c r="AH1575" s="32" t="b">
        <f>IFERROR(__xludf.DUMMYFUNCTION("""COMPUTED_VALUE"""),FALSE)</f>
        <v>0</v>
      </c>
      <c r="AI1575" s="32"/>
      <c r="AJ1575" s="32"/>
      <c r="AK1575" s="32"/>
      <c r="AL1575" s="32"/>
      <c r="AM1575" s="32"/>
      <c r="AN1575" s="32"/>
      <c r="AO1575" s="32"/>
      <c r="AP1575" s="32"/>
      <c r="AQ1575" s="32"/>
      <c r="AR1575" s="32"/>
      <c r="AS1575" s="32"/>
      <c r="AT1575" s="32"/>
      <c r="AU1575" s="32"/>
      <c r="AV1575" s="32"/>
      <c r="AW1575" s="32"/>
      <c r="AX1575" s="32"/>
    </row>
    <row r="1576">
      <c r="A1576" s="32"/>
      <c r="B1576" s="32"/>
      <c r="C1576" s="32"/>
      <c r="D1576" s="32"/>
      <c r="E1576" s="32">
        <f>IFERROR(__xludf.DUMMYFUNCTION("""COMPUTED_VALUE"""),1.0)</f>
        <v>1</v>
      </c>
      <c r="F1576" s="44">
        <f>IFERROR(__xludf.DUMMYFUNCTION("""COMPUTED_VALUE"""),0.0)</f>
        <v>0</v>
      </c>
      <c r="G1576" s="32"/>
      <c r="H1576" s="32"/>
      <c r="I1576" s="32"/>
      <c r="J1576" s="32"/>
      <c r="K1576" s="32"/>
      <c r="L1576" s="32"/>
      <c r="M1576" s="32"/>
      <c r="N1576" s="32"/>
      <c r="O1576" s="32"/>
      <c r="P1576" s="32"/>
      <c r="Q1576" s="32"/>
      <c r="R1576" s="32"/>
      <c r="S1576" s="32"/>
      <c r="T1576" s="32"/>
      <c r="U1576" s="32"/>
      <c r="V1576" s="32"/>
      <c r="W1576" s="32"/>
      <c r="X1576" s="32"/>
      <c r="Y1576" s="32"/>
      <c r="Z1576" s="32"/>
      <c r="AA1576" s="32"/>
      <c r="AB1576" s="32"/>
      <c r="AC1576" s="32"/>
      <c r="AD1576" s="32"/>
      <c r="AE1576" s="32"/>
      <c r="AF1576" s="32"/>
      <c r="AG1576" s="32"/>
      <c r="AH1576" s="32" t="b">
        <f>IFERROR(__xludf.DUMMYFUNCTION("""COMPUTED_VALUE"""),FALSE)</f>
        <v>0</v>
      </c>
      <c r="AI1576" s="32"/>
      <c r="AJ1576" s="32"/>
      <c r="AK1576" s="32"/>
      <c r="AL1576" s="32"/>
      <c r="AM1576" s="32"/>
      <c r="AN1576" s="32"/>
      <c r="AO1576" s="32"/>
      <c r="AP1576" s="32"/>
      <c r="AQ1576" s="32"/>
      <c r="AR1576" s="32"/>
      <c r="AS1576" s="32"/>
      <c r="AT1576" s="32"/>
      <c r="AU1576" s="32"/>
      <c r="AV1576" s="32"/>
      <c r="AW1576" s="32"/>
      <c r="AX1576" s="32"/>
    </row>
    <row r="1577">
      <c r="A1577" s="32"/>
      <c r="B1577" s="32"/>
      <c r="C1577" s="32"/>
      <c r="D1577" s="32"/>
      <c r="E1577" s="32">
        <f>IFERROR(__xludf.DUMMYFUNCTION("""COMPUTED_VALUE"""),1.0)</f>
        <v>1</v>
      </c>
      <c r="F1577" s="44">
        <f>IFERROR(__xludf.DUMMYFUNCTION("""COMPUTED_VALUE"""),0.0)</f>
        <v>0</v>
      </c>
      <c r="G1577" s="32"/>
      <c r="H1577" s="32"/>
      <c r="I1577" s="32"/>
      <c r="J1577" s="32"/>
      <c r="K1577" s="32"/>
      <c r="L1577" s="32"/>
      <c r="M1577" s="32"/>
      <c r="N1577" s="32"/>
      <c r="O1577" s="32"/>
      <c r="P1577" s="32"/>
      <c r="Q1577" s="32"/>
      <c r="R1577" s="32"/>
      <c r="S1577" s="32"/>
      <c r="T1577" s="32"/>
      <c r="U1577" s="32"/>
      <c r="V1577" s="32"/>
      <c r="W1577" s="32"/>
      <c r="X1577" s="32"/>
      <c r="Y1577" s="32"/>
      <c r="Z1577" s="32"/>
      <c r="AA1577" s="32"/>
      <c r="AB1577" s="32"/>
      <c r="AC1577" s="32"/>
      <c r="AD1577" s="32"/>
      <c r="AE1577" s="32"/>
      <c r="AF1577" s="32"/>
      <c r="AG1577" s="32"/>
      <c r="AH1577" s="32" t="b">
        <f>IFERROR(__xludf.DUMMYFUNCTION("""COMPUTED_VALUE"""),FALSE)</f>
        <v>0</v>
      </c>
      <c r="AI1577" s="32"/>
      <c r="AJ1577" s="32"/>
      <c r="AK1577" s="32"/>
      <c r="AL1577" s="32"/>
      <c r="AM1577" s="32"/>
      <c r="AN1577" s="32"/>
      <c r="AO1577" s="32"/>
      <c r="AP1577" s="32"/>
      <c r="AQ1577" s="32"/>
      <c r="AR1577" s="32"/>
      <c r="AS1577" s="32"/>
      <c r="AT1577" s="32"/>
      <c r="AU1577" s="32"/>
      <c r="AV1577" s="32"/>
      <c r="AW1577" s="32"/>
      <c r="AX1577" s="32"/>
    </row>
    <row r="1578">
      <c r="A1578" s="32"/>
      <c r="B1578" s="32"/>
      <c r="C1578" s="32"/>
      <c r="D1578" s="32"/>
      <c r="E1578" s="32">
        <f>IFERROR(__xludf.DUMMYFUNCTION("""COMPUTED_VALUE"""),1.0)</f>
        <v>1</v>
      </c>
      <c r="F1578" s="44">
        <f>IFERROR(__xludf.DUMMYFUNCTION("""COMPUTED_VALUE"""),0.0)</f>
        <v>0</v>
      </c>
      <c r="G1578" s="32"/>
      <c r="H1578" s="32"/>
      <c r="I1578" s="32"/>
      <c r="J1578" s="32"/>
      <c r="K1578" s="32"/>
      <c r="L1578" s="32"/>
      <c r="M1578" s="32"/>
      <c r="N1578" s="32"/>
      <c r="O1578" s="32"/>
      <c r="P1578" s="32"/>
      <c r="Q1578" s="32"/>
      <c r="R1578" s="32"/>
      <c r="S1578" s="32"/>
      <c r="T1578" s="32"/>
      <c r="U1578" s="32"/>
      <c r="V1578" s="32"/>
      <c r="W1578" s="32"/>
      <c r="X1578" s="32"/>
      <c r="Y1578" s="32"/>
      <c r="Z1578" s="32"/>
      <c r="AA1578" s="32"/>
      <c r="AB1578" s="32"/>
      <c r="AC1578" s="32"/>
      <c r="AD1578" s="32"/>
      <c r="AE1578" s="32"/>
      <c r="AF1578" s="32"/>
      <c r="AG1578" s="32"/>
      <c r="AH1578" s="32" t="b">
        <f>IFERROR(__xludf.DUMMYFUNCTION("""COMPUTED_VALUE"""),FALSE)</f>
        <v>0</v>
      </c>
      <c r="AI1578" s="32"/>
      <c r="AJ1578" s="32"/>
      <c r="AK1578" s="32"/>
      <c r="AL1578" s="32"/>
      <c r="AM1578" s="32"/>
      <c r="AN1578" s="32"/>
      <c r="AO1578" s="32"/>
      <c r="AP1578" s="32"/>
      <c r="AQ1578" s="32"/>
      <c r="AR1578" s="32"/>
      <c r="AS1578" s="32"/>
      <c r="AT1578" s="32"/>
      <c r="AU1578" s="32"/>
      <c r="AV1578" s="32"/>
      <c r="AW1578" s="32"/>
      <c r="AX1578" s="32"/>
    </row>
    <row r="1579">
      <c r="A1579" s="32"/>
      <c r="B1579" s="32"/>
      <c r="C1579" s="32"/>
      <c r="D1579" s="32"/>
      <c r="E1579" s="32">
        <f>IFERROR(__xludf.DUMMYFUNCTION("""COMPUTED_VALUE"""),1.0)</f>
        <v>1</v>
      </c>
      <c r="F1579" s="44">
        <f>IFERROR(__xludf.DUMMYFUNCTION("""COMPUTED_VALUE"""),0.0)</f>
        <v>0</v>
      </c>
      <c r="G1579" s="32"/>
      <c r="H1579" s="32"/>
      <c r="I1579" s="32"/>
      <c r="J1579" s="32"/>
      <c r="K1579" s="32"/>
      <c r="L1579" s="32"/>
      <c r="M1579" s="32"/>
      <c r="N1579" s="32"/>
      <c r="O1579" s="32"/>
      <c r="P1579" s="32"/>
      <c r="Q1579" s="32"/>
      <c r="R1579" s="32"/>
      <c r="S1579" s="32"/>
      <c r="T1579" s="32"/>
      <c r="U1579" s="32"/>
      <c r="V1579" s="32"/>
      <c r="W1579" s="32"/>
      <c r="X1579" s="32"/>
      <c r="Y1579" s="32"/>
      <c r="Z1579" s="32"/>
      <c r="AA1579" s="32"/>
      <c r="AB1579" s="32"/>
      <c r="AC1579" s="32"/>
      <c r="AD1579" s="32"/>
      <c r="AE1579" s="32"/>
      <c r="AF1579" s="32"/>
      <c r="AG1579" s="32"/>
      <c r="AH1579" s="32" t="b">
        <f>IFERROR(__xludf.DUMMYFUNCTION("""COMPUTED_VALUE"""),FALSE)</f>
        <v>0</v>
      </c>
      <c r="AI1579" s="32"/>
      <c r="AJ1579" s="32"/>
      <c r="AK1579" s="32"/>
      <c r="AL1579" s="32"/>
      <c r="AM1579" s="32"/>
      <c r="AN1579" s="32"/>
      <c r="AO1579" s="32"/>
      <c r="AP1579" s="32"/>
      <c r="AQ1579" s="32"/>
      <c r="AR1579" s="32"/>
      <c r="AS1579" s="32"/>
      <c r="AT1579" s="32"/>
      <c r="AU1579" s="32"/>
      <c r="AV1579" s="32"/>
      <c r="AW1579" s="32"/>
      <c r="AX1579" s="32"/>
    </row>
    <row r="1580">
      <c r="A1580" s="32"/>
      <c r="B1580" s="32"/>
      <c r="C1580" s="32"/>
      <c r="D1580" s="32"/>
      <c r="E1580" s="32">
        <f>IFERROR(__xludf.DUMMYFUNCTION("""COMPUTED_VALUE"""),1.0)</f>
        <v>1</v>
      </c>
      <c r="F1580" s="44">
        <f>IFERROR(__xludf.DUMMYFUNCTION("""COMPUTED_VALUE"""),0.0)</f>
        <v>0</v>
      </c>
      <c r="G1580" s="32"/>
      <c r="H1580" s="32"/>
      <c r="I1580" s="32"/>
      <c r="J1580" s="32"/>
      <c r="K1580" s="32"/>
      <c r="L1580" s="32"/>
      <c r="M1580" s="32"/>
      <c r="N1580" s="32"/>
      <c r="O1580" s="32"/>
      <c r="P1580" s="32"/>
      <c r="Q1580" s="32"/>
      <c r="R1580" s="32"/>
      <c r="S1580" s="32"/>
      <c r="T1580" s="32"/>
      <c r="U1580" s="32"/>
      <c r="V1580" s="32"/>
      <c r="W1580" s="32"/>
      <c r="X1580" s="32"/>
      <c r="Y1580" s="32"/>
      <c r="Z1580" s="32"/>
      <c r="AA1580" s="32"/>
      <c r="AB1580" s="32"/>
      <c r="AC1580" s="32"/>
      <c r="AD1580" s="32"/>
      <c r="AE1580" s="32"/>
      <c r="AF1580" s="32"/>
      <c r="AG1580" s="32"/>
      <c r="AH1580" s="32" t="b">
        <f>IFERROR(__xludf.DUMMYFUNCTION("""COMPUTED_VALUE"""),FALSE)</f>
        <v>0</v>
      </c>
      <c r="AI1580" s="32"/>
      <c r="AJ1580" s="32"/>
      <c r="AK1580" s="32"/>
      <c r="AL1580" s="32"/>
      <c r="AM1580" s="32"/>
      <c r="AN1580" s="32"/>
      <c r="AO1580" s="32"/>
      <c r="AP1580" s="32"/>
      <c r="AQ1580" s="32"/>
      <c r="AR1580" s="32"/>
      <c r="AS1580" s="32"/>
      <c r="AT1580" s="32"/>
      <c r="AU1580" s="32"/>
      <c r="AV1580" s="32"/>
      <c r="AW1580" s="32"/>
      <c r="AX1580" s="32"/>
    </row>
    <row r="1581">
      <c r="A1581" s="32"/>
      <c r="B1581" s="32"/>
      <c r="C1581" s="32"/>
      <c r="D1581" s="32"/>
      <c r="E1581" s="32">
        <f>IFERROR(__xludf.DUMMYFUNCTION("""COMPUTED_VALUE"""),1.0)</f>
        <v>1</v>
      </c>
      <c r="F1581" s="44">
        <f>IFERROR(__xludf.DUMMYFUNCTION("""COMPUTED_VALUE"""),0.0)</f>
        <v>0</v>
      </c>
      <c r="G1581" s="32"/>
      <c r="H1581" s="32"/>
      <c r="I1581" s="32"/>
      <c r="J1581" s="32"/>
      <c r="K1581" s="32"/>
      <c r="L1581" s="32"/>
      <c r="M1581" s="32"/>
      <c r="N1581" s="32"/>
      <c r="O1581" s="32"/>
      <c r="P1581" s="32"/>
      <c r="Q1581" s="32"/>
      <c r="R1581" s="32"/>
      <c r="S1581" s="32"/>
      <c r="T1581" s="32"/>
      <c r="U1581" s="32"/>
      <c r="V1581" s="32"/>
      <c r="W1581" s="32"/>
      <c r="X1581" s="32"/>
      <c r="Y1581" s="32"/>
      <c r="Z1581" s="32"/>
      <c r="AA1581" s="32"/>
      <c r="AB1581" s="32"/>
      <c r="AC1581" s="32"/>
      <c r="AD1581" s="32"/>
      <c r="AE1581" s="32"/>
      <c r="AF1581" s="32"/>
      <c r="AG1581" s="32"/>
      <c r="AH1581" s="32" t="b">
        <f>IFERROR(__xludf.DUMMYFUNCTION("""COMPUTED_VALUE"""),FALSE)</f>
        <v>0</v>
      </c>
      <c r="AI1581" s="32"/>
      <c r="AJ1581" s="32"/>
      <c r="AK1581" s="32"/>
      <c r="AL1581" s="32"/>
      <c r="AM1581" s="32"/>
      <c r="AN1581" s="32"/>
      <c r="AO1581" s="32"/>
      <c r="AP1581" s="32"/>
      <c r="AQ1581" s="32"/>
      <c r="AR1581" s="32"/>
      <c r="AS1581" s="32"/>
      <c r="AT1581" s="32"/>
      <c r="AU1581" s="32"/>
      <c r="AV1581" s="32"/>
      <c r="AW1581" s="32"/>
      <c r="AX1581" s="32"/>
    </row>
    <row r="1582">
      <c r="A1582" s="32"/>
      <c r="B1582" s="32"/>
      <c r="C1582" s="32"/>
      <c r="D1582" s="32"/>
      <c r="E1582" s="32">
        <f>IFERROR(__xludf.DUMMYFUNCTION("""COMPUTED_VALUE"""),1.0)</f>
        <v>1</v>
      </c>
      <c r="F1582" s="44">
        <f>IFERROR(__xludf.DUMMYFUNCTION("""COMPUTED_VALUE"""),0.0)</f>
        <v>0</v>
      </c>
      <c r="G1582" s="32"/>
      <c r="H1582" s="32"/>
      <c r="I1582" s="32"/>
      <c r="J1582" s="32"/>
      <c r="K1582" s="32"/>
      <c r="L1582" s="32"/>
      <c r="M1582" s="32"/>
      <c r="N1582" s="32"/>
      <c r="O1582" s="32"/>
      <c r="P1582" s="32"/>
      <c r="Q1582" s="32"/>
      <c r="R1582" s="32"/>
      <c r="S1582" s="32"/>
      <c r="T1582" s="32"/>
      <c r="U1582" s="32"/>
      <c r="V1582" s="32"/>
      <c r="W1582" s="32"/>
      <c r="X1582" s="32"/>
      <c r="Y1582" s="32"/>
      <c r="Z1582" s="32"/>
      <c r="AA1582" s="32"/>
      <c r="AB1582" s="32"/>
      <c r="AC1582" s="32"/>
      <c r="AD1582" s="32"/>
      <c r="AE1582" s="32"/>
      <c r="AF1582" s="32"/>
      <c r="AG1582" s="32"/>
      <c r="AH1582" s="32" t="b">
        <f>IFERROR(__xludf.DUMMYFUNCTION("""COMPUTED_VALUE"""),FALSE)</f>
        <v>0</v>
      </c>
      <c r="AI1582" s="32"/>
      <c r="AJ1582" s="32"/>
      <c r="AK1582" s="32"/>
      <c r="AL1582" s="32"/>
      <c r="AM1582" s="32"/>
      <c r="AN1582" s="32"/>
      <c r="AO1582" s="32"/>
      <c r="AP1582" s="32"/>
      <c r="AQ1582" s="32"/>
      <c r="AR1582" s="32"/>
      <c r="AS1582" s="32"/>
      <c r="AT1582" s="32"/>
      <c r="AU1582" s="32"/>
      <c r="AV1582" s="32"/>
      <c r="AW1582" s="32"/>
      <c r="AX1582" s="32"/>
    </row>
    <row r="1583">
      <c r="A1583" s="32"/>
      <c r="B1583" s="32"/>
      <c r="C1583" s="32"/>
      <c r="D1583" s="32"/>
      <c r="E1583" s="32">
        <f>IFERROR(__xludf.DUMMYFUNCTION("""COMPUTED_VALUE"""),1.0)</f>
        <v>1</v>
      </c>
      <c r="F1583" s="44">
        <f>IFERROR(__xludf.DUMMYFUNCTION("""COMPUTED_VALUE"""),0.0)</f>
        <v>0</v>
      </c>
      <c r="G1583" s="32"/>
      <c r="H1583" s="32"/>
      <c r="I1583" s="32"/>
      <c r="J1583" s="32"/>
      <c r="K1583" s="32"/>
      <c r="L1583" s="32"/>
      <c r="M1583" s="32"/>
      <c r="N1583" s="32"/>
      <c r="O1583" s="32"/>
      <c r="P1583" s="32"/>
      <c r="Q1583" s="32"/>
      <c r="R1583" s="32"/>
      <c r="S1583" s="32"/>
      <c r="T1583" s="32"/>
      <c r="U1583" s="32"/>
      <c r="V1583" s="32"/>
      <c r="W1583" s="32"/>
      <c r="X1583" s="32"/>
      <c r="Y1583" s="32"/>
      <c r="Z1583" s="32"/>
      <c r="AA1583" s="32"/>
      <c r="AB1583" s="32"/>
      <c r="AC1583" s="32"/>
      <c r="AD1583" s="32"/>
      <c r="AE1583" s="32"/>
      <c r="AF1583" s="32"/>
      <c r="AG1583" s="32"/>
      <c r="AH1583" s="32" t="b">
        <f>IFERROR(__xludf.DUMMYFUNCTION("""COMPUTED_VALUE"""),FALSE)</f>
        <v>0</v>
      </c>
      <c r="AI1583" s="32"/>
      <c r="AJ1583" s="32"/>
      <c r="AK1583" s="32"/>
      <c r="AL1583" s="32"/>
      <c r="AM1583" s="32"/>
      <c r="AN1583" s="32"/>
      <c r="AO1583" s="32"/>
      <c r="AP1583" s="32"/>
      <c r="AQ1583" s="32"/>
      <c r="AR1583" s="32"/>
      <c r="AS1583" s="32"/>
      <c r="AT1583" s="32"/>
      <c r="AU1583" s="32"/>
      <c r="AV1583" s="32"/>
      <c r="AW1583" s="32"/>
      <c r="AX1583" s="32"/>
    </row>
    <row r="1584">
      <c r="A1584" s="32"/>
      <c r="B1584" s="32"/>
      <c r="C1584" s="32"/>
      <c r="D1584" s="32"/>
      <c r="E1584" s="32">
        <f>IFERROR(__xludf.DUMMYFUNCTION("""COMPUTED_VALUE"""),1.0)</f>
        <v>1</v>
      </c>
      <c r="F1584" s="44">
        <f>IFERROR(__xludf.DUMMYFUNCTION("""COMPUTED_VALUE"""),0.0)</f>
        <v>0</v>
      </c>
      <c r="G1584" s="32"/>
      <c r="H1584" s="32"/>
      <c r="I1584" s="32"/>
      <c r="J1584" s="32"/>
      <c r="K1584" s="32"/>
      <c r="L1584" s="32"/>
      <c r="M1584" s="32"/>
      <c r="N1584" s="32"/>
      <c r="O1584" s="32"/>
      <c r="P1584" s="32"/>
      <c r="Q1584" s="32"/>
      <c r="R1584" s="32"/>
      <c r="S1584" s="32"/>
      <c r="T1584" s="32"/>
      <c r="U1584" s="32"/>
      <c r="V1584" s="32"/>
      <c r="W1584" s="32"/>
      <c r="X1584" s="32"/>
      <c r="Y1584" s="32"/>
      <c r="Z1584" s="32"/>
      <c r="AA1584" s="32"/>
      <c r="AB1584" s="32"/>
      <c r="AC1584" s="32"/>
      <c r="AD1584" s="32"/>
      <c r="AE1584" s="32"/>
      <c r="AF1584" s="32"/>
      <c r="AG1584" s="32"/>
      <c r="AH1584" s="32" t="b">
        <f>IFERROR(__xludf.DUMMYFUNCTION("""COMPUTED_VALUE"""),FALSE)</f>
        <v>0</v>
      </c>
      <c r="AI1584" s="32"/>
      <c r="AJ1584" s="32"/>
      <c r="AK1584" s="32"/>
      <c r="AL1584" s="32"/>
      <c r="AM1584" s="32"/>
      <c r="AN1584" s="32"/>
      <c r="AO1584" s="32"/>
      <c r="AP1584" s="32"/>
      <c r="AQ1584" s="32"/>
      <c r="AR1584" s="32"/>
      <c r="AS1584" s="32"/>
      <c r="AT1584" s="32"/>
      <c r="AU1584" s="32"/>
      <c r="AV1584" s="32"/>
      <c r="AW1584" s="32"/>
      <c r="AX1584" s="32"/>
    </row>
    <row r="1585">
      <c r="A1585" s="32"/>
      <c r="B1585" s="32"/>
      <c r="C1585" s="32"/>
      <c r="D1585" s="32"/>
      <c r="E1585" s="32">
        <f>IFERROR(__xludf.DUMMYFUNCTION("""COMPUTED_VALUE"""),1.0)</f>
        <v>1</v>
      </c>
      <c r="F1585" s="44">
        <f>IFERROR(__xludf.DUMMYFUNCTION("""COMPUTED_VALUE"""),0.0)</f>
        <v>0</v>
      </c>
      <c r="G1585" s="32"/>
      <c r="H1585" s="32"/>
      <c r="I1585" s="32"/>
      <c r="J1585" s="32"/>
      <c r="K1585" s="32"/>
      <c r="L1585" s="32"/>
      <c r="M1585" s="32"/>
      <c r="N1585" s="32"/>
      <c r="O1585" s="32"/>
      <c r="P1585" s="32"/>
      <c r="Q1585" s="32"/>
      <c r="R1585" s="32"/>
      <c r="S1585" s="32"/>
      <c r="T1585" s="32"/>
      <c r="U1585" s="32"/>
      <c r="V1585" s="32"/>
      <c r="W1585" s="32"/>
      <c r="X1585" s="32"/>
      <c r="Y1585" s="32"/>
      <c r="Z1585" s="32"/>
      <c r="AA1585" s="32"/>
      <c r="AB1585" s="32"/>
      <c r="AC1585" s="32"/>
      <c r="AD1585" s="32"/>
      <c r="AE1585" s="32"/>
      <c r="AF1585" s="32"/>
      <c r="AG1585" s="32"/>
      <c r="AH1585" s="32" t="b">
        <f>IFERROR(__xludf.DUMMYFUNCTION("""COMPUTED_VALUE"""),FALSE)</f>
        <v>0</v>
      </c>
      <c r="AI1585" s="32"/>
      <c r="AJ1585" s="32"/>
      <c r="AK1585" s="32"/>
      <c r="AL1585" s="32"/>
      <c r="AM1585" s="32"/>
      <c r="AN1585" s="32"/>
      <c r="AO1585" s="32"/>
      <c r="AP1585" s="32"/>
      <c r="AQ1585" s="32"/>
      <c r="AR1585" s="32"/>
      <c r="AS1585" s="32"/>
      <c r="AT1585" s="32"/>
      <c r="AU1585" s="32"/>
      <c r="AV1585" s="32"/>
      <c r="AW1585" s="32"/>
      <c r="AX1585" s="32"/>
    </row>
    <row r="1586">
      <c r="A1586" s="32"/>
      <c r="B1586" s="32"/>
      <c r="C1586" s="32"/>
      <c r="D1586" s="32"/>
      <c r="E1586" s="32">
        <f>IFERROR(__xludf.DUMMYFUNCTION("""COMPUTED_VALUE"""),1.0)</f>
        <v>1</v>
      </c>
      <c r="F1586" s="44">
        <f>IFERROR(__xludf.DUMMYFUNCTION("""COMPUTED_VALUE"""),0.0)</f>
        <v>0</v>
      </c>
      <c r="G1586" s="32"/>
      <c r="H1586" s="32"/>
      <c r="I1586" s="32"/>
      <c r="J1586" s="32"/>
      <c r="K1586" s="32"/>
      <c r="L1586" s="32"/>
      <c r="M1586" s="32"/>
      <c r="N1586" s="32"/>
      <c r="O1586" s="32"/>
      <c r="P1586" s="32"/>
      <c r="Q1586" s="32"/>
      <c r="R1586" s="32"/>
      <c r="S1586" s="32"/>
      <c r="T1586" s="32"/>
      <c r="U1586" s="32"/>
      <c r="V1586" s="32"/>
      <c r="W1586" s="32"/>
      <c r="X1586" s="32"/>
      <c r="Y1586" s="32"/>
      <c r="Z1586" s="32"/>
      <c r="AA1586" s="32"/>
      <c r="AB1586" s="32"/>
      <c r="AC1586" s="32"/>
      <c r="AD1586" s="32"/>
      <c r="AE1586" s="32"/>
      <c r="AF1586" s="32"/>
      <c r="AG1586" s="32"/>
      <c r="AH1586" s="32" t="b">
        <f>IFERROR(__xludf.DUMMYFUNCTION("""COMPUTED_VALUE"""),FALSE)</f>
        <v>0</v>
      </c>
      <c r="AI1586" s="32"/>
      <c r="AJ1586" s="32"/>
      <c r="AK1586" s="32"/>
      <c r="AL1586" s="32"/>
      <c r="AM1586" s="32"/>
      <c r="AN1586" s="32"/>
      <c r="AO1586" s="32"/>
      <c r="AP1586" s="32"/>
      <c r="AQ1586" s="32"/>
      <c r="AR1586" s="32"/>
      <c r="AS1586" s="32"/>
      <c r="AT1586" s="32"/>
      <c r="AU1586" s="32"/>
      <c r="AV1586" s="32"/>
      <c r="AW1586" s="32"/>
      <c r="AX1586" s="32"/>
    </row>
    <row r="1587">
      <c r="A1587" s="32"/>
      <c r="B1587" s="32"/>
      <c r="C1587" s="32"/>
      <c r="D1587" s="32"/>
      <c r="E1587" s="32">
        <f>IFERROR(__xludf.DUMMYFUNCTION("""COMPUTED_VALUE"""),1.0)</f>
        <v>1</v>
      </c>
      <c r="F1587" s="44">
        <f>IFERROR(__xludf.DUMMYFUNCTION("""COMPUTED_VALUE"""),0.0)</f>
        <v>0</v>
      </c>
      <c r="G1587" s="32"/>
      <c r="H1587" s="32"/>
      <c r="I1587" s="32"/>
      <c r="J1587" s="32"/>
      <c r="K1587" s="32"/>
      <c r="L1587" s="32"/>
      <c r="M1587" s="32"/>
      <c r="N1587" s="32"/>
      <c r="O1587" s="32"/>
      <c r="P1587" s="32"/>
      <c r="Q1587" s="32"/>
      <c r="R1587" s="32"/>
      <c r="S1587" s="32"/>
      <c r="T1587" s="32"/>
      <c r="U1587" s="32"/>
      <c r="V1587" s="32"/>
      <c r="W1587" s="32"/>
      <c r="X1587" s="32"/>
      <c r="Y1587" s="32"/>
      <c r="Z1587" s="32"/>
      <c r="AA1587" s="32"/>
      <c r="AB1587" s="32"/>
      <c r="AC1587" s="32"/>
      <c r="AD1587" s="32"/>
      <c r="AE1587" s="32"/>
      <c r="AF1587" s="32"/>
      <c r="AG1587" s="32"/>
      <c r="AH1587" s="32" t="b">
        <f>IFERROR(__xludf.DUMMYFUNCTION("""COMPUTED_VALUE"""),FALSE)</f>
        <v>0</v>
      </c>
      <c r="AI1587" s="32"/>
      <c r="AJ1587" s="32"/>
      <c r="AK1587" s="32"/>
      <c r="AL1587" s="32"/>
      <c r="AM1587" s="32"/>
      <c r="AN1587" s="32"/>
      <c r="AO1587" s="32"/>
      <c r="AP1587" s="32"/>
      <c r="AQ1587" s="32"/>
      <c r="AR1587" s="32"/>
      <c r="AS1587" s="32"/>
      <c r="AT1587" s="32"/>
      <c r="AU1587" s="32"/>
      <c r="AV1587" s="32"/>
      <c r="AW1587" s="32"/>
      <c r="AX1587" s="32"/>
    </row>
    <row r="1588">
      <c r="A1588" s="32"/>
      <c r="B1588" s="32"/>
      <c r="C1588" s="32"/>
      <c r="D1588" s="32"/>
      <c r="E1588" s="32">
        <f>IFERROR(__xludf.DUMMYFUNCTION("""COMPUTED_VALUE"""),1.0)</f>
        <v>1</v>
      </c>
      <c r="F1588" s="44">
        <f>IFERROR(__xludf.DUMMYFUNCTION("""COMPUTED_VALUE"""),0.0)</f>
        <v>0</v>
      </c>
      <c r="G1588" s="32"/>
      <c r="H1588" s="32"/>
      <c r="I1588" s="32"/>
      <c r="J1588" s="32"/>
      <c r="K1588" s="32"/>
      <c r="L1588" s="32"/>
      <c r="M1588" s="32"/>
      <c r="N1588" s="32"/>
      <c r="O1588" s="32"/>
      <c r="P1588" s="32"/>
      <c r="Q1588" s="32"/>
      <c r="R1588" s="32"/>
      <c r="S1588" s="32"/>
      <c r="T1588" s="32"/>
      <c r="U1588" s="32"/>
      <c r="V1588" s="32"/>
      <c r="W1588" s="32"/>
      <c r="X1588" s="32"/>
      <c r="Y1588" s="32"/>
      <c r="Z1588" s="32"/>
      <c r="AA1588" s="32"/>
      <c r="AB1588" s="32"/>
      <c r="AC1588" s="32"/>
      <c r="AD1588" s="32"/>
      <c r="AE1588" s="32"/>
      <c r="AF1588" s="32"/>
      <c r="AG1588" s="32"/>
      <c r="AH1588" s="32" t="b">
        <f>IFERROR(__xludf.DUMMYFUNCTION("""COMPUTED_VALUE"""),FALSE)</f>
        <v>0</v>
      </c>
      <c r="AI1588" s="32"/>
      <c r="AJ1588" s="32"/>
      <c r="AK1588" s="32"/>
      <c r="AL1588" s="32"/>
      <c r="AM1588" s="32"/>
      <c r="AN1588" s="32"/>
      <c r="AO1588" s="32"/>
      <c r="AP1588" s="32"/>
      <c r="AQ1588" s="32"/>
      <c r="AR1588" s="32"/>
      <c r="AS1588" s="32"/>
      <c r="AT1588" s="32"/>
      <c r="AU1588" s="32"/>
      <c r="AV1588" s="32"/>
      <c r="AW1588" s="32"/>
      <c r="AX1588" s="32"/>
    </row>
    <row r="1589">
      <c r="A1589" s="32"/>
      <c r="B1589" s="32"/>
      <c r="C1589" s="32"/>
      <c r="D1589" s="32"/>
      <c r="E1589" s="32">
        <f>IFERROR(__xludf.DUMMYFUNCTION("""COMPUTED_VALUE"""),1.0)</f>
        <v>1</v>
      </c>
      <c r="F1589" s="44">
        <f>IFERROR(__xludf.DUMMYFUNCTION("""COMPUTED_VALUE"""),0.0)</f>
        <v>0</v>
      </c>
      <c r="G1589" s="32"/>
      <c r="H1589" s="32"/>
      <c r="I1589" s="32"/>
      <c r="J1589" s="32"/>
      <c r="K1589" s="32"/>
      <c r="L1589" s="32"/>
      <c r="M1589" s="32"/>
      <c r="N1589" s="32"/>
      <c r="O1589" s="32"/>
      <c r="P1589" s="32"/>
      <c r="Q1589" s="32"/>
      <c r="R1589" s="32"/>
      <c r="S1589" s="32"/>
      <c r="T1589" s="32"/>
      <c r="U1589" s="32"/>
      <c r="V1589" s="32"/>
      <c r="W1589" s="32"/>
      <c r="X1589" s="32"/>
      <c r="Y1589" s="32"/>
      <c r="Z1589" s="32"/>
      <c r="AA1589" s="32"/>
      <c r="AB1589" s="32"/>
      <c r="AC1589" s="32"/>
      <c r="AD1589" s="32"/>
      <c r="AE1589" s="32"/>
      <c r="AF1589" s="32"/>
      <c r="AG1589" s="32"/>
      <c r="AH1589" s="32" t="b">
        <f>IFERROR(__xludf.DUMMYFUNCTION("""COMPUTED_VALUE"""),FALSE)</f>
        <v>0</v>
      </c>
      <c r="AI1589" s="32"/>
      <c r="AJ1589" s="32"/>
      <c r="AK1589" s="32"/>
      <c r="AL1589" s="32"/>
      <c r="AM1589" s="32"/>
      <c r="AN1589" s="32"/>
      <c r="AO1589" s="32"/>
      <c r="AP1589" s="32"/>
      <c r="AQ1589" s="32"/>
      <c r="AR1589" s="32"/>
      <c r="AS1589" s="32"/>
      <c r="AT1589" s="32"/>
      <c r="AU1589" s="32"/>
      <c r="AV1589" s="32"/>
      <c r="AW1589" s="32"/>
      <c r="AX1589" s="32"/>
    </row>
    <row r="1590">
      <c r="A1590" s="32"/>
      <c r="B1590" s="32"/>
      <c r="C1590" s="32"/>
      <c r="D1590" s="32"/>
      <c r="E1590" s="32">
        <f>IFERROR(__xludf.DUMMYFUNCTION("""COMPUTED_VALUE"""),1.0)</f>
        <v>1</v>
      </c>
      <c r="F1590" s="44">
        <f>IFERROR(__xludf.DUMMYFUNCTION("""COMPUTED_VALUE"""),0.0)</f>
        <v>0</v>
      </c>
      <c r="G1590" s="32"/>
      <c r="H1590" s="32"/>
      <c r="I1590" s="32"/>
      <c r="J1590" s="32"/>
      <c r="K1590" s="32"/>
      <c r="L1590" s="32"/>
      <c r="M1590" s="32"/>
      <c r="N1590" s="32"/>
      <c r="O1590" s="32"/>
      <c r="P1590" s="32"/>
      <c r="Q1590" s="32"/>
      <c r="R1590" s="32"/>
      <c r="S1590" s="32"/>
      <c r="T1590" s="32"/>
      <c r="U1590" s="32"/>
      <c r="V1590" s="32"/>
      <c r="W1590" s="32"/>
      <c r="X1590" s="32"/>
      <c r="Y1590" s="32"/>
      <c r="Z1590" s="32"/>
      <c r="AA1590" s="32"/>
      <c r="AB1590" s="32"/>
      <c r="AC1590" s="32"/>
      <c r="AD1590" s="32"/>
      <c r="AE1590" s="32"/>
      <c r="AF1590" s="32"/>
      <c r="AG1590" s="32"/>
      <c r="AH1590" s="32" t="b">
        <f>IFERROR(__xludf.DUMMYFUNCTION("""COMPUTED_VALUE"""),FALSE)</f>
        <v>0</v>
      </c>
      <c r="AI1590" s="32"/>
      <c r="AJ1590" s="32"/>
      <c r="AK1590" s="32"/>
      <c r="AL1590" s="32"/>
      <c r="AM1590" s="32"/>
      <c r="AN1590" s="32"/>
      <c r="AO1590" s="32"/>
      <c r="AP1590" s="32"/>
      <c r="AQ1590" s="32"/>
      <c r="AR1590" s="32"/>
      <c r="AS1590" s="32"/>
      <c r="AT1590" s="32"/>
      <c r="AU1590" s="32"/>
      <c r="AV1590" s="32"/>
      <c r="AW1590" s="32"/>
      <c r="AX1590" s="32"/>
    </row>
    <row r="1591">
      <c r="A1591" s="32"/>
      <c r="B1591" s="32"/>
      <c r="C1591" s="32"/>
      <c r="D1591" s="32"/>
      <c r="E1591" s="32">
        <f>IFERROR(__xludf.DUMMYFUNCTION("""COMPUTED_VALUE"""),1.0)</f>
        <v>1</v>
      </c>
      <c r="F1591" s="44">
        <f>IFERROR(__xludf.DUMMYFUNCTION("""COMPUTED_VALUE"""),0.0)</f>
        <v>0</v>
      </c>
      <c r="G1591" s="32"/>
      <c r="H1591" s="32"/>
      <c r="I1591" s="32"/>
      <c r="J1591" s="32"/>
      <c r="K1591" s="32"/>
      <c r="L1591" s="32"/>
      <c r="M1591" s="32"/>
      <c r="N1591" s="32"/>
      <c r="O1591" s="32"/>
      <c r="P1591" s="32"/>
      <c r="Q1591" s="32"/>
      <c r="R1591" s="32"/>
      <c r="S1591" s="32"/>
      <c r="T1591" s="32"/>
      <c r="U1591" s="32"/>
      <c r="V1591" s="32"/>
      <c r="W1591" s="32"/>
      <c r="X1591" s="32"/>
      <c r="Y1591" s="32"/>
      <c r="Z1591" s="32"/>
      <c r="AA1591" s="32"/>
      <c r="AB1591" s="32"/>
      <c r="AC1591" s="32"/>
      <c r="AD1591" s="32"/>
      <c r="AE1591" s="32"/>
      <c r="AF1591" s="32"/>
      <c r="AG1591" s="32"/>
      <c r="AH1591" s="32" t="b">
        <f>IFERROR(__xludf.DUMMYFUNCTION("""COMPUTED_VALUE"""),FALSE)</f>
        <v>0</v>
      </c>
      <c r="AI1591" s="32"/>
      <c r="AJ1591" s="32"/>
      <c r="AK1591" s="32"/>
      <c r="AL1591" s="32"/>
      <c r="AM1591" s="32"/>
      <c r="AN1591" s="32"/>
      <c r="AO1591" s="32"/>
      <c r="AP1591" s="32"/>
      <c r="AQ1591" s="32"/>
      <c r="AR1591" s="32"/>
      <c r="AS1591" s="32"/>
      <c r="AT1591" s="32"/>
      <c r="AU1591" s="32"/>
      <c r="AV1591" s="32"/>
      <c r="AW1591" s="32"/>
      <c r="AX1591" s="32"/>
    </row>
    <row r="1592">
      <c r="A1592" s="32"/>
      <c r="B1592" s="32"/>
      <c r="C1592" s="32"/>
      <c r="D1592" s="32"/>
      <c r="E1592" s="32">
        <f>IFERROR(__xludf.DUMMYFUNCTION("""COMPUTED_VALUE"""),1.0)</f>
        <v>1</v>
      </c>
      <c r="F1592" s="44">
        <f>IFERROR(__xludf.DUMMYFUNCTION("""COMPUTED_VALUE"""),0.0)</f>
        <v>0</v>
      </c>
      <c r="G1592" s="32"/>
      <c r="H1592" s="32"/>
      <c r="I1592" s="32"/>
      <c r="J1592" s="32"/>
      <c r="K1592" s="32"/>
      <c r="L1592" s="32"/>
      <c r="M1592" s="32"/>
      <c r="N1592" s="32"/>
      <c r="O1592" s="32"/>
      <c r="P1592" s="32"/>
      <c r="Q1592" s="32"/>
      <c r="R1592" s="32"/>
      <c r="S1592" s="32"/>
      <c r="T1592" s="32"/>
      <c r="U1592" s="32"/>
      <c r="V1592" s="32"/>
      <c r="W1592" s="32"/>
      <c r="X1592" s="32"/>
      <c r="Y1592" s="32"/>
      <c r="Z1592" s="32"/>
      <c r="AA1592" s="32"/>
      <c r="AB1592" s="32"/>
      <c r="AC1592" s="32"/>
      <c r="AD1592" s="32"/>
      <c r="AE1592" s="32"/>
      <c r="AF1592" s="32"/>
      <c r="AG1592" s="32"/>
      <c r="AH1592" s="32" t="b">
        <f>IFERROR(__xludf.DUMMYFUNCTION("""COMPUTED_VALUE"""),FALSE)</f>
        <v>0</v>
      </c>
      <c r="AI1592" s="32"/>
      <c r="AJ1592" s="32"/>
      <c r="AK1592" s="32"/>
      <c r="AL1592" s="32"/>
      <c r="AM1592" s="32"/>
      <c r="AN1592" s="32"/>
      <c r="AO1592" s="32"/>
      <c r="AP1592" s="32"/>
      <c r="AQ1592" s="32"/>
      <c r="AR1592" s="32"/>
      <c r="AS1592" s="32"/>
      <c r="AT1592" s="32"/>
      <c r="AU1592" s="32"/>
      <c r="AV1592" s="32"/>
      <c r="AW1592" s="32"/>
      <c r="AX1592" s="32"/>
    </row>
    <row r="1593">
      <c r="A1593" s="32"/>
      <c r="B1593" s="32"/>
      <c r="C1593" s="32"/>
      <c r="D1593" s="32"/>
      <c r="E1593" s="32">
        <f>IFERROR(__xludf.DUMMYFUNCTION("""COMPUTED_VALUE"""),1.0)</f>
        <v>1</v>
      </c>
      <c r="F1593" s="44">
        <f>IFERROR(__xludf.DUMMYFUNCTION("""COMPUTED_VALUE"""),0.0)</f>
        <v>0</v>
      </c>
      <c r="G1593" s="32"/>
      <c r="H1593" s="32"/>
      <c r="I1593" s="32"/>
      <c r="J1593" s="32"/>
      <c r="K1593" s="32"/>
      <c r="L1593" s="32"/>
      <c r="M1593" s="32"/>
      <c r="N1593" s="32"/>
      <c r="O1593" s="32"/>
      <c r="P1593" s="32"/>
      <c r="Q1593" s="32"/>
      <c r="R1593" s="32"/>
      <c r="S1593" s="32"/>
      <c r="T1593" s="32"/>
      <c r="U1593" s="32"/>
      <c r="V1593" s="32"/>
      <c r="W1593" s="32"/>
      <c r="X1593" s="32"/>
      <c r="Y1593" s="32"/>
      <c r="Z1593" s="32"/>
      <c r="AA1593" s="32"/>
      <c r="AB1593" s="32"/>
      <c r="AC1593" s="32"/>
      <c r="AD1593" s="32"/>
      <c r="AE1593" s="32"/>
      <c r="AF1593" s="32"/>
      <c r="AG1593" s="32"/>
      <c r="AH1593" s="32" t="b">
        <f>IFERROR(__xludf.DUMMYFUNCTION("""COMPUTED_VALUE"""),FALSE)</f>
        <v>0</v>
      </c>
      <c r="AI1593" s="32"/>
      <c r="AJ1593" s="32"/>
      <c r="AK1593" s="32"/>
      <c r="AL1593" s="32"/>
      <c r="AM1593" s="32"/>
      <c r="AN1593" s="32"/>
      <c r="AO1593" s="32"/>
      <c r="AP1593" s="32"/>
      <c r="AQ1593" s="32"/>
      <c r="AR1593" s="32"/>
      <c r="AS1593" s="32"/>
      <c r="AT1593" s="32"/>
      <c r="AU1593" s="32"/>
      <c r="AV1593" s="32"/>
      <c r="AW1593" s="32"/>
      <c r="AX1593" s="32"/>
    </row>
    <row r="1594">
      <c r="A1594" s="32"/>
      <c r="B1594" s="32"/>
      <c r="C1594" s="32"/>
      <c r="D1594" s="32"/>
      <c r="E1594" s="32">
        <f>IFERROR(__xludf.DUMMYFUNCTION("""COMPUTED_VALUE"""),1.0)</f>
        <v>1</v>
      </c>
      <c r="F1594" s="44">
        <f>IFERROR(__xludf.DUMMYFUNCTION("""COMPUTED_VALUE"""),0.0)</f>
        <v>0</v>
      </c>
      <c r="G1594" s="32"/>
      <c r="H1594" s="32"/>
      <c r="I1594" s="32"/>
      <c r="J1594" s="32"/>
      <c r="K1594" s="32"/>
      <c r="L1594" s="32"/>
      <c r="M1594" s="32"/>
      <c r="N1594" s="32"/>
      <c r="O1594" s="32"/>
      <c r="P1594" s="32"/>
      <c r="Q1594" s="32"/>
      <c r="R1594" s="32"/>
      <c r="S1594" s="32"/>
      <c r="T1594" s="32"/>
      <c r="U1594" s="32"/>
      <c r="V1594" s="32"/>
      <c r="W1594" s="32"/>
      <c r="X1594" s="32"/>
      <c r="Y1594" s="32"/>
      <c r="Z1594" s="32"/>
      <c r="AA1594" s="32"/>
      <c r="AB1594" s="32"/>
      <c r="AC1594" s="32"/>
      <c r="AD1594" s="32"/>
      <c r="AE1594" s="32"/>
      <c r="AF1594" s="32"/>
      <c r="AG1594" s="32"/>
      <c r="AH1594" s="32" t="b">
        <f>IFERROR(__xludf.DUMMYFUNCTION("""COMPUTED_VALUE"""),FALSE)</f>
        <v>0</v>
      </c>
      <c r="AI1594" s="32"/>
      <c r="AJ1594" s="32"/>
      <c r="AK1594" s="32"/>
      <c r="AL1594" s="32"/>
      <c r="AM1594" s="32"/>
      <c r="AN1594" s="32"/>
      <c r="AO1594" s="32"/>
      <c r="AP1594" s="32"/>
      <c r="AQ1594" s="32"/>
      <c r="AR1594" s="32"/>
      <c r="AS1594" s="32"/>
      <c r="AT1594" s="32"/>
      <c r="AU1594" s="32"/>
      <c r="AV1594" s="32"/>
      <c r="AW1594" s="32"/>
      <c r="AX1594" s="32"/>
    </row>
    <row r="1595">
      <c r="A1595" s="32"/>
      <c r="B1595" s="32"/>
      <c r="C1595" s="32"/>
      <c r="D1595" s="32"/>
      <c r="E1595" s="32">
        <f>IFERROR(__xludf.DUMMYFUNCTION("""COMPUTED_VALUE"""),1.0)</f>
        <v>1</v>
      </c>
      <c r="F1595" s="44">
        <f>IFERROR(__xludf.DUMMYFUNCTION("""COMPUTED_VALUE"""),0.0)</f>
        <v>0</v>
      </c>
      <c r="G1595" s="32"/>
      <c r="H1595" s="32"/>
      <c r="I1595" s="32"/>
      <c r="J1595" s="32"/>
      <c r="K1595" s="32"/>
      <c r="L1595" s="32"/>
      <c r="M1595" s="32"/>
      <c r="N1595" s="32"/>
      <c r="O1595" s="32"/>
      <c r="P1595" s="32"/>
      <c r="Q1595" s="32"/>
      <c r="R1595" s="32"/>
      <c r="S1595" s="32"/>
      <c r="T1595" s="32"/>
      <c r="U1595" s="32"/>
      <c r="V1595" s="32"/>
      <c r="W1595" s="32"/>
      <c r="X1595" s="32"/>
      <c r="Y1595" s="32"/>
      <c r="Z1595" s="32"/>
      <c r="AA1595" s="32"/>
      <c r="AB1595" s="32"/>
      <c r="AC1595" s="32"/>
      <c r="AD1595" s="32"/>
      <c r="AE1595" s="32"/>
      <c r="AF1595" s="32"/>
      <c r="AG1595" s="32"/>
      <c r="AH1595" s="32" t="b">
        <f>IFERROR(__xludf.DUMMYFUNCTION("""COMPUTED_VALUE"""),FALSE)</f>
        <v>0</v>
      </c>
      <c r="AI1595" s="32"/>
      <c r="AJ1595" s="32"/>
      <c r="AK1595" s="32"/>
      <c r="AL1595" s="32"/>
      <c r="AM1595" s="32"/>
      <c r="AN1595" s="32"/>
      <c r="AO1595" s="32"/>
      <c r="AP1595" s="32"/>
      <c r="AQ1595" s="32"/>
      <c r="AR1595" s="32"/>
      <c r="AS1595" s="32"/>
      <c r="AT1595" s="32"/>
      <c r="AU1595" s="32"/>
      <c r="AV1595" s="32"/>
      <c r="AW1595" s="32"/>
      <c r="AX1595" s="32"/>
    </row>
    <row r="1596">
      <c r="A1596" s="32"/>
      <c r="B1596" s="32"/>
      <c r="C1596" s="32"/>
      <c r="D1596" s="32"/>
      <c r="E1596" s="32">
        <f>IFERROR(__xludf.DUMMYFUNCTION("""COMPUTED_VALUE"""),1.0)</f>
        <v>1</v>
      </c>
      <c r="F1596" s="44">
        <f>IFERROR(__xludf.DUMMYFUNCTION("""COMPUTED_VALUE"""),0.0)</f>
        <v>0</v>
      </c>
      <c r="G1596" s="32"/>
      <c r="H1596" s="32"/>
      <c r="I1596" s="32"/>
      <c r="J1596" s="32"/>
      <c r="K1596" s="32"/>
      <c r="L1596" s="32"/>
      <c r="M1596" s="32"/>
      <c r="N1596" s="32"/>
      <c r="O1596" s="32"/>
      <c r="P1596" s="32"/>
      <c r="Q1596" s="32"/>
      <c r="R1596" s="32"/>
      <c r="S1596" s="32"/>
      <c r="T1596" s="32"/>
      <c r="U1596" s="32"/>
      <c r="V1596" s="32"/>
      <c r="W1596" s="32"/>
      <c r="X1596" s="32"/>
      <c r="Y1596" s="32"/>
      <c r="Z1596" s="32"/>
      <c r="AA1596" s="32"/>
      <c r="AB1596" s="32"/>
      <c r="AC1596" s="32"/>
      <c r="AD1596" s="32"/>
      <c r="AE1596" s="32"/>
      <c r="AF1596" s="32"/>
      <c r="AG1596" s="32"/>
      <c r="AH1596" s="32" t="b">
        <f>IFERROR(__xludf.DUMMYFUNCTION("""COMPUTED_VALUE"""),FALSE)</f>
        <v>0</v>
      </c>
      <c r="AI1596" s="32"/>
      <c r="AJ1596" s="32"/>
      <c r="AK1596" s="32"/>
      <c r="AL1596" s="32"/>
      <c r="AM1596" s="32"/>
      <c r="AN1596" s="32"/>
      <c r="AO1596" s="32"/>
      <c r="AP1596" s="32"/>
      <c r="AQ1596" s="32"/>
      <c r="AR1596" s="32"/>
      <c r="AS1596" s="32"/>
      <c r="AT1596" s="32"/>
      <c r="AU1596" s="32"/>
      <c r="AV1596" s="32"/>
      <c r="AW1596" s="32"/>
      <c r="AX1596" s="32"/>
    </row>
    <row r="1597">
      <c r="A1597" s="32"/>
      <c r="B1597" s="32"/>
      <c r="C1597" s="32"/>
      <c r="D1597" s="32"/>
      <c r="E1597" s="32">
        <f>IFERROR(__xludf.DUMMYFUNCTION("""COMPUTED_VALUE"""),1.0)</f>
        <v>1</v>
      </c>
      <c r="F1597" s="44">
        <f>IFERROR(__xludf.DUMMYFUNCTION("""COMPUTED_VALUE"""),0.0)</f>
        <v>0</v>
      </c>
      <c r="G1597" s="32"/>
      <c r="H1597" s="32"/>
      <c r="I1597" s="32"/>
      <c r="J1597" s="32"/>
      <c r="K1597" s="32"/>
      <c r="L1597" s="32"/>
      <c r="M1597" s="32"/>
      <c r="N1597" s="32"/>
      <c r="O1597" s="32"/>
      <c r="P1597" s="32"/>
      <c r="Q1597" s="32"/>
      <c r="R1597" s="32"/>
      <c r="S1597" s="32"/>
      <c r="T1597" s="32"/>
      <c r="U1597" s="32"/>
      <c r="V1597" s="32"/>
      <c r="W1597" s="32"/>
      <c r="X1597" s="32"/>
      <c r="Y1597" s="32"/>
      <c r="Z1597" s="32"/>
      <c r="AA1597" s="32"/>
      <c r="AB1597" s="32"/>
      <c r="AC1597" s="32"/>
      <c r="AD1597" s="32"/>
      <c r="AE1597" s="32"/>
      <c r="AF1597" s="32"/>
      <c r="AG1597" s="32"/>
      <c r="AH1597" s="32" t="b">
        <f>IFERROR(__xludf.DUMMYFUNCTION("""COMPUTED_VALUE"""),FALSE)</f>
        <v>0</v>
      </c>
      <c r="AI1597" s="32"/>
      <c r="AJ1597" s="32"/>
      <c r="AK1597" s="32"/>
      <c r="AL1597" s="32"/>
      <c r="AM1597" s="32"/>
      <c r="AN1597" s="32"/>
      <c r="AO1597" s="32"/>
      <c r="AP1597" s="32"/>
      <c r="AQ1597" s="32"/>
      <c r="AR1597" s="32"/>
      <c r="AS1597" s="32"/>
      <c r="AT1597" s="32"/>
      <c r="AU1597" s="32"/>
      <c r="AV1597" s="32"/>
      <c r="AW1597" s="32"/>
      <c r="AX1597" s="32"/>
    </row>
    <row r="1598">
      <c r="A1598" s="32"/>
      <c r="B1598" s="32"/>
      <c r="C1598" s="32"/>
      <c r="D1598" s="32"/>
      <c r="E1598" s="32">
        <f>IFERROR(__xludf.DUMMYFUNCTION("""COMPUTED_VALUE"""),1.0)</f>
        <v>1</v>
      </c>
      <c r="F1598" s="44">
        <f>IFERROR(__xludf.DUMMYFUNCTION("""COMPUTED_VALUE"""),0.0)</f>
        <v>0</v>
      </c>
      <c r="G1598" s="32"/>
      <c r="H1598" s="32"/>
      <c r="I1598" s="32"/>
      <c r="J1598" s="32"/>
      <c r="K1598" s="32"/>
      <c r="L1598" s="32"/>
      <c r="M1598" s="32"/>
      <c r="N1598" s="32"/>
      <c r="O1598" s="32"/>
      <c r="P1598" s="32"/>
      <c r="Q1598" s="32"/>
      <c r="R1598" s="32"/>
      <c r="S1598" s="32"/>
      <c r="T1598" s="32"/>
      <c r="U1598" s="32"/>
      <c r="V1598" s="32"/>
      <c r="W1598" s="32"/>
      <c r="X1598" s="32"/>
      <c r="Y1598" s="32"/>
      <c r="Z1598" s="32"/>
      <c r="AA1598" s="32"/>
      <c r="AB1598" s="32"/>
      <c r="AC1598" s="32"/>
      <c r="AD1598" s="32"/>
      <c r="AE1598" s="32"/>
      <c r="AF1598" s="32"/>
      <c r="AG1598" s="32"/>
      <c r="AH1598" s="32" t="b">
        <f>IFERROR(__xludf.DUMMYFUNCTION("""COMPUTED_VALUE"""),FALSE)</f>
        <v>0</v>
      </c>
      <c r="AI1598" s="32"/>
      <c r="AJ1598" s="32"/>
      <c r="AK1598" s="32"/>
      <c r="AL1598" s="32"/>
      <c r="AM1598" s="32"/>
      <c r="AN1598" s="32"/>
      <c r="AO1598" s="32"/>
      <c r="AP1598" s="32"/>
      <c r="AQ1598" s="32"/>
      <c r="AR1598" s="32"/>
      <c r="AS1598" s="32"/>
      <c r="AT1598" s="32"/>
      <c r="AU1598" s="32"/>
      <c r="AV1598" s="32"/>
      <c r="AW1598" s="32"/>
      <c r="AX1598" s="32"/>
    </row>
    <row r="1599">
      <c r="A1599" s="32"/>
      <c r="B1599" s="32"/>
      <c r="C1599" s="32"/>
      <c r="D1599" s="32"/>
      <c r="E1599" s="32">
        <f>IFERROR(__xludf.DUMMYFUNCTION("""COMPUTED_VALUE"""),1.0)</f>
        <v>1</v>
      </c>
      <c r="F1599" s="44">
        <f>IFERROR(__xludf.DUMMYFUNCTION("""COMPUTED_VALUE"""),0.0)</f>
        <v>0</v>
      </c>
      <c r="G1599" s="32"/>
      <c r="H1599" s="32"/>
      <c r="I1599" s="32"/>
      <c r="J1599" s="32"/>
      <c r="K1599" s="32"/>
      <c r="L1599" s="32"/>
      <c r="M1599" s="32"/>
      <c r="N1599" s="32"/>
      <c r="O1599" s="32"/>
      <c r="P1599" s="32"/>
      <c r="Q1599" s="32"/>
      <c r="R1599" s="32"/>
      <c r="S1599" s="32"/>
      <c r="T1599" s="32"/>
      <c r="U1599" s="32"/>
      <c r="V1599" s="32"/>
      <c r="W1599" s="32"/>
      <c r="X1599" s="32"/>
      <c r="Y1599" s="32"/>
      <c r="Z1599" s="32"/>
      <c r="AA1599" s="32"/>
      <c r="AB1599" s="32"/>
      <c r="AC1599" s="32"/>
      <c r="AD1599" s="32"/>
      <c r="AE1599" s="32"/>
      <c r="AF1599" s="32"/>
      <c r="AG1599" s="32"/>
      <c r="AH1599" s="32" t="b">
        <f>IFERROR(__xludf.DUMMYFUNCTION("""COMPUTED_VALUE"""),FALSE)</f>
        <v>0</v>
      </c>
      <c r="AI1599" s="32"/>
      <c r="AJ1599" s="32"/>
      <c r="AK1599" s="32"/>
      <c r="AL1599" s="32"/>
      <c r="AM1599" s="32"/>
      <c r="AN1599" s="32"/>
      <c r="AO1599" s="32"/>
      <c r="AP1599" s="32"/>
      <c r="AQ1599" s="32"/>
      <c r="AR1599" s="32"/>
      <c r="AS1599" s="32"/>
      <c r="AT1599" s="32"/>
      <c r="AU1599" s="32"/>
      <c r="AV1599" s="32"/>
      <c r="AW1599" s="32"/>
      <c r="AX1599" s="32"/>
    </row>
    <row r="1600">
      <c r="A1600" s="32"/>
      <c r="B1600" s="32"/>
      <c r="C1600" s="32"/>
      <c r="D1600" s="32"/>
      <c r="E1600" s="32">
        <f>IFERROR(__xludf.DUMMYFUNCTION("""COMPUTED_VALUE"""),1.0)</f>
        <v>1</v>
      </c>
      <c r="F1600" s="44">
        <f>IFERROR(__xludf.DUMMYFUNCTION("""COMPUTED_VALUE"""),0.0)</f>
        <v>0</v>
      </c>
      <c r="G1600" s="32"/>
      <c r="H1600" s="32"/>
      <c r="I1600" s="32"/>
      <c r="J1600" s="32"/>
      <c r="K1600" s="32"/>
      <c r="L1600" s="32"/>
      <c r="M1600" s="32"/>
      <c r="N1600" s="32"/>
      <c r="O1600" s="32"/>
      <c r="P1600" s="32"/>
      <c r="Q1600" s="32"/>
      <c r="R1600" s="32"/>
      <c r="S1600" s="32"/>
      <c r="T1600" s="32"/>
      <c r="U1600" s="32"/>
      <c r="V1600" s="32"/>
      <c r="W1600" s="32"/>
      <c r="X1600" s="32"/>
      <c r="Y1600" s="32"/>
      <c r="Z1600" s="32"/>
      <c r="AA1600" s="32"/>
      <c r="AB1600" s="32"/>
      <c r="AC1600" s="32"/>
      <c r="AD1600" s="32"/>
      <c r="AE1600" s="32"/>
      <c r="AF1600" s="32"/>
      <c r="AG1600" s="32"/>
      <c r="AH1600" s="32" t="b">
        <f>IFERROR(__xludf.DUMMYFUNCTION("""COMPUTED_VALUE"""),FALSE)</f>
        <v>0</v>
      </c>
      <c r="AI1600" s="32"/>
      <c r="AJ1600" s="32"/>
      <c r="AK1600" s="32"/>
      <c r="AL1600" s="32"/>
      <c r="AM1600" s="32"/>
      <c r="AN1600" s="32"/>
      <c r="AO1600" s="32"/>
      <c r="AP1600" s="32"/>
      <c r="AQ1600" s="32"/>
      <c r="AR1600" s="32"/>
      <c r="AS1600" s="32"/>
      <c r="AT1600" s="32"/>
      <c r="AU1600" s="32"/>
      <c r="AV1600" s="32"/>
      <c r="AW1600" s="32"/>
      <c r="AX1600" s="32"/>
    </row>
    <row r="1601">
      <c r="A1601" s="32"/>
      <c r="B1601" s="32"/>
      <c r="C1601" s="32"/>
      <c r="D1601" s="32"/>
      <c r="E1601" s="32">
        <f>IFERROR(__xludf.DUMMYFUNCTION("""COMPUTED_VALUE"""),1.0)</f>
        <v>1</v>
      </c>
      <c r="F1601" s="44">
        <f>IFERROR(__xludf.DUMMYFUNCTION("""COMPUTED_VALUE"""),0.0)</f>
        <v>0</v>
      </c>
      <c r="G1601" s="32"/>
      <c r="H1601" s="32"/>
      <c r="I1601" s="32"/>
      <c r="J1601" s="32"/>
      <c r="K1601" s="32"/>
      <c r="L1601" s="32"/>
      <c r="M1601" s="32"/>
      <c r="N1601" s="32"/>
      <c r="O1601" s="32"/>
      <c r="P1601" s="32"/>
      <c r="Q1601" s="32"/>
      <c r="R1601" s="32"/>
      <c r="S1601" s="32"/>
      <c r="T1601" s="32"/>
      <c r="U1601" s="32"/>
      <c r="V1601" s="32"/>
      <c r="W1601" s="32"/>
      <c r="X1601" s="32"/>
      <c r="Y1601" s="32"/>
      <c r="Z1601" s="32"/>
      <c r="AA1601" s="32"/>
      <c r="AB1601" s="32"/>
      <c r="AC1601" s="32"/>
      <c r="AD1601" s="32"/>
      <c r="AE1601" s="32"/>
      <c r="AF1601" s="32"/>
      <c r="AG1601" s="32"/>
      <c r="AH1601" s="32" t="b">
        <f>IFERROR(__xludf.DUMMYFUNCTION("""COMPUTED_VALUE"""),FALSE)</f>
        <v>0</v>
      </c>
      <c r="AI1601" s="32"/>
      <c r="AJ1601" s="32"/>
      <c r="AK1601" s="32"/>
      <c r="AL1601" s="32"/>
      <c r="AM1601" s="32"/>
      <c r="AN1601" s="32"/>
      <c r="AO1601" s="32"/>
      <c r="AP1601" s="32"/>
      <c r="AQ1601" s="32"/>
      <c r="AR1601" s="32"/>
      <c r="AS1601" s="32"/>
      <c r="AT1601" s="32"/>
      <c r="AU1601" s="32"/>
      <c r="AV1601" s="32"/>
      <c r="AW1601" s="32"/>
      <c r="AX1601" s="32"/>
    </row>
    <row r="1602">
      <c r="A1602" s="32"/>
      <c r="B1602" s="32"/>
      <c r="C1602" s="32"/>
      <c r="D1602" s="32"/>
      <c r="E1602" s="32">
        <f>IFERROR(__xludf.DUMMYFUNCTION("""COMPUTED_VALUE"""),1.0)</f>
        <v>1</v>
      </c>
      <c r="F1602" s="44">
        <f>IFERROR(__xludf.DUMMYFUNCTION("""COMPUTED_VALUE"""),0.0)</f>
        <v>0</v>
      </c>
      <c r="G1602" s="32"/>
      <c r="H1602" s="32"/>
      <c r="I1602" s="32"/>
      <c r="J1602" s="32"/>
      <c r="K1602" s="32"/>
      <c r="L1602" s="32"/>
      <c r="M1602" s="32"/>
      <c r="N1602" s="32"/>
      <c r="O1602" s="32"/>
      <c r="P1602" s="32"/>
      <c r="Q1602" s="32"/>
      <c r="R1602" s="32"/>
      <c r="S1602" s="32"/>
      <c r="T1602" s="32"/>
      <c r="U1602" s="32"/>
      <c r="V1602" s="32"/>
      <c r="W1602" s="32"/>
      <c r="X1602" s="32"/>
      <c r="Y1602" s="32"/>
      <c r="Z1602" s="32"/>
      <c r="AA1602" s="32"/>
      <c r="AB1602" s="32"/>
      <c r="AC1602" s="32"/>
      <c r="AD1602" s="32"/>
      <c r="AE1602" s="32"/>
      <c r="AF1602" s="32"/>
      <c r="AG1602" s="32"/>
      <c r="AH1602" s="32" t="b">
        <f>IFERROR(__xludf.DUMMYFUNCTION("""COMPUTED_VALUE"""),FALSE)</f>
        <v>0</v>
      </c>
      <c r="AI1602" s="32"/>
      <c r="AJ1602" s="32"/>
      <c r="AK1602" s="32"/>
      <c r="AL1602" s="32"/>
      <c r="AM1602" s="32"/>
      <c r="AN1602" s="32"/>
      <c r="AO1602" s="32"/>
      <c r="AP1602" s="32"/>
      <c r="AQ1602" s="32"/>
      <c r="AR1602" s="32"/>
      <c r="AS1602" s="32"/>
      <c r="AT1602" s="32"/>
      <c r="AU1602" s="32"/>
      <c r="AV1602" s="32"/>
      <c r="AW1602" s="32"/>
      <c r="AX1602" s="32"/>
    </row>
    <row r="1603">
      <c r="A1603" s="32"/>
      <c r="B1603" s="32"/>
      <c r="C1603" s="32"/>
      <c r="D1603" s="32"/>
      <c r="E1603" s="32">
        <f>IFERROR(__xludf.DUMMYFUNCTION("""COMPUTED_VALUE"""),1.0)</f>
        <v>1</v>
      </c>
      <c r="F1603" s="44">
        <f>IFERROR(__xludf.DUMMYFUNCTION("""COMPUTED_VALUE"""),0.0)</f>
        <v>0</v>
      </c>
      <c r="G1603" s="32"/>
      <c r="H1603" s="32"/>
      <c r="I1603" s="32"/>
      <c r="J1603" s="32"/>
      <c r="K1603" s="32"/>
      <c r="L1603" s="32"/>
      <c r="M1603" s="32"/>
      <c r="N1603" s="32"/>
      <c r="O1603" s="32"/>
      <c r="P1603" s="32"/>
      <c r="Q1603" s="32"/>
      <c r="R1603" s="32"/>
      <c r="S1603" s="32"/>
      <c r="T1603" s="32"/>
      <c r="U1603" s="32"/>
      <c r="V1603" s="32"/>
      <c r="W1603" s="32"/>
      <c r="X1603" s="32"/>
      <c r="Y1603" s="32"/>
      <c r="Z1603" s="32"/>
      <c r="AA1603" s="32"/>
      <c r="AB1603" s="32"/>
      <c r="AC1603" s="32"/>
      <c r="AD1603" s="32"/>
      <c r="AE1603" s="32"/>
      <c r="AF1603" s="32"/>
      <c r="AG1603" s="32"/>
      <c r="AH1603" s="32" t="b">
        <f>IFERROR(__xludf.DUMMYFUNCTION("""COMPUTED_VALUE"""),FALSE)</f>
        <v>0</v>
      </c>
      <c r="AI1603" s="32"/>
      <c r="AJ1603" s="32"/>
      <c r="AK1603" s="32"/>
      <c r="AL1603" s="32"/>
      <c r="AM1603" s="32"/>
      <c r="AN1603" s="32"/>
      <c r="AO1603" s="32"/>
      <c r="AP1603" s="32"/>
      <c r="AQ1603" s="32"/>
      <c r="AR1603" s="32"/>
      <c r="AS1603" s="32"/>
      <c r="AT1603" s="32"/>
      <c r="AU1603" s="32"/>
      <c r="AV1603" s="32"/>
      <c r="AW1603" s="32"/>
      <c r="AX1603" s="32"/>
    </row>
    <row r="1604">
      <c r="A1604" s="32"/>
      <c r="B1604" s="32"/>
      <c r="C1604" s="32"/>
      <c r="D1604" s="32"/>
      <c r="E1604" s="32">
        <f>IFERROR(__xludf.DUMMYFUNCTION("""COMPUTED_VALUE"""),1.0)</f>
        <v>1</v>
      </c>
      <c r="F1604" s="44">
        <f>IFERROR(__xludf.DUMMYFUNCTION("""COMPUTED_VALUE"""),0.0)</f>
        <v>0</v>
      </c>
      <c r="G1604" s="32"/>
      <c r="H1604" s="32"/>
      <c r="I1604" s="32"/>
      <c r="J1604" s="32"/>
      <c r="K1604" s="32"/>
      <c r="L1604" s="32"/>
      <c r="M1604" s="32"/>
      <c r="N1604" s="32"/>
      <c r="O1604" s="32"/>
      <c r="P1604" s="32"/>
      <c r="Q1604" s="32"/>
      <c r="R1604" s="32"/>
      <c r="S1604" s="32"/>
      <c r="T1604" s="32"/>
      <c r="U1604" s="32"/>
      <c r="V1604" s="32"/>
      <c r="W1604" s="32"/>
      <c r="X1604" s="32"/>
      <c r="Y1604" s="32"/>
      <c r="Z1604" s="32"/>
      <c r="AA1604" s="32"/>
      <c r="AB1604" s="32"/>
      <c r="AC1604" s="32"/>
      <c r="AD1604" s="32"/>
      <c r="AE1604" s="32"/>
      <c r="AF1604" s="32"/>
      <c r="AG1604" s="32"/>
      <c r="AH1604" s="32" t="b">
        <f>IFERROR(__xludf.DUMMYFUNCTION("""COMPUTED_VALUE"""),FALSE)</f>
        <v>0</v>
      </c>
      <c r="AI1604" s="32"/>
      <c r="AJ1604" s="32"/>
      <c r="AK1604" s="32"/>
      <c r="AL1604" s="32"/>
      <c r="AM1604" s="32"/>
      <c r="AN1604" s="32"/>
      <c r="AO1604" s="32"/>
      <c r="AP1604" s="32"/>
      <c r="AQ1604" s="32"/>
      <c r="AR1604" s="32"/>
      <c r="AS1604" s="32"/>
      <c r="AT1604" s="32"/>
      <c r="AU1604" s="32"/>
      <c r="AV1604" s="32"/>
      <c r="AW1604" s="32"/>
      <c r="AX1604" s="32"/>
    </row>
    <row r="1605">
      <c r="A1605" s="32"/>
      <c r="B1605" s="32"/>
      <c r="C1605" s="32"/>
      <c r="D1605" s="32"/>
      <c r="E1605" s="32">
        <f>IFERROR(__xludf.DUMMYFUNCTION("""COMPUTED_VALUE"""),1.0)</f>
        <v>1</v>
      </c>
      <c r="F1605" s="44">
        <f>IFERROR(__xludf.DUMMYFUNCTION("""COMPUTED_VALUE"""),0.0)</f>
        <v>0</v>
      </c>
      <c r="G1605" s="32"/>
      <c r="H1605" s="32"/>
      <c r="I1605" s="32"/>
      <c r="J1605" s="32"/>
      <c r="K1605" s="32"/>
      <c r="L1605" s="32"/>
      <c r="M1605" s="32"/>
      <c r="N1605" s="32"/>
      <c r="O1605" s="32"/>
      <c r="P1605" s="32"/>
      <c r="Q1605" s="32"/>
      <c r="R1605" s="32"/>
      <c r="S1605" s="32"/>
      <c r="T1605" s="32"/>
      <c r="U1605" s="32"/>
      <c r="V1605" s="32"/>
      <c r="W1605" s="32"/>
      <c r="X1605" s="32"/>
      <c r="Y1605" s="32"/>
      <c r="Z1605" s="32"/>
      <c r="AA1605" s="32"/>
      <c r="AB1605" s="32"/>
      <c r="AC1605" s="32"/>
      <c r="AD1605" s="32"/>
      <c r="AE1605" s="32"/>
      <c r="AF1605" s="32"/>
      <c r="AG1605" s="32"/>
      <c r="AH1605" s="32" t="b">
        <f>IFERROR(__xludf.DUMMYFUNCTION("""COMPUTED_VALUE"""),FALSE)</f>
        <v>0</v>
      </c>
      <c r="AI1605" s="32"/>
      <c r="AJ1605" s="32"/>
      <c r="AK1605" s="32"/>
      <c r="AL1605" s="32"/>
      <c r="AM1605" s="32"/>
      <c r="AN1605" s="32"/>
      <c r="AO1605" s="32"/>
      <c r="AP1605" s="32"/>
      <c r="AQ1605" s="32"/>
      <c r="AR1605" s="32"/>
      <c r="AS1605" s="32"/>
      <c r="AT1605" s="32"/>
      <c r="AU1605" s="32"/>
      <c r="AV1605" s="32"/>
      <c r="AW1605" s="32"/>
      <c r="AX1605" s="32"/>
    </row>
    <row r="1606">
      <c r="A1606" s="32"/>
      <c r="B1606" s="32"/>
      <c r="C1606" s="32"/>
      <c r="D1606" s="32"/>
      <c r="E1606" s="32">
        <f>IFERROR(__xludf.DUMMYFUNCTION("""COMPUTED_VALUE"""),1.0)</f>
        <v>1</v>
      </c>
      <c r="F1606" s="44">
        <f>IFERROR(__xludf.DUMMYFUNCTION("""COMPUTED_VALUE"""),0.0)</f>
        <v>0</v>
      </c>
      <c r="G1606" s="32"/>
      <c r="H1606" s="32"/>
      <c r="I1606" s="32"/>
      <c r="J1606" s="32"/>
      <c r="K1606" s="32"/>
      <c r="L1606" s="32"/>
      <c r="M1606" s="32"/>
      <c r="N1606" s="32"/>
      <c r="O1606" s="32"/>
      <c r="P1606" s="32"/>
      <c r="Q1606" s="32"/>
      <c r="R1606" s="32"/>
      <c r="S1606" s="32"/>
      <c r="T1606" s="32"/>
      <c r="U1606" s="32"/>
      <c r="V1606" s="32"/>
      <c r="W1606" s="32"/>
      <c r="X1606" s="32"/>
      <c r="Y1606" s="32"/>
      <c r="Z1606" s="32"/>
      <c r="AA1606" s="32"/>
      <c r="AB1606" s="32"/>
      <c r="AC1606" s="32"/>
      <c r="AD1606" s="32"/>
      <c r="AE1606" s="32"/>
      <c r="AF1606" s="32"/>
      <c r="AG1606" s="32"/>
      <c r="AH1606" s="32" t="b">
        <f>IFERROR(__xludf.DUMMYFUNCTION("""COMPUTED_VALUE"""),FALSE)</f>
        <v>0</v>
      </c>
      <c r="AI1606" s="32"/>
      <c r="AJ1606" s="32"/>
      <c r="AK1606" s="32"/>
      <c r="AL1606" s="32"/>
      <c r="AM1606" s="32"/>
      <c r="AN1606" s="32"/>
      <c r="AO1606" s="32"/>
      <c r="AP1606" s="32"/>
      <c r="AQ1606" s="32"/>
      <c r="AR1606" s="32"/>
      <c r="AS1606" s="32"/>
      <c r="AT1606" s="32"/>
      <c r="AU1606" s="32"/>
      <c r="AV1606" s="32"/>
      <c r="AW1606" s="32"/>
      <c r="AX1606" s="32"/>
    </row>
    <row r="1607">
      <c r="A1607" s="32"/>
      <c r="B1607" s="32"/>
      <c r="C1607" s="32"/>
      <c r="D1607" s="32"/>
      <c r="E1607" s="32">
        <f>IFERROR(__xludf.DUMMYFUNCTION("""COMPUTED_VALUE"""),1.0)</f>
        <v>1</v>
      </c>
      <c r="F1607" s="44">
        <f>IFERROR(__xludf.DUMMYFUNCTION("""COMPUTED_VALUE"""),0.0)</f>
        <v>0</v>
      </c>
      <c r="G1607" s="32"/>
      <c r="H1607" s="32"/>
      <c r="I1607" s="32"/>
      <c r="J1607" s="32"/>
      <c r="K1607" s="32"/>
      <c r="L1607" s="32"/>
      <c r="M1607" s="32"/>
      <c r="N1607" s="32"/>
      <c r="O1607" s="32"/>
      <c r="P1607" s="32"/>
      <c r="Q1607" s="32"/>
      <c r="R1607" s="32"/>
      <c r="S1607" s="32"/>
      <c r="T1607" s="32"/>
      <c r="U1607" s="32"/>
      <c r="V1607" s="32"/>
      <c r="W1607" s="32"/>
      <c r="X1607" s="32"/>
      <c r="Y1607" s="32"/>
      <c r="Z1607" s="32"/>
      <c r="AA1607" s="32"/>
      <c r="AB1607" s="32"/>
      <c r="AC1607" s="32"/>
      <c r="AD1607" s="32"/>
      <c r="AE1607" s="32"/>
      <c r="AF1607" s="32"/>
      <c r="AG1607" s="32"/>
      <c r="AH1607" s="32" t="b">
        <f>IFERROR(__xludf.DUMMYFUNCTION("""COMPUTED_VALUE"""),FALSE)</f>
        <v>0</v>
      </c>
      <c r="AI1607" s="32"/>
      <c r="AJ1607" s="32"/>
      <c r="AK1607" s="32"/>
      <c r="AL1607" s="32"/>
      <c r="AM1607" s="32"/>
      <c r="AN1607" s="32"/>
      <c r="AO1607" s="32"/>
      <c r="AP1607" s="32"/>
      <c r="AQ1607" s="32"/>
      <c r="AR1607" s="32"/>
      <c r="AS1607" s="32"/>
      <c r="AT1607" s="32"/>
      <c r="AU1607" s="32"/>
      <c r="AV1607" s="32"/>
      <c r="AW1607" s="32"/>
      <c r="AX1607" s="32"/>
    </row>
    <row r="1608">
      <c r="A1608" s="32"/>
      <c r="B1608" s="32"/>
      <c r="C1608" s="32"/>
      <c r="D1608" s="32"/>
      <c r="E1608" s="32">
        <f>IFERROR(__xludf.DUMMYFUNCTION("""COMPUTED_VALUE"""),1.0)</f>
        <v>1</v>
      </c>
      <c r="F1608" s="44">
        <f>IFERROR(__xludf.DUMMYFUNCTION("""COMPUTED_VALUE"""),0.0)</f>
        <v>0</v>
      </c>
      <c r="G1608" s="32"/>
      <c r="H1608" s="32"/>
      <c r="I1608" s="32"/>
      <c r="J1608" s="32"/>
      <c r="K1608" s="32"/>
      <c r="L1608" s="32"/>
      <c r="M1608" s="32"/>
      <c r="N1608" s="32"/>
      <c r="O1608" s="32"/>
      <c r="P1608" s="32"/>
      <c r="Q1608" s="32"/>
      <c r="R1608" s="32"/>
      <c r="S1608" s="32"/>
      <c r="T1608" s="32"/>
      <c r="U1608" s="32"/>
      <c r="V1608" s="32"/>
      <c r="W1608" s="32"/>
      <c r="X1608" s="32"/>
      <c r="Y1608" s="32"/>
      <c r="Z1608" s="32"/>
      <c r="AA1608" s="32"/>
      <c r="AB1608" s="32"/>
      <c r="AC1608" s="32"/>
      <c r="AD1608" s="32"/>
      <c r="AE1608" s="32"/>
      <c r="AF1608" s="32"/>
      <c r="AG1608" s="32"/>
      <c r="AH1608" s="32" t="b">
        <f>IFERROR(__xludf.DUMMYFUNCTION("""COMPUTED_VALUE"""),FALSE)</f>
        <v>0</v>
      </c>
      <c r="AI1608" s="32"/>
      <c r="AJ1608" s="32"/>
      <c r="AK1608" s="32"/>
      <c r="AL1608" s="32"/>
      <c r="AM1608" s="32"/>
      <c r="AN1608" s="32"/>
      <c r="AO1608" s="32"/>
      <c r="AP1608" s="32"/>
      <c r="AQ1608" s="32"/>
      <c r="AR1608" s="32"/>
      <c r="AS1608" s="32"/>
      <c r="AT1608" s="32"/>
      <c r="AU1608" s="32"/>
      <c r="AV1608" s="32"/>
      <c r="AW1608" s="32"/>
      <c r="AX1608" s="32"/>
    </row>
    <row r="1609">
      <c r="A1609" s="32"/>
      <c r="B1609" s="32"/>
      <c r="C1609" s="32"/>
      <c r="D1609" s="32"/>
      <c r="E1609" s="32">
        <f>IFERROR(__xludf.DUMMYFUNCTION("""COMPUTED_VALUE"""),1.0)</f>
        <v>1</v>
      </c>
      <c r="F1609" s="44">
        <f>IFERROR(__xludf.DUMMYFUNCTION("""COMPUTED_VALUE"""),0.0)</f>
        <v>0</v>
      </c>
      <c r="G1609" s="32"/>
      <c r="H1609" s="32"/>
      <c r="I1609" s="32"/>
      <c r="J1609" s="32"/>
      <c r="K1609" s="32"/>
      <c r="L1609" s="32"/>
      <c r="M1609" s="32"/>
      <c r="N1609" s="32"/>
      <c r="O1609" s="32"/>
      <c r="P1609" s="32"/>
      <c r="Q1609" s="32"/>
      <c r="R1609" s="32"/>
      <c r="S1609" s="32"/>
      <c r="T1609" s="32"/>
      <c r="U1609" s="32"/>
      <c r="V1609" s="32"/>
      <c r="W1609" s="32"/>
      <c r="X1609" s="32"/>
      <c r="Y1609" s="32"/>
      <c r="Z1609" s="32"/>
      <c r="AA1609" s="32"/>
      <c r="AB1609" s="32"/>
      <c r="AC1609" s="32"/>
      <c r="AD1609" s="32"/>
      <c r="AE1609" s="32"/>
      <c r="AF1609" s="32"/>
      <c r="AG1609" s="32"/>
      <c r="AH1609" s="32" t="b">
        <f>IFERROR(__xludf.DUMMYFUNCTION("""COMPUTED_VALUE"""),FALSE)</f>
        <v>0</v>
      </c>
      <c r="AI1609" s="32"/>
      <c r="AJ1609" s="32"/>
      <c r="AK1609" s="32"/>
      <c r="AL1609" s="32"/>
      <c r="AM1609" s="32"/>
      <c r="AN1609" s="32"/>
      <c r="AO1609" s="32"/>
      <c r="AP1609" s="32"/>
      <c r="AQ1609" s="32"/>
      <c r="AR1609" s="32"/>
      <c r="AS1609" s="32"/>
      <c r="AT1609" s="32"/>
      <c r="AU1609" s="32"/>
      <c r="AV1609" s="32"/>
      <c r="AW1609" s="32"/>
      <c r="AX1609" s="32"/>
    </row>
    <row r="1610">
      <c r="A1610" s="32"/>
      <c r="B1610" s="32"/>
      <c r="C1610" s="32"/>
      <c r="D1610" s="32"/>
      <c r="E1610" s="32">
        <f>IFERROR(__xludf.DUMMYFUNCTION("""COMPUTED_VALUE"""),1.0)</f>
        <v>1</v>
      </c>
      <c r="F1610" s="44">
        <f>IFERROR(__xludf.DUMMYFUNCTION("""COMPUTED_VALUE"""),0.0)</f>
        <v>0</v>
      </c>
      <c r="G1610" s="32"/>
      <c r="H1610" s="32"/>
      <c r="I1610" s="32"/>
      <c r="J1610" s="32"/>
      <c r="K1610" s="32"/>
      <c r="L1610" s="32"/>
      <c r="M1610" s="32"/>
      <c r="N1610" s="32"/>
      <c r="O1610" s="32"/>
      <c r="P1610" s="32"/>
      <c r="Q1610" s="32"/>
      <c r="R1610" s="32"/>
      <c r="S1610" s="32"/>
      <c r="T1610" s="32"/>
      <c r="U1610" s="32"/>
      <c r="V1610" s="32"/>
      <c r="W1610" s="32"/>
      <c r="X1610" s="32"/>
      <c r="Y1610" s="32"/>
      <c r="Z1610" s="32"/>
      <c r="AA1610" s="32"/>
      <c r="AB1610" s="32"/>
      <c r="AC1610" s="32"/>
      <c r="AD1610" s="32"/>
      <c r="AE1610" s="32"/>
      <c r="AF1610" s="32"/>
      <c r="AG1610" s="32"/>
      <c r="AH1610" s="32" t="b">
        <f>IFERROR(__xludf.DUMMYFUNCTION("""COMPUTED_VALUE"""),FALSE)</f>
        <v>0</v>
      </c>
      <c r="AI1610" s="32"/>
      <c r="AJ1610" s="32"/>
      <c r="AK1610" s="32"/>
      <c r="AL1610" s="32"/>
      <c r="AM1610" s="32"/>
      <c r="AN1610" s="32"/>
      <c r="AO1610" s="32"/>
      <c r="AP1610" s="32"/>
      <c r="AQ1610" s="32"/>
      <c r="AR1610" s="32"/>
      <c r="AS1610" s="32"/>
      <c r="AT1610" s="32"/>
      <c r="AU1610" s="32"/>
      <c r="AV1610" s="32"/>
      <c r="AW1610" s="32"/>
      <c r="AX1610" s="32"/>
    </row>
    <row r="1611">
      <c r="A1611" s="32"/>
      <c r="B1611" s="32"/>
      <c r="C1611" s="32"/>
      <c r="D1611" s="32"/>
      <c r="E1611" s="32">
        <f>IFERROR(__xludf.DUMMYFUNCTION("""COMPUTED_VALUE"""),1.0)</f>
        <v>1</v>
      </c>
      <c r="F1611" s="44">
        <f>IFERROR(__xludf.DUMMYFUNCTION("""COMPUTED_VALUE"""),0.0)</f>
        <v>0</v>
      </c>
      <c r="G1611" s="32"/>
      <c r="H1611" s="32"/>
      <c r="I1611" s="32"/>
      <c r="J1611" s="32"/>
      <c r="K1611" s="32"/>
      <c r="L1611" s="32"/>
      <c r="M1611" s="32"/>
      <c r="N1611" s="32"/>
      <c r="O1611" s="32"/>
      <c r="P1611" s="32"/>
      <c r="Q1611" s="32"/>
      <c r="R1611" s="32"/>
      <c r="S1611" s="32"/>
      <c r="T1611" s="32"/>
      <c r="U1611" s="32"/>
      <c r="V1611" s="32"/>
      <c r="W1611" s="32"/>
      <c r="X1611" s="32"/>
      <c r="Y1611" s="32"/>
      <c r="Z1611" s="32"/>
      <c r="AA1611" s="32"/>
      <c r="AB1611" s="32"/>
      <c r="AC1611" s="32"/>
      <c r="AD1611" s="32"/>
      <c r="AE1611" s="32"/>
      <c r="AF1611" s="32"/>
      <c r="AG1611" s="32"/>
      <c r="AH1611" s="32" t="b">
        <f>IFERROR(__xludf.DUMMYFUNCTION("""COMPUTED_VALUE"""),FALSE)</f>
        <v>0</v>
      </c>
      <c r="AI1611" s="32"/>
      <c r="AJ1611" s="32"/>
      <c r="AK1611" s="32"/>
      <c r="AL1611" s="32"/>
      <c r="AM1611" s="32"/>
      <c r="AN1611" s="32"/>
      <c r="AO1611" s="32"/>
      <c r="AP1611" s="32"/>
      <c r="AQ1611" s="32"/>
      <c r="AR1611" s="32"/>
      <c r="AS1611" s="32"/>
      <c r="AT1611" s="32"/>
      <c r="AU1611" s="32"/>
      <c r="AV1611" s="32"/>
      <c r="AW1611" s="32"/>
      <c r="AX1611" s="32"/>
    </row>
    <row r="1612">
      <c r="A1612" s="32"/>
      <c r="B1612" s="32"/>
      <c r="C1612" s="32"/>
      <c r="D1612" s="32"/>
      <c r="E1612" s="32">
        <f>IFERROR(__xludf.DUMMYFUNCTION("""COMPUTED_VALUE"""),1.0)</f>
        <v>1</v>
      </c>
      <c r="F1612" s="44">
        <f>IFERROR(__xludf.DUMMYFUNCTION("""COMPUTED_VALUE"""),0.0)</f>
        <v>0</v>
      </c>
      <c r="G1612" s="32"/>
      <c r="H1612" s="32"/>
      <c r="I1612" s="32"/>
      <c r="J1612" s="32"/>
      <c r="K1612" s="32"/>
      <c r="L1612" s="32"/>
      <c r="M1612" s="32"/>
      <c r="N1612" s="32"/>
      <c r="O1612" s="32"/>
      <c r="P1612" s="32"/>
      <c r="Q1612" s="32"/>
      <c r="R1612" s="32"/>
      <c r="S1612" s="32"/>
      <c r="T1612" s="32"/>
      <c r="U1612" s="32"/>
      <c r="V1612" s="32"/>
      <c r="W1612" s="32"/>
      <c r="X1612" s="32"/>
      <c r="Y1612" s="32"/>
      <c r="Z1612" s="32"/>
      <c r="AA1612" s="32"/>
      <c r="AB1612" s="32"/>
      <c r="AC1612" s="32"/>
      <c r="AD1612" s="32"/>
      <c r="AE1612" s="32"/>
      <c r="AF1612" s="32"/>
      <c r="AG1612" s="32"/>
      <c r="AH1612" s="32" t="b">
        <f>IFERROR(__xludf.DUMMYFUNCTION("""COMPUTED_VALUE"""),FALSE)</f>
        <v>0</v>
      </c>
      <c r="AI1612" s="32"/>
      <c r="AJ1612" s="32"/>
      <c r="AK1612" s="32"/>
      <c r="AL1612" s="32"/>
      <c r="AM1612" s="32"/>
      <c r="AN1612" s="32"/>
      <c r="AO1612" s="32"/>
      <c r="AP1612" s="32"/>
      <c r="AQ1612" s="32"/>
      <c r="AR1612" s="32"/>
      <c r="AS1612" s="32"/>
      <c r="AT1612" s="32"/>
      <c r="AU1612" s="32"/>
      <c r="AV1612" s="32"/>
      <c r="AW1612" s="32"/>
      <c r="AX1612" s="32"/>
    </row>
    <row r="1613">
      <c r="A1613" s="32"/>
      <c r="B1613" s="32"/>
      <c r="C1613" s="32"/>
      <c r="D1613" s="32"/>
      <c r="E1613" s="32">
        <f>IFERROR(__xludf.DUMMYFUNCTION("""COMPUTED_VALUE"""),1.0)</f>
        <v>1</v>
      </c>
      <c r="F1613" s="44">
        <f>IFERROR(__xludf.DUMMYFUNCTION("""COMPUTED_VALUE"""),0.0)</f>
        <v>0</v>
      </c>
      <c r="G1613" s="32"/>
      <c r="H1613" s="32"/>
      <c r="I1613" s="32"/>
      <c r="J1613" s="32"/>
      <c r="K1613" s="32"/>
      <c r="L1613" s="32"/>
      <c r="M1613" s="32"/>
      <c r="N1613" s="32"/>
      <c r="O1613" s="32"/>
      <c r="P1613" s="32"/>
      <c r="Q1613" s="32"/>
      <c r="R1613" s="32"/>
      <c r="S1613" s="32"/>
      <c r="T1613" s="32"/>
      <c r="U1613" s="32"/>
      <c r="V1613" s="32"/>
      <c r="W1613" s="32"/>
      <c r="X1613" s="32"/>
      <c r="Y1613" s="32"/>
      <c r="Z1613" s="32"/>
      <c r="AA1613" s="32"/>
      <c r="AB1613" s="32"/>
      <c r="AC1613" s="32"/>
      <c r="AD1613" s="32"/>
      <c r="AE1613" s="32"/>
      <c r="AF1613" s="32"/>
      <c r="AG1613" s="32"/>
      <c r="AH1613" s="32" t="b">
        <f>IFERROR(__xludf.DUMMYFUNCTION("""COMPUTED_VALUE"""),FALSE)</f>
        <v>0</v>
      </c>
      <c r="AI1613" s="32"/>
      <c r="AJ1613" s="32"/>
      <c r="AK1613" s="32"/>
      <c r="AL1613" s="32"/>
      <c r="AM1613" s="32"/>
      <c r="AN1613" s="32"/>
      <c r="AO1613" s="32"/>
      <c r="AP1613" s="32"/>
      <c r="AQ1613" s="32"/>
      <c r="AR1613" s="32"/>
      <c r="AS1613" s="32"/>
      <c r="AT1613" s="32"/>
      <c r="AU1613" s="32"/>
      <c r="AV1613" s="32"/>
      <c r="AW1613" s="32"/>
      <c r="AX1613" s="32"/>
    </row>
    <row r="1614">
      <c r="A1614" s="32"/>
      <c r="B1614" s="32"/>
      <c r="C1614" s="32"/>
      <c r="D1614" s="32"/>
      <c r="E1614" s="32">
        <f>IFERROR(__xludf.DUMMYFUNCTION("""COMPUTED_VALUE"""),1.0)</f>
        <v>1</v>
      </c>
      <c r="F1614" s="44">
        <f>IFERROR(__xludf.DUMMYFUNCTION("""COMPUTED_VALUE"""),0.0)</f>
        <v>0</v>
      </c>
      <c r="G1614" s="32"/>
      <c r="H1614" s="32"/>
      <c r="I1614" s="32"/>
      <c r="J1614" s="32"/>
      <c r="K1614" s="32"/>
      <c r="L1614" s="32"/>
      <c r="M1614" s="32"/>
      <c r="N1614" s="32"/>
      <c r="O1614" s="32"/>
      <c r="P1614" s="32"/>
      <c r="Q1614" s="32"/>
      <c r="R1614" s="32"/>
      <c r="S1614" s="32"/>
      <c r="T1614" s="32"/>
      <c r="U1614" s="32"/>
      <c r="V1614" s="32"/>
      <c r="W1614" s="32"/>
      <c r="X1614" s="32"/>
      <c r="Y1614" s="32"/>
      <c r="Z1614" s="32"/>
      <c r="AA1614" s="32"/>
      <c r="AB1614" s="32"/>
      <c r="AC1614" s="32"/>
      <c r="AD1614" s="32"/>
      <c r="AE1614" s="32"/>
      <c r="AF1614" s="32"/>
      <c r="AG1614" s="32"/>
      <c r="AH1614" s="32" t="b">
        <f>IFERROR(__xludf.DUMMYFUNCTION("""COMPUTED_VALUE"""),FALSE)</f>
        <v>0</v>
      </c>
      <c r="AI1614" s="32"/>
      <c r="AJ1614" s="32"/>
      <c r="AK1614" s="32"/>
      <c r="AL1614" s="32"/>
      <c r="AM1614" s="32"/>
      <c r="AN1614" s="32"/>
      <c r="AO1614" s="32"/>
      <c r="AP1614" s="32"/>
      <c r="AQ1614" s="32"/>
      <c r="AR1614" s="32"/>
      <c r="AS1614" s="32"/>
      <c r="AT1614" s="32"/>
      <c r="AU1614" s="32"/>
      <c r="AV1614" s="32"/>
      <c r="AW1614" s="32"/>
      <c r="AX1614" s="32"/>
    </row>
    <row r="1615">
      <c r="A1615" s="32"/>
      <c r="B1615" s="32"/>
      <c r="C1615" s="32"/>
      <c r="D1615" s="32"/>
      <c r="E1615" s="32">
        <f>IFERROR(__xludf.DUMMYFUNCTION("""COMPUTED_VALUE"""),1.0)</f>
        <v>1</v>
      </c>
      <c r="F1615" s="44">
        <f>IFERROR(__xludf.DUMMYFUNCTION("""COMPUTED_VALUE"""),0.0)</f>
        <v>0</v>
      </c>
      <c r="G1615" s="32"/>
      <c r="H1615" s="32"/>
      <c r="I1615" s="32"/>
      <c r="J1615" s="32"/>
      <c r="K1615" s="32"/>
      <c r="L1615" s="32"/>
      <c r="M1615" s="32"/>
      <c r="N1615" s="32"/>
      <c r="O1615" s="32"/>
      <c r="P1615" s="32"/>
      <c r="Q1615" s="32"/>
      <c r="R1615" s="32"/>
      <c r="S1615" s="32"/>
      <c r="T1615" s="32"/>
      <c r="U1615" s="32"/>
      <c r="V1615" s="32"/>
      <c r="W1615" s="32"/>
      <c r="X1615" s="32"/>
      <c r="Y1615" s="32"/>
      <c r="Z1615" s="32"/>
      <c r="AA1615" s="32"/>
      <c r="AB1615" s="32"/>
      <c r="AC1615" s="32"/>
      <c r="AD1615" s="32"/>
      <c r="AE1615" s="32"/>
      <c r="AF1615" s="32"/>
      <c r="AG1615" s="32"/>
      <c r="AH1615" s="32" t="b">
        <f>IFERROR(__xludf.DUMMYFUNCTION("""COMPUTED_VALUE"""),FALSE)</f>
        <v>0</v>
      </c>
      <c r="AI1615" s="32"/>
      <c r="AJ1615" s="32"/>
      <c r="AK1615" s="32"/>
      <c r="AL1615" s="32"/>
      <c r="AM1615" s="32"/>
      <c r="AN1615" s="32"/>
      <c r="AO1615" s="32"/>
      <c r="AP1615" s="32"/>
      <c r="AQ1615" s="32"/>
      <c r="AR1615" s="32"/>
      <c r="AS1615" s="32"/>
      <c r="AT1615" s="32"/>
      <c r="AU1615" s="32"/>
      <c r="AV1615" s="32"/>
      <c r="AW1615" s="32"/>
      <c r="AX1615" s="32"/>
    </row>
    <row r="1616">
      <c r="A1616" s="32"/>
      <c r="B1616" s="32"/>
      <c r="C1616" s="32"/>
      <c r="D1616" s="32"/>
      <c r="E1616" s="32">
        <f>IFERROR(__xludf.DUMMYFUNCTION("""COMPUTED_VALUE"""),1.0)</f>
        <v>1</v>
      </c>
      <c r="F1616" s="44">
        <f>IFERROR(__xludf.DUMMYFUNCTION("""COMPUTED_VALUE"""),0.0)</f>
        <v>0</v>
      </c>
      <c r="G1616" s="32"/>
      <c r="H1616" s="32"/>
      <c r="I1616" s="32"/>
      <c r="J1616" s="32"/>
      <c r="K1616" s="32"/>
      <c r="L1616" s="32"/>
      <c r="M1616" s="32"/>
      <c r="N1616" s="32"/>
      <c r="O1616" s="32"/>
      <c r="P1616" s="32"/>
      <c r="Q1616" s="32"/>
      <c r="R1616" s="32"/>
      <c r="S1616" s="32"/>
      <c r="T1616" s="32"/>
      <c r="U1616" s="32"/>
      <c r="V1616" s="32"/>
      <c r="W1616" s="32"/>
      <c r="X1616" s="32"/>
      <c r="Y1616" s="32"/>
      <c r="Z1616" s="32"/>
      <c r="AA1616" s="32"/>
      <c r="AB1616" s="32"/>
      <c r="AC1616" s="32"/>
      <c r="AD1616" s="32"/>
      <c r="AE1616" s="32"/>
      <c r="AF1616" s="32"/>
      <c r="AG1616" s="32"/>
      <c r="AH1616" s="32" t="b">
        <f>IFERROR(__xludf.DUMMYFUNCTION("""COMPUTED_VALUE"""),FALSE)</f>
        <v>0</v>
      </c>
      <c r="AI1616" s="32"/>
      <c r="AJ1616" s="32"/>
      <c r="AK1616" s="32"/>
      <c r="AL1616" s="32"/>
      <c r="AM1616" s="32"/>
      <c r="AN1616" s="32"/>
      <c r="AO1616" s="32"/>
      <c r="AP1616" s="32"/>
      <c r="AQ1616" s="32"/>
      <c r="AR1616" s="32"/>
      <c r="AS1616" s="32"/>
      <c r="AT1616" s="32"/>
      <c r="AU1616" s="32"/>
      <c r="AV1616" s="32"/>
      <c r="AW1616" s="32"/>
      <c r="AX1616" s="32"/>
    </row>
    <row r="1617">
      <c r="A1617" s="32"/>
      <c r="B1617" s="32"/>
      <c r="C1617" s="32"/>
      <c r="D1617" s="32"/>
      <c r="E1617" s="32">
        <f>IFERROR(__xludf.DUMMYFUNCTION("""COMPUTED_VALUE"""),1.0)</f>
        <v>1</v>
      </c>
      <c r="F1617" s="44">
        <f>IFERROR(__xludf.DUMMYFUNCTION("""COMPUTED_VALUE"""),0.0)</f>
        <v>0</v>
      </c>
      <c r="G1617" s="32"/>
      <c r="H1617" s="32"/>
      <c r="I1617" s="32"/>
      <c r="J1617" s="32"/>
      <c r="K1617" s="32"/>
      <c r="L1617" s="32"/>
      <c r="M1617" s="32"/>
      <c r="N1617" s="32"/>
      <c r="O1617" s="32"/>
      <c r="P1617" s="32"/>
      <c r="Q1617" s="32"/>
      <c r="R1617" s="32"/>
      <c r="S1617" s="32"/>
      <c r="T1617" s="32"/>
      <c r="U1617" s="32"/>
      <c r="V1617" s="32"/>
      <c r="W1617" s="32"/>
      <c r="X1617" s="32"/>
      <c r="Y1617" s="32"/>
      <c r="Z1617" s="32"/>
      <c r="AA1617" s="32"/>
      <c r="AB1617" s="32"/>
      <c r="AC1617" s="32"/>
      <c r="AD1617" s="32"/>
      <c r="AE1617" s="32"/>
      <c r="AF1617" s="32"/>
      <c r="AG1617" s="32"/>
      <c r="AH1617" s="32" t="b">
        <f>IFERROR(__xludf.DUMMYFUNCTION("""COMPUTED_VALUE"""),FALSE)</f>
        <v>0</v>
      </c>
      <c r="AI1617" s="32"/>
      <c r="AJ1617" s="32"/>
      <c r="AK1617" s="32"/>
      <c r="AL1617" s="32"/>
      <c r="AM1617" s="32"/>
      <c r="AN1617" s="32"/>
      <c r="AO1617" s="32"/>
      <c r="AP1617" s="32"/>
      <c r="AQ1617" s="32"/>
      <c r="AR1617" s="32"/>
      <c r="AS1617" s="32"/>
      <c r="AT1617" s="32"/>
      <c r="AU1617" s="32"/>
      <c r="AV1617" s="32"/>
      <c r="AW1617" s="32"/>
      <c r="AX1617" s="32"/>
    </row>
    <row r="1618">
      <c r="A1618" s="32"/>
      <c r="B1618" s="32"/>
      <c r="C1618" s="32"/>
      <c r="D1618" s="32"/>
      <c r="E1618" s="32">
        <f>IFERROR(__xludf.DUMMYFUNCTION("""COMPUTED_VALUE"""),1.0)</f>
        <v>1</v>
      </c>
      <c r="F1618" s="44">
        <f>IFERROR(__xludf.DUMMYFUNCTION("""COMPUTED_VALUE"""),0.0)</f>
        <v>0</v>
      </c>
      <c r="G1618" s="32"/>
      <c r="H1618" s="32"/>
      <c r="I1618" s="32"/>
      <c r="J1618" s="32"/>
      <c r="K1618" s="32"/>
      <c r="L1618" s="32"/>
      <c r="M1618" s="32"/>
      <c r="N1618" s="32"/>
      <c r="O1618" s="32"/>
      <c r="P1618" s="32"/>
      <c r="Q1618" s="32"/>
      <c r="R1618" s="32"/>
      <c r="S1618" s="32"/>
      <c r="T1618" s="32"/>
      <c r="U1618" s="32"/>
      <c r="V1618" s="32"/>
      <c r="W1618" s="32"/>
      <c r="X1618" s="32"/>
      <c r="Y1618" s="32"/>
      <c r="Z1618" s="32"/>
      <c r="AA1618" s="32"/>
      <c r="AB1618" s="32"/>
      <c r="AC1618" s="32"/>
      <c r="AD1618" s="32"/>
      <c r="AE1618" s="32"/>
      <c r="AF1618" s="32"/>
      <c r="AG1618" s="32"/>
      <c r="AH1618" s="32" t="b">
        <f>IFERROR(__xludf.DUMMYFUNCTION("""COMPUTED_VALUE"""),FALSE)</f>
        <v>0</v>
      </c>
      <c r="AI1618" s="32"/>
      <c r="AJ1618" s="32"/>
      <c r="AK1618" s="32"/>
      <c r="AL1618" s="32"/>
      <c r="AM1618" s="32"/>
      <c r="AN1618" s="32"/>
      <c r="AO1618" s="32"/>
      <c r="AP1618" s="32"/>
      <c r="AQ1618" s="32"/>
      <c r="AR1618" s="32"/>
      <c r="AS1618" s="32"/>
      <c r="AT1618" s="32"/>
      <c r="AU1618" s="32"/>
      <c r="AV1618" s="32"/>
      <c r="AW1618" s="32"/>
      <c r="AX1618" s="32"/>
    </row>
    <row r="1619">
      <c r="A1619" s="32"/>
      <c r="B1619" s="32"/>
      <c r="C1619" s="32"/>
      <c r="D1619" s="32"/>
      <c r="E1619" s="32">
        <f>IFERROR(__xludf.DUMMYFUNCTION("""COMPUTED_VALUE"""),1.0)</f>
        <v>1</v>
      </c>
      <c r="F1619" s="44">
        <f>IFERROR(__xludf.DUMMYFUNCTION("""COMPUTED_VALUE"""),0.0)</f>
        <v>0</v>
      </c>
      <c r="G1619" s="32"/>
      <c r="H1619" s="32"/>
      <c r="I1619" s="32"/>
      <c r="J1619" s="32"/>
      <c r="K1619" s="32"/>
      <c r="L1619" s="32"/>
      <c r="M1619" s="32"/>
      <c r="N1619" s="32"/>
      <c r="O1619" s="32"/>
      <c r="P1619" s="32"/>
      <c r="Q1619" s="32"/>
      <c r="R1619" s="32"/>
      <c r="S1619" s="32"/>
      <c r="T1619" s="32"/>
      <c r="U1619" s="32"/>
      <c r="V1619" s="32"/>
      <c r="W1619" s="32"/>
      <c r="X1619" s="32"/>
      <c r="Y1619" s="32"/>
      <c r="Z1619" s="32"/>
      <c r="AA1619" s="32"/>
      <c r="AB1619" s="32"/>
      <c r="AC1619" s="32"/>
      <c r="AD1619" s="32"/>
      <c r="AE1619" s="32"/>
      <c r="AF1619" s="32"/>
      <c r="AG1619" s="32"/>
      <c r="AH1619" s="32" t="b">
        <f>IFERROR(__xludf.DUMMYFUNCTION("""COMPUTED_VALUE"""),FALSE)</f>
        <v>0</v>
      </c>
      <c r="AI1619" s="32"/>
      <c r="AJ1619" s="32"/>
      <c r="AK1619" s="32"/>
      <c r="AL1619" s="32"/>
      <c r="AM1619" s="32"/>
      <c r="AN1619" s="32"/>
      <c r="AO1619" s="32"/>
      <c r="AP1619" s="32"/>
      <c r="AQ1619" s="32"/>
      <c r="AR1619" s="32"/>
      <c r="AS1619" s="32"/>
      <c r="AT1619" s="32"/>
      <c r="AU1619" s="32"/>
      <c r="AV1619" s="32"/>
      <c r="AW1619" s="32"/>
      <c r="AX1619" s="32"/>
    </row>
    <row r="1620">
      <c r="A1620" s="32"/>
      <c r="B1620" s="32"/>
      <c r="C1620" s="32"/>
      <c r="D1620" s="32"/>
      <c r="E1620" s="32">
        <f>IFERROR(__xludf.DUMMYFUNCTION("""COMPUTED_VALUE"""),1.0)</f>
        <v>1</v>
      </c>
      <c r="F1620" s="44">
        <f>IFERROR(__xludf.DUMMYFUNCTION("""COMPUTED_VALUE"""),0.0)</f>
        <v>0</v>
      </c>
      <c r="G1620" s="32"/>
      <c r="H1620" s="32"/>
      <c r="I1620" s="32"/>
      <c r="J1620" s="32"/>
      <c r="K1620" s="32"/>
      <c r="L1620" s="32"/>
      <c r="M1620" s="32"/>
      <c r="N1620" s="32"/>
      <c r="O1620" s="32"/>
      <c r="P1620" s="32"/>
      <c r="Q1620" s="32"/>
      <c r="R1620" s="32"/>
      <c r="S1620" s="32"/>
      <c r="T1620" s="32"/>
      <c r="U1620" s="32"/>
      <c r="V1620" s="32"/>
      <c r="W1620" s="32"/>
      <c r="X1620" s="32"/>
      <c r="Y1620" s="32"/>
      <c r="Z1620" s="32"/>
      <c r="AA1620" s="32"/>
      <c r="AB1620" s="32"/>
      <c r="AC1620" s="32"/>
      <c r="AD1620" s="32"/>
      <c r="AE1620" s="32"/>
      <c r="AF1620" s="32"/>
      <c r="AG1620" s="32"/>
      <c r="AH1620" s="32" t="b">
        <f>IFERROR(__xludf.DUMMYFUNCTION("""COMPUTED_VALUE"""),FALSE)</f>
        <v>0</v>
      </c>
      <c r="AI1620" s="32"/>
      <c r="AJ1620" s="32"/>
      <c r="AK1620" s="32"/>
      <c r="AL1620" s="32"/>
      <c r="AM1620" s="32"/>
      <c r="AN1620" s="32"/>
      <c r="AO1620" s="32"/>
      <c r="AP1620" s="32"/>
      <c r="AQ1620" s="32"/>
      <c r="AR1620" s="32"/>
      <c r="AS1620" s="32"/>
      <c r="AT1620" s="32"/>
      <c r="AU1620" s="32"/>
      <c r="AV1620" s="32"/>
      <c r="AW1620" s="32"/>
      <c r="AX1620" s="32"/>
    </row>
    <row r="1621">
      <c r="A1621" s="32"/>
      <c r="B1621" s="32"/>
      <c r="C1621" s="32"/>
      <c r="D1621" s="32"/>
      <c r="E1621" s="32">
        <f>IFERROR(__xludf.DUMMYFUNCTION("""COMPUTED_VALUE"""),1.0)</f>
        <v>1</v>
      </c>
      <c r="F1621" s="44">
        <f>IFERROR(__xludf.DUMMYFUNCTION("""COMPUTED_VALUE"""),0.0)</f>
        <v>0</v>
      </c>
      <c r="G1621" s="32"/>
      <c r="H1621" s="32"/>
      <c r="I1621" s="32"/>
      <c r="J1621" s="32"/>
      <c r="K1621" s="32"/>
      <c r="L1621" s="32"/>
      <c r="M1621" s="32"/>
      <c r="N1621" s="32"/>
      <c r="O1621" s="32"/>
      <c r="P1621" s="32"/>
      <c r="Q1621" s="32"/>
      <c r="R1621" s="32"/>
      <c r="S1621" s="32"/>
      <c r="T1621" s="32"/>
      <c r="U1621" s="32"/>
      <c r="V1621" s="32"/>
      <c r="W1621" s="32"/>
      <c r="X1621" s="32"/>
      <c r="Y1621" s="32"/>
      <c r="Z1621" s="32"/>
      <c r="AA1621" s="32"/>
      <c r="AB1621" s="32"/>
      <c r="AC1621" s="32"/>
      <c r="AD1621" s="32"/>
      <c r="AE1621" s="32"/>
      <c r="AF1621" s="32"/>
      <c r="AG1621" s="32"/>
      <c r="AH1621" s="32" t="b">
        <f>IFERROR(__xludf.DUMMYFUNCTION("""COMPUTED_VALUE"""),FALSE)</f>
        <v>0</v>
      </c>
      <c r="AI1621" s="32"/>
      <c r="AJ1621" s="32"/>
      <c r="AK1621" s="32"/>
      <c r="AL1621" s="32"/>
      <c r="AM1621" s="32"/>
      <c r="AN1621" s="32"/>
      <c r="AO1621" s="32"/>
      <c r="AP1621" s="32"/>
      <c r="AQ1621" s="32"/>
      <c r="AR1621" s="32"/>
      <c r="AS1621" s="32"/>
      <c r="AT1621" s="32"/>
      <c r="AU1621" s="32"/>
      <c r="AV1621" s="32"/>
      <c r="AW1621" s="32"/>
      <c r="AX1621" s="32"/>
    </row>
    <row r="1622">
      <c r="A1622" s="32"/>
      <c r="B1622" s="32"/>
      <c r="C1622" s="32"/>
      <c r="D1622" s="32"/>
      <c r="E1622" s="32">
        <f>IFERROR(__xludf.DUMMYFUNCTION("""COMPUTED_VALUE"""),1.0)</f>
        <v>1</v>
      </c>
      <c r="F1622" s="44">
        <f>IFERROR(__xludf.DUMMYFUNCTION("""COMPUTED_VALUE"""),0.0)</f>
        <v>0</v>
      </c>
      <c r="G1622" s="32"/>
      <c r="H1622" s="32"/>
      <c r="I1622" s="32"/>
      <c r="J1622" s="32"/>
      <c r="K1622" s="32"/>
      <c r="L1622" s="32"/>
      <c r="M1622" s="32"/>
      <c r="N1622" s="32"/>
      <c r="O1622" s="32"/>
      <c r="P1622" s="32"/>
      <c r="Q1622" s="32"/>
      <c r="R1622" s="32"/>
      <c r="S1622" s="32"/>
      <c r="T1622" s="32"/>
      <c r="U1622" s="32"/>
      <c r="V1622" s="32"/>
      <c r="W1622" s="32"/>
      <c r="X1622" s="32"/>
      <c r="Y1622" s="32"/>
      <c r="Z1622" s="32"/>
      <c r="AA1622" s="32"/>
      <c r="AB1622" s="32"/>
      <c r="AC1622" s="32"/>
      <c r="AD1622" s="32"/>
      <c r="AE1622" s="32"/>
      <c r="AF1622" s="32"/>
      <c r="AG1622" s="32"/>
      <c r="AH1622" s="32" t="b">
        <f>IFERROR(__xludf.DUMMYFUNCTION("""COMPUTED_VALUE"""),FALSE)</f>
        <v>0</v>
      </c>
      <c r="AI1622" s="32"/>
      <c r="AJ1622" s="32"/>
      <c r="AK1622" s="32"/>
      <c r="AL1622" s="32"/>
      <c r="AM1622" s="32"/>
      <c r="AN1622" s="32"/>
      <c r="AO1622" s="32"/>
      <c r="AP1622" s="32"/>
      <c r="AQ1622" s="32"/>
      <c r="AR1622" s="32"/>
      <c r="AS1622" s="32"/>
      <c r="AT1622" s="32"/>
      <c r="AU1622" s="32"/>
      <c r="AV1622" s="32"/>
      <c r="AW1622" s="32"/>
      <c r="AX1622" s="32"/>
    </row>
    <row r="1623">
      <c r="A1623" s="32"/>
      <c r="B1623" s="32"/>
      <c r="C1623" s="32"/>
      <c r="D1623" s="32"/>
      <c r="E1623" s="32">
        <f>IFERROR(__xludf.DUMMYFUNCTION("""COMPUTED_VALUE"""),1.0)</f>
        <v>1</v>
      </c>
      <c r="F1623" s="44">
        <f>IFERROR(__xludf.DUMMYFUNCTION("""COMPUTED_VALUE"""),0.0)</f>
        <v>0</v>
      </c>
      <c r="G1623" s="32"/>
      <c r="H1623" s="32"/>
      <c r="I1623" s="32"/>
      <c r="J1623" s="32"/>
      <c r="K1623" s="32"/>
      <c r="L1623" s="32"/>
      <c r="M1623" s="32"/>
      <c r="N1623" s="32"/>
      <c r="O1623" s="32"/>
      <c r="P1623" s="32"/>
      <c r="Q1623" s="32"/>
      <c r="R1623" s="32"/>
      <c r="S1623" s="32"/>
      <c r="T1623" s="32"/>
      <c r="U1623" s="32"/>
      <c r="V1623" s="32"/>
      <c r="W1623" s="32"/>
      <c r="X1623" s="32"/>
      <c r="Y1623" s="32"/>
      <c r="Z1623" s="32"/>
      <c r="AA1623" s="32"/>
      <c r="AB1623" s="32"/>
      <c r="AC1623" s="32"/>
      <c r="AD1623" s="32"/>
      <c r="AE1623" s="32"/>
      <c r="AF1623" s="32"/>
      <c r="AG1623" s="32"/>
      <c r="AH1623" s="32" t="b">
        <f>IFERROR(__xludf.DUMMYFUNCTION("""COMPUTED_VALUE"""),FALSE)</f>
        <v>0</v>
      </c>
      <c r="AI1623" s="32"/>
      <c r="AJ1623" s="32"/>
      <c r="AK1623" s="32"/>
      <c r="AL1623" s="32"/>
      <c r="AM1623" s="32"/>
      <c r="AN1623" s="32"/>
      <c r="AO1623" s="32"/>
      <c r="AP1623" s="32"/>
      <c r="AQ1623" s="32"/>
      <c r="AR1623" s="32"/>
      <c r="AS1623" s="32"/>
      <c r="AT1623" s="32"/>
      <c r="AU1623" s="32"/>
      <c r="AV1623" s="32"/>
      <c r="AW1623" s="32"/>
      <c r="AX1623" s="32"/>
    </row>
    <row r="1624">
      <c r="A1624" s="32"/>
      <c r="B1624" s="32"/>
      <c r="C1624" s="32"/>
      <c r="D1624" s="32"/>
      <c r="E1624" s="32">
        <f>IFERROR(__xludf.DUMMYFUNCTION("""COMPUTED_VALUE"""),1.0)</f>
        <v>1</v>
      </c>
      <c r="F1624" s="44">
        <f>IFERROR(__xludf.DUMMYFUNCTION("""COMPUTED_VALUE"""),0.0)</f>
        <v>0</v>
      </c>
      <c r="G1624" s="32"/>
      <c r="H1624" s="32"/>
      <c r="I1624" s="32"/>
      <c r="J1624" s="32"/>
      <c r="K1624" s="32"/>
      <c r="L1624" s="32"/>
      <c r="M1624" s="32"/>
      <c r="N1624" s="32"/>
      <c r="O1624" s="32"/>
      <c r="P1624" s="32"/>
      <c r="Q1624" s="32"/>
      <c r="R1624" s="32"/>
      <c r="S1624" s="32"/>
      <c r="T1624" s="32"/>
      <c r="U1624" s="32"/>
      <c r="V1624" s="32"/>
      <c r="W1624" s="32"/>
      <c r="X1624" s="32"/>
      <c r="Y1624" s="32"/>
      <c r="Z1624" s="32"/>
      <c r="AA1624" s="32"/>
      <c r="AB1624" s="32"/>
      <c r="AC1624" s="32"/>
      <c r="AD1624" s="32"/>
      <c r="AE1624" s="32"/>
      <c r="AF1624" s="32"/>
      <c r="AG1624" s="32"/>
      <c r="AH1624" s="32" t="b">
        <f>IFERROR(__xludf.DUMMYFUNCTION("""COMPUTED_VALUE"""),FALSE)</f>
        <v>0</v>
      </c>
      <c r="AI1624" s="32"/>
      <c r="AJ1624" s="32"/>
      <c r="AK1624" s="32"/>
      <c r="AL1624" s="32"/>
      <c r="AM1624" s="32"/>
      <c r="AN1624" s="32"/>
      <c r="AO1624" s="32"/>
      <c r="AP1624" s="32"/>
      <c r="AQ1624" s="32"/>
      <c r="AR1624" s="32"/>
      <c r="AS1624" s="32"/>
      <c r="AT1624" s="32"/>
      <c r="AU1624" s="32"/>
      <c r="AV1624" s="32"/>
      <c r="AW1624" s="32"/>
      <c r="AX1624" s="32"/>
    </row>
    <row r="1625">
      <c r="A1625" s="32"/>
      <c r="B1625" s="32"/>
      <c r="C1625" s="32"/>
      <c r="D1625" s="32"/>
      <c r="E1625" s="32">
        <f>IFERROR(__xludf.DUMMYFUNCTION("""COMPUTED_VALUE"""),1.0)</f>
        <v>1</v>
      </c>
      <c r="F1625" s="44">
        <f>IFERROR(__xludf.DUMMYFUNCTION("""COMPUTED_VALUE"""),0.0)</f>
        <v>0</v>
      </c>
      <c r="G1625" s="32"/>
      <c r="H1625" s="32"/>
      <c r="I1625" s="32"/>
      <c r="J1625" s="32"/>
      <c r="K1625" s="32"/>
      <c r="L1625" s="32"/>
      <c r="M1625" s="32"/>
      <c r="N1625" s="32"/>
      <c r="O1625" s="32"/>
      <c r="P1625" s="32"/>
      <c r="Q1625" s="32"/>
      <c r="R1625" s="32"/>
      <c r="S1625" s="32"/>
      <c r="T1625" s="32"/>
      <c r="U1625" s="32"/>
      <c r="V1625" s="32"/>
      <c r="W1625" s="32"/>
      <c r="X1625" s="32"/>
      <c r="Y1625" s="32"/>
      <c r="Z1625" s="32"/>
      <c r="AA1625" s="32"/>
      <c r="AB1625" s="32"/>
      <c r="AC1625" s="32"/>
      <c r="AD1625" s="32"/>
      <c r="AE1625" s="32"/>
      <c r="AF1625" s="32"/>
      <c r="AG1625" s="32"/>
      <c r="AH1625" s="32" t="b">
        <f>IFERROR(__xludf.DUMMYFUNCTION("""COMPUTED_VALUE"""),FALSE)</f>
        <v>0</v>
      </c>
      <c r="AI1625" s="32"/>
      <c r="AJ1625" s="32"/>
      <c r="AK1625" s="32"/>
      <c r="AL1625" s="32"/>
      <c r="AM1625" s="32"/>
      <c r="AN1625" s="32"/>
      <c r="AO1625" s="32"/>
      <c r="AP1625" s="32"/>
      <c r="AQ1625" s="32"/>
      <c r="AR1625" s="32"/>
      <c r="AS1625" s="32"/>
      <c r="AT1625" s="32"/>
      <c r="AU1625" s="32"/>
      <c r="AV1625" s="32"/>
      <c r="AW1625" s="32"/>
      <c r="AX1625" s="32"/>
    </row>
    <row r="1626">
      <c r="A1626" s="32"/>
      <c r="B1626" s="32"/>
      <c r="C1626" s="32"/>
      <c r="D1626" s="32"/>
      <c r="E1626" s="32">
        <f>IFERROR(__xludf.DUMMYFUNCTION("""COMPUTED_VALUE"""),1.0)</f>
        <v>1</v>
      </c>
      <c r="F1626" s="44">
        <f>IFERROR(__xludf.DUMMYFUNCTION("""COMPUTED_VALUE"""),0.0)</f>
        <v>0</v>
      </c>
      <c r="G1626" s="32"/>
      <c r="H1626" s="32"/>
      <c r="I1626" s="32"/>
      <c r="J1626" s="32"/>
      <c r="K1626" s="32"/>
      <c r="L1626" s="32"/>
      <c r="M1626" s="32"/>
      <c r="N1626" s="32"/>
      <c r="O1626" s="32"/>
      <c r="P1626" s="32"/>
      <c r="Q1626" s="32"/>
      <c r="R1626" s="32"/>
      <c r="S1626" s="32"/>
      <c r="T1626" s="32"/>
      <c r="U1626" s="32"/>
      <c r="V1626" s="32"/>
      <c r="W1626" s="32"/>
      <c r="X1626" s="32"/>
      <c r="Y1626" s="32"/>
      <c r="Z1626" s="32"/>
      <c r="AA1626" s="32"/>
      <c r="AB1626" s="32"/>
      <c r="AC1626" s="32"/>
      <c r="AD1626" s="32"/>
      <c r="AE1626" s="32"/>
      <c r="AF1626" s="32"/>
      <c r="AG1626" s="32"/>
      <c r="AH1626" s="32" t="b">
        <f>IFERROR(__xludf.DUMMYFUNCTION("""COMPUTED_VALUE"""),FALSE)</f>
        <v>0</v>
      </c>
      <c r="AI1626" s="32"/>
      <c r="AJ1626" s="32"/>
      <c r="AK1626" s="32"/>
      <c r="AL1626" s="32"/>
      <c r="AM1626" s="32"/>
      <c r="AN1626" s="32"/>
      <c r="AO1626" s="32"/>
      <c r="AP1626" s="32"/>
      <c r="AQ1626" s="32"/>
      <c r="AR1626" s="32"/>
      <c r="AS1626" s="32"/>
      <c r="AT1626" s="32"/>
      <c r="AU1626" s="32"/>
      <c r="AV1626" s="32"/>
      <c r="AW1626" s="32"/>
      <c r="AX1626" s="32"/>
    </row>
    <row r="1627">
      <c r="A1627" s="32"/>
      <c r="B1627" s="32"/>
      <c r="C1627" s="32"/>
      <c r="D1627" s="32"/>
      <c r="E1627" s="32">
        <f>IFERROR(__xludf.DUMMYFUNCTION("""COMPUTED_VALUE"""),1.0)</f>
        <v>1</v>
      </c>
      <c r="F1627" s="44">
        <f>IFERROR(__xludf.DUMMYFUNCTION("""COMPUTED_VALUE"""),0.0)</f>
        <v>0</v>
      </c>
      <c r="G1627" s="32"/>
      <c r="H1627" s="32"/>
      <c r="I1627" s="32"/>
      <c r="J1627" s="32"/>
      <c r="K1627" s="32"/>
      <c r="L1627" s="32"/>
      <c r="M1627" s="32"/>
      <c r="N1627" s="32"/>
      <c r="O1627" s="32"/>
      <c r="P1627" s="32"/>
      <c r="Q1627" s="32"/>
      <c r="R1627" s="32"/>
      <c r="S1627" s="32"/>
      <c r="T1627" s="32"/>
      <c r="U1627" s="32"/>
      <c r="V1627" s="32"/>
      <c r="W1627" s="32"/>
      <c r="X1627" s="32"/>
      <c r="Y1627" s="32"/>
      <c r="Z1627" s="32"/>
      <c r="AA1627" s="32"/>
      <c r="AB1627" s="32"/>
      <c r="AC1627" s="32"/>
      <c r="AD1627" s="32"/>
      <c r="AE1627" s="32"/>
      <c r="AF1627" s="32"/>
      <c r="AG1627" s="32"/>
      <c r="AH1627" s="32" t="b">
        <f>IFERROR(__xludf.DUMMYFUNCTION("""COMPUTED_VALUE"""),FALSE)</f>
        <v>0</v>
      </c>
      <c r="AI1627" s="32"/>
      <c r="AJ1627" s="32"/>
      <c r="AK1627" s="32"/>
      <c r="AL1627" s="32"/>
      <c r="AM1627" s="32"/>
      <c r="AN1627" s="32"/>
      <c r="AO1627" s="32"/>
      <c r="AP1627" s="32"/>
      <c r="AQ1627" s="32"/>
      <c r="AR1627" s="32"/>
      <c r="AS1627" s="32"/>
      <c r="AT1627" s="32"/>
      <c r="AU1627" s="32"/>
      <c r="AV1627" s="32"/>
      <c r="AW1627" s="32"/>
      <c r="AX1627" s="32"/>
    </row>
    <row r="1628">
      <c r="A1628" s="32"/>
      <c r="B1628" s="32"/>
      <c r="C1628" s="32"/>
      <c r="D1628" s="32"/>
      <c r="E1628" s="32">
        <f>IFERROR(__xludf.DUMMYFUNCTION("""COMPUTED_VALUE"""),1.0)</f>
        <v>1</v>
      </c>
      <c r="F1628" s="44">
        <f>IFERROR(__xludf.DUMMYFUNCTION("""COMPUTED_VALUE"""),0.0)</f>
        <v>0</v>
      </c>
      <c r="G1628" s="32"/>
      <c r="H1628" s="32"/>
      <c r="I1628" s="32"/>
      <c r="J1628" s="32"/>
      <c r="K1628" s="32"/>
      <c r="L1628" s="32"/>
      <c r="M1628" s="32"/>
      <c r="N1628" s="32"/>
      <c r="O1628" s="32"/>
      <c r="P1628" s="32"/>
      <c r="Q1628" s="32"/>
      <c r="R1628" s="32"/>
      <c r="S1628" s="32"/>
      <c r="T1628" s="32"/>
      <c r="U1628" s="32"/>
      <c r="V1628" s="32"/>
      <c r="W1628" s="32"/>
      <c r="X1628" s="32"/>
      <c r="Y1628" s="32"/>
      <c r="Z1628" s="32"/>
      <c r="AA1628" s="32"/>
      <c r="AB1628" s="32"/>
      <c r="AC1628" s="32"/>
      <c r="AD1628" s="32"/>
      <c r="AE1628" s="32"/>
      <c r="AF1628" s="32"/>
      <c r="AG1628" s="32"/>
      <c r="AH1628" s="32" t="b">
        <f>IFERROR(__xludf.DUMMYFUNCTION("""COMPUTED_VALUE"""),FALSE)</f>
        <v>0</v>
      </c>
      <c r="AI1628" s="32"/>
      <c r="AJ1628" s="32"/>
      <c r="AK1628" s="32"/>
      <c r="AL1628" s="32"/>
      <c r="AM1628" s="32"/>
      <c r="AN1628" s="32"/>
      <c r="AO1628" s="32"/>
      <c r="AP1628" s="32"/>
      <c r="AQ1628" s="32"/>
      <c r="AR1628" s="32"/>
      <c r="AS1628" s="32"/>
      <c r="AT1628" s="32"/>
      <c r="AU1628" s="32"/>
      <c r="AV1628" s="32"/>
      <c r="AW1628" s="32"/>
      <c r="AX1628" s="32"/>
    </row>
    <row r="1629">
      <c r="A1629" s="32"/>
      <c r="B1629" s="32"/>
      <c r="C1629" s="32"/>
      <c r="D1629" s="32"/>
      <c r="E1629" s="32">
        <f>IFERROR(__xludf.DUMMYFUNCTION("""COMPUTED_VALUE"""),1.0)</f>
        <v>1</v>
      </c>
      <c r="F1629" s="44">
        <f>IFERROR(__xludf.DUMMYFUNCTION("""COMPUTED_VALUE"""),0.0)</f>
        <v>0</v>
      </c>
      <c r="G1629" s="32"/>
      <c r="H1629" s="32"/>
      <c r="I1629" s="32"/>
      <c r="J1629" s="32"/>
      <c r="K1629" s="32"/>
      <c r="L1629" s="32"/>
      <c r="M1629" s="32"/>
      <c r="N1629" s="32"/>
      <c r="O1629" s="32"/>
      <c r="P1629" s="32"/>
      <c r="Q1629" s="32"/>
      <c r="R1629" s="32"/>
      <c r="S1629" s="32"/>
      <c r="T1629" s="32"/>
      <c r="U1629" s="32"/>
      <c r="V1629" s="32"/>
      <c r="W1629" s="32"/>
      <c r="X1629" s="32"/>
      <c r="Y1629" s="32"/>
      <c r="Z1629" s="32"/>
      <c r="AA1629" s="32"/>
      <c r="AB1629" s="32"/>
      <c r="AC1629" s="32"/>
      <c r="AD1629" s="32"/>
      <c r="AE1629" s="32"/>
      <c r="AF1629" s="32"/>
      <c r="AG1629" s="32"/>
      <c r="AH1629" s="32" t="b">
        <f>IFERROR(__xludf.DUMMYFUNCTION("""COMPUTED_VALUE"""),FALSE)</f>
        <v>0</v>
      </c>
      <c r="AI1629" s="32"/>
      <c r="AJ1629" s="32"/>
      <c r="AK1629" s="32"/>
      <c r="AL1629" s="32"/>
      <c r="AM1629" s="32"/>
      <c r="AN1629" s="32"/>
      <c r="AO1629" s="32"/>
      <c r="AP1629" s="32"/>
      <c r="AQ1629" s="32"/>
      <c r="AR1629" s="32"/>
      <c r="AS1629" s="32"/>
      <c r="AT1629" s="32"/>
      <c r="AU1629" s="32"/>
      <c r="AV1629" s="32"/>
      <c r="AW1629" s="32"/>
      <c r="AX1629" s="32"/>
    </row>
    <row r="1630">
      <c r="A1630" s="32"/>
      <c r="B1630" s="32"/>
      <c r="C1630" s="32"/>
      <c r="D1630" s="32"/>
      <c r="E1630" s="32">
        <f>IFERROR(__xludf.DUMMYFUNCTION("""COMPUTED_VALUE"""),1.0)</f>
        <v>1</v>
      </c>
      <c r="F1630" s="44">
        <f>IFERROR(__xludf.DUMMYFUNCTION("""COMPUTED_VALUE"""),0.0)</f>
        <v>0</v>
      </c>
      <c r="G1630" s="32"/>
      <c r="H1630" s="32"/>
      <c r="I1630" s="32"/>
      <c r="J1630" s="32"/>
      <c r="K1630" s="32"/>
      <c r="L1630" s="32"/>
      <c r="M1630" s="32"/>
      <c r="N1630" s="32"/>
      <c r="O1630" s="32"/>
      <c r="P1630" s="32"/>
      <c r="Q1630" s="32"/>
      <c r="R1630" s="32"/>
      <c r="S1630" s="32"/>
      <c r="T1630" s="32"/>
      <c r="U1630" s="32"/>
      <c r="V1630" s="32"/>
      <c r="W1630" s="32"/>
      <c r="X1630" s="32"/>
      <c r="Y1630" s="32"/>
      <c r="Z1630" s="32"/>
      <c r="AA1630" s="32"/>
      <c r="AB1630" s="32"/>
      <c r="AC1630" s="32"/>
      <c r="AD1630" s="32"/>
      <c r="AE1630" s="32"/>
      <c r="AF1630" s="32"/>
      <c r="AG1630" s="32"/>
      <c r="AH1630" s="32" t="b">
        <f>IFERROR(__xludf.DUMMYFUNCTION("""COMPUTED_VALUE"""),FALSE)</f>
        <v>0</v>
      </c>
      <c r="AI1630" s="32"/>
      <c r="AJ1630" s="32"/>
      <c r="AK1630" s="32"/>
      <c r="AL1630" s="32"/>
      <c r="AM1630" s="32"/>
      <c r="AN1630" s="32"/>
      <c r="AO1630" s="32"/>
      <c r="AP1630" s="32"/>
      <c r="AQ1630" s="32"/>
      <c r="AR1630" s="32"/>
      <c r="AS1630" s="32"/>
      <c r="AT1630" s="32"/>
      <c r="AU1630" s="32"/>
      <c r="AV1630" s="32"/>
      <c r="AW1630" s="32"/>
      <c r="AX1630" s="32"/>
    </row>
    <row r="1631">
      <c r="A1631" s="32"/>
      <c r="B1631" s="32"/>
      <c r="C1631" s="32"/>
      <c r="D1631" s="32"/>
      <c r="E1631" s="32">
        <f>IFERROR(__xludf.DUMMYFUNCTION("""COMPUTED_VALUE"""),1.0)</f>
        <v>1</v>
      </c>
      <c r="F1631" s="44">
        <f>IFERROR(__xludf.DUMMYFUNCTION("""COMPUTED_VALUE"""),0.0)</f>
        <v>0</v>
      </c>
      <c r="G1631" s="32"/>
      <c r="H1631" s="32"/>
      <c r="I1631" s="32"/>
      <c r="J1631" s="32"/>
      <c r="K1631" s="32"/>
      <c r="L1631" s="32"/>
      <c r="M1631" s="32"/>
      <c r="N1631" s="32"/>
      <c r="O1631" s="32"/>
      <c r="P1631" s="32"/>
      <c r="Q1631" s="32"/>
      <c r="R1631" s="32"/>
      <c r="S1631" s="32"/>
      <c r="T1631" s="32"/>
      <c r="U1631" s="32"/>
      <c r="V1631" s="32"/>
      <c r="W1631" s="32"/>
      <c r="X1631" s="32"/>
      <c r="Y1631" s="32"/>
      <c r="Z1631" s="32"/>
      <c r="AA1631" s="32"/>
      <c r="AB1631" s="32"/>
      <c r="AC1631" s="32"/>
      <c r="AD1631" s="32"/>
      <c r="AE1631" s="32"/>
      <c r="AF1631" s="32"/>
      <c r="AG1631" s="32"/>
      <c r="AH1631" s="32" t="b">
        <f>IFERROR(__xludf.DUMMYFUNCTION("""COMPUTED_VALUE"""),FALSE)</f>
        <v>0</v>
      </c>
      <c r="AI1631" s="32"/>
      <c r="AJ1631" s="32"/>
      <c r="AK1631" s="32"/>
      <c r="AL1631" s="32"/>
      <c r="AM1631" s="32"/>
      <c r="AN1631" s="32"/>
      <c r="AO1631" s="32"/>
      <c r="AP1631" s="32"/>
      <c r="AQ1631" s="32"/>
      <c r="AR1631" s="32"/>
      <c r="AS1631" s="32"/>
      <c r="AT1631" s="32"/>
      <c r="AU1631" s="32"/>
      <c r="AV1631" s="32"/>
      <c r="AW1631" s="32"/>
      <c r="AX1631" s="32"/>
    </row>
    <row r="1632">
      <c r="A1632" s="32"/>
      <c r="B1632" s="32"/>
      <c r="C1632" s="32"/>
      <c r="D1632" s="32"/>
      <c r="E1632" s="32">
        <f>IFERROR(__xludf.DUMMYFUNCTION("""COMPUTED_VALUE"""),1.0)</f>
        <v>1</v>
      </c>
      <c r="F1632" s="44">
        <f>IFERROR(__xludf.DUMMYFUNCTION("""COMPUTED_VALUE"""),0.0)</f>
        <v>0</v>
      </c>
      <c r="G1632" s="32"/>
      <c r="H1632" s="32"/>
      <c r="I1632" s="32"/>
      <c r="J1632" s="32"/>
      <c r="K1632" s="32"/>
      <c r="L1632" s="32"/>
      <c r="M1632" s="32"/>
      <c r="N1632" s="32"/>
      <c r="O1632" s="32"/>
      <c r="P1632" s="32"/>
      <c r="Q1632" s="32"/>
      <c r="R1632" s="32"/>
      <c r="S1632" s="32"/>
      <c r="T1632" s="32"/>
      <c r="U1632" s="32"/>
      <c r="V1632" s="32"/>
      <c r="W1632" s="32"/>
      <c r="X1632" s="32"/>
      <c r="Y1632" s="32"/>
      <c r="Z1632" s="32"/>
      <c r="AA1632" s="32"/>
      <c r="AB1632" s="32"/>
      <c r="AC1632" s="32"/>
      <c r="AD1632" s="32"/>
      <c r="AE1632" s="32"/>
      <c r="AF1632" s="32"/>
      <c r="AG1632" s="32"/>
      <c r="AH1632" s="32" t="b">
        <f>IFERROR(__xludf.DUMMYFUNCTION("""COMPUTED_VALUE"""),FALSE)</f>
        <v>0</v>
      </c>
      <c r="AI1632" s="32"/>
      <c r="AJ1632" s="32"/>
      <c r="AK1632" s="32"/>
      <c r="AL1632" s="32"/>
      <c r="AM1632" s="32"/>
      <c r="AN1632" s="32"/>
      <c r="AO1632" s="32"/>
      <c r="AP1632" s="32"/>
      <c r="AQ1632" s="32"/>
      <c r="AR1632" s="32"/>
      <c r="AS1632" s="32"/>
      <c r="AT1632" s="32"/>
      <c r="AU1632" s="32"/>
      <c r="AV1632" s="32"/>
      <c r="AW1632" s="32"/>
      <c r="AX1632" s="32"/>
    </row>
    <row r="1633">
      <c r="A1633" s="32"/>
      <c r="B1633" s="32"/>
      <c r="C1633" s="32"/>
      <c r="D1633" s="32"/>
      <c r="E1633" s="32">
        <f>IFERROR(__xludf.DUMMYFUNCTION("""COMPUTED_VALUE"""),1.0)</f>
        <v>1</v>
      </c>
      <c r="F1633" s="44">
        <f>IFERROR(__xludf.DUMMYFUNCTION("""COMPUTED_VALUE"""),0.0)</f>
        <v>0</v>
      </c>
      <c r="G1633" s="32"/>
      <c r="H1633" s="32"/>
      <c r="I1633" s="32"/>
      <c r="J1633" s="32"/>
      <c r="K1633" s="32"/>
      <c r="L1633" s="32"/>
      <c r="M1633" s="32"/>
      <c r="N1633" s="32"/>
      <c r="O1633" s="32"/>
      <c r="P1633" s="32"/>
      <c r="Q1633" s="32"/>
      <c r="R1633" s="32"/>
      <c r="S1633" s="32"/>
      <c r="T1633" s="32"/>
      <c r="U1633" s="32"/>
      <c r="V1633" s="32"/>
      <c r="W1633" s="32"/>
      <c r="X1633" s="32"/>
      <c r="Y1633" s="32"/>
      <c r="Z1633" s="32"/>
      <c r="AA1633" s="32"/>
      <c r="AB1633" s="32"/>
      <c r="AC1633" s="32"/>
      <c r="AD1633" s="32"/>
      <c r="AE1633" s="32"/>
      <c r="AF1633" s="32"/>
      <c r="AG1633" s="32"/>
      <c r="AH1633" s="32" t="b">
        <f>IFERROR(__xludf.DUMMYFUNCTION("""COMPUTED_VALUE"""),FALSE)</f>
        <v>0</v>
      </c>
      <c r="AI1633" s="32"/>
      <c r="AJ1633" s="32"/>
      <c r="AK1633" s="32"/>
      <c r="AL1633" s="32"/>
      <c r="AM1633" s="32"/>
      <c r="AN1633" s="32"/>
      <c r="AO1633" s="32"/>
      <c r="AP1633" s="32"/>
      <c r="AQ1633" s="32"/>
      <c r="AR1633" s="32"/>
      <c r="AS1633" s="32"/>
      <c r="AT1633" s="32"/>
      <c r="AU1633" s="32"/>
      <c r="AV1633" s="32"/>
      <c r="AW1633" s="32"/>
      <c r="AX1633" s="32"/>
    </row>
    <row r="1634">
      <c r="A1634" s="32"/>
      <c r="B1634" s="32"/>
      <c r="C1634" s="32"/>
      <c r="D1634" s="32"/>
      <c r="E1634" s="32">
        <f>IFERROR(__xludf.DUMMYFUNCTION("""COMPUTED_VALUE"""),1.0)</f>
        <v>1</v>
      </c>
      <c r="F1634" s="44">
        <f>IFERROR(__xludf.DUMMYFUNCTION("""COMPUTED_VALUE"""),0.0)</f>
        <v>0</v>
      </c>
      <c r="G1634" s="32"/>
      <c r="H1634" s="32"/>
      <c r="I1634" s="32"/>
      <c r="J1634" s="32"/>
      <c r="K1634" s="32"/>
      <c r="L1634" s="32"/>
      <c r="M1634" s="32"/>
      <c r="N1634" s="32"/>
      <c r="O1634" s="32"/>
      <c r="P1634" s="32"/>
      <c r="Q1634" s="32"/>
      <c r="R1634" s="32"/>
      <c r="S1634" s="32"/>
      <c r="T1634" s="32"/>
      <c r="U1634" s="32"/>
      <c r="V1634" s="32"/>
      <c r="W1634" s="32"/>
      <c r="X1634" s="32"/>
      <c r="Y1634" s="32"/>
      <c r="Z1634" s="32"/>
      <c r="AA1634" s="32"/>
      <c r="AB1634" s="32"/>
      <c r="AC1634" s="32"/>
      <c r="AD1634" s="32"/>
      <c r="AE1634" s="32"/>
      <c r="AF1634" s="32"/>
      <c r="AG1634" s="32"/>
      <c r="AH1634" s="32" t="b">
        <f>IFERROR(__xludf.DUMMYFUNCTION("""COMPUTED_VALUE"""),FALSE)</f>
        <v>0</v>
      </c>
      <c r="AI1634" s="32"/>
      <c r="AJ1634" s="32"/>
      <c r="AK1634" s="32"/>
      <c r="AL1634" s="32"/>
      <c r="AM1634" s="32"/>
      <c r="AN1634" s="32"/>
      <c r="AO1634" s="32"/>
      <c r="AP1634" s="32"/>
      <c r="AQ1634" s="32"/>
      <c r="AR1634" s="32"/>
      <c r="AS1634" s="32"/>
      <c r="AT1634" s="32"/>
      <c r="AU1634" s="32"/>
      <c r="AV1634" s="32"/>
      <c r="AW1634" s="32"/>
      <c r="AX1634" s="32"/>
    </row>
    <row r="1635">
      <c r="A1635" s="32"/>
      <c r="B1635" s="32"/>
      <c r="C1635" s="32"/>
      <c r="D1635" s="32"/>
      <c r="E1635" s="32">
        <f>IFERROR(__xludf.DUMMYFUNCTION("""COMPUTED_VALUE"""),1.0)</f>
        <v>1</v>
      </c>
      <c r="F1635" s="44">
        <f>IFERROR(__xludf.DUMMYFUNCTION("""COMPUTED_VALUE"""),0.0)</f>
        <v>0</v>
      </c>
      <c r="G1635" s="32"/>
      <c r="H1635" s="32"/>
      <c r="I1635" s="32"/>
      <c r="J1635" s="32"/>
      <c r="K1635" s="32"/>
      <c r="L1635" s="32"/>
      <c r="M1635" s="32"/>
      <c r="N1635" s="32"/>
      <c r="O1635" s="32"/>
      <c r="P1635" s="32"/>
      <c r="Q1635" s="32"/>
      <c r="R1635" s="32"/>
      <c r="S1635" s="32"/>
      <c r="T1635" s="32"/>
      <c r="U1635" s="32"/>
      <c r="V1635" s="32"/>
      <c r="W1635" s="32"/>
      <c r="X1635" s="32"/>
      <c r="Y1635" s="32"/>
      <c r="Z1635" s="32"/>
      <c r="AA1635" s="32"/>
      <c r="AB1635" s="32"/>
      <c r="AC1635" s="32"/>
      <c r="AD1635" s="32"/>
      <c r="AE1635" s="32"/>
      <c r="AF1635" s="32"/>
      <c r="AG1635" s="32"/>
      <c r="AH1635" s="32" t="b">
        <f>IFERROR(__xludf.DUMMYFUNCTION("""COMPUTED_VALUE"""),FALSE)</f>
        <v>0</v>
      </c>
      <c r="AI1635" s="32"/>
      <c r="AJ1635" s="32"/>
      <c r="AK1635" s="32"/>
      <c r="AL1635" s="32"/>
      <c r="AM1635" s="32"/>
      <c r="AN1635" s="32"/>
      <c r="AO1635" s="32"/>
      <c r="AP1635" s="32"/>
      <c r="AQ1635" s="32"/>
      <c r="AR1635" s="32"/>
      <c r="AS1635" s="32"/>
      <c r="AT1635" s="32"/>
      <c r="AU1635" s="32"/>
      <c r="AV1635" s="32"/>
      <c r="AW1635" s="32"/>
      <c r="AX1635" s="32"/>
    </row>
    <row r="1636">
      <c r="A1636" s="32"/>
      <c r="B1636" s="32"/>
      <c r="C1636" s="32"/>
      <c r="D1636" s="32"/>
      <c r="E1636" s="32">
        <f>IFERROR(__xludf.DUMMYFUNCTION("""COMPUTED_VALUE"""),1.0)</f>
        <v>1</v>
      </c>
      <c r="F1636" s="44">
        <f>IFERROR(__xludf.DUMMYFUNCTION("""COMPUTED_VALUE"""),0.0)</f>
        <v>0</v>
      </c>
      <c r="G1636" s="32"/>
      <c r="H1636" s="32"/>
      <c r="I1636" s="32"/>
      <c r="J1636" s="32"/>
      <c r="K1636" s="32"/>
      <c r="L1636" s="32"/>
      <c r="M1636" s="32"/>
      <c r="N1636" s="32"/>
      <c r="O1636" s="32"/>
      <c r="P1636" s="32"/>
      <c r="Q1636" s="32"/>
      <c r="R1636" s="32"/>
      <c r="S1636" s="32"/>
      <c r="T1636" s="32"/>
      <c r="U1636" s="32"/>
      <c r="V1636" s="32"/>
      <c r="W1636" s="32"/>
      <c r="X1636" s="32"/>
      <c r="Y1636" s="32"/>
      <c r="Z1636" s="32"/>
      <c r="AA1636" s="32"/>
      <c r="AB1636" s="32"/>
      <c r="AC1636" s="32"/>
      <c r="AD1636" s="32"/>
      <c r="AE1636" s="32"/>
      <c r="AF1636" s="32"/>
      <c r="AG1636" s="32"/>
      <c r="AH1636" s="32" t="b">
        <f>IFERROR(__xludf.DUMMYFUNCTION("""COMPUTED_VALUE"""),FALSE)</f>
        <v>0</v>
      </c>
      <c r="AI1636" s="32"/>
      <c r="AJ1636" s="32"/>
      <c r="AK1636" s="32"/>
      <c r="AL1636" s="32"/>
      <c r="AM1636" s="32"/>
      <c r="AN1636" s="32"/>
      <c r="AO1636" s="32"/>
      <c r="AP1636" s="32"/>
      <c r="AQ1636" s="32"/>
      <c r="AR1636" s="32"/>
      <c r="AS1636" s="32"/>
      <c r="AT1636" s="32"/>
      <c r="AU1636" s="32"/>
      <c r="AV1636" s="32"/>
      <c r="AW1636" s="32"/>
      <c r="AX1636" s="32"/>
    </row>
    <row r="1637">
      <c r="A1637" s="32"/>
      <c r="B1637" s="32"/>
      <c r="C1637" s="32"/>
      <c r="D1637" s="32"/>
      <c r="E1637" s="32">
        <f>IFERROR(__xludf.DUMMYFUNCTION("""COMPUTED_VALUE"""),1.0)</f>
        <v>1</v>
      </c>
      <c r="F1637" s="44">
        <f>IFERROR(__xludf.DUMMYFUNCTION("""COMPUTED_VALUE"""),0.0)</f>
        <v>0</v>
      </c>
      <c r="G1637" s="32"/>
      <c r="H1637" s="32"/>
      <c r="I1637" s="32"/>
      <c r="J1637" s="32"/>
      <c r="K1637" s="32"/>
      <c r="L1637" s="32"/>
      <c r="M1637" s="32"/>
      <c r="N1637" s="32"/>
      <c r="O1637" s="32"/>
      <c r="P1637" s="32"/>
      <c r="Q1637" s="32"/>
      <c r="R1637" s="32"/>
      <c r="S1637" s="32"/>
      <c r="T1637" s="32"/>
      <c r="U1637" s="32"/>
      <c r="V1637" s="32"/>
      <c r="W1637" s="32"/>
      <c r="X1637" s="32"/>
      <c r="Y1637" s="32"/>
      <c r="Z1637" s="32"/>
      <c r="AA1637" s="32"/>
      <c r="AB1637" s="32"/>
      <c r="AC1637" s="32"/>
      <c r="AD1637" s="32"/>
      <c r="AE1637" s="32"/>
      <c r="AF1637" s="32"/>
      <c r="AG1637" s="32"/>
      <c r="AH1637" s="32" t="b">
        <f>IFERROR(__xludf.DUMMYFUNCTION("""COMPUTED_VALUE"""),FALSE)</f>
        <v>0</v>
      </c>
      <c r="AI1637" s="32"/>
      <c r="AJ1637" s="32"/>
      <c r="AK1637" s="32"/>
      <c r="AL1637" s="32"/>
      <c r="AM1637" s="32"/>
      <c r="AN1637" s="32"/>
      <c r="AO1637" s="32"/>
      <c r="AP1637" s="32"/>
      <c r="AQ1637" s="32"/>
      <c r="AR1637" s="32"/>
      <c r="AS1637" s="32"/>
      <c r="AT1637" s="32"/>
      <c r="AU1637" s="32"/>
      <c r="AV1637" s="32"/>
      <c r="AW1637" s="32"/>
      <c r="AX1637" s="32"/>
    </row>
    <row r="1638">
      <c r="A1638" s="32"/>
      <c r="B1638" s="32"/>
      <c r="C1638" s="32"/>
      <c r="D1638" s="32"/>
      <c r="E1638" s="32">
        <f>IFERROR(__xludf.DUMMYFUNCTION("""COMPUTED_VALUE"""),1.0)</f>
        <v>1</v>
      </c>
      <c r="F1638" s="44">
        <f>IFERROR(__xludf.DUMMYFUNCTION("""COMPUTED_VALUE"""),0.0)</f>
        <v>0</v>
      </c>
      <c r="G1638" s="32"/>
      <c r="H1638" s="32"/>
      <c r="I1638" s="32"/>
      <c r="J1638" s="32"/>
      <c r="K1638" s="32"/>
      <c r="L1638" s="32"/>
      <c r="M1638" s="32"/>
      <c r="N1638" s="32"/>
      <c r="O1638" s="32"/>
      <c r="P1638" s="32"/>
      <c r="Q1638" s="32"/>
      <c r="R1638" s="32"/>
      <c r="S1638" s="32"/>
      <c r="T1638" s="32"/>
      <c r="U1638" s="32"/>
      <c r="V1638" s="32"/>
      <c r="W1638" s="32"/>
      <c r="X1638" s="32"/>
      <c r="Y1638" s="32"/>
      <c r="Z1638" s="32"/>
      <c r="AA1638" s="32"/>
      <c r="AB1638" s="32"/>
      <c r="AC1638" s="32"/>
      <c r="AD1638" s="32"/>
      <c r="AE1638" s="32"/>
      <c r="AF1638" s="32"/>
      <c r="AG1638" s="32"/>
      <c r="AH1638" s="32" t="b">
        <f>IFERROR(__xludf.DUMMYFUNCTION("""COMPUTED_VALUE"""),FALSE)</f>
        <v>0</v>
      </c>
      <c r="AI1638" s="32"/>
      <c r="AJ1638" s="32"/>
      <c r="AK1638" s="32"/>
      <c r="AL1638" s="32"/>
      <c r="AM1638" s="32"/>
      <c r="AN1638" s="32"/>
      <c r="AO1638" s="32"/>
      <c r="AP1638" s="32"/>
      <c r="AQ1638" s="32"/>
      <c r="AR1638" s="32"/>
      <c r="AS1638" s="32"/>
      <c r="AT1638" s="32"/>
      <c r="AU1638" s="32"/>
      <c r="AV1638" s="32"/>
      <c r="AW1638" s="32"/>
      <c r="AX1638" s="32"/>
    </row>
    <row r="1639">
      <c r="A1639" s="32"/>
      <c r="B1639" s="32"/>
      <c r="C1639" s="32"/>
      <c r="D1639" s="32"/>
      <c r="E1639" s="32">
        <f>IFERROR(__xludf.DUMMYFUNCTION("""COMPUTED_VALUE"""),1.0)</f>
        <v>1</v>
      </c>
      <c r="F1639" s="44">
        <f>IFERROR(__xludf.DUMMYFUNCTION("""COMPUTED_VALUE"""),0.0)</f>
        <v>0</v>
      </c>
      <c r="G1639" s="32"/>
      <c r="H1639" s="32"/>
      <c r="I1639" s="32"/>
      <c r="J1639" s="32"/>
      <c r="K1639" s="32"/>
      <c r="L1639" s="32"/>
      <c r="M1639" s="32"/>
      <c r="N1639" s="32"/>
      <c r="O1639" s="32"/>
      <c r="P1639" s="32"/>
      <c r="Q1639" s="32"/>
      <c r="R1639" s="32"/>
      <c r="S1639" s="32"/>
      <c r="T1639" s="32"/>
      <c r="U1639" s="32"/>
      <c r="V1639" s="32"/>
      <c r="W1639" s="32"/>
      <c r="X1639" s="32"/>
      <c r="Y1639" s="32"/>
      <c r="Z1639" s="32"/>
      <c r="AA1639" s="32"/>
      <c r="AB1639" s="32"/>
      <c r="AC1639" s="32"/>
      <c r="AD1639" s="32"/>
      <c r="AE1639" s="32"/>
      <c r="AF1639" s="32"/>
      <c r="AG1639" s="32"/>
      <c r="AH1639" s="32" t="b">
        <f>IFERROR(__xludf.DUMMYFUNCTION("""COMPUTED_VALUE"""),FALSE)</f>
        <v>0</v>
      </c>
      <c r="AI1639" s="32"/>
      <c r="AJ1639" s="32"/>
      <c r="AK1639" s="32"/>
      <c r="AL1639" s="32"/>
      <c r="AM1639" s="32"/>
      <c r="AN1639" s="32"/>
      <c r="AO1639" s="32"/>
      <c r="AP1639" s="32"/>
      <c r="AQ1639" s="32"/>
      <c r="AR1639" s="32"/>
      <c r="AS1639" s="32"/>
      <c r="AT1639" s="32"/>
      <c r="AU1639" s="32"/>
      <c r="AV1639" s="32"/>
      <c r="AW1639" s="32"/>
      <c r="AX1639" s="32"/>
    </row>
    <row r="1640">
      <c r="A1640" s="32"/>
      <c r="B1640" s="32"/>
      <c r="C1640" s="32"/>
      <c r="D1640" s="32"/>
      <c r="E1640" s="32">
        <f>IFERROR(__xludf.DUMMYFUNCTION("""COMPUTED_VALUE"""),1.0)</f>
        <v>1</v>
      </c>
      <c r="F1640" s="44">
        <f>IFERROR(__xludf.DUMMYFUNCTION("""COMPUTED_VALUE"""),0.0)</f>
        <v>0</v>
      </c>
      <c r="G1640" s="32"/>
      <c r="H1640" s="32"/>
      <c r="I1640" s="32"/>
      <c r="J1640" s="32"/>
      <c r="K1640" s="32"/>
      <c r="L1640" s="32"/>
      <c r="M1640" s="32"/>
      <c r="N1640" s="32"/>
      <c r="O1640" s="32"/>
      <c r="P1640" s="32"/>
      <c r="Q1640" s="32"/>
      <c r="R1640" s="32"/>
      <c r="S1640" s="32"/>
      <c r="T1640" s="32"/>
      <c r="U1640" s="32"/>
      <c r="V1640" s="32"/>
      <c r="W1640" s="32"/>
      <c r="X1640" s="32"/>
      <c r="Y1640" s="32"/>
      <c r="Z1640" s="32"/>
      <c r="AA1640" s="32"/>
      <c r="AB1640" s="32"/>
      <c r="AC1640" s="32"/>
      <c r="AD1640" s="32"/>
      <c r="AE1640" s="32"/>
      <c r="AF1640" s="32"/>
      <c r="AG1640" s="32"/>
      <c r="AH1640" s="32" t="b">
        <f>IFERROR(__xludf.DUMMYFUNCTION("""COMPUTED_VALUE"""),FALSE)</f>
        <v>0</v>
      </c>
      <c r="AI1640" s="32"/>
      <c r="AJ1640" s="32"/>
      <c r="AK1640" s="32"/>
      <c r="AL1640" s="32"/>
      <c r="AM1640" s="32"/>
      <c r="AN1640" s="32"/>
      <c r="AO1640" s="32"/>
      <c r="AP1640" s="32"/>
      <c r="AQ1640" s="32"/>
      <c r="AR1640" s="32"/>
      <c r="AS1640" s="32"/>
      <c r="AT1640" s="32"/>
      <c r="AU1640" s="32"/>
      <c r="AV1640" s="32"/>
      <c r="AW1640" s="32"/>
      <c r="AX1640" s="32"/>
    </row>
    <row r="1641">
      <c r="A1641" s="32"/>
      <c r="B1641" s="32"/>
      <c r="C1641" s="32"/>
      <c r="D1641" s="32"/>
      <c r="E1641" s="32">
        <f>IFERROR(__xludf.DUMMYFUNCTION("""COMPUTED_VALUE"""),1.0)</f>
        <v>1</v>
      </c>
      <c r="F1641" s="44">
        <f>IFERROR(__xludf.DUMMYFUNCTION("""COMPUTED_VALUE"""),0.0)</f>
        <v>0</v>
      </c>
      <c r="G1641" s="32"/>
      <c r="H1641" s="32"/>
      <c r="I1641" s="32"/>
      <c r="J1641" s="32"/>
      <c r="K1641" s="32"/>
      <c r="L1641" s="32"/>
      <c r="M1641" s="32"/>
      <c r="N1641" s="32"/>
      <c r="O1641" s="32"/>
      <c r="P1641" s="32"/>
      <c r="Q1641" s="32"/>
      <c r="R1641" s="32"/>
      <c r="S1641" s="32"/>
      <c r="T1641" s="32"/>
      <c r="U1641" s="32"/>
      <c r="V1641" s="32"/>
      <c r="W1641" s="32"/>
      <c r="X1641" s="32"/>
      <c r="Y1641" s="32"/>
      <c r="Z1641" s="32"/>
      <c r="AA1641" s="32"/>
      <c r="AB1641" s="32"/>
      <c r="AC1641" s="32"/>
      <c r="AD1641" s="32"/>
      <c r="AE1641" s="32"/>
      <c r="AF1641" s="32"/>
      <c r="AG1641" s="32"/>
      <c r="AH1641" s="32" t="b">
        <f>IFERROR(__xludf.DUMMYFUNCTION("""COMPUTED_VALUE"""),FALSE)</f>
        <v>0</v>
      </c>
      <c r="AI1641" s="32"/>
      <c r="AJ1641" s="32"/>
      <c r="AK1641" s="32"/>
      <c r="AL1641" s="32"/>
      <c r="AM1641" s="32"/>
      <c r="AN1641" s="32"/>
      <c r="AO1641" s="32"/>
      <c r="AP1641" s="32"/>
      <c r="AQ1641" s="32"/>
      <c r="AR1641" s="32"/>
      <c r="AS1641" s="32"/>
      <c r="AT1641" s="32"/>
      <c r="AU1641" s="32"/>
      <c r="AV1641" s="32"/>
      <c r="AW1641" s="32"/>
      <c r="AX1641" s="32"/>
    </row>
    <row r="1642">
      <c r="A1642" s="32"/>
      <c r="B1642" s="32"/>
      <c r="C1642" s="32"/>
      <c r="D1642" s="32"/>
      <c r="E1642" s="32">
        <f>IFERROR(__xludf.DUMMYFUNCTION("""COMPUTED_VALUE"""),1.0)</f>
        <v>1</v>
      </c>
      <c r="F1642" s="44">
        <f>IFERROR(__xludf.DUMMYFUNCTION("""COMPUTED_VALUE"""),0.0)</f>
        <v>0</v>
      </c>
      <c r="G1642" s="32"/>
      <c r="H1642" s="32"/>
      <c r="I1642" s="32"/>
      <c r="J1642" s="32"/>
      <c r="K1642" s="32"/>
      <c r="L1642" s="32"/>
      <c r="M1642" s="32"/>
      <c r="N1642" s="32"/>
      <c r="O1642" s="32"/>
      <c r="P1642" s="32"/>
      <c r="Q1642" s="32"/>
      <c r="R1642" s="32"/>
      <c r="S1642" s="32"/>
      <c r="T1642" s="32"/>
      <c r="U1642" s="32"/>
      <c r="V1642" s="32"/>
      <c r="W1642" s="32"/>
      <c r="X1642" s="32"/>
      <c r="Y1642" s="32"/>
      <c r="Z1642" s="32"/>
      <c r="AA1642" s="32"/>
      <c r="AB1642" s="32"/>
      <c r="AC1642" s="32"/>
      <c r="AD1642" s="32"/>
      <c r="AE1642" s="32"/>
      <c r="AF1642" s="32"/>
      <c r="AG1642" s="32"/>
      <c r="AH1642" s="32" t="b">
        <f>IFERROR(__xludf.DUMMYFUNCTION("""COMPUTED_VALUE"""),FALSE)</f>
        <v>0</v>
      </c>
      <c r="AI1642" s="32"/>
      <c r="AJ1642" s="32"/>
      <c r="AK1642" s="32"/>
      <c r="AL1642" s="32"/>
      <c r="AM1642" s="32"/>
      <c r="AN1642" s="32"/>
      <c r="AO1642" s="32"/>
      <c r="AP1642" s="32"/>
      <c r="AQ1642" s="32"/>
      <c r="AR1642" s="32"/>
      <c r="AS1642" s="32"/>
      <c r="AT1642" s="32"/>
      <c r="AU1642" s="32"/>
      <c r="AV1642" s="32"/>
      <c r="AW1642" s="32"/>
      <c r="AX1642" s="32"/>
    </row>
    <row r="1643">
      <c r="A1643" s="32"/>
      <c r="B1643" s="32"/>
      <c r="C1643" s="32"/>
      <c r="D1643" s="32"/>
      <c r="E1643" s="32">
        <f>IFERROR(__xludf.DUMMYFUNCTION("""COMPUTED_VALUE"""),1.0)</f>
        <v>1</v>
      </c>
      <c r="F1643" s="44">
        <f>IFERROR(__xludf.DUMMYFUNCTION("""COMPUTED_VALUE"""),0.0)</f>
        <v>0</v>
      </c>
      <c r="G1643" s="32"/>
      <c r="H1643" s="32"/>
      <c r="I1643" s="32"/>
      <c r="J1643" s="32"/>
      <c r="K1643" s="32"/>
      <c r="L1643" s="32"/>
      <c r="M1643" s="32"/>
      <c r="N1643" s="32"/>
      <c r="O1643" s="32"/>
      <c r="P1643" s="32"/>
      <c r="Q1643" s="32"/>
      <c r="R1643" s="32"/>
      <c r="S1643" s="32"/>
      <c r="T1643" s="32"/>
      <c r="U1643" s="32"/>
      <c r="V1643" s="32"/>
      <c r="W1643" s="32"/>
      <c r="X1643" s="32"/>
      <c r="Y1643" s="32"/>
      <c r="Z1643" s="32"/>
      <c r="AA1643" s="32"/>
      <c r="AB1643" s="32"/>
      <c r="AC1643" s="32"/>
      <c r="AD1643" s="32"/>
      <c r="AE1643" s="32"/>
      <c r="AF1643" s="32"/>
      <c r="AG1643" s="32"/>
      <c r="AH1643" s="32" t="b">
        <f>IFERROR(__xludf.DUMMYFUNCTION("""COMPUTED_VALUE"""),FALSE)</f>
        <v>0</v>
      </c>
      <c r="AI1643" s="32"/>
      <c r="AJ1643" s="32"/>
      <c r="AK1643" s="32"/>
      <c r="AL1643" s="32"/>
      <c r="AM1643" s="32"/>
      <c r="AN1643" s="32"/>
      <c r="AO1643" s="32"/>
      <c r="AP1643" s="32"/>
      <c r="AQ1643" s="32"/>
      <c r="AR1643" s="32"/>
      <c r="AS1643" s="32"/>
      <c r="AT1643" s="32"/>
      <c r="AU1643" s="32"/>
      <c r="AV1643" s="32"/>
      <c r="AW1643" s="32"/>
      <c r="AX1643" s="32"/>
    </row>
    <row r="1644">
      <c r="A1644" s="32"/>
      <c r="B1644" s="32"/>
      <c r="C1644" s="32"/>
      <c r="D1644" s="32"/>
      <c r="E1644" s="32">
        <f>IFERROR(__xludf.DUMMYFUNCTION("""COMPUTED_VALUE"""),1.0)</f>
        <v>1</v>
      </c>
      <c r="F1644" s="44">
        <f>IFERROR(__xludf.DUMMYFUNCTION("""COMPUTED_VALUE"""),0.0)</f>
        <v>0</v>
      </c>
      <c r="G1644" s="32"/>
      <c r="H1644" s="32"/>
      <c r="I1644" s="32"/>
      <c r="J1644" s="32"/>
      <c r="K1644" s="32"/>
      <c r="L1644" s="32"/>
      <c r="M1644" s="32"/>
      <c r="N1644" s="32"/>
      <c r="O1644" s="32"/>
      <c r="P1644" s="32"/>
      <c r="Q1644" s="32"/>
      <c r="R1644" s="32"/>
      <c r="S1644" s="32"/>
      <c r="T1644" s="32"/>
      <c r="U1644" s="32"/>
      <c r="V1644" s="32"/>
      <c r="W1644" s="32"/>
      <c r="X1644" s="32"/>
      <c r="Y1644" s="32"/>
      <c r="Z1644" s="32"/>
      <c r="AA1644" s="32"/>
      <c r="AB1644" s="32"/>
      <c r="AC1644" s="32"/>
      <c r="AD1644" s="32"/>
      <c r="AE1644" s="32"/>
      <c r="AF1644" s="32"/>
      <c r="AG1644" s="32"/>
      <c r="AH1644" s="32" t="b">
        <f>IFERROR(__xludf.DUMMYFUNCTION("""COMPUTED_VALUE"""),FALSE)</f>
        <v>0</v>
      </c>
      <c r="AI1644" s="32"/>
      <c r="AJ1644" s="32"/>
      <c r="AK1644" s="32"/>
      <c r="AL1644" s="32"/>
      <c r="AM1644" s="32"/>
      <c r="AN1644" s="32"/>
      <c r="AO1644" s="32"/>
      <c r="AP1644" s="32"/>
      <c r="AQ1644" s="32"/>
      <c r="AR1644" s="32"/>
      <c r="AS1644" s="32"/>
      <c r="AT1644" s="32"/>
      <c r="AU1644" s="32"/>
      <c r="AV1644" s="32"/>
      <c r="AW1644" s="32"/>
      <c r="AX1644" s="32"/>
    </row>
    <row r="1645">
      <c r="A1645" s="32"/>
      <c r="B1645" s="32"/>
      <c r="C1645" s="32"/>
      <c r="D1645" s="32"/>
      <c r="E1645" s="32">
        <f>IFERROR(__xludf.DUMMYFUNCTION("""COMPUTED_VALUE"""),1.0)</f>
        <v>1</v>
      </c>
      <c r="F1645" s="44">
        <f>IFERROR(__xludf.DUMMYFUNCTION("""COMPUTED_VALUE"""),0.0)</f>
        <v>0</v>
      </c>
      <c r="G1645" s="32"/>
      <c r="H1645" s="32"/>
      <c r="I1645" s="32"/>
      <c r="J1645" s="32"/>
      <c r="K1645" s="32"/>
      <c r="L1645" s="32"/>
      <c r="M1645" s="32"/>
      <c r="N1645" s="32"/>
      <c r="O1645" s="32"/>
      <c r="P1645" s="32"/>
      <c r="Q1645" s="32"/>
      <c r="R1645" s="32"/>
      <c r="S1645" s="32"/>
      <c r="T1645" s="32"/>
      <c r="U1645" s="32"/>
      <c r="V1645" s="32"/>
      <c r="W1645" s="32"/>
      <c r="X1645" s="32"/>
      <c r="Y1645" s="32"/>
      <c r="Z1645" s="32"/>
      <c r="AA1645" s="32"/>
      <c r="AB1645" s="32"/>
      <c r="AC1645" s="32"/>
      <c r="AD1645" s="32"/>
      <c r="AE1645" s="32"/>
      <c r="AF1645" s="32"/>
      <c r="AG1645" s="32"/>
      <c r="AH1645" s="32" t="b">
        <f>IFERROR(__xludf.DUMMYFUNCTION("""COMPUTED_VALUE"""),FALSE)</f>
        <v>0</v>
      </c>
      <c r="AI1645" s="32"/>
      <c r="AJ1645" s="32"/>
      <c r="AK1645" s="32"/>
      <c r="AL1645" s="32"/>
      <c r="AM1645" s="32"/>
      <c r="AN1645" s="32"/>
      <c r="AO1645" s="32"/>
      <c r="AP1645" s="32"/>
      <c r="AQ1645" s="32"/>
      <c r="AR1645" s="32"/>
      <c r="AS1645" s="32"/>
      <c r="AT1645" s="32"/>
      <c r="AU1645" s="32"/>
      <c r="AV1645" s="32"/>
      <c r="AW1645" s="32"/>
      <c r="AX1645" s="32"/>
    </row>
    <row r="1646">
      <c r="A1646" s="32"/>
      <c r="B1646" s="32"/>
      <c r="C1646" s="32"/>
      <c r="D1646" s="32"/>
      <c r="E1646" s="32">
        <f>IFERROR(__xludf.DUMMYFUNCTION("""COMPUTED_VALUE"""),1.0)</f>
        <v>1</v>
      </c>
      <c r="F1646" s="44">
        <f>IFERROR(__xludf.DUMMYFUNCTION("""COMPUTED_VALUE"""),0.0)</f>
        <v>0</v>
      </c>
      <c r="G1646" s="32"/>
      <c r="H1646" s="32"/>
      <c r="I1646" s="32"/>
      <c r="J1646" s="32"/>
      <c r="K1646" s="32"/>
      <c r="L1646" s="32"/>
      <c r="M1646" s="32"/>
      <c r="N1646" s="32"/>
      <c r="O1646" s="32"/>
      <c r="P1646" s="32"/>
      <c r="Q1646" s="32"/>
      <c r="R1646" s="32"/>
      <c r="S1646" s="32"/>
      <c r="T1646" s="32"/>
      <c r="U1646" s="32"/>
      <c r="V1646" s="32"/>
      <c r="W1646" s="32"/>
      <c r="X1646" s="32"/>
      <c r="Y1646" s="32"/>
      <c r="Z1646" s="32"/>
      <c r="AA1646" s="32"/>
      <c r="AB1646" s="32"/>
      <c r="AC1646" s="32"/>
      <c r="AD1646" s="32"/>
      <c r="AE1646" s="32"/>
      <c r="AF1646" s="32"/>
      <c r="AG1646" s="32"/>
      <c r="AH1646" s="32" t="b">
        <f>IFERROR(__xludf.DUMMYFUNCTION("""COMPUTED_VALUE"""),FALSE)</f>
        <v>0</v>
      </c>
      <c r="AI1646" s="32"/>
      <c r="AJ1646" s="32"/>
      <c r="AK1646" s="32"/>
      <c r="AL1646" s="32"/>
      <c r="AM1646" s="32"/>
      <c r="AN1646" s="32"/>
      <c r="AO1646" s="32"/>
      <c r="AP1646" s="32"/>
      <c r="AQ1646" s="32"/>
      <c r="AR1646" s="32"/>
      <c r="AS1646" s="32"/>
      <c r="AT1646" s="32"/>
      <c r="AU1646" s="32"/>
      <c r="AV1646" s="32"/>
      <c r="AW1646" s="32"/>
      <c r="AX1646" s="32"/>
    </row>
    <row r="1647">
      <c r="A1647" s="32"/>
      <c r="B1647" s="32"/>
      <c r="C1647" s="32"/>
      <c r="D1647" s="32"/>
      <c r="E1647" s="32">
        <f>IFERROR(__xludf.DUMMYFUNCTION("""COMPUTED_VALUE"""),1.0)</f>
        <v>1</v>
      </c>
      <c r="F1647" s="44">
        <f>IFERROR(__xludf.DUMMYFUNCTION("""COMPUTED_VALUE"""),0.0)</f>
        <v>0</v>
      </c>
      <c r="G1647" s="32"/>
      <c r="H1647" s="32"/>
      <c r="I1647" s="32"/>
      <c r="J1647" s="32"/>
      <c r="K1647" s="32"/>
      <c r="L1647" s="32"/>
      <c r="M1647" s="32"/>
      <c r="N1647" s="32"/>
      <c r="O1647" s="32"/>
      <c r="P1647" s="32"/>
      <c r="Q1647" s="32"/>
      <c r="R1647" s="32"/>
      <c r="S1647" s="32"/>
      <c r="T1647" s="32"/>
      <c r="U1647" s="32"/>
      <c r="V1647" s="32"/>
      <c r="W1647" s="32"/>
      <c r="X1647" s="32"/>
      <c r="Y1647" s="32"/>
      <c r="Z1647" s="32"/>
      <c r="AA1647" s="32"/>
      <c r="AB1647" s="32"/>
      <c r="AC1647" s="32"/>
      <c r="AD1647" s="32"/>
      <c r="AE1647" s="32"/>
      <c r="AF1647" s="32"/>
      <c r="AG1647" s="32"/>
      <c r="AH1647" s="32" t="b">
        <f>IFERROR(__xludf.DUMMYFUNCTION("""COMPUTED_VALUE"""),FALSE)</f>
        <v>0</v>
      </c>
      <c r="AI1647" s="32"/>
      <c r="AJ1647" s="32"/>
      <c r="AK1647" s="32"/>
      <c r="AL1647" s="32"/>
      <c r="AM1647" s="32"/>
      <c r="AN1647" s="32"/>
      <c r="AO1647" s="32"/>
      <c r="AP1647" s="32"/>
      <c r="AQ1647" s="32"/>
      <c r="AR1647" s="32"/>
      <c r="AS1647" s="32"/>
      <c r="AT1647" s="32"/>
      <c r="AU1647" s="32"/>
      <c r="AV1647" s="32"/>
      <c r="AW1647" s="32"/>
      <c r="AX1647" s="32"/>
    </row>
    <row r="1648">
      <c r="A1648" s="32"/>
      <c r="B1648" s="32"/>
      <c r="C1648" s="32"/>
      <c r="D1648" s="32"/>
      <c r="E1648" s="32">
        <f>IFERROR(__xludf.DUMMYFUNCTION("""COMPUTED_VALUE"""),1.0)</f>
        <v>1</v>
      </c>
      <c r="F1648" s="44">
        <f>IFERROR(__xludf.DUMMYFUNCTION("""COMPUTED_VALUE"""),0.0)</f>
        <v>0</v>
      </c>
      <c r="G1648" s="32"/>
      <c r="H1648" s="32"/>
      <c r="I1648" s="32"/>
      <c r="J1648" s="32"/>
      <c r="K1648" s="32"/>
      <c r="L1648" s="32"/>
      <c r="M1648" s="32"/>
      <c r="N1648" s="32"/>
      <c r="O1648" s="32"/>
      <c r="P1648" s="32"/>
      <c r="Q1648" s="32"/>
      <c r="R1648" s="32"/>
      <c r="S1648" s="32"/>
      <c r="T1648" s="32"/>
      <c r="U1648" s="32"/>
      <c r="V1648" s="32"/>
      <c r="W1648" s="32"/>
      <c r="X1648" s="32"/>
      <c r="Y1648" s="32"/>
      <c r="Z1648" s="32"/>
      <c r="AA1648" s="32"/>
      <c r="AB1648" s="32"/>
      <c r="AC1648" s="32"/>
      <c r="AD1648" s="32"/>
      <c r="AE1648" s="32"/>
      <c r="AF1648" s="32"/>
      <c r="AG1648" s="32"/>
      <c r="AH1648" s="32" t="b">
        <f>IFERROR(__xludf.DUMMYFUNCTION("""COMPUTED_VALUE"""),FALSE)</f>
        <v>0</v>
      </c>
      <c r="AI1648" s="32"/>
      <c r="AJ1648" s="32"/>
      <c r="AK1648" s="32"/>
      <c r="AL1648" s="32"/>
      <c r="AM1648" s="32"/>
      <c r="AN1648" s="32"/>
      <c r="AO1648" s="32"/>
      <c r="AP1648" s="32"/>
      <c r="AQ1648" s="32"/>
      <c r="AR1648" s="32"/>
      <c r="AS1648" s="32"/>
      <c r="AT1648" s="32"/>
      <c r="AU1648" s="32"/>
      <c r="AV1648" s="32"/>
      <c r="AW1648" s="32"/>
      <c r="AX1648" s="32"/>
    </row>
    <row r="1649">
      <c r="A1649" s="32"/>
      <c r="B1649" s="32"/>
      <c r="C1649" s="32"/>
      <c r="D1649" s="32"/>
      <c r="E1649" s="32">
        <f>IFERROR(__xludf.DUMMYFUNCTION("""COMPUTED_VALUE"""),1.0)</f>
        <v>1</v>
      </c>
      <c r="F1649" s="44">
        <f>IFERROR(__xludf.DUMMYFUNCTION("""COMPUTED_VALUE"""),0.0)</f>
        <v>0</v>
      </c>
      <c r="G1649" s="32"/>
      <c r="H1649" s="32"/>
      <c r="I1649" s="32"/>
      <c r="J1649" s="32"/>
      <c r="K1649" s="32"/>
      <c r="L1649" s="32"/>
      <c r="M1649" s="32"/>
      <c r="N1649" s="32"/>
      <c r="O1649" s="32"/>
      <c r="P1649" s="32"/>
      <c r="Q1649" s="32"/>
      <c r="R1649" s="32"/>
      <c r="S1649" s="32"/>
      <c r="T1649" s="32"/>
      <c r="U1649" s="32"/>
      <c r="V1649" s="32"/>
      <c r="W1649" s="32"/>
      <c r="X1649" s="32"/>
      <c r="Y1649" s="32"/>
      <c r="Z1649" s="32"/>
      <c r="AA1649" s="32"/>
      <c r="AB1649" s="32"/>
      <c r="AC1649" s="32"/>
      <c r="AD1649" s="32"/>
      <c r="AE1649" s="32"/>
      <c r="AF1649" s="32"/>
      <c r="AG1649" s="32"/>
      <c r="AH1649" s="32" t="b">
        <f>IFERROR(__xludf.DUMMYFUNCTION("""COMPUTED_VALUE"""),FALSE)</f>
        <v>0</v>
      </c>
      <c r="AI1649" s="32"/>
      <c r="AJ1649" s="32"/>
      <c r="AK1649" s="32"/>
      <c r="AL1649" s="32"/>
      <c r="AM1649" s="32"/>
      <c r="AN1649" s="32"/>
      <c r="AO1649" s="32"/>
      <c r="AP1649" s="32"/>
      <c r="AQ1649" s="32"/>
      <c r="AR1649" s="32"/>
      <c r="AS1649" s="32"/>
      <c r="AT1649" s="32"/>
      <c r="AU1649" s="32"/>
      <c r="AV1649" s="32"/>
      <c r="AW1649" s="32"/>
      <c r="AX1649" s="32"/>
    </row>
    <row r="1650">
      <c r="A1650" s="32"/>
      <c r="B1650" s="32"/>
      <c r="C1650" s="32"/>
      <c r="D1650" s="32"/>
      <c r="E1650" s="32">
        <f>IFERROR(__xludf.DUMMYFUNCTION("""COMPUTED_VALUE"""),1.0)</f>
        <v>1</v>
      </c>
      <c r="F1650" s="44">
        <f>IFERROR(__xludf.DUMMYFUNCTION("""COMPUTED_VALUE"""),0.0)</f>
        <v>0</v>
      </c>
      <c r="G1650" s="32"/>
      <c r="H1650" s="32"/>
      <c r="I1650" s="32"/>
      <c r="J1650" s="32"/>
      <c r="K1650" s="32"/>
      <c r="L1650" s="32"/>
      <c r="M1650" s="32"/>
      <c r="N1650" s="32"/>
      <c r="O1650" s="32"/>
      <c r="P1650" s="32"/>
      <c r="Q1650" s="32"/>
      <c r="R1650" s="32"/>
      <c r="S1650" s="32"/>
      <c r="T1650" s="32"/>
      <c r="U1650" s="32"/>
      <c r="V1650" s="32"/>
      <c r="W1650" s="32"/>
      <c r="X1650" s="32"/>
      <c r="Y1650" s="32"/>
      <c r="Z1650" s="32"/>
      <c r="AA1650" s="32"/>
      <c r="AB1650" s="32"/>
      <c r="AC1650" s="32"/>
      <c r="AD1650" s="32"/>
      <c r="AE1650" s="32"/>
      <c r="AF1650" s="32"/>
      <c r="AG1650" s="32"/>
      <c r="AH1650" s="32" t="b">
        <f>IFERROR(__xludf.DUMMYFUNCTION("""COMPUTED_VALUE"""),FALSE)</f>
        <v>0</v>
      </c>
      <c r="AI1650" s="32"/>
      <c r="AJ1650" s="32"/>
      <c r="AK1650" s="32"/>
      <c r="AL1650" s="32"/>
      <c r="AM1650" s="32"/>
      <c r="AN1650" s="32"/>
      <c r="AO1650" s="32"/>
      <c r="AP1650" s="32"/>
      <c r="AQ1650" s="32"/>
      <c r="AR1650" s="32"/>
      <c r="AS1650" s="32"/>
      <c r="AT1650" s="32"/>
      <c r="AU1650" s="32"/>
      <c r="AV1650" s="32"/>
      <c r="AW1650" s="32"/>
      <c r="AX1650" s="32"/>
    </row>
    <row r="1651">
      <c r="A1651" s="32"/>
      <c r="B1651" s="32"/>
      <c r="C1651" s="32"/>
      <c r="D1651" s="32"/>
      <c r="E1651" s="32">
        <f>IFERROR(__xludf.DUMMYFUNCTION("""COMPUTED_VALUE"""),1.0)</f>
        <v>1</v>
      </c>
      <c r="F1651" s="44">
        <f>IFERROR(__xludf.DUMMYFUNCTION("""COMPUTED_VALUE"""),0.0)</f>
        <v>0</v>
      </c>
      <c r="G1651" s="32"/>
      <c r="H1651" s="32"/>
      <c r="I1651" s="32"/>
      <c r="J1651" s="32"/>
      <c r="K1651" s="32"/>
      <c r="L1651" s="32"/>
      <c r="M1651" s="32"/>
      <c r="N1651" s="32"/>
      <c r="O1651" s="32"/>
      <c r="P1651" s="32"/>
      <c r="Q1651" s="32"/>
      <c r="R1651" s="32"/>
      <c r="S1651" s="32"/>
      <c r="T1651" s="32"/>
      <c r="U1651" s="32"/>
      <c r="V1651" s="32"/>
      <c r="W1651" s="32"/>
      <c r="X1651" s="32"/>
      <c r="Y1651" s="32"/>
      <c r="Z1651" s="32"/>
      <c r="AA1651" s="32"/>
      <c r="AB1651" s="32"/>
      <c r="AC1651" s="32"/>
      <c r="AD1651" s="32"/>
      <c r="AE1651" s="32"/>
      <c r="AF1651" s="32"/>
      <c r="AG1651" s="32"/>
      <c r="AH1651" s="32" t="b">
        <f>IFERROR(__xludf.DUMMYFUNCTION("""COMPUTED_VALUE"""),FALSE)</f>
        <v>0</v>
      </c>
      <c r="AI1651" s="32"/>
      <c r="AJ1651" s="32"/>
      <c r="AK1651" s="32"/>
      <c r="AL1651" s="32"/>
      <c r="AM1651" s="32"/>
      <c r="AN1651" s="32"/>
      <c r="AO1651" s="32"/>
      <c r="AP1651" s="32"/>
      <c r="AQ1651" s="32"/>
      <c r="AR1651" s="32"/>
      <c r="AS1651" s="32"/>
      <c r="AT1651" s="32"/>
      <c r="AU1651" s="32"/>
      <c r="AV1651" s="32"/>
      <c r="AW1651" s="32"/>
      <c r="AX1651" s="32"/>
    </row>
    <row r="1652">
      <c r="A1652" s="32"/>
      <c r="B1652" s="32"/>
      <c r="C1652" s="32"/>
      <c r="D1652" s="32"/>
      <c r="E1652" s="32">
        <f>IFERROR(__xludf.DUMMYFUNCTION("""COMPUTED_VALUE"""),1.0)</f>
        <v>1</v>
      </c>
      <c r="F1652" s="44">
        <f>IFERROR(__xludf.DUMMYFUNCTION("""COMPUTED_VALUE"""),0.0)</f>
        <v>0</v>
      </c>
      <c r="G1652" s="32"/>
      <c r="H1652" s="32"/>
      <c r="I1652" s="32"/>
      <c r="J1652" s="32"/>
      <c r="K1652" s="32"/>
      <c r="L1652" s="32"/>
      <c r="M1652" s="32"/>
      <c r="N1652" s="32"/>
      <c r="O1652" s="32"/>
      <c r="P1652" s="32"/>
      <c r="Q1652" s="32"/>
      <c r="R1652" s="32"/>
      <c r="S1652" s="32"/>
      <c r="T1652" s="32"/>
      <c r="U1652" s="32"/>
      <c r="V1652" s="32"/>
      <c r="W1652" s="32"/>
      <c r="X1652" s="32"/>
      <c r="Y1652" s="32"/>
      <c r="Z1652" s="32"/>
      <c r="AA1652" s="32"/>
      <c r="AB1652" s="32"/>
      <c r="AC1652" s="32"/>
      <c r="AD1652" s="32"/>
      <c r="AE1652" s="32"/>
      <c r="AF1652" s="32"/>
      <c r="AG1652" s="32"/>
      <c r="AH1652" s="32" t="b">
        <f>IFERROR(__xludf.DUMMYFUNCTION("""COMPUTED_VALUE"""),FALSE)</f>
        <v>0</v>
      </c>
      <c r="AI1652" s="32"/>
      <c r="AJ1652" s="32"/>
      <c r="AK1652" s="32"/>
      <c r="AL1652" s="32"/>
      <c r="AM1652" s="32"/>
      <c r="AN1652" s="32"/>
      <c r="AO1652" s="32"/>
      <c r="AP1652" s="32"/>
      <c r="AQ1652" s="32"/>
      <c r="AR1652" s="32"/>
      <c r="AS1652" s="32"/>
      <c r="AT1652" s="32"/>
      <c r="AU1652" s="32"/>
      <c r="AV1652" s="32"/>
      <c r="AW1652" s="32"/>
      <c r="AX1652" s="32"/>
    </row>
    <row r="1653">
      <c r="A1653" s="32"/>
      <c r="B1653" s="32"/>
      <c r="C1653" s="32"/>
      <c r="D1653" s="32"/>
      <c r="E1653" s="32">
        <f>IFERROR(__xludf.DUMMYFUNCTION("""COMPUTED_VALUE"""),1.0)</f>
        <v>1</v>
      </c>
      <c r="F1653" s="44">
        <f>IFERROR(__xludf.DUMMYFUNCTION("""COMPUTED_VALUE"""),0.0)</f>
        <v>0</v>
      </c>
      <c r="G1653" s="32"/>
      <c r="H1653" s="32"/>
      <c r="I1653" s="32"/>
      <c r="J1653" s="32"/>
      <c r="K1653" s="32"/>
      <c r="L1653" s="32"/>
      <c r="M1653" s="32"/>
      <c r="N1653" s="32"/>
      <c r="O1653" s="32"/>
      <c r="P1653" s="32"/>
      <c r="Q1653" s="32"/>
      <c r="R1653" s="32"/>
      <c r="S1653" s="32"/>
      <c r="T1653" s="32"/>
      <c r="U1653" s="32"/>
      <c r="V1653" s="32"/>
      <c r="W1653" s="32"/>
      <c r="X1653" s="32"/>
      <c r="Y1653" s="32"/>
      <c r="Z1653" s="32"/>
      <c r="AA1653" s="32"/>
      <c r="AB1653" s="32"/>
      <c r="AC1653" s="32"/>
      <c r="AD1653" s="32"/>
      <c r="AE1653" s="32"/>
      <c r="AF1653" s="32"/>
      <c r="AG1653" s="32"/>
      <c r="AH1653" s="32" t="b">
        <f>IFERROR(__xludf.DUMMYFUNCTION("""COMPUTED_VALUE"""),FALSE)</f>
        <v>0</v>
      </c>
      <c r="AI1653" s="32"/>
      <c r="AJ1653" s="32"/>
      <c r="AK1653" s="32"/>
      <c r="AL1653" s="32"/>
      <c r="AM1653" s="32"/>
      <c r="AN1653" s="32"/>
      <c r="AO1653" s="32"/>
      <c r="AP1653" s="32"/>
      <c r="AQ1653" s="32"/>
      <c r="AR1653" s="32"/>
      <c r="AS1653" s="32"/>
      <c r="AT1653" s="32"/>
      <c r="AU1653" s="32"/>
      <c r="AV1653" s="32"/>
      <c r="AW1653" s="32"/>
      <c r="AX1653" s="32"/>
    </row>
    <row r="1654">
      <c r="A1654" s="32"/>
      <c r="B1654" s="32"/>
      <c r="C1654" s="32"/>
      <c r="D1654" s="32"/>
      <c r="E1654" s="32">
        <f>IFERROR(__xludf.DUMMYFUNCTION("""COMPUTED_VALUE"""),1.0)</f>
        <v>1</v>
      </c>
      <c r="F1654" s="44">
        <f>IFERROR(__xludf.DUMMYFUNCTION("""COMPUTED_VALUE"""),0.0)</f>
        <v>0</v>
      </c>
      <c r="G1654" s="32"/>
      <c r="H1654" s="32"/>
      <c r="I1654" s="32"/>
      <c r="J1654" s="32"/>
      <c r="K1654" s="32"/>
      <c r="L1654" s="32"/>
      <c r="M1654" s="32"/>
      <c r="N1654" s="32"/>
      <c r="O1654" s="32"/>
      <c r="P1654" s="32"/>
      <c r="Q1654" s="32"/>
      <c r="R1654" s="32"/>
      <c r="S1654" s="32"/>
      <c r="T1654" s="32"/>
      <c r="U1654" s="32"/>
      <c r="V1654" s="32"/>
      <c r="W1654" s="32"/>
      <c r="X1654" s="32"/>
      <c r="Y1654" s="32"/>
      <c r="Z1654" s="32"/>
      <c r="AA1654" s="32"/>
      <c r="AB1654" s="32"/>
      <c r="AC1654" s="32"/>
      <c r="AD1654" s="32"/>
      <c r="AE1654" s="32"/>
      <c r="AF1654" s="32"/>
      <c r="AG1654" s="32"/>
      <c r="AH1654" s="32" t="b">
        <f>IFERROR(__xludf.DUMMYFUNCTION("""COMPUTED_VALUE"""),FALSE)</f>
        <v>0</v>
      </c>
      <c r="AI1654" s="32"/>
      <c r="AJ1654" s="32"/>
      <c r="AK1654" s="32"/>
      <c r="AL1654" s="32"/>
      <c r="AM1654" s="32"/>
      <c r="AN1654" s="32"/>
      <c r="AO1654" s="32"/>
      <c r="AP1654" s="32"/>
      <c r="AQ1654" s="32"/>
      <c r="AR1654" s="32"/>
      <c r="AS1654" s="32"/>
      <c r="AT1654" s="32"/>
      <c r="AU1654" s="32"/>
      <c r="AV1654" s="32"/>
      <c r="AW1654" s="32"/>
      <c r="AX1654" s="32"/>
    </row>
    <row r="1655">
      <c r="A1655" s="32"/>
      <c r="B1655" s="32"/>
      <c r="C1655" s="32"/>
      <c r="D1655" s="32"/>
      <c r="E1655" s="32">
        <f>IFERROR(__xludf.DUMMYFUNCTION("""COMPUTED_VALUE"""),1.0)</f>
        <v>1</v>
      </c>
      <c r="F1655" s="44">
        <f>IFERROR(__xludf.DUMMYFUNCTION("""COMPUTED_VALUE"""),0.0)</f>
        <v>0</v>
      </c>
      <c r="G1655" s="32"/>
      <c r="H1655" s="32"/>
      <c r="I1655" s="32"/>
      <c r="J1655" s="32"/>
      <c r="K1655" s="32"/>
      <c r="L1655" s="32"/>
      <c r="M1655" s="32"/>
      <c r="N1655" s="32"/>
      <c r="O1655" s="32"/>
      <c r="P1655" s="32"/>
      <c r="Q1655" s="32"/>
      <c r="R1655" s="32"/>
      <c r="S1655" s="32"/>
      <c r="T1655" s="32"/>
      <c r="U1655" s="32"/>
      <c r="V1655" s="32"/>
      <c r="W1655" s="32"/>
      <c r="X1655" s="32"/>
      <c r="Y1655" s="32"/>
      <c r="Z1655" s="32"/>
      <c r="AA1655" s="32"/>
      <c r="AB1655" s="32"/>
      <c r="AC1655" s="32"/>
      <c r="AD1655" s="32"/>
      <c r="AE1655" s="32"/>
      <c r="AF1655" s="32"/>
      <c r="AG1655" s="32"/>
      <c r="AH1655" s="32" t="b">
        <f>IFERROR(__xludf.DUMMYFUNCTION("""COMPUTED_VALUE"""),FALSE)</f>
        <v>0</v>
      </c>
      <c r="AI1655" s="32"/>
      <c r="AJ1655" s="32"/>
      <c r="AK1655" s="32"/>
      <c r="AL1655" s="32"/>
      <c r="AM1655" s="32"/>
      <c r="AN1655" s="32"/>
      <c r="AO1655" s="32"/>
      <c r="AP1655" s="32"/>
      <c r="AQ1655" s="32"/>
      <c r="AR1655" s="32"/>
      <c r="AS1655" s="32"/>
      <c r="AT1655" s="32"/>
      <c r="AU1655" s="32"/>
      <c r="AV1655" s="32"/>
      <c r="AW1655" s="32"/>
      <c r="AX1655" s="32"/>
    </row>
    <row r="1656">
      <c r="A1656" s="32"/>
      <c r="B1656" s="32"/>
      <c r="C1656" s="32"/>
      <c r="D1656" s="32"/>
      <c r="E1656" s="32">
        <f>IFERROR(__xludf.DUMMYFUNCTION("""COMPUTED_VALUE"""),1.0)</f>
        <v>1</v>
      </c>
      <c r="F1656" s="44">
        <f>IFERROR(__xludf.DUMMYFUNCTION("""COMPUTED_VALUE"""),0.0)</f>
        <v>0</v>
      </c>
      <c r="G1656" s="32"/>
      <c r="H1656" s="32"/>
      <c r="I1656" s="32"/>
      <c r="J1656" s="32"/>
      <c r="K1656" s="32"/>
      <c r="L1656" s="32"/>
      <c r="M1656" s="32"/>
      <c r="N1656" s="32"/>
      <c r="O1656" s="32"/>
      <c r="P1656" s="32"/>
      <c r="Q1656" s="32"/>
      <c r="R1656" s="32"/>
      <c r="S1656" s="32"/>
      <c r="T1656" s="32"/>
      <c r="U1656" s="32"/>
      <c r="V1656" s="32"/>
      <c r="W1656" s="32"/>
      <c r="X1656" s="32"/>
      <c r="Y1656" s="32"/>
      <c r="Z1656" s="32"/>
      <c r="AA1656" s="32"/>
      <c r="AB1656" s="32"/>
      <c r="AC1656" s="32"/>
      <c r="AD1656" s="32"/>
      <c r="AE1656" s="32"/>
      <c r="AF1656" s="32"/>
      <c r="AG1656" s="32"/>
      <c r="AH1656" s="32" t="b">
        <f>IFERROR(__xludf.DUMMYFUNCTION("""COMPUTED_VALUE"""),FALSE)</f>
        <v>0</v>
      </c>
      <c r="AI1656" s="32"/>
      <c r="AJ1656" s="32"/>
      <c r="AK1656" s="32"/>
      <c r="AL1656" s="32"/>
      <c r="AM1656" s="32"/>
      <c r="AN1656" s="32"/>
      <c r="AO1656" s="32"/>
      <c r="AP1656" s="32"/>
      <c r="AQ1656" s="32"/>
      <c r="AR1656" s="32"/>
      <c r="AS1656" s="32"/>
      <c r="AT1656" s="32"/>
      <c r="AU1656" s="32"/>
      <c r="AV1656" s="32"/>
      <c r="AW1656" s="32"/>
      <c r="AX1656" s="32"/>
    </row>
    <row r="1657">
      <c r="A1657" s="32"/>
      <c r="B1657" s="32"/>
      <c r="C1657" s="32"/>
      <c r="D1657" s="32"/>
      <c r="E1657" s="32">
        <f>IFERROR(__xludf.DUMMYFUNCTION("""COMPUTED_VALUE"""),1.0)</f>
        <v>1</v>
      </c>
      <c r="F1657" s="44">
        <f>IFERROR(__xludf.DUMMYFUNCTION("""COMPUTED_VALUE"""),0.0)</f>
        <v>0</v>
      </c>
      <c r="G1657" s="32"/>
      <c r="H1657" s="32"/>
      <c r="I1657" s="32"/>
      <c r="J1657" s="32"/>
      <c r="K1657" s="32"/>
      <c r="L1657" s="32"/>
      <c r="M1657" s="32"/>
      <c r="N1657" s="32"/>
      <c r="O1657" s="32"/>
      <c r="P1657" s="32"/>
      <c r="Q1657" s="32"/>
      <c r="R1657" s="32"/>
      <c r="S1657" s="32"/>
      <c r="T1657" s="32"/>
      <c r="U1657" s="32"/>
      <c r="V1657" s="32"/>
      <c r="W1657" s="32"/>
      <c r="X1657" s="32"/>
      <c r="Y1657" s="32"/>
      <c r="Z1657" s="32"/>
      <c r="AA1657" s="32"/>
      <c r="AB1657" s="32"/>
      <c r="AC1657" s="32"/>
      <c r="AD1657" s="32"/>
      <c r="AE1657" s="32"/>
      <c r="AF1657" s="32"/>
      <c r="AG1657" s="32"/>
      <c r="AH1657" s="32" t="b">
        <f>IFERROR(__xludf.DUMMYFUNCTION("""COMPUTED_VALUE"""),FALSE)</f>
        <v>0</v>
      </c>
      <c r="AI1657" s="32"/>
      <c r="AJ1657" s="32"/>
      <c r="AK1657" s="32"/>
      <c r="AL1657" s="32"/>
      <c r="AM1657" s="32"/>
      <c r="AN1657" s="32"/>
      <c r="AO1657" s="32"/>
      <c r="AP1657" s="32"/>
      <c r="AQ1657" s="32"/>
      <c r="AR1657" s="32"/>
      <c r="AS1657" s="32"/>
      <c r="AT1657" s="32"/>
      <c r="AU1657" s="32"/>
      <c r="AV1657" s="32"/>
      <c r="AW1657" s="32"/>
      <c r="AX1657" s="32"/>
    </row>
    <row r="1658">
      <c r="A1658" s="32"/>
      <c r="B1658" s="32"/>
      <c r="C1658" s="32"/>
      <c r="D1658" s="32"/>
      <c r="E1658" s="32">
        <f>IFERROR(__xludf.DUMMYFUNCTION("""COMPUTED_VALUE"""),1.0)</f>
        <v>1</v>
      </c>
      <c r="F1658" s="44">
        <f>IFERROR(__xludf.DUMMYFUNCTION("""COMPUTED_VALUE"""),0.0)</f>
        <v>0</v>
      </c>
      <c r="G1658" s="32"/>
      <c r="H1658" s="32"/>
      <c r="I1658" s="32"/>
      <c r="J1658" s="32"/>
      <c r="K1658" s="32"/>
      <c r="L1658" s="32"/>
      <c r="M1658" s="32"/>
      <c r="N1658" s="32"/>
      <c r="O1658" s="32"/>
      <c r="P1658" s="32"/>
      <c r="Q1658" s="32"/>
      <c r="R1658" s="32"/>
      <c r="S1658" s="32"/>
      <c r="T1658" s="32"/>
      <c r="U1658" s="32"/>
      <c r="V1658" s="32"/>
      <c r="W1658" s="32"/>
      <c r="X1658" s="32"/>
      <c r="Y1658" s="32"/>
      <c r="Z1658" s="32"/>
      <c r="AA1658" s="32"/>
      <c r="AB1658" s="32"/>
      <c r="AC1658" s="32"/>
      <c r="AD1658" s="32"/>
      <c r="AE1658" s="32"/>
      <c r="AF1658" s="32"/>
      <c r="AG1658" s="32"/>
      <c r="AH1658" s="32" t="b">
        <f>IFERROR(__xludf.DUMMYFUNCTION("""COMPUTED_VALUE"""),FALSE)</f>
        <v>0</v>
      </c>
      <c r="AI1658" s="32"/>
      <c r="AJ1658" s="32"/>
      <c r="AK1658" s="32"/>
      <c r="AL1658" s="32"/>
      <c r="AM1658" s="32"/>
      <c r="AN1658" s="32"/>
      <c r="AO1658" s="32"/>
      <c r="AP1658" s="32"/>
      <c r="AQ1658" s="32"/>
      <c r="AR1658" s="32"/>
      <c r="AS1658" s="32"/>
      <c r="AT1658" s="32"/>
      <c r="AU1658" s="32"/>
      <c r="AV1658" s="32"/>
      <c r="AW1658" s="32"/>
      <c r="AX1658" s="32"/>
    </row>
    <row r="1659">
      <c r="A1659" s="32"/>
      <c r="B1659" s="32"/>
      <c r="C1659" s="32"/>
      <c r="D1659" s="32"/>
      <c r="E1659" s="32">
        <f>IFERROR(__xludf.DUMMYFUNCTION("""COMPUTED_VALUE"""),1.0)</f>
        <v>1</v>
      </c>
      <c r="F1659" s="44">
        <f>IFERROR(__xludf.DUMMYFUNCTION("""COMPUTED_VALUE"""),0.0)</f>
        <v>0</v>
      </c>
      <c r="G1659" s="32"/>
      <c r="H1659" s="32"/>
      <c r="I1659" s="32"/>
      <c r="J1659" s="32"/>
      <c r="K1659" s="32"/>
      <c r="L1659" s="32"/>
      <c r="M1659" s="32"/>
      <c r="N1659" s="32"/>
      <c r="O1659" s="32"/>
      <c r="P1659" s="32"/>
      <c r="Q1659" s="32"/>
      <c r="R1659" s="32"/>
      <c r="S1659" s="32"/>
      <c r="T1659" s="32"/>
      <c r="U1659" s="32"/>
      <c r="V1659" s="32"/>
      <c r="W1659" s="32"/>
      <c r="X1659" s="32"/>
      <c r="Y1659" s="32"/>
      <c r="Z1659" s="32"/>
      <c r="AA1659" s="32"/>
      <c r="AB1659" s="32"/>
      <c r="AC1659" s="32"/>
      <c r="AD1659" s="32"/>
      <c r="AE1659" s="32"/>
      <c r="AF1659" s="32"/>
      <c r="AG1659" s="32"/>
      <c r="AH1659" s="32" t="b">
        <f>IFERROR(__xludf.DUMMYFUNCTION("""COMPUTED_VALUE"""),FALSE)</f>
        <v>0</v>
      </c>
      <c r="AI1659" s="32"/>
      <c r="AJ1659" s="32"/>
      <c r="AK1659" s="32"/>
      <c r="AL1659" s="32"/>
      <c r="AM1659" s="32"/>
      <c r="AN1659" s="32"/>
      <c r="AO1659" s="32"/>
      <c r="AP1659" s="32"/>
      <c r="AQ1659" s="32"/>
      <c r="AR1659" s="32"/>
      <c r="AS1659" s="32"/>
      <c r="AT1659" s="32"/>
      <c r="AU1659" s="32"/>
      <c r="AV1659" s="32"/>
      <c r="AW1659" s="32"/>
      <c r="AX1659" s="32"/>
    </row>
    <row r="1660">
      <c r="A1660" s="32"/>
      <c r="B1660" s="32"/>
      <c r="C1660" s="32"/>
      <c r="D1660" s="32"/>
      <c r="E1660" s="32">
        <f>IFERROR(__xludf.DUMMYFUNCTION("""COMPUTED_VALUE"""),1.0)</f>
        <v>1</v>
      </c>
      <c r="F1660" s="44">
        <f>IFERROR(__xludf.DUMMYFUNCTION("""COMPUTED_VALUE"""),0.0)</f>
        <v>0</v>
      </c>
      <c r="G1660" s="32"/>
      <c r="H1660" s="32"/>
      <c r="I1660" s="32"/>
      <c r="J1660" s="32"/>
      <c r="K1660" s="32"/>
      <c r="L1660" s="32"/>
      <c r="M1660" s="32"/>
      <c r="N1660" s="32"/>
      <c r="O1660" s="32"/>
      <c r="P1660" s="32"/>
      <c r="Q1660" s="32"/>
      <c r="R1660" s="32"/>
      <c r="S1660" s="32"/>
      <c r="T1660" s="32"/>
      <c r="U1660" s="32"/>
      <c r="V1660" s="32"/>
      <c r="W1660" s="32"/>
      <c r="X1660" s="32"/>
      <c r="Y1660" s="32"/>
      <c r="Z1660" s="32"/>
      <c r="AA1660" s="32"/>
      <c r="AB1660" s="32"/>
      <c r="AC1660" s="32"/>
      <c r="AD1660" s="32"/>
      <c r="AE1660" s="32"/>
      <c r="AF1660" s="32"/>
      <c r="AG1660" s="32"/>
      <c r="AH1660" s="32" t="b">
        <f>IFERROR(__xludf.DUMMYFUNCTION("""COMPUTED_VALUE"""),FALSE)</f>
        <v>0</v>
      </c>
      <c r="AI1660" s="32"/>
      <c r="AJ1660" s="32"/>
      <c r="AK1660" s="32"/>
      <c r="AL1660" s="32"/>
      <c r="AM1660" s="32"/>
      <c r="AN1660" s="32"/>
      <c r="AO1660" s="32"/>
      <c r="AP1660" s="32"/>
      <c r="AQ1660" s="32"/>
      <c r="AR1660" s="32"/>
      <c r="AS1660" s="32"/>
      <c r="AT1660" s="32"/>
      <c r="AU1660" s="32"/>
      <c r="AV1660" s="32"/>
      <c r="AW1660" s="32"/>
      <c r="AX1660" s="32"/>
    </row>
    <row r="1661">
      <c r="A1661" s="32"/>
      <c r="B1661" s="32"/>
      <c r="C1661" s="32"/>
      <c r="D1661" s="32"/>
      <c r="E1661" s="32">
        <f>IFERROR(__xludf.DUMMYFUNCTION("""COMPUTED_VALUE"""),1.0)</f>
        <v>1</v>
      </c>
      <c r="F1661" s="44">
        <f>IFERROR(__xludf.DUMMYFUNCTION("""COMPUTED_VALUE"""),0.0)</f>
        <v>0</v>
      </c>
      <c r="G1661" s="32"/>
      <c r="H1661" s="32"/>
      <c r="I1661" s="32"/>
      <c r="J1661" s="32"/>
      <c r="K1661" s="32"/>
      <c r="L1661" s="32"/>
      <c r="M1661" s="32"/>
      <c r="N1661" s="32"/>
      <c r="O1661" s="32"/>
      <c r="P1661" s="32"/>
      <c r="Q1661" s="32"/>
      <c r="R1661" s="32"/>
      <c r="S1661" s="32"/>
      <c r="T1661" s="32"/>
      <c r="U1661" s="32"/>
      <c r="V1661" s="32"/>
      <c r="W1661" s="32"/>
      <c r="X1661" s="32"/>
      <c r="Y1661" s="32"/>
      <c r="Z1661" s="32"/>
      <c r="AA1661" s="32"/>
      <c r="AB1661" s="32"/>
      <c r="AC1661" s="32"/>
      <c r="AD1661" s="32"/>
      <c r="AE1661" s="32"/>
      <c r="AF1661" s="32"/>
      <c r="AG1661" s="32"/>
      <c r="AH1661" s="32" t="b">
        <f>IFERROR(__xludf.DUMMYFUNCTION("""COMPUTED_VALUE"""),FALSE)</f>
        <v>0</v>
      </c>
      <c r="AI1661" s="32"/>
      <c r="AJ1661" s="32"/>
      <c r="AK1661" s="32"/>
      <c r="AL1661" s="32"/>
      <c r="AM1661" s="32"/>
      <c r="AN1661" s="32"/>
      <c r="AO1661" s="32"/>
      <c r="AP1661" s="32"/>
      <c r="AQ1661" s="32"/>
      <c r="AR1661" s="32"/>
      <c r="AS1661" s="32"/>
      <c r="AT1661" s="32"/>
      <c r="AU1661" s="32"/>
      <c r="AV1661" s="32"/>
      <c r="AW1661" s="32"/>
      <c r="AX1661" s="32"/>
    </row>
    <row r="1662">
      <c r="A1662" s="32"/>
      <c r="B1662" s="32"/>
      <c r="C1662" s="32"/>
      <c r="D1662" s="32"/>
      <c r="E1662" s="32">
        <f>IFERROR(__xludf.DUMMYFUNCTION("""COMPUTED_VALUE"""),1.0)</f>
        <v>1</v>
      </c>
      <c r="F1662" s="44">
        <f>IFERROR(__xludf.DUMMYFUNCTION("""COMPUTED_VALUE"""),0.0)</f>
        <v>0</v>
      </c>
      <c r="G1662" s="32"/>
      <c r="H1662" s="32"/>
      <c r="I1662" s="32"/>
      <c r="J1662" s="32"/>
      <c r="K1662" s="32"/>
      <c r="L1662" s="32"/>
      <c r="M1662" s="32"/>
      <c r="N1662" s="32"/>
      <c r="O1662" s="32"/>
      <c r="P1662" s="32"/>
      <c r="Q1662" s="32"/>
      <c r="R1662" s="32"/>
      <c r="S1662" s="32"/>
      <c r="T1662" s="32"/>
      <c r="U1662" s="32"/>
      <c r="V1662" s="32"/>
      <c r="W1662" s="32"/>
      <c r="X1662" s="32"/>
      <c r="Y1662" s="32"/>
      <c r="Z1662" s="32"/>
      <c r="AA1662" s="32"/>
      <c r="AB1662" s="32"/>
      <c r="AC1662" s="32"/>
      <c r="AD1662" s="32"/>
      <c r="AE1662" s="32"/>
      <c r="AF1662" s="32"/>
      <c r="AG1662" s="32"/>
      <c r="AH1662" s="32" t="b">
        <f>IFERROR(__xludf.DUMMYFUNCTION("""COMPUTED_VALUE"""),FALSE)</f>
        <v>0</v>
      </c>
      <c r="AI1662" s="32"/>
      <c r="AJ1662" s="32"/>
      <c r="AK1662" s="32"/>
      <c r="AL1662" s="32"/>
      <c r="AM1662" s="32"/>
      <c r="AN1662" s="32"/>
      <c r="AO1662" s="32"/>
      <c r="AP1662" s="32"/>
      <c r="AQ1662" s="32"/>
      <c r="AR1662" s="32"/>
      <c r="AS1662" s="32"/>
      <c r="AT1662" s="32"/>
      <c r="AU1662" s="32"/>
      <c r="AV1662" s="32"/>
      <c r="AW1662" s="32"/>
      <c r="AX1662" s="32"/>
    </row>
    <row r="1663">
      <c r="A1663" s="32"/>
      <c r="B1663" s="32"/>
      <c r="C1663" s="32"/>
      <c r="D1663" s="32"/>
      <c r="E1663" s="32">
        <f>IFERROR(__xludf.DUMMYFUNCTION("""COMPUTED_VALUE"""),1.0)</f>
        <v>1</v>
      </c>
      <c r="F1663" s="44">
        <f>IFERROR(__xludf.DUMMYFUNCTION("""COMPUTED_VALUE"""),0.0)</f>
        <v>0</v>
      </c>
      <c r="G1663" s="32"/>
      <c r="H1663" s="32"/>
      <c r="I1663" s="32"/>
      <c r="J1663" s="32"/>
      <c r="K1663" s="32"/>
      <c r="L1663" s="32"/>
      <c r="M1663" s="32"/>
      <c r="N1663" s="32"/>
      <c r="O1663" s="32"/>
      <c r="P1663" s="32"/>
      <c r="Q1663" s="32"/>
      <c r="R1663" s="32"/>
      <c r="S1663" s="32"/>
      <c r="T1663" s="32"/>
      <c r="U1663" s="32"/>
      <c r="V1663" s="32"/>
      <c r="W1663" s="32"/>
      <c r="X1663" s="32"/>
      <c r="Y1663" s="32"/>
      <c r="Z1663" s="32"/>
      <c r="AA1663" s="32"/>
      <c r="AB1663" s="32"/>
      <c r="AC1663" s="32"/>
      <c r="AD1663" s="32"/>
      <c r="AE1663" s="32"/>
      <c r="AF1663" s="32"/>
      <c r="AG1663" s="32"/>
      <c r="AH1663" s="32" t="b">
        <f>IFERROR(__xludf.DUMMYFUNCTION("""COMPUTED_VALUE"""),FALSE)</f>
        <v>0</v>
      </c>
      <c r="AI1663" s="32"/>
      <c r="AJ1663" s="32"/>
      <c r="AK1663" s="32"/>
      <c r="AL1663" s="32"/>
      <c r="AM1663" s="32"/>
      <c r="AN1663" s="32"/>
      <c r="AO1663" s="32"/>
      <c r="AP1663" s="32"/>
      <c r="AQ1663" s="32"/>
      <c r="AR1663" s="32"/>
      <c r="AS1663" s="32"/>
      <c r="AT1663" s="32"/>
      <c r="AU1663" s="32"/>
      <c r="AV1663" s="32"/>
      <c r="AW1663" s="32"/>
      <c r="AX1663" s="32"/>
    </row>
    <row r="1664">
      <c r="A1664" s="32"/>
      <c r="B1664" s="32"/>
      <c r="C1664" s="32"/>
      <c r="D1664" s="32"/>
      <c r="E1664" s="32">
        <f>IFERROR(__xludf.DUMMYFUNCTION("""COMPUTED_VALUE"""),1.0)</f>
        <v>1</v>
      </c>
      <c r="F1664" s="44">
        <f>IFERROR(__xludf.DUMMYFUNCTION("""COMPUTED_VALUE"""),0.0)</f>
        <v>0</v>
      </c>
      <c r="G1664" s="32"/>
      <c r="H1664" s="32"/>
      <c r="I1664" s="32"/>
      <c r="J1664" s="32"/>
      <c r="K1664" s="32"/>
      <c r="L1664" s="32"/>
      <c r="M1664" s="32"/>
      <c r="N1664" s="32"/>
      <c r="O1664" s="32"/>
      <c r="P1664" s="32"/>
      <c r="Q1664" s="32"/>
      <c r="R1664" s="32"/>
      <c r="S1664" s="32"/>
      <c r="T1664" s="32"/>
      <c r="U1664" s="32"/>
      <c r="V1664" s="32"/>
      <c r="W1664" s="32"/>
      <c r="X1664" s="32"/>
      <c r="Y1664" s="32"/>
      <c r="Z1664" s="32"/>
      <c r="AA1664" s="32"/>
      <c r="AB1664" s="32"/>
      <c r="AC1664" s="32"/>
      <c r="AD1664" s="32"/>
      <c r="AE1664" s="32"/>
      <c r="AF1664" s="32"/>
      <c r="AG1664" s="32"/>
      <c r="AH1664" s="32" t="b">
        <f>IFERROR(__xludf.DUMMYFUNCTION("""COMPUTED_VALUE"""),FALSE)</f>
        <v>0</v>
      </c>
      <c r="AI1664" s="32"/>
      <c r="AJ1664" s="32"/>
      <c r="AK1664" s="32"/>
      <c r="AL1664" s="32"/>
      <c r="AM1664" s="32"/>
      <c r="AN1664" s="32"/>
      <c r="AO1664" s="32"/>
      <c r="AP1664" s="32"/>
      <c r="AQ1664" s="32"/>
      <c r="AR1664" s="32"/>
      <c r="AS1664" s="32"/>
      <c r="AT1664" s="32"/>
      <c r="AU1664" s="32"/>
      <c r="AV1664" s="32"/>
      <c r="AW1664" s="32"/>
      <c r="AX1664" s="32"/>
    </row>
    <row r="1665">
      <c r="A1665" s="32"/>
      <c r="B1665" s="32"/>
      <c r="C1665" s="32"/>
      <c r="D1665" s="32"/>
      <c r="E1665" s="32">
        <f>IFERROR(__xludf.DUMMYFUNCTION("""COMPUTED_VALUE"""),1.0)</f>
        <v>1</v>
      </c>
      <c r="F1665" s="44">
        <f>IFERROR(__xludf.DUMMYFUNCTION("""COMPUTED_VALUE"""),0.0)</f>
        <v>0</v>
      </c>
      <c r="G1665" s="32"/>
      <c r="H1665" s="32"/>
      <c r="I1665" s="32"/>
      <c r="J1665" s="32"/>
      <c r="K1665" s="32"/>
      <c r="L1665" s="32"/>
      <c r="M1665" s="32"/>
      <c r="N1665" s="32"/>
      <c r="O1665" s="32"/>
      <c r="P1665" s="32"/>
      <c r="Q1665" s="32"/>
      <c r="R1665" s="32"/>
      <c r="S1665" s="32"/>
      <c r="T1665" s="32"/>
      <c r="U1665" s="32"/>
      <c r="V1665" s="32"/>
      <c r="W1665" s="32"/>
      <c r="X1665" s="32"/>
      <c r="Y1665" s="32"/>
      <c r="Z1665" s="32"/>
      <c r="AA1665" s="32"/>
      <c r="AB1665" s="32"/>
      <c r="AC1665" s="32"/>
      <c r="AD1665" s="32"/>
      <c r="AE1665" s="32"/>
      <c r="AF1665" s="32"/>
      <c r="AG1665" s="32"/>
      <c r="AH1665" s="32" t="b">
        <f>IFERROR(__xludf.DUMMYFUNCTION("""COMPUTED_VALUE"""),FALSE)</f>
        <v>0</v>
      </c>
      <c r="AI1665" s="32"/>
      <c r="AJ1665" s="32"/>
      <c r="AK1665" s="32"/>
      <c r="AL1665" s="32"/>
      <c r="AM1665" s="32"/>
      <c r="AN1665" s="32"/>
      <c r="AO1665" s="32"/>
      <c r="AP1665" s="32"/>
      <c r="AQ1665" s="32"/>
      <c r="AR1665" s="32"/>
      <c r="AS1665" s="32"/>
      <c r="AT1665" s="32"/>
      <c r="AU1665" s="32"/>
      <c r="AV1665" s="32"/>
      <c r="AW1665" s="32"/>
      <c r="AX1665" s="32"/>
    </row>
    <row r="1666">
      <c r="A1666" s="32"/>
      <c r="B1666" s="32"/>
      <c r="C1666" s="32"/>
      <c r="D1666" s="32"/>
      <c r="E1666" s="32">
        <f>IFERROR(__xludf.DUMMYFUNCTION("""COMPUTED_VALUE"""),1.0)</f>
        <v>1</v>
      </c>
      <c r="F1666" s="44">
        <f>IFERROR(__xludf.DUMMYFUNCTION("""COMPUTED_VALUE"""),0.0)</f>
        <v>0</v>
      </c>
      <c r="G1666" s="32"/>
      <c r="H1666" s="32"/>
      <c r="I1666" s="32"/>
      <c r="J1666" s="32"/>
      <c r="K1666" s="32"/>
      <c r="L1666" s="32"/>
      <c r="M1666" s="32"/>
      <c r="N1666" s="32"/>
      <c r="O1666" s="32"/>
      <c r="P1666" s="32"/>
      <c r="Q1666" s="32"/>
      <c r="R1666" s="32"/>
      <c r="S1666" s="32"/>
      <c r="T1666" s="32"/>
      <c r="U1666" s="32"/>
      <c r="V1666" s="32"/>
      <c r="W1666" s="32"/>
      <c r="X1666" s="32"/>
      <c r="Y1666" s="32"/>
      <c r="Z1666" s="32"/>
      <c r="AA1666" s="32"/>
      <c r="AB1666" s="32"/>
      <c r="AC1666" s="32"/>
      <c r="AD1666" s="32"/>
      <c r="AE1666" s="32"/>
      <c r="AF1666" s="32"/>
      <c r="AG1666" s="32"/>
      <c r="AH1666" s="32" t="b">
        <f>IFERROR(__xludf.DUMMYFUNCTION("""COMPUTED_VALUE"""),FALSE)</f>
        <v>0</v>
      </c>
      <c r="AI1666" s="32"/>
      <c r="AJ1666" s="32"/>
      <c r="AK1666" s="32"/>
      <c r="AL1666" s="32"/>
      <c r="AM1666" s="32"/>
      <c r="AN1666" s="32"/>
      <c r="AO1666" s="32"/>
      <c r="AP1666" s="32"/>
      <c r="AQ1666" s="32"/>
      <c r="AR1666" s="32"/>
      <c r="AS1666" s="32"/>
      <c r="AT1666" s="32"/>
      <c r="AU1666" s="32"/>
      <c r="AV1666" s="32"/>
      <c r="AW1666" s="32"/>
      <c r="AX1666" s="32"/>
    </row>
    <row r="1667">
      <c r="A1667" s="32"/>
      <c r="B1667" s="32"/>
      <c r="C1667" s="32"/>
      <c r="D1667" s="32"/>
      <c r="E1667" s="32">
        <f>IFERROR(__xludf.DUMMYFUNCTION("""COMPUTED_VALUE"""),1.0)</f>
        <v>1</v>
      </c>
      <c r="F1667" s="44">
        <f>IFERROR(__xludf.DUMMYFUNCTION("""COMPUTED_VALUE"""),0.0)</f>
        <v>0</v>
      </c>
      <c r="G1667" s="32"/>
      <c r="H1667" s="32"/>
      <c r="I1667" s="32"/>
      <c r="J1667" s="32"/>
      <c r="K1667" s="32"/>
      <c r="L1667" s="32"/>
      <c r="M1667" s="32"/>
      <c r="N1667" s="32"/>
      <c r="O1667" s="32"/>
      <c r="P1667" s="32"/>
      <c r="Q1667" s="32"/>
      <c r="R1667" s="32"/>
      <c r="S1667" s="32"/>
      <c r="T1667" s="32"/>
      <c r="U1667" s="32"/>
      <c r="V1667" s="32"/>
      <c r="W1667" s="32"/>
      <c r="X1667" s="32"/>
      <c r="Y1667" s="32"/>
      <c r="Z1667" s="32"/>
      <c r="AA1667" s="32"/>
      <c r="AB1667" s="32"/>
      <c r="AC1667" s="32"/>
      <c r="AD1667" s="32"/>
      <c r="AE1667" s="32"/>
      <c r="AF1667" s="32"/>
      <c r="AG1667" s="32"/>
      <c r="AH1667" s="32" t="b">
        <f>IFERROR(__xludf.DUMMYFUNCTION("""COMPUTED_VALUE"""),FALSE)</f>
        <v>0</v>
      </c>
      <c r="AI1667" s="32"/>
      <c r="AJ1667" s="32"/>
      <c r="AK1667" s="32"/>
      <c r="AL1667" s="32"/>
      <c r="AM1667" s="32"/>
      <c r="AN1667" s="32"/>
      <c r="AO1667" s="32"/>
      <c r="AP1667" s="32"/>
      <c r="AQ1667" s="32"/>
      <c r="AR1667" s="32"/>
      <c r="AS1667" s="32"/>
      <c r="AT1667" s="32"/>
      <c r="AU1667" s="32"/>
      <c r="AV1667" s="32"/>
      <c r="AW1667" s="32"/>
      <c r="AX1667" s="32"/>
    </row>
    <row r="1668">
      <c r="A1668" s="32"/>
      <c r="B1668" s="32"/>
      <c r="C1668" s="32"/>
      <c r="D1668" s="32"/>
      <c r="E1668" s="32">
        <f>IFERROR(__xludf.DUMMYFUNCTION("""COMPUTED_VALUE"""),1.0)</f>
        <v>1</v>
      </c>
      <c r="F1668" s="44">
        <f>IFERROR(__xludf.DUMMYFUNCTION("""COMPUTED_VALUE"""),0.0)</f>
        <v>0</v>
      </c>
      <c r="G1668" s="32"/>
      <c r="H1668" s="32"/>
      <c r="I1668" s="32"/>
      <c r="J1668" s="32"/>
      <c r="K1668" s="32"/>
      <c r="L1668" s="32"/>
      <c r="M1668" s="32"/>
      <c r="N1668" s="32"/>
      <c r="O1668" s="32"/>
      <c r="P1668" s="32"/>
      <c r="Q1668" s="32"/>
      <c r="R1668" s="32"/>
      <c r="S1668" s="32"/>
      <c r="T1668" s="32"/>
      <c r="U1668" s="32"/>
      <c r="V1668" s="32"/>
      <c r="W1668" s="32"/>
      <c r="X1668" s="32"/>
      <c r="Y1668" s="32"/>
      <c r="Z1668" s="32"/>
      <c r="AA1668" s="32"/>
      <c r="AB1668" s="32"/>
      <c r="AC1668" s="32"/>
      <c r="AD1668" s="32"/>
      <c r="AE1668" s="32"/>
      <c r="AF1668" s="32"/>
      <c r="AG1668" s="32"/>
      <c r="AH1668" s="32" t="b">
        <f>IFERROR(__xludf.DUMMYFUNCTION("""COMPUTED_VALUE"""),FALSE)</f>
        <v>0</v>
      </c>
      <c r="AI1668" s="32"/>
      <c r="AJ1668" s="32"/>
      <c r="AK1668" s="32"/>
      <c r="AL1668" s="32"/>
      <c r="AM1668" s="32"/>
      <c r="AN1668" s="32"/>
      <c r="AO1668" s="32"/>
      <c r="AP1668" s="32"/>
      <c r="AQ1668" s="32"/>
      <c r="AR1668" s="32"/>
      <c r="AS1668" s="32"/>
      <c r="AT1668" s="32"/>
      <c r="AU1668" s="32"/>
      <c r="AV1668" s="32"/>
      <c r="AW1668" s="32"/>
      <c r="AX1668" s="32"/>
    </row>
    <row r="1669">
      <c r="A1669" s="32"/>
      <c r="B1669" s="32"/>
      <c r="C1669" s="32"/>
      <c r="D1669" s="32"/>
      <c r="E1669" s="32">
        <f>IFERROR(__xludf.DUMMYFUNCTION("""COMPUTED_VALUE"""),1.0)</f>
        <v>1</v>
      </c>
      <c r="F1669" s="44">
        <f>IFERROR(__xludf.DUMMYFUNCTION("""COMPUTED_VALUE"""),0.0)</f>
        <v>0</v>
      </c>
      <c r="G1669" s="32"/>
      <c r="H1669" s="32"/>
      <c r="I1669" s="32"/>
      <c r="J1669" s="32"/>
      <c r="K1669" s="32"/>
      <c r="L1669" s="32"/>
      <c r="M1669" s="32"/>
      <c r="N1669" s="32"/>
      <c r="O1669" s="32"/>
      <c r="P1669" s="32"/>
      <c r="Q1669" s="32"/>
      <c r="R1669" s="32"/>
      <c r="S1669" s="32"/>
      <c r="T1669" s="32"/>
      <c r="U1669" s="32"/>
      <c r="V1669" s="32"/>
      <c r="W1669" s="32"/>
      <c r="X1669" s="32"/>
      <c r="Y1669" s="32"/>
      <c r="Z1669" s="32"/>
      <c r="AA1669" s="32"/>
      <c r="AB1669" s="32"/>
      <c r="AC1669" s="32"/>
      <c r="AD1669" s="32"/>
      <c r="AE1669" s="32"/>
      <c r="AF1669" s="32"/>
      <c r="AG1669" s="32"/>
      <c r="AH1669" s="32" t="b">
        <f>IFERROR(__xludf.DUMMYFUNCTION("""COMPUTED_VALUE"""),FALSE)</f>
        <v>0</v>
      </c>
      <c r="AI1669" s="32"/>
      <c r="AJ1669" s="32"/>
      <c r="AK1669" s="32"/>
      <c r="AL1669" s="32"/>
      <c r="AM1669" s="32"/>
      <c r="AN1669" s="32"/>
      <c r="AO1669" s="32"/>
      <c r="AP1669" s="32"/>
      <c r="AQ1669" s="32"/>
      <c r="AR1669" s="32"/>
      <c r="AS1669" s="32"/>
      <c r="AT1669" s="32"/>
      <c r="AU1669" s="32"/>
      <c r="AV1669" s="32"/>
      <c r="AW1669" s="32"/>
      <c r="AX1669" s="32"/>
    </row>
    <row r="1670">
      <c r="A1670" s="32"/>
      <c r="B1670" s="32"/>
      <c r="C1670" s="32"/>
      <c r="D1670" s="32"/>
      <c r="E1670" s="32">
        <f>IFERROR(__xludf.DUMMYFUNCTION("""COMPUTED_VALUE"""),1.0)</f>
        <v>1</v>
      </c>
      <c r="F1670" s="44">
        <f>IFERROR(__xludf.DUMMYFUNCTION("""COMPUTED_VALUE"""),0.0)</f>
        <v>0</v>
      </c>
      <c r="G1670" s="32"/>
      <c r="H1670" s="32"/>
      <c r="I1670" s="32"/>
      <c r="J1670" s="32"/>
      <c r="K1670" s="32"/>
      <c r="L1670" s="32"/>
      <c r="M1670" s="32"/>
      <c r="N1670" s="32"/>
      <c r="O1670" s="32"/>
      <c r="P1670" s="32"/>
      <c r="Q1670" s="32"/>
      <c r="R1670" s="32"/>
      <c r="S1670" s="32"/>
      <c r="T1670" s="32"/>
      <c r="U1670" s="32"/>
      <c r="V1670" s="32"/>
      <c r="W1670" s="32"/>
      <c r="X1670" s="32"/>
      <c r="Y1670" s="32"/>
      <c r="Z1670" s="32"/>
      <c r="AA1670" s="32"/>
      <c r="AB1670" s="32"/>
      <c r="AC1670" s="32"/>
      <c r="AD1670" s="32"/>
      <c r="AE1670" s="32"/>
      <c r="AF1670" s="32"/>
      <c r="AG1670" s="32"/>
      <c r="AH1670" s="32" t="b">
        <f>IFERROR(__xludf.DUMMYFUNCTION("""COMPUTED_VALUE"""),FALSE)</f>
        <v>0</v>
      </c>
      <c r="AI1670" s="32"/>
      <c r="AJ1670" s="32"/>
      <c r="AK1670" s="32"/>
      <c r="AL1670" s="32"/>
      <c r="AM1670" s="32"/>
      <c r="AN1670" s="32"/>
      <c r="AO1670" s="32"/>
      <c r="AP1670" s="32"/>
      <c r="AQ1670" s="32"/>
      <c r="AR1670" s="32"/>
      <c r="AS1670" s="32"/>
      <c r="AT1670" s="32"/>
      <c r="AU1670" s="32"/>
      <c r="AV1670" s="32"/>
      <c r="AW1670" s="32"/>
      <c r="AX1670" s="32"/>
    </row>
    <row r="1671">
      <c r="A1671" s="32"/>
      <c r="B1671" s="32"/>
      <c r="C1671" s="32"/>
      <c r="D1671" s="32"/>
      <c r="E1671" s="32">
        <f>IFERROR(__xludf.DUMMYFUNCTION("""COMPUTED_VALUE"""),1.0)</f>
        <v>1</v>
      </c>
      <c r="F1671" s="44">
        <f>IFERROR(__xludf.DUMMYFUNCTION("""COMPUTED_VALUE"""),0.0)</f>
        <v>0</v>
      </c>
      <c r="G1671" s="32"/>
      <c r="H1671" s="32"/>
      <c r="I1671" s="32"/>
      <c r="J1671" s="32"/>
      <c r="K1671" s="32"/>
      <c r="L1671" s="32"/>
      <c r="M1671" s="32"/>
      <c r="N1671" s="32"/>
      <c r="O1671" s="32"/>
      <c r="P1671" s="32"/>
      <c r="Q1671" s="32"/>
      <c r="R1671" s="32"/>
      <c r="S1671" s="32"/>
      <c r="T1671" s="32"/>
      <c r="U1671" s="32"/>
      <c r="V1671" s="32"/>
      <c r="W1671" s="32"/>
      <c r="X1671" s="32"/>
      <c r="Y1671" s="32"/>
      <c r="Z1671" s="32"/>
      <c r="AA1671" s="32"/>
      <c r="AB1671" s="32"/>
      <c r="AC1671" s="32"/>
      <c r="AD1671" s="32"/>
      <c r="AE1671" s="32"/>
      <c r="AF1671" s="32"/>
      <c r="AG1671" s="32"/>
      <c r="AH1671" s="32" t="b">
        <f>IFERROR(__xludf.DUMMYFUNCTION("""COMPUTED_VALUE"""),FALSE)</f>
        <v>0</v>
      </c>
      <c r="AI1671" s="32"/>
      <c r="AJ1671" s="32"/>
      <c r="AK1671" s="32"/>
      <c r="AL1671" s="32"/>
      <c r="AM1671" s="32"/>
      <c r="AN1671" s="32"/>
      <c r="AO1671" s="32"/>
      <c r="AP1671" s="32"/>
      <c r="AQ1671" s="32"/>
      <c r="AR1671" s="32"/>
      <c r="AS1671" s="32"/>
      <c r="AT1671" s="32"/>
      <c r="AU1671" s="32"/>
      <c r="AV1671" s="32"/>
      <c r="AW1671" s="32"/>
      <c r="AX1671" s="32"/>
    </row>
    <row r="1672">
      <c r="A1672" s="32"/>
      <c r="B1672" s="32"/>
      <c r="C1672" s="32"/>
      <c r="D1672" s="32"/>
      <c r="E1672" s="32">
        <f>IFERROR(__xludf.DUMMYFUNCTION("""COMPUTED_VALUE"""),1.0)</f>
        <v>1</v>
      </c>
      <c r="F1672" s="44">
        <f>IFERROR(__xludf.DUMMYFUNCTION("""COMPUTED_VALUE"""),0.0)</f>
        <v>0</v>
      </c>
      <c r="G1672" s="32"/>
      <c r="H1672" s="32"/>
      <c r="I1672" s="32"/>
      <c r="J1672" s="32"/>
      <c r="K1672" s="32"/>
      <c r="L1672" s="32"/>
      <c r="M1672" s="32"/>
      <c r="N1672" s="32"/>
      <c r="O1672" s="32"/>
      <c r="P1672" s="32"/>
      <c r="Q1672" s="32"/>
      <c r="R1672" s="32"/>
      <c r="S1672" s="32"/>
      <c r="T1672" s="32"/>
      <c r="U1672" s="32"/>
      <c r="V1672" s="32"/>
      <c r="W1672" s="32"/>
      <c r="X1672" s="32"/>
      <c r="Y1672" s="32"/>
      <c r="Z1672" s="32"/>
      <c r="AA1672" s="32"/>
      <c r="AB1672" s="32"/>
      <c r="AC1672" s="32"/>
      <c r="AD1672" s="32"/>
      <c r="AE1672" s="32"/>
      <c r="AF1672" s="32"/>
      <c r="AG1672" s="32"/>
      <c r="AH1672" s="32" t="b">
        <f>IFERROR(__xludf.DUMMYFUNCTION("""COMPUTED_VALUE"""),FALSE)</f>
        <v>0</v>
      </c>
      <c r="AI1672" s="32"/>
      <c r="AJ1672" s="32"/>
      <c r="AK1672" s="32"/>
      <c r="AL1672" s="32"/>
      <c r="AM1672" s="32"/>
      <c r="AN1672" s="32"/>
      <c r="AO1672" s="32"/>
      <c r="AP1672" s="32"/>
      <c r="AQ1672" s="32"/>
      <c r="AR1672" s="32"/>
      <c r="AS1672" s="32"/>
      <c r="AT1672" s="32"/>
      <c r="AU1672" s="32"/>
      <c r="AV1672" s="32"/>
      <c r="AW1672" s="32"/>
      <c r="AX1672" s="32"/>
    </row>
    <row r="1673">
      <c r="A1673" s="32"/>
      <c r="B1673" s="32"/>
      <c r="C1673" s="32"/>
      <c r="D1673" s="32"/>
      <c r="E1673" s="32">
        <f>IFERROR(__xludf.DUMMYFUNCTION("""COMPUTED_VALUE"""),1.0)</f>
        <v>1</v>
      </c>
      <c r="F1673" s="44">
        <f>IFERROR(__xludf.DUMMYFUNCTION("""COMPUTED_VALUE"""),0.0)</f>
        <v>0</v>
      </c>
      <c r="G1673" s="32"/>
      <c r="H1673" s="32"/>
      <c r="I1673" s="32"/>
      <c r="J1673" s="32"/>
      <c r="K1673" s="32"/>
      <c r="L1673" s="32"/>
      <c r="M1673" s="32"/>
      <c r="N1673" s="32"/>
      <c r="O1673" s="32"/>
      <c r="P1673" s="32"/>
      <c r="Q1673" s="32"/>
      <c r="R1673" s="32"/>
      <c r="S1673" s="32"/>
      <c r="T1673" s="32"/>
      <c r="U1673" s="32"/>
      <c r="V1673" s="32"/>
      <c r="W1673" s="32"/>
      <c r="X1673" s="32"/>
      <c r="Y1673" s="32"/>
      <c r="Z1673" s="32"/>
      <c r="AA1673" s="32"/>
      <c r="AB1673" s="32"/>
      <c r="AC1673" s="32"/>
      <c r="AD1673" s="32"/>
      <c r="AE1673" s="32"/>
      <c r="AF1673" s="32"/>
      <c r="AG1673" s="32"/>
      <c r="AH1673" s="32" t="b">
        <f>IFERROR(__xludf.DUMMYFUNCTION("""COMPUTED_VALUE"""),FALSE)</f>
        <v>0</v>
      </c>
      <c r="AI1673" s="32"/>
      <c r="AJ1673" s="32"/>
      <c r="AK1673" s="32"/>
      <c r="AL1673" s="32"/>
      <c r="AM1673" s="32"/>
      <c r="AN1673" s="32"/>
      <c r="AO1673" s="32"/>
      <c r="AP1673" s="32"/>
      <c r="AQ1673" s="32"/>
      <c r="AR1673" s="32"/>
      <c r="AS1673" s="32"/>
      <c r="AT1673" s="32"/>
      <c r="AU1673" s="32"/>
      <c r="AV1673" s="32"/>
      <c r="AW1673" s="32"/>
      <c r="AX1673" s="32"/>
    </row>
    <row r="1674">
      <c r="A1674" s="32"/>
      <c r="B1674" s="32"/>
      <c r="C1674" s="32"/>
      <c r="D1674" s="32"/>
      <c r="E1674" s="32">
        <f>IFERROR(__xludf.DUMMYFUNCTION("""COMPUTED_VALUE"""),1.0)</f>
        <v>1</v>
      </c>
      <c r="F1674" s="44">
        <f>IFERROR(__xludf.DUMMYFUNCTION("""COMPUTED_VALUE"""),0.0)</f>
        <v>0</v>
      </c>
      <c r="G1674" s="32"/>
      <c r="H1674" s="32"/>
      <c r="I1674" s="32"/>
      <c r="J1674" s="32"/>
      <c r="K1674" s="32"/>
      <c r="L1674" s="32"/>
      <c r="M1674" s="32"/>
      <c r="N1674" s="32"/>
      <c r="O1674" s="32"/>
      <c r="P1674" s="32"/>
      <c r="Q1674" s="32"/>
      <c r="R1674" s="32"/>
      <c r="S1674" s="32"/>
      <c r="T1674" s="32"/>
      <c r="U1674" s="32"/>
      <c r="V1674" s="32"/>
      <c r="W1674" s="32"/>
      <c r="X1674" s="32"/>
      <c r="Y1674" s="32"/>
      <c r="Z1674" s="32"/>
      <c r="AA1674" s="32"/>
      <c r="AB1674" s="32"/>
      <c r="AC1674" s="32"/>
      <c r="AD1674" s="32"/>
      <c r="AE1674" s="32"/>
      <c r="AF1674" s="32"/>
      <c r="AG1674" s="32"/>
      <c r="AH1674" s="32" t="b">
        <f>IFERROR(__xludf.DUMMYFUNCTION("""COMPUTED_VALUE"""),FALSE)</f>
        <v>0</v>
      </c>
      <c r="AI1674" s="32"/>
      <c r="AJ1674" s="32"/>
      <c r="AK1674" s="32"/>
      <c r="AL1674" s="32"/>
      <c r="AM1674" s="32"/>
      <c r="AN1674" s="32"/>
      <c r="AO1674" s="32"/>
      <c r="AP1674" s="32"/>
      <c r="AQ1674" s="32"/>
      <c r="AR1674" s="32"/>
      <c r="AS1674" s="32"/>
      <c r="AT1674" s="32"/>
      <c r="AU1674" s="32"/>
      <c r="AV1674" s="32"/>
      <c r="AW1674" s="32"/>
      <c r="AX1674" s="32"/>
    </row>
    <row r="1675">
      <c r="A1675" s="32"/>
      <c r="B1675" s="32"/>
      <c r="C1675" s="32"/>
      <c r="D1675" s="32"/>
      <c r="E1675" s="32">
        <f>IFERROR(__xludf.DUMMYFUNCTION("""COMPUTED_VALUE"""),1.0)</f>
        <v>1</v>
      </c>
      <c r="F1675" s="44">
        <f>IFERROR(__xludf.DUMMYFUNCTION("""COMPUTED_VALUE"""),0.0)</f>
        <v>0</v>
      </c>
      <c r="G1675" s="32"/>
      <c r="H1675" s="32"/>
      <c r="I1675" s="32"/>
      <c r="J1675" s="32"/>
      <c r="K1675" s="32"/>
      <c r="L1675" s="32"/>
      <c r="M1675" s="32"/>
      <c r="N1675" s="32"/>
      <c r="O1675" s="32"/>
      <c r="P1675" s="32"/>
      <c r="Q1675" s="32"/>
      <c r="R1675" s="32"/>
      <c r="S1675" s="32"/>
      <c r="T1675" s="32"/>
      <c r="U1675" s="32"/>
      <c r="V1675" s="32"/>
      <c r="W1675" s="32"/>
      <c r="X1675" s="32"/>
      <c r="Y1675" s="32"/>
      <c r="Z1675" s="32"/>
      <c r="AA1675" s="32"/>
      <c r="AB1675" s="32"/>
      <c r="AC1675" s="32"/>
      <c r="AD1675" s="32"/>
      <c r="AE1675" s="32"/>
      <c r="AF1675" s="32"/>
      <c r="AG1675" s="32"/>
      <c r="AH1675" s="32" t="b">
        <f>IFERROR(__xludf.DUMMYFUNCTION("""COMPUTED_VALUE"""),FALSE)</f>
        <v>0</v>
      </c>
      <c r="AI1675" s="32"/>
      <c r="AJ1675" s="32"/>
      <c r="AK1675" s="32"/>
      <c r="AL1675" s="32"/>
      <c r="AM1675" s="32"/>
      <c r="AN1675" s="32"/>
      <c r="AO1675" s="32"/>
      <c r="AP1675" s="32"/>
      <c r="AQ1675" s="32"/>
      <c r="AR1675" s="32"/>
      <c r="AS1675" s="32"/>
      <c r="AT1675" s="32"/>
      <c r="AU1675" s="32"/>
      <c r="AV1675" s="32"/>
      <c r="AW1675" s="32"/>
      <c r="AX1675" s="32"/>
    </row>
    <row r="1676">
      <c r="A1676" s="32"/>
      <c r="B1676" s="32"/>
      <c r="C1676" s="32"/>
      <c r="D1676" s="32"/>
      <c r="E1676" s="32">
        <f>IFERROR(__xludf.DUMMYFUNCTION("""COMPUTED_VALUE"""),1.0)</f>
        <v>1</v>
      </c>
      <c r="F1676" s="44">
        <f>IFERROR(__xludf.DUMMYFUNCTION("""COMPUTED_VALUE"""),0.0)</f>
        <v>0</v>
      </c>
      <c r="G1676" s="32"/>
      <c r="H1676" s="32"/>
      <c r="I1676" s="32"/>
      <c r="J1676" s="32"/>
      <c r="K1676" s="32"/>
      <c r="L1676" s="32"/>
      <c r="M1676" s="32"/>
      <c r="N1676" s="32"/>
      <c r="O1676" s="32"/>
      <c r="P1676" s="32"/>
      <c r="Q1676" s="32"/>
      <c r="R1676" s="32"/>
      <c r="S1676" s="32"/>
      <c r="T1676" s="32"/>
      <c r="U1676" s="32"/>
      <c r="V1676" s="32"/>
      <c r="W1676" s="32"/>
      <c r="X1676" s="32"/>
      <c r="Y1676" s="32"/>
      <c r="Z1676" s="32"/>
      <c r="AA1676" s="32"/>
      <c r="AB1676" s="32"/>
      <c r="AC1676" s="32"/>
      <c r="AD1676" s="32"/>
      <c r="AE1676" s="32"/>
      <c r="AF1676" s="32"/>
      <c r="AG1676" s="32"/>
      <c r="AH1676" s="32" t="b">
        <f>IFERROR(__xludf.DUMMYFUNCTION("""COMPUTED_VALUE"""),FALSE)</f>
        <v>0</v>
      </c>
      <c r="AI1676" s="32"/>
      <c r="AJ1676" s="32"/>
      <c r="AK1676" s="32"/>
      <c r="AL1676" s="32"/>
      <c r="AM1676" s="32"/>
      <c r="AN1676" s="32"/>
      <c r="AO1676" s="32"/>
      <c r="AP1676" s="32"/>
      <c r="AQ1676" s="32"/>
      <c r="AR1676" s="32"/>
      <c r="AS1676" s="32"/>
      <c r="AT1676" s="32"/>
      <c r="AU1676" s="32"/>
      <c r="AV1676" s="32"/>
      <c r="AW1676" s="32"/>
      <c r="AX1676" s="32"/>
    </row>
    <row r="1677">
      <c r="A1677" s="32"/>
      <c r="B1677" s="32"/>
      <c r="C1677" s="32"/>
      <c r="D1677" s="32"/>
      <c r="E1677" s="32">
        <f>IFERROR(__xludf.DUMMYFUNCTION("""COMPUTED_VALUE"""),1.0)</f>
        <v>1</v>
      </c>
      <c r="F1677" s="44">
        <f>IFERROR(__xludf.DUMMYFUNCTION("""COMPUTED_VALUE"""),0.0)</f>
        <v>0</v>
      </c>
      <c r="G1677" s="32"/>
      <c r="H1677" s="32"/>
      <c r="I1677" s="32"/>
      <c r="J1677" s="32"/>
      <c r="K1677" s="32"/>
      <c r="L1677" s="32"/>
      <c r="M1677" s="32"/>
      <c r="N1677" s="32"/>
      <c r="O1677" s="32"/>
      <c r="P1677" s="32"/>
      <c r="Q1677" s="32"/>
      <c r="R1677" s="32"/>
      <c r="S1677" s="32"/>
      <c r="T1677" s="32"/>
      <c r="U1677" s="32"/>
      <c r="V1677" s="32"/>
      <c r="W1677" s="32"/>
      <c r="X1677" s="32"/>
      <c r="Y1677" s="32"/>
      <c r="Z1677" s="32"/>
      <c r="AA1677" s="32"/>
      <c r="AB1677" s="32"/>
      <c r="AC1677" s="32"/>
      <c r="AD1677" s="32"/>
      <c r="AE1677" s="32"/>
      <c r="AF1677" s="32"/>
      <c r="AG1677" s="32"/>
      <c r="AH1677" s="32" t="b">
        <f>IFERROR(__xludf.DUMMYFUNCTION("""COMPUTED_VALUE"""),FALSE)</f>
        <v>0</v>
      </c>
      <c r="AI1677" s="32"/>
      <c r="AJ1677" s="32"/>
      <c r="AK1677" s="32"/>
      <c r="AL1677" s="32"/>
      <c r="AM1677" s="32"/>
      <c r="AN1677" s="32"/>
      <c r="AO1677" s="32"/>
      <c r="AP1677" s="32"/>
      <c r="AQ1677" s="32"/>
      <c r="AR1677" s="32"/>
      <c r="AS1677" s="32"/>
      <c r="AT1677" s="32"/>
      <c r="AU1677" s="32"/>
      <c r="AV1677" s="32"/>
      <c r="AW1677" s="32"/>
      <c r="AX1677" s="32"/>
    </row>
    <row r="1678">
      <c r="A1678" s="32"/>
      <c r="B1678" s="32"/>
      <c r="C1678" s="32"/>
      <c r="D1678" s="32"/>
      <c r="E1678" s="32">
        <f>IFERROR(__xludf.DUMMYFUNCTION("""COMPUTED_VALUE"""),1.0)</f>
        <v>1</v>
      </c>
      <c r="F1678" s="44">
        <f>IFERROR(__xludf.DUMMYFUNCTION("""COMPUTED_VALUE"""),0.0)</f>
        <v>0</v>
      </c>
      <c r="G1678" s="32"/>
      <c r="H1678" s="32"/>
      <c r="I1678" s="32"/>
      <c r="J1678" s="32"/>
      <c r="K1678" s="32"/>
      <c r="L1678" s="32"/>
      <c r="M1678" s="32"/>
      <c r="N1678" s="32"/>
      <c r="O1678" s="32"/>
      <c r="P1678" s="32"/>
      <c r="Q1678" s="32"/>
      <c r="R1678" s="32"/>
      <c r="S1678" s="32"/>
      <c r="T1678" s="32"/>
      <c r="U1678" s="32"/>
      <c r="V1678" s="32"/>
      <c r="W1678" s="32"/>
      <c r="X1678" s="32"/>
      <c r="Y1678" s="32"/>
      <c r="Z1678" s="32"/>
      <c r="AA1678" s="32"/>
      <c r="AB1678" s="32"/>
      <c r="AC1678" s="32"/>
      <c r="AD1678" s="32"/>
      <c r="AE1678" s="32"/>
      <c r="AF1678" s="32"/>
      <c r="AG1678" s="32"/>
      <c r="AH1678" s="32" t="b">
        <f>IFERROR(__xludf.DUMMYFUNCTION("""COMPUTED_VALUE"""),FALSE)</f>
        <v>0</v>
      </c>
      <c r="AI1678" s="32"/>
      <c r="AJ1678" s="32"/>
      <c r="AK1678" s="32"/>
      <c r="AL1678" s="32"/>
      <c r="AM1678" s="32"/>
      <c r="AN1678" s="32"/>
      <c r="AO1678" s="32"/>
      <c r="AP1678" s="32"/>
      <c r="AQ1678" s="32"/>
      <c r="AR1678" s="32"/>
      <c r="AS1678" s="32"/>
      <c r="AT1678" s="32"/>
      <c r="AU1678" s="32"/>
      <c r="AV1678" s="32"/>
      <c r="AW1678" s="32"/>
      <c r="AX1678" s="32"/>
    </row>
    <row r="1679">
      <c r="A1679" s="32"/>
      <c r="B1679" s="32"/>
      <c r="C1679" s="32"/>
      <c r="D1679" s="32"/>
      <c r="E1679" s="32">
        <f>IFERROR(__xludf.DUMMYFUNCTION("""COMPUTED_VALUE"""),1.0)</f>
        <v>1</v>
      </c>
      <c r="F1679" s="44">
        <f>IFERROR(__xludf.DUMMYFUNCTION("""COMPUTED_VALUE"""),0.0)</f>
        <v>0</v>
      </c>
      <c r="G1679" s="32"/>
      <c r="H1679" s="32"/>
      <c r="I1679" s="32"/>
      <c r="J1679" s="32"/>
      <c r="K1679" s="32"/>
      <c r="L1679" s="32"/>
      <c r="M1679" s="32"/>
      <c r="N1679" s="32"/>
      <c r="O1679" s="32"/>
      <c r="P1679" s="32"/>
      <c r="Q1679" s="32"/>
      <c r="R1679" s="32"/>
      <c r="S1679" s="32"/>
      <c r="T1679" s="32"/>
      <c r="U1679" s="32"/>
      <c r="V1679" s="32"/>
      <c r="W1679" s="32"/>
      <c r="X1679" s="32"/>
      <c r="Y1679" s="32"/>
      <c r="Z1679" s="32"/>
      <c r="AA1679" s="32"/>
      <c r="AB1679" s="32"/>
      <c r="AC1679" s="32"/>
      <c r="AD1679" s="32"/>
      <c r="AE1679" s="32"/>
      <c r="AF1679" s="32"/>
      <c r="AG1679" s="32"/>
      <c r="AH1679" s="32" t="b">
        <f>IFERROR(__xludf.DUMMYFUNCTION("""COMPUTED_VALUE"""),FALSE)</f>
        <v>0</v>
      </c>
      <c r="AI1679" s="32"/>
      <c r="AJ1679" s="32"/>
      <c r="AK1679" s="32"/>
      <c r="AL1679" s="32"/>
      <c r="AM1679" s="32"/>
      <c r="AN1679" s="32"/>
      <c r="AO1679" s="32"/>
      <c r="AP1679" s="32"/>
      <c r="AQ1679" s="32"/>
      <c r="AR1679" s="32"/>
      <c r="AS1679" s="32"/>
      <c r="AT1679" s="32"/>
      <c r="AU1679" s="32"/>
      <c r="AV1679" s="32"/>
      <c r="AW1679" s="32"/>
      <c r="AX1679" s="32"/>
    </row>
    <row r="1680">
      <c r="A1680" s="32"/>
      <c r="B1680" s="32"/>
      <c r="C1680" s="32"/>
      <c r="D1680" s="32"/>
      <c r="E1680" s="32">
        <f>IFERROR(__xludf.DUMMYFUNCTION("""COMPUTED_VALUE"""),1.0)</f>
        <v>1</v>
      </c>
      <c r="F1680" s="44">
        <f>IFERROR(__xludf.DUMMYFUNCTION("""COMPUTED_VALUE"""),0.0)</f>
        <v>0</v>
      </c>
      <c r="G1680" s="32"/>
      <c r="H1680" s="32"/>
      <c r="I1680" s="32"/>
      <c r="J1680" s="32"/>
      <c r="K1680" s="32"/>
      <c r="L1680" s="32"/>
      <c r="M1680" s="32"/>
      <c r="N1680" s="32"/>
      <c r="O1680" s="32"/>
      <c r="P1680" s="32"/>
      <c r="Q1680" s="32"/>
      <c r="R1680" s="32"/>
      <c r="S1680" s="32"/>
      <c r="T1680" s="32"/>
      <c r="U1680" s="32"/>
      <c r="V1680" s="32"/>
      <c r="W1680" s="32"/>
      <c r="X1680" s="32"/>
      <c r="Y1680" s="32"/>
      <c r="Z1680" s="32"/>
      <c r="AA1680" s="32"/>
      <c r="AB1680" s="32"/>
      <c r="AC1680" s="32"/>
      <c r="AD1680" s="32"/>
      <c r="AE1680" s="32"/>
      <c r="AF1680" s="32"/>
      <c r="AG1680" s="32"/>
      <c r="AH1680" s="32" t="b">
        <f>IFERROR(__xludf.DUMMYFUNCTION("""COMPUTED_VALUE"""),FALSE)</f>
        <v>0</v>
      </c>
      <c r="AI1680" s="32"/>
      <c r="AJ1680" s="32"/>
      <c r="AK1680" s="32"/>
      <c r="AL1680" s="32"/>
      <c r="AM1680" s="32"/>
      <c r="AN1680" s="32"/>
      <c r="AO1680" s="32"/>
      <c r="AP1680" s="32"/>
      <c r="AQ1680" s="32"/>
      <c r="AR1680" s="32"/>
      <c r="AS1680" s="32"/>
      <c r="AT1680" s="32"/>
      <c r="AU1680" s="32"/>
      <c r="AV1680" s="32"/>
      <c r="AW1680" s="32"/>
      <c r="AX1680" s="32"/>
    </row>
    <row r="1681">
      <c r="A1681" s="32"/>
      <c r="B1681" s="32"/>
      <c r="C1681" s="32"/>
      <c r="D1681" s="32"/>
      <c r="E1681" s="32">
        <f>IFERROR(__xludf.DUMMYFUNCTION("""COMPUTED_VALUE"""),1.0)</f>
        <v>1</v>
      </c>
      <c r="F1681" s="44">
        <f>IFERROR(__xludf.DUMMYFUNCTION("""COMPUTED_VALUE"""),0.0)</f>
        <v>0</v>
      </c>
      <c r="G1681" s="32"/>
      <c r="H1681" s="32"/>
      <c r="I1681" s="32"/>
      <c r="J1681" s="32"/>
      <c r="K1681" s="32"/>
      <c r="L1681" s="32"/>
      <c r="M1681" s="32"/>
      <c r="N1681" s="32"/>
      <c r="O1681" s="32"/>
      <c r="P1681" s="32"/>
      <c r="Q1681" s="32"/>
      <c r="R1681" s="32"/>
      <c r="S1681" s="32"/>
      <c r="T1681" s="32"/>
      <c r="U1681" s="32"/>
      <c r="V1681" s="32"/>
      <c r="W1681" s="32"/>
      <c r="X1681" s="32"/>
      <c r="Y1681" s="32"/>
      <c r="Z1681" s="32"/>
      <c r="AA1681" s="32"/>
      <c r="AB1681" s="32"/>
      <c r="AC1681" s="32"/>
      <c r="AD1681" s="32"/>
      <c r="AE1681" s="32"/>
      <c r="AF1681" s="32"/>
      <c r="AG1681" s="32"/>
      <c r="AH1681" s="32" t="b">
        <f>IFERROR(__xludf.DUMMYFUNCTION("""COMPUTED_VALUE"""),FALSE)</f>
        <v>0</v>
      </c>
      <c r="AI1681" s="32"/>
      <c r="AJ1681" s="32"/>
      <c r="AK1681" s="32"/>
      <c r="AL1681" s="32"/>
      <c r="AM1681" s="32"/>
      <c r="AN1681" s="32"/>
      <c r="AO1681" s="32"/>
      <c r="AP1681" s="32"/>
      <c r="AQ1681" s="32"/>
      <c r="AR1681" s="32"/>
      <c r="AS1681" s="32"/>
      <c r="AT1681" s="32"/>
      <c r="AU1681" s="32"/>
      <c r="AV1681" s="32"/>
      <c r="AW1681" s="32"/>
      <c r="AX1681" s="32"/>
    </row>
    <row r="1682">
      <c r="A1682" s="32"/>
      <c r="B1682" s="32"/>
      <c r="C1682" s="32"/>
      <c r="D1682" s="32"/>
      <c r="E1682" s="32">
        <f>IFERROR(__xludf.DUMMYFUNCTION("""COMPUTED_VALUE"""),1.0)</f>
        <v>1</v>
      </c>
      <c r="F1682" s="44">
        <f>IFERROR(__xludf.DUMMYFUNCTION("""COMPUTED_VALUE"""),0.0)</f>
        <v>0</v>
      </c>
      <c r="G1682" s="32"/>
      <c r="H1682" s="32"/>
      <c r="I1682" s="32"/>
      <c r="J1682" s="32"/>
      <c r="K1682" s="32"/>
      <c r="L1682" s="32"/>
      <c r="M1682" s="32"/>
      <c r="N1682" s="32"/>
      <c r="O1682" s="32"/>
      <c r="P1682" s="32"/>
      <c r="Q1682" s="32"/>
      <c r="R1682" s="32"/>
      <c r="S1682" s="32"/>
      <c r="T1682" s="32"/>
      <c r="U1682" s="32"/>
      <c r="V1682" s="32"/>
      <c r="W1682" s="32"/>
      <c r="X1682" s="32"/>
      <c r="Y1682" s="32"/>
      <c r="Z1682" s="32"/>
      <c r="AA1682" s="32"/>
      <c r="AB1682" s="32"/>
      <c r="AC1682" s="32"/>
      <c r="AD1682" s="32"/>
      <c r="AE1682" s="32"/>
      <c r="AF1682" s="32"/>
      <c r="AG1682" s="32"/>
      <c r="AH1682" s="32" t="b">
        <f>IFERROR(__xludf.DUMMYFUNCTION("""COMPUTED_VALUE"""),FALSE)</f>
        <v>0</v>
      </c>
      <c r="AI1682" s="32"/>
      <c r="AJ1682" s="32"/>
      <c r="AK1682" s="32"/>
      <c r="AL1682" s="32"/>
      <c r="AM1682" s="32"/>
      <c r="AN1682" s="32"/>
      <c r="AO1682" s="32"/>
      <c r="AP1682" s="32"/>
      <c r="AQ1682" s="32"/>
      <c r="AR1682" s="32"/>
      <c r="AS1682" s="32"/>
      <c r="AT1682" s="32"/>
      <c r="AU1682" s="32"/>
      <c r="AV1682" s="32"/>
      <c r="AW1682" s="32"/>
      <c r="AX1682" s="32"/>
    </row>
    <row r="1683">
      <c r="A1683" s="32"/>
      <c r="B1683" s="32"/>
      <c r="C1683" s="32"/>
      <c r="D1683" s="32"/>
      <c r="E1683" s="32">
        <f>IFERROR(__xludf.DUMMYFUNCTION("""COMPUTED_VALUE"""),1.0)</f>
        <v>1</v>
      </c>
      <c r="F1683" s="44">
        <f>IFERROR(__xludf.DUMMYFUNCTION("""COMPUTED_VALUE"""),0.0)</f>
        <v>0</v>
      </c>
      <c r="G1683" s="32"/>
      <c r="H1683" s="32"/>
      <c r="I1683" s="32"/>
      <c r="J1683" s="32"/>
      <c r="K1683" s="32"/>
      <c r="L1683" s="32"/>
      <c r="M1683" s="32"/>
      <c r="N1683" s="32"/>
      <c r="O1683" s="32"/>
      <c r="P1683" s="32"/>
      <c r="Q1683" s="32"/>
      <c r="R1683" s="32"/>
      <c r="S1683" s="32"/>
      <c r="T1683" s="32"/>
      <c r="U1683" s="32"/>
      <c r="V1683" s="32"/>
      <c r="W1683" s="32"/>
      <c r="X1683" s="32"/>
      <c r="Y1683" s="32"/>
      <c r="Z1683" s="32"/>
      <c r="AA1683" s="32"/>
      <c r="AB1683" s="32"/>
      <c r="AC1683" s="32"/>
      <c r="AD1683" s="32"/>
      <c r="AE1683" s="32"/>
      <c r="AF1683" s="32"/>
      <c r="AG1683" s="32"/>
      <c r="AH1683" s="32" t="b">
        <f>IFERROR(__xludf.DUMMYFUNCTION("""COMPUTED_VALUE"""),FALSE)</f>
        <v>0</v>
      </c>
      <c r="AI1683" s="32"/>
      <c r="AJ1683" s="32"/>
      <c r="AK1683" s="32"/>
      <c r="AL1683" s="32"/>
      <c r="AM1683" s="32"/>
      <c r="AN1683" s="32"/>
      <c r="AO1683" s="32"/>
      <c r="AP1683" s="32"/>
      <c r="AQ1683" s="32"/>
      <c r="AR1683" s="32"/>
      <c r="AS1683" s="32"/>
      <c r="AT1683" s="32"/>
      <c r="AU1683" s="32"/>
      <c r="AV1683" s="32"/>
      <c r="AW1683" s="32"/>
      <c r="AX1683" s="32"/>
    </row>
    <row r="1684">
      <c r="A1684" s="32"/>
      <c r="B1684" s="32"/>
      <c r="C1684" s="32"/>
      <c r="D1684" s="32"/>
      <c r="E1684" s="32">
        <f>IFERROR(__xludf.DUMMYFUNCTION("""COMPUTED_VALUE"""),1.0)</f>
        <v>1</v>
      </c>
      <c r="F1684" s="44">
        <f>IFERROR(__xludf.DUMMYFUNCTION("""COMPUTED_VALUE"""),0.0)</f>
        <v>0</v>
      </c>
      <c r="G1684" s="32"/>
      <c r="H1684" s="32"/>
      <c r="I1684" s="32"/>
      <c r="J1684" s="32"/>
      <c r="K1684" s="32"/>
      <c r="L1684" s="32"/>
      <c r="M1684" s="32"/>
      <c r="N1684" s="32"/>
      <c r="O1684" s="32"/>
      <c r="P1684" s="32"/>
      <c r="Q1684" s="32"/>
      <c r="R1684" s="32"/>
      <c r="S1684" s="32"/>
      <c r="T1684" s="32"/>
      <c r="U1684" s="32"/>
      <c r="V1684" s="32"/>
      <c r="W1684" s="32"/>
      <c r="X1684" s="32"/>
      <c r="Y1684" s="32"/>
      <c r="Z1684" s="32"/>
      <c r="AA1684" s="32"/>
      <c r="AB1684" s="32"/>
      <c r="AC1684" s="32"/>
      <c r="AD1684" s="32"/>
      <c r="AE1684" s="32"/>
      <c r="AF1684" s="32"/>
      <c r="AG1684" s="32"/>
      <c r="AH1684" s="32" t="b">
        <f>IFERROR(__xludf.DUMMYFUNCTION("""COMPUTED_VALUE"""),FALSE)</f>
        <v>0</v>
      </c>
      <c r="AI1684" s="32"/>
      <c r="AJ1684" s="32"/>
      <c r="AK1684" s="32"/>
      <c r="AL1684" s="32"/>
      <c r="AM1684" s="32"/>
      <c r="AN1684" s="32"/>
      <c r="AO1684" s="32"/>
      <c r="AP1684" s="32"/>
      <c r="AQ1684" s="32"/>
      <c r="AR1684" s="32"/>
      <c r="AS1684" s="32"/>
      <c r="AT1684" s="32"/>
      <c r="AU1684" s="32"/>
      <c r="AV1684" s="32"/>
      <c r="AW1684" s="32"/>
      <c r="AX1684" s="32"/>
    </row>
    <row r="1685">
      <c r="A1685" s="32"/>
      <c r="B1685" s="32"/>
      <c r="C1685" s="32"/>
      <c r="D1685" s="32"/>
      <c r="E1685" s="32">
        <f>IFERROR(__xludf.DUMMYFUNCTION("""COMPUTED_VALUE"""),1.0)</f>
        <v>1</v>
      </c>
      <c r="F1685" s="44">
        <f>IFERROR(__xludf.DUMMYFUNCTION("""COMPUTED_VALUE"""),0.0)</f>
        <v>0</v>
      </c>
      <c r="G1685" s="32"/>
      <c r="H1685" s="32"/>
      <c r="I1685" s="32"/>
      <c r="J1685" s="32"/>
      <c r="K1685" s="32"/>
      <c r="L1685" s="32"/>
      <c r="M1685" s="32"/>
      <c r="N1685" s="32"/>
      <c r="O1685" s="32"/>
      <c r="P1685" s="32"/>
      <c r="Q1685" s="32"/>
      <c r="R1685" s="32"/>
      <c r="S1685" s="32"/>
      <c r="T1685" s="32"/>
      <c r="U1685" s="32"/>
      <c r="V1685" s="32"/>
      <c r="W1685" s="32"/>
      <c r="X1685" s="32"/>
      <c r="Y1685" s="32"/>
      <c r="Z1685" s="32"/>
      <c r="AA1685" s="32"/>
      <c r="AB1685" s="32"/>
      <c r="AC1685" s="32"/>
      <c r="AD1685" s="32"/>
      <c r="AE1685" s="32"/>
      <c r="AF1685" s="32"/>
      <c r="AG1685" s="32"/>
      <c r="AH1685" s="32" t="b">
        <f>IFERROR(__xludf.DUMMYFUNCTION("""COMPUTED_VALUE"""),FALSE)</f>
        <v>0</v>
      </c>
      <c r="AI1685" s="32"/>
      <c r="AJ1685" s="32"/>
      <c r="AK1685" s="32"/>
      <c r="AL1685" s="32"/>
      <c r="AM1685" s="32"/>
      <c r="AN1685" s="32"/>
      <c r="AO1685" s="32"/>
      <c r="AP1685" s="32"/>
      <c r="AQ1685" s="32"/>
      <c r="AR1685" s="32"/>
      <c r="AS1685" s="32"/>
      <c r="AT1685" s="32"/>
      <c r="AU1685" s="32"/>
      <c r="AV1685" s="32"/>
      <c r="AW1685" s="32"/>
      <c r="AX1685" s="32"/>
    </row>
    <row r="1686">
      <c r="A1686" s="32"/>
      <c r="B1686" s="32"/>
      <c r="C1686" s="32"/>
      <c r="D1686" s="32"/>
      <c r="E1686" s="32">
        <f>IFERROR(__xludf.DUMMYFUNCTION("""COMPUTED_VALUE"""),1.0)</f>
        <v>1</v>
      </c>
      <c r="F1686" s="44">
        <f>IFERROR(__xludf.DUMMYFUNCTION("""COMPUTED_VALUE"""),0.0)</f>
        <v>0</v>
      </c>
      <c r="G1686" s="32"/>
      <c r="H1686" s="32"/>
      <c r="I1686" s="32"/>
      <c r="J1686" s="32"/>
      <c r="K1686" s="32"/>
      <c r="L1686" s="32"/>
      <c r="M1686" s="32"/>
      <c r="N1686" s="32"/>
      <c r="O1686" s="32"/>
      <c r="P1686" s="32"/>
      <c r="Q1686" s="32"/>
      <c r="R1686" s="32"/>
      <c r="S1686" s="32"/>
      <c r="T1686" s="32"/>
      <c r="U1686" s="32"/>
      <c r="V1686" s="32"/>
      <c r="W1686" s="32"/>
      <c r="X1686" s="32"/>
      <c r="Y1686" s="32"/>
      <c r="Z1686" s="32"/>
      <c r="AA1686" s="32"/>
      <c r="AB1686" s="32"/>
      <c r="AC1686" s="32"/>
      <c r="AD1686" s="32"/>
      <c r="AE1686" s="32"/>
      <c r="AF1686" s="32"/>
      <c r="AG1686" s="32"/>
      <c r="AH1686" s="32" t="b">
        <f>IFERROR(__xludf.DUMMYFUNCTION("""COMPUTED_VALUE"""),FALSE)</f>
        <v>0</v>
      </c>
      <c r="AI1686" s="32"/>
      <c r="AJ1686" s="32"/>
      <c r="AK1686" s="32"/>
      <c r="AL1686" s="32"/>
      <c r="AM1686" s="32"/>
      <c r="AN1686" s="32"/>
      <c r="AO1686" s="32"/>
      <c r="AP1686" s="32"/>
      <c r="AQ1686" s="32"/>
      <c r="AR1686" s="32"/>
      <c r="AS1686" s="32"/>
      <c r="AT1686" s="32"/>
      <c r="AU1686" s="32"/>
      <c r="AV1686" s="32"/>
      <c r="AW1686" s="32"/>
      <c r="AX1686" s="32"/>
    </row>
    <row r="1687">
      <c r="A1687" s="32"/>
      <c r="B1687" s="32"/>
      <c r="C1687" s="32"/>
      <c r="D1687" s="32"/>
      <c r="E1687" s="32">
        <f>IFERROR(__xludf.DUMMYFUNCTION("""COMPUTED_VALUE"""),1.0)</f>
        <v>1</v>
      </c>
      <c r="F1687" s="44">
        <f>IFERROR(__xludf.DUMMYFUNCTION("""COMPUTED_VALUE"""),0.0)</f>
        <v>0</v>
      </c>
      <c r="G1687" s="32"/>
      <c r="H1687" s="32"/>
      <c r="I1687" s="32"/>
      <c r="J1687" s="32"/>
      <c r="K1687" s="32"/>
      <c r="L1687" s="32"/>
      <c r="M1687" s="32"/>
      <c r="N1687" s="32"/>
      <c r="O1687" s="32"/>
      <c r="P1687" s="32"/>
      <c r="Q1687" s="32"/>
      <c r="R1687" s="32"/>
      <c r="S1687" s="32"/>
      <c r="T1687" s="32"/>
      <c r="U1687" s="32"/>
      <c r="V1687" s="32"/>
      <c r="W1687" s="32"/>
      <c r="X1687" s="32"/>
      <c r="Y1687" s="32"/>
      <c r="Z1687" s="32"/>
      <c r="AA1687" s="32"/>
      <c r="AB1687" s="32"/>
      <c r="AC1687" s="32"/>
      <c r="AD1687" s="32"/>
      <c r="AE1687" s="32"/>
      <c r="AF1687" s="32"/>
      <c r="AG1687" s="32"/>
      <c r="AH1687" s="32" t="b">
        <f>IFERROR(__xludf.DUMMYFUNCTION("""COMPUTED_VALUE"""),FALSE)</f>
        <v>0</v>
      </c>
      <c r="AI1687" s="32"/>
      <c r="AJ1687" s="32"/>
      <c r="AK1687" s="32"/>
      <c r="AL1687" s="32"/>
      <c r="AM1687" s="32"/>
      <c r="AN1687" s="32"/>
      <c r="AO1687" s="32"/>
      <c r="AP1687" s="32"/>
      <c r="AQ1687" s="32"/>
      <c r="AR1687" s="32"/>
      <c r="AS1687" s="32"/>
      <c r="AT1687" s="32"/>
      <c r="AU1687" s="32"/>
      <c r="AV1687" s="32"/>
      <c r="AW1687" s="32"/>
      <c r="AX1687" s="32"/>
    </row>
    <row r="1688">
      <c r="A1688" s="32"/>
      <c r="B1688" s="32"/>
      <c r="C1688" s="32"/>
      <c r="D1688" s="32"/>
      <c r="E1688" s="32">
        <f>IFERROR(__xludf.DUMMYFUNCTION("""COMPUTED_VALUE"""),1.0)</f>
        <v>1</v>
      </c>
      <c r="F1688" s="44">
        <f>IFERROR(__xludf.DUMMYFUNCTION("""COMPUTED_VALUE"""),0.0)</f>
        <v>0</v>
      </c>
      <c r="G1688" s="32"/>
      <c r="H1688" s="32"/>
      <c r="I1688" s="32"/>
      <c r="J1688" s="32"/>
      <c r="K1688" s="32"/>
      <c r="L1688" s="32"/>
      <c r="M1688" s="32"/>
      <c r="N1688" s="32"/>
      <c r="O1688" s="32"/>
      <c r="P1688" s="32"/>
      <c r="Q1688" s="32"/>
      <c r="R1688" s="32"/>
      <c r="S1688" s="32"/>
      <c r="T1688" s="32"/>
      <c r="U1688" s="32"/>
      <c r="V1688" s="32"/>
      <c r="W1688" s="32"/>
      <c r="X1688" s="32"/>
      <c r="Y1688" s="32"/>
      <c r="Z1688" s="32"/>
      <c r="AA1688" s="32"/>
      <c r="AB1688" s="32"/>
      <c r="AC1688" s="32"/>
      <c r="AD1688" s="32"/>
      <c r="AE1688" s="32"/>
      <c r="AF1688" s="32"/>
      <c r="AG1688" s="32"/>
      <c r="AH1688" s="32" t="b">
        <f>IFERROR(__xludf.DUMMYFUNCTION("""COMPUTED_VALUE"""),FALSE)</f>
        <v>0</v>
      </c>
      <c r="AI1688" s="32"/>
      <c r="AJ1688" s="32"/>
      <c r="AK1688" s="32"/>
      <c r="AL1688" s="32"/>
      <c r="AM1688" s="32"/>
      <c r="AN1688" s="32"/>
      <c r="AO1688" s="32"/>
      <c r="AP1688" s="32"/>
      <c r="AQ1688" s="32"/>
      <c r="AR1688" s="32"/>
      <c r="AS1688" s="32"/>
      <c r="AT1688" s="32"/>
      <c r="AU1688" s="32"/>
      <c r="AV1688" s="32"/>
      <c r="AW1688" s="32"/>
      <c r="AX1688" s="32"/>
    </row>
    <row r="1689">
      <c r="A1689" s="32"/>
      <c r="B1689" s="32"/>
      <c r="C1689" s="32"/>
      <c r="D1689" s="32"/>
      <c r="E1689" s="32">
        <f>IFERROR(__xludf.DUMMYFUNCTION("""COMPUTED_VALUE"""),1.0)</f>
        <v>1</v>
      </c>
      <c r="F1689" s="44">
        <f>IFERROR(__xludf.DUMMYFUNCTION("""COMPUTED_VALUE"""),0.0)</f>
        <v>0</v>
      </c>
      <c r="G1689" s="32"/>
      <c r="H1689" s="32"/>
      <c r="I1689" s="32"/>
      <c r="J1689" s="32"/>
      <c r="K1689" s="32"/>
      <c r="L1689" s="32"/>
      <c r="M1689" s="32"/>
      <c r="N1689" s="32"/>
      <c r="O1689" s="32"/>
      <c r="P1689" s="32"/>
      <c r="Q1689" s="32"/>
      <c r="R1689" s="32"/>
      <c r="S1689" s="32"/>
      <c r="T1689" s="32"/>
      <c r="U1689" s="32"/>
      <c r="V1689" s="32"/>
      <c r="W1689" s="32"/>
      <c r="X1689" s="32"/>
      <c r="Y1689" s="32"/>
      <c r="Z1689" s="32"/>
      <c r="AA1689" s="32"/>
      <c r="AB1689" s="32"/>
      <c r="AC1689" s="32"/>
      <c r="AD1689" s="32"/>
      <c r="AE1689" s="32"/>
      <c r="AF1689" s="32"/>
      <c r="AG1689" s="32"/>
      <c r="AH1689" s="32" t="b">
        <f>IFERROR(__xludf.DUMMYFUNCTION("""COMPUTED_VALUE"""),FALSE)</f>
        <v>0</v>
      </c>
      <c r="AI1689" s="32"/>
      <c r="AJ1689" s="32"/>
      <c r="AK1689" s="32"/>
      <c r="AL1689" s="32"/>
      <c r="AM1689" s="32"/>
      <c r="AN1689" s="32"/>
      <c r="AO1689" s="32"/>
      <c r="AP1689" s="32"/>
      <c r="AQ1689" s="32"/>
      <c r="AR1689" s="32"/>
      <c r="AS1689" s="32"/>
      <c r="AT1689" s="32"/>
      <c r="AU1689" s="32"/>
      <c r="AV1689" s="32"/>
      <c r="AW1689" s="32"/>
      <c r="AX1689" s="32"/>
    </row>
    <row r="1690">
      <c r="A1690" s="32"/>
      <c r="B1690" s="32"/>
      <c r="C1690" s="32"/>
      <c r="D1690" s="32"/>
      <c r="E1690" s="32">
        <f>IFERROR(__xludf.DUMMYFUNCTION("""COMPUTED_VALUE"""),1.0)</f>
        <v>1</v>
      </c>
      <c r="F1690" s="44">
        <f>IFERROR(__xludf.DUMMYFUNCTION("""COMPUTED_VALUE"""),0.0)</f>
        <v>0</v>
      </c>
      <c r="G1690" s="32"/>
      <c r="H1690" s="32"/>
      <c r="I1690" s="32"/>
      <c r="J1690" s="32"/>
      <c r="K1690" s="32"/>
      <c r="L1690" s="32"/>
      <c r="M1690" s="32"/>
      <c r="N1690" s="32"/>
      <c r="O1690" s="32"/>
      <c r="P1690" s="32"/>
      <c r="Q1690" s="32"/>
      <c r="R1690" s="32"/>
      <c r="S1690" s="32"/>
      <c r="T1690" s="32"/>
      <c r="U1690" s="32"/>
      <c r="V1690" s="32"/>
      <c r="W1690" s="32"/>
      <c r="X1690" s="32"/>
      <c r="Y1690" s="32"/>
      <c r="Z1690" s="32"/>
      <c r="AA1690" s="32"/>
      <c r="AB1690" s="32"/>
      <c r="AC1690" s="32"/>
      <c r="AD1690" s="32"/>
      <c r="AE1690" s="32"/>
      <c r="AF1690" s="32"/>
      <c r="AG1690" s="32"/>
      <c r="AH1690" s="32" t="b">
        <f>IFERROR(__xludf.DUMMYFUNCTION("""COMPUTED_VALUE"""),FALSE)</f>
        <v>0</v>
      </c>
      <c r="AI1690" s="32"/>
      <c r="AJ1690" s="32"/>
      <c r="AK1690" s="32"/>
      <c r="AL1690" s="32"/>
      <c r="AM1690" s="32"/>
      <c r="AN1690" s="32"/>
      <c r="AO1690" s="32"/>
      <c r="AP1690" s="32"/>
      <c r="AQ1690" s="32"/>
      <c r="AR1690" s="32"/>
      <c r="AS1690" s="32"/>
      <c r="AT1690" s="32"/>
      <c r="AU1690" s="32"/>
      <c r="AV1690" s="32"/>
      <c r="AW1690" s="32"/>
      <c r="AX1690" s="32"/>
    </row>
    <row r="1691">
      <c r="A1691" s="32"/>
      <c r="B1691" s="32"/>
      <c r="C1691" s="32"/>
      <c r="D1691" s="32"/>
      <c r="E1691" s="32">
        <f>IFERROR(__xludf.DUMMYFUNCTION("""COMPUTED_VALUE"""),1.0)</f>
        <v>1</v>
      </c>
      <c r="F1691" s="44">
        <f>IFERROR(__xludf.DUMMYFUNCTION("""COMPUTED_VALUE"""),0.0)</f>
        <v>0</v>
      </c>
      <c r="G1691" s="32"/>
      <c r="H1691" s="32"/>
      <c r="I1691" s="32"/>
      <c r="J1691" s="32"/>
      <c r="K1691" s="32"/>
      <c r="L1691" s="32"/>
      <c r="M1691" s="32"/>
      <c r="N1691" s="32"/>
      <c r="O1691" s="32"/>
      <c r="P1691" s="32"/>
      <c r="Q1691" s="32"/>
      <c r="R1691" s="32"/>
      <c r="S1691" s="32"/>
      <c r="T1691" s="32"/>
      <c r="U1691" s="32"/>
      <c r="V1691" s="32"/>
      <c r="W1691" s="32"/>
      <c r="X1691" s="32"/>
      <c r="Y1691" s="32"/>
      <c r="Z1691" s="32"/>
      <c r="AA1691" s="32"/>
      <c r="AB1691" s="32"/>
      <c r="AC1691" s="32"/>
      <c r="AD1691" s="32"/>
      <c r="AE1691" s="32"/>
      <c r="AF1691" s="32"/>
      <c r="AG1691" s="32"/>
      <c r="AH1691" s="32" t="b">
        <f>IFERROR(__xludf.DUMMYFUNCTION("""COMPUTED_VALUE"""),FALSE)</f>
        <v>0</v>
      </c>
      <c r="AI1691" s="32"/>
      <c r="AJ1691" s="32"/>
      <c r="AK1691" s="32"/>
      <c r="AL1691" s="32"/>
      <c r="AM1691" s="32"/>
      <c r="AN1691" s="32"/>
      <c r="AO1691" s="32"/>
      <c r="AP1691" s="32"/>
      <c r="AQ1691" s="32"/>
      <c r="AR1691" s="32"/>
      <c r="AS1691" s="32"/>
      <c r="AT1691" s="32"/>
      <c r="AU1691" s="32"/>
      <c r="AV1691" s="32"/>
      <c r="AW1691" s="32"/>
      <c r="AX1691" s="32"/>
    </row>
    <row r="1692">
      <c r="A1692" s="32"/>
      <c r="B1692" s="32"/>
      <c r="C1692" s="32"/>
      <c r="D1692" s="32"/>
      <c r="E1692" s="32">
        <f>IFERROR(__xludf.DUMMYFUNCTION("""COMPUTED_VALUE"""),1.0)</f>
        <v>1</v>
      </c>
      <c r="F1692" s="44">
        <f>IFERROR(__xludf.DUMMYFUNCTION("""COMPUTED_VALUE"""),0.0)</f>
        <v>0</v>
      </c>
      <c r="G1692" s="32"/>
      <c r="H1692" s="32"/>
      <c r="I1692" s="32"/>
      <c r="J1692" s="32"/>
      <c r="K1692" s="32"/>
      <c r="L1692" s="32"/>
      <c r="M1692" s="32"/>
      <c r="N1692" s="32"/>
      <c r="O1692" s="32"/>
      <c r="P1692" s="32"/>
      <c r="Q1692" s="32"/>
      <c r="R1692" s="32"/>
      <c r="S1692" s="32"/>
      <c r="T1692" s="32"/>
      <c r="U1692" s="32"/>
      <c r="V1692" s="32"/>
      <c r="W1692" s="32"/>
      <c r="X1692" s="32"/>
      <c r="Y1692" s="32"/>
      <c r="Z1692" s="32"/>
      <c r="AA1692" s="32"/>
      <c r="AB1692" s="32"/>
      <c r="AC1692" s="32"/>
      <c r="AD1692" s="32"/>
      <c r="AE1692" s="32"/>
      <c r="AF1692" s="32"/>
      <c r="AG1692" s="32"/>
      <c r="AH1692" s="32" t="b">
        <f>IFERROR(__xludf.DUMMYFUNCTION("""COMPUTED_VALUE"""),FALSE)</f>
        <v>0</v>
      </c>
      <c r="AI1692" s="32"/>
      <c r="AJ1692" s="32"/>
      <c r="AK1692" s="32"/>
      <c r="AL1692" s="32"/>
      <c r="AM1692" s="32"/>
      <c r="AN1692" s="32"/>
      <c r="AO1692" s="32"/>
      <c r="AP1692" s="32"/>
      <c r="AQ1692" s="32"/>
      <c r="AR1692" s="32"/>
      <c r="AS1692" s="32"/>
      <c r="AT1692" s="32"/>
      <c r="AU1692" s="32"/>
      <c r="AV1692" s="32"/>
      <c r="AW1692" s="32"/>
      <c r="AX1692" s="32"/>
    </row>
    <row r="1693">
      <c r="A1693" s="32"/>
      <c r="B1693" s="32"/>
      <c r="C1693" s="32"/>
      <c r="D1693" s="32"/>
      <c r="E1693" s="32">
        <f>IFERROR(__xludf.DUMMYFUNCTION("""COMPUTED_VALUE"""),1.0)</f>
        <v>1</v>
      </c>
      <c r="F1693" s="44">
        <f>IFERROR(__xludf.DUMMYFUNCTION("""COMPUTED_VALUE"""),0.0)</f>
        <v>0</v>
      </c>
      <c r="G1693" s="32"/>
      <c r="H1693" s="32"/>
      <c r="I1693" s="32"/>
      <c r="J1693" s="32"/>
      <c r="K1693" s="32"/>
      <c r="L1693" s="32"/>
      <c r="M1693" s="32"/>
      <c r="N1693" s="32"/>
      <c r="O1693" s="32"/>
      <c r="P1693" s="32"/>
      <c r="Q1693" s="32"/>
      <c r="R1693" s="32"/>
      <c r="S1693" s="32"/>
      <c r="T1693" s="32"/>
      <c r="U1693" s="32"/>
      <c r="V1693" s="32"/>
      <c r="W1693" s="32"/>
      <c r="X1693" s="32"/>
      <c r="Y1693" s="32"/>
      <c r="Z1693" s="32"/>
      <c r="AA1693" s="32"/>
      <c r="AB1693" s="32"/>
      <c r="AC1693" s="32"/>
      <c r="AD1693" s="32"/>
      <c r="AE1693" s="32"/>
      <c r="AF1693" s="32"/>
      <c r="AG1693" s="32"/>
      <c r="AH1693" s="32" t="b">
        <f>IFERROR(__xludf.DUMMYFUNCTION("""COMPUTED_VALUE"""),FALSE)</f>
        <v>0</v>
      </c>
      <c r="AI1693" s="32"/>
      <c r="AJ1693" s="32"/>
      <c r="AK1693" s="32"/>
      <c r="AL1693" s="32"/>
      <c r="AM1693" s="32"/>
      <c r="AN1693" s="32"/>
      <c r="AO1693" s="32"/>
      <c r="AP1693" s="32"/>
      <c r="AQ1693" s="32"/>
      <c r="AR1693" s="32"/>
      <c r="AS1693" s="32"/>
      <c r="AT1693" s="32"/>
      <c r="AU1693" s="32"/>
      <c r="AV1693" s="32"/>
      <c r="AW1693" s="32"/>
      <c r="AX1693" s="32"/>
    </row>
    <row r="1694">
      <c r="A1694" s="32"/>
      <c r="B1694" s="32"/>
      <c r="C1694" s="32"/>
      <c r="D1694" s="32"/>
      <c r="E1694" s="32">
        <f>IFERROR(__xludf.DUMMYFUNCTION("""COMPUTED_VALUE"""),1.0)</f>
        <v>1</v>
      </c>
      <c r="F1694" s="44">
        <f>IFERROR(__xludf.DUMMYFUNCTION("""COMPUTED_VALUE"""),0.0)</f>
        <v>0</v>
      </c>
      <c r="G1694" s="32"/>
      <c r="H1694" s="32"/>
      <c r="I1694" s="32"/>
      <c r="J1694" s="32"/>
      <c r="K1694" s="32"/>
      <c r="L1694" s="32"/>
      <c r="M1694" s="32"/>
      <c r="N1694" s="32"/>
      <c r="O1694" s="32"/>
      <c r="P1694" s="32"/>
      <c r="Q1694" s="32"/>
      <c r="R1694" s="32"/>
      <c r="S1694" s="32"/>
      <c r="T1694" s="32"/>
      <c r="U1694" s="32"/>
      <c r="V1694" s="32"/>
      <c r="W1694" s="32"/>
      <c r="X1694" s="32"/>
      <c r="Y1694" s="32"/>
      <c r="Z1694" s="32"/>
      <c r="AA1694" s="32"/>
      <c r="AB1694" s="32"/>
      <c r="AC1694" s="32"/>
      <c r="AD1694" s="32"/>
      <c r="AE1694" s="32"/>
      <c r="AF1694" s="32"/>
      <c r="AG1694" s="32"/>
      <c r="AH1694" s="32" t="b">
        <f>IFERROR(__xludf.DUMMYFUNCTION("""COMPUTED_VALUE"""),FALSE)</f>
        <v>0</v>
      </c>
      <c r="AI1694" s="32"/>
      <c r="AJ1694" s="32"/>
      <c r="AK1694" s="32"/>
      <c r="AL1694" s="32"/>
      <c r="AM1694" s="32"/>
      <c r="AN1694" s="32"/>
      <c r="AO1694" s="32"/>
      <c r="AP1694" s="32"/>
      <c r="AQ1694" s="32"/>
      <c r="AR1694" s="32"/>
      <c r="AS1694" s="32"/>
      <c r="AT1694" s="32"/>
      <c r="AU1694" s="32"/>
      <c r="AV1694" s="32"/>
      <c r="AW1694" s="32"/>
      <c r="AX1694" s="32"/>
    </row>
    <row r="1695">
      <c r="A1695" s="32"/>
      <c r="B1695" s="32"/>
      <c r="C1695" s="32"/>
      <c r="D1695" s="32"/>
      <c r="E1695" s="32">
        <f>IFERROR(__xludf.DUMMYFUNCTION("""COMPUTED_VALUE"""),1.0)</f>
        <v>1</v>
      </c>
      <c r="F1695" s="44">
        <f>IFERROR(__xludf.DUMMYFUNCTION("""COMPUTED_VALUE"""),0.0)</f>
        <v>0</v>
      </c>
      <c r="G1695" s="32"/>
      <c r="H1695" s="32"/>
      <c r="I1695" s="32"/>
      <c r="J1695" s="32"/>
      <c r="K1695" s="32"/>
      <c r="L1695" s="32"/>
      <c r="M1695" s="32"/>
      <c r="N1695" s="32"/>
      <c r="O1695" s="32"/>
      <c r="P1695" s="32"/>
      <c r="Q1695" s="32"/>
      <c r="R1695" s="32"/>
      <c r="S1695" s="32"/>
      <c r="T1695" s="32"/>
      <c r="U1695" s="32"/>
      <c r="V1695" s="32"/>
      <c r="W1695" s="32"/>
      <c r="X1695" s="32"/>
      <c r="Y1695" s="32"/>
      <c r="Z1695" s="32"/>
      <c r="AA1695" s="32"/>
      <c r="AB1695" s="32"/>
      <c r="AC1695" s="32"/>
      <c r="AD1695" s="32"/>
      <c r="AE1695" s="32"/>
      <c r="AF1695" s="32"/>
      <c r="AG1695" s="32"/>
      <c r="AH1695" s="32" t="b">
        <f>IFERROR(__xludf.DUMMYFUNCTION("""COMPUTED_VALUE"""),FALSE)</f>
        <v>0</v>
      </c>
      <c r="AI1695" s="32"/>
      <c r="AJ1695" s="32"/>
      <c r="AK1695" s="32"/>
      <c r="AL1695" s="32"/>
      <c r="AM1695" s="32"/>
      <c r="AN1695" s="32"/>
      <c r="AO1695" s="32"/>
      <c r="AP1695" s="32"/>
      <c r="AQ1695" s="32"/>
      <c r="AR1695" s="32"/>
      <c r="AS1695" s="32"/>
      <c r="AT1695" s="32"/>
      <c r="AU1695" s="32"/>
      <c r="AV1695" s="32"/>
      <c r="AW1695" s="32"/>
      <c r="AX1695" s="32"/>
    </row>
    <row r="1696">
      <c r="A1696" s="32"/>
      <c r="B1696" s="32"/>
      <c r="C1696" s="32"/>
      <c r="D1696" s="32"/>
      <c r="E1696" s="32">
        <f>IFERROR(__xludf.DUMMYFUNCTION("""COMPUTED_VALUE"""),1.0)</f>
        <v>1</v>
      </c>
      <c r="F1696" s="44">
        <f>IFERROR(__xludf.DUMMYFUNCTION("""COMPUTED_VALUE"""),0.0)</f>
        <v>0</v>
      </c>
      <c r="G1696" s="32"/>
      <c r="H1696" s="32"/>
      <c r="I1696" s="32"/>
      <c r="J1696" s="32"/>
      <c r="K1696" s="32"/>
      <c r="L1696" s="32"/>
      <c r="M1696" s="32"/>
      <c r="N1696" s="32"/>
      <c r="O1696" s="32"/>
      <c r="P1696" s="32"/>
      <c r="Q1696" s="32"/>
      <c r="R1696" s="32"/>
      <c r="S1696" s="32"/>
      <c r="T1696" s="32"/>
      <c r="U1696" s="32"/>
      <c r="V1696" s="32"/>
      <c r="W1696" s="32"/>
      <c r="X1696" s="32"/>
      <c r="Y1696" s="32"/>
      <c r="Z1696" s="32"/>
      <c r="AA1696" s="32"/>
      <c r="AB1696" s="32"/>
      <c r="AC1696" s="32"/>
      <c r="AD1696" s="32"/>
      <c r="AE1696" s="32"/>
      <c r="AF1696" s="32"/>
      <c r="AG1696" s="32"/>
      <c r="AH1696" s="32" t="b">
        <f>IFERROR(__xludf.DUMMYFUNCTION("""COMPUTED_VALUE"""),FALSE)</f>
        <v>0</v>
      </c>
      <c r="AI1696" s="32"/>
      <c r="AJ1696" s="32"/>
      <c r="AK1696" s="32"/>
      <c r="AL1696" s="32"/>
      <c r="AM1696" s="32"/>
      <c r="AN1696" s="32"/>
      <c r="AO1696" s="32"/>
      <c r="AP1696" s="32"/>
      <c r="AQ1696" s="32"/>
      <c r="AR1696" s="32"/>
      <c r="AS1696" s="32"/>
      <c r="AT1696" s="32"/>
      <c r="AU1696" s="32"/>
      <c r="AV1696" s="32"/>
      <c r="AW1696" s="32"/>
      <c r="AX1696" s="32"/>
    </row>
    <row r="1697">
      <c r="A1697" s="32"/>
      <c r="B1697" s="32"/>
      <c r="C1697" s="32"/>
      <c r="D1697" s="32"/>
      <c r="E1697" s="32">
        <f>IFERROR(__xludf.DUMMYFUNCTION("""COMPUTED_VALUE"""),1.0)</f>
        <v>1</v>
      </c>
      <c r="F1697" s="44">
        <f>IFERROR(__xludf.DUMMYFUNCTION("""COMPUTED_VALUE"""),0.0)</f>
        <v>0</v>
      </c>
      <c r="G1697" s="32"/>
      <c r="H1697" s="32"/>
      <c r="I1697" s="32"/>
      <c r="J1697" s="32"/>
      <c r="K1697" s="32"/>
      <c r="L1697" s="32"/>
      <c r="M1697" s="32"/>
      <c r="N1697" s="32"/>
      <c r="O1697" s="32"/>
      <c r="P1697" s="32"/>
      <c r="Q1697" s="32"/>
      <c r="R1697" s="32"/>
      <c r="S1697" s="32"/>
      <c r="T1697" s="32"/>
      <c r="U1697" s="32"/>
      <c r="V1697" s="32"/>
      <c r="W1697" s="32"/>
      <c r="X1697" s="32"/>
      <c r="Y1697" s="32"/>
      <c r="Z1697" s="32"/>
      <c r="AA1697" s="32"/>
      <c r="AB1697" s="32"/>
      <c r="AC1697" s="32"/>
      <c r="AD1697" s="32"/>
      <c r="AE1697" s="32"/>
      <c r="AF1697" s="32"/>
      <c r="AG1697" s="32"/>
      <c r="AH1697" s="32" t="b">
        <f>IFERROR(__xludf.DUMMYFUNCTION("""COMPUTED_VALUE"""),FALSE)</f>
        <v>0</v>
      </c>
      <c r="AI1697" s="32"/>
      <c r="AJ1697" s="32"/>
      <c r="AK1697" s="32"/>
      <c r="AL1697" s="32"/>
      <c r="AM1697" s="32"/>
      <c r="AN1697" s="32"/>
      <c r="AO1697" s="32"/>
      <c r="AP1697" s="32"/>
      <c r="AQ1697" s="32"/>
      <c r="AR1697" s="32"/>
      <c r="AS1697" s="32"/>
      <c r="AT1697" s="32"/>
      <c r="AU1697" s="32"/>
      <c r="AV1697" s="32"/>
      <c r="AW1697" s="32"/>
      <c r="AX1697" s="32"/>
    </row>
    <row r="1698">
      <c r="A1698" s="32"/>
      <c r="B1698" s="32"/>
      <c r="C1698" s="32"/>
      <c r="D1698" s="32"/>
      <c r="E1698" s="32">
        <f>IFERROR(__xludf.DUMMYFUNCTION("""COMPUTED_VALUE"""),1.0)</f>
        <v>1</v>
      </c>
      <c r="F1698" s="44">
        <f>IFERROR(__xludf.DUMMYFUNCTION("""COMPUTED_VALUE"""),0.0)</f>
        <v>0</v>
      </c>
      <c r="G1698" s="32"/>
      <c r="H1698" s="32"/>
      <c r="I1698" s="32"/>
      <c r="J1698" s="32"/>
      <c r="K1698" s="32"/>
      <c r="L1698" s="32"/>
      <c r="M1698" s="32"/>
      <c r="N1698" s="32"/>
      <c r="O1698" s="32"/>
      <c r="P1698" s="32"/>
      <c r="Q1698" s="32"/>
      <c r="R1698" s="32"/>
      <c r="S1698" s="32"/>
      <c r="T1698" s="32"/>
      <c r="U1698" s="32"/>
      <c r="V1698" s="32"/>
      <c r="W1698" s="32"/>
      <c r="X1698" s="32"/>
      <c r="Y1698" s="32"/>
      <c r="Z1698" s="32"/>
      <c r="AA1698" s="32"/>
      <c r="AB1698" s="32"/>
      <c r="AC1698" s="32"/>
      <c r="AD1698" s="32"/>
      <c r="AE1698" s="32"/>
      <c r="AF1698" s="32"/>
      <c r="AG1698" s="32"/>
      <c r="AH1698" s="32" t="b">
        <f>IFERROR(__xludf.DUMMYFUNCTION("""COMPUTED_VALUE"""),FALSE)</f>
        <v>0</v>
      </c>
      <c r="AI1698" s="32"/>
      <c r="AJ1698" s="32"/>
      <c r="AK1698" s="32"/>
      <c r="AL1698" s="32"/>
      <c r="AM1698" s="32"/>
      <c r="AN1698" s="32"/>
      <c r="AO1698" s="32"/>
      <c r="AP1698" s="32"/>
      <c r="AQ1698" s="32"/>
      <c r="AR1698" s="32"/>
      <c r="AS1698" s="32"/>
      <c r="AT1698" s="32"/>
      <c r="AU1698" s="32"/>
      <c r="AV1698" s="32"/>
      <c r="AW1698" s="32"/>
      <c r="AX1698" s="32"/>
    </row>
    <row r="1699">
      <c r="A1699" s="32"/>
      <c r="B1699" s="32"/>
      <c r="C1699" s="32"/>
      <c r="D1699" s="32"/>
      <c r="E1699" s="32">
        <f>IFERROR(__xludf.DUMMYFUNCTION("""COMPUTED_VALUE"""),1.0)</f>
        <v>1</v>
      </c>
      <c r="F1699" s="44">
        <f>IFERROR(__xludf.DUMMYFUNCTION("""COMPUTED_VALUE"""),0.0)</f>
        <v>0</v>
      </c>
      <c r="G1699" s="32"/>
      <c r="H1699" s="32"/>
      <c r="I1699" s="32"/>
      <c r="J1699" s="32"/>
      <c r="K1699" s="32"/>
      <c r="L1699" s="32"/>
      <c r="M1699" s="32"/>
      <c r="N1699" s="32"/>
      <c r="O1699" s="32"/>
      <c r="P1699" s="32"/>
      <c r="Q1699" s="32"/>
      <c r="R1699" s="32"/>
      <c r="S1699" s="32"/>
      <c r="T1699" s="32"/>
      <c r="U1699" s="32"/>
      <c r="V1699" s="32"/>
      <c r="W1699" s="32"/>
      <c r="X1699" s="32"/>
      <c r="Y1699" s="32"/>
      <c r="Z1699" s="32"/>
      <c r="AA1699" s="32"/>
      <c r="AB1699" s="32"/>
      <c r="AC1699" s="32"/>
      <c r="AD1699" s="32"/>
      <c r="AE1699" s="32"/>
      <c r="AF1699" s="32"/>
      <c r="AG1699" s="32"/>
      <c r="AH1699" s="32" t="b">
        <f>IFERROR(__xludf.DUMMYFUNCTION("""COMPUTED_VALUE"""),FALSE)</f>
        <v>0</v>
      </c>
      <c r="AI1699" s="32"/>
      <c r="AJ1699" s="32"/>
      <c r="AK1699" s="32"/>
      <c r="AL1699" s="32"/>
      <c r="AM1699" s="32"/>
      <c r="AN1699" s="32"/>
      <c r="AO1699" s="32"/>
      <c r="AP1699" s="32"/>
      <c r="AQ1699" s="32"/>
      <c r="AR1699" s="32"/>
      <c r="AS1699" s="32"/>
      <c r="AT1699" s="32"/>
      <c r="AU1699" s="32"/>
      <c r="AV1699" s="32"/>
      <c r="AW1699" s="32"/>
      <c r="AX1699" s="32"/>
    </row>
    <row r="1700">
      <c r="A1700" s="32"/>
      <c r="B1700" s="32"/>
      <c r="C1700" s="32"/>
      <c r="D1700" s="32"/>
      <c r="E1700" s="32">
        <f>IFERROR(__xludf.DUMMYFUNCTION("""COMPUTED_VALUE"""),1.0)</f>
        <v>1</v>
      </c>
      <c r="F1700" s="44">
        <f>IFERROR(__xludf.DUMMYFUNCTION("""COMPUTED_VALUE"""),0.0)</f>
        <v>0</v>
      </c>
      <c r="G1700" s="32"/>
      <c r="H1700" s="32"/>
      <c r="I1700" s="32"/>
      <c r="J1700" s="32"/>
      <c r="K1700" s="32"/>
      <c r="L1700" s="32"/>
      <c r="M1700" s="32"/>
      <c r="N1700" s="32"/>
      <c r="O1700" s="32"/>
      <c r="P1700" s="32"/>
      <c r="Q1700" s="32"/>
      <c r="R1700" s="32"/>
      <c r="S1700" s="32"/>
      <c r="T1700" s="32"/>
      <c r="U1700" s="32"/>
      <c r="V1700" s="32"/>
      <c r="W1700" s="32"/>
      <c r="X1700" s="32"/>
      <c r="Y1700" s="32"/>
      <c r="Z1700" s="32"/>
      <c r="AA1700" s="32"/>
      <c r="AB1700" s="32"/>
      <c r="AC1700" s="32"/>
      <c r="AD1700" s="32"/>
      <c r="AE1700" s="32"/>
      <c r="AF1700" s="32"/>
      <c r="AG1700" s="32"/>
      <c r="AH1700" s="32" t="b">
        <f>IFERROR(__xludf.DUMMYFUNCTION("""COMPUTED_VALUE"""),FALSE)</f>
        <v>0</v>
      </c>
      <c r="AI1700" s="32"/>
      <c r="AJ1700" s="32"/>
      <c r="AK1700" s="32"/>
      <c r="AL1700" s="32"/>
      <c r="AM1700" s="32"/>
      <c r="AN1700" s="32"/>
      <c r="AO1700" s="32"/>
      <c r="AP1700" s="32"/>
      <c r="AQ1700" s="32"/>
      <c r="AR1700" s="32"/>
      <c r="AS1700" s="32"/>
      <c r="AT1700" s="32"/>
      <c r="AU1700" s="32"/>
      <c r="AV1700" s="32"/>
      <c r="AW1700" s="32"/>
      <c r="AX1700" s="32"/>
    </row>
    <row r="1701">
      <c r="A1701" s="32"/>
      <c r="B1701" s="32"/>
      <c r="C1701" s="32"/>
      <c r="D1701" s="32"/>
      <c r="E1701" s="32">
        <f>IFERROR(__xludf.DUMMYFUNCTION("""COMPUTED_VALUE"""),1.0)</f>
        <v>1</v>
      </c>
      <c r="F1701" s="44">
        <f>IFERROR(__xludf.DUMMYFUNCTION("""COMPUTED_VALUE"""),0.0)</f>
        <v>0</v>
      </c>
      <c r="G1701" s="32"/>
      <c r="H1701" s="32"/>
      <c r="I1701" s="32"/>
      <c r="J1701" s="32"/>
      <c r="K1701" s="32"/>
      <c r="L1701" s="32"/>
      <c r="M1701" s="32"/>
      <c r="N1701" s="32"/>
      <c r="O1701" s="32"/>
      <c r="P1701" s="32"/>
      <c r="Q1701" s="32"/>
      <c r="R1701" s="32"/>
      <c r="S1701" s="32"/>
      <c r="T1701" s="32"/>
      <c r="U1701" s="32"/>
      <c r="V1701" s="32"/>
      <c r="W1701" s="32"/>
      <c r="X1701" s="32"/>
      <c r="Y1701" s="32"/>
      <c r="Z1701" s="32"/>
      <c r="AA1701" s="32"/>
      <c r="AB1701" s="32"/>
      <c r="AC1701" s="32"/>
      <c r="AD1701" s="32"/>
      <c r="AE1701" s="32"/>
      <c r="AF1701" s="32"/>
      <c r="AG1701" s="32"/>
      <c r="AH1701" s="32" t="b">
        <f>IFERROR(__xludf.DUMMYFUNCTION("""COMPUTED_VALUE"""),FALSE)</f>
        <v>0</v>
      </c>
      <c r="AI1701" s="32"/>
      <c r="AJ1701" s="32"/>
      <c r="AK1701" s="32"/>
      <c r="AL1701" s="32"/>
      <c r="AM1701" s="32"/>
      <c r="AN1701" s="32"/>
      <c r="AO1701" s="32"/>
      <c r="AP1701" s="32"/>
      <c r="AQ1701" s="32"/>
      <c r="AR1701" s="32"/>
      <c r="AS1701" s="32"/>
      <c r="AT1701" s="32"/>
      <c r="AU1701" s="32"/>
      <c r="AV1701" s="32"/>
      <c r="AW1701" s="32"/>
      <c r="AX1701" s="32"/>
    </row>
    <row r="1702">
      <c r="A1702" s="32"/>
      <c r="B1702" s="32"/>
      <c r="C1702" s="32"/>
      <c r="D1702" s="32"/>
      <c r="E1702" s="32">
        <f>IFERROR(__xludf.DUMMYFUNCTION("""COMPUTED_VALUE"""),1.0)</f>
        <v>1</v>
      </c>
      <c r="F1702" s="44">
        <f>IFERROR(__xludf.DUMMYFUNCTION("""COMPUTED_VALUE"""),0.0)</f>
        <v>0</v>
      </c>
      <c r="G1702" s="32"/>
      <c r="H1702" s="32"/>
      <c r="I1702" s="32"/>
      <c r="J1702" s="32"/>
      <c r="K1702" s="32"/>
      <c r="L1702" s="32"/>
      <c r="M1702" s="32"/>
      <c r="N1702" s="32"/>
      <c r="O1702" s="32"/>
      <c r="P1702" s="32"/>
      <c r="Q1702" s="32"/>
      <c r="R1702" s="32"/>
      <c r="S1702" s="32"/>
      <c r="T1702" s="32"/>
      <c r="U1702" s="32"/>
      <c r="V1702" s="32"/>
      <c r="W1702" s="32"/>
      <c r="X1702" s="32"/>
      <c r="Y1702" s="32"/>
      <c r="Z1702" s="32"/>
      <c r="AA1702" s="32"/>
      <c r="AB1702" s="32"/>
      <c r="AC1702" s="32"/>
      <c r="AD1702" s="32"/>
      <c r="AE1702" s="32"/>
      <c r="AF1702" s="32"/>
      <c r="AG1702" s="32"/>
      <c r="AH1702" s="32" t="b">
        <f>IFERROR(__xludf.DUMMYFUNCTION("""COMPUTED_VALUE"""),FALSE)</f>
        <v>0</v>
      </c>
      <c r="AI1702" s="32"/>
      <c r="AJ1702" s="32"/>
      <c r="AK1702" s="32"/>
      <c r="AL1702" s="32"/>
      <c r="AM1702" s="32"/>
      <c r="AN1702" s="32"/>
      <c r="AO1702" s="32"/>
      <c r="AP1702" s="32"/>
      <c r="AQ1702" s="32"/>
      <c r="AR1702" s="32"/>
      <c r="AS1702" s="32"/>
      <c r="AT1702" s="32"/>
      <c r="AU1702" s="32"/>
      <c r="AV1702" s="32"/>
      <c r="AW1702" s="32"/>
      <c r="AX1702" s="32"/>
    </row>
    <row r="1703">
      <c r="A1703" s="32"/>
      <c r="B1703" s="32"/>
      <c r="C1703" s="32"/>
      <c r="D1703" s="32"/>
      <c r="E1703" s="32">
        <f>IFERROR(__xludf.DUMMYFUNCTION("""COMPUTED_VALUE"""),1.0)</f>
        <v>1</v>
      </c>
      <c r="F1703" s="44">
        <f>IFERROR(__xludf.DUMMYFUNCTION("""COMPUTED_VALUE"""),0.0)</f>
        <v>0</v>
      </c>
      <c r="G1703" s="32"/>
      <c r="H1703" s="32"/>
      <c r="I1703" s="32"/>
      <c r="J1703" s="32"/>
      <c r="K1703" s="32"/>
      <c r="L1703" s="32"/>
      <c r="M1703" s="32"/>
      <c r="N1703" s="32"/>
      <c r="O1703" s="32"/>
      <c r="P1703" s="32"/>
      <c r="Q1703" s="32"/>
      <c r="R1703" s="32"/>
      <c r="S1703" s="32"/>
      <c r="T1703" s="32"/>
      <c r="U1703" s="32"/>
      <c r="V1703" s="32"/>
      <c r="W1703" s="32"/>
      <c r="X1703" s="32"/>
      <c r="Y1703" s="32"/>
      <c r="Z1703" s="32"/>
      <c r="AA1703" s="32"/>
      <c r="AB1703" s="32"/>
      <c r="AC1703" s="32"/>
      <c r="AD1703" s="32"/>
      <c r="AE1703" s="32"/>
      <c r="AF1703" s="32"/>
      <c r="AG1703" s="32"/>
      <c r="AH1703" s="32" t="b">
        <f>IFERROR(__xludf.DUMMYFUNCTION("""COMPUTED_VALUE"""),FALSE)</f>
        <v>0</v>
      </c>
      <c r="AI1703" s="32"/>
      <c r="AJ1703" s="32"/>
      <c r="AK1703" s="32"/>
      <c r="AL1703" s="32"/>
      <c r="AM1703" s="32"/>
      <c r="AN1703" s="32"/>
      <c r="AO1703" s="32"/>
      <c r="AP1703" s="32"/>
      <c r="AQ1703" s="32"/>
      <c r="AR1703" s="32"/>
      <c r="AS1703" s="32"/>
      <c r="AT1703" s="32"/>
      <c r="AU1703" s="32"/>
      <c r="AV1703" s="32"/>
      <c r="AW1703" s="32"/>
      <c r="AX1703" s="32"/>
    </row>
    <row r="1704">
      <c r="A1704" s="32"/>
      <c r="B1704" s="32"/>
      <c r="C1704" s="32"/>
      <c r="D1704" s="32"/>
      <c r="E1704" s="32">
        <f>IFERROR(__xludf.DUMMYFUNCTION("""COMPUTED_VALUE"""),1.0)</f>
        <v>1</v>
      </c>
      <c r="F1704" s="44">
        <f>IFERROR(__xludf.DUMMYFUNCTION("""COMPUTED_VALUE"""),0.0)</f>
        <v>0</v>
      </c>
      <c r="G1704" s="32"/>
      <c r="H1704" s="32"/>
      <c r="I1704" s="32"/>
      <c r="J1704" s="32"/>
      <c r="K1704" s="32"/>
      <c r="L1704" s="32"/>
      <c r="M1704" s="32"/>
      <c r="N1704" s="32"/>
      <c r="O1704" s="32"/>
      <c r="P1704" s="32"/>
      <c r="Q1704" s="32"/>
      <c r="R1704" s="32"/>
      <c r="S1704" s="32"/>
      <c r="T1704" s="32"/>
      <c r="U1704" s="32"/>
      <c r="V1704" s="32"/>
      <c r="W1704" s="32"/>
      <c r="X1704" s="32"/>
      <c r="Y1704" s="32"/>
      <c r="Z1704" s="32"/>
      <c r="AA1704" s="32"/>
      <c r="AB1704" s="32"/>
      <c r="AC1704" s="32"/>
      <c r="AD1704" s="32"/>
      <c r="AE1704" s="32"/>
      <c r="AF1704" s="32"/>
      <c r="AG1704" s="32"/>
      <c r="AH1704" s="32" t="b">
        <f>IFERROR(__xludf.DUMMYFUNCTION("""COMPUTED_VALUE"""),FALSE)</f>
        <v>0</v>
      </c>
      <c r="AI1704" s="32"/>
      <c r="AJ1704" s="32"/>
      <c r="AK1704" s="32"/>
      <c r="AL1704" s="32"/>
      <c r="AM1704" s="32"/>
      <c r="AN1704" s="32"/>
      <c r="AO1704" s="32"/>
      <c r="AP1704" s="32"/>
      <c r="AQ1704" s="32"/>
      <c r="AR1704" s="32"/>
      <c r="AS1704" s="32"/>
      <c r="AT1704" s="32"/>
      <c r="AU1704" s="32"/>
      <c r="AV1704" s="32"/>
      <c r="AW1704" s="32"/>
      <c r="AX1704" s="32"/>
    </row>
    <row r="1705">
      <c r="A1705" s="32"/>
      <c r="B1705" s="32"/>
      <c r="C1705" s="32"/>
      <c r="D1705" s="32"/>
      <c r="E1705" s="32">
        <f>IFERROR(__xludf.DUMMYFUNCTION("""COMPUTED_VALUE"""),1.0)</f>
        <v>1</v>
      </c>
      <c r="F1705" s="44">
        <f>IFERROR(__xludf.DUMMYFUNCTION("""COMPUTED_VALUE"""),0.0)</f>
        <v>0</v>
      </c>
      <c r="G1705" s="32"/>
      <c r="H1705" s="32"/>
      <c r="I1705" s="32"/>
      <c r="J1705" s="32"/>
      <c r="K1705" s="32"/>
      <c r="L1705" s="32"/>
      <c r="M1705" s="32"/>
      <c r="N1705" s="32"/>
      <c r="O1705" s="32"/>
      <c r="P1705" s="32"/>
      <c r="Q1705" s="32"/>
      <c r="R1705" s="32"/>
      <c r="S1705" s="32"/>
      <c r="T1705" s="32"/>
      <c r="U1705" s="32"/>
      <c r="V1705" s="32"/>
      <c r="W1705" s="32"/>
      <c r="X1705" s="32"/>
      <c r="Y1705" s="32"/>
      <c r="Z1705" s="32"/>
      <c r="AA1705" s="32"/>
      <c r="AB1705" s="32"/>
      <c r="AC1705" s="32"/>
      <c r="AD1705" s="32"/>
      <c r="AE1705" s="32"/>
      <c r="AF1705" s="32"/>
      <c r="AG1705" s="32"/>
      <c r="AH1705" s="32" t="b">
        <f>IFERROR(__xludf.DUMMYFUNCTION("""COMPUTED_VALUE"""),FALSE)</f>
        <v>0</v>
      </c>
      <c r="AI1705" s="32"/>
      <c r="AJ1705" s="32"/>
      <c r="AK1705" s="32"/>
      <c r="AL1705" s="32"/>
      <c r="AM1705" s="32"/>
      <c r="AN1705" s="32"/>
      <c r="AO1705" s="32"/>
      <c r="AP1705" s="32"/>
      <c r="AQ1705" s="32"/>
      <c r="AR1705" s="32"/>
      <c r="AS1705" s="32"/>
      <c r="AT1705" s="32"/>
      <c r="AU1705" s="32"/>
      <c r="AV1705" s="32"/>
      <c r="AW1705" s="32"/>
      <c r="AX1705" s="32"/>
    </row>
    <row r="1706">
      <c r="A1706" s="32"/>
      <c r="B1706" s="32"/>
      <c r="C1706" s="32"/>
      <c r="D1706" s="32"/>
      <c r="E1706" s="32">
        <f>IFERROR(__xludf.DUMMYFUNCTION("""COMPUTED_VALUE"""),1.0)</f>
        <v>1</v>
      </c>
      <c r="F1706" s="44">
        <f>IFERROR(__xludf.DUMMYFUNCTION("""COMPUTED_VALUE"""),0.0)</f>
        <v>0</v>
      </c>
      <c r="G1706" s="32"/>
      <c r="H1706" s="32"/>
      <c r="I1706" s="32"/>
      <c r="J1706" s="32"/>
      <c r="K1706" s="32"/>
      <c r="L1706" s="32"/>
      <c r="M1706" s="32"/>
      <c r="N1706" s="32"/>
      <c r="O1706" s="32"/>
      <c r="P1706" s="32"/>
      <c r="Q1706" s="32"/>
      <c r="R1706" s="32"/>
      <c r="S1706" s="32"/>
      <c r="T1706" s="32"/>
      <c r="U1706" s="32"/>
      <c r="V1706" s="32"/>
      <c r="W1706" s="32"/>
      <c r="X1706" s="32"/>
      <c r="Y1706" s="32"/>
      <c r="Z1706" s="32"/>
      <c r="AA1706" s="32"/>
      <c r="AB1706" s="32"/>
      <c r="AC1706" s="32"/>
      <c r="AD1706" s="32"/>
      <c r="AE1706" s="32"/>
      <c r="AF1706" s="32"/>
      <c r="AG1706" s="32"/>
      <c r="AH1706" s="32" t="b">
        <f>IFERROR(__xludf.DUMMYFUNCTION("""COMPUTED_VALUE"""),FALSE)</f>
        <v>0</v>
      </c>
      <c r="AI1706" s="32"/>
      <c r="AJ1706" s="32"/>
      <c r="AK1706" s="32"/>
      <c r="AL1706" s="32"/>
      <c r="AM1706" s="32"/>
      <c r="AN1706" s="32"/>
      <c r="AO1706" s="32"/>
      <c r="AP1706" s="32"/>
      <c r="AQ1706" s="32"/>
      <c r="AR1706" s="32"/>
      <c r="AS1706" s="32"/>
      <c r="AT1706" s="32"/>
      <c r="AU1706" s="32"/>
      <c r="AV1706" s="32"/>
      <c r="AW1706" s="32"/>
      <c r="AX1706" s="32"/>
    </row>
    <row r="1707">
      <c r="A1707" s="32"/>
      <c r="B1707" s="32"/>
      <c r="C1707" s="32"/>
      <c r="D1707" s="32"/>
      <c r="E1707" s="32">
        <f>IFERROR(__xludf.DUMMYFUNCTION("""COMPUTED_VALUE"""),1.0)</f>
        <v>1</v>
      </c>
      <c r="F1707" s="44">
        <f>IFERROR(__xludf.DUMMYFUNCTION("""COMPUTED_VALUE"""),0.0)</f>
        <v>0</v>
      </c>
      <c r="G1707" s="32"/>
      <c r="H1707" s="32"/>
      <c r="I1707" s="32"/>
      <c r="J1707" s="32"/>
      <c r="K1707" s="32"/>
      <c r="L1707" s="32"/>
      <c r="M1707" s="32"/>
      <c r="N1707" s="32"/>
      <c r="O1707" s="32"/>
      <c r="P1707" s="32"/>
      <c r="Q1707" s="32"/>
      <c r="R1707" s="32"/>
      <c r="S1707" s="32"/>
      <c r="T1707" s="32"/>
      <c r="U1707" s="32"/>
      <c r="V1707" s="32"/>
      <c r="W1707" s="32"/>
      <c r="X1707" s="32"/>
      <c r="Y1707" s="32"/>
      <c r="Z1707" s="32"/>
      <c r="AA1707" s="32"/>
      <c r="AB1707" s="32"/>
      <c r="AC1707" s="32"/>
      <c r="AD1707" s="32"/>
      <c r="AE1707" s="32"/>
      <c r="AF1707" s="32"/>
      <c r="AG1707" s="32"/>
      <c r="AH1707" s="32" t="b">
        <f>IFERROR(__xludf.DUMMYFUNCTION("""COMPUTED_VALUE"""),FALSE)</f>
        <v>0</v>
      </c>
      <c r="AI1707" s="32"/>
      <c r="AJ1707" s="32"/>
      <c r="AK1707" s="32"/>
      <c r="AL1707" s="32"/>
      <c r="AM1707" s="32"/>
      <c r="AN1707" s="32"/>
      <c r="AO1707" s="32"/>
      <c r="AP1707" s="32"/>
      <c r="AQ1707" s="32"/>
      <c r="AR1707" s="32"/>
      <c r="AS1707" s="32"/>
      <c r="AT1707" s="32"/>
      <c r="AU1707" s="32"/>
      <c r="AV1707" s="32"/>
      <c r="AW1707" s="32"/>
      <c r="AX1707" s="32"/>
    </row>
    <row r="1708">
      <c r="A1708" s="32"/>
      <c r="B1708" s="32"/>
      <c r="C1708" s="32"/>
      <c r="D1708" s="32"/>
      <c r="E1708" s="32">
        <f>IFERROR(__xludf.DUMMYFUNCTION("""COMPUTED_VALUE"""),1.0)</f>
        <v>1</v>
      </c>
      <c r="F1708" s="44">
        <f>IFERROR(__xludf.DUMMYFUNCTION("""COMPUTED_VALUE"""),0.0)</f>
        <v>0</v>
      </c>
      <c r="G1708" s="32"/>
      <c r="H1708" s="32"/>
      <c r="I1708" s="32"/>
      <c r="J1708" s="32"/>
      <c r="K1708" s="32"/>
      <c r="L1708" s="32"/>
      <c r="M1708" s="32"/>
      <c r="N1708" s="32"/>
      <c r="O1708" s="32"/>
      <c r="P1708" s="32"/>
      <c r="Q1708" s="32"/>
      <c r="R1708" s="32"/>
      <c r="S1708" s="32"/>
      <c r="T1708" s="32"/>
      <c r="U1708" s="32"/>
      <c r="V1708" s="32"/>
      <c r="W1708" s="32"/>
      <c r="X1708" s="32"/>
      <c r="Y1708" s="32"/>
      <c r="Z1708" s="32"/>
      <c r="AA1708" s="32"/>
      <c r="AB1708" s="32"/>
      <c r="AC1708" s="32"/>
      <c r="AD1708" s="32"/>
      <c r="AE1708" s="32"/>
      <c r="AF1708" s="32"/>
      <c r="AG1708" s="32"/>
      <c r="AH1708" s="32" t="b">
        <f>IFERROR(__xludf.DUMMYFUNCTION("""COMPUTED_VALUE"""),FALSE)</f>
        <v>0</v>
      </c>
      <c r="AI1708" s="32"/>
      <c r="AJ1708" s="32"/>
      <c r="AK1708" s="32"/>
      <c r="AL1708" s="32"/>
      <c r="AM1708" s="32"/>
      <c r="AN1708" s="32"/>
      <c r="AO1708" s="32"/>
      <c r="AP1708" s="32"/>
      <c r="AQ1708" s="32"/>
      <c r="AR1708" s="32"/>
      <c r="AS1708" s="32"/>
      <c r="AT1708" s="32"/>
      <c r="AU1708" s="32"/>
      <c r="AV1708" s="32"/>
      <c r="AW1708" s="32"/>
      <c r="AX1708" s="32"/>
    </row>
    <row r="1709">
      <c r="A1709" s="32"/>
      <c r="B1709" s="32"/>
      <c r="C1709" s="32"/>
      <c r="D1709" s="32"/>
      <c r="E1709" s="32">
        <f>IFERROR(__xludf.DUMMYFUNCTION("""COMPUTED_VALUE"""),1.0)</f>
        <v>1</v>
      </c>
      <c r="F1709" s="44">
        <f>IFERROR(__xludf.DUMMYFUNCTION("""COMPUTED_VALUE"""),0.0)</f>
        <v>0</v>
      </c>
      <c r="G1709" s="32"/>
      <c r="H1709" s="32"/>
      <c r="I1709" s="32"/>
      <c r="J1709" s="32"/>
      <c r="K1709" s="32"/>
      <c r="L1709" s="32"/>
      <c r="M1709" s="32"/>
      <c r="N1709" s="32"/>
      <c r="O1709" s="32"/>
      <c r="P1709" s="32"/>
      <c r="Q1709" s="32"/>
      <c r="R1709" s="32"/>
      <c r="S1709" s="32"/>
      <c r="T1709" s="32"/>
      <c r="U1709" s="32"/>
      <c r="V1709" s="32"/>
      <c r="W1709" s="32"/>
      <c r="X1709" s="32"/>
      <c r="Y1709" s="32"/>
      <c r="Z1709" s="32"/>
      <c r="AA1709" s="32"/>
      <c r="AB1709" s="32"/>
      <c r="AC1709" s="32"/>
      <c r="AD1709" s="32"/>
      <c r="AE1709" s="32"/>
      <c r="AF1709" s="32"/>
      <c r="AG1709" s="32"/>
      <c r="AH1709" s="32" t="b">
        <f>IFERROR(__xludf.DUMMYFUNCTION("""COMPUTED_VALUE"""),FALSE)</f>
        <v>0</v>
      </c>
      <c r="AI1709" s="32"/>
      <c r="AJ1709" s="32"/>
      <c r="AK1709" s="32"/>
      <c r="AL1709" s="32"/>
      <c r="AM1709" s="32"/>
      <c r="AN1709" s="32"/>
      <c r="AO1709" s="32"/>
      <c r="AP1709" s="32"/>
      <c r="AQ1709" s="32"/>
      <c r="AR1709" s="32"/>
      <c r="AS1709" s="32"/>
      <c r="AT1709" s="32"/>
      <c r="AU1709" s="32"/>
      <c r="AV1709" s="32"/>
      <c r="AW1709" s="32"/>
      <c r="AX1709" s="32"/>
    </row>
    <row r="1710">
      <c r="A1710" s="32"/>
      <c r="B1710" s="32"/>
      <c r="C1710" s="32"/>
      <c r="D1710" s="32"/>
      <c r="E1710" s="32">
        <f>IFERROR(__xludf.DUMMYFUNCTION("""COMPUTED_VALUE"""),1.0)</f>
        <v>1</v>
      </c>
      <c r="F1710" s="44">
        <f>IFERROR(__xludf.DUMMYFUNCTION("""COMPUTED_VALUE"""),0.0)</f>
        <v>0</v>
      </c>
      <c r="G1710" s="32"/>
      <c r="H1710" s="32"/>
      <c r="I1710" s="32"/>
      <c r="J1710" s="32"/>
      <c r="K1710" s="32"/>
      <c r="L1710" s="32"/>
      <c r="M1710" s="32"/>
      <c r="N1710" s="32"/>
      <c r="O1710" s="32"/>
      <c r="P1710" s="32"/>
      <c r="Q1710" s="32"/>
      <c r="R1710" s="32"/>
      <c r="S1710" s="32"/>
      <c r="T1710" s="32"/>
      <c r="U1710" s="32"/>
      <c r="V1710" s="32"/>
      <c r="W1710" s="32"/>
      <c r="X1710" s="32"/>
      <c r="Y1710" s="32"/>
      <c r="Z1710" s="32"/>
      <c r="AA1710" s="32"/>
      <c r="AB1710" s="32"/>
      <c r="AC1710" s="32"/>
      <c r="AD1710" s="32"/>
      <c r="AE1710" s="32"/>
      <c r="AF1710" s="32"/>
      <c r="AG1710" s="32"/>
      <c r="AH1710" s="32" t="b">
        <f>IFERROR(__xludf.DUMMYFUNCTION("""COMPUTED_VALUE"""),FALSE)</f>
        <v>0</v>
      </c>
      <c r="AI1710" s="32"/>
      <c r="AJ1710" s="32"/>
      <c r="AK1710" s="32"/>
      <c r="AL1710" s="32"/>
      <c r="AM1710" s="32"/>
      <c r="AN1710" s="32"/>
      <c r="AO1710" s="32"/>
      <c r="AP1710" s="32"/>
      <c r="AQ1710" s="32"/>
      <c r="AR1710" s="32"/>
      <c r="AS1710" s="32"/>
      <c r="AT1710" s="32"/>
      <c r="AU1710" s="32"/>
      <c r="AV1710" s="32"/>
      <c r="AW1710" s="32"/>
      <c r="AX1710" s="32"/>
    </row>
    <row r="1711">
      <c r="A1711" s="32"/>
      <c r="B1711" s="32"/>
      <c r="C1711" s="32"/>
      <c r="D1711" s="32"/>
      <c r="E1711" s="32">
        <f>IFERROR(__xludf.DUMMYFUNCTION("""COMPUTED_VALUE"""),1.0)</f>
        <v>1</v>
      </c>
      <c r="F1711" s="44">
        <f>IFERROR(__xludf.DUMMYFUNCTION("""COMPUTED_VALUE"""),0.0)</f>
        <v>0</v>
      </c>
      <c r="G1711" s="32"/>
      <c r="H1711" s="32"/>
      <c r="I1711" s="32"/>
      <c r="J1711" s="32"/>
      <c r="K1711" s="32"/>
      <c r="L1711" s="32"/>
      <c r="M1711" s="32"/>
      <c r="N1711" s="32"/>
      <c r="O1711" s="32"/>
      <c r="P1711" s="32"/>
      <c r="Q1711" s="32"/>
      <c r="R1711" s="32"/>
      <c r="S1711" s="32"/>
      <c r="T1711" s="32"/>
      <c r="U1711" s="32"/>
      <c r="V1711" s="32"/>
      <c r="W1711" s="32"/>
      <c r="X1711" s="32"/>
      <c r="Y1711" s="32"/>
      <c r="Z1711" s="32"/>
      <c r="AA1711" s="32"/>
      <c r="AB1711" s="32"/>
      <c r="AC1711" s="32"/>
      <c r="AD1711" s="32"/>
      <c r="AE1711" s="32"/>
      <c r="AF1711" s="32"/>
      <c r="AG1711" s="32"/>
      <c r="AH1711" s="32" t="b">
        <f>IFERROR(__xludf.DUMMYFUNCTION("""COMPUTED_VALUE"""),FALSE)</f>
        <v>0</v>
      </c>
      <c r="AI1711" s="32"/>
      <c r="AJ1711" s="32"/>
      <c r="AK1711" s="32"/>
      <c r="AL1711" s="32"/>
      <c r="AM1711" s="32"/>
      <c r="AN1711" s="32"/>
      <c r="AO1711" s="32"/>
      <c r="AP1711" s="32"/>
      <c r="AQ1711" s="32"/>
      <c r="AR1711" s="32"/>
      <c r="AS1711" s="32"/>
      <c r="AT1711" s="32"/>
      <c r="AU1711" s="32"/>
      <c r="AV1711" s="32"/>
      <c r="AW1711" s="32"/>
      <c r="AX1711" s="32"/>
    </row>
    <row r="1712">
      <c r="A1712" s="32"/>
      <c r="B1712" s="32"/>
      <c r="C1712" s="32"/>
      <c r="D1712" s="32"/>
      <c r="E1712" s="32">
        <f>IFERROR(__xludf.DUMMYFUNCTION("""COMPUTED_VALUE"""),1.0)</f>
        <v>1</v>
      </c>
      <c r="F1712" s="44">
        <f>IFERROR(__xludf.DUMMYFUNCTION("""COMPUTED_VALUE"""),0.0)</f>
        <v>0</v>
      </c>
      <c r="G1712" s="32"/>
      <c r="H1712" s="32"/>
      <c r="I1712" s="32"/>
      <c r="J1712" s="32"/>
      <c r="K1712" s="32"/>
      <c r="L1712" s="32"/>
      <c r="M1712" s="32"/>
      <c r="N1712" s="32"/>
      <c r="O1712" s="32"/>
      <c r="P1712" s="32"/>
      <c r="Q1712" s="32"/>
      <c r="R1712" s="32"/>
      <c r="S1712" s="32"/>
      <c r="T1712" s="32"/>
      <c r="U1712" s="32"/>
      <c r="V1712" s="32"/>
      <c r="W1712" s="32"/>
      <c r="X1712" s="32"/>
      <c r="Y1712" s="32"/>
      <c r="Z1712" s="32"/>
      <c r="AA1712" s="32"/>
      <c r="AB1712" s="32"/>
      <c r="AC1712" s="32"/>
      <c r="AD1712" s="32"/>
      <c r="AE1712" s="32"/>
      <c r="AF1712" s="32"/>
      <c r="AG1712" s="32"/>
      <c r="AH1712" s="32" t="b">
        <f>IFERROR(__xludf.DUMMYFUNCTION("""COMPUTED_VALUE"""),FALSE)</f>
        <v>0</v>
      </c>
      <c r="AI1712" s="32"/>
      <c r="AJ1712" s="32"/>
      <c r="AK1712" s="32"/>
      <c r="AL1712" s="32"/>
      <c r="AM1712" s="32"/>
      <c r="AN1712" s="32"/>
      <c r="AO1712" s="32"/>
      <c r="AP1712" s="32"/>
      <c r="AQ1712" s="32"/>
      <c r="AR1712" s="32"/>
      <c r="AS1712" s="32"/>
      <c r="AT1712" s="32"/>
      <c r="AU1712" s="32"/>
      <c r="AV1712" s="32"/>
      <c r="AW1712" s="32"/>
      <c r="AX1712" s="32"/>
    </row>
    <row r="1713">
      <c r="A1713" s="32"/>
      <c r="B1713" s="32"/>
      <c r="C1713" s="32"/>
      <c r="D1713" s="32"/>
      <c r="E1713" s="32">
        <f>IFERROR(__xludf.DUMMYFUNCTION("""COMPUTED_VALUE"""),1.0)</f>
        <v>1</v>
      </c>
      <c r="F1713" s="44">
        <f>IFERROR(__xludf.DUMMYFUNCTION("""COMPUTED_VALUE"""),0.0)</f>
        <v>0</v>
      </c>
      <c r="G1713" s="32"/>
      <c r="H1713" s="32"/>
      <c r="I1713" s="32"/>
      <c r="J1713" s="32"/>
      <c r="K1713" s="32"/>
      <c r="L1713" s="32"/>
      <c r="M1713" s="32"/>
      <c r="N1713" s="32"/>
      <c r="O1713" s="32"/>
      <c r="P1713" s="32"/>
      <c r="Q1713" s="32"/>
      <c r="R1713" s="32"/>
      <c r="S1713" s="32"/>
      <c r="T1713" s="32"/>
      <c r="U1713" s="32"/>
      <c r="V1713" s="32"/>
      <c r="W1713" s="32"/>
      <c r="X1713" s="32"/>
      <c r="Y1713" s="32"/>
      <c r="Z1713" s="32"/>
      <c r="AA1713" s="32"/>
      <c r="AB1713" s="32"/>
      <c r="AC1713" s="32"/>
      <c r="AD1713" s="32"/>
      <c r="AE1713" s="32"/>
      <c r="AF1713" s="32"/>
      <c r="AG1713" s="32"/>
      <c r="AH1713" s="32" t="b">
        <f>IFERROR(__xludf.DUMMYFUNCTION("""COMPUTED_VALUE"""),FALSE)</f>
        <v>0</v>
      </c>
      <c r="AI1713" s="32"/>
      <c r="AJ1713" s="32"/>
      <c r="AK1713" s="32"/>
      <c r="AL1713" s="32"/>
      <c r="AM1713" s="32"/>
      <c r="AN1713" s="32"/>
      <c r="AO1713" s="32"/>
      <c r="AP1713" s="32"/>
      <c r="AQ1713" s="32"/>
      <c r="AR1713" s="32"/>
      <c r="AS1713" s="32"/>
      <c r="AT1713" s="32"/>
      <c r="AU1713" s="32"/>
      <c r="AV1713" s="32"/>
      <c r="AW1713" s="32"/>
      <c r="AX1713" s="32"/>
    </row>
    <row r="1714">
      <c r="A1714" s="32"/>
      <c r="B1714" s="32"/>
      <c r="C1714" s="32"/>
      <c r="D1714" s="32"/>
      <c r="E1714" s="32">
        <f>IFERROR(__xludf.DUMMYFUNCTION("""COMPUTED_VALUE"""),1.0)</f>
        <v>1</v>
      </c>
      <c r="F1714" s="44">
        <f>IFERROR(__xludf.DUMMYFUNCTION("""COMPUTED_VALUE"""),0.0)</f>
        <v>0</v>
      </c>
      <c r="G1714" s="32"/>
      <c r="H1714" s="32"/>
      <c r="I1714" s="32"/>
      <c r="J1714" s="32"/>
      <c r="K1714" s="32"/>
      <c r="L1714" s="32"/>
      <c r="M1714" s="32"/>
      <c r="N1714" s="32"/>
      <c r="O1714" s="32"/>
      <c r="P1714" s="32"/>
      <c r="Q1714" s="32"/>
      <c r="R1714" s="32"/>
      <c r="S1714" s="32"/>
      <c r="T1714" s="32"/>
      <c r="U1714" s="32"/>
      <c r="V1714" s="32"/>
      <c r="W1714" s="32"/>
      <c r="X1714" s="32"/>
      <c r="Y1714" s="32"/>
      <c r="Z1714" s="32"/>
      <c r="AA1714" s="32"/>
      <c r="AB1714" s="32"/>
      <c r="AC1714" s="32"/>
      <c r="AD1714" s="32"/>
      <c r="AE1714" s="32"/>
      <c r="AF1714" s="32"/>
      <c r="AG1714" s="32"/>
      <c r="AH1714" s="32" t="b">
        <f>IFERROR(__xludf.DUMMYFUNCTION("""COMPUTED_VALUE"""),FALSE)</f>
        <v>0</v>
      </c>
      <c r="AI1714" s="32"/>
      <c r="AJ1714" s="32"/>
      <c r="AK1714" s="32"/>
      <c r="AL1714" s="32"/>
      <c r="AM1714" s="32"/>
      <c r="AN1714" s="32"/>
      <c r="AO1714" s="32"/>
      <c r="AP1714" s="32"/>
      <c r="AQ1714" s="32"/>
      <c r="AR1714" s="32"/>
      <c r="AS1714" s="32"/>
      <c r="AT1714" s="32"/>
      <c r="AU1714" s="32"/>
      <c r="AV1714" s="32"/>
      <c r="AW1714" s="32"/>
      <c r="AX1714" s="32"/>
    </row>
    <row r="1715">
      <c r="A1715" s="32"/>
      <c r="B1715" s="32"/>
      <c r="C1715" s="32"/>
      <c r="D1715" s="32"/>
      <c r="E1715" s="32">
        <f>IFERROR(__xludf.DUMMYFUNCTION("""COMPUTED_VALUE"""),1.0)</f>
        <v>1</v>
      </c>
      <c r="F1715" s="44">
        <f>IFERROR(__xludf.DUMMYFUNCTION("""COMPUTED_VALUE"""),0.0)</f>
        <v>0</v>
      </c>
      <c r="G1715" s="32"/>
      <c r="H1715" s="32"/>
      <c r="I1715" s="32"/>
      <c r="J1715" s="32"/>
      <c r="K1715" s="32"/>
      <c r="L1715" s="32"/>
      <c r="M1715" s="32"/>
      <c r="N1715" s="32"/>
      <c r="O1715" s="32"/>
      <c r="P1715" s="32"/>
      <c r="Q1715" s="32"/>
      <c r="R1715" s="32"/>
      <c r="S1715" s="32"/>
      <c r="T1715" s="32"/>
      <c r="U1715" s="32"/>
      <c r="V1715" s="32"/>
      <c r="W1715" s="32"/>
      <c r="X1715" s="32"/>
      <c r="Y1715" s="32"/>
      <c r="Z1715" s="32"/>
      <c r="AA1715" s="32"/>
      <c r="AB1715" s="32"/>
      <c r="AC1715" s="32"/>
      <c r="AD1715" s="32"/>
      <c r="AE1715" s="32"/>
      <c r="AF1715" s="32"/>
      <c r="AG1715" s="32"/>
      <c r="AH1715" s="32" t="b">
        <f>IFERROR(__xludf.DUMMYFUNCTION("""COMPUTED_VALUE"""),FALSE)</f>
        <v>0</v>
      </c>
      <c r="AI1715" s="32"/>
      <c r="AJ1715" s="32"/>
      <c r="AK1715" s="32"/>
      <c r="AL1715" s="32"/>
      <c r="AM1715" s="32"/>
      <c r="AN1715" s="32"/>
      <c r="AO1715" s="32"/>
      <c r="AP1715" s="32"/>
      <c r="AQ1715" s="32"/>
      <c r="AR1715" s="32"/>
      <c r="AS1715" s="32"/>
      <c r="AT1715" s="32"/>
      <c r="AU1715" s="32"/>
      <c r="AV1715" s="32"/>
      <c r="AW1715" s="32"/>
      <c r="AX1715" s="32"/>
    </row>
    <row r="1716">
      <c r="A1716" s="32"/>
      <c r="B1716" s="32"/>
      <c r="C1716" s="32"/>
      <c r="D1716" s="32"/>
      <c r="E1716" s="32">
        <f>IFERROR(__xludf.DUMMYFUNCTION("""COMPUTED_VALUE"""),1.0)</f>
        <v>1</v>
      </c>
      <c r="F1716" s="44">
        <f>IFERROR(__xludf.DUMMYFUNCTION("""COMPUTED_VALUE"""),0.0)</f>
        <v>0</v>
      </c>
      <c r="G1716" s="32"/>
      <c r="H1716" s="32"/>
      <c r="I1716" s="32"/>
      <c r="J1716" s="32"/>
      <c r="K1716" s="32"/>
      <c r="L1716" s="32"/>
      <c r="M1716" s="32"/>
      <c r="N1716" s="32"/>
      <c r="O1716" s="32"/>
      <c r="P1716" s="32"/>
      <c r="Q1716" s="32"/>
      <c r="R1716" s="32"/>
      <c r="S1716" s="32"/>
      <c r="T1716" s="32"/>
      <c r="U1716" s="32"/>
      <c r="V1716" s="32"/>
      <c r="W1716" s="32"/>
      <c r="X1716" s="32"/>
      <c r="Y1716" s="32"/>
      <c r="Z1716" s="32"/>
      <c r="AA1716" s="32"/>
      <c r="AB1716" s="32"/>
      <c r="AC1716" s="32"/>
      <c r="AD1716" s="32"/>
      <c r="AE1716" s="32"/>
      <c r="AF1716" s="32"/>
      <c r="AG1716" s="32"/>
      <c r="AH1716" s="32" t="b">
        <f>IFERROR(__xludf.DUMMYFUNCTION("""COMPUTED_VALUE"""),FALSE)</f>
        <v>0</v>
      </c>
      <c r="AI1716" s="32"/>
      <c r="AJ1716" s="32"/>
      <c r="AK1716" s="32"/>
      <c r="AL1716" s="32"/>
      <c r="AM1716" s="32"/>
      <c r="AN1716" s="32"/>
      <c r="AO1716" s="32"/>
      <c r="AP1716" s="32"/>
      <c r="AQ1716" s="32"/>
      <c r="AR1716" s="32"/>
      <c r="AS1716" s="32"/>
      <c r="AT1716" s="32"/>
      <c r="AU1716" s="32"/>
      <c r="AV1716" s="32"/>
      <c r="AW1716" s="32"/>
      <c r="AX1716" s="32"/>
    </row>
    <row r="1717">
      <c r="A1717" s="32"/>
      <c r="B1717" s="32"/>
      <c r="C1717" s="32"/>
      <c r="D1717" s="32"/>
      <c r="E1717" s="32">
        <f>IFERROR(__xludf.DUMMYFUNCTION("""COMPUTED_VALUE"""),1.0)</f>
        <v>1</v>
      </c>
      <c r="F1717" s="44">
        <f>IFERROR(__xludf.DUMMYFUNCTION("""COMPUTED_VALUE"""),0.0)</f>
        <v>0</v>
      </c>
      <c r="G1717" s="32"/>
      <c r="H1717" s="32"/>
      <c r="I1717" s="32"/>
      <c r="J1717" s="32"/>
      <c r="K1717" s="32"/>
      <c r="L1717" s="32"/>
      <c r="M1717" s="32"/>
      <c r="N1717" s="32"/>
      <c r="O1717" s="32"/>
      <c r="P1717" s="32"/>
      <c r="Q1717" s="32"/>
      <c r="R1717" s="32"/>
      <c r="S1717" s="32"/>
      <c r="T1717" s="32"/>
      <c r="U1717" s="32"/>
      <c r="V1717" s="32"/>
      <c r="W1717" s="32"/>
      <c r="X1717" s="32"/>
      <c r="Y1717" s="32"/>
      <c r="Z1717" s="32"/>
      <c r="AA1717" s="32"/>
      <c r="AB1717" s="32"/>
      <c r="AC1717" s="32"/>
      <c r="AD1717" s="32"/>
      <c r="AE1717" s="32"/>
      <c r="AF1717" s="32"/>
      <c r="AG1717" s="32"/>
      <c r="AH1717" s="32" t="b">
        <f>IFERROR(__xludf.DUMMYFUNCTION("""COMPUTED_VALUE"""),FALSE)</f>
        <v>0</v>
      </c>
      <c r="AI1717" s="32"/>
      <c r="AJ1717" s="32"/>
      <c r="AK1717" s="32"/>
      <c r="AL1717" s="32"/>
      <c r="AM1717" s="32"/>
      <c r="AN1717" s="32"/>
      <c r="AO1717" s="32"/>
      <c r="AP1717" s="32"/>
      <c r="AQ1717" s="32"/>
      <c r="AR1717" s="32"/>
      <c r="AS1717" s="32"/>
      <c r="AT1717" s="32"/>
      <c r="AU1717" s="32"/>
      <c r="AV1717" s="32"/>
      <c r="AW1717" s="32"/>
      <c r="AX1717" s="32"/>
    </row>
    <row r="1718">
      <c r="A1718" s="32"/>
      <c r="B1718" s="32"/>
      <c r="C1718" s="32"/>
      <c r="D1718" s="32"/>
      <c r="E1718" s="32">
        <f>IFERROR(__xludf.DUMMYFUNCTION("""COMPUTED_VALUE"""),1.0)</f>
        <v>1</v>
      </c>
      <c r="F1718" s="44">
        <f>IFERROR(__xludf.DUMMYFUNCTION("""COMPUTED_VALUE"""),0.0)</f>
        <v>0</v>
      </c>
      <c r="G1718" s="32"/>
      <c r="H1718" s="32"/>
      <c r="I1718" s="32"/>
      <c r="J1718" s="32"/>
      <c r="K1718" s="32"/>
      <c r="L1718" s="32"/>
      <c r="M1718" s="32"/>
      <c r="N1718" s="32"/>
      <c r="O1718" s="32"/>
      <c r="P1718" s="32"/>
      <c r="Q1718" s="32"/>
      <c r="R1718" s="32"/>
      <c r="S1718" s="32"/>
      <c r="T1718" s="32"/>
      <c r="U1718" s="32"/>
      <c r="V1718" s="32"/>
      <c r="W1718" s="32"/>
      <c r="X1718" s="32"/>
      <c r="Y1718" s="32"/>
      <c r="Z1718" s="32"/>
      <c r="AA1718" s="32"/>
      <c r="AB1718" s="32"/>
      <c r="AC1718" s="32"/>
      <c r="AD1718" s="32"/>
      <c r="AE1718" s="32"/>
      <c r="AF1718" s="32"/>
      <c r="AG1718" s="32"/>
      <c r="AH1718" s="32" t="b">
        <f>IFERROR(__xludf.DUMMYFUNCTION("""COMPUTED_VALUE"""),FALSE)</f>
        <v>0</v>
      </c>
      <c r="AI1718" s="32"/>
      <c r="AJ1718" s="32"/>
      <c r="AK1718" s="32"/>
      <c r="AL1718" s="32"/>
      <c r="AM1718" s="32"/>
      <c r="AN1718" s="32"/>
      <c r="AO1718" s="32"/>
      <c r="AP1718" s="32"/>
      <c r="AQ1718" s="32"/>
      <c r="AR1718" s="32"/>
      <c r="AS1718" s="32"/>
      <c r="AT1718" s="32"/>
      <c r="AU1718" s="32"/>
      <c r="AV1718" s="32"/>
      <c r="AW1718" s="32"/>
      <c r="AX1718" s="32"/>
    </row>
    <row r="1719">
      <c r="A1719" s="32"/>
      <c r="B1719" s="32"/>
      <c r="C1719" s="32"/>
      <c r="D1719" s="32"/>
      <c r="E1719" s="32">
        <f>IFERROR(__xludf.DUMMYFUNCTION("""COMPUTED_VALUE"""),1.0)</f>
        <v>1</v>
      </c>
      <c r="F1719" s="44">
        <f>IFERROR(__xludf.DUMMYFUNCTION("""COMPUTED_VALUE"""),0.0)</f>
        <v>0</v>
      </c>
      <c r="G1719" s="32"/>
      <c r="H1719" s="32"/>
      <c r="I1719" s="32"/>
      <c r="J1719" s="32"/>
      <c r="K1719" s="32"/>
      <c r="L1719" s="32"/>
      <c r="M1719" s="32"/>
      <c r="N1719" s="32"/>
      <c r="O1719" s="32"/>
      <c r="P1719" s="32"/>
      <c r="Q1719" s="32"/>
      <c r="R1719" s="32"/>
      <c r="S1719" s="32"/>
      <c r="T1719" s="32"/>
      <c r="U1719" s="32"/>
      <c r="V1719" s="32"/>
      <c r="W1719" s="32"/>
      <c r="X1719" s="32"/>
      <c r="Y1719" s="32"/>
      <c r="Z1719" s="32"/>
      <c r="AA1719" s="32"/>
      <c r="AB1719" s="32"/>
      <c r="AC1719" s="32"/>
      <c r="AD1719" s="32"/>
      <c r="AE1719" s="32"/>
      <c r="AF1719" s="32"/>
      <c r="AG1719" s="32"/>
      <c r="AH1719" s="32" t="b">
        <f>IFERROR(__xludf.DUMMYFUNCTION("""COMPUTED_VALUE"""),FALSE)</f>
        <v>0</v>
      </c>
      <c r="AI1719" s="32"/>
      <c r="AJ1719" s="32"/>
      <c r="AK1719" s="32"/>
      <c r="AL1719" s="32"/>
      <c r="AM1719" s="32"/>
      <c r="AN1719" s="32"/>
      <c r="AO1719" s="32"/>
      <c r="AP1719" s="32"/>
      <c r="AQ1719" s="32"/>
      <c r="AR1719" s="32"/>
      <c r="AS1719" s="32"/>
      <c r="AT1719" s="32"/>
      <c r="AU1719" s="32"/>
      <c r="AV1719" s="32"/>
      <c r="AW1719" s="32"/>
      <c r="AX1719" s="32"/>
    </row>
    <row r="1720">
      <c r="A1720" s="32"/>
      <c r="B1720" s="32"/>
      <c r="C1720" s="32"/>
      <c r="D1720" s="32"/>
      <c r="E1720" s="32">
        <f>IFERROR(__xludf.DUMMYFUNCTION("""COMPUTED_VALUE"""),1.0)</f>
        <v>1</v>
      </c>
      <c r="F1720" s="44">
        <f>IFERROR(__xludf.DUMMYFUNCTION("""COMPUTED_VALUE"""),0.0)</f>
        <v>0</v>
      </c>
      <c r="G1720" s="32"/>
      <c r="H1720" s="32"/>
      <c r="I1720" s="32"/>
      <c r="J1720" s="32"/>
      <c r="K1720" s="32"/>
      <c r="L1720" s="32"/>
      <c r="M1720" s="32"/>
      <c r="N1720" s="32"/>
      <c r="O1720" s="32"/>
      <c r="P1720" s="32"/>
      <c r="Q1720" s="32"/>
      <c r="R1720" s="32"/>
      <c r="S1720" s="32"/>
      <c r="T1720" s="32"/>
      <c r="U1720" s="32"/>
      <c r="V1720" s="32"/>
      <c r="W1720" s="32"/>
      <c r="X1720" s="32"/>
      <c r="Y1720" s="32"/>
      <c r="Z1720" s="32"/>
      <c r="AA1720" s="32"/>
      <c r="AB1720" s="32"/>
      <c r="AC1720" s="32"/>
      <c r="AD1720" s="32"/>
      <c r="AE1720" s="32"/>
      <c r="AF1720" s="32"/>
      <c r="AG1720" s="32"/>
      <c r="AH1720" s="32" t="b">
        <f>IFERROR(__xludf.DUMMYFUNCTION("""COMPUTED_VALUE"""),FALSE)</f>
        <v>0</v>
      </c>
      <c r="AI1720" s="32"/>
      <c r="AJ1720" s="32"/>
      <c r="AK1720" s="32"/>
      <c r="AL1720" s="32"/>
      <c r="AM1720" s="32"/>
      <c r="AN1720" s="32"/>
      <c r="AO1720" s="32"/>
      <c r="AP1720" s="32"/>
      <c r="AQ1720" s="32"/>
      <c r="AR1720" s="32"/>
      <c r="AS1720" s="32"/>
      <c r="AT1720" s="32"/>
      <c r="AU1720" s="32"/>
      <c r="AV1720" s="32"/>
      <c r="AW1720" s="32"/>
      <c r="AX1720" s="32"/>
    </row>
    <row r="1721">
      <c r="A1721" s="32"/>
      <c r="B1721" s="32"/>
      <c r="C1721" s="32"/>
      <c r="D1721" s="32"/>
      <c r="E1721" s="32">
        <f>IFERROR(__xludf.DUMMYFUNCTION("""COMPUTED_VALUE"""),1.0)</f>
        <v>1</v>
      </c>
      <c r="F1721" s="44">
        <f>IFERROR(__xludf.DUMMYFUNCTION("""COMPUTED_VALUE"""),0.0)</f>
        <v>0</v>
      </c>
      <c r="G1721" s="32"/>
      <c r="H1721" s="32"/>
      <c r="I1721" s="32"/>
      <c r="J1721" s="32"/>
      <c r="K1721" s="32"/>
      <c r="L1721" s="32"/>
      <c r="M1721" s="32"/>
      <c r="N1721" s="32"/>
      <c r="O1721" s="32"/>
      <c r="P1721" s="32"/>
      <c r="Q1721" s="32"/>
      <c r="R1721" s="32"/>
      <c r="S1721" s="32"/>
      <c r="T1721" s="32"/>
      <c r="U1721" s="32"/>
      <c r="V1721" s="32"/>
      <c r="W1721" s="32"/>
      <c r="X1721" s="32"/>
      <c r="Y1721" s="32"/>
      <c r="Z1721" s="32"/>
      <c r="AA1721" s="32"/>
      <c r="AB1721" s="32"/>
      <c r="AC1721" s="32"/>
      <c r="AD1721" s="32"/>
      <c r="AE1721" s="32"/>
      <c r="AF1721" s="32"/>
      <c r="AG1721" s="32"/>
      <c r="AH1721" s="32" t="b">
        <f>IFERROR(__xludf.DUMMYFUNCTION("""COMPUTED_VALUE"""),FALSE)</f>
        <v>0</v>
      </c>
      <c r="AI1721" s="32"/>
      <c r="AJ1721" s="32"/>
      <c r="AK1721" s="32"/>
      <c r="AL1721" s="32"/>
      <c r="AM1721" s="32"/>
      <c r="AN1721" s="32"/>
      <c r="AO1721" s="32"/>
      <c r="AP1721" s="32"/>
      <c r="AQ1721" s="32"/>
      <c r="AR1721" s="32"/>
      <c r="AS1721" s="32"/>
      <c r="AT1721" s="32"/>
      <c r="AU1721" s="32"/>
      <c r="AV1721" s="32"/>
      <c r="AW1721" s="32"/>
      <c r="AX1721" s="32"/>
    </row>
    <row r="1722">
      <c r="A1722" s="32"/>
      <c r="B1722" s="32"/>
      <c r="C1722" s="32"/>
      <c r="D1722" s="32"/>
      <c r="E1722" s="32">
        <f>IFERROR(__xludf.DUMMYFUNCTION("""COMPUTED_VALUE"""),1.0)</f>
        <v>1</v>
      </c>
      <c r="F1722" s="44">
        <f>IFERROR(__xludf.DUMMYFUNCTION("""COMPUTED_VALUE"""),0.0)</f>
        <v>0</v>
      </c>
      <c r="G1722" s="32"/>
      <c r="H1722" s="32"/>
      <c r="I1722" s="32"/>
      <c r="J1722" s="32"/>
      <c r="K1722" s="32"/>
      <c r="L1722" s="32"/>
      <c r="M1722" s="32"/>
      <c r="N1722" s="32"/>
      <c r="O1722" s="32"/>
      <c r="P1722" s="32"/>
      <c r="Q1722" s="32"/>
      <c r="R1722" s="32"/>
      <c r="S1722" s="32"/>
      <c r="T1722" s="32"/>
      <c r="U1722" s="32"/>
      <c r="V1722" s="32"/>
      <c r="W1722" s="32"/>
      <c r="X1722" s="32"/>
      <c r="Y1722" s="32"/>
      <c r="Z1722" s="32"/>
      <c r="AA1722" s="32"/>
      <c r="AB1722" s="32"/>
      <c r="AC1722" s="32"/>
      <c r="AD1722" s="32"/>
      <c r="AE1722" s="32"/>
      <c r="AF1722" s="32"/>
      <c r="AG1722" s="32"/>
      <c r="AH1722" s="32" t="b">
        <f>IFERROR(__xludf.DUMMYFUNCTION("""COMPUTED_VALUE"""),FALSE)</f>
        <v>0</v>
      </c>
      <c r="AI1722" s="32"/>
      <c r="AJ1722" s="32"/>
      <c r="AK1722" s="32"/>
      <c r="AL1722" s="32"/>
      <c r="AM1722" s="32"/>
      <c r="AN1722" s="32"/>
      <c r="AO1722" s="32"/>
      <c r="AP1722" s="32"/>
      <c r="AQ1722" s="32"/>
      <c r="AR1722" s="32"/>
      <c r="AS1722" s="32"/>
      <c r="AT1722" s="32"/>
      <c r="AU1722" s="32"/>
      <c r="AV1722" s="32"/>
      <c r="AW1722" s="32"/>
      <c r="AX1722" s="32"/>
    </row>
    <row r="1723">
      <c r="A1723" s="32"/>
      <c r="B1723" s="32"/>
      <c r="C1723" s="32"/>
      <c r="D1723" s="32"/>
      <c r="E1723" s="32">
        <f>IFERROR(__xludf.DUMMYFUNCTION("""COMPUTED_VALUE"""),1.0)</f>
        <v>1</v>
      </c>
      <c r="F1723" s="44">
        <f>IFERROR(__xludf.DUMMYFUNCTION("""COMPUTED_VALUE"""),0.0)</f>
        <v>0</v>
      </c>
      <c r="G1723" s="32"/>
      <c r="H1723" s="32"/>
      <c r="I1723" s="32"/>
      <c r="J1723" s="32"/>
      <c r="K1723" s="32"/>
      <c r="L1723" s="32"/>
      <c r="M1723" s="32"/>
      <c r="N1723" s="32"/>
      <c r="O1723" s="32"/>
      <c r="P1723" s="32"/>
      <c r="Q1723" s="32"/>
      <c r="R1723" s="32"/>
      <c r="S1723" s="32"/>
      <c r="T1723" s="32"/>
      <c r="U1723" s="32"/>
      <c r="V1723" s="32"/>
      <c r="W1723" s="32"/>
      <c r="X1723" s="32"/>
      <c r="Y1723" s="32"/>
      <c r="Z1723" s="32"/>
      <c r="AA1723" s="32"/>
      <c r="AB1723" s="32"/>
      <c r="AC1723" s="32"/>
      <c r="AD1723" s="32"/>
      <c r="AE1723" s="32"/>
      <c r="AF1723" s="32"/>
      <c r="AG1723" s="32"/>
      <c r="AH1723" s="32" t="b">
        <f>IFERROR(__xludf.DUMMYFUNCTION("""COMPUTED_VALUE"""),FALSE)</f>
        <v>0</v>
      </c>
      <c r="AI1723" s="32"/>
      <c r="AJ1723" s="32"/>
      <c r="AK1723" s="32"/>
      <c r="AL1723" s="32"/>
      <c r="AM1723" s="32"/>
      <c r="AN1723" s="32"/>
      <c r="AO1723" s="32"/>
      <c r="AP1723" s="32"/>
      <c r="AQ1723" s="32"/>
      <c r="AR1723" s="32"/>
      <c r="AS1723" s="32"/>
      <c r="AT1723" s="32"/>
      <c r="AU1723" s="32"/>
      <c r="AV1723" s="32"/>
      <c r="AW1723" s="32"/>
      <c r="AX1723" s="32"/>
    </row>
    <row r="1724">
      <c r="A1724" s="32"/>
      <c r="B1724" s="32"/>
      <c r="C1724" s="32"/>
      <c r="D1724" s="32"/>
      <c r="E1724" s="32">
        <f>IFERROR(__xludf.DUMMYFUNCTION("""COMPUTED_VALUE"""),1.0)</f>
        <v>1</v>
      </c>
      <c r="F1724" s="44">
        <f>IFERROR(__xludf.DUMMYFUNCTION("""COMPUTED_VALUE"""),0.0)</f>
        <v>0</v>
      </c>
      <c r="G1724" s="32"/>
      <c r="H1724" s="32"/>
      <c r="I1724" s="32"/>
      <c r="J1724" s="32"/>
      <c r="K1724" s="32"/>
      <c r="L1724" s="32"/>
      <c r="M1724" s="32"/>
      <c r="N1724" s="32"/>
      <c r="O1724" s="32"/>
      <c r="P1724" s="32"/>
      <c r="Q1724" s="32"/>
      <c r="R1724" s="32"/>
      <c r="S1724" s="32"/>
      <c r="T1724" s="32"/>
      <c r="U1724" s="32"/>
      <c r="V1724" s="32"/>
      <c r="W1724" s="32"/>
      <c r="X1724" s="32"/>
      <c r="Y1724" s="32"/>
      <c r="Z1724" s="32"/>
      <c r="AA1724" s="32"/>
      <c r="AB1724" s="32"/>
      <c r="AC1724" s="32"/>
      <c r="AD1724" s="32"/>
      <c r="AE1724" s="32"/>
      <c r="AF1724" s="32"/>
      <c r="AG1724" s="32"/>
      <c r="AH1724" s="32" t="b">
        <f>IFERROR(__xludf.DUMMYFUNCTION("""COMPUTED_VALUE"""),FALSE)</f>
        <v>0</v>
      </c>
      <c r="AI1724" s="32"/>
      <c r="AJ1724" s="32"/>
      <c r="AK1724" s="32"/>
      <c r="AL1724" s="32"/>
      <c r="AM1724" s="32"/>
      <c r="AN1724" s="32"/>
      <c r="AO1724" s="32"/>
      <c r="AP1724" s="32"/>
      <c r="AQ1724" s="32"/>
      <c r="AR1724" s="32"/>
      <c r="AS1724" s="32"/>
      <c r="AT1724" s="32"/>
      <c r="AU1724" s="32"/>
      <c r="AV1724" s="32"/>
      <c r="AW1724" s="32"/>
      <c r="AX1724" s="32"/>
    </row>
    <row r="1725">
      <c r="A1725" s="32"/>
      <c r="B1725" s="32"/>
      <c r="C1725" s="32"/>
      <c r="D1725" s="32"/>
      <c r="E1725" s="32">
        <f>IFERROR(__xludf.DUMMYFUNCTION("""COMPUTED_VALUE"""),1.0)</f>
        <v>1</v>
      </c>
      <c r="F1725" s="44">
        <f>IFERROR(__xludf.DUMMYFUNCTION("""COMPUTED_VALUE"""),0.0)</f>
        <v>0</v>
      </c>
      <c r="G1725" s="32"/>
      <c r="H1725" s="32"/>
      <c r="I1725" s="32"/>
      <c r="J1725" s="32"/>
      <c r="K1725" s="32"/>
      <c r="L1725" s="32"/>
      <c r="M1725" s="32"/>
      <c r="N1725" s="32"/>
      <c r="O1725" s="32"/>
      <c r="P1725" s="32"/>
      <c r="Q1725" s="32"/>
      <c r="R1725" s="32"/>
      <c r="S1725" s="32"/>
      <c r="T1725" s="32"/>
      <c r="U1725" s="32"/>
      <c r="V1725" s="32"/>
      <c r="W1725" s="32"/>
      <c r="X1725" s="32"/>
      <c r="Y1725" s="32"/>
      <c r="Z1725" s="32"/>
      <c r="AA1725" s="32"/>
      <c r="AB1725" s="32"/>
      <c r="AC1725" s="32"/>
      <c r="AD1725" s="32"/>
      <c r="AE1725" s="32"/>
      <c r="AF1725" s="32"/>
      <c r="AG1725" s="32"/>
      <c r="AH1725" s="32" t="b">
        <f>IFERROR(__xludf.DUMMYFUNCTION("""COMPUTED_VALUE"""),FALSE)</f>
        <v>0</v>
      </c>
      <c r="AI1725" s="32"/>
      <c r="AJ1725" s="32"/>
      <c r="AK1725" s="32"/>
      <c r="AL1725" s="32"/>
      <c r="AM1725" s="32"/>
      <c r="AN1725" s="32"/>
      <c r="AO1725" s="32"/>
      <c r="AP1725" s="32"/>
      <c r="AQ1725" s="32"/>
      <c r="AR1725" s="32"/>
      <c r="AS1725" s="32"/>
      <c r="AT1725" s="32"/>
      <c r="AU1725" s="32"/>
      <c r="AV1725" s="32"/>
      <c r="AW1725" s="32"/>
      <c r="AX1725" s="32"/>
    </row>
    <row r="1726">
      <c r="A1726" s="32"/>
      <c r="B1726" s="32"/>
      <c r="C1726" s="32"/>
      <c r="D1726" s="32"/>
      <c r="E1726" s="32">
        <f>IFERROR(__xludf.DUMMYFUNCTION("""COMPUTED_VALUE"""),1.0)</f>
        <v>1</v>
      </c>
      <c r="F1726" s="44">
        <f>IFERROR(__xludf.DUMMYFUNCTION("""COMPUTED_VALUE"""),0.0)</f>
        <v>0</v>
      </c>
      <c r="G1726" s="32"/>
      <c r="H1726" s="32"/>
      <c r="I1726" s="32"/>
      <c r="J1726" s="32"/>
      <c r="K1726" s="32"/>
      <c r="L1726" s="32"/>
      <c r="M1726" s="32"/>
      <c r="N1726" s="32"/>
      <c r="O1726" s="32"/>
      <c r="P1726" s="32"/>
      <c r="Q1726" s="32"/>
      <c r="R1726" s="32"/>
      <c r="S1726" s="32"/>
      <c r="T1726" s="32"/>
      <c r="U1726" s="32"/>
      <c r="V1726" s="32"/>
      <c r="W1726" s="32"/>
      <c r="X1726" s="32"/>
      <c r="Y1726" s="32"/>
      <c r="Z1726" s="32"/>
      <c r="AA1726" s="32"/>
      <c r="AB1726" s="32"/>
      <c r="AC1726" s="32"/>
      <c r="AD1726" s="32"/>
      <c r="AE1726" s="32"/>
      <c r="AF1726" s="32"/>
      <c r="AG1726" s="32"/>
      <c r="AH1726" s="32" t="b">
        <f>IFERROR(__xludf.DUMMYFUNCTION("""COMPUTED_VALUE"""),FALSE)</f>
        <v>0</v>
      </c>
      <c r="AI1726" s="32"/>
      <c r="AJ1726" s="32"/>
      <c r="AK1726" s="32"/>
      <c r="AL1726" s="32"/>
      <c r="AM1726" s="32"/>
      <c r="AN1726" s="32"/>
      <c r="AO1726" s="32"/>
      <c r="AP1726" s="32"/>
      <c r="AQ1726" s="32"/>
      <c r="AR1726" s="32"/>
      <c r="AS1726" s="32"/>
      <c r="AT1726" s="32"/>
      <c r="AU1726" s="32"/>
      <c r="AV1726" s="32"/>
      <c r="AW1726" s="32"/>
      <c r="AX1726" s="32"/>
    </row>
    <row r="1727">
      <c r="A1727" s="32"/>
      <c r="B1727" s="32"/>
      <c r="C1727" s="32"/>
      <c r="D1727" s="32"/>
      <c r="E1727" s="32">
        <f>IFERROR(__xludf.DUMMYFUNCTION("""COMPUTED_VALUE"""),1.0)</f>
        <v>1</v>
      </c>
      <c r="F1727" s="44">
        <f>IFERROR(__xludf.DUMMYFUNCTION("""COMPUTED_VALUE"""),0.0)</f>
        <v>0</v>
      </c>
      <c r="G1727" s="32"/>
      <c r="H1727" s="32"/>
      <c r="I1727" s="32"/>
      <c r="J1727" s="32"/>
      <c r="K1727" s="32"/>
      <c r="L1727" s="32"/>
      <c r="M1727" s="32"/>
      <c r="N1727" s="32"/>
      <c r="O1727" s="32"/>
      <c r="P1727" s="32"/>
      <c r="Q1727" s="32"/>
      <c r="R1727" s="32"/>
      <c r="S1727" s="32"/>
      <c r="T1727" s="32"/>
      <c r="U1727" s="32"/>
      <c r="V1727" s="32"/>
      <c r="W1727" s="32"/>
      <c r="X1727" s="32"/>
      <c r="Y1727" s="32"/>
      <c r="Z1727" s="32"/>
      <c r="AA1727" s="32"/>
      <c r="AB1727" s="32"/>
      <c r="AC1727" s="32"/>
      <c r="AD1727" s="32"/>
      <c r="AE1727" s="32"/>
      <c r="AF1727" s="32"/>
      <c r="AG1727" s="32"/>
      <c r="AH1727" s="32" t="b">
        <f>IFERROR(__xludf.DUMMYFUNCTION("""COMPUTED_VALUE"""),FALSE)</f>
        <v>0</v>
      </c>
      <c r="AI1727" s="32"/>
      <c r="AJ1727" s="32"/>
      <c r="AK1727" s="32"/>
      <c r="AL1727" s="32"/>
      <c r="AM1727" s="32"/>
      <c r="AN1727" s="32"/>
      <c r="AO1727" s="32"/>
      <c r="AP1727" s="32"/>
      <c r="AQ1727" s="32"/>
      <c r="AR1727" s="32"/>
      <c r="AS1727" s="32"/>
      <c r="AT1727" s="32"/>
      <c r="AU1727" s="32"/>
      <c r="AV1727" s="32"/>
      <c r="AW1727" s="32"/>
      <c r="AX1727" s="32"/>
    </row>
    <row r="1728">
      <c r="A1728" s="32"/>
      <c r="B1728" s="32"/>
      <c r="C1728" s="32"/>
      <c r="D1728" s="32"/>
      <c r="E1728" s="32">
        <f>IFERROR(__xludf.DUMMYFUNCTION("""COMPUTED_VALUE"""),1.0)</f>
        <v>1</v>
      </c>
      <c r="F1728" s="44">
        <f>IFERROR(__xludf.DUMMYFUNCTION("""COMPUTED_VALUE"""),0.0)</f>
        <v>0</v>
      </c>
      <c r="G1728" s="32"/>
      <c r="H1728" s="32"/>
      <c r="I1728" s="32"/>
      <c r="J1728" s="32"/>
      <c r="K1728" s="32"/>
      <c r="L1728" s="32"/>
      <c r="M1728" s="32"/>
      <c r="N1728" s="32"/>
      <c r="O1728" s="32"/>
      <c r="P1728" s="32"/>
      <c r="Q1728" s="32"/>
      <c r="R1728" s="32"/>
      <c r="S1728" s="32"/>
      <c r="T1728" s="32"/>
      <c r="U1728" s="32"/>
      <c r="V1728" s="32"/>
      <c r="W1728" s="32"/>
      <c r="X1728" s="32"/>
      <c r="Y1728" s="32"/>
      <c r="Z1728" s="32"/>
      <c r="AA1728" s="32"/>
      <c r="AB1728" s="32"/>
      <c r="AC1728" s="32"/>
      <c r="AD1728" s="32"/>
      <c r="AE1728" s="32"/>
      <c r="AF1728" s="32"/>
      <c r="AG1728" s="32"/>
      <c r="AH1728" s="32" t="b">
        <f>IFERROR(__xludf.DUMMYFUNCTION("""COMPUTED_VALUE"""),FALSE)</f>
        <v>0</v>
      </c>
      <c r="AI1728" s="32"/>
      <c r="AJ1728" s="32"/>
      <c r="AK1728" s="32"/>
      <c r="AL1728" s="32"/>
      <c r="AM1728" s="32"/>
      <c r="AN1728" s="32"/>
      <c r="AO1728" s="32"/>
      <c r="AP1728" s="32"/>
      <c r="AQ1728" s="32"/>
      <c r="AR1728" s="32"/>
      <c r="AS1728" s="32"/>
      <c r="AT1728" s="32"/>
      <c r="AU1728" s="32"/>
      <c r="AV1728" s="32"/>
      <c r="AW1728" s="32"/>
      <c r="AX1728" s="32"/>
    </row>
    <row r="1729">
      <c r="A1729" s="32"/>
      <c r="B1729" s="32"/>
      <c r="C1729" s="32"/>
      <c r="D1729" s="32"/>
      <c r="E1729" s="32">
        <f>IFERROR(__xludf.DUMMYFUNCTION("""COMPUTED_VALUE"""),1.0)</f>
        <v>1</v>
      </c>
      <c r="F1729" s="44">
        <f>IFERROR(__xludf.DUMMYFUNCTION("""COMPUTED_VALUE"""),0.0)</f>
        <v>0</v>
      </c>
      <c r="G1729" s="32"/>
      <c r="H1729" s="32"/>
      <c r="I1729" s="32"/>
      <c r="J1729" s="32"/>
      <c r="K1729" s="32"/>
      <c r="L1729" s="32"/>
      <c r="M1729" s="32"/>
      <c r="N1729" s="32"/>
      <c r="O1729" s="32"/>
      <c r="P1729" s="32"/>
      <c r="Q1729" s="32"/>
      <c r="R1729" s="32"/>
      <c r="S1729" s="32"/>
      <c r="T1729" s="32"/>
      <c r="U1729" s="32"/>
      <c r="V1729" s="32"/>
      <c r="W1729" s="32"/>
      <c r="X1729" s="32"/>
      <c r="Y1729" s="32"/>
      <c r="Z1729" s="32"/>
      <c r="AA1729" s="32"/>
      <c r="AB1729" s="32"/>
      <c r="AC1729" s="32"/>
      <c r="AD1729" s="32"/>
      <c r="AE1729" s="32"/>
      <c r="AF1729" s="32"/>
      <c r="AG1729" s="32"/>
      <c r="AH1729" s="32" t="b">
        <f>IFERROR(__xludf.DUMMYFUNCTION("""COMPUTED_VALUE"""),FALSE)</f>
        <v>0</v>
      </c>
      <c r="AI1729" s="32"/>
      <c r="AJ1729" s="32"/>
      <c r="AK1729" s="32"/>
      <c r="AL1729" s="32"/>
      <c r="AM1729" s="32"/>
      <c r="AN1729" s="32"/>
      <c r="AO1729" s="32"/>
      <c r="AP1729" s="32"/>
      <c r="AQ1729" s="32"/>
      <c r="AR1729" s="32"/>
      <c r="AS1729" s="32"/>
      <c r="AT1729" s="32"/>
      <c r="AU1729" s="32"/>
      <c r="AV1729" s="32"/>
      <c r="AW1729" s="32"/>
      <c r="AX1729" s="32"/>
    </row>
    <row r="1730">
      <c r="A1730" s="32"/>
      <c r="B1730" s="32"/>
      <c r="C1730" s="32"/>
      <c r="D1730" s="32"/>
      <c r="E1730" s="32">
        <f>IFERROR(__xludf.DUMMYFUNCTION("""COMPUTED_VALUE"""),1.0)</f>
        <v>1</v>
      </c>
      <c r="F1730" s="44">
        <f>IFERROR(__xludf.DUMMYFUNCTION("""COMPUTED_VALUE"""),0.0)</f>
        <v>0</v>
      </c>
      <c r="G1730" s="32"/>
      <c r="H1730" s="32"/>
      <c r="I1730" s="32"/>
      <c r="J1730" s="32"/>
      <c r="K1730" s="32"/>
      <c r="L1730" s="32"/>
      <c r="M1730" s="32"/>
      <c r="N1730" s="32"/>
      <c r="O1730" s="32"/>
      <c r="P1730" s="32"/>
      <c r="Q1730" s="32"/>
      <c r="R1730" s="32"/>
      <c r="S1730" s="32"/>
      <c r="T1730" s="32"/>
      <c r="U1730" s="32"/>
      <c r="V1730" s="32"/>
      <c r="W1730" s="32"/>
      <c r="X1730" s="32"/>
      <c r="Y1730" s="32"/>
      <c r="Z1730" s="32"/>
      <c r="AA1730" s="32"/>
      <c r="AB1730" s="32"/>
      <c r="AC1730" s="32"/>
      <c r="AD1730" s="32"/>
      <c r="AE1730" s="32"/>
      <c r="AF1730" s="32"/>
      <c r="AG1730" s="32"/>
      <c r="AH1730" s="32" t="b">
        <f>IFERROR(__xludf.DUMMYFUNCTION("""COMPUTED_VALUE"""),FALSE)</f>
        <v>0</v>
      </c>
      <c r="AI1730" s="32"/>
      <c r="AJ1730" s="32"/>
      <c r="AK1730" s="32"/>
      <c r="AL1730" s="32"/>
      <c r="AM1730" s="32"/>
      <c r="AN1730" s="32"/>
      <c r="AO1730" s="32"/>
      <c r="AP1730" s="32"/>
      <c r="AQ1730" s="32"/>
      <c r="AR1730" s="32"/>
      <c r="AS1730" s="32"/>
      <c r="AT1730" s="32"/>
      <c r="AU1730" s="32"/>
      <c r="AV1730" s="32"/>
      <c r="AW1730" s="32"/>
      <c r="AX1730" s="32"/>
    </row>
    <row r="1731">
      <c r="A1731" s="32"/>
      <c r="B1731" s="32"/>
      <c r="C1731" s="32"/>
      <c r="D1731" s="32"/>
      <c r="E1731" s="32">
        <f>IFERROR(__xludf.DUMMYFUNCTION("""COMPUTED_VALUE"""),1.0)</f>
        <v>1</v>
      </c>
      <c r="F1731" s="44">
        <f>IFERROR(__xludf.DUMMYFUNCTION("""COMPUTED_VALUE"""),0.0)</f>
        <v>0</v>
      </c>
      <c r="G1731" s="32"/>
      <c r="H1731" s="32"/>
      <c r="I1731" s="32"/>
      <c r="J1731" s="32"/>
      <c r="K1731" s="32"/>
      <c r="L1731" s="32"/>
      <c r="M1731" s="32"/>
      <c r="N1731" s="32"/>
      <c r="O1731" s="32"/>
      <c r="P1731" s="32"/>
      <c r="Q1731" s="32"/>
      <c r="R1731" s="32"/>
      <c r="S1731" s="32"/>
      <c r="T1731" s="32"/>
      <c r="U1731" s="32"/>
      <c r="V1731" s="32"/>
      <c r="W1731" s="32"/>
      <c r="X1731" s="32"/>
      <c r="Y1731" s="32"/>
      <c r="Z1731" s="32"/>
      <c r="AA1731" s="32"/>
      <c r="AB1731" s="32"/>
      <c r="AC1731" s="32"/>
      <c r="AD1731" s="32"/>
      <c r="AE1731" s="32"/>
      <c r="AF1731" s="32"/>
      <c r="AG1731" s="32"/>
      <c r="AH1731" s="32" t="b">
        <f>IFERROR(__xludf.DUMMYFUNCTION("""COMPUTED_VALUE"""),FALSE)</f>
        <v>0</v>
      </c>
      <c r="AI1731" s="32"/>
      <c r="AJ1731" s="32"/>
      <c r="AK1731" s="32"/>
      <c r="AL1731" s="32"/>
      <c r="AM1731" s="32"/>
      <c r="AN1731" s="32"/>
      <c r="AO1731" s="32"/>
      <c r="AP1731" s="32"/>
      <c r="AQ1731" s="32"/>
      <c r="AR1731" s="32"/>
      <c r="AS1731" s="32"/>
      <c r="AT1731" s="32"/>
      <c r="AU1731" s="32"/>
      <c r="AV1731" s="32"/>
      <c r="AW1731" s="32"/>
      <c r="AX1731" s="32"/>
    </row>
    <row r="1732">
      <c r="A1732" s="32"/>
      <c r="B1732" s="32"/>
      <c r="C1732" s="32"/>
      <c r="D1732" s="32"/>
      <c r="E1732" s="32">
        <f>IFERROR(__xludf.DUMMYFUNCTION("""COMPUTED_VALUE"""),1.0)</f>
        <v>1</v>
      </c>
      <c r="F1732" s="44">
        <f>IFERROR(__xludf.DUMMYFUNCTION("""COMPUTED_VALUE"""),0.0)</f>
        <v>0</v>
      </c>
      <c r="G1732" s="32"/>
      <c r="H1732" s="32"/>
      <c r="I1732" s="32"/>
      <c r="J1732" s="32"/>
      <c r="K1732" s="32"/>
      <c r="L1732" s="32"/>
      <c r="M1732" s="32"/>
      <c r="N1732" s="32"/>
      <c r="O1732" s="32"/>
      <c r="P1732" s="32"/>
      <c r="Q1732" s="32"/>
      <c r="R1732" s="32"/>
      <c r="S1732" s="32"/>
      <c r="T1732" s="32"/>
      <c r="U1732" s="32"/>
      <c r="V1732" s="32"/>
      <c r="W1732" s="32"/>
      <c r="X1732" s="32"/>
      <c r="Y1732" s="32"/>
      <c r="Z1732" s="32"/>
      <c r="AA1732" s="32"/>
      <c r="AB1732" s="32"/>
      <c r="AC1732" s="32"/>
      <c r="AD1732" s="32"/>
      <c r="AE1732" s="32"/>
      <c r="AF1732" s="32"/>
      <c r="AG1732" s="32"/>
      <c r="AH1732" s="32" t="b">
        <f>IFERROR(__xludf.DUMMYFUNCTION("""COMPUTED_VALUE"""),FALSE)</f>
        <v>0</v>
      </c>
      <c r="AI1732" s="32"/>
      <c r="AJ1732" s="32"/>
      <c r="AK1732" s="32"/>
      <c r="AL1732" s="32"/>
      <c r="AM1732" s="32"/>
      <c r="AN1732" s="32"/>
      <c r="AO1732" s="32"/>
      <c r="AP1732" s="32"/>
      <c r="AQ1732" s="32"/>
      <c r="AR1732" s="32"/>
      <c r="AS1732" s="32"/>
      <c r="AT1732" s="32"/>
      <c r="AU1732" s="32"/>
      <c r="AV1732" s="32"/>
      <c r="AW1732" s="32"/>
      <c r="AX1732" s="32"/>
    </row>
    <row r="1733">
      <c r="A1733" s="32"/>
      <c r="B1733" s="32"/>
      <c r="C1733" s="32"/>
      <c r="D1733" s="32"/>
      <c r="E1733" s="32">
        <f>IFERROR(__xludf.DUMMYFUNCTION("""COMPUTED_VALUE"""),1.0)</f>
        <v>1</v>
      </c>
      <c r="F1733" s="44">
        <f>IFERROR(__xludf.DUMMYFUNCTION("""COMPUTED_VALUE"""),0.0)</f>
        <v>0</v>
      </c>
      <c r="G1733" s="32"/>
      <c r="H1733" s="32"/>
      <c r="I1733" s="32"/>
      <c r="J1733" s="32"/>
      <c r="K1733" s="32"/>
      <c r="L1733" s="32"/>
      <c r="M1733" s="32"/>
      <c r="N1733" s="32"/>
      <c r="O1733" s="32"/>
      <c r="P1733" s="32"/>
      <c r="Q1733" s="32"/>
      <c r="R1733" s="32"/>
      <c r="S1733" s="32"/>
      <c r="T1733" s="32"/>
      <c r="U1733" s="32"/>
      <c r="V1733" s="32"/>
      <c r="W1733" s="32"/>
      <c r="X1733" s="32"/>
      <c r="Y1733" s="32"/>
      <c r="Z1733" s="32"/>
      <c r="AA1733" s="32"/>
      <c r="AB1733" s="32"/>
      <c r="AC1733" s="32"/>
      <c r="AD1733" s="32"/>
      <c r="AE1733" s="32"/>
      <c r="AF1733" s="32"/>
      <c r="AG1733" s="32"/>
      <c r="AH1733" s="32" t="b">
        <f>IFERROR(__xludf.DUMMYFUNCTION("""COMPUTED_VALUE"""),FALSE)</f>
        <v>0</v>
      </c>
      <c r="AI1733" s="32"/>
      <c r="AJ1733" s="32"/>
      <c r="AK1733" s="32"/>
      <c r="AL1733" s="32"/>
      <c r="AM1733" s="32"/>
      <c r="AN1733" s="32"/>
      <c r="AO1733" s="32"/>
      <c r="AP1733" s="32"/>
      <c r="AQ1733" s="32"/>
      <c r="AR1733" s="32"/>
      <c r="AS1733" s="32"/>
      <c r="AT1733" s="32"/>
      <c r="AU1733" s="32"/>
      <c r="AV1733" s="32"/>
      <c r="AW1733" s="32"/>
      <c r="AX1733" s="32"/>
    </row>
    <row r="1734">
      <c r="A1734" s="32"/>
      <c r="B1734" s="32"/>
      <c r="C1734" s="32"/>
      <c r="D1734" s="32"/>
      <c r="E1734" s="32">
        <f>IFERROR(__xludf.DUMMYFUNCTION("""COMPUTED_VALUE"""),1.0)</f>
        <v>1</v>
      </c>
      <c r="F1734" s="44">
        <f>IFERROR(__xludf.DUMMYFUNCTION("""COMPUTED_VALUE"""),0.0)</f>
        <v>0</v>
      </c>
      <c r="G1734" s="32"/>
      <c r="H1734" s="32"/>
      <c r="I1734" s="32"/>
      <c r="J1734" s="32"/>
      <c r="K1734" s="32"/>
      <c r="L1734" s="32"/>
      <c r="M1734" s="32"/>
      <c r="N1734" s="32"/>
      <c r="O1734" s="32"/>
      <c r="P1734" s="32"/>
      <c r="Q1734" s="32"/>
      <c r="R1734" s="32"/>
      <c r="S1734" s="32"/>
      <c r="T1734" s="32"/>
      <c r="U1734" s="32"/>
      <c r="V1734" s="32"/>
      <c r="W1734" s="32"/>
      <c r="X1734" s="32"/>
      <c r="Y1734" s="32"/>
      <c r="Z1734" s="32"/>
      <c r="AA1734" s="32"/>
      <c r="AB1734" s="32"/>
      <c r="AC1734" s="32"/>
      <c r="AD1734" s="32"/>
      <c r="AE1734" s="32"/>
      <c r="AF1734" s="32"/>
      <c r="AG1734" s="32"/>
      <c r="AH1734" s="32" t="b">
        <f>IFERROR(__xludf.DUMMYFUNCTION("""COMPUTED_VALUE"""),FALSE)</f>
        <v>0</v>
      </c>
      <c r="AI1734" s="32"/>
      <c r="AJ1734" s="32"/>
      <c r="AK1734" s="32"/>
      <c r="AL1734" s="32"/>
      <c r="AM1734" s="32"/>
      <c r="AN1734" s="32"/>
      <c r="AO1734" s="32"/>
      <c r="AP1734" s="32"/>
      <c r="AQ1734" s="32"/>
      <c r="AR1734" s="32"/>
      <c r="AS1734" s="32"/>
      <c r="AT1734" s="32"/>
      <c r="AU1734" s="32"/>
      <c r="AV1734" s="32"/>
      <c r="AW1734" s="32"/>
      <c r="AX1734" s="32"/>
    </row>
    <row r="1735">
      <c r="A1735" s="32"/>
      <c r="B1735" s="32"/>
      <c r="C1735" s="32"/>
      <c r="D1735" s="32"/>
      <c r="E1735" s="32">
        <f>IFERROR(__xludf.DUMMYFUNCTION("""COMPUTED_VALUE"""),1.0)</f>
        <v>1</v>
      </c>
      <c r="F1735" s="44">
        <f>IFERROR(__xludf.DUMMYFUNCTION("""COMPUTED_VALUE"""),0.0)</f>
        <v>0</v>
      </c>
      <c r="G1735" s="32"/>
      <c r="H1735" s="32"/>
      <c r="I1735" s="32"/>
      <c r="J1735" s="32"/>
      <c r="K1735" s="32"/>
      <c r="L1735" s="32"/>
      <c r="M1735" s="32"/>
      <c r="N1735" s="32"/>
      <c r="O1735" s="32"/>
      <c r="P1735" s="32"/>
      <c r="Q1735" s="32"/>
      <c r="R1735" s="32"/>
      <c r="S1735" s="32"/>
      <c r="T1735" s="32"/>
      <c r="U1735" s="32"/>
      <c r="V1735" s="32"/>
      <c r="W1735" s="32"/>
      <c r="X1735" s="32"/>
      <c r="Y1735" s="32"/>
      <c r="Z1735" s="32"/>
      <c r="AA1735" s="32"/>
      <c r="AB1735" s="32"/>
      <c r="AC1735" s="32"/>
      <c r="AD1735" s="32"/>
      <c r="AE1735" s="32"/>
      <c r="AF1735" s="32"/>
      <c r="AG1735" s="32"/>
      <c r="AH1735" s="32" t="b">
        <f>IFERROR(__xludf.DUMMYFUNCTION("""COMPUTED_VALUE"""),FALSE)</f>
        <v>0</v>
      </c>
      <c r="AI1735" s="32"/>
      <c r="AJ1735" s="32"/>
      <c r="AK1735" s="32"/>
      <c r="AL1735" s="32"/>
      <c r="AM1735" s="32"/>
      <c r="AN1735" s="32"/>
      <c r="AO1735" s="32"/>
      <c r="AP1735" s="32"/>
      <c r="AQ1735" s="32"/>
      <c r="AR1735" s="32"/>
      <c r="AS1735" s="32"/>
      <c r="AT1735" s="32"/>
      <c r="AU1735" s="32"/>
      <c r="AV1735" s="32"/>
      <c r="AW1735" s="32"/>
      <c r="AX1735" s="32"/>
    </row>
    <row r="1736">
      <c r="A1736" s="32"/>
      <c r="B1736" s="32"/>
      <c r="C1736" s="32"/>
      <c r="D1736" s="32"/>
      <c r="E1736" s="32">
        <f>IFERROR(__xludf.DUMMYFUNCTION("""COMPUTED_VALUE"""),1.0)</f>
        <v>1</v>
      </c>
      <c r="F1736" s="44">
        <f>IFERROR(__xludf.DUMMYFUNCTION("""COMPUTED_VALUE"""),0.0)</f>
        <v>0</v>
      </c>
      <c r="G1736" s="32"/>
      <c r="H1736" s="32"/>
      <c r="I1736" s="32"/>
      <c r="J1736" s="32"/>
      <c r="K1736" s="32"/>
      <c r="L1736" s="32"/>
      <c r="M1736" s="32"/>
      <c r="N1736" s="32"/>
      <c r="O1736" s="32"/>
      <c r="P1736" s="32"/>
      <c r="Q1736" s="32"/>
      <c r="R1736" s="32"/>
      <c r="S1736" s="32"/>
      <c r="T1736" s="32"/>
      <c r="U1736" s="32"/>
      <c r="V1736" s="32"/>
      <c r="W1736" s="32"/>
      <c r="X1736" s="32"/>
      <c r="Y1736" s="32"/>
      <c r="Z1736" s="32"/>
      <c r="AA1736" s="32"/>
      <c r="AB1736" s="32"/>
      <c r="AC1736" s="32"/>
      <c r="AD1736" s="32"/>
      <c r="AE1736" s="32"/>
      <c r="AF1736" s="32"/>
      <c r="AG1736" s="32"/>
      <c r="AH1736" s="32" t="b">
        <f>IFERROR(__xludf.DUMMYFUNCTION("""COMPUTED_VALUE"""),FALSE)</f>
        <v>0</v>
      </c>
      <c r="AI1736" s="32"/>
      <c r="AJ1736" s="32"/>
      <c r="AK1736" s="32"/>
      <c r="AL1736" s="32"/>
      <c r="AM1736" s="32"/>
      <c r="AN1736" s="32"/>
      <c r="AO1736" s="32"/>
      <c r="AP1736" s="32"/>
      <c r="AQ1736" s="32"/>
      <c r="AR1736" s="32"/>
      <c r="AS1736" s="32"/>
      <c r="AT1736" s="32"/>
      <c r="AU1736" s="32"/>
      <c r="AV1736" s="32"/>
      <c r="AW1736" s="32"/>
      <c r="AX1736" s="32"/>
    </row>
    <row r="1737">
      <c r="A1737" s="32"/>
      <c r="B1737" s="32"/>
      <c r="C1737" s="32"/>
      <c r="D1737" s="32"/>
      <c r="E1737" s="32">
        <f>IFERROR(__xludf.DUMMYFUNCTION("""COMPUTED_VALUE"""),1.0)</f>
        <v>1</v>
      </c>
      <c r="F1737" s="44">
        <f>IFERROR(__xludf.DUMMYFUNCTION("""COMPUTED_VALUE"""),0.0)</f>
        <v>0</v>
      </c>
      <c r="G1737" s="32"/>
      <c r="H1737" s="32"/>
      <c r="I1737" s="32"/>
      <c r="J1737" s="32"/>
      <c r="K1737" s="32"/>
      <c r="L1737" s="32"/>
      <c r="M1737" s="32"/>
      <c r="N1737" s="32"/>
      <c r="O1737" s="32"/>
      <c r="P1737" s="32"/>
      <c r="Q1737" s="32"/>
      <c r="R1737" s="32"/>
      <c r="S1737" s="32"/>
      <c r="T1737" s="32"/>
      <c r="U1737" s="32"/>
      <c r="V1737" s="32"/>
      <c r="W1737" s="32"/>
      <c r="X1737" s="32"/>
      <c r="Y1737" s="32"/>
      <c r="Z1737" s="32"/>
      <c r="AA1737" s="32"/>
      <c r="AB1737" s="32"/>
      <c r="AC1737" s="32"/>
      <c r="AD1737" s="32"/>
      <c r="AE1737" s="32"/>
      <c r="AF1737" s="32"/>
      <c r="AG1737" s="32"/>
      <c r="AH1737" s="32" t="b">
        <f>IFERROR(__xludf.DUMMYFUNCTION("""COMPUTED_VALUE"""),FALSE)</f>
        <v>0</v>
      </c>
      <c r="AI1737" s="32"/>
      <c r="AJ1737" s="32"/>
      <c r="AK1737" s="32"/>
      <c r="AL1737" s="32"/>
      <c r="AM1737" s="32"/>
      <c r="AN1737" s="32"/>
      <c r="AO1737" s="32"/>
      <c r="AP1737" s="32"/>
      <c r="AQ1737" s="32"/>
      <c r="AR1737" s="32"/>
      <c r="AS1737" s="32"/>
      <c r="AT1737" s="32"/>
      <c r="AU1737" s="32"/>
      <c r="AV1737" s="32"/>
      <c r="AW1737" s="32"/>
      <c r="AX1737" s="32"/>
    </row>
    <row r="1738">
      <c r="A1738" s="32"/>
      <c r="B1738" s="32"/>
      <c r="C1738" s="32"/>
      <c r="D1738" s="32"/>
      <c r="E1738" s="32">
        <f>IFERROR(__xludf.DUMMYFUNCTION("""COMPUTED_VALUE"""),1.0)</f>
        <v>1</v>
      </c>
      <c r="F1738" s="44">
        <f>IFERROR(__xludf.DUMMYFUNCTION("""COMPUTED_VALUE"""),0.0)</f>
        <v>0</v>
      </c>
      <c r="G1738" s="32"/>
      <c r="H1738" s="32"/>
      <c r="I1738" s="32"/>
      <c r="J1738" s="32"/>
      <c r="K1738" s="32"/>
      <c r="L1738" s="32"/>
      <c r="M1738" s="32"/>
      <c r="N1738" s="32"/>
      <c r="O1738" s="32"/>
      <c r="P1738" s="32"/>
      <c r="Q1738" s="32"/>
      <c r="R1738" s="32"/>
      <c r="S1738" s="32"/>
      <c r="T1738" s="32"/>
      <c r="U1738" s="32"/>
      <c r="V1738" s="32"/>
      <c r="W1738" s="32"/>
      <c r="X1738" s="32"/>
      <c r="Y1738" s="32"/>
      <c r="Z1738" s="32"/>
      <c r="AA1738" s="32"/>
      <c r="AB1738" s="32"/>
      <c r="AC1738" s="32"/>
      <c r="AD1738" s="32"/>
      <c r="AE1738" s="32"/>
      <c r="AF1738" s="32"/>
      <c r="AG1738" s="32"/>
      <c r="AH1738" s="32" t="b">
        <f>IFERROR(__xludf.DUMMYFUNCTION("""COMPUTED_VALUE"""),FALSE)</f>
        <v>0</v>
      </c>
      <c r="AI1738" s="32"/>
      <c r="AJ1738" s="32"/>
      <c r="AK1738" s="32"/>
      <c r="AL1738" s="32"/>
      <c r="AM1738" s="32"/>
      <c r="AN1738" s="32"/>
      <c r="AO1738" s="32"/>
      <c r="AP1738" s="32"/>
      <c r="AQ1738" s="32"/>
      <c r="AR1738" s="32"/>
      <c r="AS1738" s="32"/>
      <c r="AT1738" s="32"/>
      <c r="AU1738" s="32"/>
      <c r="AV1738" s="32"/>
      <c r="AW1738" s="32"/>
      <c r="AX1738" s="32"/>
    </row>
    <row r="1739">
      <c r="A1739" s="32"/>
      <c r="B1739" s="32"/>
      <c r="C1739" s="32"/>
      <c r="D1739" s="32"/>
      <c r="E1739" s="32">
        <f>IFERROR(__xludf.DUMMYFUNCTION("""COMPUTED_VALUE"""),1.0)</f>
        <v>1</v>
      </c>
      <c r="F1739" s="44">
        <f>IFERROR(__xludf.DUMMYFUNCTION("""COMPUTED_VALUE"""),0.0)</f>
        <v>0</v>
      </c>
      <c r="G1739" s="32"/>
      <c r="H1739" s="32"/>
      <c r="I1739" s="32"/>
      <c r="J1739" s="32"/>
      <c r="K1739" s="32"/>
      <c r="L1739" s="32"/>
      <c r="M1739" s="32"/>
      <c r="N1739" s="32"/>
      <c r="O1739" s="32"/>
      <c r="P1739" s="32"/>
      <c r="Q1739" s="32"/>
      <c r="R1739" s="32"/>
      <c r="S1739" s="32"/>
      <c r="T1739" s="32"/>
      <c r="U1739" s="32"/>
      <c r="V1739" s="32"/>
      <c r="W1739" s="32"/>
      <c r="X1739" s="32"/>
      <c r="Y1739" s="32"/>
      <c r="Z1739" s="32"/>
      <c r="AA1739" s="32"/>
      <c r="AB1739" s="32"/>
      <c r="AC1739" s="32"/>
      <c r="AD1739" s="32"/>
      <c r="AE1739" s="32"/>
      <c r="AF1739" s="32"/>
      <c r="AG1739" s="32"/>
      <c r="AH1739" s="32" t="b">
        <f>IFERROR(__xludf.DUMMYFUNCTION("""COMPUTED_VALUE"""),FALSE)</f>
        <v>0</v>
      </c>
      <c r="AI1739" s="32"/>
      <c r="AJ1739" s="32"/>
      <c r="AK1739" s="32"/>
      <c r="AL1739" s="32"/>
      <c r="AM1739" s="32"/>
      <c r="AN1739" s="32"/>
      <c r="AO1739" s="32"/>
      <c r="AP1739" s="32"/>
      <c r="AQ1739" s="32"/>
      <c r="AR1739" s="32"/>
      <c r="AS1739" s="32"/>
      <c r="AT1739" s="32"/>
      <c r="AU1739" s="32"/>
      <c r="AV1739" s="32"/>
      <c r="AW1739" s="32"/>
      <c r="AX1739" s="32"/>
    </row>
    <row r="1740">
      <c r="A1740" s="32"/>
      <c r="B1740" s="32"/>
      <c r="C1740" s="32"/>
      <c r="D1740" s="32"/>
      <c r="E1740" s="32">
        <f>IFERROR(__xludf.DUMMYFUNCTION("""COMPUTED_VALUE"""),1.0)</f>
        <v>1</v>
      </c>
      <c r="F1740" s="44">
        <f>IFERROR(__xludf.DUMMYFUNCTION("""COMPUTED_VALUE"""),0.0)</f>
        <v>0</v>
      </c>
      <c r="G1740" s="32"/>
      <c r="H1740" s="32"/>
      <c r="I1740" s="32"/>
      <c r="J1740" s="32"/>
      <c r="K1740" s="32"/>
      <c r="L1740" s="32"/>
      <c r="M1740" s="32"/>
      <c r="N1740" s="32"/>
      <c r="O1740" s="32"/>
      <c r="P1740" s="32"/>
      <c r="Q1740" s="32"/>
      <c r="R1740" s="32"/>
      <c r="S1740" s="32"/>
      <c r="T1740" s="32"/>
      <c r="U1740" s="32"/>
      <c r="V1740" s="32"/>
      <c r="W1740" s="32"/>
      <c r="X1740" s="32"/>
      <c r="Y1740" s="32"/>
      <c r="Z1740" s="32"/>
      <c r="AA1740" s="32"/>
      <c r="AB1740" s="32"/>
      <c r="AC1740" s="32"/>
      <c r="AD1740" s="32"/>
      <c r="AE1740" s="32"/>
      <c r="AF1740" s="32"/>
      <c r="AG1740" s="32"/>
      <c r="AH1740" s="32" t="b">
        <f>IFERROR(__xludf.DUMMYFUNCTION("""COMPUTED_VALUE"""),FALSE)</f>
        <v>0</v>
      </c>
      <c r="AI1740" s="32"/>
      <c r="AJ1740" s="32"/>
      <c r="AK1740" s="32"/>
      <c r="AL1740" s="32"/>
      <c r="AM1740" s="32"/>
      <c r="AN1740" s="32"/>
      <c r="AO1740" s="32"/>
      <c r="AP1740" s="32"/>
      <c r="AQ1740" s="32"/>
      <c r="AR1740" s="32"/>
      <c r="AS1740" s="32"/>
      <c r="AT1740" s="32"/>
      <c r="AU1740" s="32"/>
      <c r="AV1740" s="32"/>
      <c r="AW1740" s="32"/>
      <c r="AX1740" s="32"/>
    </row>
    <row r="1741">
      <c r="A1741" s="32"/>
      <c r="B1741" s="32"/>
      <c r="C1741" s="32"/>
      <c r="D1741" s="32"/>
      <c r="E1741" s="32">
        <f>IFERROR(__xludf.DUMMYFUNCTION("""COMPUTED_VALUE"""),1.0)</f>
        <v>1</v>
      </c>
      <c r="F1741" s="44">
        <f>IFERROR(__xludf.DUMMYFUNCTION("""COMPUTED_VALUE"""),0.0)</f>
        <v>0</v>
      </c>
      <c r="G1741" s="32"/>
      <c r="H1741" s="32"/>
      <c r="I1741" s="32"/>
      <c r="J1741" s="32"/>
      <c r="K1741" s="32"/>
      <c r="L1741" s="32"/>
      <c r="M1741" s="32"/>
      <c r="N1741" s="32"/>
      <c r="O1741" s="32"/>
      <c r="P1741" s="32"/>
      <c r="Q1741" s="32"/>
      <c r="R1741" s="32"/>
      <c r="S1741" s="32"/>
      <c r="T1741" s="32"/>
      <c r="U1741" s="32"/>
      <c r="V1741" s="32"/>
      <c r="W1741" s="32"/>
      <c r="X1741" s="32"/>
      <c r="Y1741" s="32"/>
      <c r="Z1741" s="32"/>
      <c r="AA1741" s="32"/>
      <c r="AB1741" s="32"/>
      <c r="AC1741" s="32"/>
      <c r="AD1741" s="32"/>
      <c r="AE1741" s="32"/>
      <c r="AF1741" s="32"/>
      <c r="AG1741" s="32"/>
      <c r="AH1741" s="32" t="b">
        <f>IFERROR(__xludf.DUMMYFUNCTION("""COMPUTED_VALUE"""),FALSE)</f>
        <v>0</v>
      </c>
      <c r="AI1741" s="32"/>
      <c r="AJ1741" s="32"/>
      <c r="AK1741" s="32"/>
      <c r="AL1741" s="32"/>
      <c r="AM1741" s="32"/>
      <c r="AN1741" s="32"/>
      <c r="AO1741" s="32"/>
      <c r="AP1741" s="32"/>
      <c r="AQ1741" s="32"/>
      <c r="AR1741" s="32"/>
      <c r="AS1741" s="32"/>
      <c r="AT1741" s="32"/>
      <c r="AU1741" s="32"/>
      <c r="AV1741" s="32"/>
      <c r="AW1741" s="32"/>
      <c r="AX1741" s="32"/>
    </row>
    <row r="1742">
      <c r="A1742" s="32"/>
      <c r="B1742" s="32"/>
      <c r="C1742" s="32"/>
      <c r="D1742" s="32"/>
      <c r="E1742" s="32">
        <f>IFERROR(__xludf.DUMMYFUNCTION("""COMPUTED_VALUE"""),1.0)</f>
        <v>1</v>
      </c>
      <c r="F1742" s="44">
        <f>IFERROR(__xludf.DUMMYFUNCTION("""COMPUTED_VALUE"""),0.0)</f>
        <v>0</v>
      </c>
      <c r="G1742" s="32"/>
      <c r="H1742" s="32"/>
      <c r="I1742" s="32"/>
      <c r="J1742" s="32"/>
      <c r="K1742" s="32"/>
      <c r="L1742" s="32"/>
      <c r="M1742" s="32"/>
      <c r="N1742" s="32"/>
      <c r="O1742" s="32"/>
      <c r="P1742" s="32"/>
      <c r="Q1742" s="32"/>
      <c r="R1742" s="32"/>
      <c r="S1742" s="32"/>
      <c r="T1742" s="32"/>
      <c r="U1742" s="32"/>
      <c r="V1742" s="32"/>
      <c r="W1742" s="32"/>
      <c r="X1742" s="32"/>
      <c r="Y1742" s="32"/>
      <c r="Z1742" s="32"/>
      <c r="AA1742" s="32"/>
      <c r="AB1742" s="32"/>
      <c r="AC1742" s="32"/>
      <c r="AD1742" s="32"/>
      <c r="AE1742" s="32"/>
      <c r="AF1742" s="32"/>
      <c r="AG1742" s="32"/>
      <c r="AH1742" s="32" t="b">
        <f>IFERROR(__xludf.DUMMYFUNCTION("""COMPUTED_VALUE"""),FALSE)</f>
        <v>0</v>
      </c>
      <c r="AI1742" s="32"/>
      <c r="AJ1742" s="32"/>
      <c r="AK1742" s="32"/>
      <c r="AL1742" s="32"/>
      <c r="AM1742" s="32"/>
      <c r="AN1742" s="32"/>
      <c r="AO1742" s="32"/>
      <c r="AP1742" s="32"/>
      <c r="AQ1742" s="32"/>
      <c r="AR1742" s="32"/>
      <c r="AS1742" s="32"/>
      <c r="AT1742" s="32"/>
      <c r="AU1742" s="32"/>
      <c r="AV1742" s="32"/>
      <c r="AW1742" s="32"/>
      <c r="AX1742" s="32"/>
    </row>
    <row r="1743">
      <c r="A1743" s="32"/>
      <c r="B1743" s="32"/>
      <c r="C1743" s="32"/>
      <c r="D1743" s="32"/>
      <c r="E1743" s="32">
        <f>IFERROR(__xludf.DUMMYFUNCTION("""COMPUTED_VALUE"""),1.0)</f>
        <v>1</v>
      </c>
      <c r="F1743" s="44">
        <f>IFERROR(__xludf.DUMMYFUNCTION("""COMPUTED_VALUE"""),0.0)</f>
        <v>0</v>
      </c>
      <c r="G1743" s="32"/>
      <c r="H1743" s="32"/>
      <c r="I1743" s="32"/>
      <c r="J1743" s="32"/>
      <c r="K1743" s="32"/>
      <c r="L1743" s="32"/>
      <c r="M1743" s="32"/>
      <c r="N1743" s="32"/>
      <c r="O1743" s="32"/>
      <c r="P1743" s="32"/>
      <c r="Q1743" s="32"/>
      <c r="R1743" s="32"/>
      <c r="S1743" s="32"/>
      <c r="T1743" s="32"/>
      <c r="U1743" s="32"/>
      <c r="V1743" s="32"/>
      <c r="W1743" s="32"/>
      <c r="X1743" s="32"/>
      <c r="Y1743" s="32"/>
      <c r="Z1743" s="32"/>
      <c r="AA1743" s="32"/>
      <c r="AB1743" s="32"/>
      <c r="AC1743" s="32"/>
      <c r="AD1743" s="32"/>
      <c r="AE1743" s="32"/>
      <c r="AF1743" s="32"/>
      <c r="AG1743" s="32"/>
      <c r="AH1743" s="32" t="b">
        <f>IFERROR(__xludf.DUMMYFUNCTION("""COMPUTED_VALUE"""),FALSE)</f>
        <v>0</v>
      </c>
      <c r="AI1743" s="32"/>
      <c r="AJ1743" s="32"/>
      <c r="AK1743" s="32"/>
      <c r="AL1743" s="32"/>
      <c r="AM1743" s="32"/>
      <c r="AN1743" s="32"/>
      <c r="AO1743" s="32"/>
      <c r="AP1743" s="32"/>
      <c r="AQ1743" s="32"/>
      <c r="AR1743" s="32"/>
      <c r="AS1743" s="32"/>
      <c r="AT1743" s="32"/>
      <c r="AU1743" s="32"/>
      <c r="AV1743" s="32"/>
      <c r="AW1743" s="32"/>
      <c r="AX1743" s="32"/>
    </row>
    <row r="1744">
      <c r="A1744" s="32"/>
      <c r="B1744" s="32"/>
      <c r="C1744" s="32"/>
      <c r="D1744" s="32"/>
      <c r="E1744" s="32">
        <f>IFERROR(__xludf.DUMMYFUNCTION("""COMPUTED_VALUE"""),1.0)</f>
        <v>1</v>
      </c>
      <c r="F1744" s="44">
        <f>IFERROR(__xludf.DUMMYFUNCTION("""COMPUTED_VALUE"""),0.0)</f>
        <v>0</v>
      </c>
      <c r="G1744" s="32"/>
      <c r="H1744" s="32"/>
      <c r="I1744" s="32"/>
      <c r="J1744" s="32"/>
      <c r="K1744" s="32"/>
      <c r="L1744" s="32"/>
      <c r="M1744" s="32"/>
      <c r="N1744" s="32"/>
      <c r="O1744" s="32"/>
      <c r="P1744" s="32"/>
      <c r="Q1744" s="32"/>
      <c r="R1744" s="32"/>
      <c r="S1744" s="32"/>
      <c r="T1744" s="32"/>
      <c r="U1744" s="32"/>
      <c r="V1744" s="32"/>
      <c r="W1744" s="32"/>
      <c r="X1744" s="32"/>
      <c r="Y1744" s="32"/>
      <c r="Z1744" s="32"/>
      <c r="AA1744" s="32"/>
      <c r="AB1744" s="32"/>
      <c r="AC1744" s="32"/>
      <c r="AD1744" s="32"/>
      <c r="AE1744" s="32"/>
      <c r="AF1744" s="32"/>
      <c r="AG1744" s="32"/>
      <c r="AH1744" s="32" t="b">
        <f>IFERROR(__xludf.DUMMYFUNCTION("""COMPUTED_VALUE"""),FALSE)</f>
        <v>0</v>
      </c>
      <c r="AI1744" s="32"/>
      <c r="AJ1744" s="32"/>
      <c r="AK1744" s="32"/>
      <c r="AL1744" s="32"/>
      <c r="AM1744" s="32"/>
      <c r="AN1744" s="32"/>
      <c r="AO1744" s="32"/>
      <c r="AP1744" s="32"/>
      <c r="AQ1744" s="32"/>
      <c r="AR1744" s="32"/>
      <c r="AS1744" s="32"/>
      <c r="AT1744" s="32"/>
      <c r="AU1744" s="32"/>
      <c r="AV1744" s="32"/>
      <c r="AW1744" s="32"/>
      <c r="AX1744" s="32"/>
    </row>
    <row r="1745">
      <c r="A1745" s="32"/>
      <c r="B1745" s="32"/>
      <c r="C1745" s="32"/>
      <c r="D1745" s="32"/>
      <c r="E1745" s="32">
        <f>IFERROR(__xludf.DUMMYFUNCTION("""COMPUTED_VALUE"""),1.0)</f>
        <v>1</v>
      </c>
      <c r="F1745" s="44">
        <f>IFERROR(__xludf.DUMMYFUNCTION("""COMPUTED_VALUE"""),0.0)</f>
        <v>0</v>
      </c>
      <c r="G1745" s="32"/>
      <c r="H1745" s="32"/>
      <c r="I1745" s="32"/>
      <c r="J1745" s="32"/>
      <c r="K1745" s="32"/>
      <c r="L1745" s="32"/>
      <c r="M1745" s="32"/>
      <c r="N1745" s="32"/>
      <c r="O1745" s="32"/>
      <c r="P1745" s="32"/>
      <c r="Q1745" s="32"/>
      <c r="R1745" s="32"/>
      <c r="S1745" s="32"/>
      <c r="T1745" s="32"/>
      <c r="U1745" s="32"/>
      <c r="V1745" s="32"/>
      <c r="W1745" s="32"/>
      <c r="X1745" s="32"/>
      <c r="Y1745" s="32"/>
      <c r="Z1745" s="32"/>
      <c r="AA1745" s="32"/>
      <c r="AB1745" s="32"/>
      <c r="AC1745" s="32"/>
      <c r="AD1745" s="32"/>
      <c r="AE1745" s="32"/>
      <c r="AF1745" s="32"/>
      <c r="AG1745" s="32"/>
      <c r="AH1745" s="32" t="b">
        <f>IFERROR(__xludf.DUMMYFUNCTION("""COMPUTED_VALUE"""),FALSE)</f>
        <v>0</v>
      </c>
      <c r="AI1745" s="32"/>
      <c r="AJ1745" s="32"/>
      <c r="AK1745" s="32"/>
      <c r="AL1745" s="32"/>
      <c r="AM1745" s="32"/>
      <c r="AN1745" s="32"/>
      <c r="AO1745" s="32"/>
      <c r="AP1745" s="32"/>
      <c r="AQ1745" s="32"/>
      <c r="AR1745" s="32"/>
      <c r="AS1745" s="32"/>
      <c r="AT1745" s="32"/>
      <c r="AU1745" s="32"/>
      <c r="AV1745" s="32"/>
      <c r="AW1745" s="32"/>
      <c r="AX1745" s="32"/>
    </row>
    <row r="1746">
      <c r="A1746" s="32"/>
      <c r="B1746" s="32"/>
      <c r="C1746" s="32"/>
      <c r="D1746" s="32"/>
      <c r="E1746" s="32">
        <f>IFERROR(__xludf.DUMMYFUNCTION("""COMPUTED_VALUE"""),1.0)</f>
        <v>1</v>
      </c>
      <c r="F1746" s="44">
        <f>IFERROR(__xludf.DUMMYFUNCTION("""COMPUTED_VALUE"""),0.0)</f>
        <v>0</v>
      </c>
      <c r="G1746" s="32"/>
      <c r="H1746" s="32"/>
      <c r="I1746" s="32"/>
      <c r="J1746" s="32"/>
      <c r="K1746" s="32"/>
      <c r="L1746" s="32"/>
      <c r="M1746" s="32"/>
      <c r="N1746" s="32"/>
      <c r="O1746" s="32"/>
      <c r="P1746" s="32"/>
      <c r="Q1746" s="32"/>
      <c r="R1746" s="32"/>
      <c r="S1746" s="32"/>
      <c r="T1746" s="32"/>
      <c r="U1746" s="32"/>
      <c r="V1746" s="32"/>
      <c r="W1746" s="32"/>
      <c r="X1746" s="32"/>
      <c r="Y1746" s="32"/>
      <c r="Z1746" s="32"/>
      <c r="AA1746" s="32"/>
      <c r="AB1746" s="32"/>
      <c r="AC1746" s="32"/>
      <c r="AD1746" s="32"/>
      <c r="AE1746" s="32"/>
      <c r="AF1746" s="32"/>
      <c r="AG1746" s="32"/>
      <c r="AH1746" s="32" t="b">
        <f>IFERROR(__xludf.DUMMYFUNCTION("""COMPUTED_VALUE"""),FALSE)</f>
        <v>0</v>
      </c>
      <c r="AI1746" s="32"/>
      <c r="AJ1746" s="32"/>
      <c r="AK1746" s="32"/>
      <c r="AL1746" s="32"/>
      <c r="AM1746" s="32"/>
      <c r="AN1746" s="32"/>
      <c r="AO1746" s="32"/>
      <c r="AP1746" s="32"/>
      <c r="AQ1746" s="32"/>
      <c r="AR1746" s="32"/>
      <c r="AS1746" s="32"/>
      <c r="AT1746" s="32"/>
      <c r="AU1746" s="32"/>
      <c r="AV1746" s="32"/>
      <c r="AW1746" s="32"/>
      <c r="AX1746" s="32"/>
    </row>
    <row r="1747">
      <c r="A1747" s="32"/>
      <c r="B1747" s="32"/>
      <c r="C1747" s="32"/>
      <c r="D1747" s="32"/>
      <c r="E1747" s="32">
        <f>IFERROR(__xludf.DUMMYFUNCTION("""COMPUTED_VALUE"""),1.0)</f>
        <v>1</v>
      </c>
      <c r="F1747" s="44">
        <f>IFERROR(__xludf.DUMMYFUNCTION("""COMPUTED_VALUE"""),0.0)</f>
        <v>0</v>
      </c>
      <c r="G1747" s="32"/>
      <c r="H1747" s="32"/>
      <c r="I1747" s="32"/>
      <c r="J1747" s="32"/>
      <c r="K1747" s="32"/>
      <c r="L1747" s="32"/>
      <c r="M1747" s="32"/>
      <c r="N1747" s="32"/>
      <c r="O1747" s="32"/>
      <c r="P1747" s="32"/>
      <c r="Q1747" s="32"/>
      <c r="R1747" s="32"/>
      <c r="S1747" s="32"/>
      <c r="T1747" s="32"/>
      <c r="U1747" s="32"/>
      <c r="V1747" s="32"/>
      <c r="W1747" s="32"/>
      <c r="X1747" s="32"/>
      <c r="Y1747" s="32"/>
      <c r="Z1747" s="32"/>
      <c r="AA1747" s="32"/>
      <c r="AB1747" s="32"/>
      <c r="AC1747" s="32"/>
      <c r="AD1747" s="32"/>
      <c r="AE1747" s="32"/>
      <c r="AF1747" s="32"/>
      <c r="AG1747" s="32"/>
      <c r="AH1747" s="32" t="b">
        <f>IFERROR(__xludf.DUMMYFUNCTION("""COMPUTED_VALUE"""),FALSE)</f>
        <v>0</v>
      </c>
      <c r="AI1747" s="32"/>
      <c r="AJ1747" s="32"/>
      <c r="AK1747" s="32"/>
      <c r="AL1747" s="32"/>
      <c r="AM1747" s="32"/>
      <c r="AN1747" s="32"/>
      <c r="AO1747" s="32"/>
      <c r="AP1747" s="32"/>
      <c r="AQ1747" s="32"/>
      <c r="AR1747" s="32"/>
      <c r="AS1747" s="32"/>
      <c r="AT1747" s="32"/>
      <c r="AU1747" s="32"/>
      <c r="AV1747" s="32"/>
      <c r="AW1747" s="32"/>
      <c r="AX1747" s="32"/>
    </row>
    <row r="1748">
      <c r="A1748" s="32"/>
      <c r="B1748" s="32"/>
      <c r="C1748" s="32"/>
      <c r="D1748" s="32"/>
      <c r="E1748" s="32">
        <f>IFERROR(__xludf.DUMMYFUNCTION("""COMPUTED_VALUE"""),1.0)</f>
        <v>1</v>
      </c>
      <c r="F1748" s="44">
        <f>IFERROR(__xludf.DUMMYFUNCTION("""COMPUTED_VALUE"""),0.0)</f>
        <v>0</v>
      </c>
      <c r="G1748" s="32"/>
      <c r="H1748" s="32"/>
      <c r="I1748" s="32"/>
      <c r="J1748" s="32"/>
      <c r="K1748" s="32"/>
      <c r="L1748" s="32"/>
      <c r="M1748" s="32"/>
      <c r="N1748" s="32"/>
      <c r="O1748" s="32"/>
      <c r="P1748" s="32"/>
      <c r="Q1748" s="32"/>
      <c r="R1748" s="32"/>
      <c r="S1748" s="32"/>
      <c r="T1748" s="32"/>
      <c r="U1748" s="32"/>
      <c r="V1748" s="32"/>
      <c r="W1748" s="32"/>
      <c r="X1748" s="32"/>
      <c r="Y1748" s="32"/>
      <c r="Z1748" s="32"/>
      <c r="AA1748" s="32"/>
      <c r="AB1748" s="32"/>
      <c r="AC1748" s="32"/>
      <c r="AD1748" s="32"/>
      <c r="AE1748" s="32"/>
      <c r="AF1748" s="32"/>
      <c r="AG1748" s="32"/>
      <c r="AH1748" s="32" t="b">
        <f>IFERROR(__xludf.DUMMYFUNCTION("""COMPUTED_VALUE"""),FALSE)</f>
        <v>0</v>
      </c>
      <c r="AI1748" s="32"/>
      <c r="AJ1748" s="32"/>
      <c r="AK1748" s="32"/>
      <c r="AL1748" s="32"/>
      <c r="AM1748" s="32"/>
      <c r="AN1748" s="32"/>
      <c r="AO1748" s="32"/>
      <c r="AP1748" s="32"/>
      <c r="AQ1748" s="32"/>
      <c r="AR1748" s="32"/>
      <c r="AS1748" s="32"/>
      <c r="AT1748" s="32"/>
      <c r="AU1748" s="32"/>
      <c r="AV1748" s="32"/>
      <c r="AW1748" s="32"/>
      <c r="AX1748" s="32"/>
    </row>
    <row r="1749">
      <c r="A1749" s="32"/>
      <c r="B1749" s="32"/>
      <c r="C1749" s="32"/>
      <c r="D1749" s="32"/>
      <c r="E1749" s="32">
        <f>IFERROR(__xludf.DUMMYFUNCTION("""COMPUTED_VALUE"""),1.0)</f>
        <v>1</v>
      </c>
      <c r="F1749" s="44">
        <f>IFERROR(__xludf.DUMMYFUNCTION("""COMPUTED_VALUE"""),0.0)</f>
        <v>0</v>
      </c>
      <c r="G1749" s="32"/>
      <c r="H1749" s="32"/>
      <c r="I1749" s="32"/>
      <c r="J1749" s="32"/>
      <c r="K1749" s="32"/>
      <c r="L1749" s="32"/>
      <c r="M1749" s="32"/>
      <c r="N1749" s="32"/>
      <c r="O1749" s="32"/>
      <c r="P1749" s="32"/>
      <c r="Q1749" s="32"/>
      <c r="R1749" s="32"/>
      <c r="S1749" s="32"/>
      <c r="T1749" s="32"/>
      <c r="U1749" s="32"/>
      <c r="V1749" s="32"/>
      <c r="W1749" s="32"/>
      <c r="X1749" s="32"/>
      <c r="Y1749" s="32"/>
      <c r="Z1749" s="32"/>
      <c r="AA1749" s="32"/>
      <c r="AB1749" s="32"/>
      <c r="AC1749" s="32"/>
      <c r="AD1749" s="32"/>
      <c r="AE1749" s="32"/>
      <c r="AF1749" s="32"/>
      <c r="AG1749" s="32"/>
      <c r="AH1749" s="32" t="b">
        <f>IFERROR(__xludf.DUMMYFUNCTION("""COMPUTED_VALUE"""),FALSE)</f>
        <v>0</v>
      </c>
      <c r="AI1749" s="32"/>
      <c r="AJ1749" s="32"/>
      <c r="AK1749" s="32"/>
      <c r="AL1749" s="32"/>
      <c r="AM1749" s="32"/>
      <c r="AN1749" s="32"/>
      <c r="AO1749" s="32"/>
      <c r="AP1749" s="32"/>
      <c r="AQ1749" s="32"/>
      <c r="AR1749" s="32"/>
      <c r="AS1749" s="32"/>
      <c r="AT1749" s="32"/>
      <c r="AU1749" s="32"/>
      <c r="AV1749" s="32"/>
      <c r="AW1749" s="32"/>
      <c r="AX1749" s="32"/>
    </row>
    <row r="1750">
      <c r="A1750" s="32"/>
      <c r="B1750" s="32"/>
      <c r="C1750" s="32"/>
      <c r="D1750" s="32"/>
      <c r="E1750" s="32">
        <f>IFERROR(__xludf.DUMMYFUNCTION("""COMPUTED_VALUE"""),1.0)</f>
        <v>1</v>
      </c>
      <c r="F1750" s="44">
        <f>IFERROR(__xludf.DUMMYFUNCTION("""COMPUTED_VALUE"""),0.0)</f>
        <v>0</v>
      </c>
      <c r="G1750" s="32"/>
      <c r="H1750" s="32"/>
      <c r="I1750" s="32"/>
      <c r="J1750" s="32"/>
      <c r="K1750" s="32"/>
      <c r="L1750" s="32"/>
      <c r="M1750" s="32"/>
      <c r="N1750" s="32"/>
      <c r="O1750" s="32"/>
      <c r="P1750" s="32"/>
      <c r="Q1750" s="32"/>
      <c r="R1750" s="32"/>
      <c r="S1750" s="32"/>
      <c r="T1750" s="32"/>
      <c r="U1750" s="32"/>
      <c r="V1750" s="32"/>
      <c r="W1750" s="32"/>
      <c r="X1750" s="32"/>
      <c r="Y1750" s="32"/>
      <c r="Z1750" s="32"/>
      <c r="AA1750" s="32"/>
      <c r="AB1750" s="32"/>
      <c r="AC1750" s="32"/>
      <c r="AD1750" s="32"/>
      <c r="AE1750" s="32"/>
      <c r="AF1750" s="32"/>
      <c r="AG1750" s="32"/>
      <c r="AH1750" s="32" t="b">
        <f>IFERROR(__xludf.DUMMYFUNCTION("""COMPUTED_VALUE"""),FALSE)</f>
        <v>0</v>
      </c>
      <c r="AI1750" s="32"/>
      <c r="AJ1750" s="32"/>
      <c r="AK1750" s="32"/>
      <c r="AL1750" s="32"/>
      <c r="AM1750" s="32"/>
      <c r="AN1750" s="32"/>
      <c r="AO1750" s="32"/>
      <c r="AP1750" s="32"/>
      <c r="AQ1750" s="32"/>
      <c r="AR1750" s="32"/>
      <c r="AS1750" s="32"/>
      <c r="AT1750" s="32"/>
      <c r="AU1750" s="32"/>
      <c r="AV1750" s="32"/>
      <c r="AW1750" s="32"/>
      <c r="AX1750" s="32"/>
    </row>
    <row r="1751">
      <c r="A1751" s="32"/>
      <c r="B1751" s="32"/>
      <c r="C1751" s="32"/>
      <c r="D1751" s="32"/>
      <c r="E1751" s="32">
        <f>IFERROR(__xludf.DUMMYFUNCTION("""COMPUTED_VALUE"""),1.0)</f>
        <v>1</v>
      </c>
      <c r="F1751" s="44">
        <f>IFERROR(__xludf.DUMMYFUNCTION("""COMPUTED_VALUE"""),0.0)</f>
        <v>0</v>
      </c>
      <c r="G1751" s="32"/>
      <c r="H1751" s="32"/>
      <c r="I1751" s="32"/>
      <c r="J1751" s="32"/>
      <c r="K1751" s="32"/>
      <c r="L1751" s="32"/>
      <c r="M1751" s="32"/>
      <c r="N1751" s="32"/>
      <c r="O1751" s="32"/>
      <c r="P1751" s="32"/>
      <c r="Q1751" s="32"/>
      <c r="R1751" s="32"/>
      <c r="S1751" s="32"/>
      <c r="T1751" s="32"/>
      <c r="U1751" s="32"/>
      <c r="V1751" s="32"/>
      <c r="W1751" s="32"/>
      <c r="X1751" s="32"/>
      <c r="Y1751" s="32"/>
      <c r="Z1751" s="32"/>
      <c r="AA1751" s="32"/>
      <c r="AB1751" s="32"/>
      <c r="AC1751" s="32"/>
      <c r="AD1751" s="32"/>
      <c r="AE1751" s="32"/>
      <c r="AF1751" s="32"/>
      <c r="AG1751" s="32"/>
      <c r="AH1751" s="32" t="b">
        <f>IFERROR(__xludf.DUMMYFUNCTION("""COMPUTED_VALUE"""),FALSE)</f>
        <v>0</v>
      </c>
      <c r="AI1751" s="32"/>
      <c r="AJ1751" s="32"/>
      <c r="AK1751" s="32"/>
      <c r="AL1751" s="32"/>
      <c r="AM1751" s="32"/>
      <c r="AN1751" s="32"/>
      <c r="AO1751" s="32"/>
      <c r="AP1751" s="32"/>
      <c r="AQ1751" s="32"/>
      <c r="AR1751" s="32"/>
      <c r="AS1751" s="32"/>
      <c r="AT1751" s="32"/>
      <c r="AU1751" s="32"/>
      <c r="AV1751" s="32"/>
      <c r="AW1751" s="32"/>
      <c r="AX1751" s="32"/>
    </row>
    <row r="1752">
      <c r="A1752" s="32"/>
      <c r="B1752" s="32"/>
      <c r="C1752" s="32"/>
      <c r="D1752" s="32"/>
      <c r="E1752" s="32">
        <f>IFERROR(__xludf.DUMMYFUNCTION("""COMPUTED_VALUE"""),1.0)</f>
        <v>1</v>
      </c>
      <c r="F1752" s="44">
        <f>IFERROR(__xludf.DUMMYFUNCTION("""COMPUTED_VALUE"""),0.0)</f>
        <v>0</v>
      </c>
      <c r="G1752" s="32"/>
      <c r="H1752" s="32"/>
      <c r="I1752" s="32"/>
      <c r="J1752" s="32"/>
      <c r="K1752" s="32"/>
      <c r="L1752" s="32"/>
      <c r="M1752" s="32"/>
      <c r="N1752" s="32"/>
      <c r="O1752" s="32"/>
      <c r="P1752" s="32"/>
      <c r="Q1752" s="32"/>
      <c r="R1752" s="32"/>
      <c r="S1752" s="32"/>
      <c r="T1752" s="32"/>
      <c r="U1752" s="32"/>
      <c r="V1752" s="32"/>
      <c r="W1752" s="32"/>
      <c r="X1752" s="32"/>
      <c r="Y1752" s="32"/>
      <c r="Z1752" s="32"/>
      <c r="AA1752" s="32"/>
      <c r="AB1752" s="32"/>
      <c r="AC1752" s="32"/>
      <c r="AD1752" s="32"/>
      <c r="AE1752" s="32"/>
      <c r="AF1752" s="32"/>
      <c r="AG1752" s="32"/>
      <c r="AH1752" s="32" t="b">
        <f>IFERROR(__xludf.DUMMYFUNCTION("""COMPUTED_VALUE"""),FALSE)</f>
        <v>0</v>
      </c>
      <c r="AI1752" s="32"/>
      <c r="AJ1752" s="32"/>
      <c r="AK1752" s="32"/>
      <c r="AL1752" s="32"/>
      <c r="AM1752" s="32"/>
      <c r="AN1752" s="32"/>
      <c r="AO1752" s="32"/>
      <c r="AP1752" s="32"/>
      <c r="AQ1752" s="32"/>
      <c r="AR1752" s="32"/>
      <c r="AS1752" s="32"/>
      <c r="AT1752" s="32"/>
      <c r="AU1752" s="32"/>
      <c r="AV1752" s="32"/>
      <c r="AW1752" s="32"/>
      <c r="AX1752" s="32"/>
    </row>
    <row r="1753">
      <c r="A1753" s="32"/>
      <c r="B1753" s="32"/>
      <c r="C1753" s="32"/>
      <c r="D1753" s="32"/>
      <c r="E1753" s="32">
        <f>IFERROR(__xludf.DUMMYFUNCTION("""COMPUTED_VALUE"""),1.0)</f>
        <v>1</v>
      </c>
      <c r="F1753" s="44">
        <f>IFERROR(__xludf.DUMMYFUNCTION("""COMPUTED_VALUE"""),0.0)</f>
        <v>0</v>
      </c>
      <c r="G1753" s="32"/>
      <c r="H1753" s="32"/>
      <c r="I1753" s="32"/>
      <c r="J1753" s="32"/>
      <c r="K1753" s="32"/>
      <c r="L1753" s="32"/>
      <c r="M1753" s="32"/>
      <c r="N1753" s="32"/>
      <c r="O1753" s="32"/>
      <c r="P1753" s="32"/>
      <c r="Q1753" s="32"/>
      <c r="R1753" s="32"/>
      <c r="S1753" s="32"/>
      <c r="T1753" s="32"/>
      <c r="U1753" s="32"/>
      <c r="V1753" s="32"/>
      <c r="W1753" s="32"/>
      <c r="X1753" s="32"/>
      <c r="Y1753" s="32"/>
      <c r="Z1753" s="32"/>
      <c r="AA1753" s="32"/>
      <c r="AB1753" s="32"/>
      <c r="AC1753" s="32"/>
      <c r="AD1753" s="32"/>
      <c r="AE1753" s="32"/>
      <c r="AF1753" s="32"/>
      <c r="AG1753" s="32"/>
      <c r="AH1753" s="32" t="b">
        <f>IFERROR(__xludf.DUMMYFUNCTION("""COMPUTED_VALUE"""),FALSE)</f>
        <v>0</v>
      </c>
      <c r="AI1753" s="32"/>
      <c r="AJ1753" s="32"/>
      <c r="AK1753" s="32"/>
      <c r="AL1753" s="32"/>
      <c r="AM1753" s="32"/>
      <c r="AN1753" s="32"/>
      <c r="AO1753" s="32"/>
      <c r="AP1753" s="32"/>
      <c r="AQ1753" s="32"/>
      <c r="AR1753" s="32"/>
      <c r="AS1753" s="32"/>
      <c r="AT1753" s="32"/>
      <c r="AU1753" s="32"/>
      <c r="AV1753" s="32"/>
      <c r="AW1753" s="32"/>
      <c r="AX1753" s="32"/>
    </row>
    <row r="1754">
      <c r="A1754" s="32"/>
      <c r="B1754" s="32"/>
      <c r="C1754" s="32"/>
      <c r="D1754" s="32"/>
      <c r="E1754" s="32">
        <f>IFERROR(__xludf.DUMMYFUNCTION("""COMPUTED_VALUE"""),1.0)</f>
        <v>1</v>
      </c>
      <c r="F1754" s="44">
        <f>IFERROR(__xludf.DUMMYFUNCTION("""COMPUTED_VALUE"""),0.0)</f>
        <v>0</v>
      </c>
      <c r="G1754" s="32"/>
      <c r="H1754" s="32"/>
      <c r="I1754" s="32"/>
      <c r="J1754" s="32"/>
      <c r="K1754" s="32"/>
      <c r="L1754" s="32"/>
      <c r="M1754" s="32"/>
      <c r="N1754" s="32"/>
      <c r="O1754" s="32"/>
      <c r="P1754" s="32"/>
      <c r="Q1754" s="32"/>
      <c r="R1754" s="32"/>
      <c r="S1754" s="32"/>
      <c r="T1754" s="32"/>
      <c r="U1754" s="32"/>
      <c r="V1754" s="32"/>
      <c r="W1754" s="32"/>
      <c r="X1754" s="32"/>
      <c r="Y1754" s="32"/>
      <c r="Z1754" s="32"/>
      <c r="AA1754" s="32"/>
      <c r="AB1754" s="32"/>
      <c r="AC1754" s="32"/>
      <c r="AD1754" s="32"/>
      <c r="AE1754" s="32"/>
      <c r="AF1754" s="32"/>
      <c r="AG1754" s="32"/>
      <c r="AH1754" s="32" t="b">
        <f>IFERROR(__xludf.DUMMYFUNCTION("""COMPUTED_VALUE"""),FALSE)</f>
        <v>0</v>
      </c>
      <c r="AI1754" s="32"/>
      <c r="AJ1754" s="32"/>
      <c r="AK1754" s="32"/>
      <c r="AL1754" s="32"/>
      <c r="AM1754" s="32"/>
      <c r="AN1754" s="32"/>
      <c r="AO1754" s="32"/>
      <c r="AP1754" s="32"/>
      <c r="AQ1754" s="32"/>
      <c r="AR1754" s="32"/>
      <c r="AS1754" s="32"/>
      <c r="AT1754" s="32"/>
      <c r="AU1754" s="32"/>
      <c r="AV1754" s="32"/>
      <c r="AW1754" s="32"/>
      <c r="AX1754" s="32"/>
    </row>
    <row r="1755">
      <c r="A1755" s="32"/>
      <c r="B1755" s="32"/>
      <c r="C1755" s="32"/>
      <c r="D1755" s="32"/>
      <c r="E1755" s="32">
        <f>IFERROR(__xludf.DUMMYFUNCTION("""COMPUTED_VALUE"""),1.0)</f>
        <v>1</v>
      </c>
      <c r="F1755" s="44">
        <f>IFERROR(__xludf.DUMMYFUNCTION("""COMPUTED_VALUE"""),0.0)</f>
        <v>0</v>
      </c>
      <c r="G1755" s="32"/>
      <c r="H1755" s="32"/>
      <c r="I1755" s="32"/>
      <c r="J1755" s="32"/>
      <c r="K1755" s="32"/>
      <c r="L1755" s="32"/>
      <c r="M1755" s="32"/>
      <c r="N1755" s="32"/>
      <c r="O1755" s="32"/>
      <c r="P1755" s="32"/>
      <c r="Q1755" s="32"/>
      <c r="R1755" s="32"/>
      <c r="S1755" s="32"/>
      <c r="T1755" s="32"/>
      <c r="U1755" s="32"/>
      <c r="V1755" s="32"/>
      <c r="W1755" s="32"/>
      <c r="X1755" s="32"/>
      <c r="Y1755" s="32"/>
      <c r="Z1755" s="32"/>
      <c r="AA1755" s="32"/>
      <c r="AB1755" s="32"/>
      <c r="AC1755" s="32"/>
      <c r="AD1755" s="32"/>
      <c r="AE1755" s="32"/>
      <c r="AF1755" s="32"/>
      <c r="AG1755" s="32"/>
      <c r="AH1755" s="32" t="b">
        <f>IFERROR(__xludf.DUMMYFUNCTION("""COMPUTED_VALUE"""),FALSE)</f>
        <v>0</v>
      </c>
      <c r="AI1755" s="32"/>
      <c r="AJ1755" s="32"/>
      <c r="AK1755" s="32"/>
      <c r="AL1755" s="32"/>
      <c r="AM1755" s="32"/>
      <c r="AN1755" s="32"/>
      <c r="AO1755" s="32"/>
      <c r="AP1755" s="32"/>
      <c r="AQ1755" s="32"/>
      <c r="AR1755" s="32"/>
      <c r="AS1755" s="32"/>
      <c r="AT1755" s="32"/>
      <c r="AU1755" s="32"/>
      <c r="AV1755" s="32"/>
      <c r="AW1755" s="32"/>
      <c r="AX1755" s="32"/>
    </row>
    <row r="1756">
      <c r="A1756" s="32"/>
      <c r="B1756" s="32"/>
      <c r="C1756" s="32"/>
      <c r="D1756" s="32"/>
      <c r="E1756" s="32">
        <f>IFERROR(__xludf.DUMMYFUNCTION("""COMPUTED_VALUE"""),1.0)</f>
        <v>1</v>
      </c>
      <c r="F1756" s="44">
        <f>IFERROR(__xludf.DUMMYFUNCTION("""COMPUTED_VALUE"""),0.0)</f>
        <v>0</v>
      </c>
      <c r="G1756" s="32"/>
      <c r="H1756" s="32"/>
      <c r="I1756" s="32"/>
      <c r="J1756" s="32"/>
      <c r="K1756" s="32"/>
      <c r="L1756" s="32"/>
      <c r="M1756" s="32"/>
      <c r="N1756" s="32"/>
      <c r="O1756" s="32"/>
      <c r="P1756" s="32"/>
      <c r="Q1756" s="32"/>
      <c r="R1756" s="32"/>
      <c r="S1756" s="32"/>
      <c r="T1756" s="32"/>
      <c r="U1756" s="32"/>
      <c r="V1756" s="32"/>
      <c r="W1756" s="32"/>
      <c r="X1756" s="32"/>
      <c r="Y1756" s="32"/>
      <c r="Z1756" s="32"/>
      <c r="AA1756" s="32"/>
      <c r="AB1756" s="32"/>
      <c r="AC1756" s="32"/>
      <c r="AD1756" s="32"/>
      <c r="AE1756" s="32"/>
      <c r="AF1756" s="32"/>
      <c r="AG1756" s="32"/>
      <c r="AH1756" s="32" t="b">
        <f>IFERROR(__xludf.DUMMYFUNCTION("""COMPUTED_VALUE"""),FALSE)</f>
        <v>0</v>
      </c>
      <c r="AI1756" s="32"/>
      <c r="AJ1756" s="32"/>
      <c r="AK1756" s="32"/>
      <c r="AL1756" s="32"/>
      <c r="AM1756" s="32"/>
      <c r="AN1756" s="32"/>
      <c r="AO1756" s="32"/>
      <c r="AP1756" s="32"/>
      <c r="AQ1756" s="32"/>
      <c r="AR1756" s="32"/>
      <c r="AS1756" s="32"/>
      <c r="AT1756" s="32"/>
      <c r="AU1756" s="32"/>
      <c r="AV1756" s="32"/>
      <c r="AW1756" s="32"/>
      <c r="AX1756" s="32"/>
    </row>
    <row r="1757">
      <c r="A1757" s="32"/>
      <c r="B1757" s="32"/>
      <c r="C1757" s="32"/>
      <c r="D1757" s="32"/>
      <c r="E1757" s="32">
        <f>IFERROR(__xludf.DUMMYFUNCTION("""COMPUTED_VALUE"""),1.0)</f>
        <v>1</v>
      </c>
      <c r="F1757" s="44">
        <f>IFERROR(__xludf.DUMMYFUNCTION("""COMPUTED_VALUE"""),0.0)</f>
        <v>0</v>
      </c>
      <c r="G1757" s="32"/>
      <c r="H1757" s="32"/>
      <c r="I1757" s="32"/>
      <c r="J1757" s="32"/>
      <c r="K1757" s="32"/>
      <c r="L1757" s="32"/>
      <c r="M1757" s="32"/>
      <c r="N1757" s="32"/>
      <c r="O1757" s="32"/>
      <c r="P1757" s="32"/>
      <c r="Q1757" s="32"/>
      <c r="R1757" s="32"/>
      <c r="S1757" s="32"/>
      <c r="T1757" s="32"/>
      <c r="U1757" s="32"/>
      <c r="V1757" s="32"/>
      <c r="W1757" s="32"/>
      <c r="X1757" s="32"/>
      <c r="Y1757" s="32"/>
      <c r="Z1757" s="32"/>
      <c r="AA1757" s="32"/>
      <c r="AB1757" s="32"/>
      <c r="AC1757" s="32"/>
      <c r="AD1757" s="32"/>
      <c r="AE1757" s="32"/>
      <c r="AF1757" s="32"/>
      <c r="AG1757" s="32"/>
      <c r="AH1757" s="32" t="b">
        <f>IFERROR(__xludf.DUMMYFUNCTION("""COMPUTED_VALUE"""),FALSE)</f>
        <v>0</v>
      </c>
      <c r="AI1757" s="32"/>
      <c r="AJ1757" s="32"/>
      <c r="AK1757" s="32"/>
      <c r="AL1757" s="32"/>
      <c r="AM1757" s="32"/>
      <c r="AN1757" s="32"/>
      <c r="AO1757" s="32"/>
      <c r="AP1757" s="32"/>
      <c r="AQ1757" s="32"/>
      <c r="AR1757" s="32"/>
      <c r="AS1757" s="32"/>
      <c r="AT1757" s="32"/>
      <c r="AU1757" s="32"/>
      <c r="AV1757" s="32"/>
      <c r="AW1757" s="32"/>
      <c r="AX1757" s="32"/>
    </row>
    <row r="1758">
      <c r="A1758" s="32"/>
      <c r="B1758" s="32"/>
      <c r="C1758" s="32"/>
      <c r="D1758" s="32"/>
      <c r="E1758" s="32">
        <f>IFERROR(__xludf.DUMMYFUNCTION("""COMPUTED_VALUE"""),1.0)</f>
        <v>1</v>
      </c>
      <c r="F1758" s="44">
        <f>IFERROR(__xludf.DUMMYFUNCTION("""COMPUTED_VALUE"""),0.0)</f>
        <v>0</v>
      </c>
      <c r="G1758" s="32"/>
      <c r="H1758" s="32"/>
      <c r="I1758" s="32"/>
      <c r="J1758" s="32"/>
      <c r="K1758" s="32"/>
      <c r="L1758" s="32"/>
      <c r="M1758" s="32"/>
      <c r="N1758" s="32"/>
      <c r="O1758" s="32"/>
      <c r="P1758" s="32"/>
      <c r="Q1758" s="32"/>
      <c r="R1758" s="32"/>
      <c r="S1758" s="32"/>
      <c r="T1758" s="32"/>
      <c r="U1758" s="32"/>
      <c r="V1758" s="32"/>
      <c r="W1758" s="32"/>
      <c r="X1758" s="32"/>
      <c r="Y1758" s="32"/>
      <c r="Z1758" s="32"/>
      <c r="AA1758" s="32"/>
      <c r="AB1758" s="32"/>
      <c r="AC1758" s="32"/>
      <c r="AD1758" s="32"/>
      <c r="AE1758" s="32"/>
      <c r="AF1758" s="32"/>
      <c r="AG1758" s="32"/>
      <c r="AH1758" s="32" t="b">
        <f>IFERROR(__xludf.DUMMYFUNCTION("""COMPUTED_VALUE"""),FALSE)</f>
        <v>0</v>
      </c>
      <c r="AI1758" s="32"/>
      <c r="AJ1758" s="32"/>
      <c r="AK1758" s="32"/>
      <c r="AL1758" s="32"/>
      <c r="AM1758" s="32"/>
      <c r="AN1758" s="32"/>
      <c r="AO1758" s="32"/>
      <c r="AP1758" s="32"/>
      <c r="AQ1758" s="32"/>
      <c r="AR1758" s="32"/>
      <c r="AS1758" s="32"/>
      <c r="AT1758" s="32"/>
      <c r="AU1758" s="32"/>
      <c r="AV1758" s="32"/>
      <c r="AW1758" s="32"/>
      <c r="AX1758" s="32"/>
    </row>
    <row r="1759">
      <c r="A1759" s="32"/>
      <c r="B1759" s="32"/>
      <c r="C1759" s="32"/>
      <c r="D1759" s="32"/>
      <c r="E1759" s="32">
        <f>IFERROR(__xludf.DUMMYFUNCTION("""COMPUTED_VALUE"""),1.0)</f>
        <v>1</v>
      </c>
      <c r="F1759" s="44">
        <f>IFERROR(__xludf.DUMMYFUNCTION("""COMPUTED_VALUE"""),0.0)</f>
        <v>0</v>
      </c>
      <c r="G1759" s="32"/>
      <c r="H1759" s="32"/>
      <c r="I1759" s="32"/>
      <c r="J1759" s="32"/>
      <c r="K1759" s="32"/>
      <c r="L1759" s="32"/>
      <c r="M1759" s="32"/>
      <c r="N1759" s="32"/>
      <c r="O1759" s="32"/>
      <c r="P1759" s="32"/>
      <c r="Q1759" s="32"/>
      <c r="R1759" s="32"/>
      <c r="S1759" s="32"/>
      <c r="T1759" s="32"/>
      <c r="U1759" s="32"/>
      <c r="V1759" s="32"/>
      <c r="W1759" s="32"/>
      <c r="X1759" s="32"/>
      <c r="Y1759" s="32"/>
      <c r="Z1759" s="32"/>
      <c r="AA1759" s="32"/>
      <c r="AB1759" s="32"/>
      <c r="AC1759" s="32"/>
      <c r="AD1759" s="32"/>
      <c r="AE1759" s="32"/>
      <c r="AF1759" s="32"/>
      <c r="AG1759" s="32"/>
      <c r="AH1759" s="32" t="b">
        <f>IFERROR(__xludf.DUMMYFUNCTION("""COMPUTED_VALUE"""),FALSE)</f>
        <v>0</v>
      </c>
      <c r="AI1759" s="32"/>
      <c r="AJ1759" s="32"/>
      <c r="AK1759" s="32"/>
      <c r="AL1759" s="32"/>
      <c r="AM1759" s="32"/>
      <c r="AN1759" s="32"/>
      <c r="AO1759" s="32"/>
      <c r="AP1759" s="32"/>
      <c r="AQ1759" s="32"/>
      <c r="AR1759" s="32"/>
      <c r="AS1759" s="32"/>
      <c r="AT1759" s="32"/>
      <c r="AU1759" s="32"/>
      <c r="AV1759" s="32"/>
      <c r="AW1759" s="32"/>
      <c r="AX1759" s="32"/>
    </row>
    <row r="1760">
      <c r="A1760" s="32"/>
      <c r="B1760" s="32"/>
      <c r="C1760" s="32"/>
      <c r="D1760" s="32"/>
      <c r="E1760" s="32">
        <f>IFERROR(__xludf.DUMMYFUNCTION("""COMPUTED_VALUE"""),1.0)</f>
        <v>1</v>
      </c>
      <c r="F1760" s="44">
        <f>IFERROR(__xludf.DUMMYFUNCTION("""COMPUTED_VALUE"""),0.0)</f>
        <v>0</v>
      </c>
      <c r="G1760" s="32"/>
      <c r="H1760" s="32"/>
      <c r="I1760" s="32"/>
      <c r="J1760" s="32"/>
      <c r="K1760" s="32"/>
      <c r="L1760" s="32"/>
      <c r="M1760" s="32"/>
      <c r="N1760" s="32"/>
      <c r="O1760" s="32"/>
      <c r="P1760" s="32"/>
      <c r="Q1760" s="32"/>
      <c r="R1760" s="32"/>
      <c r="S1760" s="32"/>
      <c r="T1760" s="32"/>
      <c r="U1760" s="32"/>
      <c r="V1760" s="32"/>
      <c r="W1760" s="32"/>
      <c r="X1760" s="32"/>
      <c r="Y1760" s="32"/>
      <c r="Z1760" s="32"/>
      <c r="AA1760" s="32"/>
      <c r="AB1760" s="32"/>
      <c r="AC1760" s="32"/>
      <c r="AD1760" s="32"/>
      <c r="AE1760" s="32"/>
      <c r="AF1760" s="32"/>
      <c r="AG1760" s="32"/>
      <c r="AH1760" s="32" t="b">
        <f>IFERROR(__xludf.DUMMYFUNCTION("""COMPUTED_VALUE"""),FALSE)</f>
        <v>0</v>
      </c>
      <c r="AI1760" s="32"/>
      <c r="AJ1760" s="32"/>
      <c r="AK1760" s="32"/>
      <c r="AL1760" s="32"/>
      <c r="AM1760" s="32"/>
      <c r="AN1760" s="32"/>
      <c r="AO1760" s="32"/>
      <c r="AP1760" s="32"/>
      <c r="AQ1760" s="32"/>
      <c r="AR1760" s="32"/>
      <c r="AS1760" s="32"/>
      <c r="AT1760" s="32"/>
      <c r="AU1760" s="32"/>
      <c r="AV1760" s="32"/>
      <c r="AW1760" s="32"/>
      <c r="AX1760" s="32"/>
    </row>
    <row r="1761">
      <c r="A1761" s="32"/>
      <c r="B1761" s="32"/>
      <c r="C1761" s="32"/>
      <c r="D1761" s="32"/>
      <c r="E1761" s="32">
        <f>IFERROR(__xludf.DUMMYFUNCTION("""COMPUTED_VALUE"""),1.0)</f>
        <v>1</v>
      </c>
      <c r="F1761" s="44">
        <f>IFERROR(__xludf.DUMMYFUNCTION("""COMPUTED_VALUE"""),0.0)</f>
        <v>0</v>
      </c>
      <c r="G1761" s="32"/>
      <c r="H1761" s="32"/>
      <c r="I1761" s="32"/>
      <c r="J1761" s="32"/>
      <c r="K1761" s="32"/>
      <c r="L1761" s="32"/>
      <c r="M1761" s="32"/>
      <c r="N1761" s="32"/>
      <c r="O1761" s="32"/>
      <c r="P1761" s="32"/>
      <c r="Q1761" s="32"/>
      <c r="R1761" s="32"/>
      <c r="S1761" s="32"/>
      <c r="T1761" s="32"/>
      <c r="U1761" s="32"/>
      <c r="V1761" s="32"/>
      <c r="W1761" s="32"/>
      <c r="X1761" s="32"/>
      <c r="Y1761" s="32"/>
      <c r="Z1761" s="32"/>
      <c r="AA1761" s="32"/>
      <c r="AB1761" s="32"/>
      <c r="AC1761" s="32"/>
      <c r="AD1761" s="32"/>
      <c r="AE1761" s="32"/>
      <c r="AF1761" s="32"/>
      <c r="AG1761" s="32"/>
      <c r="AH1761" s="32" t="b">
        <f>IFERROR(__xludf.DUMMYFUNCTION("""COMPUTED_VALUE"""),FALSE)</f>
        <v>0</v>
      </c>
      <c r="AI1761" s="32"/>
      <c r="AJ1761" s="32"/>
      <c r="AK1761" s="32"/>
      <c r="AL1761" s="32"/>
      <c r="AM1761" s="32"/>
      <c r="AN1761" s="32"/>
      <c r="AO1761" s="32"/>
      <c r="AP1761" s="32"/>
      <c r="AQ1761" s="32"/>
      <c r="AR1761" s="32"/>
      <c r="AS1761" s="32"/>
      <c r="AT1761" s="32"/>
      <c r="AU1761" s="32"/>
      <c r="AV1761" s="32"/>
      <c r="AW1761" s="32"/>
      <c r="AX1761" s="32"/>
    </row>
    <row r="1762">
      <c r="A1762" s="32"/>
      <c r="B1762" s="32"/>
      <c r="C1762" s="32"/>
      <c r="D1762" s="32"/>
      <c r="E1762" s="32">
        <f>IFERROR(__xludf.DUMMYFUNCTION("""COMPUTED_VALUE"""),1.0)</f>
        <v>1</v>
      </c>
      <c r="F1762" s="44">
        <f>IFERROR(__xludf.DUMMYFUNCTION("""COMPUTED_VALUE"""),0.0)</f>
        <v>0</v>
      </c>
      <c r="G1762" s="32"/>
      <c r="H1762" s="32"/>
      <c r="I1762" s="32"/>
      <c r="J1762" s="32"/>
      <c r="K1762" s="32"/>
      <c r="L1762" s="32"/>
      <c r="M1762" s="32"/>
      <c r="N1762" s="32"/>
      <c r="O1762" s="32"/>
      <c r="P1762" s="32"/>
      <c r="Q1762" s="32"/>
      <c r="R1762" s="32"/>
      <c r="S1762" s="32"/>
      <c r="T1762" s="32"/>
      <c r="U1762" s="32"/>
      <c r="V1762" s="32"/>
      <c r="W1762" s="32"/>
      <c r="X1762" s="32"/>
      <c r="Y1762" s="32"/>
      <c r="Z1762" s="32"/>
      <c r="AA1762" s="32"/>
      <c r="AB1762" s="32"/>
      <c r="AC1762" s="32"/>
      <c r="AD1762" s="32"/>
      <c r="AE1762" s="32"/>
      <c r="AF1762" s="32"/>
      <c r="AG1762" s="32"/>
      <c r="AH1762" s="32" t="b">
        <f>IFERROR(__xludf.DUMMYFUNCTION("""COMPUTED_VALUE"""),FALSE)</f>
        <v>0</v>
      </c>
      <c r="AI1762" s="32"/>
      <c r="AJ1762" s="32"/>
      <c r="AK1762" s="32"/>
      <c r="AL1762" s="32"/>
      <c r="AM1762" s="32"/>
      <c r="AN1762" s="32"/>
      <c r="AO1762" s="32"/>
      <c r="AP1762" s="32"/>
      <c r="AQ1762" s="32"/>
      <c r="AR1762" s="32"/>
      <c r="AS1762" s="32"/>
      <c r="AT1762" s="32"/>
      <c r="AU1762" s="32"/>
      <c r="AV1762" s="32"/>
      <c r="AW1762" s="32"/>
      <c r="AX1762" s="32"/>
    </row>
    <row r="1763">
      <c r="A1763" s="32"/>
      <c r="B1763" s="32"/>
      <c r="C1763" s="32"/>
      <c r="D1763" s="32"/>
      <c r="E1763" s="32">
        <f>IFERROR(__xludf.DUMMYFUNCTION("""COMPUTED_VALUE"""),1.0)</f>
        <v>1</v>
      </c>
      <c r="F1763" s="44">
        <f>IFERROR(__xludf.DUMMYFUNCTION("""COMPUTED_VALUE"""),0.0)</f>
        <v>0</v>
      </c>
      <c r="G1763" s="32"/>
      <c r="H1763" s="32"/>
      <c r="I1763" s="32"/>
      <c r="J1763" s="32"/>
      <c r="K1763" s="32"/>
      <c r="L1763" s="32"/>
      <c r="M1763" s="32"/>
      <c r="N1763" s="32"/>
      <c r="O1763" s="32"/>
      <c r="P1763" s="32"/>
      <c r="Q1763" s="32"/>
      <c r="R1763" s="32"/>
      <c r="S1763" s="32"/>
      <c r="T1763" s="32"/>
      <c r="U1763" s="32"/>
      <c r="V1763" s="32"/>
      <c r="W1763" s="32"/>
      <c r="X1763" s="32"/>
      <c r="Y1763" s="32"/>
      <c r="Z1763" s="32"/>
      <c r="AA1763" s="32"/>
      <c r="AB1763" s="32"/>
      <c r="AC1763" s="32"/>
      <c r="AD1763" s="32"/>
      <c r="AE1763" s="32"/>
      <c r="AF1763" s="32"/>
      <c r="AG1763" s="32"/>
      <c r="AH1763" s="32" t="b">
        <f>IFERROR(__xludf.DUMMYFUNCTION("""COMPUTED_VALUE"""),FALSE)</f>
        <v>0</v>
      </c>
      <c r="AI1763" s="32"/>
      <c r="AJ1763" s="32"/>
      <c r="AK1763" s="32"/>
      <c r="AL1763" s="32"/>
      <c r="AM1763" s="32"/>
      <c r="AN1763" s="32"/>
      <c r="AO1763" s="32"/>
      <c r="AP1763" s="32"/>
      <c r="AQ1763" s="32"/>
      <c r="AR1763" s="32"/>
      <c r="AS1763" s="32"/>
      <c r="AT1763" s="32"/>
      <c r="AU1763" s="32"/>
      <c r="AV1763" s="32"/>
      <c r="AW1763" s="32"/>
      <c r="AX1763" s="32"/>
    </row>
    <row r="1764">
      <c r="A1764" s="32"/>
      <c r="B1764" s="32"/>
      <c r="C1764" s="32"/>
      <c r="D1764" s="32"/>
      <c r="E1764" s="32">
        <f>IFERROR(__xludf.DUMMYFUNCTION("""COMPUTED_VALUE"""),1.0)</f>
        <v>1</v>
      </c>
      <c r="F1764" s="44">
        <f>IFERROR(__xludf.DUMMYFUNCTION("""COMPUTED_VALUE"""),0.0)</f>
        <v>0</v>
      </c>
      <c r="G1764" s="32"/>
      <c r="H1764" s="32"/>
      <c r="I1764" s="32"/>
      <c r="J1764" s="32"/>
      <c r="K1764" s="32"/>
      <c r="L1764" s="32"/>
      <c r="M1764" s="32"/>
      <c r="N1764" s="32"/>
      <c r="O1764" s="32"/>
      <c r="P1764" s="32"/>
      <c r="Q1764" s="32"/>
      <c r="R1764" s="32"/>
      <c r="S1764" s="32"/>
      <c r="T1764" s="32"/>
      <c r="U1764" s="32"/>
      <c r="V1764" s="32"/>
      <c r="W1764" s="32"/>
      <c r="X1764" s="32"/>
      <c r="Y1764" s="32"/>
      <c r="Z1764" s="32"/>
      <c r="AA1764" s="32"/>
      <c r="AB1764" s="32"/>
      <c r="AC1764" s="32"/>
      <c r="AD1764" s="32"/>
      <c r="AE1764" s="32"/>
      <c r="AF1764" s="32"/>
      <c r="AG1764" s="32"/>
      <c r="AH1764" s="32" t="b">
        <f>IFERROR(__xludf.DUMMYFUNCTION("""COMPUTED_VALUE"""),FALSE)</f>
        <v>0</v>
      </c>
      <c r="AI1764" s="32"/>
      <c r="AJ1764" s="32"/>
      <c r="AK1764" s="32"/>
      <c r="AL1764" s="32"/>
      <c r="AM1764" s="32"/>
      <c r="AN1764" s="32"/>
      <c r="AO1764" s="32"/>
      <c r="AP1764" s="32"/>
      <c r="AQ1764" s="32"/>
      <c r="AR1764" s="32"/>
      <c r="AS1764" s="32"/>
      <c r="AT1764" s="32"/>
      <c r="AU1764" s="32"/>
      <c r="AV1764" s="32"/>
      <c r="AW1764" s="32"/>
      <c r="AX1764" s="32"/>
    </row>
    <row r="1765">
      <c r="A1765" s="32"/>
      <c r="B1765" s="32"/>
      <c r="C1765" s="32"/>
      <c r="D1765" s="32"/>
      <c r="E1765" s="32">
        <f>IFERROR(__xludf.DUMMYFUNCTION("""COMPUTED_VALUE"""),1.0)</f>
        <v>1</v>
      </c>
      <c r="F1765" s="44">
        <f>IFERROR(__xludf.DUMMYFUNCTION("""COMPUTED_VALUE"""),0.0)</f>
        <v>0</v>
      </c>
      <c r="G1765" s="32"/>
      <c r="H1765" s="32"/>
      <c r="I1765" s="32"/>
      <c r="J1765" s="32"/>
      <c r="K1765" s="32"/>
      <c r="L1765" s="32"/>
      <c r="M1765" s="32"/>
      <c r="N1765" s="32"/>
      <c r="O1765" s="32"/>
      <c r="P1765" s="32"/>
      <c r="Q1765" s="32"/>
      <c r="R1765" s="32"/>
      <c r="S1765" s="32"/>
      <c r="T1765" s="32"/>
      <c r="U1765" s="32"/>
      <c r="V1765" s="32"/>
      <c r="W1765" s="32"/>
      <c r="X1765" s="32"/>
      <c r="Y1765" s="32"/>
      <c r="Z1765" s="32"/>
      <c r="AA1765" s="32"/>
      <c r="AB1765" s="32"/>
      <c r="AC1765" s="32"/>
      <c r="AD1765" s="32"/>
      <c r="AE1765" s="32"/>
      <c r="AF1765" s="32"/>
      <c r="AG1765" s="32"/>
      <c r="AH1765" s="32" t="b">
        <f>IFERROR(__xludf.DUMMYFUNCTION("""COMPUTED_VALUE"""),FALSE)</f>
        <v>0</v>
      </c>
      <c r="AI1765" s="32"/>
      <c r="AJ1765" s="32"/>
      <c r="AK1765" s="32"/>
      <c r="AL1765" s="32"/>
      <c r="AM1765" s="32"/>
      <c r="AN1765" s="32"/>
      <c r="AO1765" s="32"/>
      <c r="AP1765" s="32"/>
      <c r="AQ1765" s="32"/>
      <c r="AR1765" s="32"/>
      <c r="AS1765" s="32"/>
      <c r="AT1765" s="32"/>
      <c r="AU1765" s="32"/>
      <c r="AV1765" s="32"/>
      <c r="AW1765" s="32"/>
      <c r="AX1765" s="32"/>
    </row>
    <row r="1766">
      <c r="A1766" s="32"/>
      <c r="B1766" s="32"/>
      <c r="C1766" s="32"/>
      <c r="D1766" s="32"/>
      <c r="E1766" s="32">
        <f>IFERROR(__xludf.DUMMYFUNCTION("""COMPUTED_VALUE"""),1.0)</f>
        <v>1</v>
      </c>
      <c r="F1766" s="44">
        <f>IFERROR(__xludf.DUMMYFUNCTION("""COMPUTED_VALUE"""),0.0)</f>
        <v>0</v>
      </c>
      <c r="G1766" s="32"/>
      <c r="H1766" s="32"/>
      <c r="I1766" s="32"/>
      <c r="J1766" s="32"/>
      <c r="K1766" s="32"/>
      <c r="L1766" s="32"/>
      <c r="M1766" s="32"/>
      <c r="N1766" s="32"/>
      <c r="O1766" s="32"/>
      <c r="P1766" s="32"/>
      <c r="Q1766" s="32"/>
      <c r="R1766" s="32"/>
      <c r="S1766" s="32"/>
      <c r="T1766" s="32"/>
      <c r="U1766" s="32"/>
      <c r="V1766" s="32"/>
      <c r="W1766" s="32"/>
      <c r="X1766" s="32"/>
      <c r="Y1766" s="32"/>
      <c r="Z1766" s="32"/>
      <c r="AA1766" s="32"/>
      <c r="AB1766" s="32"/>
      <c r="AC1766" s="32"/>
      <c r="AD1766" s="32"/>
      <c r="AE1766" s="32"/>
      <c r="AF1766" s="32"/>
      <c r="AG1766" s="32"/>
      <c r="AH1766" s="32" t="b">
        <f>IFERROR(__xludf.DUMMYFUNCTION("""COMPUTED_VALUE"""),FALSE)</f>
        <v>0</v>
      </c>
      <c r="AI1766" s="32"/>
      <c r="AJ1766" s="32"/>
      <c r="AK1766" s="32"/>
      <c r="AL1766" s="32"/>
      <c r="AM1766" s="32"/>
      <c r="AN1766" s="32"/>
      <c r="AO1766" s="32"/>
      <c r="AP1766" s="32"/>
      <c r="AQ1766" s="32"/>
      <c r="AR1766" s="32"/>
      <c r="AS1766" s="32"/>
      <c r="AT1766" s="32"/>
      <c r="AU1766" s="32"/>
      <c r="AV1766" s="32"/>
      <c r="AW1766" s="32"/>
      <c r="AX1766" s="32"/>
    </row>
    <row r="1767">
      <c r="A1767" s="32"/>
      <c r="B1767" s="32"/>
      <c r="C1767" s="32"/>
      <c r="D1767" s="32"/>
      <c r="E1767" s="32">
        <f>IFERROR(__xludf.DUMMYFUNCTION("""COMPUTED_VALUE"""),1.0)</f>
        <v>1</v>
      </c>
      <c r="F1767" s="44">
        <f>IFERROR(__xludf.DUMMYFUNCTION("""COMPUTED_VALUE"""),0.0)</f>
        <v>0</v>
      </c>
      <c r="G1767" s="32"/>
      <c r="H1767" s="32"/>
      <c r="I1767" s="32"/>
      <c r="J1767" s="32"/>
      <c r="K1767" s="32"/>
      <c r="L1767" s="32"/>
      <c r="M1767" s="32"/>
      <c r="N1767" s="32"/>
      <c r="O1767" s="32"/>
      <c r="P1767" s="32"/>
      <c r="Q1767" s="32"/>
      <c r="R1767" s="32"/>
      <c r="S1767" s="32"/>
      <c r="T1767" s="32"/>
      <c r="U1767" s="32"/>
      <c r="V1767" s="32"/>
      <c r="W1767" s="32"/>
      <c r="X1767" s="32"/>
      <c r="Y1767" s="32"/>
      <c r="Z1767" s="32"/>
      <c r="AA1767" s="32"/>
      <c r="AB1767" s="32"/>
      <c r="AC1767" s="32"/>
      <c r="AD1767" s="32"/>
      <c r="AE1767" s="32"/>
      <c r="AF1767" s="32"/>
      <c r="AG1767" s="32"/>
      <c r="AH1767" s="32" t="b">
        <f>IFERROR(__xludf.DUMMYFUNCTION("""COMPUTED_VALUE"""),FALSE)</f>
        <v>0</v>
      </c>
      <c r="AI1767" s="32"/>
      <c r="AJ1767" s="32"/>
      <c r="AK1767" s="32"/>
      <c r="AL1767" s="32"/>
      <c r="AM1767" s="32"/>
      <c r="AN1767" s="32"/>
      <c r="AO1767" s="32"/>
      <c r="AP1767" s="32"/>
      <c r="AQ1767" s="32"/>
      <c r="AR1767" s="32"/>
      <c r="AS1767" s="32"/>
      <c r="AT1767" s="32"/>
      <c r="AU1767" s="32"/>
      <c r="AV1767" s="32"/>
      <c r="AW1767" s="32"/>
      <c r="AX1767" s="32"/>
    </row>
    <row r="1768">
      <c r="A1768" s="32"/>
      <c r="B1768" s="32"/>
      <c r="C1768" s="32"/>
      <c r="D1768" s="32"/>
      <c r="E1768" s="32">
        <f>IFERROR(__xludf.DUMMYFUNCTION("""COMPUTED_VALUE"""),1.0)</f>
        <v>1</v>
      </c>
      <c r="F1768" s="44">
        <f>IFERROR(__xludf.DUMMYFUNCTION("""COMPUTED_VALUE"""),0.0)</f>
        <v>0</v>
      </c>
      <c r="G1768" s="32"/>
      <c r="H1768" s="32"/>
      <c r="I1768" s="32"/>
      <c r="J1768" s="32"/>
      <c r="K1768" s="32"/>
      <c r="L1768" s="32"/>
      <c r="M1768" s="32"/>
      <c r="N1768" s="32"/>
      <c r="O1768" s="32"/>
      <c r="P1768" s="32"/>
      <c r="Q1768" s="32"/>
      <c r="R1768" s="32"/>
      <c r="S1768" s="32"/>
      <c r="T1768" s="32"/>
      <c r="U1768" s="32"/>
      <c r="V1768" s="32"/>
      <c r="W1768" s="32"/>
      <c r="X1768" s="32"/>
      <c r="Y1768" s="32"/>
      <c r="Z1768" s="32"/>
      <c r="AA1768" s="32"/>
      <c r="AB1768" s="32"/>
      <c r="AC1768" s="32"/>
      <c r="AD1768" s="32"/>
      <c r="AE1768" s="32"/>
      <c r="AF1768" s="32"/>
      <c r="AG1768" s="32"/>
      <c r="AH1768" s="32" t="b">
        <f>IFERROR(__xludf.DUMMYFUNCTION("""COMPUTED_VALUE"""),FALSE)</f>
        <v>0</v>
      </c>
      <c r="AI1768" s="32"/>
      <c r="AJ1768" s="32"/>
      <c r="AK1768" s="32"/>
      <c r="AL1768" s="32"/>
      <c r="AM1768" s="32"/>
      <c r="AN1768" s="32"/>
      <c r="AO1768" s="32"/>
      <c r="AP1768" s="32"/>
      <c r="AQ1768" s="32"/>
      <c r="AR1768" s="32"/>
      <c r="AS1768" s="32"/>
      <c r="AT1768" s="32"/>
      <c r="AU1768" s="32"/>
      <c r="AV1768" s="32"/>
      <c r="AW1768" s="32"/>
      <c r="AX1768" s="32"/>
    </row>
    <row r="1769">
      <c r="A1769" s="32"/>
      <c r="B1769" s="32"/>
      <c r="C1769" s="32"/>
      <c r="D1769" s="32"/>
      <c r="E1769" s="32">
        <f>IFERROR(__xludf.DUMMYFUNCTION("""COMPUTED_VALUE"""),1.0)</f>
        <v>1</v>
      </c>
      <c r="F1769" s="44">
        <f>IFERROR(__xludf.DUMMYFUNCTION("""COMPUTED_VALUE"""),0.0)</f>
        <v>0</v>
      </c>
      <c r="G1769" s="32"/>
      <c r="H1769" s="32"/>
      <c r="I1769" s="32"/>
      <c r="J1769" s="32"/>
      <c r="K1769" s="32"/>
      <c r="L1769" s="32"/>
      <c r="M1769" s="32"/>
      <c r="N1769" s="32"/>
      <c r="O1769" s="32"/>
      <c r="P1769" s="32"/>
      <c r="Q1769" s="32"/>
      <c r="R1769" s="32"/>
      <c r="S1769" s="32"/>
      <c r="T1769" s="32"/>
      <c r="U1769" s="32"/>
      <c r="V1769" s="32"/>
      <c r="W1769" s="32"/>
      <c r="X1769" s="32"/>
      <c r="Y1769" s="32"/>
      <c r="Z1769" s="32"/>
      <c r="AA1769" s="32"/>
      <c r="AB1769" s="32"/>
      <c r="AC1769" s="32"/>
      <c r="AD1769" s="32"/>
      <c r="AE1769" s="32"/>
      <c r="AF1769" s="32"/>
      <c r="AG1769" s="32"/>
      <c r="AH1769" s="32" t="b">
        <f>IFERROR(__xludf.DUMMYFUNCTION("""COMPUTED_VALUE"""),FALSE)</f>
        <v>0</v>
      </c>
      <c r="AI1769" s="32"/>
      <c r="AJ1769" s="32"/>
      <c r="AK1769" s="32"/>
      <c r="AL1769" s="32"/>
      <c r="AM1769" s="32"/>
      <c r="AN1769" s="32"/>
      <c r="AO1769" s="32"/>
      <c r="AP1769" s="32"/>
      <c r="AQ1769" s="32"/>
      <c r="AR1769" s="32"/>
      <c r="AS1769" s="32"/>
      <c r="AT1769" s="32"/>
      <c r="AU1769" s="32"/>
      <c r="AV1769" s="32"/>
      <c r="AW1769" s="32"/>
      <c r="AX1769" s="32"/>
    </row>
    <row r="1770">
      <c r="A1770" s="32"/>
      <c r="B1770" s="32"/>
      <c r="C1770" s="32"/>
      <c r="D1770" s="32"/>
      <c r="E1770" s="32">
        <f>IFERROR(__xludf.DUMMYFUNCTION("""COMPUTED_VALUE"""),1.0)</f>
        <v>1</v>
      </c>
      <c r="F1770" s="44">
        <f>IFERROR(__xludf.DUMMYFUNCTION("""COMPUTED_VALUE"""),0.0)</f>
        <v>0</v>
      </c>
      <c r="G1770" s="32"/>
      <c r="H1770" s="32"/>
      <c r="I1770" s="32"/>
      <c r="J1770" s="32"/>
      <c r="K1770" s="32"/>
      <c r="L1770" s="32"/>
      <c r="M1770" s="32"/>
      <c r="N1770" s="32"/>
      <c r="O1770" s="32"/>
      <c r="P1770" s="32"/>
      <c r="Q1770" s="32"/>
      <c r="R1770" s="32"/>
      <c r="S1770" s="32"/>
      <c r="T1770" s="32"/>
      <c r="U1770" s="32"/>
      <c r="V1770" s="32"/>
      <c r="W1770" s="32"/>
      <c r="X1770" s="32"/>
      <c r="Y1770" s="32"/>
      <c r="Z1770" s="32"/>
      <c r="AA1770" s="32"/>
      <c r="AB1770" s="32"/>
      <c r="AC1770" s="32"/>
      <c r="AD1770" s="32"/>
      <c r="AE1770" s="32"/>
      <c r="AF1770" s="32"/>
      <c r="AG1770" s="32"/>
      <c r="AH1770" s="32" t="b">
        <f>IFERROR(__xludf.DUMMYFUNCTION("""COMPUTED_VALUE"""),FALSE)</f>
        <v>0</v>
      </c>
      <c r="AI1770" s="32"/>
      <c r="AJ1770" s="32"/>
      <c r="AK1770" s="32"/>
      <c r="AL1770" s="32"/>
      <c r="AM1770" s="32"/>
      <c r="AN1770" s="32"/>
      <c r="AO1770" s="32"/>
      <c r="AP1770" s="32"/>
      <c r="AQ1770" s="32"/>
      <c r="AR1770" s="32"/>
      <c r="AS1770" s="32"/>
      <c r="AT1770" s="32"/>
      <c r="AU1770" s="32"/>
      <c r="AV1770" s="32"/>
      <c r="AW1770" s="32"/>
      <c r="AX1770" s="32"/>
    </row>
    <row r="1771">
      <c r="A1771" s="32"/>
      <c r="B1771" s="32"/>
      <c r="C1771" s="32"/>
      <c r="D1771" s="32"/>
      <c r="E1771" s="32">
        <f>IFERROR(__xludf.DUMMYFUNCTION("""COMPUTED_VALUE"""),1.0)</f>
        <v>1</v>
      </c>
      <c r="F1771" s="44">
        <f>IFERROR(__xludf.DUMMYFUNCTION("""COMPUTED_VALUE"""),0.0)</f>
        <v>0</v>
      </c>
      <c r="G1771" s="32"/>
      <c r="H1771" s="32"/>
      <c r="I1771" s="32"/>
      <c r="J1771" s="32"/>
      <c r="K1771" s="32"/>
      <c r="L1771" s="32"/>
      <c r="M1771" s="32"/>
      <c r="N1771" s="32"/>
      <c r="O1771" s="32"/>
      <c r="P1771" s="32"/>
      <c r="Q1771" s="32"/>
      <c r="R1771" s="32"/>
      <c r="S1771" s="32"/>
      <c r="T1771" s="32"/>
      <c r="U1771" s="32"/>
      <c r="V1771" s="32"/>
      <c r="W1771" s="32"/>
      <c r="X1771" s="32"/>
      <c r="Y1771" s="32"/>
      <c r="Z1771" s="32"/>
      <c r="AA1771" s="32"/>
      <c r="AB1771" s="32"/>
      <c r="AC1771" s="32"/>
      <c r="AD1771" s="32"/>
      <c r="AE1771" s="32"/>
      <c r="AF1771" s="32"/>
      <c r="AG1771" s="32"/>
      <c r="AH1771" s="32" t="b">
        <f>IFERROR(__xludf.DUMMYFUNCTION("""COMPUTED_VALUE"""),FALSE)</f>
        <v>0</v>
      </c>
      <c r="AI1771" s="32"/>
      <c r="AJ1771" s="32"/>
      <c r="AK1771" s="32"/>
      <c r="AL1771" s="32"/>
      <c r="AM1771" s="32"/>
      <c r="AN1771" s="32"/>
      <c r="AO1771" s="32"/>
      <c r="AP1771" s="32"/>
      <c r="AQ1771" s="32"/>
      <c r="AR1771" s="32"/>
      <c r="AS1771" s="32"/>
      <c r="AT1771" s="32"/>
      <c r="AU1771" s="32"/>
      <c r="AV1771" s="32"/>
      <c r="AW1771" s="32"/>
      <c r="AX1771" s="32"/>
    </row>
    <row r="1772">
      <c r="A1772" s="32"/>
      <c r="B1772" s="32"/>
      <c r="C1772" s="32"/>
      <c r="D1772" s="32"/>
      <c r="E1772" s="32">
        <f>IFERROR(__xludf.DUMMYFUNCTION("""COMPUTED_VALUE"""),1.0)</f>
        <v>1</v>
      </c>
      <c r="F1772" s="44">
        <f>IFERROR(__xludf.DUMMYFUNCTION("""COMPUTED_VALUE"""),0.0)</f>
        <v>0</v>
      </c>
      <c r="G1772" s="32"/>
      <c r="H1772" s="32"/>
      <c r="I1772" s="32"/>
      <c r="J1772" s="32"/>
      <c r="K1772" s="32"/>
      <c r="L1772" s="32"/>
      <c r="M1772" s="32"/>
      <c r="N1772" s="32"/>
      <c r="O1772" s="32"/>
      <c r="P1772" s="32"/>
      <c r="Q1772" s="32"/>
      <c r="R1772" s="32"/>
      <c r="S1772" s="32"/>
      <c r="T1772" s="32"/>
      <c r="U1772" s="32"/>
      <c r="V1772" s="32"/>
      <c r="W1772" s="32"/>
      <c r="X1772" s="32"/>
      <c r="Y1772" s="32"/>
      <c r="Z1772" s="32"/>
      <c r="AA1772" s="32"/>
      <c r="AB1772" s="32"/>
      <c r="AC1772" s="32"/>
      <c r="AD1772" s="32"/>
      <c r="AE1772" s="32"/>
      <c r="AF1772" s="32"/>
      <c r="AG1772" s="32"/>
      <c r="AH1772" s="32" t="b">
        <f>IFERROR(__xludf.DUMMYFUNCTION("""COMPUTED_VALUE"""),FALSE)</f>
        <v>0</v>
      </c>
      <c r="AI1772" s="32"/>
      <c r="AJ1772" s="32"/>
      <c r="AK1772" s="32"/>
      <c r="AL1772" s="32"/>
      <c r="AM1772" s="32"/>
      <c r="AN1772" s="32"/>
      <c r="AO1772" s="32"/>
      <c r="AP1772" s="32"/>
      <c r="AQ1772" s="32"/>
      <c r="AR1772" s="32"/>
      <c r="AS1772" s="32"/>
      <c r="AT1772" s="32"/>
      <c r="AU1772" s="32"/>
      <c r="AV1772" s="32"/>
      <c r="AW1772" s="32"/>
      <c r="AX1772" s="32"/>
    </row>
    <row r="1773">
      <c r="A1773" s="32"/>
      <c r="B1773" s="32"/>
      <c r="C1773" s="32"/>
      <c r="D1773" s="32"/>
      <c r="E1773" s="32">
        <f>IFERROR(__xludf.DUMMYFUNCTION("""COMPUTED_VALUE"""),1.0)</f>
        <v>1</v>
      </c>
      <c r="F1773" s="44">
        <f>IFERROR(__xludf.DUMMYFUNCTION("""COMPUTED_VALUE"""),0.0)</f>
        <v>0</v>
      </c>
      <c r="G1773" s="32"/>
      <c r="H1773" s="32"/>
      <c r="I1773" s="32"/>
      <c r="J1773" s="32"/>
      <c r="K1773" s="32"/>
      <c r="L1773" s="32"/>
      <c r="M1773" s="32"/>
      <c r="N1773" s="32"/>
      <c r="O1773" s="32"/>
      <c r="P1773" s="32"/>
      <c r="Q1773" s="32"/>
      <c r="R1773" s="32"/>
      <c r="S1773" s="32"/>
      <c r="T1773" s="32"/>
      <c r="U1773" s="32"/>
      <c r="V1773" s="32"/>
      <c r="W1773" s="32"/>
      <c r="X1773" s="32"/>
      <c r="Y1773" s="32"/>
      <c r="Z1773" s="32"/>
      <c r="AA1773" s="32"/>
      <c r="AB1773" s="32"/>
      <c r="AC1773" s="32"/>
      <c r="AD1773" s="32"/>
      <c r="AE1773" s="32"/>
      <c r="AF1773" s="32"/>
      <c r="AG1773" s="32"/>
      <c r="AH1773" s="32" t="b">
        <f>IFERROR(__xludf.DUMMYFUNCTION("""COMPUTED_VALUE"""),FALSE)</f>
        <v>0</v>
      </c>
      <c r="AI1773" s="32"/>
      <c r="AJ1773" s="32"/>
      <c r="AK1773" s="32"/>
      <c r="AL1773" s="32"/>
      <c r="AM1773" s="32"/>
      <c r="AN1773" s="32"/>
      <c r="AO1773" s="32"/>
      <c r="AP1773" s="32"/>
      <c r="AQ1773" s="32"/>
      <c r="AR1773" s="32"/>
      <c r="AS1773" s="32"/>
      <c r="AT1773" s="32"/>
      <c r="AU1773" s="32"/>
      <c r="AV1773" s="32"/>
      <c r="AW1773" s="32"/>
      <c r="AX1773" s="32"/>
    </row>
    <row r="1774">
      <c r="A1774" s="32"/>
      <c r="B1774" s="32"/>
      <c r="C1774" s="32"/>
      <c r="D1774" s="32"/>
      <c r="E1774" s="32">
        <f>IFERROR(__xludf.DUMMYFUNCTION("""COMPUTED_VALUE"""),1.0)</f>
        <v>1</v>
      </c>
      <c r="F1774" s="44">
        <f>IFERROR(__xludf.DUMMYFUNCTION("""COMPUTED_VALUE"""),0.0)</f>
        <v>0</v>
      </c>
      <c r="G1774" s="32"/>
      <c r="H1774" s="32"/>
      <c r="I1774" s="32"/>
      <c r="J1774" s="32"/>
      <c r="K1774" s="32"/>
      <c r="L1774" s="32"/>
      <c r="M1774" s="32"/>
      <c r="N1774" s="32"/>
      <c r="O1774" s="32"/>
      <c r="P1774" s="32"/>
      <c r="Q1774" s="32"/>
      <c r="R1774" s="32"/>
      <c r="S1774" s="32"/>
      <c r="T1774" s="32"/>
      <c r="U1774" s="32"/>
      <c r="V1774" s="32"/>
      <c r="W1774" s="32"/>
      <c r="X1774" s="32"/>
      <c r="Y1774" s="32"/>
      <c r="Z1774" s="32"/>
      <c r="AA1774" s="32"/>
      <c r="AB1774" s="32"/>
      <c r="AC1774" s="32"/>
      <c r="AD1774" s="32"/>
      <c r="AE1774" s="32"/>
      <c r="AF1774" s="32"/>
      <c r="AG1774" s="32"/>
      <c r="AH1774" s="32" t="b">
        <f>IFERROR(__xludf.DUMMYFUNCTION("""COMPUTED_VALUE"""),FALSE)</f>
        <v>0</v>
      </c>
      <c r="AI1774" s="32"/>
      <c r="AJ1774" s="32"/>
      <c r="AK1774" s="32"/>
      <c r="AL1774" s="32"/>
      <c r="AM1774" s="32"/>
      <c r="AN1774" s="32"/>
      <c r="AO1774" s="32"/>
      <c r="AP1774" s="32"/>
      <c r="AQ1774" s="32"/>
      <c r="AR1774" s="32"/>
      <c r="AS1774" s="32"/>
      <c r="AT1774" s="32"/>
      <c r="AU1774" s="32"/>
      <c r="AV1774" s="32"/>
      <c r="AW1774" s="32"/>
      <c r="AX1774" s="32"/>
    </row>
    <row r="1775">
      <c r="A1775" s="32"/>
      <c r="B1775" s="32"/>
      <c r="C1775" s="32"/>
      <c r="D1775" s="32"/>
      <c r="E1775" s="32">
        <f>IFERROR(__xludf.DUMMYFUNCTION("""COMPUTED_VALUE"""),1.0)</f>
        <v>1</v>
      </c>
      <c r="F1775" s="44">
        <f>IFERROR(__xludf.DUMMYFUNCTION("""COMPUTED_VALUE"""),0.0)</f>
        <v>0</v>
      </c>
      <c r="G1775" s="32"/>
      <c r="H1775" s="32"/>
      <c r="I1775" s="32"/>
      <c r="J1775" s="32"/>
      <c r="K1775" s="32"/>
      <c r="L1775" s="32"/>
      <c r="M1775" s="32"/>
      <c r="N1775" s="32"/>
      <c r="O1775" s="32"/>
      <c r="P1775" s="32"/>
      <c r="Q1775" s="32"/>
      <c r="R1775" s="32"/>
      <c r="S1775" s="32"/>
      <c r="T1775" s="32"/>
      <c r="U1775" s="32"/>
      <c r="V1775" s="32"/>
      <c r="W1775" s="32"/>
      <c r="X1775" s="32"/>
      <c r="Y1775" s="32"/>
      <c r="Z1775" s="32"/>
      <c r="AA1775" s="32"/>
      <c r="AB1775" s="32"/>
      <c r="AC1775" s="32"/>
      <c r="AD1775" s="32"/>
      <c r="AE1775" s="32"/>
      <c r="AF1775" s="32"/>
      <c r="AG1775" s="32"/>
      <c r="AH1775" s="32" t="b">
        <f>IFERROR(__xludf.DUMMYFUNCTION("""COMPUTED_VALUE"""),FALSE)</f>
        <v>0</v>
      </c>
      <c r="AI1775" s="32"/>
      <c r="AJ1775" s="32"/>
      <c r="AK1775" s="32"/>
      <c r="AL1775" s="32"/>
      <c r="AM1775" s="32"/>
      <c r="AN1775" s="32"/>
      <c r="AO1775" s="32"/>
      <c r="AP1775" s="32"/>
      <c r="AQ1775" s="32"/>
      <c r="AR1775" s="32"/>
      <c r="AS1775" s="32"/>
      <c r="AT1775" s="32"/>
      <c r="AU1775" s="32"/>
      <c r="AV1775" s="32"/>
      <c r="AW1775" s="32"/>
      <c r="AX1775" s="32"/>
    </row>
    <row r="1776">
      <c r="A1776" s="32"/>
      <c r="B1776" s="32"/>
      <c r="C1776" s="32"/>
      <c r="D1776" s="32"/>
      <c r="E1776" s="32">
        <f>IFERROR(__xludf.DUMMYFUNCTION("""COMPUTED_VALUE"""),1.0)</f>
        <v>1</v>
      </c>
      <c r="F1776" s="44">
        <f>IFERROR(__xludf.DUMMYFUNCTION("""COMPUTED_VALUE"""),0.0)</f>
        <v>0</v>
      </c>
      <c r="G1776" s="32"/>
      <c r="H1776" s="32"/>
      <c r="I1776" s="32"/>
      <c r="J1776" s="32"/>
      <c r="K1776" s="32"/>
      <c r="L1776" s="32"/>
      <c r="M1776" s="32"/>
      <c r="N1776" s="32"/>
      <c r="O1776" s="32"/>
      <c r="P1776" s="32"/>
      <c r="Q1776" s="32"/>
      <c r="R1776" s="32"/>
      <c r="S1776" s="32"/>
      <c r="T1776" s="32"/>
      <c r="U1776" s="32"/>
      <c r="V1776" s="32"/>
      <c r="W1776" s="32"/>
      <c r="X1776" s="32"/>
      <c r="Y1776" s="32"/>
      <c r="Z1776" s="32"/>
      <c r="AA1776" s="32"/>
      <c r="AB1776" s="32"/>
      <c r="AC1776" s="32"/>
      <c r="AD1776" s="32"/>
      <c r="AE1776" s="32"/>
      <c r="AF1776" s="32"/>
      <c r="AG1776" s="32"/>
      <c r="AH1776" s="32" t="b">
        <f>IFERROR(__xludf.DUMMYFUNCTION("""COMPUTED_VALUE"""),FALSE)</f>
        <v>0</v>
      </c>
      <c r="AI1776" s="32"/>
      <c r="AJ1776" s="32"/>
      <c r="AK1776" s="32"/>
      <c r="AL1776" s="32"/>
      <c r="AM1776" s="32"/>
      <c r="AN1776" s="32"/>
      <c r="AO1776" s="32"/>
      <c r="AP1776" s="32"/>
      <c r="AQ1776" s="32"/>
      <c r="AR1776" s="32"/>
      <c r="AS1776" s="32"/>
      <c r="AT1776" s="32"/>
      <c r="AU1776" s="32"/>
      <c r="AV1776" s="32"/>
      <c r="AW1776" s="32"/>
      <c r="AX1776" s="32"/>
    </row>
    <row r="1777">
      <c r="A1777" s="32"/>
      <c r="B1777" s="32"/>
      <c r="C1777" s="32"/>
      <c r="D1777" s="32"/>
      <c r="E1777" s="32">
        <f>IFERROR(__xludf.DUMMYFUNCTION("""COMPUTED_VALUE"""),1.0)</f>
        <v>1</v>
      </c>
      <c r="F1777" s="44">
        <f>IFERROR(__xludf.DUMMYFUNCTION("""COMPUTED_VALUE"""),0.0)</f>
        <v>0</v>
      </c>
      <c r="G1777" s="32"/>
      <c r="H1777" s="32"/>
      <c r="I1777" s="32"/>
      <c r="J1777" s="32"/>
      <c r="K1777" s="32"/>
      <c r="L1777" s="32"/>
      <c r="M1777" s="32"/>
      <c r="N1777" s="32"/>
      <c r="O1777" s="32"/>
      <c r="P1777" s="32"/>
      <c r="Q1777" s="32"/>
      <c r="R1777" s="32"/>
      <c r="S1777" s="32"/>
      <c r="T1777" s="32"/>
      <c r="U1777" s="32"/>
      <c r="V1777" s="32"/>
      <c r="W1777" s="32"/>
      <c r="X1777" s="32"/>
      <c r="Y1777" s="32"/>
      <c r="Z1777" s="32"/>
      <c r="AA1777" s="32"/>
      <c r="AB1777" s="32"/>
      <c r="AC1777" s="32"/>
      <c r="AD1777" s="32"/>
      <c r="AE1777" s="32"/>
      <c r="AF1777" s="32"/>
      <c r="AG1777" s="32"/>
      <c r="AH1777" s="32" t="b">
        <f>IFERROR(__xludf.DUMMYFUNCTION("""COMPUTED_VALUE"""),FALSE)</f>
        <v>0</v>
      </c>
      <c r="AI1777" s="32"/>
      <c r="AJ1777" s="32"/>
      <c r="AK1777" s="32"/>
      <c r="AL1777" s="32"/>
      <c r="AM1777" s="32"/>
      <c r="AN1777" s="32"/>
      <c r="AO1777" s="32"/>
      <c r="AP1777" s="32"/>
      <c r="AQ1777" s="32"/>
      <c r="AR1777" s="32"/>
      <c r="AS1777" s="32"/>
      <c r="AT1777" s="32"/>
      <c r="AU1777" s="32"/>
      <c r="AV1777" s="32"/>
      <c r="AW1777" s="32"/>
      <c r="AX1777" s="32"/>
    </row>
    <row r="1778">
      <c r="A1778" s="32"/>
      <c r="B1778" s="32"/>
      <c r="C1778" s="32"/>
      <c r="D1778" s="32"/>
      <c r="E1778" s="32">
        <f>IFERROR(__xludf.DUMMYFUNCTION("""COMPUTED_VALUE"""),1.0)</f>
        <v>1</v>
      </c>
      <c r="F1778" s="44">
        <f>IFERROR(__xludf.DUMMYFUNCTION("""COMPUTED_VALUE"""),0.0)</f>
        <v>0</v>
      </c>
      <c r="G1778" s="32"/>
      <c r="H1778" s="32"/>
      <c r="I1778" s="32"/>
      <c r="J1778" s="32"/>
      <c r="K1778" s="32"/>
      <c r="L1778" s="32"/>
      <c r="M1778" s="32"/>
      <c r="N1778" s="32"/>
      <c r="O1778" s="32"/>
      <c r="P1778" s="32"/>
      <c r="Q1778" s="32"/>
      <c r="R1778" s="32"/>
      <c r="S1778" s="32"/>
      <c r="T1778" s="32"/>
      <c r="U1778" s="32"/>
      <c r="V1778" s="32"/>
      <c r="W1778" s="32"/>
      <c r="X1778" s="32"/>
      <c r="Y1778" s="32"/>
      <c r="Z1778" s="32"/>
      <c r="AA1778" s="32"/>
      <c r="AB1778" s="32"/>
      <c r="AC1778" s="32"/>
      <c r="AD1778" s="32"/>
      <c r="AE1778" s="32"/>
      <c r="AF1778" s="32"/>
      <c r="AG1778" s="32"/>
      <c r="AH1778" s="32" t="b">
        <f>IFERROR(__xludf.DUMMYFUNCTION("""COMPUTED_VALUE"""),FALSE)</f>
        <v>0</v>
      </c>
      <c r="AI1778" s="32"/>
      <c r="AJ1778" s="32"/>
      <c r="AK1778" s="32"/>
      <c r="AL1778" s="32"/>
      <c r="AM1778" s="32"/>
      <c r="AN1778" s="32"/>
      <c r="AO1778" s="32"/>
      <c r="AP1778" s="32"/>
      <c r="AQ1778" s="32"/>
      <c r="AR1778" s="32"/>
      <c r="AS1778" s="32"/>
      <c r="AT1778" s="32"/>
      <c r="AU1778" s="32"/>
      <c r="AV1778" s="32"/>
      <c r="AW1778" s="32"/>
      <c r="AX1778" s="32"/>
    </row>
    <row r="1779">
      <c r="A1779" s="32"/>
      <c r="B1779" s="32"/>
      <c r="C1779" s="32"/>
      <c r="D1779" s="32"/>
      <c r="E1779" s="32">
        <f>IFERROR(__xludf.DUMMYFUNCTION("""COMPUTED_VALUE"""),1.0)</f>
        <v>1</v>
      </c>
      <c r="F1779" s="44">
        <f>IFERROR(__xludf.DUMMYFUNCTION("""COMPUTED_VALUE"""),0.0)</f>
        <v>0</v>
      </c>
      <c r="G1779" s="32"/>
      <c r="H1779" s="32"/>
      <c r="I1779" s="32"/>
      <c r="J1779" s="32"/>
      <c r="K1779" s="32"/>
      <c r="L1779" s="32"/>
      <c r="M1779" s="32"/>
      <c r="N1779" s="32"/>
      <c r="O1779" s="32"/>
      <c r="P1779" s="32"/>
      <c r="Q1779" s="32"/>
      <c r="R1779" s="32"/>
      <c r="S1779" s="32"/>
      <c r="T1779" s="32"/>
      <c r="U1779" s="32"/>
      <c r="V1779" s="32"/>
      <c r="W1779" s="32"/>
      <c r="X1779" s="32"/>
      <c r="Y1779" s="32"/>
      <c r="Z1779" s="32"/>
      <c r="AA1779" s="32"/>
      <c r="AB1779" s="32"/>
      <c r="AC1779" s="32"/>
      <c r="AD1779" s="32"/>
      <c r="AE1779" s="32"/>
      <c r="AF1779" s="32"/>
      <c r="AG1779" s="32"/>
      <c r="AH1779" s="32" t="b">
        <f>IFERROR(__xludf.DUMMYFUNCTION("""COMPUTED_VALUE"""),FALSE)</f>
        <v>0</v>
      </c>
      <c r="AI1779" s="32"/>
      <c r="AJ1779" s="32"/>
      <c r="AK1779" s="32"/>
      <c r="AL1779" s="32"/>
      <c r="AM1779" s="32"/>
      <c r="AN1779" s="32"/>
      <c r="AO1779" s="32"/>
      <c r="AP1779" s="32"/>
      <c r="AQ1779" s="32"/>
      <c r="AR1779" s="32"/>
      <c r="AS1779" s="32"/>
      <c r="AT1779" s="32"/>
      <c r="AU1779" s="32"/>
      <c r="AV1779" s="32"/>
      <c r="AW1779" s="32"/>
      <c r="AX1779" s="32"/>
    </row>
    <row r="1780">
      <c r="A1780" s="32"/>
      <c r="B1780" s="32"/>
      <c r="C1780" s="32"/>
      <c r="D1780" s="32"/>
      <c r="E1780" s="32">
        <f>IFERROR(__xludf.DUMMYFUNCTION("""COMPUTED_VALUE"""),1.0)</f>
        <v>1</v>
      </c>
      <c r="F1780" s="44">
        <f>IFERROR(__xludf.DUMMYFUNCTION("""COMPUTED_VALUE"""),0.0)</f>
        <v>0</v>
      </c>
      <c r="G1780" s="32"/>
      <c r="H1780" s="32"/>
      <c r="I1780" s="32"/>
      <c r="J1780" s="32"/>
      <c r="K1780" s="32"/>
      <c r="L1780" s="32"/>
      <c r="M1780" s="32"/>
      <c r="N1780" s="32"/>
      <c r="O1780" s="32"/>
      <c r="P1780" s="32"/>
      <c r="Q1780" s="32"/>
      <c r="R1780" s="32"/>
      <c r="S1780" s="32"/>
      <c r="T1780" s="32"/>
      <c r="U1780" s="32"/>
      <c r="V1780" s="32"/>
      <c r="W1780" s="32"/>
      <c r="X1780" s="32"/>
      <c r="Y1780" s="32"/>
      <c r="Z1780" s="32"/>
      <c r="AA1780" s="32"/>
      <c r="AB1780" s="32"/>
      <c r="AC1780" s="32"/>
      <c r="AD1780" s="32"/>
      <c r="AE1780" s="32"/>
      <c r="AF1780" s="32"/>
      <c r="AG1780" s="32"/>
      <c r="AH1780" s="32" t="b">
        <f>IFERROR(__xludf.DUMMYFUNCTION("""COMPUTED_VALUE"""),FALSE)</f>
        <v>0</v>
      </c>
      <c r="AI1780" s="32"/>
      <c r="AJ1780" s="32"/>
      <c r="AK1780" s="32"/>
      <c r="AL1780" s="32"/>
      <c r="AM1780" s="32"/>
      <c r="AN1780" s="32"/>
      <c r="AO1780" s="32"/>
      <c r="AP1780" s="32"/>
      <c r="AQ1780" s="32"/>
      <c r="AR1780" s="32"/>
      <c r="AS1780" s="32"/>
      <c r="AT1780" s="32"/>
      <c r="AU1780" s="32"/>
      <c r="AV1780" s="32"/>
      <c r="AW1780" s="32"/>
      <c r="AX1780" s="32"/>
    </row>
    <row r="1781">
      <c r="A1781" s="32"/>
      <c r="B1781" s="32"/>
      <c r="C1781" s="32"/>
      <c r="D1781" s="32"/>
      <c r="E1781" s="32">
        <f>IFERROR(__xludf.DUMMYFUNCTION("""COMPUTED_VALUE"""),1.0)</f>
        <v>1</v>
      </c>
      <c r="F1781" s="44">
        <f>IFERROR(__xludf.DUMMYFUNCTION("""COMPUTED_VALUE"""),0.0)</f>
        <v>0</v>
      </c>
      <c r="G1781" s="32"/>
      <c r="H1781" s="32"/>
      <c r="I1781" s="32"/>
      <c r="J1781" s="32"/>
      <c r="K1781" s="32"/>
      <c r="L1781" s="32"/>
      <c r="M1781" s="32"/>
      <c r="N1781" s="32"/>
      <c r="O1781" s="32"/>
      <c r="P1781" s="32"/>
      <c r="Q1781" s="32"/>
      <c r="R1781" s="32"/>
      <c r="S1781" s="32"/>
      <c r="T1781" s="32"/>
      <c r="U1781" s="32"/>
      <c r="V1781" s="32"/>
      <c r="W1781" s="32"/>
      <c r="X1781" s="32"/>
      <c r="Y1781" s="32"/>
      <c r="Z1781" s="32"/>
      <c r="AA1781" s="32"/>
      <c r="AB1781" s="32"/>
      <c r="AC1781" s="32"/>
      <c r="AD1781" s="32"/>
      <c r="AE1781" s="32"/>
      <c r="AF1781" s="32"/>
      <c r="AG1781" s="32"/>
      <c r="AH1781" s="32" t="b">
        <f>IFERROR(__xludf.DUMMYFUNCTION("""COMPUTED_VALUE"""),FALSE)</f>
        <v>0</v>
      </c>
      <c r="AI1781" s="32"/>
      <c r="AJ1781" s="32"/>
      <c r="AK1781" s="32"/>
      <c r="AL1781" s="32"/>
      <c r="AM1781" s="32"/>
      <c r="AN1781" s="32"/>
      <c r="AO1781" s="32"/>
      <c r="AP1781" s="32"/>
      <c r="AQ1781" s="32"/>
      <c r="AR1781" s="32"/>
      <c r="AS1781" s="32"/>
      <c r="AT1781" s="32"/>
      <c r="AU1781" s="32"/>
      <c r="AV1781" s="32"/>
      <c r="AW1781" s="32"/>
      <c r="AX1781" s="32"/>
    </row>
    <row r="1782">
      <c r="A1782" s="32"/>
      <c r="B1782" s="32"/>
      <c r="C1782" s="32"/>
      <c r="D1782" s="32"/>
      <c r="E1782" s="32">
        <f>IFERROR(__xludf.DUMMYFUNCTION("""COMPUTED_VALUE"""),1.0)</f>
        <v>1</v>
      </c>
      <c r="F1782" s="44">
        <f>IFERROR(__xludf.DUMMYFUNCTION("""COMPUTED_VALUE"""),0.0)</f>
        <v>0</v>
      </c>
      <c r="G1782" s="32"/>
      <c r="H1782" s="32"/>
      <c r="I1782" s="32"/>
      <c r="J1782" s="32"/>
      <c r="K1782" s="32"/>
      <c r="L1782" s="32"/>
      <c r="M1782" s="32"/>
      <c r="N1782" s="32"/>
      <c r="O1782" s="32"/>
      <c r="P1782" s="32"/>
      <c r="Q1782" s="32"/>
      <c r="R1782" s="32"/>
      <c r="S1782" s="32"/>
      <c r="T1782" s="32"/>
      <c r="U1782" s="32"/>
      <c r="V1782" s="32"/>
      <c r="W1782" s="32"/>
      <c r="X1782" s="32"/>
      <c r="Y1782" s="32"/>
      <c r="Z1782" s="32"/>
      <c r="AA1782" s="32"/>
      <c r="AB1782" s="32"/>
      <c r="AC1782" s="32"/>
      <c r="AD1782" s="32"/>
      <c r="AE1782" s="32"/>
      <c r="AF1782" s="32"/>
      <c r="AG1782" s="32"/>
      <c r="AH1782" s="32" t="b">
        <f>IFERROR(__xludf.DUMMYFUNCTION("""COMPUTED_VALUE"""),FALSE)</f>
        <v>0</v>
      </c>
      <c r="AI1782" s="32"/>
      <c r="AJ1782" s="32"/>
      <c r="AK1782" s="32"/>
      <c r="AL1782" s="32"/>
      <c r="AM1782" s="32"/>
      <c r="AN1782" s="32"/>
      <c r="AO1782" s="32"/>
      <c r="AP1782" s="32"/>
      <c r="AQ1782" s="32"/>
      <c r="AR1782" s="32"/>
      <c r="AS1782" s="32"/>
      <c r="AT1782" s="32"/>
      <c r="AU1782" s="32"/>
      <c r="AV1782" s="32"/>
      <c r="AW1782" s="32"/>
      <c r="AX1782" s="32"/>
    </row>
    <row r="1783">
      <c r="A1783" s="32"/>
      <c r="B1783" s="32"/>
      <c r="C1783" s="32"/>
      <c r="D1783" s="32"/>
      <c r="E1783" s="32">
        <f>IFERROR(__xludf.DUMMYFUNCTION("""COMPUTED_VALUE"""),1.0)</f>
        <v>1</v>
      </c>
      <c r="F1783" s="44">
        <f>IFERROR(__xludf.DUMMYFUNCTION("""COMPUTED_VALUE"""),0.0)</f>
        <v>0</v>
      </c>
      <c r="G1783" s="32"/>
      <c r="H1783" s="32"/>
      <c r="I1783" s="32"/>
      <c r="J1783" s="32"/>
      <c r="K1783" s="32"/>
      <c r="L1783" s="32"/>
      <c r="M1783" s="32"/>
      <c r="N1783" s="32"/>
      <c r="O1783" s="32"/>
      <c r="P1783" s="32"/>
      <c r="Q1783" s="32"/>
      <c r="R1783" s="32"/>
      <c r="S1783" s="32"/>
      <c r="T1783" s="32"/>
      <c r="U1783" s="32"/>
      <c r="V1783" s="32"/>
      <c r="W1783" s="32"/>
      <c r="X1783" s="32"/>
      <c r="Y1783" s="32"/>
      <c r="Z1783" s="32"/>
      <c r="AA1783" s="32"/>
      <c r="AB1783" s="32"/>
      <c r="AC1783" s="32"/>
      <c r="AD1783" s="32"/>
      <c r="AE1783" s="32"/>
      <c r="AF1783" s="32"/>
      <c r="AG1783" s="32"/>
      <c r="AH1783" s="32" t="b">
        <f>IFERROR(__xludf.DUMMYFUNCTION("""COMPUTED_VALUE"""),FALSE)</f>
        <v>0</v>
      </c>
      <c r="AI1783" s="32"/>
      <c r="AJ1783" s="32"/>
      <c r="AK1783" s="32"/>
      <c r="AL1783" s="32"/>
      <c r="AM1783" s="32"/>
      <c r="AN1783" s="32"/>
      <c r="AO1783" s="32"/>
      <c r="AP1783" s="32"/>
      <c r="AQ1783" s="32"/>
      <c r="AR1783" s="32"/>
      <c r="AS1783" s="32"/>
      <c r="AT1783" s="32"/>
      <c r="AU1783" s="32"/>
      <c r="AV1783" s="32"/>
      <c r="AW1783" s="32"/>
      <c r="AX1783" s="32"/>
    </row>
    <row r="1784">
      <c r="A1784" s="32"/>
      <c r="B1784" s="32"/>
      <c r="C1784" s="32"/>
      <c r="D1784" s="32"/>
      <c r="E1784" s="32">
        <f>IFERROR(__xludf.DUMMYFUNCTION("""COMPUTED_VALUE"""),1.0)</f>
        <v>1</v>
      </c>
      <c r="F1784" s="44">
        <f>IFERROR(__xludf.DUMMYFUNCTION("""COMPUTED_VALUE"""),0.0)</f>
        <v>0</v>
      </c>
      <c r="G1784" s="32"/>
      <c r="H1784" s="32"/>
      <c r="I1784" s="32"/>
      <c r="J1784" s="32"/>
      <c r="K1784" s="32"/>
      <c r="L1784" s="32"/>
      <c r="M1784" s="32"/>
      <c r="N1784" s="32"/>
      <c r="O1784" s="32"/>
      <c r="P1784" s="32"/>
      <c r="Q1784" s="32"/>
      <c r="R1784" s="32"/>
      <c r="S1784" s="32"/>
      <c r="T1784" s="32"/>
      <c r="U1784" s="32"/>
      <c r="V1784" s="32"/>
      <c r="W1784" s="32"/>
      <c r="X1784" s="32"/>
      <c r="Y1784" s="32"/>
      <c r="Z1784" s="32"/>
      <c r="AA1784" s="32"/>
      <c r="AB1784" s="32"/>
      <c r="AC1784" s="32"/>
      <c r="AD1784" s="32"/>
      <c r="AE1784" s="32"/>
      <c r="AF1784" s="32"/>
      <c r="AG1784" s="32"/>
      <c r="AH1784" s="32" t="b">
        <f>IFERROR(__xludf.DUMMYFUNCTION("""COMPUTED_VALUE"""),FALSE)</f>
        <v>0</v>
      </c>
      <c r="AI1784" s="32"/>
      <c r="AJ1784" s="32"/>
      <c r="AK1784" s="32"/>
      <c r="AL1784" s="32"/>
      <c r="AM1784" s="32"/>
      <c r="AN1784" s="32"/>
      <c r="AO1784" s="32"/>
      <c r="AP1784" s="32"/>
      <c r="AQ1784" s="32"/>
      <c r="AR1784" s="32"/>
      <c r="AS1784" s="32"/>
      <c r="AT1784" s="32"/>
      <c r="AU1784" s="32"/>
      <c r="AV1784" s="32"/>
      <c r="AW1784" s="32"/>
      <c r="AX1784" s="32"/>
    </row>
    <row r="1785">
      <c r="A1785" s="32"/>
      <c r="B1785" s="32"/>
      <c r="C1785" s="32"/>
      <c r="D1785" s="32"/>
      <c r="E1785" s="32">
        <f>IFERROR(__xludf.DUMMYFUNCTION("""COMPUTED_VALUE"""),1.0)</f>
        <v>1</v>
      </c>
      <c r="F1785" s="44">
        <f>IFERROR(__xludf.DUMMYFUNCTION("""COMPUTED_VALUE"""),0.0)</f>
        <v>0</v>
      </c>
      <c r="G1785" s="32"/>
      <c r="H1785" s="32"/>
      <c r="I1785" s="32"/>
      <c r="J1785" s="32"/>
      <c r="K1785" s="32"/>
      <c r="L1785" s="32"/>
      <c r="M1785" s="32"/>
      <c r="N1785" s="32"/>
      <c r="O1785" s="32"/>
      <c r="P1785" s="32"/>
      <c r="Q1785" s="32"/>
      <c r="R1785" s="32"/>
      <c r="S1785" s="32"/>
      <c r="T1785" s="32"/>
      <c r="U1785" s="32"/>
      <c r="V1785" s="32"/>
      <c r="W1785" s="32"/>
      <c r="X1785" s="32"/>
      <c r="Y1785" s="32"/>
      <c r="Z1785" s="32"/>
      <c r="AA1785" s="32"/>
      <c r="AB1785" s="32"/>
      <c r="AC1785" s="32"/>
      <c r="AD1785" s="32"/>
      <c r="AE1785" s="32"/>
      <c r="AF1785" s="32"/>
      <c r="AG1785" s="32"/>
      <c r="AH1785" s="32" t="b">
        <f>IFERROR(__xludf.DUMMYFUNCTION("""COMPUTED_VALUE"""),FALSE)</f>
        <v>0</v>
      </c>
      <c r="AI1785" s="32"/>
      <c r="AJ1785" s="32"/>
      <c r="AK1785" s="32"/>
      <c r="AL1785" s="32"/>
      <c r="AM1785" s="32"/>
      <c r="AN1785" s="32"/>
      <c r="AO1785" s="32"/>
      <c r="AP1785" s="32"/>
      <c r="AQ1785" s="32"/>
      <c r="AR1785" s="32"/>
      <c r="AS1785" s="32"/>
      <c r="AT1785" s="32"/>
      <c r="AU1785" s="32"/>
      <c r="AV1785" s="32"/>
      <c r="AW1785" s="32"/>
      <c r="AX1785" s="32"/>
    </row>
    <row r="1786">
      <c r="A1786" s="32"/>
      <c r="B1786" s="32"/>
      <c r="C1786" s="32"/>
      <c r="D1786" s="32"/>
      <c r="E1786" s="32">
        <f>IFERROR(__xludf.DUMMYFUNCTION("""COMPUTED_VALUE"""),1.0)</f>
        <v>1</v>
      </c>
      <c r="F1786" s="44">
        <f>IFERROR(__xludf.DUMMYFUNCTION("""COMPUTED_VALUE"""),0.0)</f>
        <v>0</v>
      </c>
      <c r="G1786" s="32"/>
      <c r="H1786" s="32"/>
      <c r="I1786" s="32"/>
      <c r="J1786" s="32"/>
      <c r="K1786" s="32"/>
      <c r="L1786" s="32"/>
      <c r="M1786" s="32"/>
      <c r="N1786" s="32"/>
      <c r="O1786" s="32"/>
      <c r="P1786" s="32"/>
      <c r="Q1786" s="32"/>
      <c r="R1786" s="32"/>
      <c r="S1786" s="32"/>
      <c r="T1786" s="32"/>
      <c r="U1786" s="32"/>
      <c r="V1786" s="32"/>
      <c r="W1786" s="32"/>
      <c r="X1786" s="32"/>
      <c r="Y1786" s="32"/>
      <c r="Z1786" s="32"/>
      <c r="AA1786" s="32"/>
      <c r="AB1786" s="32"/>
      <c r="AC1786" s="32"/>
      <c r="AD1786" s="32"/>
      <c r="AE1786" s="32"/>
      <c r="AF1786" s="32"/>
      <c r="AG1786" s="32"/>
      <c r="AH1786" s="32" t="b">
        <f>IFERROR(__xludf.DUMMYFUNCTION("""COMPUTED_VALUE"""),FALSE)</f>
        <v>0</v>
      </c>
      <c r="AI1786" s="32"/>
      <c r="AJ1786" s="32"/>
      <c r="AK1786" s="32"/>
      <c r="AL1786" s="32"/>
      <c r="AM1786" s="32"/>
      <c r="AN1786" s="32"/>
      <c r="AO1786" s="32"/>
      <c r="AP1786" s="32"/>
      <c r="AQ1786" s="32"/>
      <c r="AR1786" s="32"/>
      <c r="AS1786" s="32"/>
      <c r="AT1786" s="32"/>
      <c r="AU1786" s="32"/>
      <c r="AV1786" s="32"/>
      <c r="AW1786" s="32"/>
      <c r="AX1786" s="32"/>
    </row>
    <row r="1787">
      <c r="A1787" s="32"/>
      <c r="B1787" s="32"/>
      <c r="C1787" s="32"/>
      <c r="D1787" s="32"/>
      <c r="E1787" s="32">
        <f>IFERROR(__xludf.DUMMYFUNCTION("""COMPUTED_VALUE"""),1.0)</f>
        <v>1</v>
      </c>
      <c r="F1787" s="44">
        <f>IFERROR(__xludf.DUMMYFUNCTION("""COMPUTED_VALUE"""),0.0)</f>
        <v>0</v>
      </c>
      <c r="G1787" s="32"/>
      <c r="H1787" s="32"/>
      <c r="I1787" s="32"/>
      <c r="J1787" s="32"/>
      <c r="K1787" s="32"/>
      <c r="L1787" s="32"/>
      <c r="M1787" s="32"/>
      <c r="N1787" s="32"/>
      <c r="O1787" s="32"/>
      <c r="P1787" s="32"/>
      <c r="Q1787" s="32"/>
      <c r="R1787" s="32"/>
      <c r="S1787" s="32"/>
      <c r="T1787" s="32"/>
      <c r="U1787" s="32"/>
      <c r="V1787" s="32"/>
      <c r="W1787" s="32"/>
      <c r="X1787" s="32"/>
      <c r="Y1787" s="32"/>
      <c r="Z1787" s="32"/>
      <c r="AA1787" s="32"/>
      <c r="AB1787" s="32"/>
      <c r="AC1787" s="32"/>
      <c r="AD1787" s="32"/>
      <c r="AE1787" s="32"/>
      <c r="AF1787" s="32"/>
      <c r="AG1787" s="32"/>
      <c r="AH1787" s="32" t="b">
        <f>IFERROR(__xludf.DUMMYFUNCTION("""COMPUTED_VALUE"""),FALSE)</f>
        <v>0</v>
      </c>
      <c r="AI1787" s="32"/>
      <c r="AJ1787" s="32"/>
      <c r="AK1787" s="32"/>
      <c r="AL1787" s="32"/>
      <c r="AM1787" s="32"/>
      <c r="AN1787" s="32"/>
      <c r="AO1787" s="32"/>
      <c r="AP1787" s="32"/>
      <c r="AQ1787" s="32"/>
      <c r="AR1787" s="32"/>
      <c r="AS1787" s="32"/>
      <c r="AT1787" s="32"/>
      <c r="AU1787" s="32"/>
      <c r="AV1787" s="32"/>
      <c r="AW1787" s="32"/>
      <c r="AX1787" s="32"/>
    </row>
    <row r="1788">
      <c r="A1788" s="32"/>
      <c r="B1788" s="32"/>
      <c r="C1788" s="32"/>
      <c r="D1788" s="32"/>
      <c r="E1788" s="32">
        <f>IFERROR(__xludf.DUMMYFUNCTION("""COMPUTED_VALUE"""),1.0)</f>
        <v>1</v>
      </c>
      <c r="F1788" s="44">
        <f>IFERROR(__xludf.DUMMYFUNCTION("""COMPUTED_VALUE"""),0.0)</f>
        <v>0</v>
      </c>
      <c r="G1788" s="32"/>
      <c r="H1788" s="32"/>
      <c r="I1788" s="32"/>
      <c r="J1788" s="32"/>
      <c r="K1788" s="32"/>
      <c r="L1788" s="32"/>
      <c r="M1788" s="32"/>
      <c r="N1788" s="32"/>
      <c r="O1788" s="32"/>
      <c r="P1788" s="32"/>
      <c r="Q1788" s="32"/>
      <c r="R1788" s="32"/>
      <c r="S1788" s="32"/>
      <c r="T1788" s="32"/>
      <c r="U1788" s="32"/>
      <c r="V1788" s="32"/>
      <c r="W1788" s="32"/>
      <c r="X1788" s="32"/>
      <c r="Y1788" s="32"/>
      <c r="Z1788" s="32"/>
      <c r="AA1788" s="32"/>
      <c r="AB1788" s="32"/>
      <c r="AC1788" s="32"/>
      <c r="AD1788" s="32"/>
      <c r="AE1788" s="32"/>
      <c r="AF1788" s="32"/>
      <c r="AG1788" s="32"/>
      <c r="AH1788" s="32" t="b">
        <f>IFERROR(__xludf.DUMMYFUNCTION("""COMPUTED_VALUE"""),FALSE)</f>
        <v>0</v>
      </c>
      <c r="AI1788" s="32"/>
      <c r="AJ1788" s="32"/>
      <c r="AK1788" s="32"/>
      <c r="AL1788" s="32"/>
      <c r="AM1788" s="32"/>
      <c r="AN1788" s="32"/>
      <c r="AO1788" s="32"/>
      <c r="AP1788" s="32"/>
      <c r="AQ1788" s="32"/>
      <c r="AR1788" s="32"/>
      <c r="AS1788" s="32"/>
      <c r="AT1788" s="32"/>
      <c r="AU1788" s="32"/>
      <c r="AV1788" s="32"/>
      <c r="AW1788" s="32"/>
      <c r="AX1788" s="32"/>
    </row>
    <row r="1789">
      <c r="A1789" s="32"/>
      <c r="B1789" s="32"/>
      <c r="C1789" s="32"/>
      <c r="D1789" s="32"/>
      <c r="E1789" s="32">
        <f>IFERROR(__xludf.DUMMYFUNCTION("""COMPUTED_VALUE"""),1.0)</f>
        <v>1</v>
      </c>
      <c r="F1789" s="44">
        <f>IFERROR(__xludf.DUMMYFUNCTION("""COMPUTED_VALUE"""),0.0)</f>
        <v>0</v>
      </c>
      <c r="G1789" s="32"/>
      <c r="H1789" s="32"/>
      <c r="I1789" s="32"/>
      <c r="J1789" s="32"/>
      <c r="K1789" s="32"/>
      <c r="L1789" s="32"/>
      <c r="M1789" s="32"/>
      <c r="N1789" s="32"/>
      <c r="O1789" s="32"/>
      <c r="P1789" s="32"/>
      <c r="Q1789" s="32"/>
      <c r="R1789" s="32"/>
      <c r="S1789" s="32"/>
      <c r="T1789" s="32"/>
      <c r="U1789" s="32"/>
      <c r="V1789" s="32"/>
      <c r="W1789" s="32"/>
      <c r="X1789" s="32"/>
      <c r="Y1789" s="32"/>
      <c r="Z1789" s="32"/>
      <c r="AA1789" s="32"/>
      <c r="AB1789" s="32"/>
      <c r="AC1789" s="32"/>
      <c r="AD1789" s="32"/>
      <c r="AE1789" s="32"/>
      <c r="AF1789" s="32"/>
      <c r="AG1789" s="32"/>
      <c r="AH1789" s="32" t="b">
        <f>IFERROR(__xludf.DUMMYFUNCTION("""COMPUTED_VALUE"""),FALSE)</f>
        <v>0</v>
      </c>
      <c r="AI1789" s="32"/>
      <c r="AJ1789" s="32"/>
      <c r="AK1789" s="32"/>
      <c r="AL1789" s="32"/>
      <c r="AM1789" s="32"/>
      <c r="AN1789" s="32"/>
      <c r="AO1789" s="32"/>
      <c r="AP1789" s="32"/>
      <c r="AQ1789" s="32"/>
      <c r="AR1789" s="32"/>
      <c r="AS1789" s="32"/>
      <c r="AT1789" s="32"/>
      <c r="AU1789" s="32"/>
      <c r="AV1789" s="32"/>
      <c r="AW1789" s="32"/>
      <c r="AX1789" s="32"/>
    </row>
    <row r="1790">
      <c r="A1790" s="32"/>
      <c r="B1790" s="32"/>
      <c r="C1790" s="32"/>
      <c r="D1790" s="32"/>
      <c r="E1790" s="32">
        <f>IFERROR(__xludf.DUMMYFUNCTION("""COMPUTED_VALUE"""),1.0)</f>
        <v>1</v>
      </c>
      <c r="F1790" s="44">
        <f>IFERROR(__xludf.DUMMYFUNCTION("""COMPUTED_VALUE"""),0.0)</f>
        <v>0</v>
      </c>
      <c r="G1790" s="32"/>
      <c r="H1790" s="32"/>
      <c r="I1790" s="32"/>
      <c r="J1790" s="32"/>
      <c r="K1790" s="32"/>
      <c r="L1790" s="32"/>
      <c r="M1790" s="32"/>
      <c r="N1790" s="32"/>
      <c r="O1790" s="32"/>
      <c r="P1790" s="32"/>
      <c r="Q1790" s="32"/>
      <c r="R1790" s="32"/>
      <c r="S1790" s="32"/>
      <c r="T1790" s="32"/>
      <c r="U1790" s="32"/>
      <c r="V1790" s="32"/>
      <c r="W1790" s="32"/>
      <c r="X1790" s="32"/>
      <c r="Y1790" s="32"/>
      <c r="Z1790" s="32"/>
      <c r="AA1790" s="32"/>
      <c r="AB1790" s="32"/>
      <c r="AC1790" s="32"/>
      <c r="AD1790" s="32"/>
      <c r="AE1790" s="32"/>
      <c r="AF1790" s="32"/>
      <c r="AG1790" s="32"/>
      <c r="AH1790" s="32" t="b">
        <f>IFERROR(__xludf.DUMMYFUNCTION("""COMPUTED_VALUE"""),FALSE)</f>
        <v>0</v>
      </c>
      <c r="AI1790" s="32"/>
      <c r="AJ1790" s="32"/>
      <c r="AK1790" s="32"/>
      <c r="AL1790" s="32"/>
      <c r="AM1790" s="32"/>
      <c r="AN1790" s="32"/>
      <c r="AO1790" s="32"/>
      <c r="AP1790" s="32"/>
      <c r="AQ1790" s="32"/>
      <c r="AR1790" s="32"/>
      <c r="AS1790" s="32"/>
      <c r="AT1790" s="32"/>
      <c r="AU1790" s="32"/>
      <c r="AV1790" s="32"/>
      <c r="AW1790" s="32"/>
      <c r="AX1790" s="32"/>
    </row>
    <row r="1791">
      <c r="A1791" s="32"/>
      <c r="B1791" s="32"/>
      <c r="C1791" s="32"/>
      <c r="D1791" s="32"/>
      <c r="E1791" s="32">
        <f>IFERROR(__xludf.DUMMYFUNCTION("""COMPUTED_VALUE"""),1.0)</f>
        <v>1</v>
      </c>
      <c r="F1791" s="44">
        <f>IFERROR(__xludf.DUMMYFUNCTION("""COMPUTED_VALUE"""),0.0)</f>
        <v>0</v>
      </c>
      <c r="G1791" s="32"/>
      <c r="H1791" s="32"/>
      <c r="I1791" s="32"/>
      <c r="J1791" s="32"/>
      <c r="K1791" s="32"/>
      <c r="L1791" s="32"/>
      <c r="M1791" s="32"/>
      <c r="N1791" s="32"/>
      <c r="O1791" s="32"/>
      <c r="P1791" s="32"/>
      <c r="Q1791" s="32"/>
      <c r="R1791" s="32"/>
      <c r="S1791" s="32"/>
      <c r="T1791" s="32"/>
      <c r="U1791" s="32"/>
      <c r="V1791" s="32"/>
      <c r="W1791" s="32"/>
      <c r="X1791" s="32"/>
      <c r="Y1791" s="32"/>
      <c r="Z1791" s="32"/>
      <c r="AA1791" s="32"/>
      <c r="AB1791" s="32"/>
      <c r="AC1791" s="32"/>
      <c r="AD1791" s="32"/>
      <c r="AE1791" s="32"/>
      <c r="AF1791" s="32"/>
      <c r="AG1791" s="32"/>
      <c r="AH1791" s="32" t="b">
        <f>IFERROR(__xludf.DUMMYFUNCTION("""COMPUTED_VALUE"""),FALSE)</f>
        <v>0</v>
      </c>
      <c r="AI1791" s="32"/>
      <c r="AJ1791" s="32"/>
      <c r="AK1791" s="32"/>
      <c r="AL1791" s="32"/>
      <c r="AM1791" s="32"/>
      <c r="AN1791" s="32"/>
      <c r="AO1791" s="32"/>
      <c r="AP1791" s="32"/>
      <c r="AQ1791" s="32"/>
      <c r="AR1791" s="32"/>
      <c r="AS1791" s="32"/>
      <c r="AT1791" s="32"/>
      <c r="AU1791" s="32"/>
      <c r="AV1791" s="32"/>
      <c r="AW1791" s="32"/>
      <c r="AX1791" s="32"/>
    </row>
    <row r="1792">
      <c r="A1792" s="32"/>
      <c r="B1792" s="32"/>
      <c r="C1792" s="32"/>
      <c r="D1792" s="32"/>
      <c r="E1792" s="32">
        <f>IFERROR(__xludf.DUMMYFUNCTION("""COMPUTED_VALUE"""),1.0)</f>
        <v>1</v>
      </c>
      <c r="F1792" s="44">
        <f>IFERROR(__xludf.DUMMYFUNCTION("""COMPUTED_VALUE"""),0.0)</f>
        <v>0</v>
      </c>
      <c r="G1792" s="32"/>
      <c r="H1792" s="32"/>
      <c r="I1792" s="32"/>
      <c r="J1792" s="32"/>
      <c r="K1792" s="32"/>
      <c r="L1792" s="32"/>
      <c r="M1792" s="32"/>
      <c r="N1792" s="32"/>
      <c r="O1792" s="32"/>
      <c r="P1792" s="32"/>
      <c r="Q1792" s="32"/>
      <c r="R1792" s="32"/>
      <c r="S1792" s="32"/>
      <c r="T1792" s="32"/>
      <c r="U1792" s="32"/>
      <c r="V1792" s="32"/>
      <c r="W1792" s="32"/>
      <c r="X1792" s="32"/>
      <c r="Y1792" s="32"/>
      <c r="Z1792" s="32"/>
      <c r="AA1792" s="32"/>
      <c r="AB1792" s="32"/>
      <c r="AC1792" s="32"/>
      <c r="AD1792" s="32"/>
      <c r="AE1792" s="32"/>
      <c r="AF1792" s="32"/>
      <c r="AG1792" s="32"/>
      <c r="AH1792" s="32" t="b">
        <f>IFERROR(__xludf.DUMMYFUNCTION("""COMPUTED_VALUE"""),FALSE)</f>
        <v>0</v>
      </c>
      <c r="AI1792" s="32"/>
      <c r="AJ1792" s="32"/>
      <c r="AK1792" s="32"/>
      <c r="AL1792" s="32"/>
      <c r="AM1792" s="32"/>
      <c r="AN1792" s="32"/>
      <c r="AO1792" s="32"/>
      <c r="AP1792" s="32"/>
      <c r="AQ1792" s="32"/>
      <c r="AR1792" s="32"/>
      <c r="AS1792" s="32"/>
      <c r="AT1792" s="32"/>
      <c r="AU1792" s="32"/>
      <c r="AV1792" s="32"/>
      <c r="AW1792" s="32"/>
      <c r="AX1792" s="32"/>
    </row>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 width="12.63"/>
  </cols>
  <sheetData>
    <row r="1">
      <c r="A1" s="5" t="str">
        <f>IFERROR(__xludf.DUMMYFUNCTION("IMPORTRANGE(""https://docs.google.com/spreadsheets/d/1HXoAI5UG3zq1UHqU5n7fPdbQk93qOha2VQb1r7iRi1o"",""Loot!A:BJ"")"),"Mob")</f>
        <v>Mob</v>
      </c>
      <c r="B1" s="51" t="str">
        <f>IFERROR(__xludf.DUMMYFUNCTION("""COMPUTED_VALUE"""),"Loot 1 Range")</f>
        <v>Loot 1 Range</v>
      </c>
      <c r="C1" s="5" t="str">
        <f>IFERROR(__xludf.DUMMYFUNCTION("""COMPUTED_VALUE"""),"Loot 1")</f>
        <v>Loot 1</v>
      </c>
      <c r="D1" s="51" t="str">
        <f>IFERROR(__xludf.DUMMYFUNCTION("""COMPUTED_VALUE"""),"Loot 2 Range")</f>
        <v>Loot 2 Range</v>
      </c>
      <c r="E1" s="5" t="str">
        <f>IFERROR(__xludf.DUMMYFUNCTION("""COMPUTED_VALUE"""),"Loot 2")</f>
        <v>Loot 2</v>
      </c>
      <c r="F1" s="51" t="str">
        <f>IFERROR(__xludf.DUMMYFUNCTION("""COMPUTED_VALUE"""),"Loot 3 Range")</f>
        <v>Loot 3 Range</v>
      </c>
      <c r="G1" s="5" t="str">
        <f>IFERROR(__xludf.DUMMYFUNCTION("""COMPUTED_VALUE"""),"Loot 3")</f>
        <v>Loot 3</v>
      </c>
      <c r="H1" s="51" t="str">
        <f>IFERROR(__xludf.DUMMYFUNCTION("""COMPUTED_VALUE"""),"Loot 4 Range")</f>
        <v>Loot 4 Range</v>
      </c>
      <c r="I1" s="5" t="str">
        <f>IFERROR(__xludf.DUMMYFUNCTION("""COMPUTED_VALUE"""),"Loot 4")</f>
        <v>Loot 4</v>
      </c>
      <c r="J1" s="51" t="str">
        <f>IFERROR(__xludf.DUMMYFUNCTION("""COMPUTED_VALUE"""),"Loot 5 Range")</f>
        <v>Loot 5 Range</v>
      </c>
      <c r="K1" s="5" t="str">
        <f>IFERROR(__xludf.DUMMYFUNCTION("""COMPUTED_VALUE"""),"Loot 5")</f>
        <v>Loot 5</v>
      </c>
      <c r="L1" s="32"/>
      <c r="M1" s="32"/>
      <c r="N1" s="32"/>
      <c r="O1" s="32"/>
      <c r="P1" s="32"/>
      <c r="Q1" s="32"/>
      <c r="R1" s="32"/>
      <c r="S1" s="32"/>
      <c r="T1" s="32"/>
      <c r="U1" s="32"/>
      <c r="V1" s="32"/>
      <c r="W1" s="32"/>
      <c r="X1" s="32"/>
    </row>
    <row r="2">
      <c r="A2" s="5" t="str">
        <f>IFERROR(__xludf.DUMMYFUNCTION("""COMPUTED_VALUE"""),"Acid Dragon")</f>
        <v>Acid Dragon</v>
      </c>
      <c r="B2" s="51" t="str">
        <f>IFERROR(__xludf.DUMMYFUNCTION("""COMPUTED_VALUE"""),"1-5")</f>
        <v>1-5</v>
      </c>
      <c r="C2" s="5" t="str">
        <f>IFERROR(__xludf.DUMMYFUNCTION("""COMPUTED_VALUE"""),"Dragon Jerky")</f>
        <v>Dragon Jerky</v>
      </c>
      <c r="D2" s="51" t="str">
        <f>IFERROR(__xludf.DUMMYFUNCTION("""COMPUTED_VALUE"""),"6-10")</f>
        <v>6-10</v>
      </c>
      <c r="E2" s="5" t="str">
        <f>IFERROR(__xludf.DUMMYFUNCTION("""COMPUTED_VALUE"""),"Nothing")</f>
        <v>Nothing</v>
      </c>
      <c r="F2" s="51" t="str">
        <f>IFERROR(__xludf.DUMMYFUNCTION("""COMPUTED_VALUE"""),"11-15")</f>
        <v>11-15</v>
      </c>
      <c r="G2" s="5" t="str">
        <f>IFERROR(__xludf.DUMMYFUNCTION("""COMPUTED_VALUE"""),"Soul")</f>
        <v>Soul</v>
      </c>
      <c r="H2" s="51" t="str">
        <f>IFERROR(__xludf.DUMMYFUNCTION("""COMPUTED_VALUE"""),"16-20")</f>
        <v>16-20</v>
      </c>
      <c r="I2" s="5" t="str">
        <f>IFERROR(__xludf.DUMMYFUNCTION("""COMPUTED_VALUE"""),"Nothing")</f>
        <v>Nothing</v>
      </c>
      <c r="J2" s="51" t="str">
        <f>IFERROR(__xludf.DUMMYFUNCTION("""COMPUTED_VALUE"""),"21-25")</f>
        <v>21-25</v>
      </c>
      <c r="K2" s="5" t="str">
        <f>IFERROR(__xludf.DUMMYFUNCTION("""COMPUTED_VALUE"""),"Dragon scales")</f>
        <v>Dragon scales</v>
      </c>
      <c r="L2" s="32"/>
      <c r="M2" s="32"/>
      <c r="N2" s="32"/>
      <c r="O2" s="32"/>
      <c r="P2" s="32"/>
      <c r="Q2" s="32"/>
      <c r="R2" s="32"/>
      <c r="S2" s="32"/>
      <c r="T2" s="32"/>
      <c r="U2" s="32"/>
      <c r="V2" s="32"/>
      <c r="W2" s="32"/>
      <c r="X2" s="32"/>
    </row>
    <row r="3">
      <c r="A3" s="5" t="str">
        <f>IFERROR(__xludf.DUMMYFUNCTION("""COMPUTED_VALUE"""),"Ancient Colossal Frost Spider")</f>
        <v>Ancient Colossal Frost Spider</v>
      </c>
      <c r="B3" s="51" t="str">
        <f>IFERROR(__xludf.DUMMYFUNCTION("""COMPUTED_VALUE"""),"1-5")</f>
        <v>1-5</v>
      </c>
      <c r="C3" s="5" t="str">
        <f>IFERROR(__xludf.DUMMYFUNCTION("""COMPUTED_VALUE"""),"Nothing")</f>
        <v>Nothing</v>
      </c>
      <c r="D3" s="51" t="str">
        <f>IFERROR(__xludf.DUMMYFUNCTION("""COMPUTED_VALUE"""),"6-10")</f>
        <v>6-10</v>
      </c>
      <c r="E3" s="5" t="str">
        <f>IFERROR(__xludf.DUMMYFUNCTION("""COMPUTED_VALUE"""),"Nothing")</f>
        <v>Nothing</v>
      </c>
      <c r="F3" s="51" t="str">
        <f>IFERROR(__xludf.DUMMYFUNCTION("""COMPUTED_VALUE"""),"11-15")</f>
        <v>11-15</v>
      </c>
      <c r="G3" s="5" t="str">
        <f>IFERROR(__xludf.DUMMYFUNCTION("""COMPUTED_VALUE"""),"Soul")</f>
        <v>Soul</v>
      </c>
      <c r="H3" s="51" t="str">
        <f>IFERROR(__xludf.DUMMYFUNCTION("""COMPUTED_VALUE"""),"16-20")</f>
        <v>16-20</v>
      </c>
      <c r="I3" s="5" t="str">
        <f>IFERROR(__xludf.DUMMYFUNCTION("""COMPUTED_VALUE"""),"80,000G-100,000G")</f>
        <v>80,000G-100,000G</v>
      </c>
      <c r="J3" s="51" t="str">
        <f>IFERROR(__xludf.DUMMYFUNCTION("""COMPUTED_VALUE"""),"21-25")</f>
        <v>21-25</v>
      </c>
      <c r="K3" s="5" t="str">
        <f>IFERROR(__xludf.DUMMYFUNCTION("""COMPUTED_VALUE"""),"Giant Spider Exoskeleton")</f>
        <v>Giant Spider Exoskeleton</v>
      </c>
      <c r="L3" s="32"/>
      <c r="M3" s="32"/>
      <c r="N3" s="32"/>
      <c r="O3" s="32"/>
      <c r="P3" s="32"/>
      <c r="Q3" s="32"/>
      <c r="R3" s="32"/>
      <c r="S3" s="32"/>
      <c r="T3" s="32"/>
      <c r="U3" s="32"/>
      <c r="V3" s="32"/>
      <c r="W3" s="32"/>
      <c r="X3" s="32"/>
    </row>
    <row r="4">
      <c r="A4" s="5" t="str">
        <f>IFERROR(__xludf.DUMMYFUNCTION("""COMPUTED_VALUE"""),"Demon Snowman")</f>
        <v>Demon Snowman</v>
      </c>
      <c r="B4" s="51" t="str">
        <f>IFERROR(__xludf.DUMMYFUNCTION("""COMPUTED_VALUE"""),"1-5")</f>
        <v>1-5</v>
      </c>
      <c r="C4" s="5" t="str">
        <f>IFERROR(__xludf.DUMMYFUNCTION("""COMPUTED_VALUE"""),"Demons Eye")</f>
        <v>Demons Eye</v>
      </c>
      <c r="D4" s="51" t="str">
        <f>IFERROR(__xludf.DUMMYFUNCTION("""COMPUTED_VALUE"""),"6-10")</f>
        <v>6-10</v>
      </c>
      <c r="E4" s="5" t="str">
        <f>IFERROR(__xludf.DUMMYFUNCTION("""COMPUTED_VALUE"""),"Soul")</f>
        <v>Soul</v>
      </c>
      <c r="F4" s="51" t="str">
        <f>IFERROR(__xludf.DUMMYFUNCTION("""COMPUTED_VALUE"""),"11-15")</f>
        <v>11-15</v>
      </c>
      <c r="G4" s="5" t="str">
        <f>IFERROR(__xludf.DUMMYFUNCTION("""COMPUTED_VALUE"""),"500,000G-1,000,000G")</f>
        <v>500,000G-1,000,000G</v>
      </c>
      <c r="H4" s="51" t="str">
        <f>IFERROR(__xludf.DUMMYFUNCTION("""COMPUTED_VALUE"""),"16-20")</f>
        <v>16-20</v>
      </c>
      <c r="I4" s="5" t="str">
        <f>IFERROR(__xludf.DUMMYFUNCTION("""COMPUTED_VALUE"""),"Egg")</f>
        <v>Egg</v>
      </c>
      <c r="J4" s="51" t="str">
        <f>IFERROR(__xludf.DUMMYFUNCTION("""COMPUTED_VALUE"""),"21-25")</f>
        <v>21-25</v>
      </c>
      <c r="K4" s="5" t="str">
        <f>IFERROR(__xludf.DUMMYFUNCTION("""COMPUTED_VALUE"""),"Nothing")</f>
        <v>Nothing</v>
      </c>
      <c r="L4" s="32"/>
      <c r="M4" s="32"/>
      <c r="N4" s="32"/>
      <c r="O4" s="32"/>
      <c r="P4" s="32"/>
      <c r="Q4" s="32"/>
      <c r="R4" s="32"/>
      <c r="S4" s="32"/>
      <c r="T4" s="32"/>
      <c r="U4" s="32"/>
      <c r="V4" s="32"/>
      <c r="W4" s="32"/>
      <c r="X4" s="32"/>
    </row>
    <row r="5">
      <c r="A5" s="32" t="str">
        <f>IFERROR(__xludf.DUMMYFUNCTION("""COMPUTED_VALUE"""),"Ancient Desert Serpent")</f>
        <v>Ancient Desert Serpent</v>
      </c>
      <c r="B5" s="51" t="str">
        <f>IFERROR(__xludf.DUMMYFUNCTION("""COMPUTED_VALUE"""),"1-5")</f>
        <v>1-5</v>
      </c>
      <c r="C5" s="5" t="str">
        <f>IFERROR(__xludf.DUMMYFUNCTION("""COMPUTED_VALUE"""),"Desert Ruby")</f>
        <v>Desert Ruby</v>
      </c>
      <c r="D5" s="51" t="str">
        <f>IFERROR(__xludf.DUMMYFUNCTION("""COMPUTED_VALUE"""),"6-10")</f>
        <v>6-10</v>
      </c>
      <c r="E5" s="5" t="str">
        <f>IFERROR(__xludf.DUMMYFUNCTION("""COMPUTED_VALUE"""),"Desert Emerald")</f>
        <v>Desert Emerald</v>
      </c>
      <c r="F5" s="51" t="str">
        <f>IFERROR(__xludf.DUMMYFUNCTION("""COMPUTED_VALUE"""),"11-15")</f>
        <v>11-15</v>
      </c>
      <c r="G5" s="5" t="str">
        <f>IFERROR(__xludf.DUMMYFUNCTION("""COMPUTED_VALUE"""),"Egg")</f>
        <v>Egg</v>
      </c>
      <c r="H5" s="51" t="str">
        <f>IFERROR(__xludf.DUMMYFUNCTION("""COMPUTED_VALUE"""),"16-20")</f>
        <v>16-20</v>
      </c>
      <c r="I5" s="5" t="str">
        <f>IFERROR(__xludf.DUMMYFUNCTION("""COMPUTED_VALUE"""),"80,000G-100,000G")</f>
        <v>80,000G-100,000G</v>
      </c>
      <c r="J5" s="51" t="str">
        <f>IFERROR(__xludf.DUMMYFUNCTION("""COMPUTED_VALUE"""),"21-25")</f>
        <v>21-25</v>
      </c>
      <c r="K5" s="5" t="str">
        <f>IFERROR(__xludf.DUMMYFUNCTION("""COMPUTED_VALUE"""),"Soul")</f>
        <v>Soul</v>
      </c>
      <c r="L5" s="32"/>
      <c r="M5" s="32"/>
      <c r="N5" s="32"/>
      <c r="O5" s="32"/>
      <c r="P5" s="32"/>
      <c r="Q5" s="32"/>
      <c r="R5" s="32"/>
      <c r="S5" s="32"/>
      <c r="T5" s="32"/>
      <c r="U5" s="32"/>
      <c r="V5" s="32"/>
      <c r="W5" s="32"/>
      <c r="X5" s="32"/>
    </row>
    <row r="6">
      <c r="A6" s="5" t="str">
        <f>IFERROR(__xludf.DUMMYFUNCTION("""COMPUTED_VALUE"""),"Ancient Fire Sentinel")</f>
        <v>Ancient Fire Sentinel</v>
      </c>
      <c r="B6" s="51" t="str">
        <f>IFERROR(__xludf.DUMMYFUNCTION("""COMPUTED_VALUE"""),"1-5")</f>
        <v>1-5</v>
      </c>
      <c r="C6" s="5" t="str">
        <f>IFERROR(__xludf.DUMMYFUNCTION("""COMPUTED_VALUE"""),"Sentinel Core")</f>
        <v>Sentinel Core</v>
      </c>
      <c r="D6" s="51" t="str">
        <f>IFERROR(__xludf.DUMMYFUNCTION("""COMPUTED_VALUE"""),"6-10")</f>
        <v>6-10</v>
      </c>
      <c r="E6" s="5" t="str">
        <f>IFERROR(__xludf.DUMMYFUNCTION("""COMPUTED_VALUE"""),"Fire Gem")</f>
        <v>Fire Gem</v>
      </c>
      <c r="F6" s="51" t="str">
        <f>IFERROR(__xludf.DUMMYFUNCTION("""COMPUTED_VALUE"""),"11-15")</f>
        <v>11-15</v>
      </c>
      <c r="G6" s="5" t="str">
        <f>IFERROR(__xludf.DUMMYFUNCTION("""COMPUTED_VALUE"""),"Giant Fire Diamond")</f>
        <v>Giant Fire Diamond</v>
      </c>
      <c r="H6" s="51" t="str">
        <f>IFERROR(__xludf.DUMMYFUNCTION("""COMPUTED_VALUE"""),"16-20")</f>
        <v>16-20</v>
      </c>
      <c r="I6" s="5" t="str">
        <f>IFERROR(__xludf.DUMMYFUNCTION("""COMPUTED_VALUE"""),"Egg")</f>
        <v>Egg</v>
      </c>
      <c r="J6" s="51" t="str">
        <f>IFERROR(__xludf.DUMMYFUNCTION("""COMPUTED_VALUE"""),"21-25")</f>
        <v>21-25</v>
      </c>
      <c r="K6" s="5" t="str">
        <f>IFERROR(__xludf.DUMMYFUNCTION("""COMPUTED_VALUE"""),"Nothing")</f>
        <v>Nothing</v>
      </c>
      <c r="L6" s="32"/>
      <c r="M6" s="32"/>
      <c r="N6" s="32"/>
      <c r="O6" s="32"/>
      <c r="P6" s="32"/>
      <c r="Q6" s="32"/>
      <c r="R6" s="32"/>
      <c r="S6" s="32"/>
      <c r="T6" s="32"/>
      <c r="U6" s="32"/>
      <c r="V6" s="32"/>
      <c r="W6" s="32"/>
      <c r="X6" s="32"/>
    </row>
    <row r="7">
      <c r="A7" s="5" t="str">
        <f>IFERROR(__xludf.DUMMYFUNCTION("""COMPUTED_VALUE"""),"Ancient Fire Serpent")</f>
        <v>Ancient Fire Serpent</v>
      </c>
      <c r="B7" s="51" t="str">
        <f>IFERROR(__xludf.DUMMYFUNCTION("""COMPUTED_VALUE"""),"1-5")</f>
        <v>1-5</v>
      </c>
      <c r="C7" s="5" t="str">
        <f>IFERROR(__xludf.DUMMYFUNCTION("""COMPUTED_VALUE"""),"1,000,000G-20,000,000G")</f>
        <v>1,000,000G-20,000,000G</v>
      </c>
      <c r="D7" s="51" t="str">
        <f>IFERROR(__xludf.DUMMYFUNCTION("""COMPUTED_VALUE"""),"6-10")</f>
        <v>6-10</v>
      </c>
      <c r="E7" s="5" t="str">
        <f>IFERROR(__xludf.DUMMYFUNCTION("""COMPUTED_VALUE"""),"Sword Of The Ancient Fire Serpent")</f>
        <v>Sword Of The Ancient Fire Serpent</v>
      </c>
      <c r="F7" s="51" t="str">
        <f>IFERROR(__xludf.DUMMYFUNCTION("""COMPUTED_VALUE"""),"11-15")</f>
        <v>11-15</v>
      </c>
      <c r="G7" s="5" t="str">
        <f>IFERROR(__xludf.DUMMYFUNCTION("""COMPUTED_VALUE"""),"Nothing")</f>
        <v>Nothing</v>
      </c>
      <c r="H7" s="51" t="str">
        <f>IFERROR(__xludf.DUMMYFUNCTION("""COMPUTED_VALUE"""),"16-20")</f>
        <v>16-20</v>
      </c>
      <c r="I7" s="5" t="str">
        <f>IFERROR(__xludf.DUMMYFUNCTION("""COMPUTED_VALUE"""),"Soul")</f>
        <v>Soul</v>
      </c>
      <c r="J7" s="51" t="str">
        <f>IFERROR(__xludf.DUMMYFUNCTION("""COMPUTED_VALUE"""),"21-25")</f>
        <v>21-25</v>
      </c>
      <c r="K7" s="5" t="str">
        <f>IFERROR(__xludf.DUMMYFUNCTION("""COMPUTED_VALUE"""),"20,000,000G-40,000,000G")</f>
        <v>20,000,000G-40,000,000G</v>
      </c>
      <c r="L7" s="32"/>
      <c r="M7" s="32"/>
      <c r="N7" s="32"/>
      <c r="O7" s="32"/>
      <c r="P7" s="32"/>
      <c r="Q7" s="32"/>
      <c r="R7" s="32"/>
      <c r="S7" s="32"/>
      <c r="T7" s="32"/>
      <c r="U7" s="32"/>
      <c r="V7" s="32"/>
      <c r="W7" s="32"/>
      <c r="X7" s="32"/>
    </row>
    <row r="8">
      <c r="A8" s="5" t="str">
        <f>IFERROR(__xludf.DUMMYFUNCTION("""COMPUTED_VALUE"""),"Flame Ostrich")</f>
        <v>Flame Ostrich</v>
      </c>
      <c r="B8" s="51" t="str">
        <f>IFERROR(__xludf.DUMMYFUNCTION("""COMPUTED_VALUE"""),"1-5")</f>
        <v>1-5</v>
      </c>
      <c r="C8" s="5" t="str">
        <f>IFERROR(__xludf.DUMMYFUNCTION("""COMPUTED_VALUE"""),"Nothing")</f>
        <v>Nothing</v>
      </c>
      <c r="D8" s="51" t="str">
        <f>IFERROR(__xludf.DUMMYFUNCTION("""COMPUTED_VALUE"""),"6-10")</f>
        <v>6-10</v>
      </c>
      <c r="E8" s="5" t="str">
        <f>IFERROR(__xludf.DUMMYFUNCTION("""COMPUTED_VALUE"""),"Flaming Feathers")</f>
        <v>Flaming Feathers</v>
      </c>
      <c r="F8" s="51" t="str">
        <f>IFERROR(__xludf.DUMMYFUNCTION("""COMPUTED_VALUE"""),"11-15")</f>
        <v>11-15</v>
      </c>
      <c r="G8" s="5" t="str">
        <f>IFERROR(__xludf.DUMMYFUNCTION("""COMPUTED_VALUE"""),"Egg")</f>
        <v>Egg</v>
      </c>
      <c r="H8" s="51" t="str">
        <f>IFERROR(__xludf.DUMMYFUNCTION("""COMPUTED_VALUE"""),"16-20")</f>
        <v>16-20</v>
      </c>
      <c r="I8" s="5" t="str">
        <f>IFERROR(__xludf.DUMMYFUNCTION("""COMPUTED_VALUE"""),"Soul")</f>
        <v>Soul</v>
      </c>
      <c r="J8" s="51" t="str">
        <f>IFERROR(__xludf.DUMMYFUNCTION("""COMPUTED_VALUE"""),"21-25")</f>
        <v>21-25</v>
      </c>
      <c r="K8" s="5" t="str">
        <f>IFERROR(__xludf.DUMMYFUNCTION("""COMPUTED_VALUE"""),"Nothing")</f>
        <v>Nothing</v>
      </c>
      <c r="L8" s="32"/>
      <c r="M8" s="32"/>
      <c r="N8" s="32"/>
      <c r="O8" s="32"/>
      <c r="P8" s="32"/>
      <c r="Q8" s="32"/>
      <c r="R8" s="32"/>
      <c r="S8" s="32"/>
      <c r="T8" s="32"/>
      <c r="U8" s="32"/>
      <c r="V8" s="32"/>
      <c r="W8" s="32"/>
      <c r="X8" s="32"/>
    </row>
    <row r="9">
      <c r="A9" s="5" t="str">
        <f>IFERROR(__xludf.DUMMYFUNCTION("""COMPUTED_VALUE"""),"Ancient Forest Colossus")</f>
        <v>Ancient Forest Colossus</v>
      </c>
      <c r="B9" s="51" t="str">
        <f>IFERROR(__xludf.DUMMYFUNCTION("""COMPUTED_VALUE"""),"1-5")</f>
        <v>1-5</v>
      </c>
      <c r="C9" s="5" t="str">
        <f>IFERROR(__xludf.DUMMYFUNCTION("""COMPUTED_VALUE"""),"Ancient Colossus Forest Hammer")</f>
        <v>Ancient Colossus Forest Hammer</v>
      </c>
      <c r="D9" s="51" t="str">
        <f>IFERROR(__xludf.DUMMYFUNCTION("""COMPUTED_VALUE"""),"6-10")</f>
        <v>6-10</v>
      </c>
      <c r="E9" s="5" t="str">
        <f>IFERROR(__xludf.DUMMYFUNCTION("""COMPUTED_VALUE"""),"Nothing")</f>
        <v>Nothing</v>
      </c>
      <c r="F9" s="51" t="str">
        <f>IFERROR(__xludf.DUMMYFUNCTION("""COMPUTED_VALUE"""),"11-15")</f>
        <v>11-15</v>
      </c>
      <c r="G9" s="5" t="str">
        <f>IFERROR(__xludf.DUMMYFUNCTION("""COMPUTED_VALUE"""),"Nothing")</f>
        <v>Nothing</v>
      </c>
      <c r="H9" s="51" t="str">
        <f>IFERROR(__xludf.DUMMYFUNCTION("""COMPUTED_VALUE"""),"16-20")</f>
        <v>16-20</v>
      </c>
      <c r="I9" s="5" t="str">
        <f>IFERROR(__xludf.DUMMYFUNCTION("""COMPUTED_VALUE"""),"Soul")</f>
        <v>Soul</v>
      </c>
      <c r="J9" s="51" t="str">
        <f>IFERROR(__xludf.DUMMYFUNCTION("""COMPUTED_VALUE"""),"21-25")</f>
        <v>21-25</v>
      </c>
      <c r="K9" s="5" t="str">
        <f>IFERROR(__xludf.DUMMYFUNCTION("""COMPUTED_VALUE"""),"Sword of Nature’s Love")</f>
        <v>Sword of Nature’s Love</v>
      </c>
      <c r="L9" s="32"/>
      <c r="M9" s="32"/>
      <c r="N9" s="32"/>
      <c r="O9" s="32"/>
      <c r="P9" s="32"/>
      <c r="Q9" s="32"/>
      <c r="R9" s="32"/>
      <c r="S9" s="32"/>
      <c r="T9" s="32"/>
      <c r="U9" s="32"/>
      <c r="V9" s="32"/>
      <c r="W9" s="32"/>
      <c r="X9" s="32"/>
    </row>
    <row r="10">
      <c r="A10" s="5" t="str">
        <f>IFERROR(__xludf.DUMMYFUNCTION("""COMPUTED_VALUE"""),"Frost Colossus")</f>
        <v>Frost Colossus</v>
      </c>
      <c r="B10" s="51" t="str">
        <f>IFERROR(__xludf.DUMMYFUNCTION("""COMPUTED_VALUE"""),"1-5")</f>
        <v>1-5</v>
      </c>
      <c r="C10" s="5" t="str">
        <f>IFERROR(__xludf.DUMMYFUNCTION("""COMPUTED_VALUE"""),"Frost Spear")</f>
        <v>Frost Spear</v>
      </c>
      <c r="D10" s="51" t="str">
        <f>IFERROR(__xludf.DUMMYFUNCTION("""COMPUTED_VALUE"""),"6-10")</f>
        <v>6-10</v>
      </c>
      <c r="E10" s="5" t="str">
        <f>IFERROR(__xludf.DUMMYFUNCTION("""COMPUTED_VALUE"""),"Giant Frost diamond")</f>
        <v>Giant Frost diamond</v>
      </c>
      <c r="F10" s="51" t="str">
        <f>IFERROR(__xludf.DUMMYFUNCTION("""COMPUTED_VALUE"""),"11-15")</f>
        <v>11-15</v>
      </c>
      <c r="G10" s="5" t="str">
        <f>IFERROR(__xludf.DUMMYFUNCTION("""COMPUTED_VALUE"""),"Soul")</f>
        <v>Soul</v>
      </c>
      <c r="H10" s="51" t="str">
        <f>IFERROR(__xludf.DUMMYFUNCTION("""COMPUTED_VALUE"""),"16-20")</f>
        <v>16-20</v>
      </c>
      <c r="I10" s="5" t="str">
        <f>IFERROR(__xludf.DUMMYFUNCTION("""COMPUTED_VALUE"""),"80,000,000G-100,000,000G")</f>
        <v>80,000,000G-100,000,000G</v>
      </c>
      <c r="J10" s="51" t="str">
        <f>IFERROR(__xludf.DUMMYFUNCTION("""COMPUTED_VALUE"""),"21-25")</f>
        <v>21-25</v>
      </c>
      <c r="K10" s="5" t="str">
        <f>IFERROR(__xludf.DUMMYFUNCTION("""COMPUTED_VALUE"""),"Nothing")</f>
        <v>Nothing</v>
      </c>
      <c r="L10" s="32"/>
      <c r="M10" s="32"/>
      <c r="N10" s="32"/>
      <c r="O10" s="32"/>
      <c r="P10" s="32"/>
      <c r="Q10" s="32"/>
      <c r="R10" s="32"/>
      <c r="S10" s="32"/>
      <c r="T10" s="32"/>
      <c r="U10" s="32"/>
      <c r="V10" s="32"/>
      <c r="W10" s="32"/>
      <c r="X10" s="32"/>
    </row>
    <row r="11">
      <c r="A11" s="5" t="str">
        <f>IFERROR(__xludf.DUMMYFUNCTION("""COMPUTED_VALUE"""),"Frost Cyclops")</f>
        <v>Frost Cyclops</v>
      </c>
      <c r="B11" s="51" t="str">
        <f>IFERROR(__xludf.DUMMYFUNCTION("""COMPUTED_VALUE"""),"1-5")</f>
        <v>1-5</v>
      </c>
      <c r="C11" s="5" t="str">
        <f>IFERROR(__xludf.DUMMYFUNCTION("""COMPUTED_VALUE"""),"Block Of Ice")</f>
        <v>Block Of Ice</v>
      </c>
      <c r="D11" s="51" t="str">
        <f>IFERROR(__xludf.DUMMYFUNCTION("""COMPUTED_VALUE"""),"6-10")</f>
        <v>6-10</v>
      </c>
      <c r="E11" s="5" t="str">
        <f>IFERROR(__xludf.DUMMYFUNCTION("""COMPUTED_VALUE"""),"Soul")</f>
        <v>Soul</v>
      </c>
      <c r="F11" s="51" t="str">
        <f>IFERROR(__xludf.DUMMYFUNCTION("""COMPUTED_VALUE"""),"11-15")</f>
        <v>11-15</v>
      </c>
      <c r="G11" s="5" t="str">
        <f>IFERROR(__xludf.DUMMYFUNCTION("""COMPUTED_VALUE"""),"Vile of poison")</f>
        <v>Vile of poison</v>
      </c>
      <c r="H11" s="51" t="str">
        <f>IFERROR(__xludf.DUMMYFUNCTION("""COMPUTED_VALUE"""),"16-20")</f>
        <v>16-20</v>
      </c>
      <c r="I11" s="5" t="str">
        <f>IFERROR(__xludf.DUMMYFUNCTION("""COMPUTED_VALUE"""),"Egg")</f>
        <v>Egg</v>
      </c>
      <c r="J11" s="51" t="str">
        <f>IFERROR(__xludf.DUMMYFUNCTION("""COMPUTED_VALUE"""),"21-25")</f>
        <v>21-25</v>
      </c>
      <c r="K11" s="5" t="str">
        <f>IFERROR(__xludf.DUMMYFUNCTION("""COMPUTED_VALUE"""),"80,000G-100,000G")</f>
        <v>80,000G-100,000G</v>
      </c>
      <c r="L11" s="32"/>
      <c r="M11" s="32"/>
      <c r="N11" s="32"/>
      <c r="O11" s="32"/>
      <c r="P11" s="32"/>
      <c r="Q11" s="32"/>
      <c r="R11" s="32"/>
      <c r="S11" s="32"/>
      <c r="T11" s="32"/>
      <c r="U11" s="32"/>
      <c r="V11" s="32"/>
      <c r="W11" s="32"/>
      <c r="X11" s="32"/>
    </row>
    <row r="12">
      <c r="A12" s="5" t="str">
        <f>IFERROR(__xludf.DUMMYFUNCTION("""COMPUTED_VALUE"""),"Frost Grand Mage")</f>
        <v>Frost Grand Mage</v>
      </c>
      <c r="B12" s="51" t="str">
        <f>IFERROR(__xludf.DUMMYFUNCTION("""COMPUTED_VALUE"""),"1-5")</f>
        <v>1-5</v>
      </c>
      <c r="C12" s="5" t="str">
        <f>IFERROR(__xludf.DUMMYFUNCTION("""COMPUTED_VALUE"""),"Block of Ice")</f>
        <v>Block of Ice</v>
      </c>
      <c r="D12" s="51" t="str">
        <f>IFERROR(__xludf.DUMMYFUNCTION("""COMPUTED_VALUE"""),"6-10")</f>
        <v>6-10</v>
      </c>
      <c r="E12" s="5" t="str">
        <f>IFERROR(__xludf.DUMMYFUNCTION("""COMPUTED_VALUE"""),"500,000G-1,000,000G")</f>
        <v>500,000G-1,000,000G</v>
      </c>
      <c r="F12" s="51" t="str">
        <f>IFERROR(__xludf.DUMMYFUNCTION("""COMPUTED_VALUE"""),"11-15")</f>
        <v>11-15</v>
      </c>
      <c r="G12" s="5" t="str">
        <f>IFERROR(__xludf.DUMMYFUNCTION("""COMPUTED_VALUE"""),"Nothing")</f>
        <v>Nothing</v>
      </c>
      <c r="H12" s="51" t="str">
        <f>IFERROR(__xludf.DUMMYFUNCTION("""COMPUTED_VALUE"""),"16-20")</f>
        <v>16-20</v>
      </c>
      <c r="I12" s="5" t="str">
        <f>IFERROR(__xludf.DUMMYFUNCTION("""COMPUTED_VALUE"""),"Nothing")</f>
        <v>Nothing</v>
      </c>
      <c r="J12" s="51" t="str">
        <f>IFERROR(__xludf.DUMMYFUNCTION("""COMPUTED_VALUE"""),"21-25")</f>
        <v>21-25</v>
      </c>
      <c r="K12" s="5" t="str">
        <f>IFERROR(__xludf.DUMMYFUNCTION("""COMPUTED_VALUE"""),"Soul")</f>
        <v>Soul</v>
      </c>
      <c r="L12" s="32"/>
      <c r="M12" s="32"/>
      <c r="N12" s="32"/>
      <c r="O12" s="32"/>
      <c r="P12" s="32"/>
      <c r="Q12" s="32"/>
      <c r="R12" s="32"/>
      <c r="S12" s="32"/>
      <c r="T12" s="32"/>
      <c r="U12" s="32"/>
      <c r="V12" s="32"/>
      <c r="W12" s="32"/>
      <c r="X12" s="32"/>
    </row>
    <row r="13">
      <c r="A13" s="5" t="str">
        <f>IFERROR(__xludf.DUMMYFUNCTION("""COMPUTED_VALUE"""),"Frost King")</f>
        <v>Frost King</v>
      </c>
      <c r="B13" s="51" t="str">
        <f>IFERROR(__xludf.DUMMYFUNCTION("""COMPUTED_VALUE"""),"1-5")</f>
        <v>1-5</v>
      </c>
      <c r="C13" s="5" t="str">
        <f>IFERROR(__xludf.DUMMYFUNCTION("""COMPUTED_VALUE"""),"100,000,000G-500,000,000G")</f>
        <v>100,000,000G-500,000,000G</v>
      </c>
      <c r="D13" s="51" t="str">
        <f>IFERROR(__xludf.DUMMYFUNCTION("""COMPUTED_VALUE"""),"6-10")</f>
        <v>6-10</v>
      </c>
      <c r="E13" s="5" t="str">
        <f>IFERROR(__xludf.DUMMYFUNCTION("""COMPUTED_VALUE"""),"Hardened Ice Sickle")</f>
        <v>Hardened Ice Sickle</v>
      </c>
      <c r="F13" s="51" t="str">
        <f>IFERROR(__xludf.DUMMYFUNCTION("""COMPUTED_VALUE"""),"11-15")</f>
        <v>11-15</v>
      </c>
      <c r="G13" s="5" t="str">
        <f>IFERROR(__xludf.DUMMYFUNCTION("""COMPUTED_VALUE"""),"Crown Of Ice Spears")</f>
        <v>Crown Of Ice Spears</v>
      </c>
      <c r="H13" s="51" t="str">
        <f>IFERROR(__xludf.DUMMYFUNCTION("""COMPUTED_VALUE"""),"16-20")</f>
        <v>16-20</v>
      </c>
      <c r="I13" s="5" t="str">
        <f>IFERROR(__xludf.DUMMYFUNCTION("""COMPUTED_VALUE"""),"Soul")</f>
        <v>Soul</v>
      </c>
      <c r="J13" s="51" t="str">
        <f>IFERROR(__xludf.DUMMYFUNCTION("""COMPUTED_VALUE"""),"21-25")</f>
        <v>21-25</v>
      </c>
      <c r="K13" s="5" t="str">
        <f>IFERROR(__xludf.DUMMYFUNCTION("""COMPUTED_VALUE"""),"Frost Kings Map")</f>
        <v>Frost Kings Map</v>
      </c>
      <c r="L13" s="32"/>
      <c r="M13" s="32"/>
      <c r="N13" s="32"/>
      <c r="O13" s="32"/>
      <c r="P13" s="32"/>
      <c r="Q13" s="32"/>
      <c r="R13" s="32"/>
      <c r="S13" s="32"/>
      <c r="T13" s="32"/>
      <c r="U13" s="32"/>
      <c r="V13" s="32"/>
      <c r="W13" s="32"/>
      <c r="X13" s="32"/>
    </row>
    <row r="14">
      <c r="A14" s="5" t="str">
        <f>IFERROR(__xludf.DUMMYFUNCTION("""COMPUTED_VALUE"""),"Frost Queen")</f>
        <v>Frost Queen</v>
      </c>
      <c r="B14" s="51" t="str">
        <f>IFERROR(__xludf.DUMMYFUNCTION("""COMPUTED_VALUE"""),"1-5")</f>
        <v>1-5</v>
      </c>
      <c r="C14" s="5" t="str">
        <f>IFERROR(__xludf.DUMMYFUNCTION("""COMPUTED_VALUE"""),"Frost Cloak")</f>
        <v>Frost Cloak</v>
      </c>
      <c r="D14" s="51" t="str">
        <f>IFERROR(__xludf.DUMMYFUNCTION("""COMPUTED_VALUE"""),"6-10")</f>
        <v>6-10</v>
      </c>
      <c r="E14" s="5" t="str">
        <f>IFERROR(__xludf.DUMMYFUNCTION("""COMPUTED_VALUE"""),"Soul")</f>
        <v>Soul</v>
      </c>
      <c r="F14" s="51" t="str">
        <f>IFERROR(__xludf.DUMMYFUNCTION("""COMPUTED_VALUE"""),"11-15")</f>
        <v>11-15</v>
      </c>
      <c r="G14" s="5" t="str">
        <f>IFERROR(__xludf.DUMMYFUNCTION("""COMPUTED_VALUE"""),"Giant Frost diamond")</f>
        <v>Giant Frost diamond</v>
      </c>
      <c r="H14" s="51" t="str">
        <f>IFERROR(__xludf.DUMMYFUNCTION("""COMPUTED_VALUE"""),"16-20")</f>
        <v>16-20</v>
      </c>
      <c r="I14" s="5" t="str">
        <f>IFERROR(__xludf.DUMMYFUNCTION("""COMPUTED_VALUE"""),"100,000,000G-500,000,000G")</f>
        <v>100,000,000G-500,000,000G</v>
      </c>
      <c r="J14" s="51" t="str">
        <f>IFERROR(__xludf.DUMMYFUNCTION("""COMPUTED_VALUE"""),"21-25")</f>
        <v>21-25</v>
      </c>
      <c r="K14" s="5" t="str">
        <f>IFERROR(__xludf.DUMMYFUNCTION("""COMPUTED_VALUE"""),"Nothing")</f>
        <v>Nothing</v>
      </c>
      <c r="L14" s="32"/>
      <c r="M14" s="32"/>
      <c r="N14" s="32"/>
      <c r="O14" s="32"/>
      <c r="P14" s="32"/>
      <c r="Q14" s="32"/>
      <c r="R14" s="32"/>
      <c r="S14" s="32"/>
      <c r="T14" s="32"/>
      <c r="U14" s="32"/>
      <c r="V14" s="32"/>
      <c r="W14" s="32"/>
      <c r="X14" s="32"/>
    </row>
    <row r="15">
      <c r="A15" s="5" t="str">
        <f>IFERROR(__xludf.DUMMYFUNCTION("""COMPUTED_VALUE"""),"Sea Dinosaur (WD)")</f>
        <v>Sea Dinosaur (WD)</v>
      </c>
      <c r="B15" s="51" t="str">
        <f>IFERROR(__xludf.DUMMYFUNCTION("""COMPUTED_VALUE"""),"1-5")</f>
        <v>1-5</v>
      </c>
      <c r="C15" s="5" t="str">
        <f>IFERROR(__xludf.DUMMYFUNCTION("""COMPUTED_VALUE"""),"500,000SC-1,000,000SC")</f>
        <v>500,000SC-1,000,000SC</v>
      </c>
      <c r="D15" s="51" t="str">
        <f>IFERROR(__xludf.DUMMYFUNCTION("""COMPUTED_VALUE"""),"6-10")</f>
        <v>6-10</v>
      </c>
      <c r="E15" s="5" t="str">
        <f>IFERROR(__xludf.DUMMYFUNCTION("""COMPUTED_VALUE"""),"Sea Dinosaur Bones")</f>
        <v>Sea Dinosaur Bones</v>
      </c>
      <c r="F15" s="51" t="str">
        <f>IFERROR(__xludf.DUMMYFUNCTION("""COMPUTED_VALUE"""),"11-15")</f>
        <v>11-15</v>
      </c>
      <c r="G15" s="5" t="str">
        <f>IFERROR(__xludf.DUMMYFUNCTION("""COMPUTED_VALUE"""),"Egg")</f>
        <v>Egg</v>
      </c>
      <c r="H15" s="51" t="str">
        <f>IFERROR(__xludf.DUMMYFUNCTION("""COMPUTED_VALUE"""),"16-20")</f>
        <v>16-20</v>
      </c>
      <c r="I15" s="5" t="str">
        <f>IFERROR(__xludf.DUMMYFUNCTION("""COMPUTED_VALUE"""),"Soul")</f>
        <v>Soul</v>
      </c>
      <c r="J15" s="51" t="str">
        <f>IFERROR(__xludf.DUMMYFUNCTION("""COMPUTED_VALUE"""),"21-25")</f>
        <v>21-25</v>
      </c>
      <c r="K15" s="5" t="str">
        <f>IFERROR(__xludf.DUMMYFUNCTION("""COMPUTED_VALUE"""),"Water Abyss Key")</f>
        <v>Water Abyss Key</v>
      </c>
      <c r="L15" s="32"/>
      <c r="M15" s="32"/>
      <c r="N15" s="32"/>
      <c r="O15" s="32"/>
      <c r="P15" s="32"/>
      <c r="Q15" s="32"/>
      <c r="R15" s="32"/>
      <c r="S15" s="32"/>
      <c r="T15" s="32"/>
      <c r="U15" s="32"/>
      <c r="V15" s="32"/>
      <c r="W15" s="32"/>
      <c r="X15" s="32"/>
    </row>
    <row r="16">
      <c r="A16" s="5" t="str">
        <f>IFERROR(__xludf.DUMMYFUNCTION("""COMPUTED_VALUE"""),"Sea Dinosaur (WD) (Enhanced)")</f>
        <v>Sea Dinosaur (WD) (Enhanced)</v>
      </c>
      <c r="B16" s="51" t="str">
        <f>IFERROR(__xludf.DUMMYFUNCTION("""COMPUTED_VALUE"""),"1-5")</f>
        <v>1-5</v>
      </c>
      <c r="C16" s="5" t="str">
        <f>IFERROR(__xludf.DUMMYFUNCTION("""COMPUTED_VALUE"""),"500,000SC-1,000,000SC")</f>
        <v>500,000SC-1,000,000SC</v>
      </c>
      <c r="D16" s="51" t="str">
        <f>IFERROR(__xludf.DUMMYFUNCTION("""COMPUTED_VALUE"""),"6-10")</f>
        <v>6-10</v>
      </c>
      <c r="E16" s="5" t="str">
        <f>IFERROR(__xludf.DUMMYFUNCTION("""COMPUTED_VALUE"""),"Sea Dinosaur Bones")</f>
        <v>Sea Dinosaur Bones</v>
      </c>
      <c r="F16" s="51" t="str">
        <f>IFERROR(__xludf.DUMMYFUNCTION("""COMPUTED_VALUE"""),"11-15")</f>
        <v>11-15</v>
      </c>
      <c r="G16" s="5" t="str">
        <f>IFERROR(__xludf.DUMMYFUNCTION("""COMPUTED_VALUE"""),"Egg")</f>
        <v>Egg</v>
      </c>
      <c r="H16" s="51" t="str">
        <f>IFERROR(__xludf.DUMMYFUNCTION("""COMPUTED_VALUE"""),"16-20")</f>
        <v>16-20</v>
      </c>
      <c r="I16" s="5" t="str">
        <f>IFERROR(__xludf.DUMMYFUNCTION("""COMPUTED_VALUE"""),"Soul")</f>
        <v>Soul</v>
      </c>
      <c r="J16" s="51" t="str">
        <f>IFERROR(__xludf.DUMMYFUNCTION("""COMPUTED_VALUE"""),"21-25")</f>
        <v>21-25</v>
      </c>
      <c r="K16" s="5" t="str">
        <f>IFERROR(__xludf.DUMMYFUNCTION("""COMPUTED_VALUE"""),"Water Abyss Key")</f>
        <v>Water Abyss Key</v>
      </c>
      <c r="L16" s="32"/>
      <c r="M16" s="32"/>
      <c r="N16" s="32"/>
      <c r="O16" s="32"/>
      <c r="P16" s="32"/>
      <c r="Q16" s="32"/>
      <c r="R16" s="32"/>
      <c r="S16" s="32"/>
      <c r="T16" s="32"/>
      <c r="U16" s="32"/>
      <c r="V16" s="32"/>
      <c r="W16" s="32"/>
      <c r="X16" s="32"/>
    </row>
    <row r="17">
      <c r="A17" s="5" t="str">
        <f>IFERROR(__xludf.DUMMYFUNCTION("""COMPUTED_VALUE"""),"Ancient Skeleton Colossus")</f>
        <v>Ancient Skeleton Colossus</v>
      </c>
      <c r="B17" s="51" t="str">
        <f>IFERROR(__xludf.DUMMYFUNCTION("""COMPUTED_VALUE"""),"1-5")</f>
        <v>1-5</v>
      </c>
      <c r="C17" s="5" t="str">
        <f>IFERROR(__xludf.DUMMYFUNCTION("""COMPUTED_VALUE"""),"Soul")</f>
        <v>Soul</v>
      </c>
      <c r="D17" s="51" t="str">
        <f>IFERROR(__xludf.DUMMYFUNCTION("""COMPUTED_VALUE"""),"6-10")</f>
        <v>6-10</v>
      </c>
      <c r="E17" s="5" t="str">
        <f>IFERROR(__xludf.DUMMYFUNCTION("""COMPUTED_VALUE"""),"Nothing")</f>
        <v>Nothing</v>
      </c>
      <c r="F17" s="51" t="str">
        <f>IFERROR(__xludf.DUMMYFUNCTION("""COMPUTED_VALUE"""),"11-15")</f>
        <v>11-15</v>
      </c>
      <c r="G17" s="5" t="str">
        <f>IFERROR(__xludf.DUMMYFUNCTION("""COMPUTED_VALUE"""),"Colossus Bone Sword")</f>
        <v>Colossus Bone Sword</v>
      </c>
      <c r="H17" s="51" t="str">
        <f>IFERROR(__xludf.DUMMYFUNCTION("""COMPUTED_VALUE"""),"16-20")</f>
        <v>16-20</v>
      </c>
      <c r="I17" s="5" t="str">
        <f>IFERROR(__xludf.DUMMYFUNCTION("""COMPUTED_VALUE"""),"100,000,000G-500,000,000G")</f>
        <v>100,000,000G-500,000,000G</v>
      </c>
      <c r="J17" s="51" t="str">
        <f>IFERROR(__xludf.DUMMYFUNCTION("""COMPUTED_VALUE"""),"21-25")</f>
        <v>21-25</v>
      </c>
      <c r="K17" s="5" t="str">
        <f>IFERROR(__xludf.DUMMYFUNCTION("""COMPUTED_VALUE"""),"Nothing")</f>
        <v>Nothing</v>
      </c>
      <c r="L17" s="32"/>
      <c r="M17" s="32"/>
      <c r="N17" s="32"/>
      <c r="O17" s="32"/>
      <c r="P17" s="32"/>
      <c r="Q17" s="32"/>
      <c r="R17" s="32"/>
      <c r="S17" s="32"/>
      <c r="T17" s="32"/>
      <c r="U17" s="32"/>
      <c r="V17" s="32"/>
      <c r="W17" s="32"/>
      <c r="X17" s="32"/>
    </row>
    <row r="18">
      <c r="A18" s="5" t="str">
        <f>IFERROR(__xludf.DUMMYFUNCTION("""COMPUTED_VALUE"""),"Ancient Stone Guard")</f>
        <v>Ancient Stone Guard</v>
      </c>
      <c r="B18" s="51" t="str">
        <f>IFERROR(__xludf.DUMMYFUNCTION("""COMPUTED_VALUE"""),"1-5")</f>
        <v>1-5</v>
      </c>
      <c r="C18" s="5" t="str">
        <f>IFERROR(__xludf.DUMMYFUNCTION("""COMPUTED_VALUE"""),"Stonewall Shield")</f>
        <v>Stonewall Shield</v>
      </c>
      <c r="D18" s="51" t="str">
        <f>IFERROR(__xludf.DUMMYFUNCTION("""COMPUTED_VALUE"""),"6-10")</f>
        <v>6-10</v>
      </c>
      <c r="E18" s="5" t="str">
        <f>IFERROR(__xludf.DUMMYFUNCTION("""COMPUTED_VALUE"""),"Nothing")</f>
        <v>Nothing</v>
      </c>
      <c r="F18" s="51" t="str">
        <f>IFERROR(__xludf.DUMMYFUNCTION("""COMPUTED_VALUE"""),"11-15")</f>
        <v>11-15</v>
      </c>
      <c r="G18" s="5" t="str">
        <f>IFERROR(__xludf.DUMMYFUNCTION("""COMPUTED_VALUE"""),"Egg")</f>
        <v>Egg</v>
      </c>
      <c r="H18" s="51" t="str">
        <f>IFERROR(__xludf.DUMMYFUNCTION("""COMPUTED_VALUE"""),"16-20")</f>
        <v>16-20</v>
      </c>
      <c r="I18" s="5" t="str">
        <f>IFERROR(__xludf.DUMMYFUNCTION("""COMPUTED_VALUE"""),"500,000G-1,000,000G")</f>
        <v>500,000G-1,000,000G</v>
      </c>
      <c r="J18" s="51" t="str">
        <f>IFERROR(__xludf.DUMMYFUNCTION("""COMPUTED_VALUE"""),"21-25")</f>
        <v>21-25</v>
      </c>
      <c r="K18" s="5" t="str">
        <f>IFERROR(__xludf.DUMMYFUNCTION("""COMPUTED_VALUE"""),"Ancient Stone Guardians Sword")</f>
        <v>Ancient Stone Guardians Sword</v>
      </c>
      <c r="L18" s="32"/>
      <c r="M18" s="32"/>
      <c r="N18" s="32"/>
      <c r="O18" s="32"/>
      <c r="P18" s="32"/>
      <c r="Q18" s="32"/>
      <c r="R18" s="32"/>
      <c r="S18" s="32"/>
      <c r="T18" s="32"/>
      <c r="U18" s="32"/>
      <c r="V18" s="32"/>
      <c r="W18" s="32"/>
      <c r="X18" s="32"/>
    </row>
    <row r="19">
      <c r="A19" s="5" t="str">
        <f>IFERROR(__xludf.DUMMYFUNCTION("""COMPUTED_VALUE"""),"Ancient Tree Of Flames")</f>
        <v>Ancient Tree Of Flames</v>
      </c>
      <c r="B19" s="51" t="str">
        <f>IFERROR(__xludf.DUMMYFUNCTION("""COMPUTED_VALUE"""),"1-5")</f>
        <v>1-5</v>
      </c>
      <c r="C19" s="5" t="str">
        <f>IFERROR(__xludf.DUMMYFUNCTION("""COMPUTED_VALUE"""),"Leaf Of The Ancient Tree Of Flames")</f>
        <v>Leaf Of The Ancient Tree Of Flames</v>
      </c>
      <c r="D19" s="51" t="str">
        <f>IFERROR(__xludf.DUMMYFUNCTION("""COMPUTED_VALUE"""),"6-10")</f>
        <v>6-10</v>
      </c>
      <c r="E19" s="5" t="str">
        <f>IFERROR(__xludf.DUMMYFUNCTION("""COMPUTED_VALUE"""),"Nothing")</f>
        <v>Nothing</v>
      </c>
      <c r="F19" s="51" t="str">
        <f>IFERROR(__xludf.DUMMYFUNCTION("""COMPUTED_VALUE"""),"11-15")</f>
        <v>11-15</v>
      </c>
      <c r="G19" s="5" t="str">
        <f>IFERROR(__xludf.DUMMYFUNCTION("""COMPUTED_VALUE"""),"Egg")</f>
        <v>Egg</v>
      </c>
      <c r="H19" s="51" t="str">
        <f>IFERROR(__xludf.DUMMYFUNCTION("""COMPUTED_VALUE"""),"16-20")</f>
        <v>16-20</v>
      </c>
      <c r="I19" s="5" t="str">
        <f>IFERROR(__xludf.DUMMYFUNCTION("""COMPUTED_VALUE"""),"Nothing")</f>
        <v>Nothing</v>
      </c>
      <c r="J19" s="51" t="str">
        <f>IFERROR(__xludf.DUMMYFUNCTION("""COMPUTED_VALUE"""),"21-25")</f>
        <v>21-25</v>
      </c>
      <c r="K19" s="5" t="str">
        <f>IFERROR(__xludf.DUMMYFUNCTION("""COMPUTED_VALUE"""),"Nothing")</f>
        <v>Nothing</v>
      </c>
      <c r="L19" s="32"/>
      <c r="M19" s="32"/>
      <c r="N19" s="32"/>
      <c r="O19" s="32"/>
      <c r="P19" s="32"/>
      <c r="Q19" s="32"/>
      <c r="R19" s="32"/>
      <c r="S19" s="32"/>
      <c r="T19" s="32"/>
      <c r="U19" s="32"/>
      <c r="V19" s="32"/>
      <c r="W19" s="32"/>
      <c r="X19" s="32"/>
    </row>
    <row r="20">
      <c r="A20" s="5" t="str">
        <f>IFERROR(__xludf.DUMMYFUNCTION("""COMPUTED_VALUE"""),"Volcanic Worm")</f>
        <v>Volcanic Worm</v>
      </c>
      <c r="B20" s="51" t="str">
        <f>IFERROR(__xludf.DUMMYFUNCTION("""COMPUTED_VALUE"""),"1-5")</f>
        <v>1-5</v>
      </c>
      <c r="C20" s="5" t="str">
        <f>IFERROR(__xludf.DUMMYFUNCTION("""COMPUTED_VALUE"""),"Nothing")</f>
        <v>Nothing</v>
      </c>
      <c r="D20" s="51" t="str">
        <f>IFERROR(__xludf.DUMMYFUNCTION("""COMPUTED_VALUE"""),"6-10")</f>
        <v>6-10</v>
      </c>
      <c r="E20" s="5" t="str">
        <f>IFERROR(__xludf.DUMMYFUNCTION("""COMPUTED_VALUE"""),"fire diamonds")</f>
        <v>fire diamonds</v>
      </c>
      <c r="F20" s="51" t="str">
        <f>IFERROR(__xludf.DUMMYFUNCTION("""COMPUTED_VALUE"""),"11-15")</f>
        <v>11-15</v>
      </c>
      <c r="G20" s="5" t="str">
        <f>IFERROR(__xludf.DUMMYFUNCTION("""COMPUTED_VALUE"""),"Giant Fire Diamond")</f>
        <v>Giant Fire Diamond</v>
      </c>
      <c r="H20" s="51" t="str">
        <f>IFERROR(__xludf.DUMMYFUNCTION("""COMPUTED_VALUE"""),"16-20")</f>
        <v>16-20</v>
      </c>
      <c r="I20" s="5" t="str">
        <f>IFERROR(__xludf.DUMMYFUNCTION("""COMPUTED_VALUE"""),"Ancient Volcanic Worm Core")</f>
        <v>Ancient Volcanic Worm Core</v>
      </c>
      <c r="J20" s="51" t="str">
        <f>IFERROR(__xludf.DUMMYFUNCTION("""COMPUTED_VALUE"""),"21-25")</f>
        <v>21-25</v>
      </c>
      <c r="K20" s="5" t="str">
        <f>IFERROR(__xludf.DUMMYFUNCTION("""COMPUTED_VALUE"""),"Nothing")</f>
        <v>Nothing</v>
      </c>
      <c r="L20" s="32"/>
      <c r="M20" s="32"/>
      <c r="N20" s="32"/>
      <c r="O20" s="32"/>
      <c r="P20" s="32"/>
      <c r="Q20" s="32"/>
      <c r="R20" s="32"/>
      <c r="S20" s="32"/>
      <c r="T20" s="32"/>
      <c r="U20" s="32"/>
      <c r="V20" s="32"/>
      <c r="W20" s="32"/>
      <c r="X20" s="32"/>
    </row>
    <row r="21">
      <c r="A21" s="5"/>
      <c r="B21" s="51" t="str">
        <f>IFERROR(__xludf.DUMMYFUNCTION("""COMPUTED_VALUE"""),"1-5")</f>
        <v>1-5</v>
      </c>
      <c r="C21" s="5" t="str">
        <f>IFERROR(__xludf.DUMMYFUNCTION("""COMPUTED_VALUE"""),"Egg")</f>
        <v>Egg</v>
      </c>
      <c r="D21" s="51" t="str">
        <f>IFERROR(__xludf.DUMMYFUNCTION("""COMPUTED_VALUE"""),"6-10")</f>
        <v>6-10</v>
      </c>
      <c r="E21" s="5" t="str">
        <f>IFERROR(__xludf.DUMMYFUNCTION("""COMPUTED_VALUE"""),"500,000SC-1,000,000SC")</f>
        <v>500,000SC-1,000,000SC</v>
      </c>
      <c r="F21" s="51" t="str">
        <f>IFERROR(__xludf.DUMMYFUNCTION("""COMPUTED_VALUE"""),"11-15")</f>
        <v>11-15</v>
      </c>
      <c r="G21" s="5" t="str">
        <f>IFERROR(__xludf.DUMMYFUNCTION("""COMPUTED_VALUE"""),"1,000,000G-20,000,000G")</f>
        <v>1,000,000G-20,000,000G</v>
      </c>
      <c r="H21" s="51" t="str">
        <f>IFERROR(__xludf.DUMMYFUNCTION("""COMPUTED_VALUE"""),"16-20")</f>
        <v>16-20</v>
      </c>
      <c r="I21" s="5" t="str">
        <f>IFERROR(__xludf.DUMMYFUNCTION("""COMPUTED_VALUE"""),"Soul")</f>
        <v>Soul</v>
      </c>
      <c r="J21" s="51" t="str">
        <f>IFERROR(__xludf.DUMMYFUNCTION("""COMPUTED_VALUE"""),"21-25")</f>
        <v>21-25</v>
      </c>
      <c r="K21" s="5" t="str">
        <f>IFERROR(__xludf.DUMMYFUNCTION("""COMPUTED_VALUE"""),"Nothing")</f>
        <v>Nothing</v>
      </c>
      <c r="L21" s="32"/>
      <c r="M21" s="32"/>
      <c r="N21" s="32"/>
      <c r="O21" s="32"/>
      <c r="P21" s="32"/>
      <c r="Q21" s="32"/>
      <c r="R21" s="32"/>
      <c r="S21" s="32"/>
      <c r="T21" s="32"/>
      <c r="U21" s="32"/>
      <c r="V21" s="32"/>
      <c r="W21" s="32"/>
      <c r="X21" s="32"/>
    </row>
    <row r="22">
      <c r="A22" s="5"/>
      <c r="B22" s="51" t="str">
        <f>IFERROR(__xludf.DUMMYFUNCTION("""COMPUTED_VALUE"""),"1-5")</f>
        <v>1-5</v>
      </c>
      <c r="C22" s="5" t="str">
        <f>IFERROR(__xludf.DUMMYFUNCTION("""COMPUTED_VALUE"""),"Egg")</f>
        <v>Egg</v>
      </c>
      <c r="D22" s="51" t="str">
        <f>IFERROR(__xludf.DUMMYFUNCTION("""COMPUTED_VALUE"""),"6-10")</f>
        <v>6-10</v>
      </c>
      <c r="E22" s="5" t="str">
        <f>IFERROR(__xludf.DUMMYFUNCTION("""COMPUTED_VALUE"""),"500,000SC-1,000,000SC")</f>
        <v>500,000SC-1,000,000SC</v>
      </c>
      <c r="F22" s="51" t="str">
        <f>IFERROR(__xludf.DUMMYFUNCTION("""COMPUTED_VALUE"""),"11-15")</f>
        <v>11-15</v>
      </c>
      <c r="G22" s="5" t="str">
        <f>IFERROR(__xludf.DUMMYFUNCTION("""COMPUTED_VALUE"""),"1,000,000G-20,000,000G")</f>
        <v>1,000,000G-20,000,000G</v>
      </c>
      <c r="H22" s="51" t="str">
        <f>IFERROR(__xludf.DUMMYFUNCTION("""COMPUTED_VALUE"""),"16-20")</f>
        <v>16-20</v>
      </c>
      <c r="I22" s="5" t="str">
        <f>IFERROR(__xludf.DUMMYFUNCTION("""COMPUTED_VALUE"""),"Soul")</f>
        <v>Soul</v>
      </c>
      <c r="J22" s="51" t="str">
        <f>IFERROR(__xludf.DUMMYFUNCTION("""COMPUTED_VALUE"""),"21-25")</f>
        <v>21-25</v>
      </c>
      <c r="K22" s="5" t="str">
        <f>IFERROR(__xludf.DUMMYFUNCTION("""COMPUTED_VALUE"""),"Nothing")</f>
        <v>Nothing</v>
      </c>
      <c r="L22" s="32"/>
      <c r="M22" s="32"/>
      <c r="N22" s="32"/>
      <c r="O22" s="32"/>
      <c r="P22" s="32"/>
      <c r="Q22" s="32"/>
      <c r="R22" s="32"/>
      <c r="S22" s="32"/>
      <c r="T22" s="32"/>
      <c r="U22" s="32"/>
      <c r="V22" s="32"/>
      <c r="W22" s="32"/>
      <c r="X22" s="32"/>
    </row>
    <row r="23">
      <c r="A23" s="5" t="str">
        <f>IFERROR(__xludf.DUMMYFUNCTION("""COMPUTED_VALUE"""),"Aonbharr of Manannán")</f>
        <v>Aonbharr of Manannán</v>
      </c>
      <c r="B23" s="51" t="str">
        <f>IFERROR(__xludf.DUMMYFUNCTION("""COMPUTED_VALUE"""),"1-5")</f>
        <v>1-5</v>
      </c>
      <c r="C23" s="5"/>
      <c r="D23" s="51" t="str">
        <f>IFERROR(__xludf.DUMMYFUNCTION("""COMPUTED_VALUE"""),"6-10")</f>
        <v>6-10</v>
      </c>
      <c r="E23" s="5"/>
      <c r="F23" s="51" t="str">
        <f>IFERROR(__xludf.DUMMYFUNCTION("""COMPUTED_VALUE"""),"11-15")</f>
        <v>11-15</v>
      </c>
      <c r="G23" s="5"/>
      <c r="H23" s="51" t="str">
        <f>IFERROR(__xludf.DUMMYFUNCTION("""COMPUTED_VALUE"""),"16-20")</f>
        <v>16-20</v>
      </c>
      <c r="I23" s="5"/>
      <c r="J23" s="51" t="str">
        <f>IFERROR(__xludf.DUMMYFUNCTION("""COMPUTED_VALUE"""),"21-25")</f>
        <v>21-25</v>
      </c>
      <c r="K23" s="5"/>
      <c r="L23" s="32"/>
      <c r="M23" s="32"/>
      <c r="N23" s="32"/>
      <c r="O23" s="32"/>
      <c r="P23" s="32"/>
      <c r="Q23" s="32"/>
      <c r="R23" s="32"/>
      <c r="S23" s="32"/>
      <c r="T23" s="32"/>
      <c r="U23" s="32"/>
      <c r="V23" s="32"/>
      <c r="W23" s="32"/>
      <c r="X23" s="32"/>
    </row>
    <row r="24">
      <c r="A24" s="5" t="str">
        <f>IFERROR(__xludf.DUMMYFUNCTION("""COMPUTED_VALUE"""),"Aquatic Serpent")</f>
        <v>Aquatic Serpent</v>
      </c>
      <c r="B24" s="51" t="str">
        <f>IFERROR(__xludf.DUMMYFUNCTION("""COMPUTED_VALUE"""),"1-5")</f>
        <v>1-5</v>
      </c>
      <c r="C24" s="5" t="str">
        <f>IFERROR(__xludf.DUMMYFUNCTION("""COMPUTED_VALUE"""),"Soul")</f>
        <v>Soul</v>
      </c>
      <c r="D24" s="51" t="str">
        <f>IFERROR(__xludf.DUMMYFUNCTION("""COMPUTED_VALUE"""),"6-10")</f>
        <v>6-10</v>
      </c>
      <c r="E24" s="5" t="str">
        <f>IFERROR(__xludf.DUMMYFUNCTION("""COMPUTED_VALUE"""),"The Wand Of Aquatic beasts")</f>
        <v>The Wand Of Aquatic beasts</v>
      </c>
      <c r="F24" s="51" t="str">
        <f>IFERROR(__xludf.DUMMYFUNCTION("""COMPUTED_VALUE"""),"11-15")</f>
        <v>11-15</v>
      </c>
      <c r="G24" s="5" t="str">
        <f>IFERROR(__xludf.DUMMYFUNCTION("""COMPUTED_VALUE"""),"Aquatic Diamond")</f>
        <v>Aquatic Diamond</v>
      </c>
      <c r="H24" s="51" t="str">
        <f>IFERROR(__xludf.DUMMYFUNCTION("""COMPUTED_VALUE"""),"16-20")</f>
        <v>16-20</v>
      </c>
      <c r="I24" s="5" t="str">
        <f>IFERROR(__xludf.DUMMYFUNCTION("""COMPUTED_VALUE"""),"60,000G-80,000G")</f>
        <v>60,000G-80,000G</v>
      </c>
      <c r="J24" s="51" t="str">
        <f>IFERROR(__xludf.DUMMYFUNCTION("""COMPUTED_VALUE"""),"21-25")</f>
        <v>21-25</v>
      </c>
      <c r="K24" s="5" t="str">
        <f>IFERROR(__xludf.DUMMYFUNCTION("""COMPUTED_VALUE"""),"Egg")</f>
        <v>Egg</v>
      </c>
      <c r="L24" s="32"/>
      <c r="M24" s="32"/>
      <c r="N24" s="32"/>
      <c r="O24" s="32"/>
      <c r="P24" s="32"/>
      <c r="Q24" s="32"/>
      <c r="R24" s="32"/>
      <c r="S24" s="32"/>
      <c r="T24" s="32"/>
      <c r="U24" s="32"/>
      <c r="V24" s="32"/>
      <c r="W24" s="32"/>
      <c r="X24" s="32"/>
    </row>
    <row r="25">
      <c r="A25" s="5" t="str">
        <f>IFERROR(__xludf.DUMMYFUNCTION("""COMPUTED_VALUE"""),"Assassin Doll")</f>
        <v>Assassin Doll</v>
      </c>
      <c r="B25" s="51" t="str">
        <f>IFERROR(__xludf.DUMMYFUNCTION("""COMPUTED_VALUE"""),"1-5")</f>
        <v>1-5</v>
      </c>
      <c r="C25" s="5" t="str">
        <f>IFERROR(__xludf.DUMMYFUNCTION("""COMPUTED_VALUE"""),"Silver Knife")</f>
        <v>Silver Knife</v>
      </c>
      <c r="D25" s="51" t="str">
        <f>IFERROR(__xludf.DUMMYFUNCTION("""COMPUTED_VALUE"""),"6-10")</f>
        <v>6-10</v>
      </c>
      <c r="E25" s="5" t="str">
        <f>IFERROR(__xludf.DUMMYFUNCTION("""COMPUTED_VALUE"""),"Dagger")</f>
        <v>Dagger</v>
      </c>
      <c r="F25" s="51" t="str">
        <f>IFERROR(__xludf.DUMMYFUNCTION("""COMPUTED_VALUE"""),"11-15")</f>
        <v>11-15</v>
      </c>
      <c r="G25" s="5" t="str">
        <f>IFERROR(__xludf.DUMMYFUNCTION("""COMPUTED_VALUE"""),"60,000G-80,000G")</f>
        <v>60,000G-80,000G</v>
      </c>
      <c r="H25" s="51" t="str">
        <f>IFERROR(__xludf.DUMMYFUNCTION("""COMPUTED_VALUE"""),"16-20")</f>
        <v>16-20</v>
      </c>
      <c r="I25" s="5" t="str">
        <f>IFERROR(__xludf.DUMMYFUNCTION("""COMPUTED_VALUE"""),"Egg")</f>
        <v>Egg</v>
      </c>
      <c r="J25" s="51" t="str">
        <f>IFERROR(__xludf.DUMMYFUNCTION("""COMPUTED_VALUE"""),"21-25")</f>
        <v>21-25</v>
      </c>
      <c r="K25" s="5" t="str">
        <f>IFERROR(__xludf.DUMMYFUNCTION("""COMPUTED_VALUE"""),"Ring o' Villainy and Voodoo")</f>
        <v>Ring o' Villainy and Voodoo</v>
      </c>
      <c r="L25" s="32"/>
      <c r="M25" s="32"/>
      <c r="N25" s="32"/>
      <c r="O25" s="32"/>
      <c r="P25" s="32"/>
      <c r="Q25" s="32"/>
      <c r="R25" s="32"/>
      <c r="S25" s="32"/>
      <c r="T25" s="32"/>
      <c r="U25" s="32"/>
      <c r="V25" s="32"/>
      <c r="W25" s="32"/>
      <c r="X25" s="32"/>
    </row>
    <row r="26">
      <c r="A26" s="5" t="str">
        <f>IFERROR(__xludf.DUMMYFUNCTION("""COMPUTED_VALUE"""),"Astral Dragon")</f>
        <v>Astral Dragon</v>
      </c>
      <c r="B26" s="51" t="str">
        <f>IFERROR(__xludf.DUMMYFUNCTION("""COMPUTED_VALUE"""),"1-5")</f>
        <v>1-5</v>
      </c>
      <c r="C26" s="5" t="str">
        <f>IFERROR(__xludf.DUMMYFUNCTION("""COMPUTED_VALUE"""),"Soul")</f>
        <v>Soul</v>
      </c>
      <c r="D26" s="51" t="str">
        <f>IFERROR(__xludf.DUMMYFUNCTION("""COMPUTED_VALUE"""),"6-10")</f>
        <v>6-10</v>
      </c>
      <c r="E26" s="5" t="str">
        <f>IFERROR(__xludf.DUMMYFUNCTION("""COMPUTED_VALUE"""),"40,000,000G-60,000,000G")</f>
        <v>40,000,000G-60,000,000G</v>
      </c>
      <c r="F26" s="51" t="str">
        <f>IFERROR(__xludf.DUMMYFUNCTION("""COMPUTED_VALUE"""),"11-15")</f>
        <v>11-15</v>
      </c>
      <c r="G26" s="5" t="str">
        <f>IFERROR(__xludf.DUMMYFUNCTION("""COMPUTED_VALUE"""),"Nothing")</f>
        <v>Nothing</v>
      </c>
      <c r="H26" s="51" t="str">
        <f>IFERROR(__xludf.DUMMYFUNCTION("""COMPUTED_VALUE"""),"16-20")</f>
        <v>16-20</v>
      </c>
      <c r="I26" s="5" t="str">
        <f>IFERROR(__xludf.DUMMYFUNCTION("""COMPUTED_VALUE"""),"Nothing")</f>
        <v>Nothing</v>
      </c>
      <c r="J26" s="51" t="str">
        <f>IFERROR(__xludf.DUMMYFUNCTION("""COMPUTED_VALUE"""),"21-25")</f>
        <v>21-25</v>
      </c>
      <c r="K26" s="5" t="str">
        <f>IFERROR(__xludf.DUMMYFUNCTION("""COMPUTED_VALUE"""),"Egg")</f>
        <v>Egg</v>
      </c>
      <c r="L26" s="32"/>
      <c r="M26" s="32"/>
      <c r="N26" s="32"/>
      <c r="O26" s="32"/>
      <c r="P26" s="32"/>
      <c r="Q26" s="32"/>
      <c r="R26" s="32"/>
      <c r="S26" s="32"/>
      <c r="T26" s="32"/>
      <c r="U26" s="32"/>
      <c r="V26" s="32"/>
      <c r="W26" s="32"/>
      <c r="X26" s="32"/>
    </row>
    <row r="27">
      <c r="A27" s="5" t="str">
        <f>IFERROR(__xludf.DUMMYFUNCTION("""COMPUTED_VALUE"""),"Baboon")</f>
        <v>Baboon</v>
      </c>
      <c r="B27" s="51" t="str">
        <f>IFERROR(__xludf.DUMMYFUNCTION("""COMPUTED_VALUE"""),"1-5")</f>
        <v>1-5</v>
      </c>
      <c r="C27" s="5" t="str">
        <f>IFERROR(__xludf.DUMMYFUNCTION("""COMPUTED_VALUE"""),"Baboon meat")</f>
        <v>Baboon meat</v>
      </c>
      <c r="D27" s="51" t="str">
        <f>IFERROR(__xludf.DUMMYFUNCTION("""COMPUTED_VALUE"""),"6-10")</f>
        <v>6-10</v>
      </c>
      <c r="E27" s="5" t="str">
        <f>IFERROR(__xludf.DUMMYFUNCTION("""COMPUTED_VALUE"""),"Soul")</f>
        <v>Soul</v>
      </c>
      <c r="F27" s="51" t="str">
        <f>IFERROR(__xludf.DUMMYFUNCTION("""COMPUTED_VALUE"""),"11-15")</f>
        <v>11-15</v>
      </c>
      <c r="G27" s="5" t="str">
        <f>IFERROR(__xludf.DUMMYFUNCTION("""COMPUTED_VALUE"""),"Egg")</f>
        <v>Egg</v>
      </c>
      <c r="H27" s="51" t="str">
        <f>IFERROR(__xludf.DUMMYFUNCTION("""COMPUTED_VALUE"""),"16-20")</f>
        <v>16-20</v>
      </c>
      <c r="I27" s="5" t="str">
        <f>IFERROR(__xludf.DUMMYFUNCTION("""COMPUTED_VALUE"""),"Nothing")</f>
        <v>Nothing</v>
      </c>
      <c r="J27" s="51" t="str">
        <f>IFERROR(__xludf.DUMMYFUNCTION("""COMPUTED_VALUE"""),"21-25")</f>
        <v>21-25</v>
      </c>
      <c r="K27" s="5" t="str">
        <f>IFERROR(__xludf.DUMMYFUNCTION("""COMPUTED_VALUE"""),"80,000G-100,000G")</f>
        <v>80,000G-100,000G</v>
      </c>
      <c r="L27" s="32"/>
      <c r="M27" s="32"/>
      <c r="N27" s="32"/>
      <c r="O27" s="32"/>
      <c r="P27" s="32"/>
      <c r="Q27" s="32"/>
      <c r="R27" s="32"/>
      <c r="S27" s="32"/>
      <c r="T27" s="32"/>
      <c r="U27" s="32"/>
      <c r="V27" s="32"/>
      <c r="W27" s="32"/>
      <c r="X27" s="32"/>
    </row>
    <row r="28">
      <c r="A28" s="5" t="str">
        <f>IFERROR(__xludf.DUMMYFUNCTION("""COMPUTED_VALUE"""),"Bandit")</f>
        <v>Bandit</v>
      </c>
      <c r="B28" s="51" t="str">
        <f>IFERROR(__xludf.DUMMYFUNCTION("""COMPUTED_VALUE"""),"1-5")</f>
        <v>1-5</v>
      </c>
      <c r="C28" s="5" t="str">
        <f>IFERROR(__xludf.DUMMYFUNCTION("""COMPUTED_VALUE"""),"Knife")</f>
        <v>Knife</v>
      </c>
      <c r="D28" s="51" t="str">
        <f>IFERROR(__xludf.DUMMYFUNCTION("""COMPUTED_VALUE"""),"6-10")</f>
        <v>6-10</v>
      </c>
      <c r="E28" s="5" t="str">
        <f>IFERROR(__xludf.DUMMYFUNCTION("""COMPUTED_VALUE"""),"1,000G-20,000G")</f>
        <v>1,000G-20,000G</v>
      </c>
      <c r="F28" s="51" t="str">
        <f>IFERROR(__xludf.DUMMYFUNCTION("""COMPUTED_VALUE"""),"11-15")</f>
        <v>11-15</v>
      </c>
      <c r="G28" s="5" t="str">
        <f>IFERROR(__xludf.DUMMYFUNCTION("""COMPUTED_VALUE"""),"Egg")</f>
        <v>Egg</v>
      </c>
      <c r="H28" s="51" t="str">
        <f>IFERROR(__xludf.DUMMYFUNCTION("""COMPUTED_VALUE"""),"16-20")</f>
        <v>16-20</v>
      </c>
      <c r="I28" s="5" t="str">
        <f>IFERROR(__xludf.DUMMYFUNCTION("""COMPUTED_VALUE"""),"Soul")</f>
        <v>Soul</v>
      </c>
      <c r="J28" s="51" t="str">
        <f>IFERROR(__xludf.DUMMYFUNCTION("""COMPUTED_VALUE"""),"21-25")</f>
        <v>21-25</v>
      </c>
      <c r="K28" s="5" t="str">
        <f>IFERROR(__xludf.DUMMYFUNCTION("""COMPUTED_VALUE"""),"Nothing")</f>
        <v>Nothing</v>
      </c>
      <c r="L28" s="32"/>
      <c r="M28" s="32"/>
      <c r="N28" s="32"/>
      <c r="O28" s="32"/>
      <c r="P28" s="32"/>
      <c r="Q28" s="32"/>
      <c r="R28" s="32"/>
      <c r="S28" s="32"/>
      <c r="T28" s="32"/>
      <c r="U28" s="32"/>
      <c r="V28" s="32"/>
      <c r="W28" s="32"/>
      <c r="X28" s="32"/>
    </row>
    <row r="29">
      <c r="A29" s="5" t="str">
        <f>IFERROR(__xludf.DUMMYFUNCTION("""COMPUTED_VALUE"""),"Bees")</f>
        <v>Bees</v>
      </c>
      <c r="B29" s="51" t="str">
        <f>IFERROR(__xludf.DUMMYFUNCTION("""COMPUTED_VALUE"""),"1-5")</f>
        <v>1-5</v>
      </c>
      <c r="C29" s="5" t="str">
        <f>IFERROR(__xludf.DUMMYFUNCTION("""COMPUTED_VALUE"""),"Bee Stinger ")</f>
        <v>Bee Stinger </v>
      </c>
      <c r="D29" s="51" t="str">
        <f>IFERROR(__xludf.DUMMYFUNCTION("""COMPUTED_VALUE"""),"6-10")</f>
        <v>6-10</v>
      </c>
      <c r="E29" s="5" t="str">
        <f>IFERROR(__xludf.DUMMYFUNCTION("""COMPUTED_VALUE"""),"Egg")</f>
        <v>Egg</v>
      </c>
      <c r="F29" s="51" t="str">
        <f>IFERROR(__xludf.DUMMYFUNCTION("""COMPUTED_VALUE"""),"11-15")</f>
        <v>11-15</v>
      </c>
      <c r="G29" s="5" t="str">
        <f>IFERROR(__xludf.DUMMYFUNCTION("""COMPUTED_VALUE"""),"Nothing")</f>
        <v>Nothing</v>
      </c>
      <c r="H29" s="51" t="str">
        <f>IFERROR(__xludf.DUMMYFUNCTION("""COMPUTED_VALUE"""),"16-20")</f>
        <v>16-20</v>
      </c>
      <c r="I29" s="5" t="str">
        <f>IFERROR(__xludf.DUMMYFUNCTION("""COMPUTED_VALUE"""),"Nothing")</f>
        <v>Nothing</v>
      </c>
      <c r="J29" s="51" t="str">
        <f>IFERROR(__xludf.DUMMYFUNCTION("""COMPUTED_VALUE"""),"21-25")</f>
        <v>21-25</v>
      </c>
      <c r="K29" s="5" t="str">
        <f>IFERROR(__xludf.DUMMYFUNCTION("""COMPUTED_VALUE"""),"Nothing")</f>
        <v>Nothing</v>
      </c>
      <c r="L29" s="32"/>
      <c r="M29" s="32"/>
      <c r="N29" s="32"/>
      <c r="O29" s="32"/>
      <c r="P29" s="32"/>
      <c r="Q29" s="32"/>
      <c r="R29" s="32"/>
      <c r="S29" s="32"/>
      <c r="T29" s="32"/>
      <c r="U29" s="32"/>
      <c r="V29" s="32"/>
      <c r="W29" s="32"/>
      <c r="X29" s="32"/>
    </row>
    <row r="30">
      <c r="A30" s="5" t="str">
        <f>IFERROR(__xludf.DUMMYFUNCTION("""COMPUTED_VALUE"""),"Big Frost Owl")</f>
        <v>Big Frost Owl</v>
      </c>
      <c r="B30" s="51" t="str">
        <f>IFERROR(__xludf.DUMMYFUNCTION("""COMPUTED_VALUE"""),"1-5")</f>
        <v>1-5</v>
      </c>
      <c r="C30" s="5" t="str">
        <f>IFERROR(__xludf.DUMMYFUNCTION("""COMPUTED_VALUE"""),"Egg")</f>
        <v>Egg</v>
      </c>
      <c r="D30" s="51" t="str">
        <f>IFERROR(__xludf.DUMMYFUNCTION("""COMPUTED_VALUE"""),"6-10")</f>
        <v>6-10</v>
      </c>
      <c r="E30" s="5" t="str">
        <f>IFERROR(__xludf.DUMMYFUNCTION("""COMPUTED_VALUE"""),"20,000G-40,000G")</f>
        <v>20,000G-40,000G</v>
      </c>
      <c r="F30" s="51" t="str">
        <f>IFERROR(__xludf.DUMMYFUNCTION("""COMPUTED_VALUE"""),"11-15")</f>
        <v>11-15</v>
      </c>
      <c r="G30" s="5" t="str">
        <f>IFERROR(__xludf.DUMMYFUNCTION("""COMPUTED_VALUE"""),"Soul")</f>
        <v>Soul</v>
      </c>
      <c r="H30" s="51" t="str">
        <f>IFERROR(__xludf.DUMMYFUNCTION("""COMPUTED_VALUE"""),"16-20")</f>
        <v>16-20</v>
      </c>
      <c r="I30" s="5" t="str">
        <f>IFERROR(__xludf.DUMMYFUNCTION("""COMPUTED_VALUE"""),"big Frost owl feathers")</f>
        <v>big Frost owl feathers</v>
      </c>
      <c r="J30" s="51" t="str">
        <f>IFERROR(__xludf.DUMMYFUNCTION("""COMPUTED_VALUE"""),"21-25")</f>
        <v>21-25</v>
      </c>
      <c r="K30" s="5" t="str">
        <f>IFERROR(__xludf.DUMMYFUNCTION("""COMPUTED_VALUE"""),"Big Frost Owl egg")</f>
        <v>Big Frost Owl egg</v>
      </c>
      <c r="L30" s="32"/>
      <c r="M30" s="32"/>
      <c r="N30" s="32"/>
      <c r="O30" s="32"/>
      <c r="P30" s="32"/>
      <c r="Q30" s="32"/>
      <c r="R30" s="32"/>
      <c r="S30" s="32"/>
      <c r="T30" s="32"/>
      <c r="U30" s="32"/>
      <c r="V30" s="32"/>
      <c r="W30" s="32"/>
      <c r="X30" s="32"/>
    </row>
    <row r="31">
      <c r="A31" s="5" t="str">
        <f>IFERROR(__xludf.DUMMYFUNCTION("""COMPUTED_VALUE"""),"Blood Monk")</f>
        <v>Blood Monk</v>
      </c>
      <c r="B31" s="35" t="str">
        <f>IFERROR(__xludf.DUMMYFUNCTION("""COMPUTED_VALUE"""),"1-5")</f>
        <v>1-5</v>
      </c>
      <c r="C31" s="5" t="str">
        <f>IFERROR(__xludf.DUMMYFUNCTION("""COMPUTED_VALUE"""),"Blood Katana")</f>
        <v>Blood Katana</v>
      </c>
      <c r="D31" s="35" t="str">
        <f>IFERROR(__xludf.DUMMYFUNCTION("""COMPUTED_VALUE"""),"6-10")</f>
        <v>6-10</v>
      </c>
      <c r="E31" s="5" t="str">
        <f>IFERROR(__xludf.DUMMYFUNCTION("""COMPUTED_VALUE"""),"Soul")</f>
        <v>Soul</v>
      </c>
      <c r="F31" s="35" t="str">
        <f>IFERROR(__xludf.DUMMYFUNCTION("""COMPUTED_VALUE"""),"11-15")</f>
        <v>11-15</v>
      </c>
      <c r="G31" s="5" t="str">
        <f>IFERROR(__xludf.DUMMYFUNCTION("""COMPUTED_VALUE"""),"Egg")</f>
        <v>Egg</v>
      </c>
      <c r="H31" s="35" t="str">
        <f>IFERROR(__xludf.DUMMYFUNCTION("""COMPUTED_VALUE"""),"16-20")</f>
        <v>16-20</v>
      </c>
      <c r="I31" s="5" t="str">
        <f>IFERROR(__xludf.DUMMYFUNCTION("""COMPUTED_VALUE"""),"1,000G-20,000G")</f>
        <v>1,000G-20,000G</v>
      </c>
      <c r="J31" s="35" t="str">
        <f>IFERROR(__xludf.DUMMYFUNCTION("""COMPUTED_VALUE"""),"21-25")</f>
        <v>21-25</v>
      </c>
      <c r="K31" s="5" t="str">
        <f>IFERROR(__xludf.DUMMYFUNCTION("""COMPUTED_VALUE"""),"Nothing")</f>
        <v>Nothing</v>
      </c>
      <c r="L31" s="32"/>
      <c r="M31" s="32"/>
      <c r="N31" s="32"/>
      <c r="O31" s="32"/>
      <c r="P31" s="32"/>
      <c r="Q31" s="32"/>
      <c r="R31" s="32"/>
      <c r="S31" s="32"/>
      <c r="T31" s="32"/>
      <c r="U31" s="32"/>
      <c r="V31" s="32"/>
      <c r="W31" s="32"/>
      <c r="X31" s="32"/>
    </row>
    <row r="32">
      <c r="A32" s="5" t="str">
        <f>IFERROR(__xludf.DUMMYFUNCTION("""COMPUTED_VALUE"""),"Boar")</f>
        <v>Boar</v>
      </c>
      <c r="B32" s="35" t="str">
        <f>IFERROR(__xludf.DUMMYFUNCTION("""COMPUTED_VALUE"""),"1-5")</f>
        <v>1-5</v>
      </c>
      <c r="C32" s="5" t="str">
        <f>IFERROR(__xludf.DUMMYFUNCTION("""COMPUTED_VALUE"""),"Egg")</f>
        <v>Egg</v>
      </c>
      <c r="D32" s="35" t="str">
        <f>IFERROR(__xludf.DUMMYFUNCTION("""COMPUTED_VALUE"""),"6-10")</f>
        <v>6-10</v>
      </c>
      <c r="E32" s="5" t="str">
        <f>IFERROR(__xludf.DUMMYFUNCTION("""COMPUTED_VALUE"""),"Boar Hide")</f>
        <v>Boar Hide</v>
      </c>
      <c r="F32" s="35" t="str">
        <f>IFERROR(__xludf.DUMMYFUNCTION("""COMPUTED_VALUE"""),"11-15")</f>
        <v>11-15</v>
      </c>
      <c r="G32" s="5" t="str">
        <f>IFERROR(__xludf.DUMMYFUNCTION("""COMPUTED_VALUE"""),"1,000G-20,000G")</f>
        <v>1,000G-20,000G</v>
      </c>
      <c r="H32" s="35" t="str">
        <f>IFERROR(__xludf.DUMMYFUNCTION("""COMPUTED_VALUE"""),"16-20")</f>
        <v>16-20</v>
      </c>
      <c r="I32" s="5" t="str">
        <f>IFERROR(__xludf.DUMMYFUNCTION("""COMPUTED_VALUE"""),"Soul")</f>
        <v>Soul</v>
      </c>
      <c r="J32" s="35" t="str">
        <f>IFERROR(__xludf.DUMMYFUNCTION("""COMPUTED_VALUE"""),"21-25")</f>
        <v>21-25</v>
      </c>
      <c r="K32" s="5" t="str">
        <f>IFERROR(__xludf.DUMMYFUNCTION("""COMPUTED_VALUE"""),"Nothing")</f>
        <v>Nothing</v>
      </c>
      <c r="L32" s="32"/>
      <c r="M32" s="32"/>
      <c r="N32" s="32"/>
      <c r="O32" s="32"/>
      <c r="P32" s="32"/>
      <c r="Q32" s="32"/>
      <c r="R32" s="32"/>
      <c r="S32" s="32"/>
      <c r="T32" s="32"/>
      <c r="U32" s="32"/>
      <c r="V32" s="32"/>
      <c r="W32" s="32"/>
      <c r="X32" s="32"/>
    </row>
    <row r="33">
      <c r="A33" s="5" t="str">
        <f>IFERROR(__xludf.DUMMYFUNCTION("""COMPUTED_VALUE"""),"Bounty Hunter")</f>
        <v>Bounty Hunter</v>
      </c>
      <c r="B33" s="32"/>
      <c r="C33" s="5"/>
      <c r="D33" s="32"/>
      <c r="E33" s="5"/>
      <c r="F33" s="32"/>
      <c r="G33" s="5"/>
      <c r="H33" s="32"/>
      <c r="I33" s="5"/>
      <c r="J33" s="32"/>
      <c r="K33" s="5"/>
      <c r="L33" s="32"/>
      <c r="M33" s="32"/>
      <c r="N33" s="32"/>
      <c r="O33" s="32"/>
      <c r="P33" s="32"/>
      <c r="Q33" s="32"/>
      <c r="R33" s="32"/>
      <c r="S33" s="32"/>
      <c r="T33" s="32"/>
      <c r="U33" s="32"/>
      <c r="V33" s="32"/>
      <c r="W33" s="32"/>
      <c r="X33" s="32"/>
    </row>
    <row r="34">
      <c r="A34" s="5" t="str">
        <f>IFERROR(__xludf.DUMMYFUNCTION("""COMPUTED_VALUE"""),"Bull")</f>
        <v>Bull</v>
      </c>
      <c r="B34" s="35" t="str">
        <f>IFERROR(__xludf.DUMMYFUNCTION("""COMPUTED_VALUE"""),"1-5")</f>
        <v>1-5</v>
      </c>
      <c r="C34" s="5" t="str">
        <f>IFERROR(__xludf.DUMMYFUNCTION("""COMPUTED_VALUE"""),"Potion of Mana")</f>
        <v>Potion of Mana</v>
      </c>
      <c r="D34" s="35" t="str">
        <f>IFERROR(__xludf.DUMMYFUNCTION("""COMPUTED_VALUE"""),"6-10")</f>
        <v>6-10</v>
      </c>
      <c r="E34" s="5" t="str">
        <f>IFERROR(__xludf.DUMMYFUNCTION("""COMPUTED_VALUE"""),"Egg")</f>
        <v>Egg</v>
      </c>
      <c r="F34" s="35" t="str">
        <f>IFERROR(__xludf.DUMMYFUNCTION("""COMPUTED_VALUE"""),"11-15")</f>
        <v>11-15</v>
      </c>
      <c r="G34" s="5" t="str">
        <f>IFERROR(__xludf.DUMMYFUNCTION("""COMPUTED_VALUE"""),"1,000G-20,000G")</f>
        <v>1,000G-20,000G</v>
      </c>
      <c r="H34" s="35" t="str">
        <f>IFERROR(__xludf.DUMMYFUNCTION("""COMPUTED_VALUE"""),"16-20")</f>
        <v>16-20</v>
      </c>
      <c r="I34" s="5" t="str">
        <f>IFERROR(__xludf.DUMMYFUNCTION("""COMPUTED_VALUE"""),"Raw Meat")</f>
        <v>Raw Meat</v>
      </c>
      <c r="J34" s="35" t="str">
        <f>IFERROR(__xludf.DUMMYFUNCTION("""COMPUTED_VALUE"""),"21-25")</f>
        <v>21-25</v>
      </c>
      <c r="K34" s="5" t="str">
        <f>IFERROR(__xludf.DUMMYFUNCTION("""COMPUTED_VALUE"""),"Soul")</f>
        <v>Soul</v>
      </c>
      <c r="L34" s="32"/>
      <c r="M34" s="32"/>
      <c r="N34" s="32"/>
      <c r="O34" s="32"/>
      <c r="P34" s="32"/>
      <c r="Q34" s="32"/>
      <c r="R34" s="32"/>
      <c r="S34" s="32"/>
      <c r="T34" s="32"/>
      <c r="U34" s="32"/>
      <c r="V34" s="32"/>
      <c r="W34" s="32"/>
      <c r="X34" s="32"/>
    </row>
    <row r="35">
      <c r="A35" s="5" t="str">
        <f>IFERROR(__xludf.DUMMYFUNCTION("""COMPUTED_VALUE"""),"Celestial Dragon")</f>
        <v>Celestial Dragon</v>
      </c>
      <c r="B35" s="35" t="str">
        <f>IFERROR(__xludf.DUMMYFUNCTION("""COMPUTED_VALUE"""),"1-5")</f>
        <v>1-5</v>
      </c>
      <c r="C35" s="5" t="str">
        <f>IFERROR(__xludf.DUMMYFUNCTION("""COMPUTED_VALUE"""),"Soul")</f>
        <v>Soul</v>
      </c>
      <c r="D35" s="35" t="str">
        <f>IFERROR(__xludf.DUMMYFUNCTION("""COMPUTED_VALUE"""),"6-10")</f>
        <v>6-10</v>
      </c>
      <c r="E35" s="5" t="str">
        <f>IFERROR(__xludf.DUMMYFUNCTION("""COMPUTED_VALUE"""),"500,000G-1,000,000G")</f>
        <v>500,000G-1,000,000G</v>
      </c>
      <c r="F35" s="35" t="str">
        <f>IFERROR(__xludf.DUMMYFUNCTION("""COMPUTED_VALUE"""),"11-15")</f>
        <v>11-15</v>
      </c>
      <c r="G35" s="5" t="str">
        <f>IFERROR(__xludf.DUMMYFUNCTION("""COMPUTED_VALUE"""),"Nothing")</f>
        <v>Nothing</v>
      </c>
      <c r="H35" s="35" t="str">
        <f>IFERROR(__xludf.DUMMYFUNCTION("""COMPUTED_VALUE"""),"16-20")</f>
        <v>16-20</v>
      </c>
      <c r="I35" s="5" t="str">
        <f>IFERROR(__xludf.DUMMYFUNCTION("""COMPUTED_VALUE"""),"Nothing")</f>
        <v>Nothing</v>
      </c>
      <c r="J35" s="35" t="str">
        <f>IFERROR(__xludf.DUMMYFUNCTION("""COMPUTED_VALUE"""),"21-25")</f>
        <v>21-25</v>
      </c>
      <c r="K35" s="5" t="str">
        <f>IFERROR(__xludf.DUMMYFUNCTION("""COMPUTED_VALUE"""),"Egg")</f>
        <v>Egg</v>
      </c>
      <c r="L35" s="32"/>
      <c r="M35" s="32"/>
      <c r="N35" s="32"/>
      <c r="O35" s="32"/>
      <c r="P35" s="32"/>
      <c r="Q35" s="32"/>
      <c r="R35" s="32"/>
      <c r="S35" s="32"/>
      <c r="T35" s="32"/>
      <c r="U35" s="32"/>
      <c r="V35" s="32"/>
      <c r="W35" s="32"/>
      <c r="X35" s="32"/>
    </row>
    <row r="36">
      <c r="A36" s="5" t="str">
        <f>IFERROR(__xludf.DUMMYFUNCTION("""COMPUTED_VALUE"""),"Chaos Dragon")</f>
        <v>Chaos Dragon</v>
      </c>
      <c r="B36" s="35" t="str">
        <f>IFERROR(__xludf.DUMMYFUNCTION("""COMPUTED_VALUE"""),"1-5")</f>
        <v>1-5</v>
      </c>
      <c r="C36" s="5" t="str">
        <f>IFERROR(__xludf.DUMMYFUNCTION("""COMPUTED_VALUE"""),"Egg")</f>
        <v>Egg</v>
      </c>
      <c r="D36" s="35" t="str">
        <f>IFERROR(__xludf.DUMMYFUNCTION("""COMPUTED_VALUE"""),"6-10")</f>
        <v>6-10</v>
      </c>
      <c r="E36" s="5" t="str">
        <f>IFERROR(__xludf.DUMMYFUNCTION("""COMPUTED_VALUE"""),"Chaos Sword")</f>
        <v>Chaos Sword</v>
      </c>
      <c r="F36" s="35" t="str">
        <f>IFERROR(__xludf.DUMMYFUNCTION("""COMPUTED_VALUE"""),"11-15")</f>
        <v>11-15</v>
      </c>
      <c r="G36" s="5" t="str">
        <f>IFERROR(__xludf.DUMMYFUNCTION("""COMPUTED_VALUE"""),"Soul")</f>
        <v>Soul</v>
      </c>
      <c r="H36" s="35" t="str">
        <f>IFERROR(__xludf.DUMMYFUNCTION("""COMPUTED_VALUE"""),"16-20")</f>
        <v>16-20</v>
      </c>
      <c r="I36" s="5" t="str">
        <f>IFERROR(__xludf.DUMMYFUNCTION("""COMPUTED_VALUE"""),"Nothing")</f>
        <v>Nothing</v>
      </c>
      <c r="J36" s="35" t="str">
        <f>IFERROR(__xludf.DUMMYFUNCTION("""COMPUTED_VALUE"""),"21-25")</f>
        <v>21-25</v>
      </c>
      <c r="K36" s="5" t="str">
        <f>IFERROR(__xludf.DUMMYFUNCTION("""COMPUTED_VALUE"""),"500,000G-1,000,000G")</f>
        <v>500,000G-1,000,000G</v>
      </c>
      <c r="L36" s="32"/>
      <c r="M36" s="32"/>
      <c r="N36" s="32"/>
      <c r="O36" s="32"/>
      <c r="P36" s="32"/>
      <c r="Q36" s="32"/>
      <c r="R36" s="32"/>
      <c r="S36" s="32"/>
      <c r="T36" s="32"/>
      <c r="U36" s="32"/>
      <c r="V36" s="32"/>
      <c r="W36" s="32"/>
      <c r="X36" s="32"/>
    </row>
    <row r="37">
      <c r="A37" s="5" t="str">
        <f>IFERROR(__xludf.DUMMYFUNCTION("""COMPUTED_VALUE"""),"Chaotic Shadow Gnome")</f>
        <v>Chaotic Shadow Gnome</v>
      </c>
      <c r="B37" s="35" t="str">
        <f>IFERROR(__xludf.DUMMYFUNCTION("""COMPUTED_VALUE"""),"1-5")</f>
        <v>1-5</v>
      </c>
      <c r="C37" s="5" t="str">
        <f>IFERROR(__xludf.DUMMYFUNCTION("""COMPUTED_VALUE"""),"500,000G-1,000,000G")</f>
        <v>500,000G-1,000,000G</v>
      </c>
      <c r="D37" s="35" t="str">
        <f>IFERROR(__xludf.DUMMYFUNCTION("""COMPUTED_VALUE"""),"6-10")</f>
        <v>6-10</v>
      </c>
      <c r="E37" s="5" t="str">
        <f>IFERROR(__xludf.DUMMYFUNCTION("""COMPUTED_VALUE"""),"Soul")</f>
        <v>Soul</v>
      </c>
      <c r="F37" s="35" t="str">
        <f>IFERROR(__xludf.DUMMYFUNCTION("""COMPUTED_VALUE"""),"11-15")</f>
        <v>11-15</v>
      </c>
      <c r="G37" s="5" t="str">
        <f>IFERROR(__xludf.DUMMYFUNCTION("""COMPUTED_VALUE"""),"Shadow Flute")</f>
        <v>Shadow Flute</v>
      </c>
      <c r="H37" s="35" t="str">
        <f>IFERROR(__xludf.DUMMYFUNCTION("""COMPUTED_VALUE"""),"16-20")</f>
        <v>16-20</v>
      </c>
      <c r="I37" s="5" t="str">
        <f>IFERROR(__xludf.DUMMYFUNCTION("""COMPUTED_VALUE"""),"Egg")</f>
        <v>Egg</v>
      </c>
      <c r="J37" s="35" t="str">
        <f>IFERROR(__xludf.DUMMYFUNCTION("""COMPUTED_VALUE"""),"21-25")</f>
        <v>21-25</v>
      </c>
      <c r="K37" s="5" t="str">
        <f>IFERROR(__xludf.DUMMYFUNCTION("""COMPUTED_VALUE"""),"Chaotic Shadow Life Orb")</f>
        <v>Chaotic Shadow Life Orb</v>
      </c>
      <c r="L37" s="32"/>
      <c r="M37" s="32"/>
      <c r="N37" s="32"/>
      <c r="O37" s="32"/>
      <c r="P37" s="32"/>
      <c r="Q37" s="32"/>
      <c r="R37" s="32"/>
      <c r="S37" s="32"/>
      <c r="T37" s="32"/>
      <c r="U37" s="32"/>
      <c r="V37" s="32"/>
      <c r="W37" s="32"/>
      <c r="X37" s="32"/>
    </row>
    <row r="38">
      <c r="A38" s="5" t="str">
        <f>IFERROR(__xludf.DUMMYFUNCTION("""COMPUTED_VALUE"""),"Chaotic Shadow Golem")</f>
        <v>Chaotic Shadow Golem</v>
      </c>
      <c r="B38" s="35" t="str">
        <f>IFERROR(__xludf.DUMMYFUNCTION("""COMPUTED_VALUE"""),"1-5")</f>
        <v>1-5</v>
      </c>
      <c r="C38" s="5" t="str">
        <f>IFERROR(__xludf.DUMMYFUNCTION("""COMPUTED_VALUE"""),"500,000G-1,000,000G")</f>
        <v>500,000G-1,000,000G</v>
      </c>
      <c r="D38" s="35" t="str">
        <f>IFERROR(__xludf.DUMMYFUNCTION("""COMPUTED_VALUE"""),"6-10")</f>
        <v>6-10</v>
      </c>
      <c r="E38" s="5" t="str">
        <f>IFERROR(__xludf.DUMMYFUNCTION("""COMPUTED_VALUE"""),"Nothing")</f>
        <v>Nothing</v>
      </c>
      <c r="F38" s="35" t="str">
        <f>IFERROR(__xludf.DUMMYFUNCTION("""COMPUTED_VALUE"""),"11-15")</f>
        <v>11-15</v>
      </c>
      <c r="G38" s="5" t="str">
        <f>IFERROR(__xludf.DUMMYFUNCTION("""COMPUTED_VALUE"""),"Chaotic Shadow Life Orb")</f>
        <v>Chaotic Shadow Life Orb</v>
      </c>
      <c r="H38" s="35" t="str">
        <f>IFERROR(__xludf.DUMMYFUNCTION("""COMPUTED_VALUE"""),"16-20")</f>
        <v>16-20</v>
      </c>
      <c r="I38" s="5" t="str">
        <f>IFERROR(__xludf.DUMMYFUNCTION("""COMPUTED_VALUE"""),"Hammer of Chaotic Shadows")</f>
        <v>Hammer of Chaotic Shadows</v>
      </c>
      <c r="J38" s="35" t="str">
        <f>IFERROR(__xludf.DUMMYFUNCTION("""COMPUTED_VALUE"""),"21-25")</f>
        <v>21-25</v>
      </c>
      <c r="K38" s="5" t="str">
        <f>IFERROR(__xludf.DUMMYFUNCTION("""COMPUTED_VALUE"""),"Nothing")</f>
        <v>Nothing</v>
      </c>
      <c r="L38" s="32"/>
      <c r="M38" s="32"/>
      <c r="N38" s="32"/>
      <c r="O38" s="32"/>
      <c r="P38" s="32"/>
      <c r="Q38" s="32"/>
      <c r="R38" s="32"/>
      <c r="S38" s="32"/>
      <c r="T38" s="32"/>
      <c r="U38" s="32"/>
      <c r="V38" s="32"/>
      <c r="W38" s="32"/>
      <c r="X38" s="32"/>
    </row>
    <row r="39">
      <c r="A39" s="5" t="str">
        <f>IFERROR(__xludf.DUMMYFUNCTION("""COMPUTED_VALUE"""),"Chaotic Shadow Phantom")</f>
        <v>Chaotic Shadow Phantom</v>
      </c>
      <c r="B39" s="35" t="str">
        <f>IFERROR(__xludf.DUMMYFUNCTION("""COMPUTED_VALUE"""),"1-5")</f>
        <v>1-5</v>
      </c>
      <c r="C39" s="5" t="str">
        <f>IFERROR(__xludf.DUMMYFUNCTION("""COMPUTED_VALUE"""),"Nothing")</f>
        <v>Nothing</v>
      </c>
      <c r="D39" s="35" t="str">
        <f>IFERROR(__xludf.DUMMYFUNCTION("""COMPUTED_VALUE"""),"6-10")</f>
        <v>6-10</v>
      </c>
      <c r="E39" s="5" t="str">
        <f>IFERROR(__xludf.DUMMYFUNCTION("""COMPUTED_VALUE"""),"Egg")</f>
        <v>Egg</v>
      </c>
      <c r="F39" s="35" t="str">
        <f>IFERROR(__xludf.DUMMYFUNCTION("""COMPUTED_VALUE"""),"11-15")</f>
        <v>11-15</v>
      </c>
      <c r="G39" s="5" t="str">
        <f>IFERROR(__xludf.DUMMYFUNCTION("""COMPUTED_VALUE"""),"Nothing")</f>
        <v>Nothing</v>
      </c>
      <c r="H39" s="35" t="str">
        <f>IFERROR(__xludf.DUMMYFUNCTION("""COMPUTED_VALUE"""),"16-20")</f>
        <v>16-20</v>
      </c>
      <c r="I39" s="5" t="str">
        <f>IFERROR(__xludf.DUMMYFUNCTION("""COMPUTED_VALUE"""),"Soul")</f>
        <v>Soul</v>
      </c>
      <c r="J39" s="35" t="str">
        <f>IFERROR(__xludf.DUMMYFUNCTION("""COMPUTED_VALUE"""),"21-25")</f>
        <v>21-25</v>
      </c>
      <c r="K39" s="5" t="str">
        <f>IFERROR(__xludf.DUMMYFUNCTION("""COMPUTED_VALUE"""),"Nothing")</f>
        <v>Nothing</v>
      </c>
      <c r="L39" s="32"/>
      <c r="M39" s="32"/>
      <c r="N39" s="32"/>
      <c r="O39" s="32"/>
      <c r="P39" s="32"/>
      <c r="Q39" s="32"/>
      <c r="R39" s="32"/>
      <c r="S39" s="32"/>
      <c r="T39" s="32"/>
      <c r="U39" s="32"/>
      <c r="V39" s="32"/>
      <c r="W39" s="32"/>
      <c r="X39" s="32"/>
    </row>
    <row r="40">
      <c r="A40" s="5" t="str">
        <f>IFERROR(__xludf.DUMMYFUNCTION("""COMPUTED_VALUE"""),"Chaotic Shadow Royal Knight")</f>
        <v>Chaotic Shadow Royal Knight</v>
      </c>
      <c r="B40" s="35" t="str">
        <f>IFERROR(__xludf.DUMMYFUNCTION("""COMPUTED_VALUE"""),"1-5")</f>
        <v>1-5</v>
      </c>
      <c r="C40" s="5" t="str">
        <f>IFERROR(__xludf.DUMMYFUNCTION("""COMPUTED_VALUE"""),"500,000G-1,000,000G")</f>
        <v>500,000G-1,000,000G</v>
      </c>
      <c r="D40" s="35" t="str">
        <f>IFERROR(__xludf.DUMMYFUNCTION("""COMPUTED_VALUE"""),"6-10")</f>
        <v>6-10</v>
      </c>
      <c r="E40" s="5" t="str">
        <f>IFERROR(__xludf.DUMMYFUNCTION("""COMPUTED_VALUE"""),"Soul")</f>
        <v>Soul</v>
      </c>
      <c r="F40" s="35" t="str">
        <f>IFERROR(__xludf.DUMMYFUNCTION("""COMPUTED_VALUE"""),"11-15")</f>
        <v>11-15</v>
      </c>
      <c r="G40" s="5" t="str">
        <f>IFERROR(__xludf.DUMMYFUNCTION("""COMPUTED_VALUE"""),"Egg")</f>
        <v>Egg</v>
      </c>
      <c r="H40" s="35" t="str">
        <f>IFERROR(__xludf.DUMMYFUNCTION("""COMPUTED_VALUE"""),"16-20")</f>
        <v>16-20</v>
      </c>
      <c r="I40" s="5" t="str">
        <f>IFERROR(__xludf.DUMMYFUNCTION("""COMPUTED_VALUE"""),"Staff of Chaotic Shadows")</f>
        <v>Staff of Chaotic Shadows</v>
      </c>
      <c r="J40" s="35" t="str">
        <f>IFERROR(__xludf.DUMMYFUNCTION("""COMPUTED_VALUE"""),"21-25")</f>
        <v>21-25</v>
      </c>
      <c r="K40" s="5" t="str">
        <f>IFERROR(__xludf.DUMMYFUNCTION("""COMPUTED_VALUE"""),"Chaotic Shadow Life Orb")</f>
        <v>Chaotic Shadow Life Orb</v>
      </c>
      <c r="L40" s="32"/>
      <c r="M40" s="32"/>
      <c r="N40" s="32"/>
      <c r="O40" s="32"/>
      <c r="P40" s="32"/>
      <c r="Q40" s="32"/>
      <c r="R40" s="32"/>
      <c r="S40" s="32"/>
      <c r="T40" s="32"/>
      <c r="U40" s="32"/>
      <c r="V40" s="32"/>
      <c r="W40" s="32"/>
      <c r="X40" s="32"/>
    </row>
    <row r="41">
      <c r="A41" s="5" t="str">
        <f>IFERROR(__xludf.DUMMYFUNCTION("""COMPUTED_VALUE"""),"colossus suit of armor")</f>
        <v>colossus suit of armor</v>
      </c>
      <c r="B41" s="35" t="str">
        <f>IFERROR(__xludf.DUMMYFUNCTION("""COMPUTED_VALUE"""),"1-5")</f>
        <v>1-5</v>
      </c>
      <c r="C41" s="5" t="str">
        <f>IFERROR(__xludf.DUMMYFUNCTION("""COMPUTED_VALUE"""),"Chain Link Armor")</f>
        <v>Chain Link Armor</v>
      </c>
      <c r="D41" s="35" t="str">
        <f>IFERROR(__xludf.DUMMYFUNCTION("""COMPUTED_VALUE"""),"6-10")</f>
        <v>6-10</v>
      </c>
      <c r="E41" s="5" t="str">
        <f>IFERROR(__xludf.DUMMYFUNCTION("""COMPUTED_VALUE"""),"Nothing")</f>
        <v>Nothing</v>
      </c>
      <c r="F41" s="35" t="str">
        <f>IFERROR(__xludf.DUMMYFUNCTION("""COMPUTED_VALUE"""),"11-15")</f>
        <v>11-15</v>
      </c>
      <c r="G41" s="5" t="str">
        <f>IFERROR(__xludf.DUMMYFUNCTION("""COMPUTED_VALUE"""),"500,000G-1,000,000G")</f>
        <v>500,000G-1,000,000G</v>
      </c>
      <c r="H41" s="35" t="str">
        <f>IFERROR(__xludf.DUMMYFUNCTION("""COMPUTED_VALUE"""),"16-20")</f>
        <v>16-20</v>
      </c>
      <c r="I41" s="5" t="str">
        <f>IFERROR(__xludf.DUMMYFUNCTION("""COMPUTED_VALUE"""),"Nothing")</f>
        <v>Nothing</v>
      </c>
      <c r="J41" s="35" t="str">
        <f>IFERROR(__xludf.DUMMYFUNCTION("""COMPUTED_VALUE"""),"21-25")</f>
        <v>21-25</v>
      </c>
      <c r="K41" s="5" t="str">
        <f>IFERROR(__xludf.DUMMYFUNCTION("""COMPUTED_VALUE"""),"Nothing")</f>
        <v>Nothing</v>
      </c>
      <c r="L41" s="32"/>
      <c r="M41" s="32"/>
      <c r="N41" s="32"/>
      <c r="O41" s="32"/>
      <c r="P41" s="32"/>
      <c r="Q41" s="32"/>
      <c r="R41" s="32"/>
      <c r="S41" s="32"/>
      <c r="T41" s="32"/>
      <c r="U41" s="32"/>
      <c r="V41" s="32"/>
      <c r="W41" s="32"/>
      <c r="X41" s="32"/>
    </row>
    <row r="42">
      <c r="A42" s="5" t="str">
        <f>IFERROR(__xludf.DUMMYFUNCTION("""COMPUTED_VALUE"""),"Corrupted Twilight Knight")</f>
        <v>Corrupted Twilight Knight</v>
      </c>
      <c r="B42" s="35" t="str">
        <f>IFERROR(__xludf.DUMMYFUNCTION("""COMPUTED_VALUE"""),"1-5")</f>
        <v>1-5</v>
      </c>
      <c r="C42" s="5" t="str">
        <f>IFERROR(__xludf.DUMMYFUNCTION("""COMPUTED_VALUE"""),"Twilight Bow")</f>
        <v>Twilight Bow</v>
      </c>
      <c r="D42" s="35" t="str">
        <f>IFERROR(__xludf.DUMMYFUNCTION("""COMPUTED_VALUE"""),"6-10")</f>
        <v>6-10</v>
      </c>
      <c r="E42" s="5" t="str">
        <f>IFERROR(__xludf.DUMMYFUNCTION("""COMPUTED_VALUE"""),"Twilight Sword")</f>
        <v>Twilight Sword</v>
      </c>
      <c r="F42" s="35" t="str">
        <f>IFERROR(__xludf.DUMMYFUNCTION("""COMPUTED_VALUE"""),"11-15")</f>
        <v>11-15</v>
      </c>
      <c r="G42" s="5" t="str">
        <f>IFERROR(__xludf.DUMMYFUNCTION("""COMPUTED_VALUE"""),"Egg")</f>
        <v>Egg</v>
      </c>
      <c r="H42" s="35" t="str">
        <f>IFERROR(__xludf.DUMMYFUNCTION("""COMPUTED_VALUE"""),"16-20")</f>
        <v>16-20</v>
      </c>
      <c r="I42" s="5" t="str">
        <f>IFERROR(__xludf.DUMMYFUNCTION("""COMPUTED_VALUE"""),"Soul")</f>
        <v>Soul</v>
      </c>
      <c r="J42" s="35" t="str">
        <f>IFERROR(__xludf.DUMMYFUNCTION("""COMPUTED_VALUE"""),"21-25")</f>
        <v>21-25</v>
      </c>
      <c r="K42" s="5" t="str">
        <f>IFERROR(__xludf.DUMMYFUNCTION("""COMPUTED_VALUE"""),"Rank 9 Twilight Tome")</f>
        <v>Rank 9 Twilight Tome</v>
      </c>
      <c r="L42" s="32"/>
      <c r="M42" s="32"/>
      <c r="N42" s="32"/>
      <c r="O42" s="32"/>
      <c r="P42" s="32"/>
      <c r="Q42" s="32"/>
      <c r="R42" s="32"/>
      <c r="S42" s="32"/>
      <c r="T42" s="32"/>
      <c r="U42" s="32"/>
      <c r="V42" s="32"/>
      <c r="W42" s="32"/>
      <c r="X42" s="32"/>
    </row>
    <row r="43">
      <c r="A43" s="5" t="str">
        <f>IFERROR(__xludf.DUMMYFUNCTION("""COMPUTED_VALUE"""),"Cremagetion")</f>
        <v>Cremagetion</v>
      </c>
      <c r="B43" s="35" t="str">
        <f>IFERROR(__xludf.DUMMYFUNCTION("""COMPUTED_VALUE"""),"1-5")</f>
        <v>1-5</v>
      </c>
      <c r="C43" s="5" t="str">
        <f>IFERROR(__xludf.DUMMYFUNCTION("""COMPUTED_VALUE"""),"Dreading Wand Of Fire")</f>
        <v>Dreading Wand Of Fire</v>
      </c>
      <c r="D43" s="35" t="str">
        <f>IFERROR(__xludf.DUMMYFUNCTION("""COMPUTED_VALUE"""),"6-10")</f>
        <v>6-10</v>
      </c>
      <c r="E43" s="5" t="str">
        <f>IFERROR(__xludf.DUMMYFUNCTION("""COMPUTED_VALUE"""),"Fire Arrow")</f>
        <v>Fire Arrow</v>
      </c>
      <c r="F43" s="35" t="str">
        <f>IFERROR(__xludf.DUMMYFUNCTION("""COMPUTED_VALUE"""),"11-15")</f>
        <v>11-15</v>
      </c>
      <c r="G43" s="5" t="str">
        <f>IFERROR(__xludf.DUMMYFUNCTION("""COMPUTED_VALUE"""),"Fire Gem")</f>
        <v>Fire Gem</v>
      </c>
      <c r="H43" s="35" t="str">
        <f>IFERROR(__xludf.DUMMYFUNCTION("""COMPUTED_VALUE"""),"16-20")</f>
        <v>16-20</v>
      </c>
      <c r="I43" s="5" t="str">
        <f>IFERROR(__xludf.DUMMYFUNCTION("""COMPUTED_VALUE"""),"Soul")</f>
        <v>Soul</v>
      </c>
      <c r="J43" s="35" t="str">
        <f>IFERROR(__xludf.DUMMYFUNCTION("""COMPUTED_VALUE"""),"21-25")</f>
        <v>21-25</v>
      </c>
      <c r="K43" s="5" t="str">
        <f>IFERROR(__xludf.DUMMYFUNCTION("""COMPUTED_VALUE"""),"Nothing")</f>
        <v>Nothing</v>
      </c>
      <c r="L43" s="32"/>
      <c r="M43" s="32"/>
      <c r="N43" s="32"/>
      <c r="O43" s="32"/>
      <c r="P43" s="32"/>
      <c r="Q43" s="32"/>
      <c r="R43" s="32"/>
      <c r="S43" s="32"/>
      <c r="T43" s="32"/>
      <c r="U43" s="32"/>
      <c r="V43" s="32"/>
      <c r="W43" s="32"/>
      <c r="X43" s="32"/>
    </row>
    <row r="44">
      <c r="A44" s="5" t="str">
        <f>IFERROR(__xludf.DUMMYFUNCTION("""COMPUTED_VALUE"""),"Crow")</f>
        <v>Crow</v>
      </c>
      <c r="B44" s="35" t="str">
        <f>IFERROR(__xludf.DUMMYFUNCTION("""COMPUTED_VALUE"""),"1-5")</f>
        <v>1-5</v>
      </c>
      <c r="C44" s="5" t="str">
        <f>IFERROR(__xludf.DUMMYFUNCTION("""COMPUTED_VALUE"""),"Soul")</f>
        <v>Soul</v>
      </c>
      <c r="D44" s="35" t="str">
        <f>IFERROR(__xludf.DUMMYFUNCTION("""COMPUTED_VALUE"""),"6-10")</f>
        <v>6-10</v>
      </c>
      <c r="E44" s="5" t="str">
        <f>IFERROR(__xludf.DUMMYFUNCTION("""COMPUTED_VALUE"""),"Egg")</f>
        <v>Egg</v>
      </c>
      <c r="F44" s="35" t="str">
        <f>IFERROR(__xludf.DUMMYFUNCTION("""COMPUTED_VALUE"""),"11-15")</f>
        <v>11-15</v>
      </c>
      <c r="G44" s="5" t="str">
        <f>IFERROR(__xludf.DUMMYFUNCTION("""COMPUTED_VALUE"""),"Feather")</f>
        <v>Feather</v>
      </c>
      <c r="H44" s="35" t="str">
        <f>IFERROR(__xludf.DUMMYFUNCTION("""COMPUTED_VALUE"""),"16-20")</f>
        <v>16-20</v>
      </c>
      <c r="I44" s="5" t="str">
        <f>IFERROR(__xludf.DUMMYFUNCTION("""COMPUTED_VALUE"""),"Nothing")</f>
        <v>Nothing</v>
      </c>
      <c r="J44" s="35" t="str">
        <f>IFERROR(__xludf.DUMMYFUNCTION("""COMPUTED_VALUE"""),"21-25")</f>
        <v>21-25</v>
      </c>
      <c r="K44" s="5" t="str">
        <f>IFERROR(__xludf.DUMMYFUNCTION("""COMPUTED_VALUE"""),"Crow Staff")</f>
        <v>Crow Staff</v>
      </c>
      <c r="L44" s="32"/>
      <c r="M44" s="32"/>
      <c r="N44" s="32"/>
      <c r="O44" s="32"/>
      <c r="P44" s="32"/>
      <c r="Q44" s="32"/>
      <c r="R44" s="32"/>
      <c r="S44" s="32"/>
      <c r="T44" s="32"/>
      <c r="U44" s="32"/>
      <c r="V44" s="32"/>
      <c r="W44" s="32"/>
      <c r="X44" s="32"/>
    </row>
    <row r="45">
      <c r="A45" s="5" t="str">
        <f>IFERROR(__xludf.DUMMYFUNCTION("""COMPUTED_VALUE"""),"Crystal Colossus")</f>
        <v>Crystal Colossus</v>
      </c>
      <c r="B45" s="35" t="str">
        <f>IFERROR(__xludf.DUMMYFUNCTION("""COMPUTED_VALUE"""),"1-5")</f>
        <v>1-5</v>
      </c>
      <c r="C45" s="5" t="str">
        <f>IFERROR(__xludf.DUMMYFUNCTION("""COMPUTED_VALUE"""),"Crystal Longsword")</f>
        <v>Crystal Longsword</v>
      </c>
      <c r="D45" s="35" t="str">
        <f>IFERROR(__xludf.DUMMYFUNCTION("""COMPUTED_VALUE"""),"6-10")</f>
        <v>6-10</v>
      </c>
      <c r="E45" s="5" t="str">
        <f>IFERROR(__xludf.DUMMYFUNCTION("""COMPUTED_VALUE"""),"Crystal Apple")</f>
        <v>Crystal Apple</v>
      </c>
      <c r="F45" s="35" t="str">
        <f>IFERROR(__xludf.DUMMYFUNCTION("""COMPUTED_VALUE"""),"11-15")</f>
        <v>11-15</v>
      </c>
      <c r="G45" s="5" t="str">
        <f>IFERROR(__xludf.DUMMYFUNCTION("""COMPUTED_VALUE"""),"Soul")</f>
        <v>Soul</v>
      </c>
      <c r="H45" s="35" t="str">
        <f>IFERROR(__xludf.DUMMYFUNCTION("""COMPUTED_VALUE"""),"16-20")</f>
        <v>16-20</v>
      </c>
      <c r="I45" s="5" t="str">
        <f>IFERROR(__xludf.DUMMYFUNCTION("""COMPUTED_VALUE"""),"Elemental Crystal")</f>
        <v>Elemental Crystal</v>
      </c>
      <c r="J45" s="35" t="str">
        <f>IFERROR(__xludf.DUMMYFUNCTION("""COMPUTED_VALUE"""),"21-25")</f>
        <v>21-25</v>
      </c>
      <c r="K45" s="5" t="str">
        <f>IFERROR(__xludf.DUMMYFUNCTION("""COMPUTED_VALUE"""),"Black Crystal Necklace of Luck")</f>
        <v>Black Crystal Necklace of Luck</v>
      </c>
      <c r="L45" s="32"/>
      <c r="M45" s="32"/>
      <c r="N45" s="32"/>
      <c r="O45" s="32"/>
      <c r="P45" s="32"/>
      <c r="Q45" s="32"/>
      <c r="R45" s="32"/>
      <c r="S45" s="32"/>
      <c r="T45" s="32"/>
      <c r="U45" s="32"/>
      <c r="V45" s="32"/>
      <c r="W45" s="32"/>
      <c r="X45" s="32"/>
    </row>
    <row r="46">
      <c r="A46" s="5" t="str">
        <f>IFERROR(__xludf.DUMMYFUNCTION("""COMPUTED_VALUE"""),"Crystal Dragon")</f>
        <v>Crystal Dragon</v>
      </c>
      <c r="B46" s="35" t="str">
        <f>IFERROR(__xludf.DUMMYFUNCTION("""COMPUTED_VALUE"""),"1-5")</f>
        <v>1-5</v>
      </c>
      <c r="C46" s="5" t="str">
        <f>IFERROR(__xludf.DUMMYFUNCTION("""COMPUTED_VALUE"""),"Soul")</f>
        <v>Soul</v>
      </c>
      <c r="D46" s="35" t="str">
        <f>IFERROR(__xludf.DUMMYFUNCTION("""COMPUTED_VALUE"""),"6-10")</f>
        <v>6-10</v>
      </c>
      <c r="E46" s="5" t="str">
        <f>IFERROR(__xludf.DUMMYFUNCTION("""COMPUTED_VALUE"""),"Black Crystal Necklace of Luck")</f>
        <v>Black Crystal Necklace of Luck</v>
      </c>
      <c r="F46" s="35" t="str">
        <f>IFERROR(__xludf.DUMMYFUNCTION("""COMPUTED_VALUE"""),"11-15")</f>
        <v>11-15</v>
      </c>
      <c r="G46" s="5" t="str">
        <f>IFERROR(__xludf.DUMMYFUNCTION("""COMPUTED_VALUE"""),"20,000,000G-40,000,000G")</f>
        <v>20,000,000G-40,000,000G</v>
      </c>
      <c r="H46" s="35" t="str">
        <f>IFERROR(__xludf.DUMMYFUNCTION("""COMPUTED_VALUE"""),"16-20")</f>
        <v>16-20</v>
      </c>
      <c r="I46" s="5" t="str">
        <f>IFERROR(__xludf.DUMMYFUNCTION("""COMPUTED_VALUE"""),"Crystal")</f>
        <v>Crystal</v>
      </c>
      <c r="J46" s="35" t="str">
        <f>IFERROR(__xludf.DUMMYFUNCTION("""COMPUTED_VALUE"""),"21-25")</f>
        <v>21-25</v>
      </c>
      <c r="K46" s="5" t="str">
        <f>IFERROR(__xludf.DUMMYFUNCTION("""COMPUTED_VALUE"""),"Egg")</f>
        <v>Egg</v>
      </c>
      <c r="L46" s="32"/>
      <c r="M46" s="32"/>
      <c r="N46" s="32"/>
      <c r="O46" s="32"/>
      <c r="P46" s="32"/>
      <c r="Q46" s="32"/>
      <c r="R46" s="32"/>
      <c r="S46" s="32"/>
      <c r="T46" s="32"/>
      <c r="U46" s="32"/>
      <c r="V46" s="32"/>
      <c r="W46" s="32"/>
      <c r="X46" s="32"/>
    </row>
    <row r="47">
      <c r="A47" s="5" t="str">
        <f>IFERROR(__xludf.DUMMYFUNCTION("""COMPUTED_VALUE"""),"Crystal Guardian")</f>
        <v>Crystal Guardian</v>
      </c>
      <c r="B47" s="35" t="str">
        <f>IFERROR(__xludf.DUMMYFUNCTION("""COMPUTED_VALUE"""),"1-5")</f>
        <v>1-5</v>
      </c>
      <c r="C47" s="5" t="str">
        <f>IFERROR(__xludf.DUMMYFUNCTION("""COMPUTED_VALUE"""),"Crystal Apple")</f>
        <v>Crystal Apple</v>
      </c>
      <c r="D47" s="35" t="str">
        <f>IFERROR(__xludf.DUMMYFUNCTION("""COMPUTED_VALUE"""),"6-10")</f>
        <v>6-10</v>
      </c>
      <c r="E47" s="5" t="str">
        <f>IFERROR(__xludf.DUMMYFUNCTION("""COMPUTED_VALUE"""),"Elemental Crystal")</f>
        <v>Elemental Crystal</v>
      </c>
      <c r="F47" s="35" t="str">
        <f>IFERROR(__xludf.DUMMYFUNCTION("""COMPUTED_VALUE"""),"11-15")</f>
        <v>11-15</v>
      </c>
      <c r="G47" s="5" t="str">
        <f>IFERROR(__xludf.DUMMYFUNCTION("""COMPUTED_VALUE"""),"Nothing")</f>
        <v>Nothing</v>
      </c>
      <c r="H47" s="35" t="str">
        <f>IFERROR(__xludf.DUMMYFUNCTION("""COMPUTED_VALUE"""),"16-20")</f>
        <v>16-20</v>
      </c>
      <c r="I47" s="5" t="str">
        <f>IFERROR(__xludf.DUMMYFUNCTION("""COMPUTED_VALUE"""),"Crystal Forged Axe")</f>
        <v>Crystal Forged Axe</v>
      </c>
      <c r="J47" s="35" t="str">
        <f>IFERROR(__xludf.DUMMYFUNCTION("""COMPUTED_VALUE"""),"21-25")</f>
        <v>21-25</v>
      </c>
      <c r="K47" s="5" t="str">
        <f>IFERROR(__xludf.DUMMYFUNCTION("""COMPUTED_VALUE"""),"Crystal Ring")</f>
        <v>Crystal Ring</v>
      </c>
      <c r="L47" s="32"/>
      <c r="M47" s="32"/>
      <c r="N47" s="32"/>
      <c r="O47" s="32"/>
      <c r="P47" s="32"/>
      <c r="Q47" s="32"/>
      <c r="R47" s="32"/>
      <c r="S47" s="32"/>
      <c r="T47" s="32"/>
      <c r="U47" s="32"/>
      <c r="V47" s="32"/>
      <c r="W47" s="32"/>
      <c r="X47" s="32"/>
    </row>
    <row r="48">
      <c r="A48" s="5" t="str">
        <f>IFERROR(__xludf.DUMMYFUNCTION("""COMPUTED_VALUE"""),"Cthulhu")</f>
        <v>Cthulhu</v>
      </c>
      <c r="B48" s="35" t="str">
        <f>IFERROR(__xludf.DUMMYFUNCTION("""COMPUTED_VALUE"""),"1-5")</f>
        <v>1-5</v>
      </c>
      <c r="C48" s="5" t="str">
        <f>IFERROR(__xludf.DUMMYFUNCTION("""COMPUTED_VALUE"""),"500,000SC-1,000,000SC")</f>
        <v>500,000SC-1,000,000SC</v>
      </c>
      <c r="D48" s="35" t="str">
        <f>IFERROR(__xludf.DUMMYFUNCTION("""COMPUTED_VALUE"""),"6-10")</f>
        <v>6-10</v>
      </c>
      <c r="E48" s="5" t="str">
        <f>IFERROR(__xludf.DUMMYFUNCTION("""COMPUTED_VALUE"""),"Armor Of Cthulhu")</f>
        <v>Armor Of Cthulhu</v>
      </c>
      <c r="F48" s="35" t="str">
        <f>IFERROR(__xludf.DUMMYFUNCTION("""COMPUTED_VALUE"""),"11-15")</f>
        <v>11-15</v>
      </c>
      <c r="G48" s="5" t="str">
        <f>IFERROR(__xludf.DUMMYFUNCTION("""COMPUTED_VALUE"""),"Dark Wand")</f>
        <v>Dark Wand</v>
      </c>
      <c r="H48" s="35" t="str">
        <f>IFERROR(__xludf.DUMMYFUNCTION("""COMPUTED_VALUE"""),"16-20")</f>
        <v>16-20</v>
      </c>
      <c r="I48" s="5" t="str">
        <f>IFERROR(__xludf.DUMMYFUNCTION("""COMPUTED_VALUE"""),"Nothing")</f>
        <v>Nothing</v>
      </c>
      <c r="J48" s="35" t="str">
        <f>IFERROR(__xludf.DUMMYFUNCTION("""COMPUTED_VALUE"""),"21-25")</f>
        <v>21-25</v>
      </c>
      <c r="K48" s="5" t="str">
        <f>IFERROR(__xludf.DUMMYFUNCTION("""COMPUTED_VALUE"""),"Soul")</f>
        <v>Soul</v>
      </c>
      <c r="L48" s="32"/>
      <c r="M48" s="32"/>
      <c r="N48" s="32"/>
      <c r="O48" s="32"/>
      <c r="P48" s="32"/>
      <c r="Q48" s="32"/>
      <c r="R48" s="32"/>
      <c r="S48" s="32"/>
      <c r="T48" s="32"/>
      <c r="U48" s="32"/>
      <c r="V48" s="32"/>
      <c r="W48" s="32"/>
      <c r="X48" s="32"/>
    </row>
    <row r="49">
      <c r="A49" s="5" t="str">
        <f>IFERROR(__xludf.DUMMYFUNCTION("""COMPUTED_VALUE"""),"Cultist of Dreadful")</f>
        <v>Cultist of Dreadful</v>
      </c>
      <c r="B49" s="35" t="str">
        <f>IFERROR(__xludf.DUMMYFUNCTION("""COMPUTED_VALUE"""),"1-5")</f>
        <v>1-5</v>
      </c>
      <c r="C49" s="5" t="str">
        <f>IFERROR(__xludf.DUMMYFUNCTION("""COMPUTED_VALUE"""),"Robe of the cultist")</f>
        <v>Robe of the cultist</v>
      </c>
      <c r="D49" s="35" t="str">
        <f>IFERROR(__xludf.DUMMYFUNCTION("""COMPUTED_VALUE"""),"6-10")</f>
        <v>6-10</v>
      </c>
      <c r="E49" s="5" t="str">
        <f>IFERROR(__xludf.DUMMYFUNCTION("""COMPUTED_VALUE"""),"Robe of the cultist")</f>
        <v>Robe of the cultist</v>
      </c>
      <c r="F49" s="35" t="str">
        <f>IFERROR(__xludf.DUMMYFUNCTION("""COMPUTED_VALUE"""),"11-15")</f>
        <v>11-15</v>
      </c>
      <c r="G49" s="5" t="str">
        <f>IFERROR(__xludf.DUMMYFUNCTION("""COMPUTED_VALUE"""),"Soul")</f>
        <v>Soul</v>
      </c>
      <c r="H49" s="35" t="str">
        <f>IFERROR(__xludf.DUMMYFUNCTION("""COMPUTED_VALUE"""),"16-20")</f>
        <v>16-20</v>
      </c>
      <c r="I49" s="5" t="str">
        <f>IFERROR(__xludf.DUMMYFUNCTION("""COMPUTED_VALUE"""),"Dagger of The Cultist")</f>
        <v>Dagger of The Cultist</v>
      </c>
      <c r="J49" s="35" t="str">
        <f>IFERROR(__xludf.DUMMYFUNCTION("""COMPUTED_VALUE"""),"21-25")</f>
        <v>21-25</v>
      </c>
      <c r="K49" s="5" t="str">
        <f>IFERROR(__xludf.DUMMYFUNCTION("""COMPUTED_VALUE"""),"Egg")</f>
        <v>Egg</v>
      </c>
      <c r="L49" s="32"/>
      <c r="M49" s="32"/>
      <c r="N49" s="32"/>
      <c r="O49" s="32"/>
      <c r="P49" s="32"/>
      <c r="Q49" s="32"/>
      <c r="R49" s="32"/>
      <c r="S49" s="32"/>
      <c r="T49" s="32"/>
      <c r="U49" s="32"/>
      <c r="V49" s="32"/>
      <c r="W49" s="32"/>
      <c r="X49" s="32"/>
    </row>
    <row r="50">
      <c r="A50" s="5" t="str">
        <f>IFERROR(__xludf.DUMMYFUNCTION("""COMPUTED_VALUE"""),"Cultist Leader")</f>
        <v>Cultist Leader</v>
      </c>
      <c r="B50" s="35" t="str">
        <f>IFERROR(__xludf.DUMMYFUNCTION("""COMPUTED_VALUE"""),"1-5")</f>
        <v>1-5</v>
      </c>
      <c r="C50" s="5" t="str">
        <f>IFERROR(__xludf.DUMMYFUNCTION("""COMPUTED_VALUE"""),"Dagger of the cultist")</f>
        <v>Dagger of the cultist</v>
      </c>
      <c r="D50" s="35" t="str">
        <f>IFERROR(__xludf.DUMMYFUNCTION("""COMPUTED_VALUE"""),"6-10")</f>
        <v>6-10</v>
      </c>
      <c r="E50" s="5" t="str">
        <f>IFERROR(__xludf.DUMMYFUNCTION("""COMPUTED_VALUE"""),"Robe of the cultist")</f>
        <v>Robe of the cultist</v>
      </c>
      <c r="F50" s="35" t="str">
        <f>IFERROR(__xludf.DUMMYFUNCTION("""COMPUTED_VALUE"""),"11-15")</f>
        <v>11-15</v>
      </c>
      <c r="G50" s="5" t="str">
        <f>IFERROR(__xludf.DUMMYFUNCTION("""COMPUTED_VALUE"""),"Soul")</f>
        <v>Soul</v>
      </c>
      <c r="H50" s="35" t="str">
        <f>IFERROR(__xludf.DUMMYFUNCTION("""COMPUTED_VALUE"""),"16-20")</f>
        <v>16-20</v>
      </c>
      <c r="I50" s="5" t="str">
        <f>IFERROR(__xludf.DUMMYFUNCTION("""COMPUTED_VALUE"""),"Dagger of The Cultist")</f>
        <v>Dagger of The Cultist</v>
      </c>
      <c r="J50" s="35" t="str">
        <f>IFERROR(__xludf.DUMMYFUNCTION("""COMPUTED_VALUE"""),"21-25")</f>
        <v>21-25</v>
      </c>
      <c r="K50" s="5" t="str">
        <f>IFERROR(__xludf.DUMMYFUNCTION("""COMPUTED_VALUE"""),"500,000G-1,000,000G")</f>
        <v>500,000G-1,000,000G</v>
      </c>
      <c r="L50" s="32"/>
      <c r="M50" s="32"/>
      <c r="N50" s="32"/>
      <c r="O50" s="32"/>
      <c r="P50" s="32"/>
      <c r="Q50" s="32"/>
      <c r="R50" s="32"/>
      <c r="S50" s="32"/>
      <c r="T50" s="32"/>
      <c r="U50" s="32"/>
      <c r="V50" s="32"/>
      <c r="W50" s="32"/>
      <c r="X50" s="32"/>
    </row>
    <row r="51">
      <c r="A51" s="5" t="str">
        <f>IFERROR(__xludf.DUMMYFUNCTION("""COMPUTED_VALUE"""),"Cursed Ronin")</f>
        <v>Cursed Ronin</v>
      </c>
      <c r="B51" s="35" t="str">
        <f>IFERROR(__xludf.DUMMYFUNCTION("""COMPUTED_VALUE"""),"1-5")</f>
        <v>1-5</v>
      </c>
      <c r="C51" s="5" t="str">
        <f>IFERROR(__xludf.DUMMYFUNCTION("""COMPUTED_VALUE"""),"Nothing")</f>
        <v>Nothing</v>
      </c>
      <c r="D51" s="35" t="str">
        <f>IFERROR(__xludf.DUMMYFUNCTION("""COMPUTED_VALUE"""),"6-10")</f>
        <v>6-10</v>
      </c>
      <c r="E51" s="5" t="str">
        <f>IFERROR(__xludf.DUMMYFUNCTION("""COMPUTED_VALUE"""),"Egg")</f>
        <v>Egg</v>
      </c>
      <c r="F51" s="35" t="str">
        <f>IFERROR(__xludf.DUMMYFUNCTION("""COMPUTED_VALUE"""),"11-15")</f>
        <v>11-15</v>
      </c>
      <c r="G51" s="5" t="str">
        <f>IFERROR(__xludf.DUMMYFUNCTION("""COMPUTED_VALUE"""),"Cursed Blade")</f>
        <v>Cursed Blade</v>
      </c>
      <c r="H51" s="35" t="str">
        <f>IFERROR(__xludf.DUMMYFUNCTION("""COMPUTED_VALUE"""),"16-20")</f>
        <v>16-20</v>
      </c>
      <c r="I51" s="5" t="str">
        <f>IFERROR(__xludf.DUMMYFUNCTION("""COMPUTED_VALUE"""),"20,000G-40,000G")</f>
        <v>20,000G-40,000G</v>
      </c>
      <c r="J51" s="35" t="str">
        <f>IFERROR(__xludf.DUMMYFUNCTION("""COMPUTED_VALUE"""),"21-25")</f>
        <v>21-25</v>
      </c>
      <c r="K51" s="5" t="str">
        <f>IFERROR(__xludf.DUMMYFUNCTION("""COMPUTED_VALUE"""),"Soul")</f>
        <v>Soul</v>
      </c>
      <c r="L51" s="32"/>
      <c r="M51" s="32"/>
      <c r="N51" s="32"/>
      <c r="O51" s="32"/>
      <c r="P51" s="32"/>
      <c r="Q51" s="32"/>
      <c r="R51" s="32"/>
      <c r="S51" s="32"/>
      <c r="T51" s="32"/>
      <c r="U51" s="32"/>
      <c r="V51" s="32"/>
      <c r="W51" s="32"/>
      <c r="X51" s="32"/>
    </row>
    <row r="52">
      <c r="A52" s="5" t="str">
        <f>IFERROR(__xludf.DUMMYFUNCTION("""COMPUTED_VALUE"""),"Cursed Samurai")</f>
        <v>Cursed Samurai</v>
      </c>
      <c r="B52" s="35" t="str">
        <f>IFERROR(__xludf.DUMMYFUNCTION("""COMPUTED_VALUE"""),"1-5")</f>
        <v>1-5</v>
      </c>
      <c r="C52" s="5" t="str">
        <f>IFERROR(__xludf.DUMMYFUNCTION("""COMPUTED_VALUE"""),"20,000,000G-40,000,000G")</f>
        <v>20,000,000G-40,000,000G</v>
      </c>
      <c r="D52" s="35" t="str">
        <f>IFERROR(__xludf.DUMMYFUNCTION("""COMPUTED_VALUE"""),"6-10")</f>
        <v>6-10</v>
      </c>
      <c r="E52" s="5" t="str">
        <f>IFERROR(__xludf.DUMMYFUNCTION("""COMPUTED_VALUE"""),"1,000,000G-20,000,000G")</f>
        <v>1,000,000G-20,000,000G</v>
      </c>
      <c r="F52" s="35" t="str">
        <f>IFERROR(__xludf.DUMMYFUNCTION("""COMPUTED_VALUE"""),"11-15")</f>
        <v>11-15</v>
      </c>
      <c r="G52" s="5" t="str">
        <f>IFERROR(__xludf.DUMMYFUNCTION("""COMPUTED_VALUE"""),"Cursed Blade")</f>
        <v>Cursed Blade</v>
      </c>
      <c r="H52" s="35" t="str">
        <f>IFERROR(__xludf.DUMMYFUNCTION("""COMPUTED_VALUE"""),"16-20")</f>
        <v>16-20</v>
      </c>
      <c r="I52" s="5" t="str">
        <f>IFERROR(__xludf.DUMMYFUNCTION("""COMPUTED_VALUE"""),"Soul")</f>
        <v>Soul</v>
      </c>
      <c r="J52" s="35" t="str">
        <f>IFERROR(__xludf.DUMMYFUNCTION("""COMPUTED_VALUE"""),"21-25")</f>
        <v>21-25</v>
      </c>
      <c r="K52" s="5" t="str">
        <f>IFERROR(__xludf.DUMMYFUNCTION("""COMPUTED_VALUE"""),"Egg")</f>
        <v>Egg</v>
      </c>
      <c r="L52" s="32"/>
      <c r="M52" s="32"/>
      <c r="N52" s="32"/>
      <c r="O52" s="32"/>
      <c r="P52" s="32"/>
      <c r="Q52" s="32"/>
      <c r="R52" s="32"/>
      <c r="S52" s="32"/>
      <c r="T52" s="32"/>
      <c r="U52" s="32"/>
      <c r="V52" s="32"/>
      <c r="W52" s="32"/>
      <c r="X52" s="32"/>
    </row>
    <row r="53">
      <c r="A53" s="5" t="str">
        <f>IFERROR(__xludf.DUMMYFUNCTION("""COMPUTED_VALUE"""),"Cyclops")</f>
        <v>Cyclops</v>
      </c>
      <c r="B53" s="35" t="str">
        <f>IFERROR(__xludf.DUMMYFUNCTION("""COMPUTED_VALUE"""),"1-5")</f>
        <v>1-5</v>
      </c>
      <c r="C53" s="5" t="str">
        <f>IFERROR(__xludf.DUMMYFUNCTION("""COMPUTED_VALUE"""),"Steel Sword")</f>
        <v>Steel Sword</v>
      </c>
      <c r="D53" s="35" t="str">
        <f>IFERROR(__xludf.DUMMYFUNCTION("""COMPUTED_VALUE"""),"6-10")</f>
        <v>6-10</v>
      </c>
      <c r="E53" s="5" t="str">
        <f>IFERROR(__xludf.DUMMYFUNCTION("""COMPUTED_VALUE"""),"20,000G-40,000G")</f>
        <v>20,000G-40,000G</v>
      </c>
      <c r="F53" s="35" t="str">
        <f>IFERROR(__xludf.DUMMYFUNCTION("""COMPUTED_VALUE"""),"11-15")</f>
        <v>11-15</v>
      </c>
      <c r="G53" s="5" t="str">
        <f>IFERROR(__xludf.DUMMYFUNCTION("""COMPUTED_VALUE"""),"Steel Armor")</f>
        <v>Steel Armor</v>
      </c>
      <c r="H53" s="35" t="str">
        <f>IFERROR(__xludf.DUMMYFUNCTION("""COMPUTED_VALUE"""),"16-20")</f>
        <v>16-20</v>
      </c>
      <c r="I53" s="5" t="str">
        <f>IFERROR(__xludf.DUMMYFUNCTION("""COMPUTED_VALUE"""),"Soul")</f>
        <v>Soul</v>
      </c>
      <c r="J53" s="35" t="str">
        <f>IFERROR(__xludf.DUMMYFUNCTION("""COMPUTED_VALUE"""),"21-25")</f>
        <v>21-25</v>
      </c>
      <c r="K53" s="5" t="str">
        <f>IFERROR(__xludf.DUMMYFUNCTION("""COMPUTED_VALUE"""),"Egg")</f>
        <v>Egg</v>
      </c>
      <c r="L53" s="32"/>
      <c r="M53" s="32"/>
      <c r="N53" s="32"/>
      <c r="O53" s="32"/>
      <c r="P53" s="32"/>
      <c r="Q53" s="32"/>
      <c r="R53" s="32"/>
      <c r="S53" s="32"/>
      <c r="T53" s="32"/>
      <c r="U53" s="32"/>
      <c r="V53" s="32"/>
      <c r="W53" s="32"/>
      <c r="X53" s="32"/>
    </row>
    <row r="54">
      <c r="A54" s="5" t="str">
        <f>IFERROR(__xludf.DUMMYFUNCTION("""COMPUTED_VALUE"""),"Dark Dragon")</f>
        <v>Dark Dragon</v>
      </c>
      <c r="B54" s="35" t="str">
        <f>IFERROR(__xludf.DUMMYFUNCTION("""COMPUTED_VALUE"""),"1-5")</f>
        <v>1-5</v>
      </c>
      <c r="C54" s="5" t="str">
        <f>IFERROR(__xludf.DUMMYFUNCTION("""COMPUTED_VALUE"""),"500,000G-1,000,000G")</f>
        <v>500,000G-1,000,000G</v>
      </c>
      <c r="D54" s="35" t="str">
        <f>IFERROR(__xludf.DUMMYFUNCTION("""COMPUTED_VALUE"""),"6-10")</f>
        <v>6-10</v>
      </c>
      <c r="E54" s="5" t="str">
        <f>IFERROR(__xludf.DUMMYFUNCTION("""COMPUTED_VALUE"""),"Soul")</f>
        <v>Soul</v>
      </c>
      <c r="F54" s="35" t="str">
        <f>IFERROR(__xludf.DUMMYFUNCTION("""COMPUTED_VALUE"""),"11-15")</f>
        <v>11-15</v>
      </c>
      <c r="G54" s="5" t="str">
        <f>IFERROR(__xludf.DUMMYFUNCTION("""COMPUTED_VALUE"""),"Nothing")</f>
        <v>Nothing</v>
      </c>
      <c r="H54" s="35" t="str">
        <f>IFERROR(__xludf.DUMMYFUNCTION("""COMPUTED_VALUE"""),"16-20")</f>
        <v>16-20</v>
      </c>
      <c r="I54" s="5" t="str">
        <f>IFERROR(__xludf.DUMMYFUNCTION("""COMPUTED_VALUE"""),"Tome of Chaotic Darkness")</f>
        <v>Tome of Chaotic Darkness</v>
      </c>
      <c r="J54" s="35" t="str">
        <f>IFERROR(__xludf.DUMMYFUNCTION("""COMPUTED_VALUE"""),"21-25")</f>
        <v>21-25</v>
      </c>
      <c r="K54" s="5" t="str">
        <f>IFERROR(__xludf.DUMMYFUNCTION("""COMPUTED_VALUE"""),"Egg")</f>
        <v>Egg</v>
      </c>
      <c r="L54" s="32"/>
      <c r="M54" s="32"/>
      <c r="N54" s="32"/>
      <c r="O54" s="32"/>
      <c r="P54" s="32"/>
      <c r="Q54" s="32"/>
      <c r="R54" s="32"/>
      <c r="S54" s="32"/>
      <c r="T54" s="32"/>
      <c r="U54" s="32"/>
      <c r="V54" s="32"/>
      <c r="W54" s="32"/>
      <c r="X54" s="32"/>
    </row>
    <row r="55">
      <c r="A55" s="5" t="str">
        <f>IFERROR(__xludf.DUMMYFUNCTION("""COMPUTED_VALUE"""),"Dark Snow Warrior")</f>
        <v>Dark Snow Warrior</v>
      </c>
      <c r="B55" s="35" t="str">
        <f>IFERROR(__xludf.DUMMYFUNCTION("""COMPUTED_VALUE"""),"1-5")</f>
        <v>1-5</v>
      </c>
      <c r="C55" s="5" t="str">
        <f>IFERROR(__xludf.DUMMYFUNCTION("""COMPUTED_VALUE"""),"Nothing")</f>
        <v>Nothing</v>
      </c>
      <c r="D55" s="35" t="str">
        <f>IFERROR(__xludf.DUMMYFUNCTION("""COMPUTED_VALUE"""),"6-10")</f>
        <v>6-10</v>
      </c>
      <c r="E55" s="5" t="str">
        <f>IFERROR(__xludf.DUMMYFUNCTION("""COMPUTED_VALUE"""),"Nothing")</f>
        <v>Nothing</v>
      </c>
      <c r="F55" s="35" t="str">
        <f>IFERROR(__xludf.DUMMYFUNCTION("""COMPUTED_VALUE"""),"11-15")</f>
        <v>11-15</v>
      </c>
      <c r="G55" s="5" t="str">
        <f>IFERROR(__xludf.DUMMYFUNCTION("""COMPUTED_VALUE"""),"Nothing")</f>
        <v>Nothing</v>
      </c>
      <c r="H55" s="35" t="str">
        <f>IFERROR(__xludf.DUMMYFUNCTION("""COMPUTED_VALUE"""),"16-20")</f>
        <v>16-20</v>
      </c>
      <c r="I55" s="5" t="str">
        <f>IFERROR(__xludf.DUMMYFUNCTION("""COMPUTED_VALUE"""),"Nothing")</f>
        <v>Nothing</v>
      </c>
      <c r="J55" s="35" t="str">
        <f>IFERROR(__xludf.DUMMYFUNCTION("""COMPUTED_VALUE"""),"21-25")</f>
        <v>21-25</v>
      </c>
      <c r="K55" s="5" t="str">
        <f>IFERROR(__xludf.DUMMYFUNCTION("""COMPUTED_VALUE"""),"Soul")</f>
        <v>Soul</v>
      </c>
      <c r="L55" s="32"/>
      <c r="M55" s="32"/>
      <c r="N55" s="32"/>
      <c r="O55" s="32"/>
      <c r="P55" s="32"/>
      <c r="Q55" s="32"/>
      <c r="R55" s="32"/>
      <c r="S55" s="32"/>
      <c r="T55" s="32"/>
      <c r="U55" s="32"/>
      <c r="V55" s="32"/>
      <c r="W55" s="32"/>
      <c r="X55" s="32"/>
    </row>
    <row r="56">
      <c r="A56" s="5" t="str">
        <f>IFERROR(__xludf.DUMMYFUNCTION("""COMPUTED_VALUE"""),"Dark Wizard")</f>
        <v>Dark Wizard</v>
      </c>
      <c r="B56" s="35" t="str">
        <f>IFERROR(__xludf.DUMMYFUNCTION("""COMPUTED_VALUE"""),"1-5")</f>
        <v>1-5</v>
      </c>
      <c r="C56" s="5" t="str">
        <f>IFERROR(__xludf.DUMMYFUNCTION("""COMPUTED_VALUE"""),"Dark Wand")</f>
        <v>Dark Wand</v>
      </c>
      <c r="D56" s="35" t="str">
        <f>IFERROR(__xludf.DUMMYFUNCTION("""COMPUTED_VALUE"""),"6-10")</f>
        <v>6-10</v>
      </c>
      <c r="E56" s="5" t="str">
        <f>IFERROR(__xludf.DUMMYFUNCTION("""COMPUTED_VALUE"""),"1,000G-20,000G")</f>
        <v>1,000G-20,000G</v>
      </c>
      <c r="F56" s="35" t="str">
        <f>IFERROR(__xludf.DUMMYFUNCTION("""COMPUTED_VALUE"""),"11-15")</f>
        <v>11-15</v>
      </c>
      <c r="G56" s="5" t="str">
        <f>IFERROR(__xludf.DUMMYFUNCTION("""COMPUTED_VALUE"""),"Nothing")</f>
        <v>Nothing</v>
      </c>
      <c r="H56" s="35" t="str">
        <f>IFERROR(__xludf.DUMMYFUNCTION("""COMPUTED_VALUE"""),"16-20")</f>
        <v>16-20</v>
      </c>
      <c r="I56" s="5" t="str">
        <f>IFERROR(__xludf.DUMMYFUNCTION("""COMPUTED_VALUE"""),"Soul")</f>
        <v>Soul</v>
      </c>
      <c r="J56" s="35" t="str">
        <f>IFERROR(__xludf.DUMMYFUNCTION("""COMPUTED_VALUE"""),"21-25")</f>
        <v>21-25</v>
      </c>
      <c r="K56" s="5" t="str">
        <f>IFERROR(__xludf.DUMMYFUNCTION("""COMPUTED_VALUE"""),"Nothing")</f>
        <v>Nothing</v>
      </c>
      <c r="L56" s="32"/>
      <c r="M56" s="32"/>
      <c r="N56" s="32"/>
      <c r="O56" s="32"/>
      <c r="P56" s="32"/>
      <c r="Q56" s="32"/>
      <c r="R56" s="32"/>
      <c r="S56" s="32"/>
      <c r="T56" s="32"/>
      <c r="U56" s="32"/>
      <c r="V56" s="32"/>
      <c r="W56" s="32"/>
      <c r="X56" s="32"/>
    </row>
    <row r="57">
      <c r="A57" s="5" t="str">
        <f>IFERROR(__xludf.DUMMYFUNCTION("""COMPUTED_VALUE"""),"Death's Royal Guard")</f>
        <v>Death's Royal Guard</v>
      </c>
      <c r="B57" s="35" t="str">
        <f>IFERROR(__xludf.DUMMYFUNCTION("""COMPUTED_VALUE"""),"1-5")</f>
        <v>1-5</v>
      </c>
      <c r="C57" s="5" t="str">
        <f>IFERROR(__xludf.DUMMYFUNCTION("""COMPUTED_VALUE"""),"Nothing")</f>
        <v>Nothing</v>
      </c>
      <c r="D57" s="35" t="str">
        <f>IFERROR(__xludf.DUMMYFUNCTION("""COMPUTED_VALUE"""),"6-10")</f>
        <v>6-10</v>
      </c>
      <c r="E57" s="5" t="str">
        <f>IFERROR(__xludf.DUMMYFUNCTION("""COMPUTED_VALUE"""),"Nothing")</f>
        <v>Nothing</v>
      </c>
      <c r="F57" s="35" t="str">
        <f>IFERROR(__xludf.DUMMYFUNCTION("""COMPUTED_VALUE"""),"11-15")</f>
        <v>11-15</v>
      </c>
      <c r="G57" s="5" t="str">
        <f>IFERROR(__xludf.DUMMYFUNCTION("""COMPUTED_VALUE"""),"Soul")</f>
        <v>Soul</v>
      </c>
      <c r="H57" s="35" t="str">
        <f>IFERROR(__xludf.DUMMYFUNCTION("""COMPUTED_VALUE"""),"16-20")</f>
        <v>16-20</v>
      </c>
      <c r="I57" s="5" t="str">
        <f>IFERROR(__xludf.DUMMYFUNCTION("""COMPUTED_VALUE"""),"Nothing")</f>
        <v>Nothing</v>
      </c>
      <c r="J57" s="35" t="str">
        <f>IFERROR(__xludf.DUMMYFUNCTION("""COMPUTED_VALUE"""),"21-25")</f>
        <v>21-25</v>
      </c>
      <c r="K57" s="5" t="str">
        <f>IFERROR(__xludf.DUMMYFUNCTION("""COMPUTED_VALUE"""),"500,000G-1,000,000G")</f>
        <v>500,000G-1,000,000G</v>
      </c>
      <c r="L57" s="32"/>
      <c r="M57" s="32"/>
      <c r="N57" s="32"/>
      <c r="O57" s="32"/>
      <c r="P57" s="32"/>
      <c r="Q57" s="32"/>
      <c r="R57" s="32"/>
      <c r="S57" s="32"/>
      <c r="T57" s="32"/>
      <c r="U57" s="32"/>
      <c r="V57" s="32"/>
      <c r="W57" s="32"/>
      <c r="X57" s="32"/>
    </row>
    <row r="58">
      <c r="A58" s="5" t="str">
        <f>IFERROR(__xludf.DUMMYFUNCTION("""COMPUTED_VALUE"""),"DeathBlade The Dragon Hunter")</f>
        <v>DeathBlade The Dragon Hunter</v>
      </c>
      <c r="B58" s="35" t="str">
        <f>IFERROR(__xludf.DUMMYFUNCTION("""COMPUTED_VALUE"""),"1-5")</f>
        <v>1-5</v>
      </c>
      <c r="C58" s="5" t="str">
        <f>IFERROR(__xludf.DUMMYFUNCTION("""COMPUTED_VALUE"""),"Dragon Orb")</f>
        <v>Dragon Orb</v>
      </c>
      <c r="D58" s="35" t="str">
        <f>IFERROR(__xludf.DUMMYFUNCTION("""COMPUTED_VALUE"""),"6-10")</f>
        <v>6-10</v>
      </c>
      <c r="E58" s="5" t="str">
        <f>IFERROR(__xludf.DUMMYFUNCTION("""COMPUTED_VALUE"""),"500,000,000G-1,000,000,000G")</f>
        <v>500,000,000G-1,000,000,000G</v>
      </c>
      <c r="F58" s="35" t="str">
        <f>IFERROR(__xludf.DUMMYFUNCTION("""COMPUTED_VALUE"""),"11-15")</f>
        <v>11-15</v>
      </c>
      <c r="G58" s="5" t="str">
        <f>IFERROR(__xludf.DUMMYFUNCTION("""COMPUTED_VALUE"""),"Soul")</f>
        <v>Soul</v>
      </c>
      <c r="H58" s="35" t="str">
        <f>IFERROR(__xludf.DUMMYFUNCTION("""COMPUTED_VALUE"""),"16-20")</f>
        <v>16-20</v>
      </c>
      <c r="I58" s="5" t="str">
        <f>IFERROR(__xludf.DUMMYFUNCTION("""COMPUTED_VALUE"""),"Nothing")</f>
        <v>Nothing</v>
      </c>
      <c r="J58" s="35" t="str">
        <f>IFERROR(__xludf.DUMMYFUNCTION("""COMPUTED_VALUE"""),"21-25")</f>
        <v>21-25</v>
      </c>
      <c r="K58" s="5" t="str">
        <f>IFERROR(__xludf.DUMMYFUNCTION("""COMPUTED_VALUE"""),"Nothing")</f>
        <v>Nothing</v>
      </c>
      <c r="L58" s="32"/>
      <c r="M58" s="32"/>
      <c r="N58" s="32"/>
      <c r="O58" s="32"/>
      <c r="P58" s="32"/>
      <c r="Q58" s="32"/>
      <c r="R58" s="32"/>
      <c r="S58" s="32"/>
      <c r="T58" s="32"/>
      <c r="U58" s="32"/>
      <c r="V58" s="32"/>
      <c r="W58" s="32"/>
      <c r="X58" s="32"/>
    </row>
    <row r="59">
      <c r="A59" s="5" t="str">
        <f>IFERROR(__xludf.DUMMYFUNCTION("""COMPUTED_VALUE"""),"Defensive Rock Giant")</f>
        <v>Defensive Rock Giant</v>
      </c>
      <c r="B59" s="35" t="str">
        <f>IFERROR(__xludf.DUMMYFUNCTION("""COMPUTED_VALUE"""),"1-5")</f>
        <v>1-5</v>
      </c>
      <c r="C59" s="5" t="str">
        <f>IFERROR(__xludf.DUMMYFUNCTION("""COMPUTED_VALUE"""),"Steel Sword")</f>
        <v>Steel Sword</v>
      </c>
      <c r="D59" s="35" t="str">
        <f>IFERROR(__xludf.DUMMYFUNCTION("""COMPUTED_VALUE"""),"6-10")</f>
        <v>6-10</v>
      </c>
      <c r="E59" s="5" t="str">
        <f>IFERROR(__xludf.DUMMYFUNCTION("""COMPUTED_VALUE"""),"20,000G-40,000G")</f>
        <v>20,000G-40,000G</v>
      </c>
      <c r="F59" s="35" t="str">
        <f>IFERROR(__xludf.DUMMYFUNCTION("""COMPUTED_VALUE"""),"11-15")</f>
        <v>11-15</v>
      </c>
      <c r="G59" s="5" t="str">
        <f>IFERROR(__xludf.DUMMYFUNCTION("""COMPUTED_VALUE"""),"Egg")</f>
        <v>Egg</v>
      </c>
      <c r="H59" s="35" t="str">
        <f>IFERROR(__xludf.DUMMYFUNCTION("""COMPUTED_VALUE"""),"16-20")</f>
        <v>16-20</v>
      </c>
      <c r="I59" s="5" t="str">
        <f>IFERROR(__xludf.DUMMYFUNCTION("""COMPUTED_VALUE"""),"Soul")</f>
        <v>Soul</v>
      </c>
      <c r="J59" s="35" t="str">
        <f>IFERROR(__xludf.DUMMYFUNCTION("""COMPUTED_VALUE"""),"21-25")</f>
        <v>21-25</v>
      </c>
      <c r="K59" s="5" t="str">
        <f>IFERROR(__xludf.DUMMYFUNCTION("""COMPUTED_VALUE"""),"Nothing")</f>
        <v>Nothing</v>
      </c>
      <c r="L59" s="32"/>
      <c r="M59" s="32"/>
      <c r="N59" s="32"/>
      <c r="O59" s="32"/>
      <c r="P59" s="32"/>
      <c r="Q59" s="32"/>
      <c r="R59" s="32"/>
      <c r="S59" s="32"/>
      <c r="T59" s="32"/>
      <c r="U59" s="32"/>
      <c r="V59" s="32"/>
      <c r="W59" s="32"/>
      <c r="X59" s="32"/>
    </row>
    <row r="60">
      <c r="A60" s="5" t="str">
        <f>IFERROR(__xludf.DUMMYFUNCTION("""COMPUTED_VALUE"""),"Delta Dragon")</f>
        <v>Delta Dragon</v>
      </c>
      <c r="B60" s="35" t="str">
        <f>IFERROR(__xludf.DUMMYFUNCTION("""COMPUTED_VALUE"""),"1-5")</f>
        <v>1-5</v>
      </c>
      <c r="C60" s="5" t="str">
        <f>IFERROR(__xludf.DUMMYFUNCTION("""COMPUTED_VALUE"""),"80,000,000G-100,000,000G")</f>
        <v>80,000,000G-100,000,000G</v>
      </c>
      <c r="D60" s="35" t="str">
        <f>IFERROR(__xludf.DUMMYFUNCTION("""COMPUTED_VALUE"""),"6-10")</f>
        <v>6-10</v>
      </c>
      <c r="E60" s="5" t="str">
        <f>IFERROR(__xludf.DUMMYFUNCTION("""COMPUTED_VALUE"""),"Egg")</f>
        <v>Egg</v>
      </c>
      <c r="F60" s="35" t="str">
        <f>IFERROR(__xludf.DUMMYFUNCTION("""COMPUTED_VALUE"""),"11-15")</f>
        <v>11-15</v>
      </c>
      <c r="G60" s="5" t="str">
        <f>IFERROR(__xludf.DUMMYFUNCTION("""COMPUTED_VALUE"""),"Soul")</f>
        <v>Soul</v>
      </c>
      <c r="H60" s="35" t="str">
        <f>IFERROR(__xludf.DUMMYFUNCTION("""COMPUTED_VALUE"""),"16-20")</f>
        <v>16-20</v>
      </c>
      <c r="I60" s="5" t="str">
        <f>IFERROR(__xludf.DUMMYFUNCTION("""COMPUTED_VALUE"""),"Dragon's Skull")</f>
        <v>Dragon's Skull</v>
      </c>
      <c r="J60" s="35" t="str">
        <f>IFERROR(__xludf.DUMMYFUNCTION("""COMPUTED_VALUE"""),"21-25")</f>
        <v>21-25</v>
      </c>
      <c r="K60" s="5" t="str">
        <f>IFERROR(__xludf.DUMMYFUNCTION("""COMPUTED_VALUE"""),"Delta Gems")</f>
        <v>Delta Gems</v>
      </c>
      <c r="L60" s="32"/>
      <c r="M60" s="32"/>
      <c r="N60" s="32"/>
      <c r="O60" s="32"/>
      <c r="P60" s="32"/>
      <c r="Q60" s="32"/>
      <c r="R60" s="32"/>
      <c r="S60" s="32"/>
      <c r="T60" s="32"/>
      <c r="U60" s="32"/>
      <c r="V60" s="32"/>
      <c r="W60" s="32"/>
      <c r="X60" s="32"/>
    </row>
    <row r="61">
      <c r="A61" s="5" t="str">
        <f>IFERROR(__xludf.DUMMYFUNCTION("""COMPUTED_VALUE"""),"Demon Of Heatmore")</f>
        <v>Demon Of Heatmore</v>
      </c>
      <c r="B61" s="35" t="str">
        <f>IFERROR(__xludf.DUMMYFUNCTION("""COMPUTED_VALUE"""),"1-5")</f>
        <v>1-5</v>
      </c>
      <c r="C61" s="5" t="str">
        <f>IFERROR(__xludf.DUMMYFUNCTION("""COMPUTED_VALUE"""),"Demons Eye")</f>
        <v>Demons Eye</v>
      </c>
      <c r="D61" s="35" t="str">
        <f>IFERROR(__xludf.DUMMYFUNCTION("""COMPUTED_VALUE"""),"6-10")</f>
        <v>6-10</v>
      </c>
      <c r="E61" s="5" t="str">
        <f>IFERROR(__xludf.DUMMYFUNCTION("""COMPUTED_VALUE"""),"Demon Core")</f>
        <v>Demon Core</v>
      </c>
      <c r="F61" s="35" t="str">
        <f>IFERROR(__xludf.DUMMYFUNCTION("""COMPUTED_VALUE"""),"11-15")</f>
        <v>11-15</v>
      </c>
      <c r="G61" s="5" t="str">
        <f>IFERROR(__xludf.DUMMYFUNCTION("""COMPUTED_VALUE"""),"Nothing")</f>
        <v>Nothing</v>
      </c>
      <c r="H61" s="35" t="str">
        <f>IFERROR(__xludf.DUMMYFUNCTION("""COMPUTED_VALUE"""),"16-20")</f>
        <v>16-20</v>
      </c>
      <c r="I61" s="5" t="str">
        <f>IFERROR(__xludf.DUMMYFUNCTION("""COMPUTED_VALUE"""),"Egg")</f>
        <v>Egg</v>
      </c>
      <c r="J61" s="35" t="str">
        <f>IFERROR(__xludf.DUMMYFUNCTION("""COMPUTED_VALUE"""),"21-25")</f>
        <v>21-25</v>
      </c>
      <c r="K61" s="5" t="str">
        <f>IFERROR(__xludf.DUMMYFUNCTION("""COMPUTED_VALUE"""),"Soul")</f>
        <v>Soul</v>
      </c>
      <c r="L61" s="32"/>
      <c r="M61" s="32"/>
      <c r="N61" s="32"/>
      <c r="O61" s="32"/>
      <c r="P61" s="32"/>
      <c r="Q61" s="32"/>
      <c r="R61" s="32"/>
      <c r="S61" s="32"/>
      <c r="T61" s="32"/>
      <c r="U61" s="32"/>
      <c r="V61" s="32"/>
      <c r="W61" s="32"/>
      <c r="X61" s="32"/>
    </row>
    <row r="62">
      <c r="A62" s="5" t="str">
        <f>IFERROR(__xludf.DUMMYFUNCTION("""COMPUTED_VALUE"""),"Desert Demon")</f>
        <v>Desert Demon</v>
      </c>
      <c r="B62" s="35" t="str">
        <f>IFERROR(__xludf.DUMMYFUNCTION("""COMPUTED_VALUE"""),"1-5")</f>
        <v>1-5</v>
      </c>
      <c r="C62" s="5" t="str">
        <f>IFERROR(__xludf.DUMMYFUNCTION("""COMPUTED_VALUE"""),"Heart of the Demon")</f>
        <v>Heart of the Demon</v>
      </c>
      <c r="D62" s="35" t="str">
        <f>IFERROR(__xludf.DUMMYFUNCTION("""COMPUTED_VALUE"""),"6-10")</f>
        <v>6-10</v>
      </c>
      <c r="E62" s="5" t="str">
        <f>IFERROR(__xludf.DUMMYFUNCTION("""COMPUTED_VALUE"""),"Egg")</f>
        <v>Egg</v>
      </c>
      <c r="F62" s="35" t="str">
        <f>IFERROR(__xludf.DUMMYFUNCTION("""COMPUTED_VALUE"""),"11-15")</f>
        <v>11-15</v>
      </c>
      <c r="G62" s="5" t="str">
        <f>IFERROR(__xludf.DUMMYFUNCTION("""COMPUTED_VALUE"""),"Soul")</f>
        <v>Soul</v>
      </c>
      <c r="H62" s="35" t="str">
        <f>IFERROR(__xludf.DUMMYFUNCTION("""COMPUTED_VALUE"""),"16-20")</f>
        <v>16-20</v>
      </c>
      <c r="I62" s="5" t="str">
        <f>IFERROR(__xludf.DUMMYFUNCTION("""COMPUTED_VALUE"""),"Desert Ruby")</f>
        <v>Desert Ruby</v>
      </c>
      <c r="J62" s="35" t="str">
        <f>IFERROR(__xludf.DUMMYFUNCTION("""COMPUTED_VALUE"""),"21-25")</f>
        <v>21-25</v>
      </c>
      <c r="K62" s="5" t="str">
        <f>IFERROR(__xludf.DUMMYFUNCTION("""COMPUTED_VALUE"""),"500,000G-1,000,000G")</f>
        <v>500,000G-1,000,000G</v>
      </c>
      <c r="L62" s="32"/>
      <c r="M62" s="32"/>
      <c r="N62" s="32"/>
      <c r="O62" s="32"/>
      <c r="P62" s="32"/>
      <c r="Q62" s="32"/>
      <c r="R62" s="32"/>
      <c r="S62" s="32"/>
      <c r="T62" s="32"/>
      <c r="U62" s="32"/>
      <c r="V62" s="32"/>
      <c r="W62" s="32"/>
      <c r="X62" s="32"/>
    </row>
    <row r="63">
      <c r="A63" s="5" t="str">
        <f>IFERROR(__xludf.DUMMYFUNCTION("""COMPUTED_VALUE"""),"Desert Hunter")</f>
        <v>Desert Hunter</v>
      </c>
      <c r="B63" s="35" t="str">
        <f>IFERROR(__xludf.DUMMYFUNCTION("""COMPUTED_VALUE"""),"1-5")</f>
        <v>1-5</v>
      </c>
      <c r="C63" s="5" t="str">
        <f>IFERROR(__xludf.DUMMYFUNCTION("""COMPUTED_VALUE"""),"Egg")</f>
        <v>Egg</v>
      </c>
      <c r="D63" s="35" t="str">
        <f>IFERROR(__xludf.DUMMYFUNCTION("""COMPUTED_VALUE"""),"6-10")</f>
        <v>6-10</v>
      </c>
      <c r="E63" s="5" t="str">
        <f>IFERROR(__xludf.DUMMYFUNCTION("""COMPUTED_VALUE"""),"Nothing")</f>
        <v>Nothing</v>
      </c>
      <c r="F63" s="35" t="str">
        <f>IFERROR(__xludf.DUMMYFUNCTION("""COMPUTED_VALUE"""),"11-15")</f>
        <v>11-15</v>
      </c>
      <c r="G63" s="5" t="str">
        <f>IFERROR(__xludf.DUMMYFUNCTION("""COMPUTED_VALUE"""),"Desert Emerald")</f>
        <v>Desert Emerald</v>
      </c>
      <c r="H63" s="35" t="str">
        <f>IFERROR(__xludf.DUMMYFUNCTION("""COMPUTED_VALUE"""),"16-20")</f>
        <v>16-20</v>
      </c>
      <c r="I63" s="5" t="str">
        <f>IFERROR(__xludf.DUMMYFUNCTION("""COMPUTED_VALUE"""),"Desert Ruby")</f>
        <v>Desert Ruby</v>
      </c>
      <c r="J63" s="35" t="str">
        <f>IFERROR(__xludf.DUMMYFUNCTION("""COMPUTED_VALUE"""),"21-25")</f>
        <v>21-25</v>
      </c>
      <c r="K63" s="5" t="str">
        <f>IFERROR(__xludf.DUMMYFUNCTION("""COMPUTED_VALUE"""),"Soul")</f>
        <v>Soul</v>
      </c>
      <c r="L63" s="32"/>
      <c r="M63" s="32"/>
      <c r="N63" s="32"/>
      <c r="O63" s="32"/>
      <c r="P63" s="32"/>
      <c r="Q63" s="32"/>
      <c r="R63" s="32"/>
      <c r="S63" s="32"/>
      <c r="T63" s="32"/>
      <c r="U63" s="32"/>
      <c r="V63" s="32"/>
      <c r="W63" s="32"/>
      <c r="X63" s="32"/>
    </row>
    <row r="64">
      <c r="A64" s="5" t="str">
        <f>IFERROR(__xludf.DUMMYFUNCTION("""COMPUTED_VALUE"""),"Desert Titan")</f>
        <v>Desert Titan</v>
      </c>
      <c r="B64" s="35" t="str">
        <f>IFERROR(__xludf.DUMMYFUNCTION("""COMPUTED_VALUE"""),"1-5")</f>
        <v>1-5</v>
      </c>
      <c r="C64" s="5" t="str">
        <f>IFERROR(__xludf.DUMMYFUNCTION("""COMPUTED_VALUE"""),"1,000G-20,000G")</f>
        <v>1,000G-20,000G</v>
      </c>
      <c r="D64" s="35" t="str">
        <f>IFERROR(__xludf.DUMMYFUNCTION("""COMPUTED_VALUE"""),"6-10")</f>
        <v>6-10</v>
      </c>
      <c r="E64" s="5" t="str">
        <f>IFERROR(__xludf.DUMMYFUNCTION("""COMPUTED_VALUE"""),"Soul")</f>
        <v>Soul</v>
      </c>
      <c r="F64" s="35" t="str">
        <f>IFERROR(__xludf.DUMMYFUNCTION("""COMPUTED_VALUE"""),"11-15")</f>
        <v>11-15</v>
      </c>
      <c r="G64" s="5" t="str">
        <f>IFERROR(__xludf.DUMMYFUNCTION("""COMPUTED_VALUE"""),"Desert Ruby")</f>
        <v>Desert Ruby</v>
      </c>
      <c r="H64" s="35" t="str">
        <f>IFERROR(__xludf.DUMMYFUNCTION("""COMPUTED_VALUE"""),"16-20")</f>
        <v>16-20</v>
      </c>
      <c r="I64" s="5" t="str">
        <f>IFERROR(__xludf.DUMMYFUNCTION("""COMPUTED_VALUE"""),"Titanic Two Hander")</f>
        <v>Titanic Two Hander</v>
      </c>
      <c r="J64" s="35" t="str">
        <f>IFERROR(__xludf.DUMMYFUNCTION("""COMPUTED_VALUE"""),"21-25")</f>
        <v>21-25</v>
      </c>
      <c r="K64" s="5" t="str">
        <f>IFERROR(__xludf.DUMMYFUNCTION("""COMPUTED_VALUE"""),"Egg")</f>
        <v>Egg</v>
      </c>
      <c r="L64" s="32"/>
      <c r="M64" s="32"/>
      <c r="N64" s="32"/>
      <c r="O64" s="32"/>
      <c r="P64" s="32"/>
      <c r="Q64" s="32"/>
      <c r="R64" s="32"/>
      <c r="S64" s="32"/>
      <c r="T64" s="32"/>
      <c r="U64" s="32"/>
      <c r="V64" s="32"/>
      <c r="W64" s="32"/>
      <c r="X64" s="32"/>
    </row>
    <row r="65">
      <c r="A65" s="5" t="str">
        <f>IFERROR(__xludf.DUMMYFUNCTION("""COMPUTED_VALUE"""),"Divine Dragon Of The Flames")</f>
        <v>Divine Dragon Of The Flames</v>
      </c>
      <c r="B65" s="35" t="str">
        <f>IFERROR(__xludf.DUMMYFUNCTION("""COMPUTED_VALUE"""),"1-5")</f>
        <v>1-5</v>
      </c>
      <c r="C65" s="5" t="str">
        <f>IFERROR(__xludf.DUMMYFUNCTION("""COMPUTED_VALUE"""),"Sword Of Divine Flames")</f>
        <v>Sword Of Divine Flames</v>
      </c>
      <c r="D65" s="35" t="str">
        <f>IFERROR(__xludf.DUMMYFUNCTION("""COMPUTED_VALUE"""),"6-10")</f>
        <v>6-10</v>
      </c>
      <c r="E65" s="5" t="str">
        <f>IFERROR(__xludf.DUMMYFUNCTION("""COMPUTED_VALUE"""),"fire diamonds")</f>
        <v>fire diamonds</v>
      </c>
      <c r="F65" s="35" t="str">
        <f>IFERROR(__xludf.DUMMYFUNCTION("""COMPUTED_VALUE"""),"11-15")</f>
        <v>11-15</v>
      </c>
      <c r="G65" s="5" t="str">
        <f>IFERROR(__xludf.DUMMYFUNCTION("""COMPUTED_VALUE"""),"fire diamonds")</f>
        <v>fire diamonds</v>
      </c>
      <c r="H65" s="35" t="str">
        <f>IFERROR(__xludf.DUMMYFUNCTION("""COMPUTED_VALUE"""),"16-20")</f>
        <v>16-20</v>
      </c>
      <c r="I65" s="5" t="str">
        <f>IFERROR(__xludf.DUMMYFUNCTION("""COMPUTED_VALUE"""),"Soul")</f>
        <v>Soul</v>
      </c>
      <c r="J65" s="35" t="str">
        <f>IFERROR(__xludf.DUMMYFUNCTION("""COMPUTED_VALUE"""),"21-25")</f>
        <v>21-25</v>
      </c>
      <c r="K65" s="5" t="str">
        <f>IFERROR(__xludf.DUMMYFUNCTION("""COMPUTED_VALUE"""),"Nothing")</f>
        <v>Nothing</v>
      </c>
      <c r="L65" s="32"/>
      <c r="M65" s="32"/>
      <c r="N65" s="32"/>
      <c r="O65" s="32"/>
      <c r="P65" s="32"/>
      <c r="Q65" s="32"/>
      <c r="R65" s="32"/>
      <c r="S65" s="32"/>
      <c r="T65" s="32"/>
      <c r="U65" s="32"/>
      <c r="V65" s="32"/>
      <c r="W65" s="32"/>
      <c r="X65" s="32"/>
    </row>
    <row r="66">
      <c r="A66" s="5" t="str">
        <f>IFERROR(__xludf.DUMMYFUNCTION("""COMPUTED_VALUE"""),"Donkey")</f>
        <v>Donkey</v>
      </c>
      <c r="B66" s="35" t="str">
        <f>IFERROR(__xludf.DUMMYFUNCTION("""COMPUTED_VALUE"""),"1-5")</f>
        <v>1-5</v>
      </c>
      <c r="C66" s="5" t="str">
        <f>IFERROR(__xludf.DUMMYFUNCTION("""COMPUTED_VALUE"""),"Soul")</f>
        <v>Soul</v>
      </c>
      <c r="D66" s="35" t="str">
        <f>IFERROR(__xludf.DUMMYFUNCTION("""COMPUTED_VALUE"""),"6-10")</f>
        <v>6-10</v>
      </c>
      <c r="E66" s="5" t="str">
        <f>IFERROR(__xludf.DUMMYFUNCTION("""COMPUTED_VALUE"""),"Melomel (Mead w/ fruit added)")</f>
        <v>Melomel (Mead w/ fruit added)</v>
      </c>
      <c r="F66" s="35" t="str">
        <f>IFERROR(__xludf.DUMMYFUNCTION("""COMPUTED_VALUE"""),"11-15")</f>
        <v>11-15</v>
      </c>
      <c r="G66" s="5" t="str">
        <f>IFERROR(__xludf.DUMMYFUNCTION("""COMPUTED_VALUE"""),"Egg")</f>
        <v>Egg</v>
      </c>
      <c r="H66" s="35" t="str">
        <f>IFERROR(__xludf.DUMMYFUNCTION("""COMPUTED_VALUE"""),"16-20")</f>
        <v>16-20</v>
      </c>
      <c r="I66" s="5" t="str">
        <f>IFERROR(__xludf.DUMMYFUNCTION("""COMPUTED_VALUE"""),"80,000G-100,000G")</f>
        <v>80,000G-100,000G</v>
      </c>
      <c r="J66" s="35" t="str">
        <f>IFERROR(__xludf.DUMMYFUNCTION("""COMPUTED_VALUE"""),"21-25")</f>
        <v>21-25</v>
      </c>
      <c r="K66" s="5" t="str">
        <f>IFERROR(__xludf.DUMMYFUNCTION("""COMPUTED_VALUE"""),"Nothing")</f>
        <v>Nothing</v>
      </c>
      <c r="L66" s="32"/>
      <c r="M66" s="32"/>
      <c r="N66" s="32"/>
      <c r="O66" s="32"/>
      <c r="P66" s="32"/>
      <c r="Q66" s="32"/>
      <c r="R66" s="32"/>
      <c r="S66" s="32"/>
      <c r="T66" s="32"/>
      <c r="U66" s="32"/>
      <c r="V66" s="32"/>
      <c r="W66" s="32"/>
      <c r="X66" s="32"/>
    </row>
    <row r="67">
      <c r="A67" s="5" t="str">
        <f>IFERROR(__xludf.DUMMYFUNCTION("""COMPUTED_VALUE"""),"Dragon Summoner")</f>
        <v>Dragon Summoner</v>
      </c>
      <c r="B67" s="35" t="str">
        <f>IFERROR(__xludf.DUMMYFUNCTION("""COMPUTED_VALUE"""),"1-5")</f>
        <v>1-5</v>
      </c>
      <c r="C67" s="5" t="str">
        <f>IFERROR(__xludf.DUMMYFUNCTION("""COMPUTED_VALUE"""),"Dragon Jerky")</f>
        <v>Dragon Jerky</v>
      </c>
      <c r="D67" s="35" t="str">
        <f>IFERROR(__xludf.DUMMYFUNCTION("""COMPUTED_VALUE"""),"6-10")</f>
        <v>6-10</v>
      </c>
      <c r="E67" s="5" t="str">
        <f>IFERROR(__xludf.DUMMYFUNCTION("""COMPUTED_VALUE"""),"20,000G-40,000G")</f>
        <v>20,000G-40,000G</v>
      </c>
      <c r="F67" s="35" t="str">
        <f>IFERROR(__xludf.DUMMYFUNCTION("""COMPUTED_VALUE"""),"11-15")</f>
        <v>11-15</v>
      </c>
      <c r="G67" s="5" t="str">
        <f>IFERROR(__xludf.DUMMYFUNCTION("""COMPUTED_VALUE"""),"Dragon Flute")</f>
        <v>Dragon Flute</v>
      </c>
      <c r="H67" s="35" t="str">
        <f>IFERROR(__xludf.DUMMYFUNCTION("""COMPUTED_VALUE"""),"16-20")</f>
        <v>16-20</v>
      </c>
      <c r="I67" s="5" t="str">
        <f>IFERROR(__xludf.DUMMYFUNCTION("""COMPUTED_VALUE"""),"Soul")</f>
        <v>Soul</v>
      </c>
      <c r="J67" s="35" t="str">
        <f>IFERROR(__xludf.DUMMYFUNCTION("""COMPUTED_VALUE"""),"21-25")</f>
        <v>21-25</v>
      </c>
      <c r="K67" s="5" t="str">
        <f>IFERROR(__xludf.DUMMYFUNCTION("""COMPUTED_VALUE"""),"Nothing")</f>
        <v>Nothing</v>
      </c>
      <c r="L67" s="32"/>
      <c r="M67" s="32"/>
      <c r="N67" s="32"/>
      <c r="O67" s="32"/>
      <c r="P67" s="32"/>
      <c r="Q67" s="32"/>
      <c r="R67" s="32"/>
      <c r="S67" s="32"/>
      <c r="T67" s="32"/>
      <c r="U67" s="32"/>
      <c r="V67" s="32"/>
      <c r="W67" s="32"/>
      <c r="X67" s="32"/>
    </row>
    <row r="68">
      <c r="A68" s="5" t="str">
        <f>IFERROR(__xludf.DUMMYFUNCTION("""COMPUTED_VALUE"""),"Dreading Fire Lich")</f>
        <v>Dreading Fire Lich</v>
      </c>
      <c r="B68" s="35" t="str">
        <f>IFERROR(__xludf.DUMMYFUNCTION("""COMPUTED_VALUE"""),"1-5")</f>
        <v>1-5</v>
      </c>
      <c r="C68" s="5" t="str">
        <f>IFERROR(__xludf.DUMMYFUNCTION("""COMPUTED_VALUE"""),"Liches Eye")</f>
        <v>Liches Eye</v>
      </c>
      <c r="D68" s="35" t="str">
        <f>IFERROR(__xludf.DUMMYFUNCTION("""COMPUTED_VALUE"""),"6-10")</f>
        <v>6-10</v>
      </c>
      <c r="E68" s="5" t="str">
        <f>IFERROR(__xludf.DUMMYFUNCTION("""COMPUTED_VALUE"""),"Rank 9 Fire Tome")</f>
        <v>Rank 9 Fire Tome</v>
      </c>
      <c r="F68" s="35" t="str">
        <f>IFERROR(__xludf.DUMMYFUNCTION("""COMPUTED_VALUE"""),"11-15")</f>
        <v>11-15</v>
      </c>
      <c r="G68" s="5" t="str">
        <f>IFERROR(__xludf.DUMMYFUNCTION("""COMPUTED_VALUE"""),"Nothing")</f>
        <v>Nothing</v>
      </c>
      <c r="H68" s="35" t="str">
        <f>IFERROR(__xludf.DUMMYFUNCTION("""COMPUTED_VALUE"""),"16-20")</f>
        <v>16-20</v>
      </c>
      <c r="I68" s="5" t="str">
        <f>IFERROR(__xludf.DUMMYFUNCTION("""COMPUTED_VALUE"""),"Nothing")</f>
        <v>Nothing</v>
      </c>
      <c r="J68" s="35" t="str">
        <f>IFERROR(__xludf.DUMMYFUNCTION("""COMPUTED_VALUE"""),"21-25")</f>
        <v>21-25</v>
      </c>
      <c r="K68" s="5" t="str">
        <f>IFERROR(__xludf.DUMMYFUNCTION("""COMPUTED_VALUE"""),"Soul")</f>
        <v>Soul</v>
      </c>
      <c r="L68" s="32"/>
      <c r="M68" s="32"/>
      <c r="N68" s="32"/>
      <c r="O68" s="32"/>
      <c r="P68" s="32"/>
      <c r="Q68" s="32"/>
      <c r="R68" s="32"/>
      <c r="S68" s="32"/>
      <c r="T68" s="32"/>
      <c r="U68" s="32"/>
      <c r="V68" s="32"/>
      <c r="W68" s="32"/>
      <c r="X68" s="32"/>
    </row>
    <row r="69">
      <c r="A69" s="5" t="str">
        <f>IFERROR(__xludf.DUMMYFUNCTION("""COMPUTED_VALUE"""),"Dweller Of The Abyss ")</f>
        <v>Dweller Of The Abyss </v>
      </c>
      <c r="B69" s="35" t="str">
        <f>IFERROR(__xludf.DUMMYFUNCTION("""COMPUTED_VALUE"""),"1-5")</f>
        <v>1-5</v>
      </c>
      <c r="C69" s="5" t="str">
        <f>IFERROR(__xludf.DUMMYFUNCTION("""COMPUTED_VALUE"""),"Ring Of Dwelling Waters")</f>
        <v>Ring Of Dwelling Waters</v>
      </c>
      <c r="D69" s="35" t="str">
        <f>IFERROR(__xludf.DUMMYFUNCTION("""COMPUTED_VALUE"""),"6-10")</f>
        <v>6-10</v>
      </c>
      <c r="E69" s="5" t="str">
        <f>IFERROR(__xludf.DUMMYFUNCTION("""COMPUTED_VALUE"""),"500,000SC-1,000,000SC")</f>
        <v>500,000SC-1,000,000SC</v>
      </c>
      <c r="F69" s="35" t="str">
        <f>IFERROR(__xludf.DUMMYFUNCTION("""COMPUTED_VALUE"""),"11-15")</f>
        <v>11-15</v>
      </c>
      <c r="G69" s="5" t="str">
        <f>IFERROR(__xludf.DUMMYFUNCTION("""COMPUTED_VALUE"""),"Nothing")</f>
        <v>Nothing</v>
      </c>
      <c r="H69" s="35" t="str">
        <f>IFERROR(__xludf.DUMMYFUNCTION("""COMPUTED_VALUE"""),"16-20")</f>
        <v>16-20</v>
      </c>
      <c r="I69" s="5" t="str">
        <f>IFERROR(__xludf.DUMMYFUNCTION("""COMPUTED_VALUE"""),"Sword Of The Abyss")</f>
        <v>Sword Of The Abyss</v>
      </c>
      <c r="J69" s="35" t="str">
        <f>IFERROR(__xludf.DUMMYFUNCTION("""COMPUTED_VALUE"""),"21-25")</f>
        <v>21-25</v>
      </c>
      <c r="K69" s="5" t="str">
        <f>IFERROR(__xludf.DUMMYFUNCTION("""COMPUTED_VALUE"""),"100,000,000G-500,000,000G")</f>
        <v>100,000,000G-500,000,000G</v>
      </c>
      <c r="L69" s="32"/>
      <c r="M69" s="32"/>
      <c r="N69" s="32"/>
      <c r="O69" s="32"/>
      <c r="P69" s="32"/>
      <c r="Q69" s="32"/>
      <c r="R69" s="32"/>
      <c r="S69" s="32"/>
      <c r="T69" s="32"/>
      <c r="U69" s="32"/>
      <c r="V69" s="32"/>
      <c r="W69" s="32"/>
      <c r="X69" s="32"/>
    </row>
    <row r="70">
      <c r="A70" s="5" t="str">
        <f>IFERROR(__xludf.DUMMYFUNCTION("""COMPUTED_VALUE"""),"Eagle")</f>
        <v>Eagle</v>
      </c>
      <c r="B70" s="35" t="str">
        <f>IFERROR(__xludf.DUMMYFUNCTION("""COMPUTED_VALUE"""),"1-5")</f>
        <v>1-5</v>
      </c>
      <c r="C70" s="5" t="str">
        <f>IFERROR(__xludf.DUMMYFUNCTION("""COMPUTED_VALUE"""),"Eagle Feathers")</f>
        <v>Eagle Feathers</v>
      </c>
      <c r="D70" s="35" t="str">
        <f>IFERROR(__xludf.DUMMYFUNCTION("""COMPUTED_VALUE"""),"6-10")</f>
        <v>6-10</v>
      </c>
      <c r="E70" s="5" t="str">
        <f>IFERROR(__xludf.DUMMYFUNCTION("""COMPUTED_VALUE"""),"Talon")</f>
        <v>Talon</v>
      </c>
      <c r="F70" s="35" t="str">
        <f>IFERROR(__xludf.DUMMYFUNCTION("""COMPUTED_VALUE"""),"11-15")</f>
        <v>11-15</v>
      </c>
      <c r="G70" s="5" t="str">
        <f>IFERROR(__xludf.DUMMYFUNCTION("""COMPUTED_VALUE"""),"Egg")</f>
        <v>Egg</v>
      </c>
      <c r="H70" s="35" t="str">
        <f>IFERROR(__xludf.DUMMYFUNCTION("""COMPUTED_VALUE"""),"16-20")</f>
        <v>16-20</v>
      </c>
      <c r="I70" s="5" t="str">
        <f>IFERROR(__xludf.DUMMYFUNCTION("""COMPUTED_VALUE"""),"Soul")</f>
        <v>Soul</v>
      </c>
      <c r="J70" s="35" t="str">
        <f>IFERROR(__xludf.DUMMYFUNCTION("""COMPUTED_VALUE"""),"21-25")</f>
        <v>21-25</v>
      </c>
      <c r="K70" s="5" t="str">
        <f>IFERROR(__xludf.DUMMYFUNCTION("""COMPUTED_VALUE"""),"Nothing")</f>
        <v>Nothing</v>
      </c>
      <c r="L70" s="32"/>
      <c r="M70" s="32"/>
      <c r="N70" s="32"/>
      <c r="O70" s="32"/>
      <c r="P70" s="32"/>
      <c r="Q70" s="32"/>
      <c r="R70" s="32"/>
      <c r="S70" s="32"/>
      <c r="T70" s="32"/>
      <c r="U70" s="32"/>
      <c r="V70" s="32"/>
      <c r="W70" s="32"/>
      <c r="X70" s="32"/>
    </row>
    <row r="71">
      <c r="A71" s="5" t="str">
        <f>IFERROR(__xludf.DUMMYFUNCTION("""COMPUTED_VALUE"""),"Eagle (Enhanced)")</f>
        <v>Eagle (Enhanced)</v>
      </c>
      <c r="B71" s="35" t="str">
        <f>IFERROR(__xludf.DUMMYFUNCTION("""COMPUTED_VALUE"""),"1-5")</f>
        <v>1-5</v>
      </c>
      <c r="C71" s="5" t="str">
        <f>IFERROR(__xludf.DUMMYFUNCTION("""COMPUTED_VALUE"""),"Soul")</f>
        <v>Soul</v>
      </c>
      <c r="D71" s="35" t="str">
        <f>IFERROR(__xludf.DUMMYFUNCTION("""COMPUTED_VALUE"""),"6-10")</f>
        <v>6-10</v>
      </c>
      <c r="E71" s="5" t="str">
        <f>IFERROR(__xludf.DUMMYFUNCTION("""COMPUTED_VALUE"""),"Nothing")</f>
        <v>Nothing</v>
      </c>
      <c r="F71" s="35" t="str">
        <f>IFERROR(__xludf.DUMMYFUNCTION("""COMPUTED_VALUE"""),"11-15")</f>
        <v>11-15</v>
      </c>
      <c r="G71" s="5" t="str">
        <f>IFERROR(__xludf.DUMMYFUNCTION("""COMPUTED_VALUE"""),"Nothing")</f>
        <v>Nothing</v>
      </c>
      <c r="H71" s="35" t="str">
        <f>IFERROR(__xludf.DUMMYFUNCTION("""COMPUTED_VALUE"""),"16-20")</f>
        <v>16-20</v>
      </c>
      <c r="I71" s="5" t="str">
        <f>IFERROR(__xludf.DUMMYFUNCTION("""COMPUTED_VALUE"""),"1,000G-20,000G")</f>
        <v>1,000G-20,000G</v>
      </c>
      <c r="J71" s="35" t="str">
        <f>IFERROR(__xludf.DUMMYFUNCTION("""COMPUTED_VALUE"""),"21-25")</f>
        <v>21-25</v>
      </c>
      <c r="K71" s="5" t="str">
        <f>IFERROR(__xludf.DUMMYFUNCTION("""COMPUTED_VALUE"""),"Eagle Feathers")</f>
        <v>Eagle Feathers</v>
      </c>
      <c r="L71" s="32"/>
      <c r="M71" s="32"/>
      <c r="N71" s="32"/>
      <c r="O71" s="32"/>
      <c r="P71" s="32"/>
      <c r="Q71" s="32"/>
      <c r="R71" s="32"/>
      <c r="S71" s="32"/>
      <c r="T71" s="32"/>
      <c r="U71" s="32"/>
      <c r="V71" s="32"/>
      <c r="W71" s="32"/>
      <c r="X71" s="32"/>
    </row>
    <row r="72">
      <c r="A72" s="5" t="str">
        <f>IFERROR(__xludf.DUMMYFUNCTION("""COMPUTED_VALUE"""),"Elder Monk Kenyu")</f>
        <v>Elder Monk Kenyu</v>
      </c>
      <c r="B72" s="35" t="str">
        <f>IFERROR(__xludf.DUMMYFUNCTION("""COMPUTED_VALUE"""),"1-5")</f>
        <v>1-5</v>
      </c>
      <c r="C72" s="5" t="str">
        <f>IFERROR(__xludf.DUMMYFUNCTION("""COMPUTED_VALUE"""),"Bo Staff Of Zhenmay")</f>
        <v>Bo Staff Of Zhenmay</v>
      </c>
      <c r="D72" s="35" t="str">
        <f>IFERROR(__xludf.DUMMYFUNCTION("""COMPUTED_VALUE"""),"6-10")</f>
        <v>6-10</v>
      </c>
      <c r="E72" s="5" t="str">
        <f>IFERROR(__xludf.DUMMYFUNCTION("""COMPUTED_VALUE"""),"Soul")</f>
        <v>Soul</v>
      </c>
      <c r="F72" s="35" t="str">
        <f>IFERROR(__xludf.DUMMYFUNCTION("""COMPUTED_VALUE"""),"11-15")</f>
        <v>11-15</v>
      </c>
      <c r="G72" s="5" t="str">
        <f>IFERROR(__xludf.DUMMYFUNCTION("""COMPUTED_VALUE"""),"Nothing")</f>
        <v>Nothing</v>
      </c>
      <c r="H72" s="35" t="str">
        <f>IFERROR(__xludf.DUMMYFUNCTION("""COMPUTED_VALUE"""),"16-20")</f>
        <v>16-20</v>
      </c>
      <c r="I72" s="5" t="str">
        <f>IFERROR(__xludf.DUMMYFUNCTION("""COMPUTED_VALUE"""),"Soul")</f>
        <v>Soul</v>
      </c>
      <c r="J72" s="35" t="str">
        <f>IFERROR(__xludf.DUMMYFUNCTION("""COMPUTED_VALUE"""),"21-25")</f>
        <v>21-25</v>
      </c>
      <c r="K72" s="5" t="str">
        <f>IFERROR(__xludf.DUMMYFUNCTION("""COMPUTED_VALUE"""),"40,000,000G-60,000,000G")</f>
        <v>40,000,000G-60,000,000G</v>
      </c>
      <c r="L72" s="32"/>
      <c r="M72" s="32"/>
      <c r="N72" s="32"/>
      <c r="O72" s="32"/>
      <c r="P72" s="32"/>
      <c r="Q72" s="32"/>
      <c r="R72" s="32"/>
      <c r="S72" s="32"/>
      <c r="T72" s="32"/>
      <c r="U72" s="32"/>
      <c r="V72" s="32"/>
      <c r="W72" s="32"/>
      <c r="X72" s="32"/>
    </row>
    <row r="73">
      <c r="A73" s="5" t="str">
        <f>IFERROR(__xludf.DUMMYFUNCTION("""COMPUTED_VALUE"""),"Evil Clown")</f>
        <v>Evil Clown</v>
      </c>
      <c r="B73" s="35" t="str">
        <f>IFERROR(__xludf.DUMMYFUNCTION("""COMPUTED_VALUE"""),"1-5")</f>
        <v>1-5</v>
      </c>
      <c r="C73" s="5" t="str">
        <f>IFERROR(__xludf.DUMMYFUNCTION("""COMPUTED_VALUE"""),"Soul")</f>
        <v>Soul</v>
      </c>
      <c r="D73" s="35" t="str">
        <f>IFERROR(__xludf.DUMMYFUNCTION("""COMPUTED_VALUE"""),"6-10")</f>
        <v>6-10</v>
      </c>
      <c r="E73" s="5" t="str">
        <f>IFERROR(__xludf.DUMMYFUNCTION("""COMPUTED_VALUE"""),"Egg")</f>
        <v>Egg</v>
      </c>
      <c r="F73" s="35" t="str">
        <f>IFERROR(__xludf.DUMMYFUNCTION("""COMPUTED_VALUE"""),"11-15")</f>
        <v>11-15</v>
      </c>
      <c r="G73" s="5" t="str">
        <f>IFERROR(__xludf.DUMMYFUNCTION("""COMPUTED_VALUE"""),"Nothing")</f>
        <v>Nothing</v>
      </c>
      <c r="H73" s="35" t="str">
        <f>IFERROR(__xludf.DUMMYFUNCTION("""COMPUTED_VALUE"""),"16-20")</f>
        <v>16-20</v>
      </c>
      <c r="I73" s="5" t="str">
        <f>IFERROR(__xludf.DUMMYFUNCTION("""COMPUTED_VALUE"""),"Nothing")</f>
        <v>Nothing</v>
      </c>
      <c r="J73" s="35" t="str">
        <f>IFERROR(__xludf.DUMMYFUNCTION("""COMPUTED_VALUE"""),"21-25")</f>
        <v>21-25</v>
      </c>
      <c r="K73" s="5" t="str">
        <f>IFERROR(__xludf.DUMMYFUNCTION("""COMPUTED_VALUE"""),"Ring o' Insanity and Chaos")</f>
        <v>Ring o' Insanity and Chaos</v>
      </c>
      <c r="L73" s="32"/>
      <c r="M73" s="32"/>
      <c r="N73" s="32"/>
      <c r="O73" s="32"/>
      <c r="P73" s="32"/>
      <c r="Q73" s="32"/>
      <c r="R73" s="32"/>
      <c r="S73" s="32"/>
      <c r="T73" s="32"/>
      <c r="U73" s="32"/>
      <c r="V73" s="32"/>
      <c r="W73" s="32"/>
      <c r="X73" s="32"/>
    </row>
    <row r="74">
      <c r="A74" s="5" t="str">
        <f>IFERROR(__xludf.DUMMYFUNCTION("""COMPUTED_VALUE"""),"Evil Moth")</f>
        <v>Evil Moth</v>
      </c>
      <c r="B74" s="35" t="str">
        <f>IFERROR(__xludf.DUMMYFUNCTION("""COMPUTED_VALUE"""),"1-5")</f>
        <v>1-5</v>
      </c>
      <c r="C74" s="5" t="str">
        <f>IFERROR(__xludf.DUMMYFUNCTION("""COMPUTED_VALUE"""),"Scale")</f>
        <v>Scale</v>
      </c>
      <c r="D74" s="35" t="str">
        <f>IFERROR(__xludf.DUMMYFUNCTION("""COMPUTED_VALUE"""),"6-10")</f>
        <v>6-10</v>
      </c>
      <c r="E74" s="5" t="str">
        <f>IFERROR(__xludf.DUMMYFUNCTION("""COMPUTED_VALUE"""),"1,000G-20,000G")</f>
        <v>1,000G-20,000G</v>
      </c>
      <c r="F74" s="35" t="str">
        <f>IFERROR(__xludf.DUMMYFUNCTION("""COMPUTED_VALUE"""),"11-15")</f>
        <v>11-15</v>
      </c>
      <c r="G74" s="5" t="str">
        <f>IFERROR(__xludf.DUMMYFUNCTION("""COMPUTED_VALUE"""),"Nothing")</f>
        <v>Nothing</v>
      </c>
      <c r="H74" s="35" t="str">
        <f>IFERROR(__xludf.DUMMYFUNCTION("""COMPUTED_VALUE"""),"16-20")</f>
        <v>16-20</v>
      </c>
      <c r="I74" s="5" t="str">
        <f>IFERROR(__xludf.DUMMYFUNCTION("""COMPUTED_VALUE"""),"Soul")</f>
        <v>Soul</v>
      </c>
      <c r="J74" s="35" t="str">
        <f>IFERROR(__xludf.DUMMYFUNCTION("""COMPUTED_VALUE"""),"21-25")</f>
        <v>21-25</v>
      </c>
      <c r="K74" s="5" t="str">
        <f>IFERROR(__xludf.DUMMYFUNCTION("""COMPUTED_VALUE"""),"Egg")</f>
        <v>Egg</v>
      </c>
      <c r="L74" s="32"/>
      <c r="M74" s="32"/>
      <c r="N74" s="32"/>
      <c r="O74" s="32"/>
      <c r="P74" s="32"/>
      <c r="Q74" s="32"/>
      <c r="R74" s="32"/>
      <c r="S74" s="32"/>
      <c r="T74" s="32"/>
      <c r="U74" s="32"/>
      <c r="V74" s="32"/>
      <c r="W74" s="32"/>
      <c r="X74" s="32"/>
    </row>
    <row r="75">
      <c r="A75" s="5" t="str">
        <f>IFERROR(__xludf.DUMMYFUNCTION("""COMPUTED_VALUE"""),"Failinis")</f>
        <v>Failinis</v>
      </c>
      <c r="B75" s="35" t="str">
        <f>IFERROR(__xludf.DUMMYFUNCTION("""COMPUTED_VALUE"""),"1-5")</f>
        <v>1-5</v>
      </c>
      <c r="C75" s="5"/>
      <c r="D75" s="35" t="str">
        <f>IFERROR(__xludf.DUMMYFUNCTION("""COMPUTED_VALUE"""),"6-10")</f>
        <v>6-10</v>
      </c>
      <c r="E75" s="5"/>
      <c r="F75" s="35" t="str">
        <f>IFERROR(__xludf.DUMMYFUNCTION("""COMPUTED_VALUE"""),"11-15")</f>
        <v>11-15</v>
      </c>
      <c r="G75" s="5"/>
      <c r="H75" s="35" t="str">
        <f>IFERROR(__xludf.DUMMYFUNCTION("""COMPUTED_VALUE"""),"16-20")</f>
        <v>16-20</v>
      </c>
      <c r="I75" s="5"/>
      <c r="J75" s="35" t="str">
        <f>IFERROR(__xludf.DUMMYFUNCTION("""COMPUTED_VALUE"""),"21-25")</f>
        <v>21-25</v>
      </c>
      <c r="K75" s="5"/>
      <c r="L75" s="32"/>
      <c r="M75" s="32"/>
      <c r="N75" s="32"/>
      <c r="O75" s="32"/>
      <c r="P75" s="32"/>
      <c r="Q75" s="32"/>
      <c r="R75" s="32"/>
      <c r="S75" s="32"/>
      <c r="T75" s="32"/>
      <c r="U75" s="32"/>
      <c r="V75" s="32"/>
      <c r="W75" s="32"/>
      <c r="X75" s="32"/>
    </row>
    <row r="76">
      <c r="A76" s="5" t="str">
        <f>IFERROR(__xludf.DUMMYFUNCTION("""COMPUTED_VALUE"""),"Fire Dragon")</f>
        <v>Fire Dragon</v>
      </c>
      <c r="B76" s="35" t="str">
        <f>IFERROR(__xludf.DUMMYFUNCTION("""COMPUTED_VALUE"""),"1-5")</f>
        <v>1-5</v>
      </c>
      <c r="C76" s="5" t="str">
        <f>IFERROR(__xludf.DUMMYFUNCTION("""COMPUTED_VALUE"""),"Soul")</f>
        <v>Soul</v>
      </c>
      <c r="D76" s="35" t="str">
        <f>IFERROR(__xludf.DUMMYFUNCTION("""COMPUTED_VALUE"""),"6-10")</f>
        <v>6-10</v>
      </c>
      <c r="E76" s="5" t="str">
        <f>IFERROR(__xludf.DUMMYFUNCTION("""COMPUTED_VALUE"""),"1,000,000G-20,000,000G")</f>
        <v>1,000,000G-20,000,000G</v>
      </c>
      <c r="F76" s="35" t="str">
        <f>IFERROR(__xludf.DUMMYFUNCTION("""COMPUTED_VALUE"""),"11-15")</f>
        <v>11-15</v>
      </c>
      <c r="G76" s="5" t="str">
        <f>IFERROR(__xludf.DUMMYFUNCTION("""COMPUTED_VALUE"""),"Wig of Temper Fire")</f>
        <v>Wig of Temper Fire</v>
      </c>
      <c r="H76" s="35" t="str">
        <f>IFERROR(__xludf.DUMMYFUNCTION("""COMPUTED_VALUE"""),"16-20")</f>
        <v>16-20</v>
      </c>
      <c r="I76" s="5" t="str">
        <f>IFERROR(__xludf.DUMMYFUNCTION("""COMPUTED_VALUE"""),"Nothing")</f>
        <v>Nothing</v>
      </c>
      <c r="J76" s="35" t="str">
        <f>IFERROR(__xludf.DUMMYFUNCTION("""COMPUTED_VALUE"""),"21-25")</f>
        <v>21-25</v>
      </c>
      <c r="K76" s="5" t="str">
        <f>IFERROR(__xludf.DUMMYFUNCTION("""COMPUTED_VALUE"""),"Egg")</f>
        <v>Egg</v>
      </c>
      <c r="L76" s="32"/>
      <c r="M76" s="32"/>
      <c r="N76" s="32"/>
      <c r="O76" s="32"/>
      <c r="P76" s="32"/>
      <c r="Q76" s="32"/>
      <c r="R76" s="32"/>
      <c r="S76" s="32"/>
      <c r="T76" s="32"/>
      <c r="U76" s="32"/>
      <c r="V76" s="32"/>
      <c r="W76" s="32"/>
      <c r="X76" s="32"/>
    </row>
    <row r="77">
      <c r="A77" s="5" t="str">
        <f>IFERROR(__xludf.DUMMYFUNCTION("""COMPUTED_VALUE"""),"Fire Mage")</f>
        <v>Fire Mage</v>
      </c>
      <c r="B77" s="35" t="str">
        <f>IFERROR(__xludf.DUMMYFUNCTION("""COMPUTED_VALUE"""),"1-5")</f>
        <v>1-5</v>
      </c>
      <c r="C77" s="5" t="str">
        <f>IFERROR(__xludf.DUMMYFUNCTION("""COMPUTED_VALUE"""),"Rank 9 Fire Tome")</f>
        <v>Rank 9 Fire Tome</v>
      </c>
      <c r="D77" s="35" t="str">
        <f>IFERROR(__xludf.DUMMYFUNCTION("""COMPUTED_VALUE"""),"6-10")</f>
        <v>6-10</v>
      </c>
      <c r="E77" s="5" t="str">
        <f>IFERROR(__xludf.DUMMYFUNCTION("""COMPUTED_VALUE"""),"Fire ring")</f>
        <v>Fire ring</v>
      </c>
      <c r="F77" s="35" t="str">
        <f>IFERROR(__xludf.DUMMYFUNCTION("""COMPUTED_VALUE"""),"11-15")</f>
        <v>11-15</v>
      </c>
      <c r="G77" s="5" t="str">
        <f>IFERROR(__xludf.DUMMYFUNCTION("""COMPUTED_VALUE"""),"Soul")</f>
        <v>Soul</v>
      </c>
      <c r="H77" s="35" t="str">
        <f>IFERROR(__xludf.DUMMYFUNCTION("""COMPUTED_VALUE"""),"16-20")</f>
        <v>16-20</v>
      </c>
      <c r="I77" s="5" t="str">
        <f>IFERROR(__xludf.DUMMYFUNCTION("""COMPUTED_VALUE"""),"20,000G-40,000G")</f>
        <v>20,000G-40,000G</v>
      </c>
      <c r="J77" s="35" t="str">
        <f>IFERROR(__xludf.DUMMYFUNCTION("""COMPUTED_VALUE"""),"21-25")</f>
        <v>21-25</v>
      </c>
      <c r="K77" s="5" t="str">
        <f>IFERROR(__xludf.DUMMYFUNCTION("""COMPUTED_VALUE"""),"Egg")</f>
        <v>Egg</v>
      </c>
      <c r="L77" s="32"/>
      <c r="M77" s="32"/>
      <c r="N77" s="32"/>
      <c r="O77" s="32"/>
      <c r="P77" s="32"/>
      <c r="Q77" s="32"/>
      <c r="R77" s="32"/>
      <c r="S77" s="32"/>
      <c r="T77" s="32"/>
      <c r="U77" s="32"/>
      <c r="V77" s="32"/>
      <c r="W77" s="32"/>
      <c r="X77" s="32"/>
    </row>
    <row r="78">
      <c r="A78" s="5" t="str">
        <f>IFERROR(__xludf.DUMMYFUNCTION("""COMPUTED_VALUE"""),"Fire Soldier")</f>
        <v>Fire Soldier</v>
      </c>
      <c r="B78" s="35" t="str">
        <f>IFERROR(__xludf.DUMMYFUNCTION("""COMPUTED_VALUE"""),"1-5")</f>
        <v>1-5</v>
      </c>
      <c r="C78" s="5" t="str">
        <f>IFERROR(__xludf.DUMMYFUNCTION("""COMPUTED_VALUE"""),"Egg")</f>
        <v>Egg</v>
      </c>
      <c r="D78" s="35" t="str">
        <f>IFERROR(__xludf.DUMMYFUNCTION("""COMPUTED_VALUE"""),"6-10")</f>
        <v>6-10</v>
      </c>
      <c r="E78" s="5" t="str">
        <f>IFERROR(__xludf.DUMMYFUNCTION("""COMPUTED_VALUE"""),"Soul")</f>
        <v>Soul</v>
      </c>
      <c r="F78" s="35" t="str">
        <f>IFERROR(__xludf.DUMMYFUNCTION("""COMPUTED_VALUE"""),"11-15")</f>
        <v>11-15</v>
      </c>
      <c r="G78" s="5" t="str">
        <f>IFERROR(__xludf.DUMMYFUNCTION("""COMPUTED_VALUE"""),"Fire Resistant Boots")</f>
        <v>Fire Resistant Boots</v>
      </c>
      <c r="H78" s="35" t="str">
        <f>IFERROR(__xludf.DUMMYFUNCTION("""COMPUTED_VALUE"""),"16-20")</f>
        <v>16-20</v>
      </c>
      <c r="I78" s="5" t="str">
        <f>IFERROR(__xludf.DUMMYFUNCTION("""COMPUTED_VALUE"""),"Fireproof Suit")</f>
        <v>Fireproof Suit</v>
      </c>
      <c r="J78" s="35" t="str">
        <f>IFERROR(__xludf.DUMMYFUNCTION("""COMPUTED_VALUE"""),"21-25")</f>
        <v>21-25</v>
      </c>
      <c r="K78" s="5" t="str">
        <f>IFERROR(__xludf.DUMMYFUNCTION("""COMPUTED_VALUE"""),"80,000G-100,000G")</f>
        <v>80,000G-100,000G</v>
      </c>
      <c r="L78" s="32"/>
      <c r="M78" s="32"/>
      <c r="N78" s="32"/>
      <c r="O78" s="32"/>
      <c r="P78" s="32"/>
      <c r="Q78" s="32"/>
      <c r="R78" s="32"/>
      <c r="S78" s="32"/>
      <c r="T78" s="32"/>
      <c r="U78" s="32"/>
      <c r="V78" s="32"/>
      <c r="W78" s="32"/>
      <c r="X78" s="32"/>
    </row>
    <row r="79">
      <c r="A79" s="5" t="str">
        <f>IFERROR(__xludf.DUMMYFUNCTION("""COMPUTED_VALUE"""),"Fire Warrior")</f>
        <v>Fire Warrior</v>
      </c>
      <c r="B79" s="35" t="str">
        <f>IFERROR(__xludf.DUMMYFUNCTION("""COMPUTED_VALUE"""),"1-5")</f>
        <v>1-5</v>
      </c>
      <c r="C79" s="5" t="str">
        <f>IFERROR(__xludf.DUMMYFUNCTION("""COMPUTED_VALUE"""),"Fire Sword")</f>
        <v>Fire Sword</v>
      </c>
      <c r="D79" s="35" t="str">
        <f>IFERROR(__xludf.DUMMYFUNCTION("""COMPUTED_VALUE"""),"6-10")</f>
        <v>6-10</v>
      </c>
      <c r="E79" s="5" t="str">
        <f>IFERROR(__xludf.DUMMYFUNCTION("""COMPUTED_VALUE"""),"Soul")</f>
        <v>Soul</v>
      </c>
      <c r="F79" s="35" t="str">
        <f>IFERROR(__xludf.DUMMYFUNCTION("""COMPUTED_VALUE"""),"11-15")</f>
        <v>11-15</v>
      </c>
      <c r="G79" s="5" t="str">
        <f>IFERROR(__xludf.DUMMYFUNCTION("""COMPUTED_VALUE"""),"Fire Shield")</f>
        <v>Fire Shield</v>
      </c>
      <c r="H79" s="35" t="str">
        <f>IFERROR(__xludf.DUMMYFUNCTION("""COMPUTED_VALUE"""),"16-20")</f>
        <v>16-20</v>
      </c>
      <c r="I79" s="5" t="str">
        <f>IFERROR(__xludf.DUMMYFUNCTION("""COMPUTED_VALUE"""),"Egg")</f>
        <v>Egg</v>
      </c>
      <c r="J79" s="35" t="str">
        <f>IFERROR(__xludf.DUMMYFUNCTION("""COMPUTED_VALUE"""),"21-25")</f>
        <v>21-25</v>
      </c>
      <c r="K79" s="5" t="str">
        <f>IFERROR(__xludf.DUMMYFUNCTION("""COMPUTED_VALUE"""),"1,000,000G-20,000,000G")</f>
        <v>1,000,000G-20,000,000G</v>
      </c>
      <c r="L79" s="32"/>
      <c r="M79" s="32"/>
      <c r="N79" s="32"/>
      <c r="O79" s="32"/>
      <c r="P79" s="32"/>
      <c r="Q79" s="32"/>
      <c r="R79" s="32"/>
      <c r="S79" s="32"/>
      <c r="T79" s="32"/>
      <c r="U79" s="32"/>
      <c r="V79" s="32"/>
      <c r="W79" s="32"/>
      <c r="X79" s="32"/>
    </row>
    <row r="80">
      <c r="A80" s="5" t="str">
        <f>IFERROR(__xludf.DUMMYFUNCTION("""COMPUTED_VALUE"""),"Fireflies")</f>
        <v>Fireflies</v>
      </c>
      <c r="B80" s="35" t="str">
        <f>IFERROR(__xludf.DUMMYFUNCTION("""COMPUTED_VALUE"""),"1-5")</f>
        <v>1-5</v>
      </c>
      <c r="C80" s="5" t="str">
        <f>IFERROR(__xludf.DUMMYFUNCTION("""COMPUTED_VALUE"""),"Fire Ring")</f>
        <v>Fire Ring</v>
      </c>
      <c r="D80" s="35" t="str">
        <f>IFERROR(__xludf.DUMMYFUNCTION("""COMPUTED_VALUE"""),"6-10")</f>
        <v>6-10</v>
      </c>
      <c r="E80" s="5" t="str">
        <f>IFERROR(__xludf.DUMMYFUNCTION("""COMPUTED_VALUE"""),"Fire Arrow")</f>
        <v>Fire Arrow</v>
      </c>
      <c r="F80" s="35" t="str">
        <f>IFERROR(__xludf.DUMMYFUNCTION("""COMPUTED_VALUE"""),"11-15")</f>
        <v>11-15</v>
      </c>
      <c r="G80" s="5" t="str">
        <f>IFERROR(__xludf.DUMMYFUNCTION("""COMPUTED_VALUE"""),"Fire Gem")</f>
        <v>Fire Gem</v>
      </c>
      <c r="H80" s="35" t="str">
        <f>IFERROR(__xludf.DUMMYFUNCTION("""COMPUTED_VALUE"""),"16-20")</f>
        <v>16-20</v>
      </c>
      <c r="I80" s="5" t="str">
        <f>IFERROR(__xludf.DUMMYFUNCTION("""COMPUTED_VALUE"""),"Egg")</f>
        <v>Egg</v>
      </c>
      <c r="J80" s="35" t="str">
        <f>IFERROR(__xludf.DUMMYFUNCTION("""COMPUTED_VALUE"""),"21-25")</f>
        <v>21-25</v>
      </c>
      <c r="K80" s="5" t="str">
        <f>IFERROR(__xludf.DUMMYFUNCTION("""COMPUTED_VALUE"""),"Soul")</f>
        <v>Soul</v>
      </c>
      <c r="L80" s="32"/>
      <c r="M80" s="32"/>
      <c r="N80" s="32"/>
      <c r="O80" s="32"/>
      <c r="P80" s="32"/>
      <c r="Q80" s="32"/>
      <c r="R80" s="32"/>
      <c r="S80" s="32"/>
      <c r="T80" s="32"/>
      <c r="U80" s="32"/>
      <c r="V80" s="32"/>
      <c r="W80" s="32"/>
      <c r="X80" s="32"/>
    </row>
    <row r="81">
      <c r="A81" s="5" t="str">
        <f>IFERROR(__xludf.DUMMYFUNCTION("""COMPUTED_VALUE"""),"Flamethrower Corpse")</f>
        <v>Flamethrower Corpse</v>
      </c>
      <c r="B81" s="35" t="str">
        <f>IFERROR(__xludf.DUMMYFUNCTION("""COMPUTED_VALUE"""),"1-5")</f>
        <v>1-5</v>
      </c>
      <c r="C81" s="5" t="str">
        <f>IFERROR(__xludf.DUMMYFUNCTION("""COMPUTED_VALUE"""),"Flamethrower")</f>
        <v>Flamethrower</v>
      </c>
      <c r="D81" s="35" t="str">
        <f>IFERROR(__xludf.DUMMYFUNCTION("""COMPUTED_VALUE"""),"6-10")</f>
        <v>6-10</v>
      </c>
      <c r="E81" s="5" t="str">
        <f>IFERROR(__xludf.DUMMYFUNCTION("""COMPUTED_VALUE"""),"Fire Resistant Boots")</f>
        <v>Fire Resistant Boots</v>
      </c>
      <c r="F81" s="35" t="str">
        <f>IFERROR(__xludf.DUMMYFUNCTION("""COMPUTED_VALUE"""),"11-15")</f>
        <v>11-15</v>
      </c>
      <c r="G81" s="5" t="str">
        <f>IFERROR(__xludf.DUMMYFUNCTION("""COMPUTED_VALUE"""),"Flame Band")</f>
        <v>Flame Band</v>
      </c>
      <c r="H81" s="35" t="str">
        <f>IFERROR(__xludf.DUMMYFUNCTION("""COMPUTED_VALUE"""),"16-20")</f>
        <v>16-20</v>
      </c>
      <c r="I81" s="5" t="str">
        <f>IFERROR(__xludf.DUMMYFUNCTION("""COMPUTED_VALUE"""),"Soul")</f>
        <v>Soul</v>
      </c>
      <c r="J81" s="35" t="str">
        <f>IFERROR(__xludf.DUMMYFUNCTION("""COMPUTED_VALUE"""),"21-25")</f>
        <v>21-25</v>
      </c>
      <c r="K81" s="5" t="str">
        <f>IFERROR(__xludf.DUMMYFUNCTION("""COMPUTED_VALUE"""),"500,000G-1,000,000G")</f>
        <v>500,000G-1,000,000G</v>
      </c>
      <c r="L81" s="32"/>
      <c r="M81" s="32"/>
      <c r="N81" s="32"/>
      <c r="O81" s="32"/>
      <c r="P81" s="32"/>
      <c r="Q81" s="32"/>
      <c r="R81" s="32"/>
      <c r="S81" s="32"/>
      <c r="T81" s="32"/>
      <c r="U81" s="32"/>
      <c r="V81" s="32"/>
      <c r="W81" s="32"/>
      <c r="X81" s="32"/>
    </row>
    <row r="82">
      <c r="A82" s="5" t="str">
        <f>IFERROR(__xludf.DUMMYFUNCTION("""COMPUTED_VALUE"""),"flaming dragon Knight")</f>
        <v>flaming dragon Knight</v>
      </c>
      <c r="B82" s="35" t="str">
        <f>IFERROR(__xludf.DUMMYFUNCTION("""COMPUTED_VALUE"""),"1-5")</f>
        <v>1-5</v>
      </c>
      <c r="C82" s="5" t="str">
        <f>IFERROR(__xludf.DUMMYFUNCTION("""COMPUTED_VALUE"""),"Bright Flame Sword")</f>
        <v>Bright Flame Sword</v>
      </c>
      <c r="D82" s="35" t="str">
        <f>IFERROR(__xludf.DUMMYFUNCTION("""COMPUTED_VALUE"""),"6-10")</f>
        <v>6-10</v>
      </c>
      <c r="E82" s="5" t="str">
        <f>IFERROR(__xludf.DUMMYFUNCTION("""COMPUTED_VALUE"""),"Dark Knight Helm")</f>
        <v>Dark Knight Helm</v>
      </c>
      <c r="F82" s="35" t="str">
        <f>IFERROR(__xludf.DUMMYFUNCTION("""COMPUTED_VALUE"""),"11-15")</f>
        <v>11-15</v>
      </c>
      <c r="G82" s="5" t="str">
        <f>IFERROR(__xludf.DUMMYFUNCTION("""COMPUTED_VALUE"""),"Soul")</f>
        <v>Soul</v>
      </c>
      <c r="H82" s="35" t="str">
        <f>IFERROR(__xludf.DUMMYFUNCTION("""COMPUTED_VALUE"""),"16-20")</f>
        <v>16-20</v>
      </c>
      <c r="I82" s="5" t="str">
        <f>IFERROR(__xludf.DUMMYFUNCTION("""COMPUTED_VALUE"""),"Nothing")</f>
        <v>Nothing</v>
      </c>
      <c r="J82" s="35" t="str">
        <f>IFERROR(__xludf.DUMMYFUNCTION("""COMPUTED_VALUE"""),"21-25")</f>
        <v>21-25</v>
      </c>
      <c r="K82" s="5" t="str">
        <f>IFERROR(__xludf.DUMMYFUNCTION("""COMPUTED_VALUE"""),"Nothing")</f>
        <v>Nothing</v>
      </c>
      <c r="L82" s="32"/>
      <c r="M82" s="32"/>
      <c r="N82" s="32"/>
      <c r="O82" s="32"/>
      <c r="P82" s="32"/>
      <c r="Q82" s="32"/>
      <c r="R82" s="32"/>
      <c r="S82" s="32"/>
      <c r="T82" s="32"/>
      <c r="U82" s="32"/>
      <c r="V82" s="32"/>
      <c r="W82" s="32"/>
      <c r="X82" s="32"/>
    </row>
    <row r="83">
      <c r="A83" s="5" t="str">
        <f>IFERROR(__xludf.DUMMYFUNCTION("""COMPUTED_VALUE"""),"Flaming Yak")</f>
        <v>Flaming Yak</v>
      </c>
      <c r="B83" s="35" t="str">
        <f>IFERROR(__xludf.DUMMYFUNCTION("""COMPUTED_VALUE"""),"1-5")</f>
        <v>1-5</v>
      </c>
      <c r="C83" s="5" t="str">
        <f>IFERROR(__xludf.DUMMYFUNCTION("""COMPUTED_VALUE"""),"Flaming Horns")</f>
        <v>Flaming Horns</v>
      </c>
      <c r="D83" s="35" t="str">
        <f>IFERROR(__xludf.DUMMYFUNCTION("""COMPUTED_VALUE"""),"6-10")</f>
        <v>6-10</v>
      </c>
      <c r="E83" s="5" t="str">
        <f>IFERROR(__xludf.DUMMYFUNCTION("""COMPUTED_VALUE"""),"Cooked Yak Meat")</f>
        <v>Cooked Yak Meat</v>
      </c>
      <c r="F83" s="35" t="str">
        <f>IFERROR(__xludf.DUMMYFUNCTION("""COMPUTED_VALUE"""),"11-15")</f>
        <v>11-15</v>
      </c>
      <c r="G83" s="5" t="str">
        <f>IFERROR(__xludf.DUMMYFUNCTION("""COMPUTED_VALUE"""),"Soul")</f>
        <v>Soul</v>
      </c>
      <c r="H83" s="35" t="str">
        <f>IFERROR(__xludf.DUMMYFUNCTION("""COMPUTED_VALUE"""),"16-20")</f>
        <v>16-20</v>
      </c>
      <c r="I83" s="5" t="str">
        <f>IFERROR(__xludf.DUMMYFUNCTION("""COMPUTED_VALUE"""),"Nothing")</f>
        <v>Nothing</v>
      </c>
      <c r="J83" s="35" t="str">
        <f>IFERROR(__xludf.DUMMYFUNCTION("""COMPUTED_VALUE"""),"21-25")</f>
        <v>21-25</v>
      </c>
      <c r="K83" s="5" t="str">
        <f>IFERROR(__xludf.DUMMYFUNCTION("""COMPUTED_VALUE"""),"Egg")</f>
        <v>Egg</v>
      </c>
      <c r="L83" s="32"/>
      <c r="M83" s="32"/>
      <c r="N83" s="32"/>
      <c r="O83" s="32"/>
      <c r="P83" s="32"/>
      <c r="Q83" s="32"/>
      <c r="R83" s="32"/>
      <c r="S83" s="32"/>
      <c r="T83" s="32"/>
      <c r="U83" s="32"/>
      <c r="V83" s="32"/>
      <c r="W83" s="32"/>
      <c r="X83" s="32"/>
    </row>
    <row r="84">
      <c r="A84" s="5" t="str">
        <f>IFERROR(__xludf.DUMMYFUNCTION("""COMPUTED_VALUE"""),"Floating Skull")</f>
        <v>Floating Skull</v>
      </c>
      <c r="B84" s="35" t="str">
        <f>IFERROR(__xludf.DUMMYFUNCTION("""COMPUTED_VALUE"""),"1-5")</f>
        <v>1-5</v>
      </c>
      <c r="C84" s="5" t="str">
        <f>IFERROR(__xludf.DUMMYFUNCTION("""COMPUTED_VALUE"""),"skull")</f>
        <v>skull</v>
      </c>
      <c r="D84" s="35" t="str">
        <f>IFERROR(__xludf.DUMMYFUNCTION("""COMPUTED_VALUE"""),"6-10")</f>
        <v>6-10</v>
      </c>
      <c r="E84" s="5" t="str">
        <f>IFERROR(__xludf.DUMMYFUNCTION("""COMPUTED_VALUE"""),"1,000G-20,000G")</f>
        <v>1,000G-20,000G</v>
      </c>
      <c r="F84" s="35" t="str">
        <f>IFERROR(__xludf.DUMMYFUNCTION("""COMPUTED_VALUE"""),"11-15")</f>
        <v>11-15</v>
      </c>
      <c r="G84" s="5" t="str">
        <f>IFERROR(__xludf.DUMMYFUNCTION("""COMPUTED_VALUE"""),"Nothing")</f>
        <v>Nothing</v>
      </c>
      <c r="H84" s="35" t="str">
        <f>IFERROR(__xludf.DUMMYFUNCTION("""COMPUTED_VALUE"""),"16-20")</f>
        <v>16-20</v>
      </c>
      <c r="I84" s="5" t="str">
        <f>IFERROR(__xludf.DUMMYFUNCTION("""COMPUTED_VALUE"""),"Nothing")</f>
        <v>Nothing</v>
      </c>
      <c r="J84" s="35" t="str">
        <f>IFERROR(__xludf.DUMMYFUNCTION("""COMPUTED_VALUE"""),"21-25")</f>
        <v>21-25</v>
      </c>
      <c r="K84" s="5" t="str">
        <f>IFERROR(__xludf.DUMMYFUNCTION("""COMPUTED_VALUE"""),"Nothing")</f>
        <v>Nothing</v>
      </c>
      <c r="L84" s="32"/>
      <c r="M84" s="32"/>
      <c r="N84" s="32"/>
      <c r="O84" s="32"/>
      <c r="P84" s="32"/>
      <c r="Q84" s="32"/>
      <c r="R84" s="32"/>
      <c r="S84" s="32"/>
      <c r="T84" s="32"/>
      <c r="U84" s="32"/>
      <c r="V84" s="32"/>
      <c r="W84" s="32"/>
      <c r="X84" s="32"/>
    </row>
    <row r="85">
      <c r="A85" s="19" t="str">
        <f>IFERROR(__xludf.DUMMYFUNCTION("""COMPUTED_VALUE"""),"Forest Dragon")</f>
        <v>Forest Dragon</v>
      </c>
      <c r="B85" s="35" t="str">
        <f>IFERROR(__xludf.DUMMYFUNCTION("""COMPUTED_VALUE"""),"1-5")</f>
        <v>1-5</v>
      </c>
      <c r="C85" s="5" t="str">
        <f>IFERROR(__xludf.DUMMYFUNCTION("""COMPUTED_VALUE"""),"Soul")</f>
        <v>Soul</v>
      </c>
      <c r="D85" s="35" t="str">
        <f>IFERROR(__xludf.DUMMYFUNCTION("""COMPUTED_VALUE"""),"6-10")</f>
        <v>6-10</v>
      </c>
      <c r="E85" s="5" t="str">
        <f>IFERROR(__xludf.DUMMYFUNCTION("""COMPUTED_VALUE"""),"Uncommon tree branch")</f>
        <v>Uncommon tree branch</v>
      </c>
      <c r="F85" s="35" t="str">
        <f>IFERROR(__xludf.DUMMYFUNCTION("""COMPUTED_VALUE"""),"11-15")</f>
        <v>11-15</v>
      </c>
      <c r="G85" s="5" t="str">
        <f>IFERROR(__xludf.DUMMYFUNCTION("""COMPUTED_VALUE"""),"Common Tree Branch")</f>
        <v>Common Tree Branch</v>
      </c>
      <c r="H85" s="35" t="str">
        <f>IFERROR(__xludf.DUMMYFUNCTION("""COMPUTED_VALUE"""),"16-20")</f>
        <v>16-20</v>
      </c>
      <c r="I85" s="5" t="str">
        <f>IFERROR(__xludf.DUMMYFUNCTION("""COMPUTED_VALUE"""),"Nothing")</f>
        <v>Nothing</v>
      </c>
      <c r="J85" s="35" t="str">
        <f>IFERROR(__xludf.DUMMYFUNCTION("""COMPUTED_VALUE"""),"21-25")</f>
        <v>21-25</v>
      </c>
      <c r="K85" s="5" t="str">
        <f>IFERROR(__xludf.DUMMYFUNCTION("""COMPUTED_VALUE"""),"Egg")</f>
        <v>Egg</v>
      </c>
      <c r="L85" s="32"/>
      <c r="M85" s="32"/>
      <c r="N85" s="32"/>
      <c r="O85" s="32"/>
      <c r="P85" s="32"/>
      <c r="Q85" s="32"/>
      <c r="R85" s="32"/>
      <c r="S85" s="32"/>
      <c r="T85" s="32"/>
      <c r="U85" s="32"/>
      <c r="V85" s="32"/>
      <c r="W85" s="32"/>
      <c r="X85" s="32"/>
    </row>
    <row r="86">
      <c r="A86" s="5" t="str">
        <f>IFERROR(__xludf.DUMMYFUNCTION("""COMPUTED_VALUE"""),"Forest Elf")</f>
        <v>Forest Elf</v>
      </c>
      <c r="B86" s="35" t="str">
        <f>IFERROR(__xludf.DUMMYFUNCTION("""COMPUTED_VALUE"""),"1-2")</f>
        <v>1-2</v>
      </c>
      <c r="C86" s="5" t="str">
        <f>IFERROR(__xludf.DUMMYFUNCTION("""COMPUTED_VALUE"""),"Common tree branch")</f>
        <v>Common tree branch</v>
      </c>
      <c r="D86" s="35" t="str">
        <f>IFERROR(__xludf.DUMMYFUNCTION("""COMPUTED_VALUE"""),"6-10")</f>
        <v>6-10</v>
      </c>
      <c r="E86" s="5" t="str">
        <f>IFERROR(__xludf.DUMMYFUNCTION("""COMPUTED_VALUE"""),"20,000G-40,000G")</f>
        <v>20,000G-40,000G</v>
      </c>
      <c r="F86" s="35" t="str">
        <f>IFERROR(__xludf.DUMMYFUNCTION("""COMPUTED_VALUE"""),"11-15")</f>
        <v>11-15</v>
      </c>
      <c r="G86" s="5" t="str">
        <f>IFERROR(__xludf.DUMMYFUNCTION("""COMPUTED_VALUE"""),"Egg")</f>
        <v>Egg</v>
      </c>
      <c r="H86" s="35" t="str">
        <f>IFERROR(__xludf.DUMMYFUNCTION("""COMPUTED_VALUE"""),"16-20")</f>
        <v>16-20</v>
      </c>
      <c r="I86" s="5" t="str">
        <f>IFERROR(__xludf.DUMMYFUNCTION("""COMPUTED_VALUE"""),"Soul")</f>
        <v>Soul</v>
      </c>
      <c r="J86" s="35" t="str">
        <f>IFERROR(__xludf.DUMMYFUNCTION("""COMPUTED_VALUE"""),"21-25")</f>
        <v>21-25</v>
      </c>
      <c r="K86" s="5" t="str">
        <f>IFERROR(__xludf.DUMMYFUNCTION("""COMPUTED_VALUE"""),"Bow Of The Sacred Druids")</f>
        <v>Bow Of The Sacred Druids</v>
      </c>
      <c r="L86" s="32"/>
      <c r="M86" s="32"/>
      <c r="N86" s="32"/>
      <c r="O86" s="32"/>
      <c r="P86" s="32"/>
      <c r="Q86" s="32"/>
      <c r="R86" s="32"/>
      <c r="S86" s="32"/>
      <c r="T86" s="32"/>
      <c r="U86" s="32"/>
      <c r="V86" s="32"/>
      <c r="W86" s="32"/>
      <c r="X86" s="32"/>
    </row>
    <row r="87">
      <c r="A87" s="5" t="str">
        <f>IFERROR(__xludf.DUMMYFUNCTION("""COMPUTED_VALUE"""),"Forest Guardian")</f>
        <v>Forest Guardian</v>
      </c>
      <c r="B87" s="35" t="str">
        <f>IFERROR(__xludf.DUMMYFUNCTION("""COMPUTED_VALUE"""),"1-5")</f>
        <v>1-5</v>
      </c>
      <c r="C87" s="5" t="str">
        <f>IFERROR(__xludf.DUMMYFUNCTION("""COMPUTED_VALUE"""),"Nothing")</f>
        <v>Nothing</v>
      </c>
      <c r="D87" s="35" t="str">
        <f>IFERROR(__xludf.DUMMYFUNCTION("""COMPUTED_VALUE"""),"6-10")</f>
        <v>6-10</v>
      </c>
      <c r="E87" s="5" t="str">
        <f>IFERROR(__xludf.DUMMYFUNCTION("""COMPUTED_VALUE"""),"Soul")</f>
        <v>Soul</v>
      </c>
      <c r="F87" s="35" t="str">
        <f>IFERROR(__xludf.DUMMYFUNCTION("""COMPUTED_VALUE"""),"11-15")</f>
        <v>11-15</v>
      </c>
      <c r="G87" s="5" t="str">
        <f>IFERROR(__xludf.DUMMYFUNCTION("""COMPUTED_VALUE"""),"Nothing")</f>
        <v>Nothing</v>
      </c>
      <c r="H87" s="35" t="str">
        <f>IFERROR(__xludf.DUMMYFUNCTION("""COMPUTED_VALUE"""),"16-20")</f>
        <v>16-20</v>
      </c>
      <c r="I87" s="5" t="str">
        <f>IFERROR(__xludf.DUMMYFUNCTION("""COMPUTED_VALUE"""),"500,000G-1,000,000G")</f>
        <v>500,000G-1,000,000G</v>
      </c>
      <c r="J87" s="35" t="str">
        <f>IFERROR(__xludf.DUMMYFUNCTION("""COMPUTED_VALUE"""),"21-25")</f>
        <v>21-25</v>
      </c>
      <c r="K87" s="5" t="str">
        <f>IFERROR(__xludf.DUMMYFUNCTION("""COMPUTED_VALUE"""),"Egg")</f>
        <v>Egg</v>
      </c>
      <c r="L87" s="32"/>
      <c r="M87" s="32"/>
      <c r="N87" s="32"/>
      <c r="O87" s="32"/>
      <c r="P87" s="32"/>
      <c r="Q87" s="32"/>
      <c r="R87" s="32"/>
      <c r="S87" s="32"/>
      <c r="T87" s="32"/>
      <c r="U87" s="32"/>
      <c r="V87" s="32"/>
      <c r="W87" s="32"/>
      <c r="X87" s="32"/>
    </row>
    <row r="88">
      <c r="A88" s="5" t="str">
        <f>IFERROR(__xludf.DUMMYFUNCTION("""COMPUTED_VALUE"""),"Frost Dragon")</f>
        <v>Frost Dragon</v>
      </c>
      <c r="B88" s="35" t="str">
        <f>IFERROR(__xludf.DUMMYFUNCTION("""COMPUTED_VALUE"""),"1-5")</f>
        <v>1-5</v>
      </c>
      <c r="C88" s="5" t="str">
        <f>IFERROR(__xludf.DUMMYFUNCTION("""COMPUTED_VALUE"""),"Soul")</f>
        <v>Soul</v>
      </c>
      <c r="D88" s="35" t="str">
        <f>IFERROR(__xludf.DUMMYFUNCTION("""COMPUTED_VALUE"""),"6-10")</f>
        <v>6-10</v>
      </c>
      <c r="E88" s="5" t="str">
        <f>IFERROR(__xludf.DUMMYFUNCTION("""COMPUTED_VALUE"""),"Nothing")</f>
        <v>Nothing</v>
      </c>
      <c r="F88" s="35" t="str">
        <f>IFERROR(__xludf.DUMMYFUNCTION("""COMPUTED_VALUE"""),"11-15")</f>
        <v>11-15</v>
      </c>
      <c r="G88" s="5" t="str">
        <f>IFERROR(__xludf.DUMMYFUNCTION("""COMPUTED_VALUE"""),"80,000G-100,000G")</f>
        <v>80,000G-100,000G</v>
      </c>
      <c r="H88" s="35" t="str">
        <f>IFERROR(__xludf.DUMMYFUNCTION("""COMPUTED_VALUE"""),"16-20")</f>
        <v>16-20</v>
      </c>
      <c r="I88" s="5" t="str">
        <f>IFERROR(__xludf.DUMMYFUNCTION("""COMPUTED_VALUE"""),"Giant Frost diamond")</f>
        <v>Giant Frost diamond</v>
      </c>
      <c r="J88" s="35" t="str">
        <f>IFERROR(__xludf.DUMMYFUNCTION("""COMPUTED_VALUE"""),"21-25")</f>
        <v>21-25</v>
      </c>
      <c r="K88" s="5" t="str">
        <f>IFERROR(__xludf.DUMMYFUNCTION("""COMPUTED_VALUE"""),"Egg")</f>
        <v>Egg</v>
      </c>
      <c r="L88" s="32"/>
      <c r="M88" s="32"/>
      <c r="N88" s="32"/>
      <c r="O88" s="32"/>
      <c r="P88" s="32"/>
      <c r="Q88" s="32"/>
      <c r="R88" s="32"/>
      <c r="S88" s="32"/>
      <c r="T88" s="32"/>
      <c r="U88" s="32"/>
      <c r="V88" s="32"/>
      <c r="W88" s="32"/>
      <c r="X88" s="32"/>
    </row>
    <row r="89">
      <c r="A89" s="5" t="str">
        <f>IFERROR(__xludf.DUMMYFUNCTION("""COMPUTED_VALUE"""),"Frost Knight")</f>
        <v>Frost Knight</v>
      </c>
      <c r="B89" s="35" t="str">
        <f>IFERROR(__xludf.DUMMYFUNCTION("""COMPUTED_VALUE"""),"1-5")</f>
        <v>1-5</v>
      </c>
      <c r="C89" s="5" t="str">
        <f>IFERROR(__xludf.DUMMYFUNCTION("""COMPUTED_VALUE"""),"Frozen Falchion")</f>
        <v>Frozen Falchion</v>
      </c>
      <c r="D89" s="35" t="str">
        <f>IFERROR(__xludf.DUMMYFUNCTION("""COMPUTED_VALUE"""),"6-10")</f>
        <v>6-10</v>
      </c>
      <c r="E89" s="5" t="str">
        <f>IFERROR(__xludf.DUMMYFUNCTION("""COMPUTED_VALUE"""),"Soul")</f>
        <v>Soul</v>
      </c>
      <c r="F89" s="35" t="str">
        <f>IFERROR(__xludf.DUMMYFUNCTION("""COMPUTED_VALUE"""),"11-15")</f>
        <v>11-15</v>
      </c>
      <c r="G89" s="5" t="str">
        <f>IFERROR(__xludf.DUMMYFUNCTION("""COMPUTED_VALUE"""),"Frost Spear")</f>
        <v>Frost Spear</v>
      </c>
      <c r="H89" s="35" t="str">
        <f>IFERROR(__xludf.DUMMYFUNCTION("""COMPUTED_VALUE"""),"16-20")</f>
        <v>16-20</v>
      </c>
      <c r="I89" s="5" t="str">
        <f>IFERROR(__xludf.DUMMYFUNCTION("""COMPUTED_VALUE"""),"Frost Cloak")</f>
        <v>Frost Cloak</v>
      </c>
      <c r="J89" s="35" t="str">
        <f>IFERROR(__xludf.DUMMYFUNCTION("""COMPUTED_VALUE"""),"21-25")</f>
        <v>21-25</v>
      </c>
      <c r="K89" s="5" t="str">
        <f>IFERROR(__xludf.DUMMYFUNCTION("""COMPUTED_VALUE"""),"Egg")</f>
        <v>Egg</v>
      </c>
      <c r="L89" s="32"/>
      <c r="M89" s="32"/>
      <c r="N89" s="32"/>
      <c r="O89" s="32"/>
      <c r="P89" s="32"/>
      <c r="Q89" s="32"/>
      <c r="R89" s="32"/>
      <c r="S89" s="32"/>
      <c r="T89" s="32"/>
      <c r="U89" s="32"/>
      <c r="V89" s="32"/>
      <c r="W89" s="32"/>
      <c r="X89" s="32"/>
    </row>
    <row r="90">
      <c r="A90" s="5" t="str">
        <f>IFERROR(__xludf.DUMMYFUNCTION("""COMPUTED_VALUE"""),"Giant")</f>
        <v>Giant</v>
      </c>
      <c r="B90" s="35" t="str">
        <f>IFERROR(__xludf.DUMMYFUNCTION("""COMPUTED_VALUE"""),"1-5")</f>
        <v>1-5</v>
      </c>
      <c r="C90" s="5" t="str">
        <f>IFERROR(__xludf.DUMMYFUNCTION("""COMPUTED_VALUE"""),"Steel Sword")</f>
        <v>Steel Sword</v>
      </c>
      <c r="D90" s="35" t="str">
        <f>IFERROR(__xludf.DUMMYFUNCTION("""COMPUTED_VALUE"""),"6-10")</f>
        <v>6-10</v>
      </c>
      <c r="E90" s="5" t="str">
        <f>IFERROR(__xludf.DUMMYFUNCTION("""COMPUTED_VALUE"""),"20,000G-40,000G")</f>
        <v>20,000G-40,000G</v>
      </c>
      <c r="F90" s="35" t="str">
        <f>IFERROR(__xludf.DUMMYFUNCTION("""COMPUTED_VALUE"""),"11-15")</f>
        <v>11-15</v>
      </c>
      <c r="G90" s="5" t="str">
        <f>IFERROR(__xludf.DUMMYFUNCTION("""COMPUTED_VALUE"""),"Nothing")</f>
        <v>Nothing</v>
      </c>
      <c r="H90" s="35" t="str">
        <f>IFERROR(__xludf.DUMMYFUNCTION("""COMPUTED_VALUE"""),"16-20")</f>
        <v>16-20</v>
      </c>
      <c r="I90" s="5" t="str">
        <f>IFERROR(__xludf.DUMMYFUNCTION("""COMPUTED_VALUE"""),"Soul")</f>
        <v>Soul</v>
      </c>
      <c r="J90" s="35" t="str">
        <f>IFERROR(__xludf.DUMMYFUNCTION("""COMPUTED_VALUE"""),"21-25")</f>
        <v>21-25</v>
      </c>
      <c r="K90" s="5" t="str">
        <f>IFERROR(__xludf.DUMMYFUNCTION("""COMPUTED_VALUE"""),"Egg")</f>
        <v>Egg</v>
      </c>
      <c r="L90" s="32"/>
      <c r="M90" s="32"/>
      <c r="N90" s="32"/>
      <c r="O90" s="32"/>
      <c r="P90" s="32"/>
      <c r="Q90" s="32"/>
      <c r="R90" s="32"/>
      <c r="S90" s="32"/>
      <c r="T90" s="32"/>
      <c r="U90" s="32"/>
      <c r="V90" s="32"/>
      <c r="W90" s="32"/>
      <c r="X90" s="32"/>
    </row>
    <row r="91">
      <c r="A91" s="5" t="str">
        <f>IFERROR(__xludf.DUMMYFUNCTION("""COMPUTED_VALUE"""),"Giant Alligator (WD)")</f>
        <v>Giant Alligator (WD)</v>
      </c>
      <c r="B91" s="35" t="str">
        <f>IFERROR(__xludf.DUMMYFUNCTION("""COMPUTED_VALUE"""),"1-5")</f>
        <v>1-5</v>
      </c>
      <c r="C91" s="5" t="str">
        <f>IFERROR(__xludf.DUMMYFUNCTION("""COMPUTED_VALUE"""),"Potion of Water Breathing")</f>
        <v>Potion of Water Breathing</v>
      </c>
      <c r="D91" s="35" t="str">
        <f>IFERROR(__xludf.DUMMYFUNCTION("""COMPUTED_VALUE"""),"6-10")</f>
        <v>6-10</v>
      </c>
      <c r="E91" s="5" t="str">
        <f>IFERROR(__xludf.DUMMYFUNCTION("""COMPUTED_VALUE"""),"Enchanted Teeth")</f>
        <v>Enchanted Teeth</v>
      </c>
      <c r="F91" s="35" t="str">
        <f>IFERROR(__xludf.DUMMYFUNCTION("""COMPUTED_VALUE"""),"11-15")</f>
        <v>11-15</v>
      </c>
      <c r="G91" s="5" t="str">
        <f>IFERROR(__xludf.DUMMYFUNCTION("""COMPUTED_VALUE"""),"Nothing")</f>
        <v>Nothing</v>
      </c>
      <c r="H91" s="35" t="str">
        <f>IFERROR(__xludf.DUMMYFUNCTION("""COMPUTED_VALUE"""),"16-20")</f>
        <v>16-20</v>
      </c>
      <c r="I91" s="5" t="str">
        <f>IFERROR(__xludf.DUMMYFUNCTION("""COMPUTED_VALUE"""),"Nothing")</f>
        <v>Nothing</v>
      </c>
      <c r="J91" s="35" t="str">
        <f>IFERROR(__xludf.DUMMYFUNCTION("""COMPUTED_VALUE"""),"21-25")</f>
        <v>21-25</v>
      </c>
      <c r="K91" s="5" t="str">
        <f>IFERROR(__xludf.DUMMYFUNCTION("""COMPUTED_VALUE"""),"Egg")</f>
        <v>Egg</v>
      </c>
      <c r="L91" s="32"/>
      <c r="M91" s="32"/>
      <c r="N91" s="32"/>
      <c r="O91" s="32"/>
      <c r="P91" s="32"/>
      <c r="Q91" s="32"/>
      <c r="R91" s="32"/>
      <c r="S91" s="32"/>
      <c r="T91" s="32"/>
      <c r="U91" s="32"/>
      <c r="V91" s="32"/>
      <c r="W91" s="32"/>
      <c r="X91" s="32"/>
    </row>
    <row r="92">
      <c r="A92" s="5" t="str">
        <f>IFERROR(__xludf.DUMMYFUNCTION("""COMPUTED_VALUE"""),"Giant Alligator (WD) (Enhanced)")</f>
        <v>Giant Alligator (WD) (Enhanced)</v>
      </c>
      <c r="B92" s="35" t="str">
        <f>IFERROR(__xludf.DUMMYFUNCTION("""COMPUTED_VALUE"""),"1-5")</f>
        <v>1-5</v>
      </c>
      <c r="C92" s="5" t="str">
        <f>IFERROR(__xludf.DUMMYFUNCTION("""COMPUTED_VALUE"""),"Potion of Water Breathing")</f>
        <v>Potion of Water Breathing</v>
      </c>
      <c r="D92" s="35" t="str">
        <f>IFERROR(__xludf.DUMMYFUNCTION("""COMPUTED_VALUE"""),"6-10")</f>
        <v>6-10</v>
      </c>
      <c r="E92" s="5" t="str">
        <f>IFERROR(__xludf.DUMMYFUNCTION("""COMPUTED_VALUE"""),"Enchanted Teeth")</f>
        <v>Enchanted Teeth</v>
      </c>
      <c r="F92" s="35" t="str">
        <f>IFERROR(__xludf.DUMMYFUNCTION("""COMPUTED_VALUE"""),"11-15")</f>
        <v>11-15</v>
      </c>
      <c r="G92" s="5" t="str">
        <f>IFERROR(__xludf.DUMMYFUNCTION("""COMPUTED_VALUE"""),"Nothing")</f>
        <v>Nothing</v>
      </c>
      <c r="H92" s="35" t="str">
        <f>IFERROR(__xludf.DUMMYFUNCTION("""COMPUTED_VALUE"""),"16-20")</f>
        <v>16-20</v>
      </c>
      <c r="I92" s="5" t="str">
        <f>IFERROR(__xludf.DUMMYFUNCTION("""COMPUTED_VALUE"""),"Nothing")</f>
        <v>Nothing</v>
      </c>
      <c r="J92" s="35" t="str">
        <f>IFERROR(__xludf.DUMMYFUNCTION("""COMPUTED_VALUE"""),"21-25")</f>
        <v>21-25</v>
      </c>
      <c r="K92" s="5" t="str">
        <f>IFERROR(__xludf.DUMMYFUNCTION("""COMPUTED_VALUE"""),"Egg")</f>
        <v>Egg</v>
      </c>
      <c r="L92" s="32"/>
      <c r="M92" s="32"/>
      <c r="N92" s="32"/>
      <c r="O92" s="32"/>
      <c r="P92" s="32"/>
      <c r="Q92" s="32"/>
      <c r="R92" s="32"/>
      <c r="S92" s="32"/>
      <c r="T92" s="32"/>
      <c r="U92" s="32"/>
      <c r="V92" s="32"/>
      <c r="W92" s="32"/>
      <c r="X92" s="32"/>
    </row>
    <row r="93">
      <c r="A93" s="5" t="str">
        <f>IFERROR(__xludf.DUMMYFUNCTION("""COMPUTED_VALUE"""),"Giant Ancient Frost Troll")</f>
        <v>Giant Ancient Frost Troll</v>
      </c>
      <c r="B93" s="35" t="str">
        <f>IFERROR(__xludf.DUMMYFUNCTION("""COMPUTED_VALUE"""),"1-5")</f>
        <v>1-5</v>
      </c>
      <c r="C93" s="5" t="str">
        <f>IFERROR(__xludf.DUMMYFUNCTION("""COMPUTED_VALUE"""),"Soul")</f>
        <v>Soul</v>
      </c>
      <c r="D93" s="35" t="str">
        <f>IFERROR(__xludf.DUMMYFUNCTION("""COMPUTED_VALUE"""),"6-10")</f>
        <v>6-10</v>
      </c>
      <c r="E93" s="5" t="str">
        <f>IFERROR(__xludf.DUMMYFUNCTION("""COMPUTED_VALUE"""),"Nothing")</f>
        <v>Nothing</v>
      </c>
      <c r="F93" s="35" t="str">
        <f>IFERROR(__xludf.DUMMYFUNCTION("""COMPUTED_VALUE"""),"11-15")</f>
        <v>11-15</v>
      </c>
      <c r="G93" s="5" t="str">
        <f>IFERROR(__xludf.DUMMYFUNCTION("""COMPUTED_VALUE"""),"1,000,000G-20,000,000G")</f>
        <v>1,000,000G-20,000,000G</v>
      </c>
      <c r="H93" s="35" t="str">
        <f>IFERROR(__xludf.DUMMYFUNCTION("""COMPUTED_VALUE"""),"16-20")</f>
        <v>16-20</v>
      </c>
      <c r="I93" s="5" t="str">
        <f>IFERROR(__xludf.DUMMYFUNCTION("""COMPUTED_VALUE"""),"Nothing")</f>
        <v>Nothing</v>
      </c>
      <c r="J93" s="35" t="str">
        <f>IFERROR(__xludf.DUMMYFUNCTION("""COMPUTED_VALUE"""),"21-25")</f>
        <v>21-25</v>
      </c>
      <c r="K93" s="5" t="str">
        <f>IFERROR(__xludf.DUMMYFUNCTION("""COMPUTED_VALUE"""),"Egg")</f>
        <v>Egg</v>
      </c>
      <c r="L93" s="32"/>
      <c r="M93" s="32"/>
      <c r="N93" s="32"/>
      <c r="O93" s="32"/>
      <c r="P93" s="32"/>
      <c r="Q93" s="32"/>
      <c r="R93" s="32"/>
      <c r="S93" s="32"/>
      <c r="T93" s="32"/>
      <c r="U93" s="32"/>
      <c r="V93" s="32"/>
      <c r="W93" s="32"/>
      <c r="X93" s="32"/>
    </row>
    <row r="94">
      <c r="A94" s="5" t="str">
        <f>IFERROR(__xludf.DUMMYFUNCTION("""COMPUTED_VALUE"""),"Giant Chaotic Shadow Spider")</f>
        <v>Giant Chaotic Shadow Spider</v>
      </c>
      <c r="B94" s="35" t="str">
        <f>IFERROR(__xludf.DUMMYFUNCTION("""COMPUTED_VALUE"""),"1-5")</f>
        <v>1-5</v>
      </c>
      <c r="C94" s="5" t="str">
        <f>IFERROR(__xludf.DUMMYFUNCTION("""COMPUTED_VALUE"""),"Max Health Potion")</f>
        <v>Max Health Potion</v>
      </c>
      <c r="D94" s="35" t="str">
        <f>IFERROR(__xludf.DUMMYFUNCTION("""COMPUTED_VALUE"""),"6-10")</f>
        <v>6-10</v>
      </c>
      <c r="E94" s="5" t="str">
        <f>IFERROR(__xludf.DUMMYFUNCTION("""COMPUTED_VALUE"""),"Nothing")</f>
        <v>Nothing</v>
      </c>
      <c r="F94" s="35" t="str">
        <f>IFERROR(__xludf.DUMMYFUNCTION("""COMPUTED_VALUE"""),"11-15")</f>
        <v>11-15</v>
      </c>
      <c r="G94" s="5" t="str">
        <f>IFERROR(__xludf.DUMMYFUNCTION("""COMPUTED_VALUE"""),"500,000G-1,000,000G")</f>
        <v>500,000G-1,000,000G</v>
      </c>
      <c r="H94" s="35" t="str">
        <f>IFERROR(__xludf.DUMMYFUNCTION("""COMPUTED_VALUE"""),"16-20")</f>
        <v>16-20</v>
      </c>
      <c r="I94" s="5" t="str">
        <f>IFERROR(__xludf.DUMMYFUNCTION("""COMPUTED_VALUE"""),"Soul")</f>
        <v>Soul</v>
      </c>
      <c r="J94" s="35" t="str">
        <f>IFERROR(__xludf.DUMMYFUNCTION("""COMPUTED_VALUE"""),"21-25")</f>
        <v>21-25</v>
      </c>
      <c r="K94" s="5" t="str">
        <f>IFERROR(__xludf.DUMMYFUNCTION("""COMPUTED_VALUE"""),"Egg")</f>
        <v>Egg</v>
      </c>
      <c r="L94" s="32"/>
      <c r="M94" s="32"/>
      <c r="N94" s="32"/>
      <c r="O94" s="32"/>
      <c r="P94" s="32"/>
      <c r="Q94" s="32"/>
      <c r="R94" s="32"/>
      <c r="S94" s="32"/>
      <c r="T94" s="32"/>
      <c r="U94" s="32"/>
      <c r="V94" s="32"/>
      <c r="W94" s="32"/>
      <c r="X94" s="32"/>
    </row>
    <row r="95">
      <c r="A95" s="5" t="str">
        <f>IFERROR(__xludf.DUMMYFUNCTION("""COMPUTED_VALUE"""),"Giant Eagle")</f>
        <v>Giant Eagle</v>
      </c>
      <c r="B95" s="35" t="str">
        <f>IFERROR(__xludf.DUMMYFUNCTION("""COMPUTED_VALUE"""),"1-5")</f>
        <v>1-5</v>
      </c>
      <c r="C95" s="5" t="str">
        <f>IFERROR(__xludf.DUMMYFUNCTION("""COMPUTED_VALUE"""),"Eagle Feathers")</f>
        <v>Eagle Feathers</v>
      </c>
      <c r="D95" s="35" t="str">
        <f>IFERROR(__xludf.DUMMYFUNCTION("""COMPUTED_VALUE"""),"6-10")</f>
        <v>6-10</v>
      </c>
      <c r="E95" s="5" t="str">
        <f>IFERROR(__xludf.DUMMYFUNCTION("""COMPUTED_VALUE"""),"Eagle Feathers")</f>
        <v>Eagle Feathers</v>
      </c>
      <c r="F95" s="35" t="str">
        <f>IFERROR(__xludf.DUMMYFUNCTION("""COMPUTED_VALUE"""),"11-15")</f>
        <v>11-15</v>
      </c>
      <c r="G95" s="5" t="str">
        <f>IFERROR(__xludf.DUMMYFUNCTION("""COMPUTED_VALUE"""),"Soul")</f>
        <v>Soul</v>
      </c>
      <c r="H95" s="35" t="str">
        <f>IFERROR(__xludf.DUMMYFUNCTION("""COMPUTED_VALUE"""),"16-20")</f>
        <v>16-20</v>
      </c>
      <c r="I95" s="5" t="str">
        <f>IFERROR(__xludf.DUMMYFUNCTION("""COMPUTED_VALUE"""),"Eagle Feathers")</f>
        <v>Eagle Feathers</v>
      </c>
      <c r="J95" s="35" t="str">
        <f>IFERROR(__xludf.DUMMYFUNCTION("""COMPUTED_VALUE"""),"21-25")</f>
        <v>21-25</v>
      </c>
      <c r="K95" s="5" t="str">
        <f>IFERROR(__xludf.DUMMYFUNCTION("""COMPUTED_VALUE"""),"Egg")</f>
        <v>Egg</v>
      </c>
      <c r="L95" s="32"/>
      <c r="M95" s="32"/>
      <c r="N95" s="32"/>
      <c r="O95" s="32"/>
      <c r="P95" s="32"/>
      <c r="Q95" s="32"/>
      <c r="R95" s="32"/>
      <c r="S95" s="32"/>
      <c r="T95" s="32"/>
      <c r="U95" s="32"/>
      <c r="V95" s="32"/>
      <c r="W95" s="32"/>
      <c r="X95" s="32"/>
    </row>
    <row r="96">
      <c r="A96" s="5" t="str">
        <f>IFERROR(__xludf.DUMMYFUNCTION("""COMPUTED_VALUE"""),"Giant Mutated Eel Shark")</f>
        <v>Giant Mutated Eel Shark</v>
      </c>
      <c r="B96" s="35" t="str">
        <f>IFERROR(__xludf.DUMMYFUNCTION("""COMPUTED_VALUE"""),"1-5")</f>
        <v>1-5</v>
      </c>
      <c r="C96" s="5" t="str">
        <f>IFERROR(__xludf.DUMMYFUNCTION("""COMPUTED_VALUE"""),"Egg")</f>
        <v>Egg</v>
      </c>
      <c r="D96" s="35" t="str">
        <f>IFERROR(__xludf.DUMMYFUNCTION("""COMPUTED_VALUE"""),"6-10")</f>
        <v>6-10</v>
      </c>
      <c r="E96" s="5" t="str">
        <f>IFERROR(__xludf.DUMMYFUNCTION("""COMPUTED_VALUE"""),"Shark Teeth")</f>
        <v>Shark Teeth</v>
      </c>
      <c r="F96" s="35" t="str">
        <f>IFERROR(__xludf.DUMMYFUNCTION("""COMPUTED_VALUE"""),"11-15")</f>
        <v>11-15</v>
      </c>
      <c r="G96" s="5" t="str">
        <f>IFERROR(__xludf.DUMMYFUNCTION("""COMPUTED_VALUE"""),"Soul")</f>
        <v>Soul</v>
      </c>
      <c r="H96" s="35" t="str">
        <f>IFERROR(__xludf.DUMMYFUNCTION("""COMPUTED_VALUE"""),"16-20")</f>
        <v>16-20</v>
      </c>
      <c r="I96" s="5" t="str">
        <f>IFERROR(__xludf.DUMMYFUNCTION("""COMPUTED_VALUE"""),"40,000G-60,000G")</f>
        <v>40,000G-60,000G</v>
      </c>
      <c r="J96" s="35" t="str">
        <f>IFERROR(__xludf.DUMMYFUNCTION("""COMPUTED_VALUE"""),"21-25")</f>
        <v>21-25</v>
      </c>
      <c r="K96" s="5" t="str">
        <f>IFERROR(__xludf.DUMMYFUNCTION("""COMPUTED_VALUE"""),"Poison water")</f>
        <v>Poison water</v>
      </c>
      <c r="L96" s="32"/>
      <c r="M96" s="32"/>
      <c r="N96" s="32"/>
      <c r="O96" s="32"/>
      <c r="P96" s="32"/>
      <c r="Q96" s="32"/>
      <c r="R96" s="32"/>
      <c r="S96" s="32"/>
      <c r="T96" s="32"/>
      <c r="U96" s="32"/>
      <c r="V96" s="32"/>
      <c r="W96" s="32"/>
      <c r="X96" s="32"/>
    </row>
    <row r="97">
      <c r="A97" s="5" t="str">
        <f>IFERROR(__xludf.DUMMYFUNCTION("""COMPUTED_VALUE"""),"Giant Scorpion")</f>
        <v>Giant Scorpion</v>
      </c>
      <c r="B97" s="35" t="str">
        <f>IFERROR(__xludf.DUMMYFUNCTION("""COMPUTED_VALUE"""),"1-5")</f>
        <v>1-5</v>
      </c>
      <c r="C97" s="5" t="str">
        <f>IFERROR(__xludf.DUMMYFUNCTION("""COMPUTED_VALUE"""),"1,000G-20,000G")</f>
        <v>1,000G-20,000G</v>
      </c>
      <c r="D97" s="35" t="str">
        <f>IFERROR(__xludf.DUMMYFUNCTION("""COMPUTED_VALUE"""),"6-10")</f>
        <v>6-10</v>
      </c>
      <c r="E97" s="5" t="str">
        <f>IFERROR(__xludf.DUMMYFUNCTION("""COMPUTED_VALUE"""),"Poison Vine Sword")</f>
        <v>Poison Vine Sword</v>
      </c>
      <c r="F97" s="35" t="str">
        <f>IFERROR(__xludf.DUMMYFUNCTION("""COMPUTED_VALUE"""),"11-15")</f>
        <v>11-15</v>
      </c>
      <c r="G97" s="5" t="str">
        <f>IFERROR(__xludf.DUMMYFUNCTION("""COMPUTED_VALUE"""),"Poison Gem")</f>
        <v>Poison Gem</v>
      </c>
      <c r="H97" s="35" t="str">
        <f>IFERROR(__xludf.DUMMYFUNCTION("""COMPUTED_VALUE"""),"16-20")</f>
        <v>16-20</v>
      </c>
      <c r="I97" s="5" t="str">
        <f>IFERROR(__xludf.DUMMYFUNCTION("""COMPUTED_VALUE"""),"Soul")</f>
        <v>Soul</v>
      </c>
      <c r="J97" s="35" t="str">
        <f>IFERROR(__xludf.DUMMYFUNCTION("""COMPUTED_VALUE"""),"21-25")</f>
        <v>21-25</v>
      </c>
      <c r="K97" s="5" t="str">
        <f>IFERROR(__xludf.DUMMYFUNCTION("""COMPUTED_VALUE"""),"Egg")</f>
        <v>Egg</v>
      </c>
      <c r="L97" s="32"/>
      <c r="M97" s="32"/>
      <c r="N97" s="32"/>
      <c r="O97" s="32"/>
      <c r="P97" s="32"/>
      <c r="Q97" s="32"/>
      <c r="R97" s="32"/>
      <c r="S97" s="32"/>
      <c r="T97" s="32"/>
      <c r="U97" s="32"/>
      <c r="V97" s="32"/>
      <c r="W97" s="32"/>
      <c r="X97" s="32"/>
    </row>
    <row r="98">
      <c r="A98" s="5" t="str">
        <f>IFERROR(__xludf.DUMMYFUNCTION("""COMPUTED_VALUE"""),"Giant Snow Spider")</f>
        <v>Giant Snow Spider</v>
      </c>
      <c r="B98" s="35" t="str">
        <f>IFERROR(__xludf.DUMMYFUNCTION("""COMPUTED_VALUE"""),"1-5")</f>
        <v>1-5</v>
      </c>
      <c r="C98" s="5" t="str">
        <f>IFERROR(__xludf.DUMMYFUNCTION("""COMPUTED_VALUE"""),"100,000,000G-500,000,000G")</f>
        <v>100,000,000G-500,000,000G</v>
      </c>
      <c r="D98" s="35" t="str">
        <f>IFERROR(__xludf.DUMMYFUNCTION("""COMPUTED_VALUE"""),"6-10")</f>
        <v>6-10</v>
      </c>
      <c r="E98" s="5" t="str">
        <f>IFERROR(__xludf.DUMMYFUNCTION("""COMPUTED_VALUE"""),"Giant Spider Exoskeleton")</f>
        <v>Giant Spider Exoskeleton</v>
      </c>
      <c r="F98" s="35" t="str">
        <f>IFERROR(__xludf.DUMMYFUNCTION("""COMPUTED_VALUE"""),"11-15")</f>
        <v>11-15</v>
      </c>
      <c r="G98" s="5" t="str">
        <f>IFERROR(__xludf.DUMMYFUNCTION("""COMPUTED_VALUE"""),"Soul")</f>
        <v>Soul</v>
      </c>
      <c r="H98" s="35" t="str">
        <f>IFERROR(__xludf.DUMMYFUNCTION("""COMPUTED_VALUE"""),"16-20")</f>
        <v>16-20</v>
      </c>
      <c r="I98" s="5" t="str">
        <f>IFERROR(__xludf.DUMMYFUNCTION("""COMPUTED_VALUE"""),"Egg")</f>
        <v>Egg</v>
      </c>
      <c r="J98" s="35" t="str">
        <f>IFERROR(__xludf.DUMMYFUNCTION("""COMPUTED_VALUE"""),"21-25")</f>
        <v>21-25</v>
      </c>
      <c r="K98" s="5" t="str">
        <f>IFERROR(__xludf.DUMMYFUNCTION("""COMPUTED_VALUE"""),"Giant Spider Leg")</f>
        <v>Giant Spider Leg</v>
      </c>
      <c r="L98" s="32"/>
      <c r="M98" s="32"/>
      <c r="N98" s="32"/>
      <c r="O98" s="32"/>
      <c r="P98" s="32"/>
      <c r="Q98" s="32"/>
      <c r="R98" s="32"/>
      <c r="S98" s="32"/>
      <c r="T98" s="32"/>
      <c r="U98" s="32"/>
      <c r="V98" s="32"/>
      <c r="W98" s="32"/>
      <c r="X98" s="32"/>
    </row>
    <row r="99">
      <c r="A99" s="5" t="str">
        <f>IFERROR(__xludf.DUMMYFUNCTION("""COMPUTED_VALUE"""),"Giant Spider")</f>
        <v>Giant Spider</v>
      </c>
      <c r="B99" s="35" t="str">
        <f>IFERROR(__xludf.DUMMYFUNCTION("""COMPUTED_VALUE"""),"1-5")</f>
        <v>1-5</v>
      </c>
      <c r="C99" s="5" t="str">
        <f>IFERROR(__xludf.DUMMYFUNCTION("""COMPUTED_VALUE"""),"Giant Spider Leg")</f>
        <v>Giant Spider Leg</v>
      </c>
      <c r="D99" s="35" t="str">
        <f>IFERROR(__xludf.DUMMYFUNCTION("""COMPUTED_VALUE"""),"6-10")</f>
        <v>6-10</v>
      </c>
      <c r="E99" s="5" t="str">
        <f>IFERROR(__xludf.DUMMYFUNCTION("""COMPUTED_VALUE"""),"Giant Spider Exoskeleton")</f>
        <v>Giant Spider Exoskeleton</v>
      </c>
      <c r="F99" s="35" t="str">
        <f>IFERROR(__xludf.DUMMYFUNCTION("""COMPUTED_VALUE"""),"11-15")</f>
        <v>11-15</v>
      </c>
      <c r="G99" s="5" t="str">
        <f>IFERROR(__xludf.DUMMYFUNCTION("""COMPUTED_VALUE"""),"Egg")</f>
        <v>Egg</v>
      </c>
      <c r="H99" s="35" t="str">
        <f>IFERROR(__xludf.DUMMYFUNCTION("""COMPUTED_VALUE"""),"16-20")</f>
        <v>16-20</v>
      </c>
      <c r="I99" s="5" t="str">
        <f>IFERROR(__xludf.DUMMYFUNCTION("""COMPUTED_VALUE"""),"Poison Gem")</f>
        <v>Poison Gem</v>
      </c>
      <c r="J99" s="35" t="str">
        <f>IFERROR(__xludf.DUMMYFUNCTION("""COMPUTED_VALUE"""),"21-25")</f>
        <v>21-25</v>
      </c>
      <c r="K99" s="5" t="str">
        <f>IFERROR(__xludf.DUMMYFUNCTION("""COMPUTED_VALUE"""),"Soul")</f>
        <v>Soul</v>
      </c>
      <c r="L99" s="32"/>
      <c r="M99" s="32"/>
      <c r="N99" s="32"/>
      <c r="O99" s="32"/>
      <c r="P99" s="32"/>
      <c r="Q99" s="32"/>
      <c r="R99" s="32"/>
      <c r="S99" s="32"/>
      <c r="T99" s="32"/>
      <c r="U99" s="32"/>
      <c r="V99" s="32"/>
      <c r="W99" s="32"/>
      <c r="X99" s="32"/>
    </row>
    <row r="100">
      <c r="A100" s="5" t="str">
        <f>IFERROR(__xludf.DUMMYFUNCTION("""COMPUTED_VALUE"""),"Giant Volcanic Spider")</f>
        <v>Giant Volcanic Spider</v>
      </c>
      <c r="B100" s="35" t="str">
        <f>IFERROR(__xludf.DUMMYFUNCTION("""COMPUTED_VALUE"""),"1-5")</f>
        <v>1-5</v>
      </c>
      <c r="C100" s="5" t="str">
        <f>IFERROR(__xludf.DUMMYFUNCTION("""COMPUTED_VALUE"""),"Egg")</f>
        <v>Egg</v>
      </c>
      <c r="D100" s="35" t="str">
        <f>IFERROR(__xludf.DUMMYFUNCTION("""COMPUTED_VALUE"""),"6-10")</f>
        <v>6-10</v>
      </c>
      <c r="E100" s="5" t="str">
        <f>IFERROR(__xludf.DUMMYFUNCTION("""COMPUTED_VALUE"""),"Giant Fire Diamond")</f>
        <v>Giant Fire Diamond</v>
      </c>
      <c r="F100" s="35" t="str">
        <f>IFERROR(__xludf.DUMMYFUNCTION("""COMPUTED_VALUE"""),"11-15")</f>
        <v>11-15</v>
      </c>
      <c r="G100" s="5" t="str">
        <f>IFERROR(__xludf.DUMMYFUNCTION("""COMPUTED_VALUE"""),"1,000,000G-20,000,000G")</f>
        <v>1,000,000G-20,000,000G</v>
      </c>
      <c r="H100" s="35" t="str">
        <f>IFERROR(__xludf.DUMMYFUNCTION("""COMPUTED_VALUE"""),"16-20")</f>
        <v>16-20</v>
      </c>
      <c r="I100" s="5" t="str">
        <f>IFERROR(__xludf.DUMMYFUNCTION("""COMPUTED_VALUE"""),"Soul")</f>
        <v>Soul</v>
      </c>
      <c r="J100" s="35" t="str">
        <f>IFERROR(__xludf.DUMMYFUNCTION("""COMPUTED_VALUE"""),"21-25")</f>
        <v>21-25</v>
      </c>
      <c r="K100" s="5" t="str">
        <f>IFERROR(__xludf.DUMMYFUNCTION("""COMPUTED_VALUE"""),"Nothing")</f>
        <v>Nothing</v>
      </c>
      <c r="L100" s="32"/>
      <c r="M100" s="32"/>
      <c r="N100" s="32"/>
      <c r="O100" s="32"/>
      <c r="P100" s="32"/>
      <c r="Q100" s="32"/>
      <c r="R100" s="32"/>
      <c r="S100" s="32"/>
      <c r="T100" s="32"/>
      <c r="U100" s="32"/>
      <c r="V100" s="32"/>
      <c r="W100" s="32"/>
      <c r="X100" s="32"/>
    </row>
    <row r="101">
      <c r="A101" s="5" t="str">
        <f>IFERROR(__xludf.DUMMYFUNCTION("""COMPUTED_VALUE"""),"Girl of The Crow")</f>
        <v>Girl of The Crow</v>
      </c>
      <c r="B101" s="35" t="str">
        <f>IFERROR(__xludf.DUMMYFUNCTION("""COMPUTED_VALUE"""),"1-5")</f>
        <v>1-5</v>
      </c>
      <c r="C101" s="5" t="str">
        <f>IFERROR(__xludf.DUMMYFUNCTION("""COMPUTED_VALUE"""),"Soul")</f>
        <v>Soul</v>
      </c>
      <c r="D101" s="35" t="str">
        <f>IFERROR(__xludf.DUMMYFUNCTION("""COMPUTED_VALUE"""),"6-10")</f>
        <v>6-10</v>
      </c>
      <c r="E101" s="5" t="str">
        <f>IFERROR(__xludf.DUMMYFUNCTION("""COMPUTED_VALUE"""),"Crow Staff")</f>
        <v>Crow Staff</v>
      </c>
      <c r="F101" s="35" t="str">
        <f>IFERROR(__xludf.DUMMYFUNCTION("""COMPUTED_VALUE"""),"11-15")</f>
        <v>11-15</v>
      </c>
      <c r="G101" s="5" t="str">
        <f>IFERROR(__xludf.DUMMYFUNCTION("""COMPUTED_VALUE"""),"500,000G-1,000,000G")</f>
        <v>500,000G-1,000,000G</v>
      </c>
      <c r="H101" s="35" t="str">
        <f>IFERROR(__xludf.DUMMYFUNCTION("""COMPUTED_VALUE"""),"16-20")</f>
        <v>16-20</v>
      </c>
      <c r="I101" s="5" t="str">
        <f>IFERROR(__xludf.DUMMYFUNCTION("""COMPUTED_VALUE"""),"Nothing")</f>
        <v>Nothing</v>
      </c>
      <c r="J101" s="35" t="str">
        <f>IFERROR(__xludf.DUMMYFUNCTION("""COMPUTED_VALUE"""),"21-25")</f>
        <v>21-25</v>
      </c>
      <c r="K101" s="5" t="str">
        <f>IFERROR(__xludf.DUMMYFUNCTION("""COMPUTED_VALUE"""),"Nothing")</f>
        <v>Nothing</v>
      </c>
      <c r="L101" s="32"/>
      <c r="M101" s="32"/>
      <c r="N101" s="32"/>
      <c r="O101" s="32"/>
      <c r="P101" s="32"/>
      <c r="Q101" s="32"/>
      <c r="R101" s="32"/>
      <c r="S101" s="32"/>
      <c r="T101" s="32"/>
      <c r="U101" s="32"/>
      <c r="V101" s="32"/>
      <c r="W101" s="32"/>
      <c r="X101" s="32"/>
    </row>
    <row r="102">
      <c r="A102" s="5" t="str">
        <f>IFERROR(__xludf.DUMMYFUNCTION("""COMPUTED_VALUE"""),"Goblin")</f>
        <v>Goblin</v>
      </c>
      <c r="B102" s="35" t="str">
        <f>IFERROR(__xludf.DUMMYFUNCTION("""COMPUTED_VALUE"""),"1-5")</f>
        <v>1-5</v>
      </c>
      <c r="C102" s="5" t="str">
        <f>IFERROR(__xludf.DUMMYFUNCTION("""COMPUTED_VALUE"""),"Long Spear")</f>
        <v>Long Spear</v>
      </c>
      <c r="D102" s="35" t="str">
        <f>IFERROR(__xludf.DUMMYFUNCTION("""COMPUTED_VALUE"""),"6-10")</f>
        <v>6-10</v>
      </c>
      <c r="E102" s="5" t="str">
        <f>IFERROR(__xludf.DUMMYFUNCTION("""COMPUTED_VALUE"""),"1,000G-20,000G")</f>
        <v>1,000G-20,000G</v>
      </c>
      <c r="F102" s="35" t="str">
        <f>IFERROR(__xludf.DUMMYFUNCTION("""COMPUTED_VALUE"""),"11-15")</f>
        <v>11-15</v>
      </c>
      <c r="G102" s="5" t="str">
        <f>IFERROR(__xludf.DUMMYFUNCTION("""COMPUTED_VALUE"""),"Egg")</f>
        <v>Egg</v>
      </c>
      <c r="H102" s="35" t="str">
        <f>IFERROR(__xludf.DUMMYFUNCTION("""COMPUTED_VALUE"""),"16-20")</f>
        <v>16-20</v>
      </c>
      <c r="I102" s="5" t="str">
        <f>IFERROR(__xludf.DUMMYFUNCTION("""COMPUTED_VALUE"""),"Soul")</f>
        <v>Soul</v>
      </c>
      <c r="J102" s="35" t="str">
        <f>IFERROR(__xludf.DUMMYFUNCTION("""COMPUTED_VALUE"""),"21-25")</f>
        <v>21-25</v>
      </c>
      <c r="K102" s="5" t="str">
        <f>IFERROR(__xludf.DUMMYFUNCTION("""COMPUTED_VALUE"""),"Nothing")</f>
        <v>Nothing</v>
      </c>
      <c r="L102" s="32"/>
      <c r="M102" s="32"/>
      <c r="N102" s="32"/>
      <c r="O102" s="32"/>
      <c r="P102" s="32"/>
      <c r="Q102" s="32"/>
      <c r="R102" s="32"/>
      <c r="S102" s="32"/>
      <c r="T102" s="32"/>
      <c r="U102" s="32"/>
      <c r="V102" s="32"/>
      <c r="W102" s="32"/>
      <c r="X102" s="32"/>
    </row>
    <row r="103">
      <c r="A103" s="5" t="str">
        <f>IFERROR(__xludf.DUMMYFUNCTION("""COMPUTED_VALUE"""),"Griffin")</f>
        <v>Griffin</v>
      </c>
      <c r="B103" s="35" t="str">
        <f>IFERROR(__xludf.DUMMYFUNCTION("""COMPUTED_VALUE"""),"1-5")</f>
        <v>1-5</v>
      </c>
      <c r="C103" s="5" t="str">
        <f>IFERROR(__xludf.DUMMYFUNCTION("""COMPUTED_VALUE"""),"Egg")</f>
        <v>Egg</v>
      </c>
      <c r="D103" s="35" t="str">
        <f>IFERROR(__xludf.DUMMYFUNCTION("""COMPUTED_VALUE"""),"6-10")</f>
        <v>6-10</v>
      </c>
      <c r="E103" s="5" t="str">
        <f>IFERROR(__xludf.DUMMYFUNCTION("""COMPUTED_VALUE"""),"Feather")</f>
        <v>Feather</v>
      </c>
      <c r="F103" s="35" t="str">
        <f>IFERROR(__xludf.DUMMYFUNCTION("""COMPUTED_VALUE"""),"11-15")</f>
        <v>11-15</v>
      </c>
      <c r="G103" s="5" t="str">
        <f>IFERROR(__xludf.DUMMYFUNCTION("""COMPUTED_VALUE"""),"40,000G-60,000G")</f>
        <v>40,000G-60,000G</v>
      </c>
      <c r="H103" s="35" t="str">
        <f>IFERROR(__xludf.DUMMYFUNCTION("""COMPUTED_VALUE"""),"16-20")</f>
        <v>16-20</v>
      </c>
      <c r="I103" s="5" t="str">
        <f>IFERROR(__xludf.DUMMYFUNCTION("""COMPUTED_VALUE"""),"Soul")</f>
        <v>Soul</v>
      </c>
      <c r="J103" s="35" t="str">
        <f>IFERROR(__xludf.DUMMYFUNCTION("""COMPUTED_VALUE"""),"21-25")</f>
        <v>21-25</v>
      </c>
      <c r="K103" s="5" t="str">
        <f>IFERROR(__xludf.DUMMYFUNCTION("""COMPUTED_VALUE"""),"80,000G-100,000G")</f>
        <v>80,000G-100,000G</v>
      </c>
      <c r="L103" s="32"/>
      <c r="M103" s="32"/>
      <c r="N103" s="32"/>
      <c r="O103" s="32"/>
      <c r="P103" s="32"/>
      <c r="Q103" s="32"/>
      <c r="R103" s="32"/>
      <c r="S103" s="32"/>
      <c r="T103" s="32"/>
      <c r="U103" s="32"/>
      <c r="V103" s="32"/>
      <c r="W103" s="32"/>
      <c r="X103" s="32"/>
    </row>
    <row r="104">
      <c r="A104" s="5" t="str">
        <f>IFERROR(__xludf.DUMMYFUNCTION("""COMPUTED_VALUE"""),"Ground Tiger")</f>
        <v>Ground Tiger</v>
      </c>
      <c r="B104" s="35" t="str">
        <f>IFERROR(__xludf.DUMMYFUNCTION("""COMPUTED_VALUE"""),"1-5")</f>
        <v>1-5</v>
      </c>
      <c r="C104" s="5" t="str">
        <f>IFERROR(__xludf.DUMMYFUNCTION("""COMPUTED_VALUE"""),"Dried Meat")</f>
        <v>Dried Meat</v>
      </c>
      <c r="D104" s="35" t="str">
        <f>IFERROR(__xludf.DUMMYFUNCTION("""COMPUTED_VALUE"""),"6-10")</f>
        <v>6-10</v>
      </c>
      <c r="E104" s="5" t="str">
        <f>IFERROR(__xludf.DUMMYFUNCTION("""COMPUTED_VALUE"""),"Soul")</f>
        <v>Soul</v>
      </c>
      <c r="F104" s="35" t="str">
        <f>IFERROR(__xludf.DUMMYFUNCTION("""COMPUTED_VALUE"""),"11-15")</f>
        <v>11-15</v>
      </c>
      <c r="G104" s="5" t="str">
        <f>IFERROR(__xludf.DUMMYFUNCTION("""COMPUTED_VALUE"""),"40,000G-60,000G")</f>
        <v>40,000G-60,000G</v>
      </c>
      <c r="H104" s="35" t="str">
        <f>IFERROR(__xludf.DUMMYFUNCTION("""COMPUTED_VALUE"""),"16-20")</f>
        <v>16-20</v>
      </c>
      <c r="I104" s="5" t="str">
        <f>IFERROR(__xludf.DUMMYFUNCTION("""COMPUTED_VALUE"""),"Egg")</f>
        <v>Egg</v>
      </c>
      <c r="J104" s="35" t="str">
        <f>IFERROR(__xludf.DUMMYFUNCTION("""COMPUTED_VALUE"""),"21-25")</f>
        <v>21-25</v>
      </c>
      <c r="K104" s="5" t="str">
        <f>IFERROR(__xludf.DUMMYFUNCTION("""COMPUTED_VALUE"""),"Nothing")</f>
        <v>Nothing</v>
      </c>
      <c r="L104" s="32"/>
      <c r="M104" s="32"/>
      <c r="N104" s="32"/>
      <c r="O104" s="32"/>
      <c r="P104" s="32"/>
      <c r="Q104" s="32"/>
      <c r="R104" s="32"/>
      <c r="S104" s="32"/>
      <c r="T104" s="32"/>
      <c r="U104" s="32"/>
      <c r="V104" s="32"/>
      <c r="W104" s="32"/>
      <c r="X104" s="32"/>
    </row>
    <row r="105">
      <c r="A105" s="5" t="str">
        <f>IFERROR(__xludf.DUMMYFUNCTION("""COMPUTED_VALUE"""),"Guardian Of Nature")</f>
        <v>Guardian Of Nature</v>
      </c>
      <c r="B105" s="35" t="str">
        <f>IFERROR(__xludf.DUMMYFUNCTION("""COMPUTED_VALUE"""),"1-5")</f>
        <v>1-5</v>
      </c>
      <c r="C105" s="5" t="str">
        <f>IFERROR(__xludf.DUMMYFUNCTION("""COMPUTED_VALUE"""),"Nothing")</f>
        <v>Nothing</v>
      </c>
      <c r="D105" s="35" t="str">
        <f>IFERROR(__xludf.DUMMYFUNCTION("""COMPUTED_VALUE"""),"6-10")</f>
        <v>6-10</v>
      </c>
      <c r="E105" s="5" t="str">
        <f>IFERROR(__xludf.DUMMYFUNCTION("""COMPUTED_VALUE"""),"Soul")</f>
        <v>Soul</v>
      </c>
      <c r="F105" s="35" t="str">
        <f>IFERROR(__xludf.DUMMYFUNCTION("""COMPUTED_VALUE"""),"11-15")</f>
        <v>11-15</v>
      </c>
      <c r="G105" s="5" t="str">
        <f>IFERROR(__xludf.DUMMYFUNCTION("""COMPUTED_VALUE"""),"Ring o’ Luck and Nature")</f>
        <v>Ring o’ Luck and Nature</v>
      </c>
      <c r="H105" s="35" t="str">
        <f>IFERROR(__xludf.DUMMYFUNCTION("""COMPUTED_VALUE"""),"16-20")</f>
        <v>16-20</v>
      </c>
      <c r="I105" s="5" t="str">
        <f>IFERROR(__xludf.DUMMYFUNCTION("""COMPUTED_VALUE"""),"The Root Of Nature")</f>
        <v>The Root Of Nature</v>
      </c>
      <c r="J105" s="35" t="str">
        <f>IFERROR(__xludf.DUMMYFUNCTION("""COMPUTED_VALUE"""),"21-25")</f>
        <v>21-25</v>
      </c>
      <c r="K105" s="5" t="str">
        <f>IFERROR(__xludf.DUMMYFUNCTION("""COMPUTED_VALUE"""),"Nature's Sword")</f>
        <v>Nature's Sword</v>
      </c>
      <c r="L105" s="32"/>
      <c r="M105" s="32"/>
      <c r="N105" s="32"/>
      <c r="O105" s="32"/>
      <c r="P105" s="32"/>
      <c r="Q105" s="32"/>
      <c r="R105" s="32"/>
      <c r="S105" s="32"/>
      <c r="T105" s="32"/>
      <c r="U105" s="32"/>
      <c r="V105" s="32"/>
      <c r="W105" s="32"/>
      <c r="X105" s="32"/>
    </row>
    <row r="106">
      <c r="A106" s="5" t="str">
        <f>IFERROR(__xludf.DUMMYFUNCTION("""COMPUTED_VALUE"""),"Gytras: The Lord Of Jellyfish")</f>
        <v>Gytras: The Lord Of Jellyfish</v>
      </c>
      <c r="B106" s="35" t="str">
        <f>IFERROR(__xludf.DUMMYFUNCTION("""COMPUTED_VALUE"""),"1-5")</f>
        <v>1-5</v>
      </c>
      <c r="C106" s="5" t="str">
        <f>IFERROR(__xludf.DUMMYFUNCTION("""COMPUTED_VALUE"""),"Glowing Blue Jelly")</f>
        <v>Glowing Blue Jelly</v>
      </c>
      <c r="D106" s="35" t="str">
        <f>IFERROR(__xludf.DUMMYFUNCTION("""COMPUTED_VALUE"""),"6-10")</f>
        <v>6-10</v>
      </c>
      <c r="E106" s="5" t="str">
        <f>IFERROR(__xludf.DUMMYFUNCTION("""COMPUTED_VALUE"""),"80,000G-100,000G")</f>
        <v>80,000G-100,000G</v>
      </c>
      <c r="F106" s="35" t="str">
        <f>IFERROR(__xludf.DUMMYFUNCTION("""COMPUTED_VALUE"""),"11-15")</f>
        <v>11-15</v>
      </c>
      <c r="G106" s="5" t="str">
        <f>IFERROR(__xludf.DUMMYFUNCTION("""COMPUTED_VALUE"""),"500,000G-1,000,000G")</f>
        <v>500,000G-1,000,000G</v>
      </c>
      <c r="H106" s="35" t="str">
        <f>IFERROR(__xludf.DUMMYFUNCTION("""COMPUTED_VALUE"""),"16-20")</f>
        <v>16-20</v>
      </c>
      <c r="I106" s="5" t="str">
        <f>IFERROR(__xludf.DUMMYFUNCTION("""COMPUTED_VALUE"""),"Soul")</f>
        <v>Soul</v>
      </c>
      <c r="J106" s="35" t="str">
        <f>IFERROR(__xludf.DUMMYFUNCTION("""COMPUTED_VALUE"""),"21-25")</f>
        <v>21-25</v>
      </c>
      <c r="K106" s="5" t="str">
        <f>IFERROR(__xludf.DUMMYFUNCTION("""COMPUTED_VALUE"""),"Nothing")</f>
        <v>Nothing</v>
      </c>
      <c r="L106" s="32"/>
      <c r="M106" s="32"/>
      <c r="N106" s="32"/>
      <c r="O106" s="32"/>
      <c r="P106" s="32"/>
      <c r="Q106" s="32"/>
      <c r="R106" s="32"/>
      <c r="S106" s="32"/>
      <c r="T106" s="32"/>
      <c r="U106" s="32"/>
      <c r="V106" s="32"/>
      <c r="W106" s="32"/>
      <c r="X106" s="32"/>
    </row>
    <row r="107">
      <c r="A107" s="5" t="str">
        <f>IFERROR(__xludf.DUMMYFUNCTION("""COMPUTED_VALUE"""),"Haunted Scarecrow")</f>
        <v>Haunted Scarecrow</v>
      </c>
      <c r="B107" s="35" t="str">
        <f>IFERROR(__xludf.DUMMYFUNCTION("""COMPUTED_VALUE"""),"1-5")</f>
        <v>1-5</v>
      </c>
      <c r="C107" s="5" t="str">
        <f>IFERROR(__xludf.DUMMYFUNCTION("""COMPUTED_VALUE"""),"Common Tree Branch")</f>
        <v>Common Tree Branch</v>
      </c>
      <c r="D107" s="35" t="str">
        <f>IFERROR(__xludf.DUMMYFUNCTION("""COMPUTED_VALUE"""),"6-10")</f>
        <v>6-10</v>
      </c>
      <c r="E107" s="5" t="str">
        <f>IFERROR(__xludf.DUMMYFUNCTION("""COMPUTED_VALUE"""),"Uncommon Tree branch")</f>
        <v>Uncommon Tree branch</v>
      </c>
      <c r="F107" s="35" t="str">
        <f>IFERROR(__xludf.DUMMYFUNCTION("""COMPUTED_VALUE"""),"11-15")</f>
        <v>11-15</v>
      </c>
      <c r="G107" s="5" t="str">
        <f>IFERROR(__xludf.DUMMYFUNCTION("""COMPUTED_VALUE"""),"Dead Forest Branch")</f>
        <v>Dead Forest Branch</v>
      </c>
      <c r="H107" s="35" t="str">
        <f>IFERROR(__xludf.DUMMYFUNCTION("""COMPUTED_VALUE"""),"16-20")</f>
        <v>16-20</v>
      </c>
      <c r="I107" s="5" t="str">
        <f>IFERROR(__xludf.DUMMYFUNCTION("""COMPUTED_VALUE"""),"Nothing")</f>
        <v>Nothing</v>
      </c>
      <c r="J107" s="35" t="str">
        <f>IFERROR(__xludf.DUMMYFUNCTION("""COMPUTED_VALUE"""),"21-25")</f>
        <v>21-25</v>
      </c>
      <c r="K107" s="5" t="str">
        <f>IFERROR(__xludf.DUMMYFUNCTION("""COMPUTED_VALUE"""),"Nothing")</f>
        <v>Nothing</v>
      </c>
      <c r="L107" s="32"/>
      <c r="M107" s="32"/>
      <c r="N107" s="32"/>
      <c r="O107" s="32"/>
      <c r="P107" s="32"/>
      <c r="Q107" s="32"/>
      <c r="R107" s="32"/>
      <c r="S107" s="32"/>
      <c r="T107" s="32"/>
      <c r="U107" s="32"/>
      <c r="V107" s="32"/>
      <c r="W107" s="32"/>
      <c r="X107" s="32"/>
    </row>
    <row r="108">
      <c r="A108" s="5" t="str">
        <f>IFERROR(__xludf.DUMMYFUNCTION("""COMPUTED_VALUE"""),"Headless Horseman ")</f>
        <v>Headless Horseman </v>
      </c>
      <c r="B108" s="35" t="str">
        <f>IFERROR(__xludf.DUMMYFUNCTION("""COMPUTED_VALUE"""),"1-5")</f>
        <v>1-5</v>
      </c>
      <c r="C108" s="5" t="str">
        <f>IFERROR(__xludf.DUMMYFUNCTION("""COMPUTED_VALUE"""),"Nothing")</f>
        <v>Nothing</v>
      </c>
      <c r="D108" s="35" t="str">
        <f>IFERROR(__xludf.DUMMYFUNCTION("""COMPUTED_VALUE"""),"6-10")</f>
        <v>6-10</v>
      </c>
      <c r="E108" s="5" t="str">
        <f>IFERROR(__xludf.DUMMYFUNCTION("""COMPUTED_VALUE"""),"Soul")</f>
        <v>Soul</v>
      </c>
      <c r="F108" s="35" t="str">
        <f>IFERROR(__xludf.DUMMYFUNCTION("""COMPUTED_VALUE"""),"11-15")</f>
        <v>11-15</v>
      </c>
      <c r="G108" s="5" t="str">
        <f>IFERROR(__xludf.DUMMYFUNCTION("""COMPUTED_VALUE"""),"Poison Vine Sword")</f>
        <v>Poison Vine Sword</v>
      </c>
      <c r="H108" s="35" t="str">
        <f>IFERROR(__xludf.DUMMYFUNCTION("""COMPUTED_VALUE"""),"16-20")</f>
        <v>16-20</v>
      </c>
      <c r="I108" s="5" t="str">
        <f>IFERROR(__xludf.DUMMYFUNCTION("""COMPUTED_VALUE"""),"20,000,000G-40,000,000G")</f>
        <v>20,000,000G-40,000,000G</v>
      </c>
      <c r="J108" s="35" t="str">
        <f>IFERROR(__xludf.DUMMYFUNCTION("""COMPUTED_VALUE"""),"21-25")</f>
        <v>21-25</v>
      </c>
      <c r="K108" s="5" t="str">
        <f>IFERROR(__xludf.DUMMYFUNCTION("""COMPUTED_VALUE"""),"Nothing")</f>
        <v>Nothing</v>
      </c>
      <c r="L108" s="32"/>
      <c r="M108" s="32"/>
      <c r="N108" s="32"/>
      <c r="O108" s="32"/>
      <c r="P108" s="32"/>
      <c r="Q108" s="32"/>
      <c r="R108" s="32"/>
      <c r="S108" s="32"/>
      <c r="T108" s="32"/>
      <c r="U108" s="32"/>
      <c r="V108" s="32"/>
      <c r="W108" s="32"/>
      <c r="X108" s="32"/>
    </row>
    <row r="109">
      <c r="A109" s="5" t="str">
        <f>IFERROR(__xludf.DUMMYFUNCTION("""COMPUTED_VALUE"""),"Heatmore Flame Golem")</f>
        <v>Heatmore Flame Golem</v>
      </c>
      <c r="B109" s="35" t="str">
        <f>IFERROR(__xludf.DUMMYFUNCTION("""COMPUTED_VALUE"""),"1-5")</f>
        <v>1-5</v>
      </c>
      <c r="C109" s="5" t="str">
        <f>IFERROR(__xludf.DUMMYFUNCTION("""COMPUTED_VALUE"""),"1,000,000G-20,000,000G")</f>
        <v>1,000,000G-20,000,000G</v>
      </c>
      <c r="D109" s="35" t="str">
        <f>IFERROR(__xludf.DUMMYFUNCTION("""COMPUTED_VALUE"""),"6-10")</f>
        <v>6-10</v>
      </c>
      <c r="E109" s="5" t="str">
        <f>IFERROR(__xludf.DUMMYFUNCTION("""COMPUTED_VALUE"""),"Lava Longsword")</f>
        <v>Lava Longsword</v>
      </c>
      <c r="F109" s="35" t="str">
        <f>IFERROR(__xludf.DUMMYFUNCTION("""COMPUTED_VALUE"""),"11-15")</f>
        <v>11-15</v>
      </c>
      <c r="G109" s="5" t="str">
        <f>IFERROR(__xludf.DUMMYFUNCTION("""COMPUTED_VALUE"""),"Giant Fire Diamond")</f>
        <v>Giant Fire Diamond</v>
      </c>
      <c r="H109" s="35" t="str">
        <f>IFERROR(__xludf.DUMMYFUNCTION("""COMPUTED_VALUE"""),"16-20")</f>
        <v>16-20</v>
      </c>
      <c r="I109" s="5" t="str">
        <f>IFERROR(__xludf.DUMMYFUNCTION("""COMPUTED_VALUE"""),"Heatmore Flame Golem Head")</f>
        <v>Heatmore Flame Golem Head</v>
      </c>
      <c r="J109" s="35" t="str">
        <f>IFERROR(__xludf.DUMMYFUNCTION("""COMPUTED_VALUE"""),"21-25")</f>
        <v>21-25</v>
      </c>
      <c r="K109" s="5" t="str">
        <f>IFERROR(__xludf.DUMMYFUNCTION("""COMPUTED_VALUE"""),"Nothing")</f>
        <v>Nothing</v>
      </c>
      <c r="L109" s="32"/>
      <c r="M109" s="32"/>
      <c r="N109" s="32"/>
      <c r="O109" s="32"/>
      <c r="P109" s="32"/>
      <c r="Q109" s="32"/>
      <c r="R109" s="32"/>
      <c r="S109" s="32"/>
      <c r="T109" s="32"/>
      <c r="U109" s="32"/>
      <c r="V109" s="32"/>
      <c r="W109" s="32"/>
      <c r="X109" s="32"/>
    </row>
    <row r="110">
      <c r="A110" s="5" t="str">
        <f>IFERROR(__xludf.DUMMYFUNCTION("""COMPUTED_VALUE"""),"Heatmore Royal Keeper")</f>
        <v>Heatmore Royal Keeper</v>
      </c>
      <c r="B110" s="35" t="str">
        <f>IFERROR(__xludf.DUMMYFUNCTION("""COMPUTED_VALUE"""),"1-5")</f>
        <v>1-5</v>
      </c>
      <c r="C110" s="5" t="str">
        <f>IFERROR(__xludf.DUMMYFUNCTION("""COMPUTED_VALUE"""),"500,000G-1,000,000G")</f>
        <v>500,000G-1,000,000G</v>
      </c>
      <c r="D110" s="35" t="str">
        <f>IFERROR(__xludf.DUMMYFUNCTION("""COMPUTED_VALUE"""),"6-10")</f>
        <v>6-10</v>
      </c>
      <c r="E110" s="5" t="str">
        <f>IFERROR(__xludf.DUMMYFUNCTION("""COMPUTED_VALUE"""),"Giant Fire Diamond")</f>
        <v>Giant Fire Diamond</v>
      </c>
      <c r="F110" s="35" t="str">
        <f>IFERROR(__xludf.DUMMYFUNCTION("""COMPUTED_VALUE"""),"11-15")</f>
        <v>11-15</v>
      </c>
      <c r="G110" s="5" t="str">
        <f>IFERROR(__xludf.DUMMYFUNCTION("""COMPUTED_VALUE"""),"Fire Diamonds")</f>
        <v>Fire Diamonds</v>
      </c>
      <c r="H110" s="35" t="str">
        <f>IFERROR(__xludf.DUMMYFUNCTION("""COMPUTED_VALUE"""),"16-20")</f>
        <v>16-20</v>
      </c>
      <c r="I110" s="5" t="str">
        <f>IFERROR(__xludf.DUMMYFUNCTION("""COMPUTED_VALUE"""),"Royal Keeper Spear")</f>
        <v>Royal Keeper Spear</v>
      </c>
      <c r="J110" s="35" t="str">
        <f>IFERROR(__xludf.DUMMYFUNCTION("""COMPUTED_VALUE"""),"21-25")</f>
        <v>21-25</v>
      </c>
      <c r="K110" s="5" t="str">
        <f>IFERROR(__xludf.DUMMYFUNCTION("""COMPUTED_VALUE"""),"Nothing")</f>
        <v>Nothing</v>
      </c>
      <c r="L110" s="32"/>
      <c r="M110" s="32"/>
      <c r="N110" s="32"/>
      <c r="O110" s="32"/>
      <c r="P110" s="32"/>
      <c r="Q110" s="32"/>
      <c r="R110" s="32"/>
      <c r="S110" s="32"/>
      <c r="T110" s="32"/>
      <c r="U110" s="32"/>
      <c r="V110" s="32"/>
      <c r="W110" s="32"/>
      <c r="X110" s="32"/>
    </row>
    <row r="111">
      <c r="A111" s="5" t="str">
        <f>IFERROR(__xludf.DUMMYFUNCTION("""COMPUTED_VALUE"""),"Heatmore Underling")</f>
        <v>Heatmore Underling</v>
      </c>
      <c r="B111" s="35" t="str">
        <f>IFERROR(__xludf.DUMMYFUNCTION("""COMPUTED_VALUE"""),"1-5")</f>
        <v>1-5</v>
      </c>
      <c r="C111" s="5" t="str">
        <f>IFERROR(__xludf.DUMMYFUNCTION("""COMPUTED_VALUE"""),"fire diamonds")</f>
        <v>fire diamonds</v>
      </c>
      <c r="D111" s="35" t="str">
        <f>IFERROR(__xludf.DUMMYFUNCTION("""COMPUTED_VALUE"""),"6-10")</f>
        <v>6-10</v>
      </c>
      <c r="E111" s="5" t="str">
        <f>IFERROR(__xludf.DUMMYFUNCTION("""COMPUTED_VALUE"""),"Giant Fire Diamond")</f>
        <v>Giant Fire Diamond</v>
      </c>
      <c r="F111" s="35" t="str">
        <f>IFERROR(__xludf.DUMMYFUNCTION("""COMPUTED_VALUE"""),"11-15")</f>
        <v>11-15</v>
      </c>
      <c r="G111" s="5" t="str">
        <f>IFERROR(__xludf.DUMMYFUNCTION("""COMPUTED_VALUE"""),"500,000G-1,000,000G")</f>
        <v>500,000G-1,000,000G</v>
      </c>
      <c r="H111" s="35" t="str">
        <f>IFERROR(__xludf.DUMMYFUNCTION("""COMPUTED_VALUE"""),"16-20")</f>
        <v>16-20</v>
      </c>
      <c r="I111" s="5" t="str">
        <f>IFERROR(__xludf.DUMMYFUNCTION("""COMPUTED_VALUE"""),"Soul")</f>
        <v>Soul</v>
      </c>
      <c r="J111" s="35" t="str">
        <f>IFERROR(__xludf.DUMMYFUNCTION("""COMPUTED_VALUE"""),"21-25")</f>
        <v>21-25</v>
      </c>
      <c r="K111" s="5" t="str">
        <f>IFERROR(__xludf.DUMMYFUNCTION("""COMPUTED_VALUE"""),"Egg")</f>
        <v>Egg</v>
      </c>
      <c r="L111" s="32"/>
      <c r="M111" s="32"/>
      <c r="N111" s="32"/>
      <c r="O111" s="32"/>
      <c r="P111" s="32"/>
      <c r="Q111" s="32"/>
      <c r="R111" s="32"/>
      <c r="S111" s="32"/>
      <c r="T111" s="32"/>
      <c r="U111" s="32"/>
      <c r="V111" s="32"/>
      <c r="W111" s="32"/>
      <c r="X111" s="32"/>
    </row>
    <row r="112">
      <c r="A112" s="5" t="str">
        <f>IFERROR(__xludf.DUMMYFUNCTION("""COMPUTED_VALUE"""),"Hydra Cobra")</f>
        <v>Hydra Cobra</v>
      </c>
      <c r="B112" s="35" t="str">
        <f>IFERROR(__xludf.DUMMYFUNCTION("""COMPUTED_VALUE"""),"1-5")</f>
        <v>1-5</v>
      </c>
      <c r="C112" s="5" t="str">
        <f>IFERROR(__xludf.DUMMYFUNCTION("""COMPUTED_VALUE"""),"Soul")</f>
        <v>Soul</v>
      </c>
      <c r="D112" s="35" t="str">
        <f>IFERROR(__xludf.DUMMYFUNCTION("""COMPUTED_VALUE"""),"6-10")</f>
        <v>6-10</v>
      </c>
      <c r="E112" s="5" t="str">
        <f>IFERROR(__xludf.DUMMYFUNCTION("""COMPUTED_VALUE"""),"Sword Of The Cursed Naga")</f>
        <v>Sword Of The Cursed Naga</v>
      </c>
      <c r="F112" s="35" t="str">
        <f>IFERROR(__xludf.DUMMYFUNCTION("""COMPUTED_VALUE"""),"11-15")</f>
        <v>11-15</v>
      </c>
      <c r="G112" s="5" t="str">
        <f>IFERROR(__xludf.DUMMYFUNCTION("""COMPUTED_VALUE"""),"500,000,000G-1,000,000,000G")</f>
        <v>500,000,000G-1,000,000,000G</v>
      </c>
      <c r="H112" s="35" t="str">
        <f>IFERROR(__xludf.DUMMYFUNCTION("""COMPUTED_VALUE"""),"16-20")</f>
        <v>16-20</v>
      </c>
      <c r="I112" s="5" t="str">
        <f>IFERROR(__xludf.DUMMYFUNCTION("""COMPUTED_VALUE"""),"Egg")</f>
        <v>Egg</v>
      </c>
      <c r="J112" s="35" t="str">
        <f>IFERROR(__xludf.DUMMYFUNCTION("""COMPUTED_VALUE"""),"21-25")</f>
        <v>21-25</v>
      </c>
      <c r="K112" s="5" t="str">
        <f>IFERROR(__xludf.DUMMYFUNCTION("""COMPUTED_VALUE"""),"Nothing")</f>
        <v>Nothing</v>
      </c>
      <c r="L112" s="32"/>
      <c r="M112" s="32"/>
      <c r="N112" s="32"/>
      <c r="O112" s="32"/>
      <c r="P112" s="32"/>
      <c r="Q112" s="32"/>
      <c r="R112" s="32"/>
      <c r="S112" s="32"/>
      <c r="T112" s="32"/>
      <c r="U112" s="32"/>
      <c r="V112" s="32"/>
      <c r="W112" s="32"/>
      <c r="X112" s="32"/>
    </row>
    <row r="113">
      <c r="A113" s="5" t="str">
        <f>IFERROR(__xludf.DUMMYFUNCTION("""COMPUTED_VALUE"""),"Hyena")</f>
        <v>Hyena</v>
      </c>
      <c r="B113" s="35" t="str">
        <f>IFERROR(__xludf.DUMMYFUNCTION("""COMPUTED_VALUE"""),"1-5")</f>
        <v>1-5</v>
      </c>
      <c r="C113" s="5" t="str">
        <f>IFERROR(__xludf.DUMMYFUNCTION("""COMPUTED_VALUE"""),"Raw Meat")</f>
        <v>Raw Meat</v>
      </c>
      <c r="D113" s="35" t="str">
        <f>IFERROR(__xludf.DUMMYFUNCTION("""COMPUTED_VALUE"""),"6-10")</f>
        <v>6-10</v>
      </c>
      <c r="E113" s="5" t="str">
        <f>IFERROR(__xludf.DUMMYFUNCTION("""COMPUTED_VALUE"""),"Soul")</f>
        <v>Soul</v>
      </c>
      <c r="F113" s="35" t="str">
        <f>IFERROR(__xludf.DUMMYFUNCTION("""COMPUTED_VALUE"""),"11-15")</f>
        <v>11-15</v>
      </c>
      <c r="G113" s="5" t="str">
        <f>IFERROR(__xludf.DUMMYFUNCTION("""COMPUTED_VALUE"""),"Nothing")</f>
        <v>Nothing</v>
      </c>
      <c r="H113" s="35" t="str">
        <f>IFERROR(__xludf.DUMMYFUNCTION("""COMPUTED_VALUE"""),"16-20")</f>
        <v>16-20</v>
      </c>
      <c r="I113" s="5" t="str">
        <f>IFERROR(__xludf.DUMMYFUNCTION("""COMPUTED_VALUE"""),"Egg")</f>
        <v>Egg</v>
      </c>
      <c r="J113" s="35" t="str">
        <f>IFERROR(__xludf.DUMMYFUNCTION("""COMPUTED_VALUE"""),"21-25")</f>
        <v>21-25</v>
      </c>
      <c r="K113" s="5" t="str">
        <f>IFERROR(__xludf.DUMMYFUNCTION("""COMPUTED_VALUE"""),"Nothing")</f>
        <v>Nothing</v>
      </c>
      <c r="L113" s="32"/>
      <c r="M113" s="32"/>
      <c r="N113" s="32"/>
      <c r="O113" s="32"/>
      <c r="P113" s="32"/>
      <c r="Q113" s="32"/>
      <c r="R113" s="32"/>
      <c r="S113" s="32"/>
      <c r="T113" s="32"/>
      <c r="U113" s="32"/>
      <c r="V113" s="32"/>
      <c r="W113" s="32"/>
      <c r="X113" s="32"/>
    </row>
    <row r="114">
      <c r="A114" s="19" t="str">
        <f>IFERROR(__xludf.DUMMYFUNCTION("""COMPUTED_VALUE"""),"Ice Golem")</f>
        <v>Ice Golem</v>
      </c>
      <c r="B114" s="35" t="str">
        <f>IFERROR(__xludf.DUMMYFUNCTION("""COMPUTED_VALUE"""),"1-5")</f>
        <v>1-5</v>
      </c>
      <c r="C114" s="5" t="str">
        <f>IFERROR(__xludf.DUMMYFUNCTION("""COMPUTED_VALUE"""),"Frost Cloak")</f>
        <v>Frost Cloak</v>
      </c>
      <c r="D114" s="35" t="str">
        <f>IFERROR(__xludf.DUMMYFUNCTION("""COMPUTED_VALUE"""),"6-10")</f>
        <v>6-10</v>
      </c>
      <c r="E114" s="5" t="str">
        <f>IFERROR(__xludf.DUMMYFUNCTION("""COMPUTED_VALUE"""),"Frozen Falchion")</f>
        <v>Frozen Falchion</v>
      </c>
      <c r="F114" s="35" t="str">
        <f>IFERROR(__xludf.DUMMYFUNCTION("""COMPUTED_VALUE"""),"11-15")</f>
        <v>11-15</v>
      </c>
      <c r="G114" s="5" t="str">
        <f>IFERROR(__xludf.DUMMYFUNCTION("""COMPUTED_VALUE"""),"Egg")</f>
        <v>Egg</v>
      </c>
      <c r="H114" s="35" t="str">
        <f>IFERROR(__xludf.DUMMYFUNCTION("""COMPUTED_VALUE"""),"16-20")</f>
        <v>16-20</v>
      </c>
      <c r="I114" s="5" t="str">
        <f>IFERROR(__xludf.DUMMYFUNCTION("""COMPUTED_VALUE"""),"Frost diamond")</f>
        <v>Frost diamond</v>
      </c>
      <c r="J114" s="35" t="str">
        <f>IFERROR(__xludf.DUMMYFUNCTION("""COMPUTED_VALUE"""),"21-25")</f>
        <v>21-25</v>
      </c>
      <c r="K114" s="5" t="str">
        <f>IFERROR(__xludf.DUMMYFUNCTION("""COMPUTED_VALUE"""),"Freezing Chains")</f>
        <v>Freezing Chains</v>
      </c>
      <c r="L114" s="32"/>
      <c r="M114" s="32"/>
      <c r="N114" s="32"/>
      <c r="O114" s="32"/>
      <c r="P114" s="32"/>
      <c r="Q114" s="32"/>
      <c r="R114" s="32"/>
      <c r="S114" s="32"/>
      <c r="T114" s="32"/>
      <c r="U114" s="32"/>
      <c r="V114" s="32"/>
      <c r="W114" s="32"/>
      <c r="X114" s="32"/>
    </row>
    <row r="115">
      <c r="A115" s="32" t="str">
        <f>IFERROR(__xludf.DUMMYFUNCTION("""COMPUTED_VALUE"""),"Ice Slime")</f>
        <v>Ice Slime</v>
      </c>
      <c r="B115" s="35" t="str">
        <f>IFERROR(__xludf.DUMMYFUNCTION("""COMPUTED_VALUE"""),"1-5")</f>
        <v>1-5</v>
      </c>
      <c r="C115" s="5" t="str">
        <f>IFERROR(__xludf.DUMMYFUNCTION("""COMPUTED_VALUE"""),"Dark Ice Sword")</f>
        <v>Dark Ice Sword</v>
      </c>
      <c r="D115" s="35" t="str">
        <f>IFERROR(__xludf.DUMMYFUNCTION("""COMPUTED_VALUE"""),"6-10")</f>
        <v>6-10</v>
      </c>
      <c r="E115" s="5" t="str">
        <f>IFERROR(__xludf.DUMMYFUNCTION("""COMPUTED_VALUE"""),"Ice Blade")</f>
        <v>Ice Blade</v>
      </c>
      <c r="F115" s="35" t="str">
        <f>IFERROR(__xludf.DUMMYFUNCTION("""COMPUTED_VALUE"""),"11-15")</f>
        <v>11-15</v>
      </c>
      <c r="G115" s="5" t="str">
        <f>IFERROR(__xludf.DUMMYFUNCTION("""COMPUTED_VALUE"""),"Soul")</f>
        <v>Soul</v>
      </c>
      <c r="H115" s="35" t="str">
        <f>IFERROR(__xludf.DUMMYFUNCTION("""COMPUTED_VALUE"""),"16-20")</f>
        <v>16-20</v>
      </c>
      <c r="I115" s="5" t="str">
        <f>IFERROR(__xludf.DUMMYFUNCTION("""COMPUTED_VALUE"""),"Enchanted Ice Gem")</f>
        <v>Enchanted Ice Gem</v>
      </c>
      <c r="J115" s="35" t="str">
        <f>IFERROR(__xludf.DUMMYFUNCTION("""COMPUTED_VALUE"""),"21-25")</f>
        <v>21-25</v>
      </c>
      <c r="K115" s="5" t="str">
        <f>IFERROR(__xludf.DUMMYFUNCTION("""COMPUTED_VALUE"""),"Dark Ice Sword")</f>
        <v>Dark Ice Sword</v>
      </c>
      <c r="L115" s="32"/>
      <c r="M115" s="32"/>
      <c r="N115" s="32"/>
      <c r="O115" s="32"/>
      <c r="P115" s="32"/>
      <c r="Q115" s="32"/>
      <c r="R115" s="32"/>
      <c r="S115" s="32"/>
      <c r="T115" s="32"/>
      <c r="U115" s="32"/>
      <c r="V115" s="32"/>
      <c r="W115" s="32"/>
      <c r="X115" s="32"/>
    </row>
    <row r="116">
      <c r="A116" s="32" t="str">
        <f>IFERROR(__xludf.DUMMYFUNCTION("""COMPUTED_VALUE"""),"Ice Yak")</f>
        <v>Ice Yak</v>
      </c>
      <c r="B116" s="35" t="str">
        <f>IFERROR(__xludf.DUMMYFUNCTION("""COMPUTED_VALUE"""),"1-5")</f>
        <v>1-5</v>
      </c>
      <c r="C116" s="5" t="str">
        <f>IFERROR(__xludf.DUMMYFUNCTION("""COMPUTED_VALUE"""),"Block Of Ice")</f>
        <v>Block Of Ice</v>
      </c>
      <c r="D116" s="35" t="str">
        <f>IFERROR(__xludf.DUMMYFUNCTION("""COMPUTED_VALUE"""),"6-10")</f>
        <v>6-10</v>
      </c>
      <c r="E116" s="5" t="str">
        <f>IFERROR(__xludf.DUMMYFUNCTION("""COMPUTED_VALUE"""),"Cooked Yak Meat")</f>
        <v>Cooked Yak Meat</v>
      </c>
      <c r="F116" s="35" t="str">
        <f>IFERROR(__xludf.DUMMYFUNCTION("""COMPUTED_VALUE"""),"11-15")</f>
        <v>11-15</v>
      </c>
      <c r="G116" s="5" t="str">
        <f>IFERROR(__xludf.DUMMYFUNCTION("""COMPUTED_VALUE"""),"Egg")</f>
        <v>Egg</v>
      </c>
      <c r="H116" s="35" t="str">
        <f>IFERROR(__xludf.DUMMYFUNCTION("""COMPUTED_VALUE"""),"16-20")</f>
        <v>16-20</v>
      </c>
      <c r="I116" s="5" t="str">
        <f>IFERROR(__xludf.DUMMYFUNCTION("""COMPUTED_VALUE"""),"Soul")</f>
        <v>Soul</v>
      </c>
      <c r="J116" s="35" t="str">
        <f>IFERROR(__xludf.DUMMYFUNCTION("""COMPUTED_VALUE"""),"21-25")</f>
        <v>21-25</v>
      </c>
      <c r="K116" s="5" t="str">
        <f>IFERROR(__xludf.DUMMYFUNCTION("""COMPUTED_VALUE"""),"Nothing")</f>
        <v>Nothing</v>
      </c>
      <c r="L116" s="32"/>
      <c r="M116" s="32"/>
      <c r="N116" s="32"/>
      <c r="O116" s="32"/>
      <c r="P116" s="32"/>
      <c r="Q116" s="32"/>
      <c r="R116" s="32"/>
      <c r="S116" s="32"/>
      <c r="T116" s="32"/>
      <c r="U116" s="32"/>
      <c r="V116" s="32"/>
      <c r="W116" s="32"/>
      <c r="X116" s="32"/>
    </row>
    <row r="117">
      <c r="A117" s="32" t="str">
        <f>IFERROR(__xludf.DUMMYFUNCTION("""COMPUTED_VALUE"""),"Imperial Judge")</f>
        <v>Imperial Judge</v>
      </c>
      <c r="B117" s="32"/>
      <c r="C117" s="5"/>
      <c r="D117" s="32"/>
      <c r="E117" s="5"/>
      <c r="F117" s="32"/>
      <c r="G117" s="5"/>
      <c r="H117" s="32"/>
      <c r="I117" s="5"/>
      <c r="J117" s="32"/>
      <c r="K117" s="5"/>
      <c r="L117" s="32"/>
      <c r="M117" s="32"/>
      <c r="N117" s="32"/>
      <c r="O117" s="32"/>
      <c r="P117" s="32"/>
      <c r="Q117" s="32"/>
      <c r="R117" s="32"/>
      <c r="S117" s="32"/>
      <c r="T117" s="32"/>
      <c r="U117" s="32"/>
      <c r="V117" s="32"/>
      <c r="W117" s="32"/>
      <c r="X117" s="32"/>
    </row>
    <row r="118">
      <c r="A118" s="32" t="str">
        <f>IFERROR(__xludf.DUMMYFUNCTION("""COMPUTED_VALUE"""),"Jack Haggerson")</f>
        <v>Jack Haggerson</v>
      </c>
      <c r="B118" s="35" t="str">
        <f>IFERROR(__xludf.DUMMYFUNCTION("""COMPUTED_VALUE"""),"1-5")</f>
        <v>1-5</v>
      </c>
      <c r="C118" s="5" t="str">
        <f>IFERROR(__xludf.DUMMYFUNCTION("""COMPUTED_VALUE"""),"500,000,000G-1,000,000,000G")</f>
        <v>500,000,000G-1,000,000,000G</v>
      </c>
      <c r="D118" s="35" t="str">
        <f>IFERROR(__xludf.DUMMYFUNCTION("""COMPUTED_VALUE"""),"6-10")</f>
        <v>6-10</v>
      </c>
      <c r="E118" s="5" t="str">
        <f>IFERROR(__xludf.DUMMYFUNCTION("""COMPUTED_VALUE"""),"Candy Corn Necklace")</f>
        <v>Candy Corn Necklace</v>
      </c>
      <c r="F118" s="35" t="str">
        <f>IFERROR(__xludf.DUMMYFUNCTION("""COMPUTED_VALUE"""),"11-15")</f>
        <v>11-15</v>
      </c>
      <c r="G118" s="5" t="str">
        <f>IFERROR(__xludf.DUMMYFUNCTION("""COMPUTED_VALUE"""),"Ancient Oni Mask")</f>
        <v>Ancient Oni Mask</v>
      </c>
      <c r="H118" s="35" t="str">
        <f>IFERROR(__xludf.DUMMYFUNCTION("""COMPUTED_VALUE"""),"16-20")</f>
        <v>16-20</v>
      </c>
      <c r="I118" s="5" t="str">
        <f>IFERROR(__xludf.DUMMYFUNCTION("""COMPUTED_VALUE"""),"Candy Corn Rifle")</f>
        <v>Candy Corn Rifle</v>
      </c>
      <c r="J118" s="35" t="str">
        <f>IFERROR(__xludf.DUMMYFUNCTION("""COMPUTED_VALUE"""),"21-25")</f>
        <v>21-25</v>
      </c>
      <c r="K118" s="5" t="str">
        <f>IFERROR(__xludf.DUMMYFUNCTION("""COMPUTED_VALUE"""),"500,000,000G-1,000,000,000G")</f>
        <v>500,000,000G-1,000,000,000G</v>
      </c>
      <c r="L118" s="32"/>
      <c r="M118" s="32"/>
      <c r="N118" s="32"/>
      <c r="O118" s="32"/>
      <c r="P118" s="32"/>
      <c r="Q118" s="32"/>
      <c r="R118" s="32"/>
      <c r="S118" s="32"/>
      <c r="T118" s="32"/>
      <c r="U118" s="32"/>
      <c r="V118" s="32"/>
      <c r="W118" s="32"/>
      <c r="X118" s="32"/>
    </row>
    <row r="119">
      <c r="A119" s="32" t="str">
        <f>IFERROR(__xludf.DUMMYFUNCTION("""COMPUTED_VALUE"""),"Jelly Fish (WD)")</f>
        <v>Jelly Fish (WD)</v>
      </c>
      <c r="B119" s="35" t="str">
        <f>IFERROR(__xludf.DUMMYFUNCTION("""COMPUTED_VALUE"""),"1-5")</f>
        <v>1-5</v>
      </c>
      <c r="C119" s="5" t="str">
        <f>IFERROR(__xludf.DUMMYFUNCTION("""COMPUTED_VALUE"""),"Soul")</f>
        <v>Soul</v>
      </c>
      <c r="D119" s="35" t="str">
        <f>IFERROR(__xludf.DUMMYFUNCTION("""COMPUTED_VALUE"""),"6-10")</f>
        <v>6-10</v>
      </c>
      <c r="E119" s="5" t="str">
        <f>IFERROR(__xludf.DUMMYFUNCTION("""COMPUTED_VALUE"""),"Water potion")</f>
        <v>Water potion</v>
      </c>
      <c r="F119" s="35" t="str">
        <f>IFERROR(__xludf.DUMMYFUNCTION("""COMPUTED_VALUE"""),"11-15")</f>
        <v>11-15</v>
      </c>
      <c r="G119" s="5" t="str">
        <f>IFERROR(__xludf.DUMMYFUNCTION("""COMPUTED_VALUE"""),"Jellyfish Stinger")</f>
        <v>Jellyfish Stinger</v>
      </c>
      <c r="H119" s="35" t="str">
        <f>IFERROR(__xludf.DUMMYFUNCTION("""COMPUTED_VALUE"""),"16-20")</f>
        <v>16-20</v>
      </c>
      <c r="I119" s="5" t="str">
        <f>IFERROR(__xludf.DUMMYFUNCTION("""COMPUTED_VALUE"""),"Egg")</f>
        <v>Egg</v>
      </c>
      <c r="J119" s="35" t="str">
        <f>IFERROR(__xludf.DUMMYFUNCTION("""COMPUTED_VALUE"""),"21-25")</f>
        <v>21-25</v>
      </c>
      <c r="K119" s="5" t="str">
        <f>IFERROR(__xludf.DUMMYFUNCTION("""COMPUTED_VALUE"""),"Nothing")</f>
        <v>Nothing</v>
      </c>
      <c r="L119" s="32"/>
      <c r="M119" s="32"/>
      <c r="N119" s="32"/>
      <c r="O119" s="32"/>
      <c r="P119" s="32"/>
      <c r="Q119" s="32"/>
      <c r="R119" s="32"/>
      <c r="S119" s="32"/>
      <c r="T119" s="32"/>
      <c r="U119" s="32"/>
      <c r="V119" s="32"/>
      <c r="W119" s="32"/>
      <c r="X119" s="32"/>
    </row>
    <row r="120">
      <c r="A120" s="32" t="str">
        <f>IFERROR(__xludf.DUMMYFUNCTION("""COMPUTED_VALUE"""),"Jelly Fish (WD) (Enhanced)")</f>
        <v>Jelly Fish (WD) (Enhanced)</v>
      </c>
      <c r="B120" s="35" t="str">
        <f>IFERROR(__xludf.DUMMYFUNCTION("""COMPUTED_VALUE"""),"1-5")</f>
        <v>1-5</v>
      </c>
      <c r="C120" s="5" t="str">
        <f>IFERROR(__xludf.DUMMYFUNCTION("""COMPUTED_VALUE"""),"Soul")</f>
        <v>Soul</v>
      </c>
      <c r="D120" s="35" t="str">
        <f>IFERROR(__xludf.DUMMYFUNCTION("""COMPUTED_VALUE"""),"6-10")</f>
        <v>6-10</v>
      </c>
      <c r="E120" s="5" t="str">
        <f>IFERROR(__xludf.DUMMYFUNCTION("""COMPUTED_VALUE"""),"Water potion")</f>
        <v>Water potion</v>
      </c>
      <c r="F120" s="35" t="str">
        <f>IFERROR(__xludf.DUMMYFUNCTION("""COMPUTED_VALUE"""),"11-15")</f>
        <v>11-15</v>
      </c>
      <c r="G120" s="5" t="str">
        <f>IFERROR(__xludf.DUMMYFUNCTION("""COMPUTED_VALUE"""),"Jellyfish Stinger")</f>
        <v>Jellyfish Stinger</v>
      </c>
      <c r="H120" s="35" t="str">
        <f>IFERROR(__xludf.DUMMYFUNCTION("""COMPUTED_VALUE"""),"16-20")</f>
        <v>16-20</v>
      </c>
      <c r="I120" s="5" t="str">
        <f>IFERROR(__xludf.DUMMYFUNCTION("""COMPUTED_VALUE"""),"Egg")</f>
        <v>Egg</v>
      </c>
      <c r="J120" s="35" t="str">
        <f>IFERROR(__xludf.DUMMYFUNCTION("""COMPUTED_VALUE"""),"21-25")</f>
        <v>21-25</v>
      </c>
      <c r="K120" s="5" t="str">
        <f>IFERROR(__xludf.DUMMYFUNCTION("""COMPUTED_VALUE"""),"Nothing")</f>
        <v>Nothing</v>
      </c>
      <c r="L120" s="32"/>
      <c r="M120" s="32"/>
      <c r="N120" s="32"/>
      <c r="O120" s="32"/>
      <c r="P120" s="32"/>
      <c r="Q120" s="32"/>
      <c r="R120" s="32"/>
      <c r="S120" s="32"/>
      <c r="T120" s="32"/>
      <c r="U120" s="32"/>
      <c r="V120" s="32"/>
      <c r="W120" s="32"/>
      <c r="X120" s="32"/>
    </row>
    <row r="121">
      <c r="A121" s="32" t="str">
        <f>IFERROR(__xludf.DUMMYFUNCTION("""COMPUTED_VALUE"""),"King Goose")</f>
        <v>King Goose</v>
      </c>
      <c r="B121" s="35" t="str">
        <f>IFERROR(__xludf.DUMMYFUNCTION("""COMPUTED_VALUE"""),"1-18")</f>
        <v>1-18</v>
      </c>
      <c r="C121" s="5" t="str">
        <f>IFERROR(__xludf.DUMMYFUNCTION("""COMPUTED_VALUE"""),"goose meat")</f>
        <v>goose meat</v>
      </c>
      <c r="D121" s="35" t="str">
        <f>IFERROR(__xludf.DUMMYFUNCTION("""COMPUTED_VALUE"""),"6-10")</f>
        <v>6-10</v>
      </c>
      <c r="E121" s="5" t="str">
        <f>IFERROR(__xludf.DUMMYFUNCTION("""COMPUTED_VALUE"""),"Goose staff")</f>
        <v>Goose staff</v>
      </c>
      <c r="F121" s="35" t="str">
        <f>IFERROR(__xludf.DUMMYFUNCTION("""COMPUTED_VALUE"""),"11-15")</f>
        <v>11-15</v>
      </c>
      <c r="G121" s="5" t="str">
        <f>IFERROR(__xludf.DUMMYFUNCTION("""COMPUTED_VALUE"""),"Nothing")</f>
        <v>Nothing</v>
      </c>
      <c r="H121" s="35" t="str">
        <f>IFERROR(__xludf.DUMMYFUNCTION("""COMPUTED_VALUE"""),"16-20")</f>
        <v>16-20</v>
      </c>
      <c r="I121" s="5" t="str">
        <f>IFERROR(__xludf.DUMMYFUNCTION("""COMPUTED_VALUE"""),"20,000,000G-40,000,000G")</f>
        <v>20,000,000G-40,000,000G</v>
      </c>
      <c r="J121" s="35" t="str">
        <f>IFERROR(__xludf.DUMMYFUNCTION("""COMPUTED_VALUE"""),"21-25")</f>
        <v>21-25</v>
      </c>
      <c r="K121" s="5" t="str">
        <f>IFERROR(__xludf.DUMMYFUNCTION("""COMPUTED_VALUE"""),"Soul")</f>
        <v>Soul</v>
      </c>
      <c r="L121" s="32"/>
      <c r="M121" s="32"/>
      <c r="N121" s="32"/>
      <c r="O121" s="32"/>
      <c r="P121" s="32"/>
      <c r="Q121" s="32"/>
      <c r="R121" s="32"/>
      <c r="S121" s="32"/>
      <c r="T121" s="32"/>
      <c r="U121" s="32"/>
      <c r="V121" s="32"/>
      <c r="W121" s="32"/>
      <c r="X121" s="32"/>
    </row>
    <row r="122">
      <c r="A122" s="32" t="str">
        <f>IFERROR(__xludf.DUMMYFUNCTION("""COMPUTED_VALUE"""),"King Of Mekana (Robotic Guardian of the 5th, No. 5)")</f>
        <v>King Of Mekana (Robotic Guardian of the 5th, No. 5)</v>
      </c>
      <c r="B122" s="35" t="str">
        <f>IFERROR(__xludf.DUMMYFUNCTION("""COMPUTED_VALUE"""),"1-5")</f>
        <v>1-5</v>
      </c>
      <c r="C122" s="5" t="str">
        <f>IFERROR(__xludf.DUMMYFUNCTION("""COMPUTED_VALUE"""),"Nothing")</f>
        <v>Nothing</v>
      </c>
      <c r="D122" s="35" t="str">
        <f>IFERROR(__xludf.DUMMYFUNCTION("""COMPUTED_VALUE"""),"6-10")</f>
        <v>6-10</v>
      </c>
      <c r="E122" s="5" t="str">
        <f>IFERROR(__xludf.DUMMYFUNCTION("""COMPUTED_VALUE"""),"King Of Mekanas Sword")</f>
        <v>King Of Mekanas Sword</v>
      </c>
      <c r="F122" s="35" t="str">
        <f>IFERROR(__xludf.DUMMYFUNCTION("""COMPUTED_VALUE"""),"11-15")</f>
        <v>11-15</v>
      </c>
      <c r="G122" s="5" t="str">
        <f>IFERROR(__xludf.DUMMYFUNCTION("""COMPUTED_VALUE"""),"Nothing")</f>
        <v>Nothing</v>
      </c>
      <c r="H122" s="35" t="str">
        <f>IFERROR(__xludf.DUMMYFUNCTION("""COMPUTED_VALUE"""),"16-20")</f>
        <v>16-20</v>
      </c>
      <c r="I122" s="5" t="str">
        <f>IFERROR(__xludf.DUMMYFUNCTION("""COMPUTED_VALUE"""),"Nothing")</f>
        <v>Nothing</v>
      </c>
      <c r="J122" s="35" t="str">
        <f>IFERROR(__xludf.DUMMYFUNCTION("""COMPUTED_VALUE"""),"21-25")</f>
        <v>21-25</v>
      </c>
      <c r="K122" s="5" t="str">
        <f>IFERROR(__xludf.DUMMYFUNCTION("""COMPUTED_VALUE"""),"Nothing")</f>
        <v>Nothing</v>
      </c>
      <c r="L122" s="32"/>
      <c r="M122" s="32"/>
      <c r="N122" s="32"/>
      <c r="O122" s="32"/>
      <c r="P122" s="32"/>
      <c r="Q122" s="32"/>
      <c r="R122" s="32"/>
      <c r="S122" s="32"/>
      <c r="T122" s="32"/>
      <c r="U122" s="32"/>
      <c r="V122" s="32"/>
      <c r="W122" s="32"/>
      <c r="X122" s="32"/>
    </row>
    <row r="123">
      <c r="A123" s="32" t="str">
        <f>IFERROR(__xludf.DUMMYFUNCTION("""COMPUTED_VALUE"""),"Knight Of Chaotic Shadows")</f>
        <v>Knight Of Chaotic Shadows</v>
      </c>
      <c r="B123" s="35" t="str">
        <f>IFERROR(__xludf.DUMMYFUNCTION("""COMPUTED_VALUE"""),"1-5")</f>
        <v>1-5</v>
      </c>
      <c r="C123" s="5" t="str">
        <f>IFERROR(__xludf.DUMMYFUNCTION("""COMPUTED_VALUE"""),"Sword of Chaotic Shadows")</f>
        <v>Sword of Chaotic Shadows</v>
      </c>
      <c r="D123" s="35" t="str">
        <f>IFERROR(__xludf.DUMMYFUNCTION("""COMPUTED_VALUE"""),"6-10")</f>
        <v>6-10</v>
      </c>
      <c r="E123" s="5" t="str">
        <f>IFERROR(__xludf.DUMMYFUNCTION("""COMPUTED_VALUE"""),"Soul")</f>
        <v>Soul</v>
      </c>
      <c r="F123" s="35" t="str">
        <f>IFERROR(__xludf.DUMMYFUNCTION("""COMPUTED_VALUE"""),"11-15")</f>
        <v>11-15</v>
      </c>
      <c r="G123" s="5" t="str">
        <f>IFERROR(__xludf.DUMMYFUNCTION("""COMPUTED_VALUE"""),"Nothing")</f>
        <v>Nothing</v>
      </c>
      <c r="H123" s="35" t="str">
        <f>IFERROR(__xludf.DUMMYFUNCTION("""COMPUTED_VALUE"""),"16-20")</f>
        <v>16-20</v>
      </c>
      <c r="I123" s="5" t="str">
        <f>IFERROR(__xludf.DUMMYFUNCTION("""COMPUTED_VALUE"""),"500,000G-1,000,000G")</f>
        <v>500,000G-1,000,000G</v>
      </c>
      <c r="J123" s="35" t="str">
        <f>IFERROR(__xludf.DUMMYFUNCTION("""COMPUTED_VALUE"""),"21-25")</f>
        <v>21-25</v>
      </c>
      <c r="K123" s="5" t="str">
        <f>IFERROR(__xludf.DUMMYFUNCTION("""COMPUTED_VALUE"""),"Nothing")</f>
        <v>Nothing</v>
      </c>
      <c r="L123" s="32"/>
      <c r="M123" s="32"/>
      <c r="N123" s="32"/>
      <c r="O123" s="32"/>
      <c r="P123" s="32"/>
      <c r="Q123" s="32"/>
      <c r="R123" s="32"/>
      <c r="S123" s="32"/>
      <c r="T123" s="32"/>
      <c r="U123" s="32"/>
      <c r="V123" s="32"/>
      <c r="W123" s="32"/>
      <c r="X123" s="32"/>
    </row>
    <row r="124">
      <c r="A124" s="32" t="str">
        <f>IFERROR(__xludf.DUMMYFUNCTION("""COMPUTED_VALUE"""),"Lamia ")</f>
        <v>Lamia </v>
      </c>
      <c r="B124" s="35" t="str">
        <f>IFERROR(__xludf.DUMMYFUNCTION("""COMPUTED_VALUE"""),"1-5")</f>
        <v>1-5</v>
      </c>
      <c r="C124" s="5" t="str">
        <f>IFERROR(__xludf.DUMMYFUNCTION("""COMPUTED_VALUE"""),"Scale")</f>
        <v>Scale</v>
      </c>
      <c r="D124" s="35" t="str">
        <f>IFERROR(__xludf.DUMMYFUNCTION("""COMPUTED_VALUE"""),"6-10")</f>
        <v>6-10</v>
      </c>
      <c r="E124" s="5" t="str">
        <f>IFERROR(__xludf.DUMMYFUNCTION("""COMPUTED_VALUE"""),"Enchanted Dagger")</f>
        <v>Enchanted Dagger</v>
      </c>
      <c r="F124" s="35" t="str">
        <f>IFERROR(__xludf.DUMMYFUNCTION("""COMPUTED_VALUE"""),"11-15")</f>
        <v>11-15</v>
      </c>
      <c r="G124" s="5" t="str">
        <f>IFERROR(__xludf.DUMMYFUNCTION("""COMPUTED_VALUE"""),"Soul")</f>
        <v>Soul</v>
      </c>
      <c r="H124" s="35" t="str">
        <f>IFERROR(__xludf.DUMMYFUNCTION("""COMPUTED_VALUE"""),"16-20")</f>
        <v>16-20</v>
      </c>
      <c r="I124" s="5" t="str">
        <f>IFERROR(__xludf.DUMMYFUNCTION("""COMPUTED_VALUE"""),"Egg")</f>
        <v>Egg</v>
      </c>
      <c r="J124" s="35" t="str">
        <f>IFERROR(__xludf.DUMMYFUNCTION("""COMPUTED_VALUE"""),"21-25")</f>
        <v>21-25</v>
      </c>
      <c r="K124" s="5" t="str">
        <f>IFERROR(__xludf.DUMMYFUNCTION("""COMPUTED_VALUE"""),"Nothing")</f>
        <v>Nothing</v>
      </c>
      <c r="L124" s="32"/>
      <c r="M124" s="32"/>
      <c r="N124" s="32"/>
      <c r="O124" s="32"/>
      <c r="P124" s="32"/>
      <c r="Q124" s="32"/>
      <c r="R124" s="32"/>
      <c r="S124" s="32"/>
      <c r="T124" s="32"/>
      <c r="U124" s="32"/>
      <c r="V124" s="32"/>
      <c r="W124" s="32"/>
      <c r="X124" s="32"/>
    </row>
    <row r="125">
      <c r="A125" s="32" t="str">
        <f>IFERROR(__xludf.DUMMYFUNCTION("""COMPUTED_VALUE"""),"Lava Tiger")</f>
        <v>Lava Tiger</v>
      </c>
      <c r="B125" s="35" t="str">
        <f>IFERROR(__xludf.DUMMYFUNCTION("""COMPUTED_VALUE"""),"1-5")</f>
        <v>1-5</v>
      </c>
      <c r="C125" s="5" t="str">
        <f>IFERROR(__xludf.DUMMYFUNCTION("""COMPUTED_VALUE"""),"Lava Tiger Skin")</f>
        <v>Lava Tiger Skin</v>
      </c>
      <c r="D125" s="35" t="str">
        <f>IFERROR(__xludf.DUMMYFUNCTION("""COMPUTED_VALUE"""),"6-10")</f>
        <v>6-10</v>
      </c>
      <c r="E125" s="5" t="str">
        <f>IFERROR(__xludf.DUMMYFUNCTION("""COMPUTED_VALUE"""),"Cooked Tiger Meat")</f>
        <v>Cooked Tiger Meat</v>
      </c>
      <c r="F125" s="35" t="str">
        <f>IFERROR(__xludf.DUMMYFUNCTION("""COMPUTED_VALUE"""),"11-15")</f>
        <v>11-15</v>
      </c>
      <c r="G125" s="5" t="str">
        <f>IFERROR(__xludf.DUMMYFUNCTION("""COMPUTED_VALUE"""),"Egg")</f>
        <v>Egg</v>
      </c>
      <c r="H125" s="35" t="str">
        <f>IFERROR(__xludf.DUMMYFUNCTION("""COMPUTED_VALUE"""),"16-20")</f>
        <v>16-20</v>
      </c>
      <c r="I125" s="5" t="str">
        <f>IFERROR(__xludf.DUMMYFUNCTION("""COMPUTED_VALUE"""),"Soul")</f>
        <v>Soul</v>
      </c>
      <c r="J125" s="35" t="str">
        <f>IFERROR(__xludf.DUMMYFUNCTION("""COMPUTED_VALUE"""),"21-25")</f>
        <v>21-25</v>
      </c>
      <c r="K125" s="5" t="str">
        <f>IFERROR(__xludf.DUMMYFUNCTION("""COMPUTED_VALUE"""),"Nothing")</f>
        <v>Nothing</v>
      </c>
      <c r="L125" s="32"/>
      <c r="M125" s="32"/>
      <c r="N125" s="32"/>
      <c r="O125" s="32"/>
      <c r="P125" s="32"/>
      <c r="Q125" s="32"/>
      <c r="R125" s="32"/>
      <c r="S125" s="32"/>
      <c r="T125" s="32"/>
      <c r="U125" s="32"/>
      <c r="V125" s="32"/>
      <c r="W125" s="32"/>
      <c r="X125" s="32"/>
    </row>
    <row r="126">
      <c r="A126" s="32" t="str">
        <f>IFERROR(__xludf.DUMMYFUNCTION("""COMPUTED_VALUE"""),"Legendary Treant")</f>
        <v>Legendary Treant</v>
      </c>
      <c r="B126" s="35" t="str">
        <f>IFERROR(__xludf.DUMMYFUNCTION("""COMPUTED_VALUE"""),"1-5")</f>
        <v>1-5</v>
      </c>
      <c r="C126" s="5" t="str">
        <f>IFERROR(__xludf.DUMMYFUNCTION("""COMPUTED_VALUE"""),"Wood")</f>
        <v>Wood</v>
      </c>
      <c r="D126" s="35" t="str">
        <f>IFERROR(__xludf.DUMMYFUNCTION("""COMPUTED_VALUE"""),"6-10")</f>
        <v>6-10</v>
      </c>
      <c r="E126" s="5" t="str">
        <f>IFERROR(__xludf.DUMMYFUNCTION("""COMPUTED_VALUE"""),"a random stick")</f>
        <v>a random stick</v>
      </c>
      <c r="F126" s="35" t="str">
        <f>IFERROR(__xludf.DUMMYFUNCTION("""COMPUTED_VALUE"""),"11-15")</f>
        <v>11-15</v>
      </c>
      <c r="G126" s="5" t="str">
        <f>IFERROR(__xludf.DUMMYFUNCTION("""COMPUTED_VALUE"""),"80,000G-100,000G")</f>
        <v>80,000G-100,000G</v>
      </c>
      <c r="H126" s="35" t="str">
        <f>IFERROR(__xludf.DUMMYFUNCTION("""COMPUTED_VALUE"""),"16-20")</f>
        <v>16-20</v>
      </c>
      <c r="I126" s="5" t="str">
        <f>IFERROR(__xludf.DUMMYFUNCTION("""COMPUTED_VALUE"""),"Soul")</f>
        <v>Soul</v>
      </c>
      <c r="J126" s="35" t="str">
        <f>IFERROR(__xludf.DUMMYFUNCTION("""COMPUTED_VALUE"""),"21-25")</f>
        <v>21-25</v>
      </c>
      <c r="K126" s="5" t="str">
        <f>IFERROR(__xludf.DUMMYFUNCTION("""COMPUTED_VALUE"""),"Egg")</f>
        <v>Egg</v>
      </c>
      <c r="L126" s="32"/>
      <c r="M126" s="32"/>
      <c r="N126" s="32"/>
      <c r="O126" s="32"/>
      <c r="P126" s="32"/>
      <c r="Q126" s="32"/>
      <c r="R126" s="32"/>
      <c r="S126" s="32"/>
      <c r="T126" s="32"/>
      <c r="U126" s="32"/>
      <c r="V126" s="32"/>
      <c r="W126" s="32"/>
      <c r="X126" s="32"/>
    </row>
    <row r="127">
      <c r="A127" s="32" t="str">
        <f>IFERROR(__xludf.DUMMYFUNCTION("""COMPUTED_VALUE"""),"Locust Swarm")</f>
        <v>Locust Swarm</v>
      </c>
      <c r="B127" s="35" t="str">
        <f>IFERROR(__xludf.DUMMYFUNCTION("""COMPUTED_VALUE"""),"1-5")</f>
        <v>1-5</v>
      </c>
      <c r="C127" s="5" t="str">
        <f>IFERROR(__xludf.DUMMYFUNCTION("""COMPUTED_VALUE"""),"Egg")</f>
        <v>Egg</v>
      </c>
      <c r="D127" s="35" t="str">
        <f>IFERROR(__xludf.DUMMYFUNCTION("""COMPUTED_VALUE"""),"6-10")</f>
        <v>6-10</v>
      </c>
      <c r="E127" s="5" t="str">
        <f>IFERROR(__xludf.DUMMYFUNCTION("""COMPUTED_VALUE"""),"1,000G-20,000G")</f>
        <v>1,000G-20,000G</v>
      </c>
      <c r="F127" s="35" t="str">
        <f>IFERROR(__xludf.DUMMYFUNCTION("""COMPUTED_VALUE"""),"11-15")</f>
        <v>11-15</v>
      </c>
      <c r="G127" s="5" t="str">
        <f>IFERROR(__xludf.DUMMYFUNCTION("""COMPUTED_VALUE"""),"Nothing")</f>
        <v>Nothing</v>
      </c>
      <c r="H127" s="35" t="str">
        <f>IFERROR(__xludf.DUMMYFUNCTION("""COMPUTED_VALUE"""),"16-20")</f>
        <v>16-20</v>
      </c>
      <c r="I127" s="5" t="str">
        <f>IFERROR(__xludf.DUMMYFUNCTION("""COMPUTED_VALUE"""),"Soul")</f>
        <v>Soul</v>
      </c>
      <c r="J127" s="35" t="str">
        <f>IFERROR(__xludf.DUMMYFUNCTION("""COMPUTED_VALUE"""),"21-25")</f>
        <v>21-25</v>
      </c>
      <c r="K127" s="5" t="str">
        <f>IFERROR(__xludf.DUMMYFUNCTION("""COMPUTED_VALUE"""),"Nothing")</f>
        <v>Nothing</v>
      </c>
      <c r="L127" s="32"/>
      <c r="M127" s="32"/>
      <c r="N127" s="32"/>
      <c r="O127" s="32"/>
      <c r="P127" s="32"/>
      <c r="Q127" s="32"/>
      <c r="R127" s="32"/>
      <c r="S127" s="32"/>
      <c r="T127" s="32"/>
      <c r="U127" s="32"/>
      <c r="V127" s="32"/>
      <c r="W127" s="32"/>
      <c r="X127" s="32"/>
    </row>
    <row r="128">
      <c r="A128" s="32" t="str">
        <f>IFERROR(__xludf.DUMMYFUNCTION("""COMPUTED_VALUE"""),"Lord Dreadful (Form 1)")</f>
        <v>Lord Dreadful (Form 1)</v>
      </c>
      <c r="B128" s="35" t="str">
        <f>IFERROR(__xludf.DUMMYFUNCTION("""COMPUTED_VALUE"""),"1-5")</f>
        <v>1-5</v>
      </c>
      <c r="C128" s="5"/>
      <c r="D128" s="32"/>
      <c r="E128" s="5"/>
      <c r="F128" s="32"/>
      <c r="G128" s="5"/>
      <c r="H128" s="32"/>
      <c r="I128" s="5"/>
      <c r="J128" s="32"/>
      <c r="K128" s="5"/>
      <c r="L128" s="32"/>
      <c r="M128" s="32"/>
      <c r="N128" s="32"/>
      <c r="O128" s="32"/>
      <c r="P128" s="32"/>
      <c r="Q128" s="32"/>
      <c r="R128" s="32"/>
      <c r="S128" s="32"/>
      <c r="T128" s="32"/>
      <c r="U128" s="32"/>
      <c r="V128" s="32"/>
      <c r="W128" s="32"/>
      <c r="X128" s="32"/>
    </row>
    <row r="129">
      <c r="A129" s="32" t="str">
        <f>IFERROR(__xludf.DUMMYFUNCTION("""COMPUTED_VALUE"""),"Lord Dreadful (Lord Zude) (Form 2)")</f>
        <v>Lord Dreadful (Lord Zude) (Form 2)</v>
      </c>
      <c r="B129" s="35" t="str">
        <f>IFERROR(__xludf.DUMMYFUNCTION("""COMPUTED_VALUE"""),"1-5")</f>
        <v>1-5</v>
      </c>
      <c r="C129" s="5"/>
      <c r="D129" s="32"/>
      <c r="E129" s="5"/>
      <c r="F129" s="32"/>
      <c r="G129" s="5"/>
      <c r="H129" s="32"/>
      <c r="I129" s="5"/>
      <c r="J129" s="32"/>
      <c r="K129" s="5"/>
      <c r="L129" s="32"/>
      <c r="M129" s="32"/>
      <c r="N129" s="32"/>
      <c r="O129" s="32"/>
      <c r="P129" s="32"/>
      <c r="Q129" s="32"/>
      <c r="R129" s="32"/>
      <c r="S129" s="32"/>
      <c r="T129" s="32"/>
      <c r="U129" s="32"/>
      <c r="V129" s="32"/>
      <c r="W129" s="32"/>
      <c r="X129" s="32"/>
    </row>
    <row r="130">
      <c r="A130" s="32" t="str">
        <f>IFERROR(__xludf.DUMMYFUNCTION("""COMPUTED_VALUE"""),"Lord Goose")</f>
        <v>Lord Goose</v>
      </c>
      <c r="B130" s="35" t="str">
        <f>IFERROR(__xludf.DUMMYFUNCTION("""COMPUTED_VALUE"""),"1-5")</f>
        <v>1-5</v>
      </c>
      <c r="C130" s="5" t="str">
        <f>IFERROR(__xludf.DUMMYFUNCTION("""COMPUTED_VALUE"""),"goose meat")</f>
        <v>goose meat</v>
      </c>
      <c r="D130" s="35" t="str">
        <f>IFERROR(__xludf.DUMMYFUNCTION("""COMPUTED_VALUE"""),"6-10")</f>
        <v>6-10</v>
      </c>
      <c r="E130" s="5" t="str">
        <f>IFERROR(__xludf.DUMMYFUNCTION("""COMPUTED_VALUE"""),"Goose staff")</f>
        <v>Goose staff</v>
      </c>
      <c r="F130" s="35" t="str">
        <f>IFERROR(__xludf.DUMMYFUNCTION("""COMPUTED_VALUE"""),"11-15")</f>
        <v>11-15</v>
      </c>
      <c r="G130" s="5" t="str">
        <f>IFERROR(__xludf.DUMMYFUNCTION("""COMPUTED_VALUE"""),"Nothing")</f>
        <v>Nothing</v>
      </c>
      <c r="H130" s="35" t="str">
        <f>IFERROR(__xludf.DUMMYFUNCTION("""COMPUTED_VALUE"""),"16-20")</f>
        <v>16-20</v>
      </c>
      <c r="I130" s="5" t="str">
        <f>IFERROR(__xludf.DUMMYFUNCTION("""COMPUTED_VALUE"""),"80,000,000G-100,000,000G")</f>
        <v>80,000,000G-100,000,000G</v>
      </c>
      <c r="J130" s="35" t="str">
        <f>IFERROR(__xludf.DUMMYFUNCTION("""COMPUTED_VALUE"""),"21-25")</f>
        <v>21-25</v>
      </c>
      <c r="K130" s="5" t="str">
        <f>IFERROR(__xludf.DUMMYFUNCTION("""COMPUTED_VALUE"""),"Soul")</f>
        <v>Soul</v>
      </c>
      <c r="L130" s="32"/>
      <c r="M130" s="32"/>
      <c r="N130" s="32"/>
      <c r="O130" s="32"/>
      <c r="P130" s="32"/>
      <c r="Q130" s="32"/>
      <c r="R130" s="32"/>
      <c r="S130" s="32"/>
      <c r="T130" s="32"/>
      <c r="U130" s="32"/>
      <c r="V130" s="32"/>
      <c r="W130" s="32"/>
      <c r="X130" s="32"/>
    </row>
    <row r="131">
      <c r="A131" s="32" t="str">
        <f>IFERROR(__xludf.DUMMYFUNCTION("""COMPUTED_VALUE"""),"Lord Of The Bandits")</f>
        <v>Lord Of The Bandits</v>
      </c>
      <c r="B131" s="35" t="str">
        <f>IFERROR(__xludf.DUMMYFUNCTION("""COMPUTED_VALUE"""),"1-5")</f>
        <v>1-5</v>
      </c>
      <c r="C131" s="5" t="str">
        <f>IFERROR(__xludf.DUMMYFUNCTION("""COMPUTED_VALUE"""),"Sword of Bad Luck")</f>
        <v>Sword of Bad Luck</v>
      </c>
      <c r="D131" s="35" t="str">
        <f>IFERROR(__xludf.DUMMYFUNCTION("""COMPUTED_VALUE"""),"6-10")</f>
        <v>6-10</v>
      </c>
      <c r="E131" s="5" t="str">
        <f>IFERROR(__xludf.DUMMYFUNCTION("""COMPUTED_VALUE"""),"Nothing")</f>
        <v>Nothing</v>
      </c>
      <c r="F131" s="35" t="str">
        <f>IFERROR(__xludf.DUMMYFUNCTION("""COMPUTED_VALUE"""),"11-15")</f>
        <v>11-15</v>
      </c>
      <c r="G131" s="5" t="str">
        <f>IFERROR(__xludf.DUMMYFUNCTION("""COMPUTED_VALUE"""),"Soul")</f>
        <v>Soul</v>
      </c>
      <c r="H131" s="35" t="str">
        <f>IFERROR(__xludf.DUMMYFUNCTION("""COMPUTED_VALUE"""),"16-20")</f>
        <v>16-20</v>
      </c>
      <c r="I131" s="5" t="str">
        <f>IFERROR(__xludf.DUMMYFUNCTION("""COMPUTED_VALUE"""),"Nothing")</f>
        <v>Nothing</v>
      </c>
      <c r="J131" s="35" t="str">
        <f>IFERROR(__xludf.DUMMYFUNCTION("""COMPUTED_VALUE"""),"21-25")</f>
        <v>21-25</v>
      </c>
      <c r="K131" s="5" t="str">
        <f>IFERROR(__xludf.DUMMYFUNCTION("""COMPUTED_VALUE"""),"80,000,000G-100,000,000G")</f>
        <v>80,000,000G-100,000,000G</v>
      </c>
      <c r="L131" s="32"/>
      <c r="M131" s="32"/>
      <c r="N131" s="32"/>
      <c r="O131" s="32"/>
      <c r="P131" s="32"/>
      <c r="Q131" s="32"/>
      <c r="R131" s="32"/>
      <c r="S131" s="32"/>
      <c r="T131" s="32"/>
      <c r="U131" s="32"/>
      <c r="V131" s="32"/>
      <c r="W131" s="32"/>
      <c r="X131" s="32"/>
    </row>
    <row r="132">
      <c r="A132" s="32" t="str">
        <f>IFERROR(__xludf.DUMMYFUNCTION("""COMPUTED_VALUE"""),"Chaotic Shadow Servant")</f>
        <v>Chaotic Shadow Servant</v>
      </c>
      <c r="B132" s="35" t="str">
        <f>IFERROR(__xludf.DUMMYFUNCTION("""COMPUTED_VALUE"""),"1-5")</f>
        <v>1-5</v>
      </c>
      <c r="C132" s="5" t="str">
        <f>IFERROR(__xludf.DUMMYFUNCTION("""COMPUTED_VALUE"""),"The Servants Sword")</f>
        <v>The Servants Sword</v>
      </c>
      <c r="D132" s="35" t="str">
        <f>IFERROR(__xludf.DUMMYFUNCTION("""COMPUTED_VALUE"""),"6-10")</f>
        <v>6-10</v>
      </c>
      <c r="E132" s="5" t="str">
        <f>IFERROR(__xludf.DUMMYFUNCTION("""COMPUTED_VALUE"""),"Staff of Chaotic Shadows")</f>
        <v>Staff of Chaotic Shadows</v>
      </c>
      <c r="F132" s="35" t="str">
        <f>IFERROR(__xludf.DUMMYFUNCTION("""COMPUTED_VALUE"""),"11-15")</f>
        <v>11-15</v>
      </c>
      <c r="G132" s="5" t="str">
        <f>IFERROR(__xludf.DUMMYFUNCTION("""COMPUTED_VALUE"""),"Nothing")</f>
        <v>Nothing</v>
      </c>
      <c r="H132" s="35" t="str">
        <f>IFERROR(__xludf.DUMMYFUNCTION("""COMPUTED_VALUE"""),"16-20")</f>
        <v>16-20</v>
      </c>
      <c r="I132" s="5" t="str">
        <f>IFERROR(__xludf.DUMMYFUNCTION("""COMPUTED_VALUE"""),"Soul")</f>
        <v>Soul</v>
      </c>
      <c r="J132" s="35" t="str">
        <f>IFERROR(__xludf.DUMMYFUNCTION("""COMPUTED_VALUE"""),"21-25")</f>
        <v>21-25</v>
      </c>
      <c r="K132" s="5" t="str">
        <f>IFERROR(__xludf.DUMMYFUNCTION("""COMPUTED_VALUE"""),"Nothing")</f>
        <v>Nothing</v>
      </c>
      <c r="L132" s="32"/>
      <c r="M132" s="32"/>
      <c r="N132" s="32"/>
      <c r="O132" s="32"/>
      <c r="P132" s="32"/>
      <c r="Q132" s="32"/>
      <c r="R132" s="32"/>
      <c r="S132" s="32"/>
      <c r="T132" s="32"/>
      <c r="U132" s="32"/>
      <c r="V132" s="32"/>
      <c r="W132" s="32"/>
      <c r="X132" s="32"/>
    </row>
    <row r="133">
      <c r="A133" s="32" t="str">
        <f>IFERROR(__xludf.DUMMYFUNCTION("""COMPUTED_VALUE"""),"Lugh")</f>
        <v>Lugh</v>
      </c>
      <c r="B133" s="35" t="str">
        <f>IFERROR(__xludf.DUMMYFUNCTION("""COMPUTED_VALUE"""),"1-5")</f>
        <v>1-5</v>
      </c>
      <c r="C133" s="5"/>
      <c r="D133" s="35" t="str">
        <f>IFERROR(__xludf.DUMMYFUNCTION("""COMPUTED_VALUE"""),"6-10")</f>
        <v>6-10</v>
      </c>
      <c r="E133" s="5"/>
      <c r="F133" s="35" t="str">
        <f>IFERROR(__xludf.DUMMYFUNCTION("""COMPUTED_VALUE"""),"11-15")</f>
        <v>11-15</v>
      </c>
      <c r="G133" s="5"/>
      <c r="H133" s="35" t="str">
        <f>IFERROR(__xludf.DUMMYFUNCTION("""COMPUTED_VALUE"""),"16-20")</f>
        <v>16-20</v>
      </c>
      <c r="I133" s="5"/>
      <c r="J133" s="35" t="str">
        <f>IFERROR(__xludf.DUMMYFUNCTION("""COMPUTED_VALUE"""),"21-25")</f>
        <v>21-25</v>
      </c>
      <c r="K133" s="5"/>
      <c r="L133" s="32"/>
      <c r="M133" s="32"/>
      <c r="N133" s="32"/>
      <c r="O133" s="32"/>
      <c r="P133" s="32"/>
      <c r="Q133" s="32"/>
      <c r="R133" s="32"/>
      <c r="S133" s="32"/>
      <c r="T133" s="32"/>
      <c r="U133" s="32"/>
      <c r="V133" s="32"/>
      <c r="W133" s="32"/>
      <c r="X133" s="32"/>
    </row>
    <row r="134">
      <c r="A134" s="32" t="str">
        <f>IFERROR(__xludf.DUMMYFUNCTION("""COMPUTED_VALUE"""),"Madem Hagbottom")</f>
        <v>Madem Hagbottom</v>
      </c>
      <c r="B134" s="35" t="str">
        <f>IFERROR(__xludf.DUMMYFUNCTION("""COMPUTED_VALUE"""),"1-5")</f>
        <v>1-5</v>
      </c>
      <c r="C134" s="5" t="str">
        <f>IFERROR(__xludf.DUMMYFUNCTION("""COMPUTED_VALUE"""),"Dark Wand")</f>
        <v>Dark Wand</v>
      </c>
      <c r="D134" s="35" t="str">
        <f>IFERROR(__xludf.DUMMYFUNCTION("""COMPUTED_VALUE"""),"6-10")</f>
        <v>6-10</v>
      </c>
      <c r="E134" s="5" t="str">
        <f>IFERROR(__xludf.DUMMYFUNCTION("""COMPUTED_VALUE"""),"500,000,000G-1,000,000,000G")</f>
        <v>500,000,000G-1,000,000,000G</v>
      </c>
      <c r="F134" s="35" t="str">
        <f>IFERROR(__xludf.DUMMYFUNCTION("""COMPUTED_VALUE"""),"11-15")</f>
        <v>11-15</v>
      </c>
      <c r="G134" s="5" t="str">
        <f>IFERROR(__xludf.DUMMYFUNCTION("""COMPUTED_VALUE"""),"Bone Sword ")</f>
        <v>Bone Sword </v>
      </c>
      <c r="H134" s="35" t="str">
        <f>IFERROR(__xludf.DUMMYFUNCTION("""COMPUTED_VALUE"""),"16-20")</f>
        <v>16-20</v>
      </c>
      <c r="I134" s="5" t="str">
        <f>IFERROR(__xludf.DUMMYFUNCTION("""COMPUTED_VALUE"""),"Candy Corn")</f>
        <v>Candy Corn</v>
      </c>
      <c r="J134" s="35" t="str">
        <f>IFERROR(__xludf.DUMMYFUNCTION("""COMPUTED_VALUE"""),"21-25")</f>
        <v>21-25</v>
      </c>
      <c r="K134" s="5" t="str">
        <f>IFERROR(__xludf.DUMMYFUNCTION("""COMPUTED_VALUE"""),"Cloth Cap")</f>
        <v>Cloth Cap</v>
      </c>
      <c r="L134" s="32"/>
      <c r="M134" s="32"/>
      <c r="N134" s="32"/>
      <c r="O134" s="32"/>
      <c r="P134" s="32"/>
      <c r="Q134" s="32"/>
      <c r="R134" s="32"/>
      <c r="S134" s="32"/>
      <c r="T134" s="32"/>
      <c r="U134" s="32"/>
      <c r="V134" s="32"/>
      <c r="W134" s="32"/>
      <c r="X134" s="32"/>
    </row>
    <row r="135">
      <c r="A135" s="32" t="str">
        <f>IFERROR(__xludf.DUMMYFUNCTION("""COMPUTED_VALUE"""),"Manticore")</f>
        <v>Manticore</v>
      </c>
      <c r="B135" s="35" t="str">
        <f>IFERROR(__xludf.DUMMYFUNCTION("""COMPUTED_VALUE"""),"1-5")</f>
        <v>1-5</v>
      </c>
      <c r="C135" s="5" t="str">
        <f>IFERROR(__xludf.DUMMYFUNCTION("""COMPUTED_VALUE"""),"Egg")</f>
        <v>Egg</v>
      </c>
      <c r="D135" s="35" t="str">
        <f>IFERROR(__xludf.DUMMYFUNCTION("""COMPUTED_VALUE"""),"6-10")</f>
        <v>6-10</v>
      </c>
      <c r="E135" s="5" t="str">
        <f>IFERROR(__xludf.DUMMYFUNCTION("""COMPUTED_VALUE"""),"20,000G-40,000G")</f>
        <v>20,000G-40,000G</v>
      </c>
      <c r="F135" s="35" t="str">
        <f>IFERROR(__xludf.DUMMYFUNCTION("""COMPUTED_VALUE"""),"11-15")</f>
        <v>11-15</v>
      </c>
      <c r="G135" s="5" t="str">
        <f>IFERROR(__xludf.DUMMYFUNCTION("""COMPUTED_VALUE"""),"Hand Crossbow")</f>
        <v>Hand Crossbow</v>
      </c>
      <c r="H135" s="35" t="str">
        <f>IFERROR(__xludf.DUMMYFUNCTION("""COMPUTED_VALUE"""),"16-20")</f>
        <v>16-20</v>
      </c>
      <c r="I135" s="5" t="str">
        <f>IFERROR(__xludf.DUMMYFUNCTION("""COMPUTED_VALUE"""),"Soul")</f>
        <v>Soul</v>
      </c>
      <c r="J135" s="35" t="str">
        <f>IFERROR(__xludf.DUMMYFUNCTION("""COMPUTED_VALUE"""),"21-25")</f>
        <v>21-25</v>
      </c>
      <c r="K135" s="5" t="str">
        <f>IFERROR(__xludf.DUMMYFUNCTION("""COMPUTED_VALUE"""),"Nothing")</f>
        <v>Nothing</v>
      </c>
      <c r="L135" s="32"/>
      <c r="M135" s="32"/>
      <c r="N135" s="32"/>
      <c r="O135" s="32"/>
      <c r="P135" s="32"/>
      <c r="Q135" s="32"/>
      <c r="R135" s="32"/>
      <c r="S135" s="32"/>
      <c r="T135" s="32"/>
      <c r="U135" s="32"/>
      <c r="V135" s="32"/>
      <c r="W135" s="32"/>
      <c r="X135" s="32"/>
    </row>
    <row r="136">
      <c r="A136" s="32" t="str">
        <f>IFERROR(__xludf.DUMMYFUNCTION("""COMPUTED_VALUE"""),"Master Monk Warrior")</f>
        <v>Master Monk Warrior</v>
      </c>
      <c r="B136" s="35" t="str">
        <f>IFERROR(__xludf.DUMMYFUNCTION("""COMPUTED_VALUE"""),"1-5")</f>
        <v>1-5</v>
      </c>
      <c r="C136" s="5" t="str">
        <f>IFERROR(__xludf.DUMMYFUNCTION("""COMPUTED_VALUE"""),"Bo Staff Of Zhenmay")</f>
        <v>Bo Staff Of Zhenmay</v>
      </c>
      <c r="D136" s="35" t="str">
        <f>IFERROR(__xludf.DUMMYFUNCTION("""COMPUTED_VALUE"""),"6-10")</f>
        <v>6-10</v>
      </c>
      <c r="E136" s="5" t="str">
        <f>IFERROR(__xludf.DUMMYFUNCTION("""COMPUTED_VALUE"""),"Soul")</f>
        <v>Soul</v>
      </c>
      <c r="F136" s="35" t="str">
        <f>IFERROR(__xludf.DUMMYFUNCTION("""COMPUTED_VALUE"""),"11-15")</f>
        <v>11-15</v>
      </c>
      <c r="G136" s="5" t="str">
        <f>IFERROR(__xludf.DUMMYFUNCTION("""COMPUTED_VALUE"""),"Egg")</f>
        <v>Egg</v>
      </c>
      <c r="H136" s="35" t="str">
        <f>IFERROR(__xludf.DUMMYFUNCTION("""COMPUTED_VALUE"""),"16-20")</f>
        <v>16-20</v>
      </c>
      <c r="I136" s="5" t="str">
        <f>IFERROR(__xludf.DUMMYFUNCTION("""COMPUTED_VALUE"""),"Nothing")</f>
        <v>Nothing</v>
      </c>
      <c r="J136" s="35" t="str">
        <f>IFERROR(__xludf.DUMMYFUNCTION("""COMPUTED_VALUE"""),"21-25")</f>
        <v>21-25</v>
      </c>
      <c r="K136" s="5" t="str">
        <f>IFERROR(__xludf.DUMMYFUNCTION("""COMPUTED_VALUE"""),"Nothing")</f>
        <v>Nothing</v>
      </c>
      <c r="L136" s="32"/>
      <c r="M136" s="32"/>
      <c r="N136" s="32"/>
      <c r="O136" s="32"/>
      <c r="P136" s="32"/>
      <c r="Q136" s="32"/>
      <c r="R136" s="32"/>
      <c r="S136" s="32"/>
      <c r="T136" s="32"/>
      <c r="U136" s="32"/>
      <c r="V136" s="32"/>
      <c r="W136" s="32"/>
      <c r="X136" s="32"/>
    </row>
    <row r="137">
      <c r="A137" s="32" t="str">
        <f>IFERROR(__xludf.DUMMYFUNCTION("""COMPUTED_VALUE"""),"Master Sawoogo")</f>
        <v>Master Sawoogo</v>
      </c>
      <c r="B137" s="35" t="str">
        <f>IFERROR(__xludf.DUMMYFUNCTION("""COMPUTED_VALUE"""),"1-5")</f>
        <v>1-5</v>
      </c>
      <c r="C137" s="5" t="str">
        <f>IFERROR(__xludf.DUMMYFUNCTION("""COMPUTED_VALUE"""),"100,000,000G-500,000,000G")</f>
        <v>100,000,000G-500,000,000G</v>
      </c>
      <c r="D137" s="35" t="str">
        <f>IFERROR(__xludf.DUMMYFUNCTION("""COMPUTED_VALUE"""),"6-10")</f>
        <v>6-10</v>
      </c>
      <c r="E137" s="5" t="str">
        <f>IFERROR(__xludf.DUMMYFUNCTION("""COMPUTED_VALUE"""),"Aquatic Diamond")</f>
        <v>Aquatic Diamond</v>
      </c>
      <c r="F137" s="35" t="str">
        <f>IFERROR(__xludf.DUMMYFUNCTION("""COMPUTED_VALUE"""),"11-15")</f>
        <v>11-15</v>
      </c>
      <c r="G137" s="5" t="str">
        <f>IFERROR(__xludf.DUMMYFUNCTION("""COMPUTED_VALUE"""),"Soul")</f>
        <v>Soul</v>
      </c>
      <c r="H137" s="35" t="str">
        <f>IFERROR(__xludf.DUMMYFUNCTION("""COMPUTED_VALUE"""),"16-20")</f>
        <v>16-20</v>
      </c>
      <c r="I137" s="5" t="str">
        <f>IFERROR(__xludf.DUMMYFUNCTION("""COMPUTED_VALUE"""),"Giant Fire Diamond")</f>
        <v>Giant Fire Diamond</v>
      </c>
      <c r="J137" s="35" t="str">
        <f>IFERROR(__xludf.DUMMYFUNCTION("""COMPUTED_VALUE"""),"21-25")</f>
        <v>21-25</v>
      </c>
      <c r="K137" s="5" t="str">
        <f>IFERROR(__xludf.DUMMYFUNCTION("""COMPUTED_VALUE"""),"Royal Amulet Of Heatmore")</f>
        <v>Royal Amulet Of Heatmore</v>
      </c>
      <c r="L137" s="32"/>
      <c r="M137" s="32"/>
      <c r="N137" s="32"/>
      <c r="O137" s="32"/>
      <c r="P137" s="32"/>
      <c r="Q137" s="32"/>
      <c r="R137" s="32"/>
      <c r="S137" s="32"/>
      <c r="T137" s="32"/>
      <c r="U137" s="32"/>
      <c r="V137" s="32"/>
      <c r="W137" s="32"/>
      <c r="X137" s="32"/>
    </row>
    <row r="138">
      <c r="A138" s="32" t="str">
        <f>IFERROR(__xludf.DUMMYFUNCTION("""COMPUTED_VALUE"""),"Megalodon (WD)")</f>
        <v>Megalodon (WD)</v>
      </c>
      <c r="B138" s="35" t="str">
        <f>IFERROR(__xludf.DUMMYFUNCTION("""COMPUTED_VALUE"""),"1-5")</f>
        <v>1-5</v>
      </c>
      <c r="C138" s="5" t="str">
        <f>IFERROR(__xludf.DUMMYFUNCTION("""COMPUTED_VALUE"""),"Huge Teeth")</f>
        <v>Huge Teeth</v>
      </c>
      <c r="D138" s="35" t="str">
        <f>IFERROR(__xludf.DUMMYFUNCTION("""COMPUTED_VALUE"""),"6-10")</f>
        <v>6-10</v>
      </c>
      <c r="E138" s="5" t="str">
        <f>IFERROR(__xludf.DUMMYFUNCTION("""COMPUTED_VALUE"""),"Nothing")</f>
        <v>Nothing</v>
      </c>
      <c r="F138" s="35" t="str">
        <f>IFERROR(__xludf.DUMMYFUNCTION("""COMPUTED_VALUE"""),"11-15")</f>
        <v>11-15</v>
      </c>
      <c r="G138" s="5" t="str">
        <f>IFERROR(__xludf.DUMMYFUNCTION("""COMPUTED_VALUE"""),"Soul")</f>
        <v>Soul</v>
      </c>
      <c r="H138" s="35" t="str">
        <f>IFERROR(__xludf.DUMMYFUNCTION("""COMPUTED_VALUE"""),"16-20")</f>
        <v>16-20</v>
      </c>
      <c r="I138" s="5" t="str">
        <f>IFERROR(__xludf.DUMMYFUNCTION("""COMPUTED_VALUE"""),"Nothing")</f>
        <v>Nothing</v>
      </c>
      <c r="J138" s="35" t="str">
        <f>IFERROR(__xludf.DUMMYFUNCTION("""COMPUTED_VALUE"""),"21-25")</f>
        <v>21-25</v>
      </c>
      <c r="K138" s="5" t="str">
        <f>IFERROR(__xludf.DUMMYFUNCTION("""COMPUTED_VALUE"""),"Egg")</f>
        <v>Egg</v>
      </c>
      <c r="L138" s="32"/>
      <c r="M138" s="32"/>
      <c r="N138" s="32"/>
      <c r="O138" s="32"/>
      <c r="P138" s="32"/>
      <c r="Q138" s="32"/>
      <c r="R138" s="32"/>
      <c r="S138" s="32"/>
      <c r="T138" s="32"/>
      <c r="U138" s="32"/>
      <c r="V138" s="32"/>
      <c r="W138" s="32"/>
      <c r="X138" s="32"/>
    </row>
    <row r="139">
      <c r="A139" s="32" t="str">
        <f>IFERROR(__xludf.DUMMYFUNCTION("""COMPUTED_VALUE"""),"Megalodon (WD) (Enhanced)")</f>
        <v>Megalodon (WD) (Enhanced)</v>
      </c>
      <c r="B139" s="35" t="str">
        <f>IFERROR(__xludf.DUMMYFUNCTION("""COMPUTED_VALUE"""),"1-5")</f>
        <v>1-5</v>
      </c>
      <c r="C139" s="5" t="str">
        <f>IFERROR(__xludf.DUMMYFUNCTION("""COMPUTED_VALUE"""),"Huge Teeth")</f>
        <v>Huge Teeth</v>
      </c>
      <c r="D139" s="35" t="str">
        <f>IFERROR(__xludf.DUMMYFUNCTION("""COMPUTED_VALUE"""),"6-10")</f>
        <v>6-10</v>
      </c>
      <c r="E139" s="5" t="str">
        <f>IFERROR(__xludf.DUMMYFUNCTION("""COMPUTED_VALUE"""),"Nothing")</f>
        <v>Nothing</v>
      </c>
      <c r="F139" s="35" t="str">
        <f>IFERROR(__xludf.DUMMYFUNCTION("""COMPUTED_VALUE"""),"11-15")</f>
        <v>11-15</v>
      </c>
      <c r="G139" s="5" t="str">
        <f>IFERROR(__xludf.DUMMYFUNCTION("""COMPUTED_VALUE"""),"Soul")</f>
        <v>Soul</v>
      </c>
      <c r="H139" s="35" t="str">
        <f>IFERROR(__xludf.DUMMYFUNCTION("""COMPUTED_VALUE"""),"16-20")</f>
        <v>16-20</v>
      </c>
      <c r="I139" s="5" t="str">
        <f>IFERROR(__xludf.DUMMYFUNCTION("""COMPUTED_VALUE"""),"Nothing")</f>
        <v>Nothing</v>
      </c>
      <c r="J139" s="35" t="str">
        <f>IFERROR(__xludf.DUMMYFUNCTION("""COMPUTED_VALUE"""),"21-25")</f>
        <v>21-25</v>
      </c>
      <c r="K139" s="5" t="str">
        <f>IFERROR(__xludf.DUMMYFUNCTION("""COMPUTED_VALUE"""),"Egg")</f>
        <v>Egg</v>
      </c>
      <c r="L139" s="32"/>
      <c r="M139" s="32"/>
      <c r="N139" s="32"/>
      <c r="O139" s="32"/>
      <c r="P139" s="32"/>
      <c r="Q139" s="32"/>
      <c r="R139" s="32"/>
      <c r="S139" s="32"/>
      <c r="T139" s="32"/>
      <c r="U139" s="32"/>
      <c r="V139" s="32"/>
      <c r="W139" s="32"/>
      <c r="X139" s="32"/>
    </row>
    <row r="140">
      <c r="A140" s="32" t="str">
        <f>IFERROR(__xludf.DUMMYFUNCTION("""COMPUTED_VALUE"""),"Merk the undying sand Goblin")</f>
        <v>Merk the undying sand Goblin</v>
      </c>
      <c r="B140" s="35" t="str">
        <f>IFERROR(__xludf.DUMMYFUNCTION("""COMPUTED_VALUE"""),"1-5")</f>
        <v>1-5</v>
      </c>
      <c r="C140" s="5" t="str">
        <f>IFERROR(__xludf.DUMMYFUNCTION("""COMPUTED_VALUE"""),"Potion Of Regeneration")</f>
        <v>Potion Of Regeneration</v>
      </c>
      <c r="D140" s="35" t="str">
        <f>IFERROR(__xludf.DUMMYFUNCTION("""COMPUTED_VALUE"""),"6-10")</f>
        <v>6-10</v>
      </c>
      <c r="E140" s="5" t="str">
        <f>IFERROR(__xludf.DUMMYFUNCTION("""COMPUTED_VALUE"""),"Spear")</f>
        <v>Spear</v>
      </c>
      <c r="F140" s="35" t="str">
        <f>IFERROR(__xludf.DUMMYFUNCTION("""COMPUTED_VALUE"""),"11-15")</f>
        <v>11-15</v>
      </c>
      <c r="G140" s="5" t="str">
        <f>IFERROR(__xludf.DUMMYFUNCTION("""COMPUTED_VALUE"""),"1,000G-20,000G")</f>
        <v>1,000G-20,000G</v>
      </c>
      <c r="H140" s="35" t="str">
        <f>IFERROR(__xludf.DUMMYFUNCTION("""COMPUTED_VALUE"""),"16-20")</f>
        <v>16-20</v>
      </c>
      <c r="I140" s="5" t="str">
        <f>IFERROR(__xludf.DUMMYFUNCTION("""COMPUTED_VALUE"""),"Soul")</f>
        <v>Soul</v>
      </c>
      <c r="J140" s="35" t="str">
        <f>IFERROR(__xludf.DUMMYFUNCTION("""COMPUTED_VALUE"""),"21-25")</f>
        <v>21-25</v>
      </c>
      <c r="K140" s="5" t="str">
        <f>IFERROR(__xludf.DUMMYFUNCTION("""COMPUTED_VALUE"""),"Nothing")</f>
        <v>Nothing</v>
      </c>
      <c r="L140" s="32"/>
      <c r="M140" s="32"/>
      <c r="N140" s="32"/>
      <c r="O140" s="32"/>
      <c r="P140" s="32"/>
      <c r="Q140" s="32"/>
      <c r="R140" s="32"/>
      <c r="S140" s="32"/>
      <c r="T140" s="32"/>
      <c r="U140" s="32"/>
      <c r="V140" s="32"/>
      <c r="W140" s="32"/>
      <c r="X140" s="32"/>
    </row>
    <row r="141">
      <c r="A141" s="32" t="str">
        <f>IFERROR(__xludf.DUMMYFUNCTION("""COMPUTED_VALUE"""),"Mod ""The Evil Seahag From Hagstown""")</f>
        <v>Mod "The Evil Seahag From Hagstown"</v>
      </c>
      <c r="B141" s="35" t="str">
        <f>IFERROR(__xludf.DUMMYFUNCTION("""COMPUTED_VALUE"""),"1-5")</f>
        <v>1-5</v>
      </c>
      <c r="C141" s="5" t="str">
        <f>IFERROR(__xludf.DUMMYFUNCTION("""COMPUTED_VALUE"""),"500,000,000G-1,000,000,000G")</f>
        <v>500,000,000G-1,000,000,000G</v>
      </c>
      <c r="D141" s="35" t="str">
        <f>IFERROR(__xludf.DUMMYFUNCTION("""COMPUTED_VALUE"""),"6-10")</f>
        <v>6-10</v>
      </c>
      <c r="E141" s="5" t="str">
        <f>IFERROR(__xludf.DUMMYFUNCTION("""COMPUTED_VALUE"""),"Candy Corn")</f>
        <v>Candy Corn</v>
      </c>
      <c r="F141" s="35" t="str">
        <f>IFERROR(__xludf.DUMMYFUNCTION("""COMPUTED_VALUE"""),"11-15")</f>
        <v>11-15</v>
      </c>
      <c r="G141" s="5" t="str">
        <f>IFERROR(__xludf.DUMMYFUNCTION("""COMPUTED_VALUE"""),"Candy Corn Necklace")</f>
        <v>Candy Corn Necklace</v>
      </c>
      <c r="H141" s="35" t="str">
        <f>IFERROR(__xludf.DUMMYFUNCTION("""COMPUTED_VALUE"""),"16-20")</f>
        <v>16-20</v>
      </c>
      <c r="I141" s="5" t="str">
        <f>IFERROR(__xludf.DUMMYFUNCTION("""COMPUTED_VALUE"""),"Candy Corn Rifle")</f>
        <v>Candy Corn Rifle</v>
      </c>
      <c r="J141" s="35" t="str">
        <f>IFERROR(__xludf.DUMMYFUNCTION("""COMPUTED_VALUE"""),"21-25")</f>
        <v>21-25</v>
      </c>
      <c r="K141" s="5" t="str">
        <f>IFERROR(__xludf.DUMMYFUNCTION("""COMPUTED_VALUE"""),"Soul")</f>
        <v>Soul</v>
      </c>
      <c r="L141" s="32"/>
      <c r="M141" s="32"/>
      <c r="N141" s="32"/>
      <c r="O141" s="32"/>
      <c r="P141" s="32"/>
      <c r="Q141" s="32"/>
      <c r="R141" s="32"/>
      <c r="S141" s="32"/>
      <c r="T141" s="32"/>
      <c r="U141" s="32"/>
      <c r="V141" s="32"/>
      <c r="W141" s="32"/>
      <c r="X141" s="32"/>
    </row>
    <row r="142">
      <c r="A142" s="32" t="str">
        <f>IFERROR(__xludf.DUMMYFUNCTION("""COMPUTED_VALUE"""),"Moonlight Unicorn")</f>
        <v>Moonlight Unicorn</v>
      </c>
      <c r="B142" s="35" t="str">
        <f>IFERROR(__xludf.DUMMYFUNCTION("""COMPUTED_VALUE"""),"1-5")</f>
        <v>1-5</v>
      </c>
      <c r="C142" s="5" t="str">
        <f>IFERROR(__xludf.DUMMYFUNCTION("""COMPUTED_VALUE"""),"Nothing")</f>
        <v>Nothing</v>
      </c>
      <c r="D142" s="35" t="str">
        <f>IFERROR(__xludf.DUMMYFUNCTION("""COMPUTED_VALUE"""),"6-10")</f>
        <v>6-10</v>
      </c>
      <c r="E142" s="5" t="str">
        <f>IFERROR(__xludf.DUMMYFUNCTION("""COMPUTED_VALUE"""),"Soul")</f>
        <v>Soul</v>
      </c>
      <c r="F142" s="35" t="str">
        <f>IFERROR(__xludf.DUMMYFUNCTION("""COMPUTED_VALUE"""),"11-15")</f>
        <v>11-15</v>
      </c>
      <c r="G142" s="5" t="str">
        <f>IFERROR(__xludf.DUMMYFUNCTION("""COMPUTED_VALUE"""),"20,000G-40,000G")</f>
        <v>20,000G-40,000G</v>
      </c>
      <c r="H142" s="35" t="str">
        <f>IFERROR(__xludf.DUMMYFUNCTION("""COMPUTED_VALUE"""),"16-20")</f>
        <v>16-20</v>
      </c>
      <c r="I142" s="5" t="str">
        <f>IFERROR(__xludf.DUMMYFUNCTION("""COMPUTED_VALUE"""),"Egg")</f>
        <v>Egg</v>
      </c>
      <c r="J142" s="35" t="str">
        <f>IFERROR(__xludf.DUMMYFUNCTION("""COMPUTED_VALUE"""),"21-25")</f>
        <v>21-25</v>
      </c>
      <c r="K142" s="5" t="str">
        <f>IFERROR(__xludf.DUMMYFUNCTION("""COMPUTED_VALUE"""),"Nothing")</f>
        <v>Nothing</v>
      </c>
      <c r="L142" s="32"/>
      <c r="M142" s="32"/>
      <c r="N142" s="32"/>
      <c r="O142" s="32"/>
      <c r="P142" s="32"/>
      <c r="Q142" s="32"/>
      <c r="R142" s="32"/>
      <c r="S142" s="32"/>
      <c r="T142" s="32"/>
      <c r="U142" s="32"/>
      <c r="V142" s="32"/>
      <c r="W142" s="32"/>
      <c r="X142" s="32"/>
    </row>
    <row r="143">
      <c r="A143" s="32" t="str">
        <f>IFERROR(__xludf.DUMMYFUNCTION("""COMPUTED_VALUE"""),"Mournful Mother")</f>
        <v>Mournful Mother</v>
      </c>
      <c r="B143" s="35" t="str">
        <f>IFERROR(__xludf.DUMMYFUNCTION("""COMPUTED_VALUE"""),"1-5")</f>
        <v>1-5</v>
      </c>
      <c r="C143" s="5" t="str">
        <f>IFERROR(__xludf.DUMMYFUNCTION("""COMPUTED_VALUE"""),"1,000G-20,000G")</f>
        <v>1,000G-20,000G</v>
      </c>
      <c r="D143" s="35" t="str">
        <f>IFERROR(__xludf.DUMMYFUNCTION("""COMPUTED_VALUE"""),"6-10")</f>
        <v>6-10</v>
      </c>
      <c r="E143" s="5" t="str">
        <f>IFERROR(__xludf.DUMMYFUNCTION("""COMPUTED_VALUE"""),"Soul")</f>
        <v>Soul</v>
      </c>
      <c r="F143" s="35" t="str">
        <f>IFERROR(__xludf.DUMMYFUNCTION("""COMPUTED_VALUE"""),"11-15")</f>
        <v>11-15</v>
      </c>
      <c r="G143" s="5" t="str">
        <f>IFERROR(__xludf.DUMMYFUNCTION("""COMPUTED_VALUE"""),"Nothing")</f>
        <v>Nothing</v>
      </c>
      <c r="H143" s="35" t="str">
        <f>IFERROR(__xludf.DUMMYFUNCTION("""COMPUTED_VALUE"""),"16-20")</f>
        <v>16-20</v>
      </c>
      <c r="I143" s="5" t="str">
        <f>IFERROR(__xludf.DUMMYFUNCTION("""COMPUTED_VALUE"""),"Nothing")</f>
        <v>Nothing</v>
      </c>
      <c r="J143" s="35" t="str">
        <f>IFERROR(__xludf.DUMMYFUNCTION("""COMPUTED_VALUE"""),"21-25")</f>
        <v>21-25</v>
      </c>
      <c r="K143" s="5" t="str">
        <f>IFERROR(__xludf.DUMMYFUNCTION("""COMPUTED_VALUE"""),"Nothing")</f>
        <v>Nothing</v>
      </c>
      <c r="L143" s="32"/>
      <c r="M143" s="32"/>
      <c r="N143" s="32"/>
      <c r="O143" s="32"/>
      <c r="P143" s="32"/>
      <c r="Q143" s="32"/>
      <c r="R143" s="32"/>
      <c r="S143" s="32"/>
      <c r="T143" s="32"/>
      <c r="U143" s="32"/>
      <c r="V143" s="32"/>
      <c r="W143" s="32"/>
      <c r="X143" s="32"/>
    </row>
    <row r="144">
      <c r="A144" s="32" t="str">
        <f>IFERROR(__xludf.DUMMYFUNCTION("""COMPUTED_VALUE"""),"Multi Headed Chaotic Shadow Dragon")</f>
        <v>Multi Headed Chaotic Shadow Dragon</v>
      </c>
      <c r="B144" s="35" t="str">
        <f>IFERROR(__xludf.DUMMYFUNCTION("""COMPUTED_VALUE"""),"1-5")</f>
        <v>1-5</v>
      </c>
      <c r="C144" s="5" t="str">
        <f>IFERROR(__xludf.DUMMYFUNCTION("""COMPUTED_VALUE"""),"Chaotic Shadow Dragon Scales")</f>
        <v>Chaotic Shadow Dragon Scales</v>
      </c>
      <c r="D144" s="35" t="str">
        <f>IFERROR(__xludf.DUMMYFUNCTION("""COMPUTED_VALUE"""),"6-10")</f>
        <v>6-10</v>
      </c>
      <c r="E144" s="5" t="str">
        <f>IFERROR(__xludf.DUMMYFUNCTION("""COMPUTED_VALUE"""),"1,000,000G-20,000,000G")</f>
        <v>1,000,000G-20,000,000G</v>
      </c>
      <c r="F144" s="35" t="str">
        <f>IFERROR(__xludf.DUMMYFUNCTION("""COMPUTED_VALUE"""),"11-15")</f>
        <v>11-15</v>
      </c>
      <c r="G144" s="5" t="str">
        <f>IFERROR(__xludf.DUMMYFUNCTION("""COMPUTED_VALUE"""),"Chaotic Shadow Dragon Skull")</f>
        <v>Chaotic Shadow Dragon Skull</v>
      </c>
      <c r="H144" s="35" t="str">
        <f>IFERROR(__xludf.DUMMYFUNCTION("""COMPUTED_VALUE"""),"16-20")</f>
        <v>16-20</v>
      </c>
      <c r="I144" s="5" t="str">
        <f>IFERROR(__xludf.DUMMYFUNCTION("""COMPUTED_VALUE"""),"Nothing")</f>
        <v>Nothing</v>
      </c>
      <c r="J144" s="35" t="str">
        <f>IFERROR(__xludf.DUMMYFUNCTION("""COMPUTED_VALUE"""),"21-25")</f>
        <v>21-25</v>
      </c>
      <c r="K144" s="5" t="str">
        <f>IFERROR(__xludf.DUMMYFUNCTION("""COMPUTED_VALUE"""),"Soul")</f>
        <v>Soul</v>
      </c>
      <c r="L144" s="32"/>
      <c r="M144" s="32"/>
      <c r="N144" s="32"/>
      <c r="O144" s="32"/>
      <c r="P144" s="32"/>
      <c r="Q144" s="32"/>
      <c r="R144" s="32"/>
      <c r="S144" s="32"/>
      <c r="T144" s="32"/>
      <c r="U144" s="32"/>
      <c r="V144" s="32"/>
      <c r="W144" s="32"/>
      <c r="X144" s="32"/>
    </row>
    <row r="145">
      <c r="A145" s="32" t="str">
        <f>IFERROR(__xludf.DUMMYFUNCTION("""COMPUTED_VALUE"""),"Mummy Guardian")</f>
        <v>Mummy Guardian</v>
      </c>
      <c r="B145" s="35" t="str">
        <f>IFERROR(__xludf.DUMMYFUNCTION("""COMPUTED_VALUE"""),"1-5")</f>
        <v>1-5</v>
      </c>
      <c r="C145" s="5" t="str">
        <f>IFERROR(__xludf.DUMMYFUNCTION("""COMPUTED_VALUE"""),"Nothing")</f>
        <v>Nothing</v>
      </c>
      <c r="D145" s="35" t="str">
        <f>IFERROR(__xludf.DUMMYFUNCTION("""COMPUTED_VALUE"""),"6-10")</f>
        <v>6-10</v>
      </c>
      <c r="E145" s="5" t="str">
        <f>IFERROR(__xludf.DUMMYFUNCTION("""COMPUTED_VALUE"""),"Soul")</f>
        <v>Soul</v>
      </c>
      <c r="F145" s="35" t="str">
        <f>IFERROR(__xludf.DUMMYFUNCTION("""COMPUTED_VALUE"""),"11-15")</f>
        <v>11-15</v>
      </c>
      <c r="G145" s="5" t="str">
        <f>IFERROR(__xludf.DUMMYFUNCTION("""COMPUTED_VALUE"""),"Nothing")</f>
        <v>Nothing</v>
      </c>
      <c r="H145" s="35" t="str">
        <f>IFERROR(__xludf.DUMMYFUNCTION("""COMPUTED_VALUE"""),"16-20")</f>
        <v>16-20</v>
      </c>
      <c r="I145" s="5" t="str">
        <f>IFERROR(__xludf.DUMMYFUNCTION("""COMPUTED_VALUE"""),"Nothing")</f>
        <v>Nothing</v>
      </c>
      <c r="J145" s="35" t="str">
        <f>IFERROR(__xludf.DUMMYFUNCTION("""COMPUTED_VALUE"""),"21-25")</f>
        <v>21-25</v>
      </c>
      <c r="K145" s="5" t="str">
        <f>IFERROR(__xludf.DUMMYFUNCTION("""COMPUTED_VALUE"""),"80,000G-100,000G")</f>
        <v>80,000G-100,000G</v>
      </c>
      <c r="L145" s="32"/>
      <c r="M145" s="32"/>
      <c r="N145" s="32"/>
      <c r="O145" s="32"/>
      <c r="P145" s="32"/>
      <c r="Q145" s="32"/>
      <c r="R145" s="32"/>
      <c r="S145" s="32"/>
      <c r="T145" s="32"/>
      <c r="U145" s="32"/>
      <c r="V145" s="32"/>
      <c r="W145" s="32"/>
      <c r="X145" s="32"/>
    </row>
    <row r="146">
      <c r="A146" s="32" t="str">
        <f>IFERROR(__xludf.DUMMYFUNCTION("""COMPUTED_VALUE"""),"Mummy King")</f>
        <v>Mummy King</v>
      </c>
      <c r="B146" s="35" t="str">
        <f>IFERROR(__xludf.DUMMYFUNCTION("""COMPUTED_VALUE"""),"1-5")</f>
        <v>1-5</v>
      </c>
      <c r="C146" s="5" t="str">
        <f>IFERROR(__xludf.DUMMYFUNCTION("""COMPUTED_VALUE"""),"Void sword")</f>
        <v>Void sword</v>
      </c>
      <c r="D146" s="35" t="str">
        <f>IFERROR(__xludf.DUMMYFUNCTION("""COMPUTED_VALUE"""),"6-10")</f>
        <v>6-10</v>
      </c>
      <c r="E146" s="5" t="str">
        <f>IFERROR(__xludf.DUMMYFUNCTION("""COMPUTED_VALUE"""),"Soul")</f>
        <v>Soul</v>
      </c>
      <c r="F146" s="35" t="str">
        <f>IFERROR(__xludf.DUMMYFUNCTION("""COMPUTED_VALUE"""),"11-15")</f>
        <v>11-15</v>
      </c>
      <c r="G146" s="5" t="str">
        <f>IFERROR(__xludf.DUMMYFUNCTION("""COMPUTED_VALUE"""),"Nothing")</f>
        <v>Nothing</v>
      </c>
      <c r="H146" s="35" t="str">
        <f>IFERROR(__xludf.DUMMYFUNCTION("""COMPUTED_VALUE"""),"16-20")</f>
        <v>16-20</v>
      </c>
      <c r="I146" s="5" t="str">
        <f>IFERROR(__xludf.DUMMYFUNCTION("""COMPUTED_VALUE"""),"Nothing")</f>
        <v>Nothing</v>
      </c>
      <c r="J146" s="35" t="str">
        <f>IFERROR(__xludf.DUMMYFUNCTION("""COMPUTED_VALUE"""),"21-25")</f>
        <v>21-25</v>
      </c>
      <c r="K146" s="5" t="str">
        <f>IFERROR(__xludf.DUMMYFUNCTION("""COMPUTED_VALUE"""),"100,000,000G-500,000,000G")</f>
        <v>100,000,000G-500,000,000G</v>
      </c>
      <c r="L146" s="32"/>
      <c r="M146" s="32"/>
      <c r="N146" s="32"/>
      <c r="O146" s="32"/>
      <c r="P146" s="32"/>
      <c r="Q146" s="32"/>
      <c r="R146" s="32"/>
      <c r="S146" s="32"/>
      <c r="T146" s="32"/>
      <c r="U146" s="32"/>
      <c r="V146" s="32"/>
      <c r="W146" s="32"/>
      <c r="X146" s="32"/>
    </row>
    <row r="147">
      <c r="A147" s="32" t="str">
        <f>IFERROR(__xludf.DUMMYFUNCTION("""COMPUTED_VALUE"""),"Mummy Queen")</f>
        <v>Mummy Queen</v>
      </c>
      <c r="B147" s="35" t="str">
        <f>IFERROR(__xludf.DUMMYFUNCTION("""COMPUTED_VALUE"""),"1-5")</f>
        <v>1-5</v>
      </c>
      <c r="C147" s="5" t="str">
        <f>IFERROR(__xludf.DUMMYFUNCTION("""COMPUTED_VALUE"""),"Soul")</f>
        <v>Soul</v>
      </c>
      <c r="D147" s="35" t="str">
        <f>IFERROR(__xludf.DUMMYFUNCTION("""COMPUTED_VALUE"""),"6-10")</f>
        <v>6-10</v>
      </c>
      <c r="E147" s="5" t="str">
        <f>IFERROR(__xludf.DUMMYFUNCTION("""COMPUTED_VALUE"""),"Soul")</f>
        <v>Soul</v>
      </c>
      <c r="F147" s="35" t="str">
        <f>IFERROR(__xludf.DUMMYFUNCTION("""COMPUTED_VALUE"""),"11-15")</f>
        <v>11-15</v>
      </c>
      <c r="G147" s="5" t="str">
        <f>IFERROR(__xludf.DUMMYFUNCTION("""COMPUTED_VALUE"""),"Soul")</f>
        <v>Soul</v>
      </c>
      <c r="H147" s="35" t="str">
        <f>IFERROR(__xludf.DUMMYFUNCTION("""COMPUTED_VALUE"""),"16-20")</f>
        <v>16-20</v>
      </c>
      <c r="I147" s="5" t="str">
        <f>IFERROR(__xludf.DUMMYFUNCTION("""COMPUTED_VALUE"""),"Void sword")</f>
        <v>Void sword</v>
      </c>
      <c r="J147" s="35" t="str">
        <f>IFERROR(__xludf.DUMMYFUNCTION("""COMPUTED_VALUE"""),"21-25")</f>
        <v>21-25</v>
      </c>
      <c r="K147" s="5" t="str">
        <f>IFERROR(__xludf.DUMMYFUNCTION("""COMPUTED_VALUE"""),"1,000G-20,000G")</f>
        <v>1,000G-20,000G</v>
      </c>
      <c r="L147" s="32"/>
      <c r="M147" s="32"/>
      <c r="N147" s="32"/>
      <c r="O147" s="32"/>
      <c r="P147" s="32"/>
      <c r="Q147" s="32"/>
      <c r="R147" s="32"/>
      <c r="S147" s="32"/>
      <c r="T147" s="32"/>
      <c r="U147" s="32"/>
      <c r="V147" s="32"/>
      <c r="W147" s="32"/>
      <c r="X147" s="32"/>
    </row>
    <row r="148">
      <c r="A148" s="32" t="str">
        <f>IFERROR(__xludf.DUMMYFUNCTION("""COMPUTED_VALUE"""),"Mummy Soldier")</f>
        <v>Mummy Soldier</v>
      </c>
      <c r="B148" s="35" t="str">
        <f>IFERROR(__xludf.DUMMYFUNCTION("""COMPUTED_VALUE"""),"1-5")</f>
        <v>1-5</v>
      </c>
      <c r="C148" s="5" t="str">
        <f>IFERROR(__xludf.DUMMYFUNCTION("""COMPUTED_VALUE"""),"Soul")</f>
        <v>Soul</v>
      </c>
      <c r="D148" s="35" t="str">
        <f>IFERROR(__xludf.DUMMYFUNCTION("""COMPUTED_VALUE"""),"6-10")</f>
        <v>6-10</v>
      </c>
      <c r="E148" s="5" t="str">
        <f>IFERROR(__xludf.DUMMYFUNCTION("""COMPUTED_VALUE"""),"Soul")</f>
        <v>Soul</v>
      </c>
      <c r="F148" s="35" t="str">
        <f>IFERROR(__xludf.DUMMYFUNCTION("""COMPUTED_VALUE"""),"11-15")</f>
        <v>11-15</v>
      </c>
      <c r="G148" s="5" t="str">
        <f>IFERROR(__xludf.DUMMYFUNCTION("""COMPUTED_VALUE"""),"Egg")</f>
        <v>Egg</v>
      </c>
      <c r="H148" s="35" t="str">
        <f>IFERROR(__xludf.DUMMYFUNCTION("""COMPUTED_VALUE"""),"16-20")</f>
        <v>16-20</v>
      </c>
      <c r="I148" s="5" t="str">
        <f>IFERROR(__xludf.DUMMYFUNCTION("""COMPUTED_VALUE"""),"Soul")</f>
        <v>Soul</v>
      </c>
      <c r="J148" s="35" t="str">
        <f>IFERROR(__xludf.DUMMYFUNCTION("""COMPUTED_VALUE"""),"21-25")</f>
        <v>21-25</v>
      </c>
      <c r="K148" s="5" t="str">
        <f>IFERROR(__xludf.DUMMYFUNCTION("""COMPUTED_VALUE"""),"Nothing")</f>
        <v>Nothing</v>
      </c>
      <c r="L148" s="32"/>
      <c r="M148" s="32"/>
      <c r="N148" s="32"/>
      <c r="O148" s="32"/>
      <c r="P148" s="32"/>
      <c r="Q148" s="32"/>
      <c r="R148" s="32"/>
      <c r="S148" s="32"/>
      <c r="T148" s="32"/>
      <c r="U148" s="32"/>
      <c r="V148" s="32"/>
      <c r="W148" s="32"/>
      <c r="X148" s="32"/>
    </row>
    <row r="149">
      <c r="A149" s="32" t="str">
        <f>IFERROR(__xludf.DUMMYFUNCTION("""COMPUTED_VALUE"""),"Mummy Warrior")</f>
        <v>Mummy Warrior</v>
      </c>
      <c r="B149" s="35" t="str">
        <f>IFERROR(__xludf.DUMMYFUNCTION("""COMPUTED_VALUE"""),"1-5")</f>
        <v>1-5</v>
      </c>
      <c r="C149" s="5" t="str">
        <f>IFERROR(__xludf.DUMMYFUNCTION("""COMPUTED_VALUE"""),"Soul")</f>
        <v>Soul</v>
      </c>
      <c r="D149" s="35" t="str">
        <f>IFERROR(__xludf.DUMMYFUNCTION("""COMPUTED_VALUE"""),"6-10")</f>
        <v>6-10</v>
      </c>
      <c r="E149" s="5" t="str">
        <f>IFERROR(__xludf.DUMMYFUNCTION("""COMPUTED_VALUE"""),"Soul")</f>
        <v>Soul</v>
      </c>
      <c r="F149" s="35" t="str">
        <f>IFERROR(__xludf.DUMMYFUNCTION("""COMPUTED_VALUE"""),"11-15")</f>
        <v>11-15</v>
      </c>
      <c r="G149" s="5" t="str">
        <f>IFERROR(__xludf.DUMMYFUNCTION("""COMPUTED_VALUE"""),"Egg")</f>
        <v>Egg</v>
      </c>
      <c r="H149" s="35" t="str">
        <f>IFERROR(__xludf.DUMMYFUNCTION("""COMPUTED_VALUE"""),"16-20")</f>
        <v>16-20</v>
      </c>
      <c r="I149" s="5" t="str">
        <f>IFERROR(__xludf.DUMMYFUNCTION("""COMPUTED_VALUE"""),"Soul")</f>
        <v>Soul</v>
      </c>
      <c r="J149" s="35" t="str">
        <f>IFERROR(__xludf.DUMMYFUNCTION("""COMPUTED_VALUE"""),"21-25")</f>
        <v>21-25</v>
      </c>
      <c r="K149" s="5" t="str">
        <f>IFERROR(__xludf.DUMMYFUNCTION("""COMPUTED_VALUE"""),"Nothing")</f>
        <v>Nothing</v>
      </c>
      <c r="L149" s="32"/>
      <c r="M149" s="32"/>
      <c r="N149" s="32"/>
      <c r="O149" s="32"/>
      <c r="P149" s="32"/>
      <c r="Q149" s="32"/>
      <c r="R149" s="32"/>
      <c r="S149" s="32"/>
      <c r="T149" s="32"/>
      <c r="U149" s="32"/>
      <c r="V149" s="32"/>
      <c r="W149" s="32"/>
      <c r="X149" s="32"/>
    </row>
    <row r="150">
      <c r="A150" s="32" t="str">
        <f>IFERROR(__xludf.DUMMYFUNCTION("""COMPUTED_VALUE"""),"Octopi (WD)")</f>
        <v>Octopi (WD)</v>
      </c>
      <c r="B150" s="35" t="str">
        <f>IFERROR(__xludf.DUMMYFUNCTION("""COMPUTED_VALUE"""),"1-5")</f>
        <v>1-5</v>
      </c>
      <c r="C150" s="5" t="str">
        <f>IFERROR(__xludf.DUMMYFUNCTION("""COMPUTED_VALUE"""),"Egg")</f>
        <v>Egg</v>
      </c>
      <c r="D150" s="35" t="str">
        <f>IFERROR(__xludf.DUMMYFUNCTION("""COMPUTED_VALUE"""),"6-10")</f>
        <v>6-10</v>
      </c>
      <c r="E150" s="5" t="str">
        <f>IFERROR(__xludf.DUMMYFUNCTION("""COMPUTED_VALUE"""),"Tentacle")</f>
        <v>Tentacle</v>
      </c>
      <c r="F150" s="35" t="str">
        <f>IFERROR(__xludf.DUMMYFUNCTION("""COMPUTED_VALUE"""),"11-15")</f>
        <v>11-15</v>
      </c>
      <c r="G150" s="5" t="str">
        <f>IFERROR(__xludf.DUMMYFUNCTION("""COMPUTED_VALUE"""),"Potion of Water Breathing")</f>
        <v>Potion of Water Breathing</v>
      </c>
      <c r="H150" s="35" t="str">
        <f>IFERROR(__xludf.DUMMYFUNCTION("""COMPUTED_VALUE"""),"16-20")</f>
        <v>16-20</v>
      </c>
      <c r="I150" s="5" t="str">
        <f>IFERROR(__xludf.DUMMYFUNCTION("""COMPUTED_VALUE"""),"Soul")</f>
        <v>Soul</v>
      </c>
      <c r="J150" s="35" t="str">
        <f>IFERROR(__xludf.DUMMYFUNCTION("""COMPUTED_VALUE"""),"21-25")</f>
        <v>21-25</v>
      </c>
      <c r="K150" s="5" t="str">
        <f>IFERROR(__xludf.DUMMYFUNCTION("""COMPUTED_VALUE"""),"Nothing")</f>
        <v>Nothing</v>
      </c>
      <c r="L150" s="32"/>
      <c r="M150" s="32"/>
      <c r="N150" s="32"/>
      <c r="O150" s="32"/>
      <c r="P150" s="32"/>
      <c r="Q150" s="32"/>
      <c r="R150" s="32"/>
      <c r="S150" s="32"/>
      <c r="T150" s="32"/>
      <c r="U150" s="32"/>
      <c r="V150" s="32"/>
      <c r="W150" s="32"/>
      <c r="X150" s="32"/>
    </row>
    <row r="151">
      <c r="A151" s="32" t="str">
        <f>IFERROR(__xludf.DUMMYFUNCTION("""COMPUTED_VALUE"""),"Octopi (WD) (Enhanced)")</f>
        <v>Octopi (WD) (Enhanced)</v>
      </c>
      <c r="B151" s="35" t="str">
        <f>IFERROR(__xludf.DUMMYFUNCTION("""COMPUTED_VALUE"""),"1-5")</f>
        <v>1-5</v>
      </c>
      <c r="C151" s="5" t="str">
        <f>IFERROR(__xludf.DUMMYFUNCTION("""COMPUTED_VALUE"""),"Egg")</f>
        <v>Egg</v>
      </c>
      <c r="D151" s="35" t="str">
        <f>IFERROR(__xludf.DUMMYFUNCTION("""COMPUTED_VALUE"""),"6-10")</f>
        <v>6-10</v>
      </c>
      <c r="E151" s="5" t="str">
        <f>IFERROR(__xludf.DUMMYFUNCTION("""COMPUTED_VALUE"""),"Tentacle")</f>
        <v>Tentacle</v>
      </c>
      <c r="F151" s="35" t="str">
        <f>IFERROR(__xludf.DUMMYFUNCTION("""COMPUTED_VALUE"""),"11-15")</f>
        <v>11-15</v>
      </c>
      <c r="G151" s="5" t="str">
        <f>IFERROR(__xludf.DUMMYFUNCTION("""COMPUTED_VALUE"""),"Potion of Water Breathing")</f>
        <v>Potion of Water Breathing</v>
      </c>
      <c r="H151" s="35" t="str">
        <f>IFERROR(__xludf.DUMMYFUNCTION("""COMPUTED_VALUE"""),"16-20")</f>
        <v>16-20</v>
      </c>
      <c r="I151" s="5" t="str">
        <f>IFERROR(__xludf.DUMMYFUNCTION("""COMPUTED_VALUE"""),"Soul")</f>
        <v>Soul</v>
      </c>
      <c r="J151" s="35" t="str">
        <f>IFERROR(__xludf.DUMMYFUNCTION("""COMPUTED_VALUE"""),"21-25")</f>
        <v>21-25</v>
      </c>
      <c r="K151" s="5" t="str">
        <f>IFERROR(__xludf.DUMMYFUNCTION("""COMPUTED_VALUE"""),"Nothing")</f>
        <v>Nothing</v>
      </c>
      <c r="L151" s="32"/>
      <c r="M151" s="32"/>
      <c r="N151" s="32"/>
      <c r="O151" s="32"/>
      <c r="P151" s="32"/>
      <c r="Q151" s="32"/>
      <c r="R151" s="32"/>
      <c r="S151" s="32"/>
      <c r="T151" s="32"/>
      <c r="U151" s="32"/>
      <c r="V151" s="32"/>
      <c r="W151" s="32"/>
      <c r="X151" s="32"/>
    </row>
    <row r="152">
      <c r="A152" s="32" t="str">
        <f>IFERROR(__xludf.DUMMYFUNCTION("""COMPUTED_VALUE"""),"Ox")</f>
        <v>Ox</v>
      </c>
      <c r="B152" s="35" t="str">
        <f>IFERROR(__xludf.DUMMYFUNCTION("""COMPUTED_VALUE"""),"1-5")</f>
        <v>1-5</v>
      </c>
      <c r="C152" s="5" t="str">
        <f>IFERROR(__xludf.DUMMYFUNCTION("""COMPUTED_VALUE"""),"Egg")</f>
        <v>Egg</v>
      </c>
      <c r="D152" s="35" t="str">
        <f>IFERROR(__xludf.DUMMYFUNCTION("""COMPUTED_VALUE"""),"6-10")</f>
        <v>6-10</v>
      </c>
      <c r="E152" s="5" t="str">
        <f>IFERROR(__xludf.DUMMYFUNCTION("""COMPUTED_VALUE"""),"Soul")</f>
        <v>Soul</v>
      </c>
      <c r="F152" s="35" t="str">
        <f>IFERROR(__xludf.DUMMYFUNCTION("""COMPUTED_VALUE"""),"11-15")</f>
        <v>11-15</v>
      </c>
      <c r="G152" s="5" t="str">
        <f>IFERROR(__xludf.DUMMYFUNCTION("""COMPUTED_VALUE"""),"Raw Meat")</f>
        <v>Raw Meat</v>
      </c>
      <c r="H152" s="35" t="str">
        <f>IFERROR(__xludf.DUMMYFUNCTION("""COMPUTED_VALUE"""),"16-20")</f>
        <v>16-20</v>
      </c>
      <c r="I152" s="5" t="str">
        <f>IFERROR(__xludf.DUMMYFUNCTION("""COMPUTED_VALUE"""),"Nothing")</f>
        <v>Nothing</v>
      </c>
      <c r="J152" s="35" t="str">
        <f>IFERROR(__xludf.DUMMYFUNCTION("""COMPUTED_VALUE"""),"21-25")</f>
        <v>21-25</v>
      </c>
      <c r="K152" s="5" t="str">
        <f>IFERROR(__xludf.DUMMYFUNCTION("""COMPUTED_VALUE"""),"Nothing")</f>
        <v>Nothing</v>
      </c>
      <c r="L152" s="32"/>
      <c r="M152" s="32"/>
      <c r="N152" s="32"/>
      <c r="O152" s="32"/>
      <c r="P152" s="32"/>
      <c r="Q152" s="32"/>
      <c r="R152" s="32"/>
      <c r="S152" s="32"/>
      <c r="T152" s="32"/>
      <c r="U152" s="32"/>
      <c r="V152" s="32"/>
      <c r="W152" s="32"/>
      <c r="X152" s="32"/>
    </row>
    <row r="153">
      <c r="A153" s="32" t="str">
        <f>IFERROR(__xludf.DUMMYFUNCTION("""COMPUTED_VALUE"""),"Phantom")</f>
        <v>Phantom</v>
      </c>
      <c r="B153" s="35" t="str">
        <f>IFERROR(__xludf.DUMMYFUNCTION("""COMPUTED_VALUE"""),"1-5")</f>
        <v>1-5</v>
      </c>
      <c r="C153" s="5" t="str">
        <f>IFERROR(__xludf.DUMMYFUNCTION("""COMPUTED_VALUE"""),"Egg")</f>
        <v>Egg</v>
      </c>
      <c r="D153" s="35" t="str">
        <f>IFERROR(__xludf.DUMMYFUNCTION("""COMPUTED_VALUE"""),"6-10")</f>
        <v>6-10</v>
      </c>
      <c r="E153" s="5" t="str">
        <f>IFERROR(__xludf.DUMMYFUNCTION("""COMPUTED_VALUE"""),"Shadow Fluid")</f>
        <v>Shadow Fluid</v>
      </c>
      <c r="F153" s="35" t="str">
        <f>IFERROR(__xludf.DUMMYFUNCTION("""COMPUTED_VALUE"""),"11-15")</f>
        <v>11-15</v>
      </c>
      <c r="G153" s="5" t="str">
        <f>IFERROR(__xludf.DUMMYFUNCTION("""COMPUTED_VALUE"""),"1,000G-20,000G")</f>
        <v>1,000G-20,000G</v>
      </c>
      <c r="H153" s="35" t="str">
        <f>IFERROR(__xludf.DUMMYFUNCTION("""COMPUTED_VALUE"""),"16-20")</f>
        <v>16-20</v>
      </c>
      <c r="I153" s="5" t="str">
        <f>IFERROR(__xludf.DUMMYFUNCTION("""COMPUTED_VALUE"""),"Soul")</f>
        <v>Soul</v>
      </c>
      <c r="J153" s="35" t="str">
        <f>IFERROR(__xludf.DUMMYFUNCTION("""COMPUTED_VALUE"""),"21-25")</f>
        <v>21-25</v>
      </c>
      <c r="K153" s="5" t="str">
        <f>IFERROR(__xludf.DUMMYFUNCTION("""COMPUTED_VALUE"""),"Phantasmal Scythe")</f>
        <v>Phantasmal Scythe</v>
      </c>
      <c r="L153" s="32"/>
      <c r="M153" s="32"/>
      <c r="N153" s="32"/>
      <c r="O153" s="32"/>
      <c r="P153" s="32"/>
      <c r="Q153" s="32"/>
      <c r="R153" s="32"/>
      <c r="S153" s="32"/>
      <c r="T153" s="32"/>
      <c r="U153" s="32"/>
      <c r="V153" s="32"/>
      <c r="W153" s="32"/>
      <c r="X153" s="32"/>
    </row>
    <row r="154">
      <c r="A154" s="32" t="str">
        <f>IFERROR(__xludf.DUMMYFUNCTION("""COMPUTED_VALUE"""),"Phantom of Lord Dreadful")</f>
        <v>Phantom of Lord Dreadful</v>
      </c>
      <c r="B154" s="35" t="str">
        <f>IFERROR(__xludf.DUMMYFUNCTION("""COMPUTED_VALUE"""),"1-5")</f>
        <v>1-5</v>
      </c>
      <c r="C154" s="5" t="str">
        <f>IFERROR(__xludf.DUMMYFUNCTION("""COMPUTED_VALUE"""),"Rank 9 Twilight Tome")</f>
        <v>Rank 9 Twilight Tome</v>
      </c>
      <c r="D154" s="35" t="str">
        <f>IFERROR(__xludf.DUMMYFUNCTION("""COMPUTED_VALUE"""),"6-10")</f>
        <v>6-10</v>
      </c>
      <c r="E154" s="5" t="str">
        <f>IFERROR(__xludf.DUMMYFUNCTION("""COMPUTED_VALUE"""),"Nothing")</f>
        <v>Nothing</v>
      </c>
      <c r="F154" s="35" t="str">
        <f>IFERROR(__xludf.DUMMYFUNCTION("""COMPUTED_VALUE"""),"11-15")</f>
        <v>11-15</v>
      </c>
      <c r="G154" s="5" t="str">
        <f>IFERROR(__xludf.DUMMYFUNCTION("""COMPUTED_VALUE"""),"Soul")</f>
        <v>Soul</v>
      </c>
      <c r="H154" s="35" t="str">
        <f>IFERROR(__xludf.DUMMYFUNCTION("""COMPUTED_VALUE"""),"16-20")</f>
        <v>16-20</v>
      </c>
      <c r="I154" s="5" t="str">
        <f>IFERROR(__xludf.DUMMYFUNCTION("""COMPUTED_VALUE"""),"500,000,000G-1,000,000,000G")</f>
        <v>500,000,000G-1,000,000,000G</v>
      </c>
      <c r="J154" s="35" t="str">
        <f>IFERROR(__xludf.DUMMYFUNCTION("""COMPUTED_VALUE"""),"21-25")</f>
        <v>21-25</v>
      </c>
      <c r="K154" s="5" t="str">
        <f>IFERROR(__xludf.DUMMYFUNCTION("""COMPUTED_VALUE"""),"Nothing")</f>
        <v>Nothing</v>
      </c>
      <c r="L154" s="32"/>
      <c r="M154" s="32"/>
      <c r="N154" s="32"/>
      <c r="O154" s="32"/>
      <c r="P154" s="32"/>
      <c r="Q154" s="32"/>
      <c r="R154" s="32"/>
      <c r="S154" s="32"/>
      <c r="T154" s="32"/>
      <c r="U154" s="32"/>
      <c r="V154" s="32"/>
      <c r="W154" s="32"/>
      <c r="X154" s="32"/>
    </row>
    <row r="155">
      <c r="A155" s="32" t="str">
        <f>IFERROR(__xludf.DUMMYFUNCTION("""COMPUTED_VALUE"""),"Piranhas (WD)")</f>
        <v>Piranhas (WD)</v>
      </c>
      <c r="B155" s="35" t="str">
        <f>IFERROR(__xludf.DUMMYFUNCTION("""COMPUTED_VALUE"""),"1-5")</f>
        <v>1-5</v>
      </c>
      <c r="C155" s="5" t="str">
        <f>IFERROR(__xludf.DUMMYFUNCTION("""COMPUTED_VALUE"""),"Fish")</f>
        <v>Fish</v>
      </c>
      <c r="D155" s="35" t="str">
        <f>IFERROR(__xludf.DUMMYFUNCTION("""COMPUTED_VALUE"""),"6-10")</f>
        <v>6-10</v>
      </c>
      <c r="E155" s="5" t="str">
        <f>IFERROR(__xludf.DUMMYFUNCTION("""COMPUTED_VALUE"""),"Piranha Tooth Dagger")</f>
        <v>Piranha Tooth Dagger</v>
      </c>
      <c r="F155" s="35" t="str">
        <f>IFERROR(__xludf.DUMMYFUNCTION("""COMPUTED_VALUE"""),"11-15")</f>
        <v>11-15</v>
      </c>
      <c r="G155" s="5" t="str">
        <f>IFERROR(__xludf.DUMMYFUNCTION("""COMPUTED_VALUE"""),"Soul")</f>
        <v>Soul</v>
      </c>
      <c r="H155" s="35" t="str">
        <f>IFERROR(__xludf.DUMMYFUNCTION("""COMPUTED_VALUE"""),"16-20")</f>
        <v>16-20</v>
      </c>
      <c r="I155" s="5" t="str">
        <f>IFERROR(__xludf.DUMMYFUNCTION("""COMPUTED_VALUE"""),"Egg")</f>
        <v>Egg</v>
      </c>
      <c r="J155" s="35" t="str">
        <f>IFERROR(__xludf.DUMMYFUNCTION("""COMPUTED_VALUE"""),"21-25")</f>
        <v>21-25</v>
      </c>
      <c r="K155" s="5" t="str">
        <f>IFERROR(__xludf.DUMMYFUNCTION("""COMPUTED_VALUE"""),"Nothing")</f>
        <v>Nothing</v>
      </c>
      <c r="L155" s="32"/>
      <c r="M155" s="32"/>
      <c r="N155" s="32"/>
      <c r="O155" s="32"/>
      <c r="P155" s="32"/>
      <c r="Q155" s="32"/>
      <c r="R155" s="32"/>
      <c r="S155" s="32"/>
      <c r="T155" s="32"/>
      <c r="U155" s="32"/>
      <c r="V155" s="32"/>
      <c r="W155" s="32"/>
      <c r="X155" s="32"/>
    </row>
    <row r="156">
      <c r="A156" s="32" t="str">
        <f>IFERROR(__xludf.DUMMYFUNCTION("""COMPUTED_VALUE"""),"Piranhas (WD) (Enhanced)")</f>
        <v>Piranhas (WD) (Enhanced)</v>
      </c>
      <c r="B156" s="35" t="str">
        <f>IFERROR(__xludf.DUMMYFUNCTION("""COMPUTED_VALUE"""),"1-5")</f>
        <v>1-5</v>
      </c>
      <c r="C156" s="5" t="str">
        <f>IFERROR(__xludf.DUMMYFUNCTION("""COMPUTED_VALUE"""),"Fish")</f>
        <v>Fish</v>
      </c>
      <c r="D156" s="35" t="str">
        <f>IFERROR(__xludf.DUMMYFUNCTION("""COMPUTED_VALUE"""),"6-10")</f>
        <v>6-10</v>
      </c>
      <c r="E156" s="5" t="str">
        <f>IFERROR(__xludf.DUMMYFUNCTION("""COMPUTED_VALUE"""),"Piranha Tooth Dagger")</f>
        <v>Piranha Tooth Dagger</v>
      </c>
      <c r="F156" s="35" t="str">
        <f>IFERROR(__xludf.DUMMYFUNCTION("""COMPUTED_VALUE"""),"11-15")</f>
        <v>11-15</v>
      </c>
      <c r="G156" s="5" t="str">
        <f>IFERROR(__xludf.DUMMYFUNCTION("""COMPUTED_VALUE"""),"Soul")</f>
        <v>Soul</v>
      </c>
      <c r="H156" s="35" t="str">
        <f>IFERROR(__xludf.DUMMYFUNCTION("""COMPUTED_VALUE"""),"16-20")</f>
        <v>16-20</v>
      </c>
      <c r="I156" s="5" t="str">
        <f>IFERROR(__xludf.DUMMYFUNCTION("""COMPUTED_VALUE"""),"Egg")</f>
        <v>Egg</v>
      </c>
      <c r="J156" s="35" t="str">
        <f>IFERROR(__xludf.DUMMYFUNCTION("""COMPUTED_VALUE"""),"21-25")</f>
        <v>21-25</v>
      </c>
      <c r="K156" s="5" t="str">
        <f>IFERROR(__xludf.DUMMYFUNCTION("""COMPUTED_VALUE"""),"Nothing")</f>
        <v>Nothing</v>
      </c>
      <c r="L156" s="32"/>
      <c r="M156" s="32"/>
      <c r="N156" s="32"/>
      <c r="O156" s="32"/>
      <c r="P156" s="32"/>
      <c r="Q156" s="32"/>
      <c r="R156" s="32"/>
      <c r="S156" s="32"/>
      <c r="T156" s="32"/>
      <c r="U156" s="32"/>
      <c r="V156" s="32"/>
      <c r="W156" s="32"/>
      <c r="X156" s="32"/>
    </row>
    <row r="157">
      <c r="A157" s="32" t="str">
        <f>IFERROR(__xludf.DUMMYFUNCTION("""COMPUTED_VALUE"""),"Poison Warrior")</f>
        <v>Poison Warrior</v>
      </c>
      <c r="B157" s="35" t="str">
        <f>IFERROR(__xludf.DUMMYFUNCTION("""COMPUTED_VALUE"""),"1-5")</f>
        <v>1-5</v>
      </c>
      <c r="C157" s="5" t="str">
        <f>IFERROR(__xludf.DUMMYFUNCTION("""COMPUTED_VALUE"""),"Poison Vine Sword")</f>
        <v>Poison Vine Sword</v>
      </c>
      <c r="D157" s="35" t="str">
        <f>IFERROR(__xludf.DUMMYFUNCTION("""COMPUTED_VALUE"""),"6-10")</f>
        <v>6-10</v>
      </c>
      <c r="E157" s="5" t="str">
        <f>IFERROR(__xludf.DUMMYFUNCTION("""COMPUTED_VALUE"""),"20,000G-40,000G")</f>
        <v>20,000G-40,000G</v>
      </c>
      <c r="F157" s="35" t="str">
        <f>IFERROR(__xludf.DUMMYFUNCTION("""COMPUTED_VALUE"""),"11-15")</f>
        <v>11-15</v>
      </c>
      <c r="G157" s="5" t="str">
        <f>IFERROR(__xludf.DUMMYFUNCTION("""COMPUTED_VALUE"""),"Poison Vial")</f>
        <v>Poison Vial</v>
      </c>
      <c r="H157" s="35" t="str">
        <f>IFERROR(__xludf.DUMMYFUNCTION("""COMPUTED_VALUE"""),"16-20")</f>
        <v>16-20</v>
      </c>
      <c r="I157" s="5" t="str">
        <f>IFERROR(__xludf.DUMMYFUNCTION("""COMPUTED_VALUE"""),"Soul")</f>
        <v>Soul</v>
      </c>
      <c r="J157" s="35" t="str">
        <f>IFERROR(__xludf.DUMMYFUNCTION("""COMPUTED_VALUE"""),"21-25")</f>
        <v>21-25</v>
      </c>
      <c r="K157" s="5" t="str">
        <f>IFERROR(__xludf.DUMMYFUNCTION("""COMPUTED_VALUE"""),"Egg")</f>
        <v>Egg</v>
      </c>
      <c r="L157" s="32"/>
      <c r="M157" s="32"/>
      <c r="N157" s="32"/>
      <c r="O157" s="32"/>
      <c r="P157" s="32"/>
      <c r="Q157" s="32"/>
      <c r="R157" s="32"/>
      <c r="S157" s="32"/>
      <c r="T157" s="32"/>
      <c r="U157" s="32"/>
      <c r="V157" s="32"/>
      <c r="W157" s="32"/>
      <c r="X157" s="32"/>
    </row>
    <row r="158">
      <c r="A158" s="32" t="str">
        <f>IFERROR(__xludf.DUMMYFUNCTION("""COMPUTED_VALUE"""),"Possessed Pumpkin")</f>
        <v>Possessed Pumpkin</v>
      </c>
      <c r="B158" s="35" t="str">
        <f>IFERROR(__xludf.DUMMYFUNCTION("""COMPUTED_VALUE"""),"1-5")</f>
        <v>1-5</v>
      </c>
      <c r="C158" s="5" t="str">
        <f>IFERROR(__xludf.DUMMYFUNCTION("""COMPUTED_VALUE"""),"Premium Pumpkin")</f>
        <v>Premium Pumpkin</v>
      </c>
      <c r="D158" s="35" t="str">
        <f>IFERROR(__xludf.DUMMYFUNCTION("""COMPUTED_VALUE"""),"6-10")</f>
        <v>6-10</v>
      </c>
      <c r="E158" s="5" t="str">
        <f>IFERROR(__xludf.DUMMYFUNCTION("""COMPUTED_VALUE"""),"Pumpkin Diamond")</f>
        <v>Pumpkin Diamond</v>
      </c>
      <c r="F158" s="35" t="str">
        <f>IFERROR(__xludf.DUMMYFUNCTION("""COMPUTED_VALUE"""),"11-15")</f>
        <v>11-15</v>
      </c>
      <c r="G158" s="5" t="str">
        <f>IFERROR(__xludf.DUMMYFUNCTION("""COMPUTED_VALUE"""),"Pumpkin")</f>
        <v>Pumpkin</v>
      </c>
      <c r="H158" s="35" t="str">
        <f>IFERROR(__xludf.DUMMYFUNCTION("""COMPUTED_VALUE"""),"16-20")</f>
        <v>16-20</v>
      </c>
      <c r="I158" s="5" t="str">
        <f>IFERROR(__xludf.DUMMYFUNCTION("""COMPUTED_VALUE"""),"Pumpkin Arrow")</f>
        <v>Pumpkin Arrow</v>
      </c>
      <c r="J158" s="35" t="str">
        <f>IFERROR(__xludf.DUMMYFUNCTION("""COMPUTED_VALUE"""),"21-25")</f>
        <v>21-25</v>
      </c>
      <c r="K158" s="5" t="str">
        <f>IFERROR(__xludf.DUMMYFUNCTION("""COMPUTED_VALUE"""),"Soul")</f>
        <v>Soul</v>
      </c>
      <c r="L158" s="32"/>
      <c r="M158" s="32"/>
      <c r="N158" s="32"/>
      <c r="O158" s="32"/>
      <c r="P158" s="32"/>
      <c r="Q158" s="32"/>
      <c r="R158" s="32"/>
      <c r="S158" s="32"/>
      <c r="T158" s="32"/>
      <c r="U158" s="32"/>
      <c r="V158" s="32"/>
      <c r="W158" s="32"/>
      <c r="X158" s="32"/>
    </row>
    <row r="159">
      <c r="A159" s="32" t="str">
        <f>IFERROR(__xludf.DUMMYFUNCTION("""COMPUTED_VALUE"""),"Possesed Clown")</f>
        <v>Possesed Clown</v>
      </c>
      <c r="B159" s="35" t="str">
        <f>IFERROR(__xludf.DUMMYFUNCTION("""COMPUTED_VALUE"""),"1-5")</f>
        <v>1-5</v>
      </c>
      <c r="C159" s="5" t="str">
        <f>IFERROR(__xludf.DUMMYFUNCTION("""COMPUTED_VALUE"""),"Nothing")</f>
        <v>Nothing</v>
      </c>
      <c r="D159" s="35" t="str">
        <f>IFERROR(__xludf.DUMMYFUNCTION("""COMPUTED_VALUE"""),"6-10")</f>
        <v>6-10</v>
      </c>
      <c r="E159" s="5" t="str">
        <f>IFERROR(__xludf.DUMMYFUNCTION("""COMPUTED_VALUE"""),"Cursed Child's Hatchet")</f>
        <v>Cursed Child's Hatchet</v>
      </c>
      <c r="F159" s="35" t="str">
        <f>IFERROR(__xludf.DUMMYFUNCTION("""COMPUTED_VALUE"""),"11-15")</f>
        <v>11-15</v>
      </c>
      <c r="G159" s="5" t="str">
        <f>IFERROR(__xludf.DUMMYFUNCTION("""COMPUTED_VALUE"""),"Wig of Temper Fire")</f>
        <v>Wig of Temper Fire</v>
      </c>
      <c r="H159" s="35" t="str">
        <f>IFERROR(__xludf.DUMMYFUNCTION("""COMPUTED_VALUE"""),"16-20")</f>
        <v>16-20</v>
      </c>
      <c r="I159" s="5" t="str">
        <f>IFERROR(__xludf.DUMMYFUNCTION("""COMPUTED_VALUE"""),"Nothing")</f>
        <v>Nothing</v>
      </c>
      <c r="J159" s="35" t="str">
        <f>IFERROR(__xludf.DUMMYFUNCTION("""COMPUTED_VALUE"""),"21-25")</f>
        <v>21-25</v>
      </c>
      <c r="K159" s="5" t="str">
        <f>IFERROR(__xludf.DUMMYFUNCTION("""COMPUTED_VALUE"""),"60,000G-80,000G")</f>
        <v>60,000G-80,000G</v>
      </c>
      <c r="L159" s="32"/>
      <c r="M159" s="32"/>
      <c r="N159" s="32"/>
      <c r="O159" s="32"/>
      <c r="P159" s="32"/>
      <c r="Q159" s="32"/>
      <c r="R159" s="32"/>
      <c r="S159" s="32"/>
      <c r="T159" s="32"/>
      <c r="U159" s="32"/>
      <c r="V159" s="32"/>
      <c r="W159" s="32"/>
      <c r="X159" s="32"/>
    </row>
    <row r="160">
      <c r="A160" s="32" t="str">
        <f>IFERROR(__xludf.DUMMYFUNCTION("""COMPUTED_VALUE"""),"Pumpkin King")</f>
        <v>Pumpkin King</v>
      </c>
      <c r="B160" s="35" t="str">
        <f>IFERROR(__xludf.DUMMYFUNCTION("""COMPUTED_VALUE"""),"1-5")</f>
        <v>1-5</v>
      </c>
      <c r="C160" s="5" t="str">
        <f>IFERROR(__xludf.DUMMYFUNCTION("""COMPUTED_VALUE"""),"The Staff of The Pumpkin’s Curse")</f>
        <v>The Staff of The Pumpkin’s Curse</v>
      </c>
      <c r="D160" s="35" t="str">
        <f>IFERROR(__xludf.DUMMYFUNCTION("""COMPUTED_VALUE"""),"6-10")</f>
        <v>6-10</v>
      </c>
      <c r="E160" s="5" t="str">
        <f>IFERROR(__xludf.DUMMYFUNCTION("""COMPUTED_VALUE"""),"Pumpkin Diamond")</f>
        <v>Pumpkin Diamond</v>
      </c>
      <c r="F160" s="35" t="str">
        <f>IFERROR(__xludf.DUMMYFUNCTION("""COMPUTED_VALUE"""),"11-15")</f>
        <v>11-15</v>
      </c>
      <c r="G160" s="5" t="str">
        <f>IFERROR(__xludf.DUMMYFUNCTION("""COMPUTED_VALUE"""),"Premium Pumpkin Soup")</f>
        <v>Premium Pumpkin Soup</v>
      </c>
      <c r="H160" s="35" t="str">
        <f>IFERROR(__xludf.DUMMYFUNCTION("""COMPUTED_VALUE"""),"16-20")</f>
        <v>16-20</v>
      </c>
      <c r="I160" s="5" t="str">
        <f>IFERROR(__xludf.DUMMYFUNCTION("""COMPUTED_VALUE"""),"Soul")</f>
        <v>Soul</v>
      </c>
      <c r="J160" s="35" t="str">
        <f>IFERROR(__xludf.DUMMYFUNCTION("""COMPUTED_VALUE"""),"21-25")</f>
        <v>21-25</v>
      </c>
      <c r="K160" s="5" t="str">
        <f>IFERROR(__xludf.DUMMYFUNCTION("""COMPUTED_VALUE"""),"Necklace of the Pumpkin")</f>
        <v>Necklace of the Pumpkin</v>
      </c>
      <c r="L160" s="32"/>
      <c r="M160" s="32"/>
      <c r="N160" s="32"/>
      <c r="O160" s="32"/>
      <c r="P160" s="32"/>
      <c r="Q160" s="32"/>
      <c r="R160" s="32"/>
      <c r="S160" s="32"/>
      <c r="T160" s="32"/>
      <c r="U160" s="32"/>
      <c r="V160" s="32"/>
      <c r="W160" s="32"/>
      <c r="X160" s="32"/>
    </row>
    <row r="161">
      <c r="A161" s="32" t="str">
        <f>IFERROR(__xludf.DUMMYFUNCTION("""COMPUTED_VALUE"""),"Pumpkin Lord")</f>
        <v>Pumpkin Lord</v>
      </c>
      <c r="B161" s="35" t="str">
        <f>IFERROR(__xludf.DUMMYFUNCTION("""COMPUTED_VALUE"""),"1-5")</f>
        <v>1-5</v>
      </c>
      <c r="C161" s="5" t="str">
        <f>IFERROR(__xludf.DUMMYFUNCTION("""COMPUTED_VALUE"""),"The Staff of The Pumpkin’s Curse")</f>
        <v>The Staff of The Pumpkin’s Curse</v>
      </c>
      <c r="D161" s="35" t="str">
        <f>IFERROR(__xludf.DUMMYFUNCTION("""COMPUTED_VALUE"""),"6-11")</f>
        <v>6-11</v>
      </c>
      <c r="E161" s="5" t="str">
        <f>IFERROR(__xludf.DUMMYFUNCTION("""COMPUTED_VALUE"""),"Pumpkin Diamond")</f>
        <v>Pumpkin Diamond</v>
      </c>
      <c r="F161" s="35" t="str">
        <f>IFERROR(__xludf.DUMMYFUNCTION("""COMPUTED_VALUE"""),"11-16")</f>
        <v>11-16</v>
      </c>
      <c r="G161" s="5" t="str">
        <f>IFERROR(__xludf.DUMMYFUNCTION("""COMPUTED_VALUE"""),"Premium Pumpkin Soup")</f>
        <v>Premium Pumpkin Soup</v>
      </c>
      <c r="H161" s="35" t="str">
        <f>IFERROR(__xludf.DUMMYFUNCTION("""COMPUTED_VALUE"""),"16-21")</f>
        <v>16-21</v>
      </c>
      <c r="I161" s="5" t="str">
        <f>IFERROR(__xludf.DUMMYFUNCTION("""COMPUTED_VALUE"""),"Soul")</f>
        <v>Soul</v>
      </c>
      <c r="J161" s="35" t="str">
        <f>IFERROR(__xludf.DUMMYFUNCTION("""COMPUTED_VALUE"""),"21-26")</f>
        <v>21-26</v>
      </c>
      <c r="K161" s="5" t="str">
        <f>IFERROR(__xludf.DUMMYFUNCTION("""COMPUTED_VALUE"""),"Necklace of the Pumpkin")</f>
        <v>Necklace of the Pumpkin</v>
      </c>
      <c r="L161" s="32"/>
      <c r="M161" s="32"/>
      <c r="N161" s="32"/>
      <c r="O161" s="32"/>
      <c r="P161" s="32"/>
      <c r="Q161" s="32"/>
      <c r="R161" s="32"/>
      <c r="S161" s="32"/>
      <c r="T161" s="32"/>
      <c r="U161" s="32"/>
      <c r="V161" s="32"/>
      <c r="W161" s="32"/>
      <c r="X161" s="32"/>
    </row>
    <row r="162">
      <c r="A162" s="32" t="str">
        <f>IFERROR(__xludf.DUMMYFUNCTION("""COMPUTED_VALUE"""),"Puppet")</f>
        <v>Puppet</v>
      </c>
      <c r="B162" s="35" t="str">
        <f>IFERROR(__xludf.DUMMYFUNCTION("""COMPUTED_VALUE"""),"1-5")</f>
        <v>1-5</v>
      </c>
      <c r="C162" s="5" t="str">
        <f>IFERROR(__xludf.DUMMYFUNCTION("""COMPUTED_VALUE"""),"Ring")</f>
        <v>Ring</v>
      </c>
      <c r="D162" s="35" t="str">
        <f>IFERROR(__xludf.DUMMYFUNCTION("""COMPUTED_VALUE"""),"6-10")</f>
        <v>6-10</v>
      </c>
      <c r="E162" s="5" t="str">
        <f>IFERROR(__xludf.DUMMYFUNCTION("""COMPUTED_VALUE"""),"Broken Sword")</f>
        <v>Broken Sword</v>
      </c>
      <c r="F162" s="35" t="str">
        <f>IFERROR(__xludf.DUMMYFUNCTION("""COMPUTED_VALUE"""),"11-15")</f>
        <v>11-15</v>
      </c>
      <c r="G162" s="5" t="str">
        <f>IFERROR(__xludf.DUMMYFUNCTION("""COMPUTED_VALUE"""),"Charm of Awaken")</f>
        <v>Charm of Awaken</v>
      </c>
      <c r="H162" s="35" t="str">
        <f>IFERROR(__xludf.DUMMYFUNCTION("""COMPUTED_VALUE"""),"16-20")</f>
        <v>16-20</v>
      </c>
      <c r="I162" s="5" t="str">
        <f>IFERROR(__xludf.DUMMYFUNCTION("""COMPUTED_VALUE"""),"Nothing")</f>
        <v>Nothing</v>
      </c>
      <c r="J162" s="35" t="str">
        <f>IFERROR(__xludf.DUMMYFUNCTION("""COMPUTED_VALUE"""),"21-25")</f>
        <v>21-25</v>
      </c>
      <c r="K162" s="5" t="str">
        <f>IFERROR(__xludf.DUMMYFUNCTION("""COMPUTED_VALUE"""),"Nothing")</f>
        <v>Nothing</v>
      </c>
      <c r="L162" s="32"/>
      <c r="M162" s="32"/>
      <c r="N162" s="32"/>
      <c r="O162" s="32"/>
      <c r="P162" s="32"/>
      <c r="Q162" s="32"/>
      <c r="R162" s="32"/>
      <c r="S162" s="32"/>
      <c r="T162" s="32"/>
      <c r="U162" s="32"/>
      <c r="V162" s="32"/>
      <c r="W162" s="32"/>
      <c r="X162" s="32"/>
    </row>
    <row r="163">
      <c r="A163" s="32" t="str">
        <f>IFERROR(__xludf.DUMMYFUNCTION("""COMPUTED_VALUE"""),"Reaper Of Spira (25% chance of this enemy appearing when you complain about being targeted)")</f>
        <v>Reaper Of Spira (25% chance of this enemy appearing when you complain about being targeted)</v>
      </c>
      <c r="B163" s="35" t="str">
        <f>IFERROR(__xludf.DUMMYFUNCTION("""COMPUTED_VALUE"""),"1-5")</f>
        <v>1-5</v>
      </c>
      <c r="C163" s="5" t="str">
        <f>IFERROR(__xludf.DUMMYFUNCTION("""COMPUTED_VALUE"""),"Nothing")</f>
        <v>Nothing</v>
      </c>
      <c r="D163" s="35" t="str">
        <f>IFERROR(__xludf.DUMMYFUNCTION("""COMPUTED_VALUE"""),"6-10")</f>
        <v>6-10</v>
      </c>
      <c r="E163" s="5" t="str">
        <f>IFERROR(__xludf.DUMMYFUNCTION("""COMPUTED_VALUE"""),"Nothing")</f>
        <v>Nothing</v>
      </c>
      <c r="F163" s="35" t="str">
        <f>IFERROR(__xludf.DUMMYFUNCTION("""COMPUTED_VALUE"""),"11-15")</f>
        <v>11-15</v>
      </c>
      <c r="G163" s="5" t="str">
        <f>IFERROR(__xludf.DUMMYFUNCTION("""COMPUTED_VALUE"""),"Soul")</f>
        <v>Soul</v>
      </c>
      <c r="H163" s="35" t="str">
        <f>IFERROR(__xludf.DUMMYFUNCTION("""COMPUTED_VALUE"""),"16-20")</f>
        <v>16-20</v>
      </c>
      <c r="I163" s="5" t="str">
        <f>IFERROR(__xludf.DUMMYFUNCTION("""COMPUTED_VALUE"""),"Death's Scythe")</f>
        <v>Death's Scythe</v>
      </c>
      <c r="J163" s="35" t="str">
        <f>IFERROR(__xludf.DUMMYFUNCTION("""COMPUTED_VALUE"""),"21-25")</f>
        <v>21-25</v>
      </c>
      <c r="K163" s="5" t="str">
        <f>IFERROR(__xludf.DUMMYFUNCTION("""COMPUTED_VALUE"""),"Sword Of The Reaper")</f>
        <v>Sword Of The Reaper</v>
      </c>
      <c r="L163" s="32"/>
      <c r="M163" s="32"/>
      <c r="N163" s="32"/>
      <c r="O163" s="32"/>
      <c r="P163" s="32"/>
      <c r="Q163" s="32"/>
      <c r="R163" s="32"/>
      <c r="S163" s="32"/>
      <c r="T163" s="32"/>
      <c r="U163" s="32"/>
      <c r="V163" s="32"/>
      <c r="W163" s="32"/>
      <c r="X163" s="32"/>
    </row>
    <row r="164">
      <c r="A164" s="32" t="str">
        <f>IFERROR(__xludf.DUMMYFUNCTION("""COMPUTED_VALUE"""),"Red Footed Beast")</f>
        <v>Red Footed Beast</v>
      </c>
      <c r="B164" s="35" t="str">
        <f>IFERROR(__xludf.DUMMYFUNCTION("""COMPUTED_VALUE"""),"1-5")</f>
        <v>1-5</v>
      </c>
      <c r="C164" s="5" t="str">
        <f>IFERROR(__xludf.DUMMYFUNCTION("""COMPUTED_VALUE"""),"Glowing Red eye")</f>
        <v>Glowing Red eye</v>
      </c>
      <c r="D164" s="35" t="str">
        <f>IFERROR(__xludf.DUMMYFUNCTION("""COMPUTED_VALUE"""),"6-10")</f>
        <v>6-10</v>
      </c>
      <c r="E164" s="5" t="str">
        <f>IFERROR(__xludf.DUMMYFUNCTION("""COMPUTED_VALUE"""),"Soul")</f>
        <v>Soul</v>
      </c>
      <c r="F164" s="35" t="str">
        <f>IFERROR(__xludf.DUMMYFUNCTION("""COMPUTED_VALUE"""),"11-15")</f>
        <v>11-15</v>
      </c>
      <c r="G164" s="5" t="str">
        <f>IFERROR(__xludf.DUMMYFUNCTION("""COMPUTED_VALUE"""),"Egg")</f>
        <v>Egg</v>
      </c>
      <c r="H164" s="35" t="str">
        <f>IFERROR(__xludf.DUMMYFUNCTION("""COMPUTED_VALUE"""),"16-20")</f>
        <v>16-20</v>
      </c>
      <c r="I164" s="5" t="str">
        <f>IFERROR(__xludf.DUMMYFUNCTION("""COMPUTED_VALUE"""),"Raw Meat")</f>
        <v>Raw Meat</v>
      </c>
      <c r="J164" s="35" t="str">
        <f>IFERROR(__xludf.DUMMYFUNCTION("""COMPUTED_VALUE"""),"21-25")</f>
        <v>21-25</v>
      </c>
      <c r="K164" s="5" t="str">
        <f>IFERROR(__xludf.DUMMYFUNCTION("""COMPUTED_VALUE"""),"Raw Meat")</f>
        <v>Raw Meat</v>
      </c>
      <c r="L164" s="32"/>
      <c r="M164" s="32"/>
      <c r="N164" s="32"/>
      <c r="O164" s="32"/>
      <c r="P164" s="32"/>
      <c r="Q164" s="32"/>
      <c r="R164" s="32"/>
      <c r="S164" s="32"/>
      <c r="T164" s="32"/>
      <c r="U164" s="32"/>
      <c r="V164" s="32"/>
      <c r="W164" s="32"/>
      <c r="X164" s="32"/>
    </row>
    <row r="165">
      <c r="A165" s="32" t="str">
        <f>IFERROR(__xludf.DUMMYFUNCTION("""COMPUTED_VALUE"""),"Rhino")</f>
        <v>Rhino</v>
      </c>
      <c r="B165" s="35" t="str">
        <f>IFERROR(__xludf.DUMMYFUNCTION("""COMPUTED_VALUE"""),"1-5")</f>
        <v>1-5</v>
      </c>
      <c r="C165" s="5" t="str">
        <f>IFERROR(__xludf.DUMMYFUNCTION("""COMPUTED_VALUE"""),"Nothing")</f>
        <v>Nothing</v>
      </c>
      <c r="D165" s="35" t="str">
        <f>IFERROR(__xludf.DUMMYFUNCTION("""COMPUTED_VALUE"""),"6-10")</f>
        <v>6-10</v>
      </c>
      <c r="E165" s="5" t="str">
        <f>IFERROR(__xludf.DUMMYFUNCTION("""COMPUTED_VALUE"""),"Egg")</f>
        <v>Egg</v>
      </c>
      <c r="F165" s="35" t="str">
        <f>IFERROR(__xludf.DUMMYFUNCTION("""COMPUTED_VALUE"""),"11-15")</f>
        <v>11-15</v>
      </c>
      <c r="G165" s="5" t="str">
        <f>IFERROR(__xludf.DUMMYFUNCTION("""COMPUTED_VALUE"""),"Soul")</f>
        <v>Soul</v>
      </c>
      <c r="H165" s="35" t="str">
        <f>IFERROR(__xludf.DUMMYFUNCTION("""COMPUTED_VALUE"""),"16-20")</f>
        <v>16-20</v>
      </c>
      <c r="I165" s="5" t="str">
        <f>IFERROR(__xludf.DUMMYFUNCTION("""COMPUTED_VALUE"""),"Raw Meat")</f>
        <v>Raw Meat</v>
      </c>
      <c r="J165" s="35" t="str">
        <f>IFERROR(__xludf.DUMMYFUNCTION("""COMPUTED_VALUE"""),"21-25")</f>
        <v>21-25</v>
      </c>
      <c r="K165" s="5" t="str">
        <f>IFERROR(__xludf.DUMMYFUNCTION("""COMPUTED_VALUE"""),"Nothing")</f>
        <v>Nothing</v>
      </c>
      <c r="L165" s="32"/>
      <c r="M165" s="32"/>
      <c r="N165" s="32"/>
      <c r="O165" s="32"/>
      <c r="P165" s="32"/>
      <c r="Q165" s="32"/>
      <c r="R165" s="32"/>
      <c r="S165" s="32"/>
      <c r="T165" s="32"/>
      <c r="U165" s="32"/>
      <c r="V165" s="32"/>
      <c r="W165" s="32"/>
      <c r="X165" s="32"/>
    </row>
    <row r="166">
      <c r="A166" s="32" t="str">
        <f>IFERROR(__xludf.DUMMYFUNCTION("""COMPUTED_VALUE"""),"Robotic Guardian of the 5th, No. 1")</f>
        <v>Robotic Guardian of the 5th, No. 1</v>
      </c>
      <c r="B166" s="35" t="str">
        <f>IFERROR(__xludf.DUMMYFUNCTION("""COMPUTED_VALUE"""),"1-5")</f>
        <v>1-5</v>
      </c>
      <c r="C166" s="5" t="str">
        <f>IFERROR(__xludf.DUMMYFUNCTION("""COMPUTED_VALUE"""),"Nothing")</f>
        <v>Nothing</v>
      </c>
      <c r="D166" s="35" t="str">
        <f>IFERROR(__xludf.DUMMYFUNCTION("""COMPUTED_VALUE"""),"6-10")</f>
        <v>6-10</v>
      </c>
      <c r="E166" s="5" t="str">
        <f>IFERROR(__xludf.DUMMYFUNCTION("""COMPUTED_VALUE"""),"Energy Prong")</f>
        <v>Energy Prong</v>
      </c>
      <c r="F166" s="35" t="str">
        <f>IFERROR(__xludf.DUMMYFUNCTION("""COMPUTED_VALUE"""),"11-15")</f>
        <v>11-15</v>
      </c>
      <c r="G166" s="5" t="str">
        <f>IFERROR(__xludf.DUMMYFUNCTION("""COMPUTED_VALUE"""),"500,000G-1,000,000G")</f>
        <v>500,000G-1,000,000G</v>
      </c>
      <c r="H166" s="35" t="str">
        <f>IFERROR(__xludf.DUMMYFUNCTION("""COMPUTED_VALUE"""),"16-20")</f>
        <v>16-20</v>
      </c>
      <c r="I166" s="5" t="str">
        <f>IFERROR(__xludf.DUMMYFUNCTION("""COMPUTED_VALUE"""),"Nothing")</f>
        <v>Nothing</v>
      </c>
      <c r="J166" s="35" t="str">
        <f>IFERROR(__xludf.DUMMYFUNCTION("""COMPUTED_VALUE"""),"21-25")</f>
        <v>21-25</v>
      </c>
      <c r="K166" s="5" t="str">
        <f>IFERROR(__xludf.DUMMYFUNCTION("""COMPUTED_VALUE"""),"Nothing")</f>
        <v>Nothing</v>
      </c>
      <c r="L166" s="32"/>
      <c r="M166" s="32"/>
      <c r="N166" s="32"/>
      <c r="O166" s="32"/>
      <c r="P166" s="32"/>
      <c r="Q166" s="32"/>
      <c r="R166" s="32"/>
      <c r="S166" s="32"/>
      <c r="T166" s="32"/>
      <c r="U166" s="32"/>
      <c r="V166" s="32"/>
      <c r="W166" s="32"/>
      <c r="X166" s="32"/>
    </row>
    <row r="167">
      <c r="A167" s="32" t="str">
        <f>IFERROR(__xludf.DUMMYFUNCTION("""COMPUTED_VALUE"""),"Robotic Guardian of the 5th, No. 2")</f>
        <v>Robotic Guardian of the 5th, No. 2</v>
      </c>
      <c r="B167" s="35" t="str">
        <f>IFERROR(__xludf.DUMMYFUNCTION("""COMPUTED_VALUE"""),"1-5")</f>
        <v>1-5</v>
      </c>
      <c r="C167" s="5" t="str">
        <f>IFERROR(__xludf.DUMMYFUNCTION("""COMPUTED_VALUE"""),"Nothing")</f>
        <v>Nothing</v>
      </c>
      <c r="D167" s="35" t="str">
        <f>IFERROR(__xludf.DUMMYFUNCTION("""COMPUTED_VALUE"""),"6-10")</f>
        <v>6-10</v>
      </c>
      <c r="E167" s="5" t="str">
        <f>IFERROR(__xludf.DUMMYFUNCTION("""COMPUTED_VALUE"""),"80,000G-100,000G")</f>
        <v>80,000G-100,000G</v>
      </c>
      <c r="F167" s="35" t="str">
        <f>IFERROR(__xludf.DUMMYFUNCTION("""COMPUTED_VALUE"""),"11-15")</f>
        <v>11-15</v>
      </c>
      <c r="G167" s="5" t="str">
        <f>IFERROR(__xludf.DUMMYFUNCTION("""COMPUTED_VALUE"""),"Blade of Burning Energy")</f>
        <v>Blade of Burning Energy</v>
      </c>
      <c r="H167" s="35" t="str">
        <f>IFERROR(__xludf.DUMMYFUNCTION("""COMPUTED_VALUE"""),"16-20")</f>
        <v>16-20</v>
      </c>
      <c r="I167" s="5" t="str">
        <f>IFERROR(__xludf.DUMMYFUNCTION("""COMPUTED_VALUE"""),"Nothing")</f>
        <v>Nothing</v>
      </c>
      <c r="J167" s="35" t="str">
        <f>IFERROR(__xludf.DUMMYFUNCTION("""COMPUTED_VALUE"""),"21-25")</f>
        <v>21-25</v>
      </c>
      <c r="K167" s="5" t="str">
        <f>IFERROR(__xludf.DUMMYFUNCTION("""COMPUTED_VALUE"""),"Nothing")</f>
        <v>Nothing</v>
      </c>
      <c r="L167" s="32"/>
      <c r="M167" s="32"/>
      <c r="N167" s="32"/>
      <c r="O167" s="32"/>
      <c r="P167" s="32"/>
      <c r="Q167" s="32"/>
      <c r="R167" s="32"/>
      <c r="S167" s="32"/>
      <c r="T167" s="32"/>
      <c r="U167" s="32"/>
      <c r="V167" s="32"/>
      <c r="W167" s="32"/>
      <c r="X167" s="32"/>
    </row>
    <row r="168">
      <c r="A168" s="32" t="str">
        <f>IFERROR(__xludf.DUMMYFUNCTION("""COMPUTED_VALUE"""),"Robotic Guardian of the 5th, No. 3")</f>
        <v>Robotic Guardian of the 5th, No. 3</v>
      </c>
      <c r="B168" s="35" t="str">
        <f>IFERROR(__xludf.DUMMYFUNCTION("""COMPUTED_VALUE"""),"1-5")</f>
        <v>1-5</v>
      </c>
      <c r="C168" s="5" t="str">
        <f>IFERROR(__xludf.DUMMYFUNCTION("""COMPUTED_VALUE"""),"Nothing")</f>
        <v>Nothing</v>
      </c>
      <c r="D168" s="35" t="str">
        <f>IFERROR(__xludf.DUMMYFUNCTION("""COMPUTED_VALUE"""),"6-10")</f>
        <v>6-10</v>
      </c>
      <c r="E168" s="5" t="str">
        <f>IFERROR(__xludf.DUMMYFUNCTION("""COMPUTED_VALUE"""),"Frost Bow")</f>
        <v>Frost Bow</v>
      </c>
      <c r="F168" s="35" t="str">
        <f>IFERROR(__xludf.DUMMYFUNCTION("""COMPUTED_VALUE"""),"11-15")</f>
        <v>11-15</v>
      </c>
      <c r="G168" s="5" t="str">
        <f>IFERROR(__xludf.DUMMYFUNCTION("""COMPUTED_VALUE"""),"Soul")</f>
        <v>Soul</v>
      </c>
      <c r="H168" s="35" t="str">
        <f>IFERROR(__xludf.DUMMYFUNCTION("""COMPUTED_VALUE"""),"16-20")</f>
        <v>16-20</v>
      </c>
      <c r="I168" s="5" t="str">
        <f>IFERROR(__xludf.DUMMYFUNCTION("""COMPUTED_VALUE"""),"Nothing")</f>
        <v>Nothing</v>
      </c>
      <c r="J168" s="35" t="str">
        <f>IFERROR(__xludf.DUMMYFUNCTION("""COMPUTED_VALUE"""),"21-25")</f>
        <v>21-25</v>
      </c>
      <c r="K168" s="5" t="str">
        <f>IFERROR(__xludf.DUMMYFUNCTION("""COMPUTED_VALUE"""),"Nothing")</f>
        <v>Nothing</v>
      </c>
      <c r="L168" s="32"/>
      <c r="M168" s="32"/>
      <c r="N168" s="32"/>
      <c r="O168" s="32"/>
      <c r="P168" s="32"/>
      <c r="Q168" s="32"/>
      <c r="R168" s="32"/>
      <c r="S168" s="32"/>
      <c r="T168" s="32"/>
      <c r="U168" s="32"/>
      <c r="V168" s="32"/>
      <c r="W168" s="32"/>
      <c r="X168" s="32"/>
    </row>
    <row r="169">
      <c r="A169" s="32" t="str">
        <f>IFERROR(__xludf.DUMMYFUNCTION("""COMPUTED_VALUE"""),"Robotic Guardian of the 5th, No. 4")</f>
        <v>Robotic Guardian of the 5th, No. 4</v>
      </c>
      <c r="B169" s="35" t="str">
        <f>IFERROR(__xludf.DUMMYFUNCTION("""COMPUTED_VALUE"""),"1-5")</f>
        <v>1-5</v>
      </c>
      <c r="C169" s="5" t="str">
        <f>IFERROR(__xludf.DUMMYFUNCTION("""COMPUTED_VALUE"""),"Nothing")</f>
        <v>Nothing</v>
      </c>
      <c r="D169" s="35" t="str">
        <f>IFERROR(__xludf.DUMMYFUNCTION("""COMPUTED_VALUE"""),"6-10")</f>
        <v>6-10</v>
      </c>
      <c r="E169" s="5" t="str">
        <f>IFERROR(__xludf.DUMMYFUNCTION("""COMPUTED_VALUE"""),"Shuriken")</f>
        <v>Shuriken</v>
      </c>
      <c r="F169" s="35" t="str">
        <f>IFERROR(__xludf.DUMMYFUNCTION("""COMPUTED_VALUE"""),"11-15")</f>
        <v>11-15</v>
      </c>
      <c r="G169" s="5" t="str">
        <f>IFERROR(__xludf.DUMMYFUNCTION("""COMPUTED_VALUE"""),"500,000G-1,000,000G")</f>
        <v>500,000G-1,000,000G</v>
      </c>
      <c r="H169" s="35" t="str">
        <f>IFERROR(__xludf.DUMMYFUNCTION("""COMPUTED_VALUE"""),"16-20")</f>
        <v>16-20</v>
      </c>
      <c r="I169" s="5" t="str">
        <f>IFERROR(__xludf.DUMMYFUNCTION("""COMPUTED_VALUE"""),"Nothing")</f>
        <v>Nothing</v>
      </c>
      <c r="J169" s="35" t="str">
        <f>IFERROR(__xludf.DUMMYFUNCTION("""COMPUTED_VALUE"""),"21-25")</f>
        <v>21-25</v>
      </c>
      <c r="K169" s="5" t="str">
        <f>IFERROR(__xludf.DUMMYFUNCTION("""COMPUTED_VALUE"""),"Soul")</f>
        <v>Soul</v>
      </c>
      <c r="L169" s="32"/>
      <c r="M169" s="32"/>
      <c r="N169" s="32"/>
      <c r="O169" s="32"/>
      <c r="P169" s="32"/>
      <c r="Q169" s="32"/>
      <c r="R169" s="32"/>
      <c r="S169" s="32"/>
      <c r="T169" s="32"/>
      <c r="U169" s="32"/>
      <c r="V169" s="32"/>
      <c r="W169" s="32"/>
      <c r="X169" s="32"/>
    </row>
    <row r="170">
      <c r="A170" s="32" t="str">
        <f>IFERROR(__xludf.DUMMYFUNCTION("""COMPUTED_VALUE"""),"Rock Snake")</f>
        <v>Rock Snake</v>
      </c>
      <c r="B170" s="35" t="str">
        <f>IFERROR(__xludf.DUMMYFUNCTION("""COMPUTED_VALUE"""),"1-5")</f>
        <v>1-5</v>
      </c>
      <c r="C170" s="5" t="str">
        <f>IFERROR(__xludf.DUMMYFUNCTION("""COMPUTED_VALUE"""),"Rock Axe")</f>
        <v>Rock Axe</v>
      </c>
      <c r="D170" s="35" t="str">
        <f>IFERROR(__xludf.DUMMYFUNCTION("""COMPUTED_VALUE"""),"6-10")</f>
        <v>6-10</v>
      </c>
      <c r="E170" s="5" t="str">
        <f>IFERROR(__xludf.DUMMYFUNCTION("""COMPUTED_VALUE"""),"Glowing rocks")</f>
        <v>Glowing rocks</v>
      </c>
      <c r="F170" s="35" t="str">
        <f>IFERROR(__xludf.DUMMYFUNCTION("""COMPUTED_VALUE"""),"11-15")</f>
        <v>11-15</v>
      </c>
      <c r="G170" s="5" t="str">
        <f>IFERROR(__xludf.DUMMYFUNCTION("""COMPUTED_VALUE"""),"1,000G-20,000G")</f>
        <v>1,000G-20,000G</v>
      </c>
      <c r="H170" s="35" t="str">
        <f>IFERROR(__xludf.DUMMYFUNCTION("""COMPUTED_VALUE"""),"16-20")</f>
        <v>16-20</v>
      </c>
      <c r="I170" s="5" t="str">
        <f>IFERROR(__xludf.DUMMYFUNCTION("""COMPUTED_VALUE"""),"Soul")</f>
        <v>Soul</v>
      </c>
      <c r="J170" s="35" t="str">
        <f>IFERROR(__xludf.DUMMYFUNCTION("""COMPUTED_VALUE"""),"21-25")</f>
        <v>21-25</v>
      </c>
      <c r="K170" s="5" t="str">
        <f>IFERROR(__xludf.DUMMYFUNCTION("""COMPUTED_VALUE"""),"Egg")</f>
        <v>Egg</v>
      </c>
      <c r="L170" s="32"/>
      <c r="M170" s="32"/>
      <c r="N170" s="32"/>
      <c r="O170" s="32"/>
      <c r="P170" s="32"/>
      <c r="Q170" s="32"/>
      <c r="R170" s="32"/>
      <c r="S170" s="32"/>
      <c r="T170" s="32"/>
      <c r="U170" s="32"/>
      <c r="V170" s="32"/>
      <c r="W170" s="32"/>
      <c r="X170" s="32"/>
    </row>
    <row r="171">
      <c r="A171" s="32" t="str">
        <f>IFERROR(__xludf.DUMMYFUNCTION("""COMPUTED_VALUE"""),"Rooster")</f>
        <v>Rooster</v>
      </c>
      <c r="B171" s="35" t="str">
        <f>IFERROR(__xludf.DUMMYFUNCTION("""COMPUTED_VALUE"""),"1-5")</f>
        <v>1-5</v>
      </c>
      <c r="C171" s="5" t="str">
        <f>IFERROR(__xludf.DUMMYFUNCTION("""COMPUTED_VALUE"""),"Egg")</f>
        <v>Egg</v>
      </c>
      <c r="D171" s="35" t="str">
        <f>IFERROR(__xludf.DUMMYFUNCTION("""COMPUTED_VALUE"""),"6-10")</f>
        <v>6-10</v>
      </c>
      <c r="E171" s="5" t="str">
        <f>IFERROR(__xludf.DUMMYFUNCTION("""COMPUTED_VALUE"""),"Raw Meat")</f>
        <v>Raw Meat</v>
      </c>
      <c r="F171" s="35" t="str">
        <f>IFERROR(__xludf.DUMMYFUNCTION("""COMPUTED_VALUE"""),"11-15")</f>
        <v>11-15</v>
      </c>
      <c r="G171" s="5" t="str">
        <f>IFERROR(__xludf.DUMMYFUNCTION("""COMPUTED_VALUE"""),"Feather")</f>
        <v>Feather</v>
      </c>
      <c r="H171" s="35" t="str">
        <f>IFERROR(__xludf.DUMMYFUNCTION("""COMPUTED_VALUE"""),"16-20")</f>
        <v>16-20</v>
      </c>
      <c r="I171" s="5" t="str">
        <f>IFERROR(__xludf.DUMMYFUNCTION("""COMPUTED_VALUE"""),"Soul")</f>
        <v>Soul</v>
      </c>
      <c r="J171" s="35" t="str">
        <f>IFERROR(__xludf.DUMMYFUNCTION("""COMPUTED_VALUE"""),"21-25")</f>
        <v>21-25</v>
      </c>
      <c r="K171" s="5" t="str">
        <f>IFERROR(__xludf.DUMMYFUNCTION("""COMPUTED_VALUE"""),"Nothing")</f>
        <v>Nothing</v>
      </c>
      <c r="L171" s="32"/>
      <c r="M171" s="32"/>
      <c r="N171" s="32"/>
      <c r="O171" s="32"/>
      <c r="P171" s="32"/>
      <c r="Q171" s="32"/>
      <c r="R171" s="32"/>
      <c r="S171" s="32"/>
      <c r="T171" s="32"/>
      <c r="U171" s="32"/>
      <c r="V171" s="32"/>
      <c r="W171" s="32"/>
      <c r="X171" s="32"/>
    </row>
    <row r="172">
      <c r="A172" s="32" t="str">
        <f>IFERROR(__xludf.DUMMYFUNCTION("""COMPUTED_VALUE"""),"Rowboat")</f>
        <v>Rowboat</v>
      </c>
      <c r="B172" s="35" t="str">
        <f>IFERROR(__xludf.DUMMYFUNCTION("""COMPUTED_VALUE"""),"1-5")</f>
        <v>1-5</v>
      </c>
      <c r="C172" s="5" t="str">
        <f>IFERROR(__xludf.DUMMYFUNCTION("""COMPUTED_VALUE"""),"Wood")</f>
        <v>Wood</v>
      </c>
      <c r="D172" s="35" t="str">
        <f>IFERROR(__xludf.DUMMYFUNCTION("""COMPUTED_VALUE"""),"6-10")</f>
        <v>6-10</v>
      </c>
      <c r="E172" s="5" t="str">
        <f>IFERROR(__xludf.DUMMYFUNCTION("""COMPUTED_VALUE"""),"Nothing")</f>
        <v>Nothing</v>
      </c>
      <c r="F172" s="35" t="str">
        <f>IFERROR(__xludf.DUMMYFUNCTION("""COMPUTED_VALUE"""),"11-15")</f>
        <v>11-15</v>
      </c>
      <c r="G172" s="5" t="str">
        <f>IFERROR(__xludf.DUMMYFUNCTION("""COMPUTED_VALUE"""),"Nothing")</f>
        <v>Nothing</v>
      </c>
      <c r="H172" s="35" t="str">
        <f>IFERROR(__xludf.DUMMYFUNCTION("""COMPUTED_VALUE"""),"16-20")</f>
        <v>16-20</v>
      </c>
      <c r="I172" s="5" t="str">
        <f>IFERROR(__xludf.DUMMYFUNCTION("""COMPUTED_VALUE"""),"Nothing")</f>
        <v>Nothing</v>
      </c>
      <c r="J172" s="35" t="str">
        <f>IFERROR(__xludf.DUMMYFUNCTION("""COMPUTED_VALUE"""),"21-25")</f>
        <v>21-25</v>
      </c>
      <c r="K172" s="5" t="str">
        <f>IFERROR(__xludf.DUMMYFUNCTION("""COMPUTED_VALUE"""),"Nothing")</f>
        <v>Nothing</v>
      </c>
      <c r="L172" s="32"/>
      <c r="M172" s="32"/>
      <c r="N172" s="32"/>
      <c r="O172" s="32"/>
      <c r="P172" s="32"/>
      <c r="Q172" s="32"/>
      <c r="R172" s="32"/>
      <c r="S172" s="32"/>
      <c r="T172" s="32"/>
      <c r="U172" s="32"/>
      <c r="V172" s="32"/>
      <c r="W172" s="32"/>
      <c r="X172" s="32"/>
    </row>
    <row r="173">
      <c r="A173" s="32" t="str">
        <f>IFERROR(__xludf.DUMMYFUNCTION("""COMPUTED_VALUE"""),"Saber Toothed Cat")</f>
        <v>Saber Toothed Cat</v>
      </c>
      <c r="B173" s="35" t="str">
        <f>IFERROR(__xludf.DUMMYFUNCTION("""COMPUTED_VALUE"""),"1-5")</f>
        <v>1-5</v>
      </c>
      <c r="C173" s="5" t="str">
        <f>IFERROR(__xludf.DUMMYFUNCTION("""COMPUTED_VALUE"""),"Saber Tooth")</f>
        <v>Saber Tooth</v>
      </c>
      <c r="D173" s="35" t="str">
        <f>IFERROR(__xludf.DUMMYFUNCTION("""COMPUTED_VALUE"""),"6-10")</f>
        <v>6-10</v>
      </c>
      <c r="E173" s="5" t="str">
        <f>IFERROR(__xludf.DUMMYFUNCTION("""COMPUTED_VALUE"""),"Saber Toothed Sword")</f>
        <v>Saber Toothed Sword</v>
      </c>
      <c r="F173" s="35" t="str">
        <f>IFERROR(__xludf.DUMMYFUNCTION("""COMPUTED_VALUE"""),"11-15")</f>
        <v>11-15</v>
      </c>
      <c r="G173" s="5" t="str">
        <f>IFERROR(__xludf.DUMMYFUNCTION("""COMPUTED_VALUE"""),"Leather")</f>
        <v>Leather</v>
      </c>
      <c r="H173" s="35" t="str">
        <f>IFERROR(__xludf.DUMMYFUNCTION("""COMPUTED_VALUE"""),"16-20")</f>
        <v>16-20</v>
      </c>
      <c r="I173" s="5" t="str">
        <f>IFERROR(__xludf.DUMMYFUNCTION("""COMPUTED_VALUE"""),"Soul")</f>
        <v>Soul</v>
      </c>
      <c r="J173" s="35" t="str">
        <f>IFERROR(__xludf.DUMMYFUNCTION("""COMPUTED_VALUE"""),"21-25")</f>
        <v>21-25</v>
      </c>
      <c r="K173" s="5" t="str">
        <f>IFERROR(__xludf.DUMMYFUNCTION("""COMPUTED_VALUE"""),"Egg")</f>
        <v>Egg</v>
      </c>
      <c r="L173" s="32"/>
      <c r="M173" s="32"/>
      <c r="N173" s="32"/>
      <c r="O173" s="32"/>
      <c r="P173" s="32"/>
      <c r="Q173" s="32"/>
      <c r="R173" s="32"/>
      <c r="S173" s="32"/>
      <c r="T173" s="32"/>
      <c r="U173" s="32"/>
      <c r="V173" s="32"/>
      <c r="W173" s="32"/>
      <c r="X173" s="32"/>
    </row>
    <row r="174">
      <c r="A174" s="32" t="str">
        <f>IFERROR(__xludf.DUMMYFUNCTION("""COMPUTED_VALUE"""),"Sand Worm")</f>
        <v>Sand Worm</v>
      </c>
      <c r="B174" s="35" t="str">
        <f>IFERROR(__xludf.DUMMYFUNCTION("""COMPUTED_VALUE"""),"1-5")</f>
        <v>1-5</v>
      </c>
      <c r="C174" s="5" t="str">
        <f>IFERROR(__xludf.DUMMYFUNCTION("""COMPUTED_VALUE"""),"Sand")</f>
        <v>Sand</v>
      </c>
      <c r="D174" s="35" t="str">
        <f>IFERROR(__xludf.DUMMYFUNCTION("""COMPUTED_VALUE"""),"6-10")</f>
        <v>6-10</v>
      </c>
      <c r="E174" s="5" t="str">
        <f>IFERROR(__xludf.DUMMYFUNCTION("""COMPUTED_VALUE"""),"Bag of Sand")</f>
        <v>Bag of Sand</v>
      </c>
      <c r="F174" s="35" t="str">
        <f>IFERROR(__xludf.DUMMYFUNCTION("""COMPUTED_VALUE"""),"11-15")</f>
        <v>11-15</v>
      </c>
      <c r="G174" s="5" t="str">
        <f>IFERROR(__xludf.DUMMYFUNCTION("""COMPUTED_VALUE"""),"Glowing Red eye")</f>
        <v>Glowing Red eye</v>
      </c>
      <c r="H174" s="35" t="str">
        <f>IFERROR(__xludf.DUMMYFUNCTION("""COMPUTED_VALUE"""),"16-20")</f>
        <v>16-20</v>
      </c>
      <c r="I174" s="5" t="str">
        <f>IFERROR(__xludf.DUMMYFUNCTION("""COMPUTED_VALUE"""),"Sand Gem")</f>
        <v>Sand Gem</v>
      </c>
      <c r="J174" s="35" t="str">
        <f>IFERROR(__xludf.DUMMYFUNCTION("""COMPUTED_VALUE"""),"21-25")</f>
        <v>21-25</v>
      </c>
      <c r="K174" s="5" t="str">
        <f>IFERROR(__xludf.DUMMYFUNCTION("""COMPUTED_VALUE"""),"Soul")</f>
        <v>Soul</v>
      </c>
      <c r="L174" s="32"/>
      <c r="M174" s="32"/>
      <c r="N174" s="32"/>
      <c r="O174" s="32"/>
      <c r="P174" s="32"/>
      <c r="Q174" s="32"/>
      <c r="R174" s="32"/>
      <c r="S174" s="32"/>
      <c r="T174" s="32"/>
      <c r="U174" s="32"/>
      <c r="V174" s="32"/>
      <c r="W174" s="32"/>
      <c r="X174" s="32"/>
    </row>
    <row r="175">
      <c r="A175" s="32" t="str">
        <f>IFERROR(__xludf.DUMMYFUNCTION("""COMPUTED_VALUE"""),"Sandmite")</f>
        <v>Sandmite</v>
      </c>
      <c r="B175" s="35" t="str">
        <f>IFERROR(__xludf.DUMMYFUNCTION("""COMPUTED_VALUE"""),"1-5")</f>
        <v>1-5</v>
      </c>
      <c r="C175" s="5" t="str">
        <f>IFERROR(__xludf.DUMMYFUNCTION("""COMPUTED_VALUE"""),"Golden Bug")</f>
        <v>Golden Bug</v>
      </c>
      <c r="D175" s="35" t="str">
        <f>IFERROR(__xludf.DUMMYFUNCTION("""COMPUTED_VALUE"""),"6-10")</f>
        <v>6-10</v>
      </c>
      <c r="E175" s="5" t="str">
        <f>IFERROR(__xludf.DUMMYFUNCTION("""COMPUTED_VALUE"""),"1,000G-20,000G")</f>
        <v>1,000G-20,000G</v>
      </c>
      <c r="F175" s="35" t="str">
        <f>IFERROR(__xludf.DUMMYFUNCTION("""COMPUTED_VALUE"""),"11-15")</f>
        <v>11-15</v>
      </c>
      <c r="G175" s="5" t="str">
        <f>IFERROR(__xludf.DUMMYFUNCTION("""COMPUTED_VALUE"""),"Egg")</f>
        <v>Egg</v>
      </c>
      <c r="H175" s="35" t="str">
        <f>IFERROR(__xludf.DUMMYFUNCTION("""COMPUTED_VALUE"""),"16-20")</f>
        <v>16-20</v>
      </c>
      <c r="I175" s="5" t="str">
        <f>IFERROR(__xludf.DUMMYFUNCTION("""COMPUTED_VALUE"""),"Soul")</f>
        <v>Soul</v>
      </c>
      <c r="J175" s="35" t="str">
        <f>IFERROR(__xludf.DUMMYFUNCTION("""COMPUTED_VALUE"""),"21-25")</f>
        <v>21-25</v>
      </c>
      <c r="K175" s="5" t="str">
        <f>IFERROR(__xludf.DUMMYFUNCTION("""COMPUTED_VALUE"""),"Nothing")</f>
        <v>Nothing</v>
      </c>
      <c r="L175" s="32"/>
      <c r="M175" s="32"/>
      <c r="N175" s="32"/>
      <c r="O175" s="32"/>
      <c r="P175" s="32"/>
      <c r="Q175" s="32"/>
      <c r="R175" s="32"/>
      <c r="S175" s="32"/>
      <c r="T175" s="32"/>
      <c r="U175" s="32"/>
      <c r="V175" s="32"/>
      <c r="W175" s="32"/>
      <c r="X175" s="32"/>
    </row>
    <row r="176">
      <c r="A176" s="32" t="str">
        <f>IFERROR(__xludf.DUMMYFUNCTION("""COMPUTED_VALUE"""),"Sea Serpent (WD)")</f>
        <v>Sea Serpent (WD)</v>
      </c>
      <c r="B176" s="35" t="str">
        <f>IFERROR(__xludf.DUMMYFUNCTION("""COMPUTED_VALUE"""),"1-5")</f>
        <v>1-5</v>
      </c>
      <c r="C176" s="5" t="str">
        <f>IFERROR(__xludf.DUMMYFUNCTION("""COMPUTED_VALUE"""),"1,000,000G-20,000,000G")</f>
        <v>1,000,000G-20,000,000G</v>
      </c>
      <c r="D176" s="35" t="str">
        <f>IFERROR(__xludf.DUMMYFUNCTION("""COMPUTED_VALUE"""),"6-10")</f>
        <v>6-10</v>
      </c>
      <c r="E176" s="5" t="str">
        <f>IFERROR(__xludf.DUMMYFUNCTION("""COMPUTED_VALUE"""),"Sword Of The Sea Serpent")</f>
        <v>Sword Of The Sea Serpent</v>
      </c>
      <c r="F176" s="35" t="str">
        <f>IFERROR(__xludf.DUMMYFUNCTION("""COMPUTED_VALUE"""),"11-15")</f>
        <v>11-15</v>
      </c>
      <c r="G176" s="5" t="str">
        <f>IFERROR(__xludf.DUMMYFUNCTION("""COMPUTED_VALUE"""),"Crown Of The Sea Serpent")</f>
        <v>Crown Of The Sea Serpent</v>
      </c>
      <c r="H176" s="35" t="str">
        <f>IFERROR(__xludf.DUMMYFUNCTION("""COMPUTED_VALUE"""),"16-20")</f>
        <v>16-20</v>
      </c>
      <c r="I176" s="5" t="str">
        <f>IFERROR(__xludf.DUMMYFUNCTION("""COMPUTED_VALUE"""),"Soul")</f>
        <v>Soul</v>
      </c>
      <c r="J176" s="35" t="str">
        <f>IFERROR(__xludf.DUMMYFUNCTION("""COMPUTED_VALUE"""),"21-25")</f>
        <v>21-25</v>
      </c>
      <c r="K176" s="5" t="str">
        <f>IFERROR(__xludf.DUMMYFUNCTION("""COMPUTED_VALUE"""),"Egg")</f>
        <v>Egg</v>
      </c>
      <c r="L176" s="32"/>
      <c r="M176" s="32"/>
      <c r="N176" s="32"/>
      <c r="O176" s="32"/>
      <c r="P176" s="32"/>
      <c r="Q176" s="32"/>
      <c r="R176" s="32"/>
      <c r="S176" s="32"/>
      <c r="T176" s="32"/>
      <c r="U176" s="32"/>
      <c r="V176" s="32"/>
      <c r="W176" s="32"/>
      <c r="X176" s="32"/>
    </row>
    <row r="177">
      <c r="A177" s="32" t="str">
        <f>IFERROR(__xludf.DUMMYFUNCTION("""COMPUTED_VALUE"""),"Sea Serpent (WD) (Enhanced)")</f>
        <v>Sea Serpent (WD) (Enhanced)</v>
      </c>
      <c r="B177" s="35" t="str">
        <f>IFERROR(__xludf.DUMMYFUNCTION("""COMPUTED_VALUE"""),"1-5")</f>
        <v>1-5</v>
      </c>
      <c r="C177" s="5" t="str">
        <f>IFERROR(__xludf.DUMMYFUNCTION("""COMPUTED_VALUE"""),"1,000,000G-20,000,000G")</f>
        <v>1,000,000G-20,000,000G</v>
      </c>
      <c r="D177" s="35" t="str">
        <f>IFERROR(__xludf.DUMMYFUNCTION("""COMPUTED_VALUE"""),"6-10")</f>
        <v>6-10</v>
      </c>
      <c r="E177" s="5" t="str">
        <f>IFERROR(__xludf.DUMMYFUNCTION("""COMPUTED_VALUE"""),"Sword Of The Sea Serpent")</f>
        <v>Sword Of The Sea Serpent</v>
      </c>
      <c r="F177" s="35" t="str">
        <f>IFERROR(__xludf.DUMMYFUNCTION("""COMPUTED_VALUE"""),"11-15")</f>
        <v>11-15</v>
      </c>
      <c r="G177" s="5" t="str">
        <f>IFERROR(__xludf.DUMMYFUNCTION("""COMPUTED_VALUE"""),"Crown Of The Sea Serpent")</f>
        <v>Crown Of The Sea Serpent</v>
      </c>
      <c r="H177" s="35" t="str">
        <f>IFERROR(__xludf.DUMMYFUNCTION("""COMPUTED_VALUE"""),"16-20")</f>
        <v>16-20</v>
      </c>
      <c r="I177" s="5" t="str">
        <f>IFERROR(__xludf.DUMMYFUNCTION("""COMPUTED_VALUE"""),"Soul")</f>
        <v>Soul</v>
      </c>
      <c r="J177" s="35" t="str">
        <f>IFERROR(__xludf.DUMMYFUNCTION("""COMPUTED_VALUE"""),"21-25")</f>
        <v>21-25</v>
      </c>
      <c r="K177" s="5" t="str">
        <f>IFERROR(__xludf.DUMMYFUNCTION("""COMPUTED_VALUE"""),"Egg")</f>
        <v>Egg</v>
      </c>
      <c r="L177" s="32"/>
      <c r="M177" s="32"/>
      <c r="N177" s="32"/>
      <c r="O177" s="32"/>
      <c r="P177" s="32"/>
      <c r="Q177" s="32"/>
      <c r="R177" s="32"/>
      <c r="S177" s="32"/>
      <c r="T177" s="32"/>
      <c r="U177" s="32"/>
      <c r="V177" s="32"/>
      <c r="W177" s="32"/>
      <c r="X177" s="32"/>
    </row>
    <row r="178">
      <c r="A178" s="32" t="str">
        <f>IFERROR(__xludf.DUMMYFUNCTION("""COMPUTED_VALUE"""),"Sea Worm (WD)")</f>
        <v>Sea Worm (WD)</v>
      </c>
      <c r="B178" s="35" t="str">
        <f>IFERROR(__xludf.DUMMYFUNCTION("""COMPUTED_VALUE"""),"1-5")</f>
        <v>1-5</v>
      </c>
      <c r="C178" s="5" t="str">
        <f>IFERROR(__xludf.DUMMYFUNCTION("""COMPUTED_VALUE"""),"500,000SC-1,000,000SC")</f>
        <v>500,000SC-1,000,000SC</v>
      </c>
      <c r="D178" s="35" t="str">
        <f>IFERROR(__xludf.DUMMYFUNCTION("""COMPUTED_VALUE"""),"6-10")</f>
        <v>6-10</v>
      </c>
      <c r="E178" s="5" t="str">
        <f>IFERROR(__xludf.DUMMYFUNCTION("""COMPUTED_VALUE"""),"Soul")</f>
        <v>Soul</v>
      </c>
      <c r="F178" s="35" t="str">
        <f>IFERROR(__xludf.DUMMYFUNCTION("""COMPUTED_VALUE"""),"11-15")</f>
        <v>11-15</v>
      </c>
      <c r="G178" s="5" t="str">
        <f>IFERROR(__xludf.DUMMYFUNCTION("""COMPUTED_VALUE"""),"Nothing")</f>
        <v>Nothing</v>
      </c>
      <c r="H178" s="35" t="str">
        <f>IFERROR(__xludf.DUMMYFUNCTION("""COMPUTED_VALUE"""),"16-20")</f>
        <v>16-20</v>
      </c>
      <c r="I178" s="5" t="str">
        <f>IFERROR(__xludf.DUMMYFUNCTION("""COMPUTED_VALUE"""),"Nothing")</f>
        <v>Nothing</v>
      </c>
      <c r="J178" s="35" t="str">
        <f>IFERROR(__xludf.DUMMYFUNCTION("""COMPUTED_VALUE"""),"21-25")</f>
        <v>21-25</v>
      </c>
      <c r="K178" s="5" t="str">
        <f>IFERROR(__xludf.DUMMYFUNCTION("""COMPUTED_VALUE"""),"Worm Tooth Chainsaw")</f>
        <v>Worm Tooth Chainsaw</v>
      </c>
      <c r="L178" s="32"/>
      <c r="M178" s="32"/>
      <c r="N178" s="32"/>
      <c r="O178" s="32"/>
      <c r="P178" s="32"/>
      <c r="Q178" s="32"/>
      <c r="R178" s="32"/>
      <c r="S178" s="32"/>
      <c r="T178" s="32"/>
      <c r="U178" s="32"/>
      <c r="V178" s="32"/>
      <c r="W178" s="32"/>
      <c r="X178" s="32"/>
    </row>
    <row r="179">
      <c r="A179" s="32" t="str">
        <f>IFERROR(__xludf.DUMMYFUNCTION("""COMPUTED_VALUE"""),"Sea Worm (WD) (Enhanced)")</f>
        <v>Sea Worm (WD) (Enhanced)</v>
      </c>
      <c r="B179" s="35" t="str">
        <f>IFERROR(__xludf.DUMMYFUNCTION("""COMPUTED_VALUE"""),"1-5")</f>
        <v>1-5</v>
      </c>
      <c r="C179" s="5" t="str">
        <f>IFERROR(__xludf.DUMMYFUNCTION("""COMPUTED_VALUE"""),"500,000SC-1,000,000SC")</f>
        <v>500,000SC-1,000,000SC</v>
      </c>
      <c r="D179" s="35" t="str">
        <f>IFERROR(__xludf.DUMMYFUNCTION("""COMPUTED_VALUE"""),"6-10")</f>
        <v>6-10</v>
      </c>
      <c r="E179" s="5" t="str">
        <f>IFERROR(__xludf.DUMMYFUNCTION("""COMPUTED_VALUE"""),"Nothing")</f>
        <v>Nothing</v>
      </c>
      <c r="F179" s="35" t="str">
        <f>IFERROR(__xludf.DUMMYFUNCTION("""COMPUTED_VALUE"""),"11-15")</f>
        <v>11-15</v>
      </c>
      <c r="G179" s="5" t="str">
        <f>IFERROR(__xludf.DUMMYFUNCTION("""COMPUTED_VALUE"""),"Soul")</f>
        <v>Soul</v>
      </c>
      <c r="H179" s="35" t="str">
        <f>IFERROR(__xludf.DUMMYFUNCTION("""COMPUTED_VALUE"""),"16-20")</f>
        <v>16-20</v>
      </c>
      <c r="I179" s="5" t="str">
        <f>IFERROR(__xludf.DUMMYFUNCTION("""COMPUTED_VALUE"""),"Nothing")</f>
        <v>Nothing</v>
      </c>
      <c r="J179" s="35" t="str">
        <f>IFERROR(__xludf.DUMMYFUNCTION("""COMPUTED_VALUE"""),"21-25")</f>
        <v>21-25</v>
      </c>
      <c r="K179" s="5" t="str">
        <f>IFERROR(__xludf.DUMMYFUNCTION("""COMPUTED_VALUE"""),"Worm Tooth Chainsaw")</f>
        <v>Worm Tooth Chainsaw</v>
      </c>
      <c r="L179" s="32"/>
      <c r="M179" s="32"/>
      <c r="N179" s="32"/>
      <c r="O179" s="32"/>
      <c r="P179" s="32"/>
      <c r="Q179" s="32"/>
      <c r="R179" s="32"/>
      <c r="S179" s="32"/>
      <c r="T179" s="32"/>
      <c r="U179" s="32"/>
      <c r="V179" s="32"/>
      <c r="W179" s="32"/>
      <c r="X179" s="32"/>
    </row>
    <row r="180">
      <c r="A180" s="32" t="str">
        <f>IFERROR(__xludf.DUMMYFUNCTION("""COMPUTED_VALUE"""),"Shadow King")</f>
        <v>Shadow King</v>
      </c>
      <c r="B180" s="35" t="str">
        <f>IFERROR(__xludf.DUMMYFUNCTION("""COMPUTED_VALUE"""),"1-5")</f>
        <v>1-5</v>
      </c>
      <c r="C180" s="5" t="str">
        <f>IFERROR(__xludf.DUMMYFUNCTION("""COMPUTED_VALUE"""),"Soul")</f>
        <v>Soul</v>
      </c>
      <c r="D180" s="35" t="str">
        <f>IFERROR(__xludf.DUMMYFUNCTION("""COMPUTED_VALUE"""),"6-10")</f>
        <v>6-10</v>
      </c>
      <c r="E180" s="5" t="str">
        <f>IFERROR(__xludf.DUMMYFUNCTION("""COMPUTED_VALUE"""),"Shadow Kings Sword")</f>
        <v>Shadow Kings Sword</v>
      </c>
      <c r="F180" s="35" t="str">
        <f>IFERROR(__xludf.DUMMYFUNCTION("""COMPUTED_VALUE"""),"11-15")</f>
        <v>11-15</v>
      </c>
      <c r="G180" s="5" t="str">
        <f>IFERROR(__xludf.DUMMYFUNCTION("""COMPUTED_VALUE"""),"Nothing")</f>
        <v>Nothing</v>
      </c>
      <c r="H180" s="35" t="str">
        <f>IFERROR(__xludf.DUMMYFUNCTION("""COMPUTED_VALUE"""),"16-20")</f>
        <v>16-20</v>
      </c>
      <c r="I180" s="5" t="str">
        <f>IFERROR(__xludf.DUMMYFUNCTION("""COMPUTED_VALUE"""),"100,000,000G-500,000,000G")</f>
        <v>100,000,000G-500,000,000G</v>
      </c>
      <c r="J180" s="35" t="str">
        <f>IFERROR(__xludf.DUMMYFUNCTION("""COMPUTED_VALUE"""),"21-25")</f>
        <v>21-25</v>
      </c>
      <c r="K180" s="5" t="str">
        <f>IFERROR(__xludf.DUMMYFUNCTION("""COMPUTED_VALUE"""),"Nothing")</f>
        <v>Nothing</v>
      </c>
      <c r="L180" s="32"/>
      <c r="M180" s="32"/>
      <c r="N180" s="32"/>
      <c r="O180" s="32"/>
      <c r="P180" s="32"/>
      <c r="Q180" s="32"/>
      <c r="R180" s="32"/>
      <c r="S180" s="32"/>
      <c r="T180" s="32"/>
      <c r="U180" s="32"/>
      <c r="V180" s="32"/>
      <c r="W180" s="32"/>
      <c r="X180" s="32"/>
    </row>
    <row r="181">
      <c r="A181" s="32" t="str">
        <f>IFERROR(__xludf.DUMMYFUNCTION("""COMPUTED_VALUE"""),"Shadow Suit of armor")</f>
        <v>Shadow Suit of armor</v>
      </c>
      <c r="B181" s="35" t="str">
        <f>IFERROR(__xludf.DUMMYFUNCTION("""COMPUTED_VALUE"""),"1-5")</f>
        <v>1-5</v>
      </c>
      <c r="C181" s="5" t="str">
        <f>IFERROR(__xludf.DUMMYFUNCTION("""COMPUTED_VALUE"""),"Dark Knight Helm")</f>
        <v>Dark Knight Helm</v>
      </c>
      <c r="D181" s="35" t="str">
        <f>IFERROR(__xludf.DUMMYFUNCTION("""COMPUTED_VALUE"""),"6-10")</f>
        <v>6-10</v>
      </c>
      <c r="E181" s="5" t="str">
        <f>IFERROR(__xludf.DUMMYFUNCTION("""COMPUTED_VALUE"""),"Dark Wand")</f>
        <v>Dark Wand</v>
      </c>
      <c r="F181" s="35" t="str">
        <f>IFERROR(__xludf.DUMMYFUNCTION("""COMPUTED_VALUE"""),"11-15")</f>
        <v>11-15</v>
      </c>
      <c r="G181" s="5" t="str">
        <f>IFERROR(__xludf.DUMMYFUNCTION("""COMPUTED_VALUE"""),"Egg")</f>
        <v>Egg</v>
      </c>
      <c r="H181" s="35" t="str">
        <f>IFERROR(__xludf.DUMMYFUNCTION("""COMPUTED_VALUE"""),"16-20")</f>
        <v>16-20</v>
      </c>
      <c r="I181" s="5" t="str">
        <f>IFERROR(__xludf.DUMMYFUNCTION("""COMPUTED_VALUE"""),"Dark rum")</f>
        <v>Dark rum</v>
      </c>
      <c r="J181" s="35" t="str">
        <f>IFERROR(__xludf.DUMMYFUNCTION("""COMPUTED_VALUE"""),"21-25")</f>
        <v>21-25</v>
      </c>
      <c r="K181" s="5" t="str">
        <f>IFERROR(__xludf.DUMMYFUNCTION("""COMPUTED_VALUE"""),"Soul")</f>
        <v>Soul</v>
      </c>
      <c r="L181" s="32"/>
      <c r="M181" s="32"/>
      <c r="N181" s="32"/>
      <c r="O181" s="32"/>
      <c r="P181" s="32"/>
      <c r="Q181" s="32"/>
      <c r="R181" s="32"/>
      <c r="S181" s="32"/>
      <c r="T181" s="32"/>
      <c r="U181" s="32"/>
      <c r="V181" s="32"/>
      <c r="W181" s="32"/>
      <c r="X181" s="32"/>
    </row>
    <row r="182">
      <c r="A182" s="32" t="str">
        <f>IFERROR(__xludf.DUMMYFUNCTION("""COMPUTED_VALUE"""),"Shark (WD)")</f>
        <v>Shark (WD)</v>
      </c>
      <c r="B182" s="35" t="str">
        <f>IFERROR(__xludf.DUMMYFUNCTION("""COMPUTED_VALUE"""),"1-5")</f>
        <v>1-5</v>
      </c>
      <c r="C182" s="5" t="str">
        <f>IFERROR(__xludf.DUMMYFUNCTION("""COMPUTED_VALUE"""),"Shark Fin")</f>
        <v>Shark Fin</v>
      </c>
      <c r="D182" s="35" t="str">
        <f>IFERROR(__xludf.DUMMYFUNCTION("""COMPUTED_VALUE"""),"6-10")</f>
        <v>6-10</v>
      </c>
      <c r="E182" s="5" t="str">
        <f>IFERROR(__xludf.DUMMYFUNCTION("""COMPUTED_VALUE"""),"Sharp Teeth")</f>
        <v>Sharp Teeth</v>
      </c>
      <c r="F182" s="35" t="str">
        <f>IFERROR(__xludf.DUMMYFUNCTION("""COMPUTED_VALUE"""),"11-15")</f>
        <v>11-15</v>
      </c>
      <c r="G182" s="5" t="str">
        <f>IFERROR(__xludf.DUMMYFUNCTION("""COMPUTED_VALUE"""),"Soul")</f>
        <v>Soul</v>
      </c>
      <c r="H182" s="35" t="str">
        <f>IFERROR(__xludf.DUMMYFUNCTION("""COMPUTED_VALUE"""),"16-20")</f>
        <v>16-20</v>
      </c>
      <c r="I182" s="5" t="str">
        <f>IFERROR(__xludf.DUMMYFUNCTION("""COMPUTED_VALUE"""),"Nothing")</f>
        <v>Nothing</v>
      </c>
      <c r="J182" s="35" t="str">
        <f>IFERROR(__xludf.DUMMYFUNCTION("""COMPUTED_VALUE"""),"21-25")</f>
        <v>21-25</v>
      </c>
      <c r="K182" s="5" t="str">
        <f>IFERROR(__xludf.DUMMYFUNCTION("""COMPUTED_VALUE"""),"Egg")</f>
        <v>Egg</v>
      </c>
      <c r="L182" s="32"/>
      <c r="M182" s="32"/>
      <c r="N182" s="32"/>
      <c r="O182" s="32"/>
      <c r="P182" s="32"/>
      <c r="Q182" s="32"/>
      <c r="R182" s="32"/>
      <c r="S182" s="32"/>
      <c r="T182" s="32"/>
      <c r="U182" s="32"/>
      <c r="V182" s="32"/>
      <c r="W182" s="32"/>
      <c r="X182" s="32"/>
    </row>
    <row r="183">
      <c r="A183" s="32" t="str">
        <f>IFERROR(__xludf.DUMMYFUNCTION("""COMPUTED_VALUE"""),"Shark (WD) (Enhanced0")</f>
        <v>Shark (WD) (Enhanced0</v>
      </c>
      <c r="B183" s="35" t="str">
        <f>IFERROR(__xludf.DUMMYFUNCTION("""COMPUTED_VALUE"""),"1-5")</f>
        <v>1-5</v>
      </c>
      <c r="C183" s="5" t="str">
        <f>IFERROR(__xludf.DUMMYFUNCTION("""COMPUTED_VALUE"""),"Shark Fin")</f>
        <v>Shark Fin</v>
      </c>
      <c r="D183" s="35" t="str">
        <f>IFERROR(__xludf.DUMMYFUNCTION("""COMPUTED_VALUE"""),"6-10")</f>
        <v>6-10</v>
      </c>
      <c r="E183" s="5" t="str">
        <f>IFERROR(__xludf.DUMMYFUNCTION("""COMPUTED_VALUE"""),"Sharp Teeth")</f>
        <v>Sharp Teeth</v>
      </c>
      <c r="F183" s="35" t="str">
        <f>IFERROR(__xludf.DUMMYFUNCTION("""COMPUTED_VALUE"""),"11-15")</f>
        <v>11-15</v>
      </c>
      <c r="G183" s="5" t="str">
        <f>IFERROR(__xludf.DUMMYFUNCTION("""COMPUTED_VALUE"""),"Nothing")</f>
        <v>Nothing</v>
      </c>
      <c r="H183" s="35" t="str">
        <f>IFERROR(__xludf.DUMMYFUNCTION("""COMPUTED_VALUE"""),"16-20")</f>
        <v>16-20</v>
      </c>
      <c r="I183" s="5" t="str">
        <f>IFERROR(__xludf.DUMMYFUNCTION("""COMPUTED_VALUE"""),"Nothing")</f>
        <v>Nothing</v>
      </c>
      <c r="J183" s="35" t="str">
        <f>IFERROR(__xludf.DUMMYFUNCTION("""COMPUTED_VALUE"""),"21-25")</f>
        <v>21-25</v>
      </c>
      <c r="K183" s="5" t="str">
        <f>IFERROR(__xludf.DUMMYFUNCTION("""COMPUTED_VALUE"""),"Egg")</f>
        <v>Egg</v>
      </c>
      <c r="L183" s="32"/>
      <c r="M183" s="32"/>
      <c r="N183" s="32"/>
      <c r="O183" s="32"/>
      <c r="P183" s="32"/>
      <c r="Q183" s="32"/>
      <c r="R183" s="32"/>
      <c r="S183" s="32"/>
      <c r="T183" s="32"/>
      <c r="U183" s="32"/>
      <c r="V183" s="32"/>
      <c r="W183" s="32"/>
      <c r="X183" s="32"/>
    </row>
    <row r="184">
      <c r="A184" s="32" t="str">
        <f>IFERROR(__xludf.DUMMYFUNCTION("""COMPUTED_VALUE"""),"Skeletal Warrior")</f>
        <v>Skeletal Warrior</v>
      </c>
      <c r="B184" s="35" t="str">
        <f>IFERROR(__xludf.DUMMYFUNCTION("""COMPUTED_VALUE"""),"1-5")</f>
        <v>1-5</v>
      </c>
      <c r="C184" s="5" t="str">
        <f>IFERROR(__xludf.DUMMYFUNCTION("""COMPUTED_VALUE"""),"Bone Sword ")</f>
        <v>Bone Sword </v>
      </c>
      <c r="D184" s="35" t="str">
        <f>IFERROR(__xludf.DUMMYFUNCTION("""COMPUTED_VALUE"""),"6-10")</f>
        <v>6-10</v>
      </c>
      <c r="E184" s="5" t="str">
        <f>IFERROR(__xludf.DUMMYFUNCTION("""COMPUTED_VALUE"""),"20,000G-40,000G")</f>
        <v>20,000G-40,000G</v>
      </c>
      <c r="F184" s="35" t="str">
        <f>IFERROR(__xludf.DUMMYFUNCTION("""COMPUTED_VALUE"""),"11-15")</f>
        <v>11-15</v>
      </c>
      <c r="G184" s="5" t="str">
        <f>IFERROR(__xludf.DUMMYFUNCTION("""COMPUTED_VALUE"""),"Soul")</f>
        <v>Soul</v>
      </c>
      <c r="H184" s="35" t="str">
        <f>IFERROR(__xludf.DUMMYFUNCTION("""COMPUTED_VALUE"""),"16-20")</f>
        <v>16-20</v>
      </c>
      <c r="I184" s="5" t="str">
        <f>IFERROR(__xludf.DUMMYFUNCTION("""COMPUTED_VALUE"""),"Nothing")</f>
        <v>Nothing</v>
      </c>
      <c r="J184" s="35" t="str">
        <f>IFERROR(__xludf.DUMMYFUNCTION("""COMPUTED_VALUE"""),"21-25")</f>
        <v>21-25</v>
      </c>
      <c r="K184" s="5" t="str">
        <f>IFERROR(__xludf.DUMMYFUNCTION("""COMPUTED_VALUE"""),"Egg")</f>
        <v>Egg</v>
      </c>
      <c r="L184" s="32"/>
      <c r="M184" s="32"/>
      <c r="N184" s="32"/>
      <c r="O184" s="32"/>
      <c r="P184" s="32"/>
      <c r="Q184" s="32"/>
      <c r="R184" s="32"/>
      <c r="S184" s="32"/>
      <c r="T184" s="32"/>
      <c r="U184" s="32"/>
      <c r="V184" s="32"/>
      <c r="W184" s="32"/>
      <c r="X184" s="32"/>
    </row>
    <row r="185">
      <c r="A185" s="32" t="str">
        <f>IFERROR(__xludf.DUMMYFUNCTION("""COMPUTED_VALUE"""),"Skeleton Lord")</f>
        <v>Skeleton Lord</v>
      </c>
      <c r="B185" s="35" t="str">
        <f>IFERROR(__xludf.DUMMYFUNCTION("""COMPUTED_VALUE"""),"1-5")</f>
        <v>1-5</v>
      </c>
      <c r="C185" s="5" t="str">
        <f>IFERROR(__xludf.DUMMYFUNCTION("""COMPUTED_VALUE"""),"skull")</f>
        <v>skull</v>
      </c>
      <c r="D185" s="35" t="str">
        <f>IFERROR(__xludf.DUMMYFUNCTION("""COMPUTED_VALUE"""),"6-10")</f>
        <v>6-10</v>
      </c>
      <c r="E185" s="5" t="str">
        <f>IFERROR(__xludf.DUMMYFUNCTION("""COMPUTED_VALUE"""),"1,000G-20,000G")</f>
        <v>1,000G-20,000G</v>
      </c>
      <c r="F185" s="35" t="str">
        <f>IFERROR(__xludf.DUMMYFUNCTION("""COMPUTED_VALUE"""),"11-15")</f>
        <v>11-15</v>
      </c>
      <c r="G185" s="5" t="str">
        <f>IFERROR(__xludf.DUMMYFUNCTION("""COMPUTED_VALUE"""),"Bone Sword ")</f>
        <v>Bone Sword </v>
      </c>
      <c r="H185" s="35" t="str">
        <f>IFERROR(__xludf.DUMMYFUNCTION("""COMPUTED_VALUE"""),"16-20")</f>
        <v>16-20</v>
      </c>
      <c r="I185" s="5" t="str">
        <f>IFERROR(__xludf.DUMMYFUNCTION("""COMPUTED_VALUE"""),"Soul")</f>
        <v>Soul</v>
      </c>
      <c r="J185" s="35" t="str">
        <f>IFERROR(__xludf.DUMMYFUNCTION("""COMPUTED_VALUE"""),"21-25")</f>
        <v>21-25</v>
      </c>
      <c r="K185" s="5" t="str">
        <f>IFERROR(__xludf.DUMMYFUNCTION("""COMPUTED_VALUE"""),"Nothing")</f>
        <v>Nothing</v>
      </c>
      <c r="L185" s="32"/>
      <c r="M185" s="32"/>
      <c r="N185" s="32"/>
      <c r="O185" s="32"/>
      <c r="P185" s="32"/>
      <c r="Q185" s="32"/>
      <c r="R185" s="32"/>
      <c r="S185" s="32"/>
      <c r="T185" s="32"/>
      <c r="U185" s="32"/>
      <c r="V185" s="32"/>
      <c r="W185" s="32"/>
      <c r="X185" s="32"/>
    </row>
    <row r="186">
      <c r="A186" s="32" t="str">
        <f>IFERROR(__xludf.DUMMYFUNCTION("""COMPUTED_VALUE"""),"Skilled Robot Soldier (King Of Mekanas Companion)")</f>
        <v>Skilled Robot Soldier (King Of Mekanas Companion)</v>
      </c>
      <c r="B186" s="35" t="str">
        <f>IFERROR(__xludf.DUMMYFUNCTION("""COMPUTED_VALUE"""),"1-5")</f>
        <v>1-5</v>
      </c>
      <c r="C186" s="5" t="str">
        <f>IFERROR(__xludf.DUMMYFUNCTION("""COMPUTED_VALUE"""),"Nothing")</f>
        <v>Nothing</v>
      </c>
      <c r="D186" s="35" t="str">
        <f>IFERROR(__xludf.DUMMYFUNCTION("""COMPUTED_VALUE"""),"6-10")</f>
        <v>6-10</v>
      </c>
      <c r="E186" s="5" t="str">
        <f>IFERROR(__xludf.DUMMYFUNCTION("""COMPUTED_VALUE"""),"Lazer Infused Sword")</f>
        <v>Lazer Infused Sword</v>
      </c>
      <c r="F186" s="35" t="str">
        <f>IFERROR(__xludf.DUMMYFUNCTION("""COMPUTED_VALUE"""),"11-15")</f>
        <v>11-15</v>
      </c>
      <c r="G186" s="5" t="str">
        <f>IFERROR(__xludf.DUMMYFUNCTION("""COMPUTED_VALUE"""),"Nothing")</f>
        <v>Nothing</v>
      </c>
      <c r="H186" s="35" t="str">
        <f>IFERROR(__xludf.DUMMYFUNCTION("""COMPUTED_VALUE"""),"16-20")</f>
        <v>16-20</v>
      </c>
      <c r="I186" s="5" t="str">
        <f>IFERROR(__xludf.DUMMYFUNCTION("""COMPUTED_VALUE"""),"Nothing")</f>
        <v>Nothing</v>
      </c>
      <c r="J186" s="35" t="str">
        <f>IFERROR(__xludf.DUMMYFUNCTION("""COMPUTED_VALUE"""),"21-25")</f>
        <v>21-25</v>
      </c>
      <c r="K186" s="5" t="str">
        <f>IFERROR(__xludf.DUMMYFUNCTION("""COMPUTED_VALUE"""),"Nothing")</f>
        <v>Nothing</v>
      </c>
      <c r="L186" s="32"/>
      <c r="M186" s="32"/>
      <c r="N186" s="32"/>
      <c r="O186" s="32"/>
      <c r="P186" s="32"/>
      <c r="Q186" s="32"/>
      <c r="R186" s="32"/>
      <c r="S186" s="32"/>
      <c r="T186" s="32"/>
      <c r="U186" s="32"/>
      <c r="V186" s="32"/>
      <c r="W186" s="32"/>
      <c r="X186" s="32"/>
    </row>
    <row r="187">
      <c r="A187" s="32" t="str">
        <f>IFERROR(__xludf.DUMMYFUNCTION("""COMPUTED_VALUE"""),"Slime")</f>
        <v>Slime</v>
      </c>
      <c r="B187" s="35" t="str">
        <f>IFERROR(__xludf.DUMMYFUNCTION("""COMPUTED_VALUE"""),"1-5")</f>
        <v>1-5</v>
      </c>
      <c r="C187" s="5" t="str">
        <f>IFERROR(__xludf.DUMMYFUNCTION("""COMPUTED_VALUE"""),"Slime core")</f>
        <v>Slime core</v>
      </c>
      <c r="D187" s="35" t="str">
        <f>IFERROR(__xludf.DUMMYFUNCTION("""COMPUTED_VALUE"""),"6-10")</f>
        <v>6-10</v>
      </c>
      <c r="E187" s="5" t="str">
        <f>IFERROR(__xludf.DUMMYFUNCTION("""COMPUTED_VALUE"""),"1,000G-20,000G")</f>
        <v>1,000G-20,000G</v>
      </c>
      <c r="F187" s="35" t="str">
        <f>IFERROR(__xludf.DUMMYFUNCTION("""COMPUTED_VALUE"""),"11-15")</f>
        <v>11-15</v>
      </c>
      <c r="G187" s="5" t="str">
        <f>IFERROR(__xludf.DUMMYFUNCTION("""COMPUTED_VALUE"""),"Soul")</f>
        <v>Soul</v>
      </c>
      <c r="H187" s="35" t="str">
        <f>IFERROR(__xludf.DUMMYFUNCTION("""COMPUTED_VALUE"""),"16-20")</f>
        <v>16-20</v>
      </c>
      <c r="I187" s="5" t="str">
        <f>IFERROR(__xludf.DUMMYFUNCTION("""COMPUTED_VALUE"""),"Nothing")</f>
        <v>Nothing</v>
      </c>
      <c r="J187" s="35" t="str">
        <f>IFERROR(__xludf.DUMMYFUNCTION("""COMPUTED_VALUE"""),"21-25")</f>
        <v>21-25</v>
      </c>
      <c r="K187" s="5" t="str">
        <f>IFERROR(__xludf.DUMMYFUNCTION("""COMPUTED_VALUE"""),"Sticky Slime Guantlets")</f>
        <v>Sticky Slime Guantlets</v>
      </c>
      <c r="L187" s="32"/>
      <c r="M187" s="32"/>
      <c r="N187" s="32"/>
      <c r="O187" s="32"/>
      <c r="P187" s="32"/>
      <c r="Q187" s="32"/>
      <c r="R187" s="32"/>
      <c r="S187" s="32"/>
      <c r="T187" s="32"/>
      <c r="U187" s="32"/>
      <c r="V187" s="32"/>
      <c r="W187" s="32"/>
      <c r="X187" s="32"/>
    </row>
    <row r="188">
      <c r="A188" s="32" t="str">
        <f>IFERROR(__xludf.DUMMYFUNCTION("""COMPUTED_VALUE"""),"Sorana- Demon Of The Cycle")</f>
        <v>Sorana- Demon Of The Cycle</v>
      </c>
      <c r="B188" s="35" t="str">
        <f>IFERROR(__xludf.DUMMYFUNCTION("""COMPUTED_VALUE"""),"1-5")</f>
        <v>1-5</v>
      </c>
      <c r="C188" s="5" t="str">
        <f>IFERROR(__xludf.DUMMYFUNCTION("""COMPUTED_VALUE"""),"Demon Core")</f>
        <v>Demon Core</v>
      </c>
      <c r="D188" s="35" t="str">
        <f>IFERROR(__xludf.DUMMYFUNCTION("""COMPUTED_VALUE"""),"6-10")</f>
        <v>6-10</v>
      </c>
      <c r="E188" s="5" t="str">
        <f>IFERROR(__xludf.DUMMYFUNCTION("""COMPUTED_VALUE"""),"Demons Eye")</f>
        <v>Demons Eye</v>
      </c>
      <c r="F188" s="35" t="str">
        <f>IFERROR(__xludf.DUMMYFUNCTION("""COMPUTED_VALUE"""),"11-15")</f>
        <v>11-15</v>
      </c>
      <c r="G188" s="5" t="str">
        <f>IFERROR(__xludf.DUMMYFUNCTION("""COMPUTED_VALUE"""),"Soul")</f>
        <v>Soul</v>
      </c>
      <c r="H188" s="35" t="str">
        <f>IFERROR(__xludf.DUMMYFUNCTION("""COMPUTED_VALUE"""),"16-20")</f>
        <v>16-20</v>
      </c>
      <c r="I188" s="5" t="str">
        <f>IFERROR(__xludf.DUMMYFUNCTION("""COMPUTED_VALUE"""),"20,000G-40,000G")</f>
        <v>20,000G-40,000G</v>
      </c>
      <c r="J188" s="35" t="str">
        <f>IFERROR(__xludf.DUMMYFUNCTION("""COMPUTED_VALUE"""),"21-25")</f>
        <v>21-25</v>
      </c>
      <c r="K188" s="5" t="str">
        <f>IFERROR(__xludf.DUMMYFUNCTION("""COMPUTED_VALUE"""),"Nothing")</f>
        <v>Nothing</v>
      </c>
      <c r="L188" s="32"/>
      <c r="M188" s="32"/>
      <c r="N188" s="32"/>
      <c r="O188" s="32"/>
      <c r="P188" s="32"/>
      <c r="Q188" s="32"/>
      <c r="R188" s="32"/>
      <c r="S188" s="32"/>
      <c r="T188" s="32"/>
      <c r="U188" s="32"/>
      <c r="V188" s="32"/>
      <c r="W188" s="32"/>
      <c r="X188" s="32"/>
    </row>
    <row r="189">
      <c r="A189" s="32" t="str">
        <f>IFERROR(__xludf.DUMMYFUNCTION("""COMPUTED_VALUE"""),"Soul Dragon")</f>
        <v>Soul Dragon</v>
      </c>
      <c r="B189" s="35" t="str">
        <f>IFERROR(__xludf.DUMMYFUNCTION("""COMPUTED_VALUE"""),"1-5")</f>
        <v>1-5</v>
      </c>
      <c r="C189" s="5" t="str">
        <f>IFERROR(__xludf.DUMMYFUNCTION("""COMPUTED_VALUE"""),"Soul")</f>
        <v>Soul</v>
      </c>
      <c r="D189" s="35" t="str">
        <f>IFERROR(__xludf.DUMMYFUNCTION("""COMPUTED_VALUE"""),"6-10")</f>
        <v>6-10</v>
      </c>
      <c r="E189" s="5" t="str">
        <f>IFERROR(__xludf.DUMMYFUNCTION("""COMPUTED_VALUE"""),"Draconic Scythe")</f>
        <v>Draconic Scythe</v>
      </c>
      <c r="F189" s="35" t="str">
        <f>IFERROR(__xludf.DUMMYFUNCTION("""COMPUTED_VALUE"""),"11-15")</f>
        <v>11-15</v>
      </c>
      <c r="G189" s="5" t="str">
        <f>IFERROR(__xludf.DUMMYFUNCTION("""COMPUTED_VALUE"""),"Soul")</f>
        <v>Soul</v>
      </c>
      <c r="H189" s="35" t="str">
        <f>IFERROR(__xludf.DUMMYFUNCTION("""COMPUTED_VALUE"""),"16-20")</f>
        <v>16-20</v>
      </c>
      <c r="I189" s="5" t="str">
        <f>IFERROR(__xludf.DUMMYFUNCTION("""COMPUTED_VALUE"""),"1,000,000G-20,000,000G")</f>
        <v>1,000,000G-20,000,000G</v>
      </c>
      <c r="J189" s="35" t="str">
        <f>IFERROR(__xludf.DUMMYFUNCTION("""COMPUTED_VALUE"""),"21-25")</f>
        <v>21-25</v>
      </c>
      <c r="K189" s="5" t="str">
        <f>IFERROR(__xludf.DUMMYFUNCTION("""COMPUTED_VALUE"""),"Egg")</f>
        <v>Egg</v>
      </c>
      <c r="L189" s="32"/>
      <c r="M189" s="32"/>
      <c r="N189" s="32"/>
      <c r="O189" s="32"/>
      <c r="P189" s="32"/>
      <c r="Q189" s="32"/>
      <c r="R189" s="32"/>
      <c r="S189" s="32"/>
      <c r="T189" s="32"/>
      <c r="U189" s="32"/>
      <c r="V189" s="32"/>
      <c r="W189" s="32"/>
      <c r="X189" s="32"/>
    </row>
    <row r="190">
      <c r="A190" s="32" t="str">
        <f>IFERROR(__xludf.DUMMYFUNCTION("""COMPUTED_VALUE"""),"Spirit Dragon")</f>
        <v>Spirit Dragon</v>
      </c>
      <c r="B190" s="35" t="str">
        <f>IFERROR(__xludf.DUMMYFUNCTION("""COMPUTED_VALUE"""),"1-5")</f>
        <v>1-5</v>
      </c>
      <c r="C190" s="5" t="str">
        <f>IFERROR(__xludf.DUMMYFUNCTION("""COMPUTED_VALUE"""),"Soul")</f>
        <v>Soul</v>
      </c>
      <c r="D190" s="35" t="str">
        <f>IFERROR(__xludf.DUMMYFUNCTION("""COMPUTED_VALUE"""),"6-10")</f>
        <v>6-10</v>
      </c>
      <c r="E190" s="5" t="str">
        <f>IFERROR(__xludf.DUMMYFUNCTION("""COMPUTED_VALUE"""),"Spirits")</f>
        <v>Spirits</v>
      </c>
      <c r="F190" s="35" t="str">
        <f>IFERROR(__xludf.DUMMYFUNCTION("""COMPUTED_VALUE"""),"11-15")</f>
        <v>11-15</v>
      </c>
      <c r="G190" s="5" t="str">
        <f>IFERROR(__xludf.DUMMYFUNCTION("""COMPUTED_VALUE"""),"Draconic Scythe")</f>
        <v>Draconic Scythe</v>
      </c>
      <c r="H190" s="35" t="str">
        <f>IFERROR(__xludf.DUMMYFUNCTION("""COMPUTED_VALUE"""),"16-20")</f>
        <v>16-20</v>
      </c>
      <c r="I190" s="5" t="str">
        <f>IFERROR(__xludf.DUMMYFUNCTION("""COMPUTED_VALUE"""),"40,000,000G-60,000,000G")</f>
        <v>40,000,000G-60,000,000G</v>
      </c>
      <c r="J190" s="35" t="str">
        <f>IFERROR(__xludf.DUMMYFUNCTION("""COMPUTED_VALUE"""),"21-25")</f>
        <v>21-25</v>
      </c>
      <c r="K190" s="5" t="str">
        <f>IFERROR(__xludf.DUMMYFUNCTION("""COMPUTED_VALUE"""),"Egg")</f>
        <v>Egg</v>
      </c>
      <c r="L190" s="32"/>
      <c r="M190" s="32"/>
      <c r="N190" s="32"/>
      <c r="O190" s="32"/>
      <c r="P190" s="32"/>
      <c r="Q190" s="32"/>
      <c r="R190" s="32"/>
      <c r="S190" s="32"/>
      <c r="T190" s="32"/>
      <c r="U190" s="32"/>
      <c r="V190" s="32"/>
      <c r="W190" s="32"/>
      <c r="X190" s="32"/>
    </row>
    <row r="191">
      <c r="A191" s="32" t="str">
        <f>IFERROR(__xludf.DUMMYFUNCTION("""COMPUTED_VALUE"""),"Spirit Warrior")</f>
        <v>Spirit Warrior</v>
      </c>
      <c r="B191" s="35" t="str">
        <f>IFERROR(__xludf.DUMMYFUNCTION("""COMPUTED_VALUE"""),"1-5")</f>
        <v>1-5</v>
      </c>
      <c r="C191" s="5" t="str">
        <f>IFERROR(__xludf.DUMMYFUNCTION("""COMPUTED_VALUE"""),"Spirits")</f>
        <v>Spirits</v>
      </c>
      <c r="D191" s="35" t="str">
        <f>IFERROR(__xludf.DUMMYFUNCTION("""COMPUTED_VALUE"""),"6-10")</f>
        <v>6-10</v>
      </c>
      <c r="E191" s="5" t="str">
        <f>IFERROR(__xludf.DUMMYFUNCTION("""COMPUTED_VALUE"""),"False Helmet")</f>
        <v>False Helmet</v>
      </c>
      <c r="F191" s="35" t="str">
        <f>IFERROR(__xludf.DUMMYFUNCTION("""COMPUTED_VALUE"""),"11-15")</f>
        <v>11-15</v>
      </c>
      <c r="G191" s="5" t="str">
        <f>IFERROR(__xludf.DUMMYFUNCTION("""COMPUTED_VALUE"""),"20,000G-40,000G")</f>
        <v>20,000G-40,000G</v>
      </c>
      <c r="H191" s="35" t="str">
        <f>IFERROR(__xludf.DUMMYFUNCTION("""COMPUTED_VALUE"""),"16-20")</f>
        <v>16-20</v>
      </c>
      <c r="I191" s="5" t="str">
        <f>IFERROR(__xludf.DUMMYFUNCTION("""COMPUTED_VALUE"""),"Soul")</f>
        <v>Soul</v>
      </c>
      <c r="J191" s="35" t="str">
        <f>IFERROR(__xludf.DUMMYFUNCTION("""COMPUTED_VALUE"""),"21-25")</f>
        <v>21-25</v>
      </c>
      <c r="K191" s="5" t="str">
        <f>IFERROR(__xludf.DUMMYFUNCTION("""COMPUTED_VALUE"""),"Ring o' Neurodivergence and Spirit")</f>
        <v>Ring o' Neurodivergence and Spirit</v>
      </c>
      <c r="L191" s="32"/>
      <c r="M191" s="32"/>
      <c r="N191" s="32"/>
      <c r="O191" s="32"/>
      <c r="P191" s="32"/>
      <c r="Q191" s="32"/>
      <c r="R191" s="32"/>
      <c r="S191" s="32"/>
      <c r="T191" s="32"/>
      <c r="U191" s="32"/>
      <c r="V191" s="32"/>
      <c r="W191" s="32"/>
      <c r="X191" s="32"/>
    </row>
    <row r="192">
      <c r="A192" s="32" t="str">
        <f>IFERROR(__xludf.DUMMYFUNCTION("""COMPUTED_VALUE"""),"Squid (WD)")</f>
        <v>Squid (WD)</v>
      </c>
      <c r="B192" s="35" t="str">
        <f>IFERROR(__xludf.DUMMYFUNCTION("""COMPUTED_VALUE"""),"1-5")</f>
        <v>1-5</v>
      </c>
      <c r="C192" s="5" t="str">
        <f>IFERROR(__xludf.DUMMYFUNCTION("""COMPUTED_VALUE"""),"Squid Ink")</f>
        <v>Squid Ink</v>
      </c>
      <c r="D192" s="35" t="str">
        <f>IFERROR(__xludf.DUMMYFUNCTION("""COMPUTED_VALUE"""),"6-10")</f>
        <v>6-10</v>
      </c>
      <c r="E192" s="5" t="str">
        <f>IFERROR(__xludf.DUMMYFUNCTION("""COMPUTED_VALUE"""),"Potion of Water Breathing")</f>
        <v>Potion of Water Breathing</v>
      </c>
      <c r="F192" s="35" t="str">
        <f>IFERROR(__xludf.DUMMYFUNCTION("""COMPUTED_VALUE"""),"11-15")</f>
        <v>11-15</v>
      </c>
      <c r="G192" s="5" t="str">
        <f>IFERROR(__xludf.DUMMYFUNCTION("""COMPUTED_VALUE"""),"Soul")</f>
        <v>Soul</v>
      </c>
      <c r="H192" s="35" t="str">
        <f>IFERROR(__xludf.DUMMYFUNCTION("""COMPUTED_VALUE"""),"16-20")</f>
        <v>16-20</v>
      </c>
      <c r="I192" s="5" t="str">
        <f>IFERROR(__xludf.DUMMYFUNCTION("""COMPUTED_VALUE"""),"Egg")</f>
        <v>Egg</v>
      </c>
      <c r="J192" s="35" t="str">
        <f>IFERROR(__xludf.DUMMYFUNCTION("""COMPUTED_VALUE"""),"21-25")</f>
        <v>21-25</v>
      </c>
      <c r="K192" s="5" t="str">
        <f>IFERROR(__xludf.DUMMYFUNCTION("""COMPUTED_VALUE"""),"Nothing")</f>
        <v>Nothing</v>
      </c>
      <c r="L192" s="32"/>
      <c r="M192" s="32"/>
      <c r="N192" s="32"/>
      <c r="O192" s="32"/>
      <c r="P192" s="32"/>
      <c r="Q192" s="32"/>
      <c r="R192" s="32"/>
      <c r="S192" s="32"/>
      <c r="T192" s="32"/>
      <c r="U192" s="32"/>
      <c r="V192" s="32"/>
      <c r="W192" s="32"/>
      <c r="X192" s="32"/>
    </row>
    <row r="193">
      <c r="A193" s="32" t="str">
        <f>IFERROR(__xludf.DUMMYFUNCTION("""COMPUTED_VALUE"""),"Squid (WD) (Enhanced)")</f>
        <v>Squid (WD) (Enhanced)</v>
      </c>
      <c r="B193" s="35" t="str">
        <f>IFERROR(__xludf.DUMMYFUNCTION("""COMPUTED_VALUE"""),"1-5")</f>
        <v>1-5</v>
      </c>
      <c r="C193" s="5" t="str">
        <f>IFERROR(__xludf.DUMMYFUNCTION("""COMPUTED_VALUE"""),"Squid Ink")</f>
        <v>Squid Ink</v>
      </c>
      <c r="D193" s="35" t="str">
        <f>IFERROR(__xludf.DUMMYFUNCTION("""COMPUTED_VALUE"""),"6-10")</f>
        <v>6-10</v>
      </c>
      <c r="E193" s="5" t="str">
        <f>IFERROR(__xludf.DUMMYFUNCTION("""COMPUTED_VALUE"""),"Potion of Water Breathing")</f>
        <v>Potion of Water Breathing</v>
      </c>
      <c r="F193" s="35" t="str">
        <f>IFERROR(__xludf.DUMMYFUNCTION("""COMPUTED_VALUE"""),"11-15")</f>
        <v>11-15</v>
      </c>
      <c r="G193" s="5" t="str">
        <f>IFERROR(__xludf.DUMMYFUNCTION("""COMPUTED_VALUE"""),"Soul")</f>
        <v>Soul</v>
      </c>
      <c r="H193" s="35" t="str">
        <f>IFERROR(__xludf.DUMMYFUNCTION("""COMPUTED_VALUE"""),"16-20")</f>
        <v>16-20</v>
      </c>
      <c r="I193" s="5" t="str">
        <f>IFERROR(__xludf.DUMMYFUNCTION("""COMPUTED_VALUE"""),"Egg")</f>
        <v>Egg</v>
      </c>
      <c r="J193" s="35" t="str">
        <f>IFERROR(__xludf.DUMMYFUNCTION("""COMPUTED_VALUE"""),"21-25")</f>
        <v>21-25</v>
      </c>
      <c r="K193" s="5" t="str">
        <f>IFERROR(__xludf.DUMMYFUNCTION("""COMPUTED_VALUE"""),"Nothing")</f>
        <v>Nothing</v>
      </c>
      <c r="L193" s="32"/>
      <c r="M193" s="32"/>
      <c r="N193" s="32"/>
      <c r="O193" s="32"/>
      <c r="P193" s="32"/>
      <c r="Q193" s="32"/>
      <c r="R193" s="32"/>
      <c r="S193" s="32"/>
      <c r="T193" s="32"/>
      <c r="U193" s="32"/>
      <c r="V193" s="32"/>
      <c r="W193" s="32"/>
      <c r="X193" s="32"/>
    </row>
    <row r="194">
      <c r="A194" s="32" t="str">
        <f>IFERROR(__xludf.DUMMYFUNCTION("""COMPUTED_VALUE"""),"Stag")</f>
        <v>Stag</v>
      </c>
      <c r="B194" s="35" t="str">
        <f>IFERROR(__xludf.DUMMYFUNCTION("""COMPUTED_VALUE"""),"1-5")</f>
        <v>1-5</v>
      </c>
      <c r="C194" s="5" t="str">
        <f>IFERROR(__xludf.DUMMYFUNCTION("""COMPUTED_VALUE"""),"Stag Meat")</f>
        <v>Stag Meat</v>
      </c>
      <c r="D194" s="35" t="str">
        <f>IFERROR(__xludf.DUMMYFUNCTION("""COMPUTED_VALUE"""),"6-10")</f>
        <v>6-10</v>
      </c>
      <c r="E194" s="5" t="str">
        <f>IFERROR(__xludf.DUMMYFUNCTION("""COMPUTED_VALUE"""),"Nothing")</f>
        <v>Nothing</v>
      </c>
      <c r="F194" s="35" t="str">
        <f>IFERROR(__xludf.DUMMYFUNCTION("""COMPUTED_VALUE"""),"11-15")</f>
        <v>11-15</v>
      </c>
      <c r="G194" s="5" t="str">
        <f>IFERROR(__xludf.DUMMYFUNCTION("""COMPUTED_VALUE"""),"Stag Meat")</f>
        <v>Stag Meat</v>
      </c>
      <c r="H194" s="35" t="str">
        <f>IFERROR(__xludf.DUMMYFUNCTION("""COMPUTED_VALUE"""),"16-20")</f>
        <v>16-20</v>
      </c>
      <c r="I194" s="5" t="str">
        <f>IFERROR(__xludf.DUMMYFUNCTION("""COMPUTED_VALUE"""),"Soul")</f>
        <v>Soul</v>
      </c>
      <c r="J194" s="35" t="str">
        <f>IFERROR(__xludf.DUMMYFUNCTION("""COMPUTED_VALUE"""),"21-25")</f>
        <v>21-25</v>
      </c>
      <c r="K194" s="5" t="str">
        <f>IFERROR(__xludf.DUMMYFUNCTION("""COMPUTED_VALUE"""),"Nothing")</f>
        <v>Nothing</v>
      </c>
      <c r="L194" s="32"/>
      <c r="M194" s="32"/>
      <c r="N194" s="32"/>
      <c r="O194" s="32"/>
      <c r="P194" s="32"/>
      <c r="Q194" s="32"/>
      <c r="R194" s="32"/>
      <c r="S194" s="32"/>
      <c r="T194" s="32"/>
      <c r="U194" s="32"/>
      <c r="V194" s="32"/>
      <c r="W194" s="32"/>
      <c r="X194" s="32"/>
    </row>
    <row r="195">
      <c r="A195" s="32" t="str">
        <f>IFERROR(__xludf.DUMMYFUNCTION("""COMPUTED_VALUE"""),"Steed")</f>
        <v>Steed</v>
      </c>
      <c r="B195" s="35" t="str">
        <f>IFERROR(__xludf.DUMMYFUNCTION("""COMPUTED_VALUE"""),"1-5")</f>
        <v>1-5</v>
      </c>
      <c r="C195" s="5" t="str">
        <f>IFERROR(__xludf.DUMMYFUNCTION("""COMPUTED_VALUE"""),"Steed Meat")</f>
        <v>Steed Meat</v>
      </c>
      <c r="D195" s="35" t="str">
        <f>IFERROR(__xludf.DUMMYFUNCTION("""COMPUTED_VALUE"""),"6-10")</f>
        <v>6-10</v>
      </c>
      <c r="E195" s="5" t="str">
        <f>IFERROR(__xludf.DUMMYFUNCTION("""COMPUTED_VALUE"""),"Nothing")</f>
        <v>Nothing</v>
      </c>
      <c r="F195" s="35" t="str">
        <f>IFERROR(__xludf.DUMMYFUNCTION("""COMPUTED_VALUE"""),"11-15")</f>
        <v>11-15</v>
      </c>
      <c r="G195" s="5" t="str">
        <f>IFERROR(__xludf.DUMMYFUNCTION("""COMPUTED_VALUE"""),"Steed Meat")</f>
        <v>Steed Meat</v>
      </c>
      <c r="H195" s="35" t="str">
        <f>IFERROR(__xludf.DUMMYFUNCTION("""COMPUTED_VALUE"""),"16-20")</f>
        <v>16-20</v>
      </c>
      <c r="I195" s="5" t="str">
        <f>IFERROR(__xludf.DUMMYFUNCTION("""COMPUTED_VALUE"""),"Soul")</f>
        <v>Soul</v>
      </c>
      <c r="J195" s="35" t="str">
        <f>IFERROR(__xludf.DUMMYFUNCTION("""COMPUTED_VALUE"""),"21-25")</f>
        <v>21-25</v>
      </c>
      <c r="K195" s="5" t="str">
        <f>IFERROR(__xludf.DUMMYFUNCTION("""COMPUTED_VALUE"""),"Nothing")</f>
        <v>Nothing</v>
      </c>
      <c r="L195" s="32"/>
      <c r="M195" s="32"/>
      <c r="N195" s="32"/>
      <c r="O195" s="32"/>
      <c r="P195" s="32"/>
      <c r="Q195" s="32"/>
      <c r="R195" s="32"/>
      <c r="S195" s="32"/>
      <c r="T195" s="32"/>
      <c r="U195" s="32"/>
      <c r="V195" s="32"/>
      <c r="W195" s="32"/>
      <c r="X195" s="32"/>
    </row>
    <row r="196">
      <c r="A196" s="32" t="str">
        <f>IFERROR(__xludf.DUMMYFUNCTION("""COMPUTED_VALUE"""),"Stone Dragon")</f>
        <v>Stone Dragon</v>
      </c>
      <c r="B196" s="35" t="str">
        <f>IFERROR(__xludf.DUMMYFUNCTION("""COMPUTED_VALUE"""),"1-5")</f>
        <v>1-5</v>
      </c>
      <c r="C196" s="5" t="str">
        <f>IFERROR(__xludf.DUMMYFUNCTION("""COMPUTED_VALUE"""),"Soul")</f>
        <v>Soul</v>
      </c>
      <c r="D196" s="35" t="str">
        <f>IFERROR(__xludf.DUMMYFUNCTION("""COMPUTED_VALUE"""),"6-10")</f>
        <v>6-10</v>
      </c>
      <c r="E196" s="5" t="str">
        <f>IFERROR(__xludf.DUMMYFUNCTION("""COMPUTED_VALUE"""),"Stone Small Shield")</f>
        <v>Stone Small Shield</v>
      </c>
      <c r="F196" s="35" t="str">
        <f>IFERROR(__xludf.DUMMYFUNCTION("""COMPUTED_VALUE"""),"11-15")</f>
        <v>11-15</v>
      </c>
      <c r="G196" s="5" t="str">
        <f>IFERROR(__xludf.DUMMYFUNCTION("""COMPUTED_VALUE"""),"Nothing")</f>
        <v>Nothing</v>
      </c>
      <c r="H196" s="35" t="str">
        <f>IFERROR(__xludf.DUMMYFUNCTION("""COMPUTED_VALUE"""),"16-20")</f>
        <v>16-20</v>
      </c>
      <c r="I196" s="5" t="str">
        <f>IFERROR(__xludf.DUMMYFUNCTION("""COMPUTED_VALUE"""),"Nothing")</f>
        <v>Nothing</v>
      </c>
      <c r="J196" s="35" t="str">
        <f>IFERROR(__xludf.DUMMYFUNCTION("""COMPUTED_VALUE"""),"21-25")</f>
        <v>21-25</v>
      </c>
      <c r="K196" s="5" t="str">
        <f>IFERROR(__xludf.DUMMYFUNCTION("""COMPUTED_VALUE"""),"Egg")</f>
        <v>Egg</v>
      </c>
      <c r="L196" s="32"/>
      <c r="M196" s="32"/>
      <c r="N196" s="32"/>
      <c r="O196" s="32"/>
      <c r="P196" s="32"/>
      <c r="Q196" s="32"/>
      <c r="R196" s="32"/>
      <c r="S196" s="32"/>
      <c r="T196" s="32"/>
      <c r="U196" s="32"/>
      <c r="V196" s="32"/>
      <c r="W196" s="32"/>
      <c r="X196" s="32"/>
    </row>
    <row r="197">
      <c r="A197" s="32" t="str">
        <f>IFERROR(__xludf.DUMMYFUNCTION("""COMPUTED_VALUE"""),"Storm Dragon")</f>
        <v>Storm Dragon</v>
      </c>
      <c r="B197" s="35" t="str">
        <f>IFERROR(__xludf.DUMMYFUNCTION("""COMPUTED_VALUE"""),"1-5")</f>
        <v>1-5</v>
      </c>
      <c r="C197" s="5" t="str">
        <f>IFERROR(__xludf.DUMMYFUNCTION("""COMPUTED_VALUE"""),"Soul")</f>
        <v>Soul</v>
      </c>
      <c r="D197" s="35" t="str">
        <f>IFERROR(__xludf.DUMMYFUNCTION("""COMPUTED_VALUE"""),"6-10")</f>
        <v>6-10</v>
      </c>
      <c r="E197" s="5" t="str">
        <f>IFERROR(__xludf.DUMMYFUNCTION("""COMPUTED_VALUE"""),"1,000G-20,000G")</f>
        <v>1,000G-20,000G</v>
      </c>
      <c r="F197" s="35" t="str">
        <f>IFERROR(__xludf.DUMMYFUNCTION("""COMPUTED_VALUE"""),"11-15")</f>
        <v>11-15</v>
      </c>
      <c r="G197" s="5" t="str">
        <f>IFERROR(__xludf.DUMMYFUNCTION("""COMPUTED_VALUE"""),"Nothing")</f>
        <v>Nothing</v>
      </c>
      <c r="H197" s="35" t="str">
        <f>IFERROR(__xludf.DUMMYFUNCTION("""COMPUTED_VALUE"""),"16-20")</f>
        <v>16-20</v>
      </c>
      <c r="I197" s="5" t="str">
        <f>IFERROR(__xludf.DUMMYFUNCTION("""COMPUTED_VALUE"""),"Rank 9 Storm Tome")</f>
        <v>Rank 9 Storm Tome</v>
      </c>
      <c r="J197" s="35" t="str">
        <f>IFERROR(__xludf.DUMMYFUNCTION("""COMPUTED_VALUE"""),"21-25")</f>
        <v>21-25</v>
      </c>
      <c r="K197" s="5" t="str">
        <f>IFERROR(__xludf.DUMMYFUNCTION("""COMPUTED_VALUE"""),"Egg")</f>
        <v>Egg</v>
      </c>
      <c r="L197" s="32"/>
      <c r="M197" s="32"/>
      <c r="N197" s="32"/>
      <c r="O197" s="32"/>
      <c r="P197" s="32"/>
      <c r="Q197" s="32"/>
      <c r="R197" s="32"/>
      <c r="S197" s="32"/>
      <c r="T197" s="32"/>
      <c r="U197" s="32"/>
      <c r="V197" s="32"/>
      <c r="W197" s="32"/>
      <c r="X197" s="32"/>
    </row>
    <row r="198">
      <c r="A198" s="32" t="str">
        <f>IFERROR(__xludf.DUMMYFUNCTION("""COMPUTED_VALUE"""),"Swamp Dragon")</f>
        <v>Swamp Dragon</v>
      </c>
      <c r="B198" s="35" t="str">
        <f>IFERROR(__xludf.DUMMYFUNCTION("""COMPUTED_VALUE"""),"1-5")</f>
        <v>1-5</v>
      </c>
      <c r="C198" s="5" t="str">
        <f>IFERROR(__xludf.DUMMYFUNCTION("""COMPUTED_VALUE"""),"Soul")</f>
        <v>Soul</v>
      </c>
      <c r="D198" s="35" t="str">
        <f>IFERROR(__xludf.DUMMYFUNCTION("""COMPUTED_VALUE"""),"6-10")</f>
        <v>6-10</v>
      </c>
      <c r="E198" s="5" t="str">
        <f>IFERROR(__xludf.DUMMYFUNCTION("""COMPUTED_VALUE"""),"Swampy Seaweed")</f>
        <v>Swampy Seaweed</v>
      </c>
      <c r="F198" s="35" t="str">
        <f>IFERROR(__xludf.DUMMYFUNCTION("""COMPUTED_VALUE"""),"11-15")</f>
        <v>11-15</v>
      </c>
      <c r="G198" s="5" t="str">
        <f>IFERROR(__xludf.DUMMYFUNCTION("""COMPUTED_VALUE"""),"40,000,000G-60,000,000G")</f>
        <v>40,000,000G-60,000,000G</v>
      </c>
      <c r="H198" s="35" t="str">
        <f>IFERROR(__xludf.DUMMYFUNCTION("""COMPUTED_VALUE"""),"16-20")</f>
        <v>16-20</v>
      </c>
      <c r="I198" s="5" t="str">
        <f>IFERROR(__xludf.DUMMYFUNCTION("""COMPUTED_VALUE"""),"Nothing")</f>
        <v>Nothing</v>
      </c>
      <c r="J198" s="35" t="str">
        <f>IFERROR(__xludf.DUMMYFUNCTION("""COMPUTED_VALUE"""),"21-25")</f>
        <v>21-25</v>
      </c>
      <c r="K198" s="5" t="str">
        <f>IFERROR(__xludf.DUMMYFUNCTION("""COMPUTED_VALUE"""),"Egg")</f>
        <v>Egg</v>
      </c>
      <c r="L198" s="32"/>
      <c r="M198" s="32"/>
      <c r="N198" s="32"/>
      <c r="O198" s="32"/>
      <c r="P198" s="32"/>
      <c r="Q198" s="32"/>
      <c r="R198" s="32"/>
      <c r="S198" s="32"/>
      <c r="T198" s="32"/>
      <c r="U198" s="32"/>
      <c r="V198" s="32"/>
      <c r="W198" s="32"/>
      <c r="X198" s="32"/>
    </row>
    <row r="199">
      <c r="A199" s="32" t="str">
        <f>IFERROR(__xludf.DUMMYFUNCTION("""COMPUTED_VALUE"""),"Swamp Portal Guard")</f>
        <v>Swamp Portal Guard</v>
      </c>
      <c r="B199" s="35" t="str">
        <f>IFERROR(__xludf.DUMMYFUNCTION("""COMPUTED_VALUE"""),"1-5")</f>
        <v>1-5</v>
      </c>
      <c r="C199" s="5" t="str">
        <f>IFERROR(__xludf.DUMMYFUNCTION("""COMPUTED_VALUE"""),"Poison Vine Sword")</f>
        <v>Poison Vine Sword</v>
      </c>
      <c r="D199" s="35" t="str">
        <f>IFERROR(__xludf.DUMMYFUNCTION("""COMPUTED_VALUE"""),"6-10")</f>
        <v>6-10</v>
      </c>
      <c r="E199" s="5" t="str">
        <f>IFERROR(__xludf.DUMMYFUNCTION("""COMPUTED_VALUE"""),"Nothing")</f>
        <v>Nothing</v>
      </c>
      <c r="F199" s="35" t="str">
        <f>IFERROR(__xludf.DUMMYFUNCTION("""COMPUTED_VALUE"""),"11-15")</f>
        <v>11-15</v>
      </c>
      <c r="G199" s="5" t="str">
        <f>IFERROR(__xludf.DUMMYFUNCTION("""COMPUTED_VALUE"""),"Poison mushroom")</f>
        <v>Poison mushroom</v>
      </c>
      <c r="H199" s="35" t="str">
        <f>IFERROR(__xludf.DUMMYFUNCTION("""COMPUTED_VALUE"""),"16-20")</f>
        <v>16-20</v>
      </c>
      <c r="I199" s="5" t="str">
        <f>IFERROR(__xludf.DUMMYFUNCTION("""COMPUTED_VALUE"""),"Poison Gem")</f>
        <v>Poison Gem</v>
      </c>
      <c r="J199" s="35" t="str">
        <f>IFERROR(__xludf.DUMMYFUNCTION("""COMPUTED_VALUE"""),"21-25")</f>
        <v>21-25</v>
      </c>
      <c r="K199" s="5" t="str">
        <f>IFERROR(__xludf.DUMMYFUNCTION("""COMPUTED_VALUE"""),"Soul")</f>
        <v>Soul</v>
      </c>
      <c r="L199" s="32"/>
      <c r="M199" s="32"/>
      <c r="N199" s="32"/>
      <c r="O199" s="32"/>
      <c r="P199" s="32"/>
      <c r="Q199" s="32"/>
      <c r="R199" s="32"/>
      <c r="S199" s="32"/>
      <c r="T199" s="32"/>
      <c r="U199" s="32"/>
      <c r="V199" s="32"/>
      <c r="W199" s="32"/>
      <c r="X199" s="32"/>
    </row>
    <row r="200">
      <c r="A200" s="32" t="str">
        <f>IFERROR(__xludf.DUMMYFUNCTION("""COMPUTED_VALUE"""),"The Ancient Colossal Dragon of Spira")</f>
        <v>The Ancient Colossal Dragon of Spira</v>
      </c>
      <c r="B200" s="35" t="str">
        <f>IFERROR(__xludf.DUMMYFUNCTION("""COMPUTED_VALUE"""),"1-5")</f>
        <v>1-5</v>
      </c>
      <c r="C200" s="5" t="str">
        <f>IFERROR(__xludf.DUMMYFUNCTION("""COMPUTED_VALUE"""),"Soul")</f>
        <v>Soul</v>
      </c>
      <c r="D200" s="35" t="str">
        <f>IFERROR(__xludf.DUMMYFUNCTION("""COMPUTED_VALUE"""),"6-10")</f>
        <v>6-10</v>
      </c>
      <c r="E200" s="5" t="str">
        <f>IFERROR(__xludf.DUMMYFUNCTION("""COMPUTED_VALUE"""),"100,000,000G-500,000,000G")</f>
        <v>100,000,000G-500,000,000G</v>
      </c>
      <c r="F200" s="35" t="str">
        <f>IFERROR(__xludf.DUMMYFUNCTION("""COMPUTED_VALUE"""),"11-15")</f>
        <v>11-15</v>
      </c>
      <c r="G200" s="5" t="str">
        <f>IFERROR(__xludf.DUMMYFUNCTION("""COMPUTED_VALUE"""),"Dragon Orb")</f>
        <v>Dragon Orb</v>
      </c>
      <c r="H200" s="35" t="str">
        <f>IFERROR(__xludf.DUMMYFUNCTION("""COMPUTED_VALUE"""),"16-20")</f>
        <v>16-20</v>
      </c>
      <c r="I200" s="5" t="str">
        <f>IFERROR(__xludf.DUMMYFUNCTION("""COMPUTED_VALUE"""),"Nothing")</f>
        <v>Nothing</v>
      </c>
      <c r="J200" s="35" t="str">
        <f>IFERROR(__xludf.DUMMYFUNCTION("""COMPUTED_VALUE"""),"21-25")</f>
        <v>21-25</v>
      </c>
      <c r="K200" s="5" t="str">
        <f>IFERROR(__xludf.DUMMYFUNCTION("""COMPUTED_VALUE"""),"Nothing")</f>
        <v>Nothing</v>
      </c>
      <c r="L200" s="32"/>
      <c r="M200" s="32"/>
      <c r="N200" s="32"/>
      <c r="O200" s="32"/>
      <c r="P200" s="32"/>
      <c r="Q200" s="32"/>
      <c r="R200" s="32"/>
      <c r="S200" s="32"/>
      <c r="T200" s="32"/>
      <c r="U200" s="32"/>
      <c r="V200" s="32"/>
      <c r="W200" s="32"/>
      <c r="X200" s="32"/>
    </row>
    <row r="201">
      <c r="A201" s="32" t="str">
        <f>IFERROR(__xludf.DUMMYFUNCTION("""COMPUTED_VALUE"""),"The Black Demon")</f>
        <v>The Black Demon</v>
      </c>
      <c r="B201" s="35" t="str">
        <f>IFERROR(__xludf.DUMMYFUNCTION("""COMPUTED_VALUE"""),"1-5")</f>
        <v>1-5</v>
      </c>
      <c r="C201" s="5" t="str">
        <f>IFERROR(__xludf.DUMMYFUNCTION("""COMPUTED_VALUE"""),"Black Sludge")</f>
        <v>Black Sludge</v>
      </c>
      <c r="D201" s="35" t="str">
        <f>IFERROR(__xludf.DUMMYFUNCTION("""COMPUTED_VALUE"""),"6-10")</f>
        <v>6-10</v>
      </c>
      <c r="E201" s="5" t="str">
        <f>IFERROR(__xludf.DUMMYFUNCTION("""COMPUTED_VALUE"""),"Soul")</f>
        <v>Soul</v>
      </c>
      <c r="F201" s="35" t="str">
        <f>IFERROR(__xludf.DUMMYFUNCTION("""COMPUTED_VALUE"""),"11-15")</f>
        <v>11-15</v>
      </c>
      <c r="G201" s="5" t="str">
        <f>IFERROR(__xludf.DUMMYFUNCTION("""COMPUTED_VALUE"""),"Demon Core")</f>
        <v>Demon Core</v>
      </c>
      <c r="H201" s="35" t="str">
        <f>IFERROR(__xludf.DUMMYFUNCTION("""COMPUTED_VALUE"""),"16-20")</f>
        <v>16-20</v>
      </c>
      <c r="I201" s="5" t="str">
        <f>IFERROR(__xludf.DUMMYFUNCTION("""COMPUTED_VALUE"""),"Nothing")</f>
        <v>Nothing</v>
      </c>
      <c r="J201" s="35" t="str">
        <f>IFERROR(__xludf.DUMMYFUNCTION("""COMPUTED_VALUE"""),"21-25")</f>
        <v>21-25</v>
      </c>
      <c r="K201" s="5" t="str">
        <f>IFERROR(__xludf.DUMMYFUNCTION("""COMPUTED_VALUE"""),"Nothing")</f>
        <v>Nothing</v>
      </c>
      <c r="L201" s="32"/>
      <c r="M201" s="32"/>
      <c r="N201" s="32"/>
      <c r="O201" s="32"/>
      <c r="P201" s="32"/>
      <c r="Q201" s="32"/>
      <c r="R201" s="32"/>
      <c r="S201" s="32"/>
      <c r="T201" s="32"/>
      <c r="U201" s="32"/>
      <c r="V201" s="32"/>
      <c r="W201" s="32"/>
      <c r="X201" s="32"/>
    </row>
    <row r="202">
      <c r="A202" s="32" t="str">
        <f>IFERROR(__xludf.DUMMYFUNCTION("""COMPUTED_VALUE"""),"The Clown King")</f>
        <v>The Clown King</v>
      </c>
      <c r="B202" s="35" t="str">
        <f>IFERROR(__xludf.DUMMYFUNCTION("""COMPUTED_VALUE"""),"1-5")</f>
        <v>1-5</v>
      </c>
      <c r="C202" s="5"/>
      <c r="D202" s="35" t="str">
        <f>IFERROR(__xludf.DUMMYFUNCTION("""COMPUTED_VALUE"""),"6-10")</f>
        <v>6-10</v>
      </c>
      <c r="E202" s="5"/>
      <c r="F202" s="35" t="str">
        <f>IFERROR(__xludf.DUMMYFUNCTION("""COMPUTED_VALUE"""),"11-15")</f>
        <v>11-15</v>
      </c>
      <c r="G202" s="5"/>
      <c r="H202" s="35" t="str">
        <f>IFERROR(__xludf.DUMMYFUNCTION("""COMPUTED_VALUE"""),"16-20")</f>
        <v>16-20</v>
      </c>
      <c r="I202" s="5"/>
      <c r="J202" s="35" t="str">
        <f>IFERROR(__xludf.DUMMYFUNCTION("""COMPUTED_VALUE"""),"21-25")</f>
        <v>21-25</v>
      </c>
      <c r="K202" s="5" t="str">
        <f>IFERROR(__xludf.DUMMYFUNCTION("""COMPUTED_VALUE"""),"Soul")</f>
        <v>Soul</v>
      </c>
      <c r="L202" s="32"/>
      <c r="M202" s="32"/>
      <c r="N202" s="32"/>
      <c r="O202" s="32"/>
      <c r="P202" s="32"/>
      <c r="Q202" s="32"/>
      <c r="R202" s="32"/>
      <c r="S202" s="32"/>
      <c r="T202" s="32"/>
      <c r="U202" s="32"/>
      <c r="V202" s="32"/>
      <c r="W202" s="32"/>
      <c r="X202" s="32"/>
    </row>
    <row r="203">
      <c r="A203" s="32" t="str">
        <f>IFERROR(__xludf.DUMMYFUNCTION("""COMPUTED_VALUE"""),"The Cursed Kraken")</f>
        <v>The Cursed Kraken</v>
      </c>
      <c r="B203" s="35" t="str">
        <f>IFERROR(__xludf.DUMMYFUNCTION("""COMPUTED_VALUE"""),"1-5")</f>
        <v>1-5</v>
      </c>
      <c r="C203" s="5" t="str">
        <f>IFERROR(__xludf.DUMMYFUNCTION("""COMPUTED_VALUE"""),"Krakens Power Ring")</f>
        <v>Krakens Power Ring</v>
      </c>
      <c r="D203" s="35" t="str">
        <f>IFERROR(__xludf.DUMMYFUNCTION("""COMPUTED_VALUE"""),"6-10")</f>
        <v>6-10</v>
      </c>
      <c r="E203" s="5" t="str">
        <f>IFERROR(__xludf.DUMMYFUNCTION("""COMPUTED_VALUE"""),"Aqua Robe")</f>
        <v>Aqua Robe</v>
      </c>
      <c r="F203" s="35" t="str">
        <f>IFERROR(__xludf.DUMMYFUNCTION("""COMPUTED_VALUE"""),"11-15")</f>
        <v>11-15</v>
      </c>
      <c r="G203" s="5" t="str">
        <f>IFERROR(__xludf.DUMMYFUNCTION("""COMPUTED_VALUE"""),"Nothing")</f>
        <v>Nothing</v>
      </c>
      <c r="H203" s="35" t="str">
        <f>IFERROR(__xludf.DUMMYFUNCTION("""COMPUTED_VALUE"""),"16-20")</f>
        <v>16-20</v>
      </c>
      <c r="I203" s="5" t="str">
        <f>IFERROR(__xludf.DUMMYFUNCTION("""COMPUTED_VALUE"""),"Nothing")</f>
        <v>Nothing</v>
      </c>
      <c r="J203" s="35" t="str">
        <f>IFERROR(__xludf.DUMMYFUNCTION("""COMPUTED_VALUE"""),"21-25")</f>
        <v>21-25</v>
      </c>
      <c r="K203" s="5" t="str">
        <f>IFERROR(__xludf.DUMMYFUNCTION("""COMPUTED_VALUE"""),"Soul")</f>
        <v>Soul</v>
      </c>
      <c r="L203" s="32"/>
      <c r="M203" s="32"/>
      <c r="N203" s="32"/>
      <c r="O203" s="32"/>
      <c r="P203" s="32"/>
      <c r="Q203" s="32"/>
      <c r="R203" s="32"/>
      <c r="S203" s="32"/>
      <c r="T203" s="32"/>
      <c r="U203" s="32"/>
      <c r="V203" s="32"/>
      <c r="W203" s="32"/>
      <c r="X203" s="32"/>
    </row>
    <row r="204">
      <c r="A204" s="32" t="str">
        <f>IFERROR(__xludf.DUMMYFUNCTION("""COMPUTED_VALUE"""),"The God Of Birch")</f>
        <v>The God Of Birch</v>
      </c>
      <c r="B204" s="35" t="str">
        <f>IFERROR(__xludf.DUMMYFUNCTION("""COMPUTED_VALUE"""),"1-5")</f>
        <v>1-5</v>
      </c>
      <c r="C204" s="5" t="str">
        <f>IFERROR(__xludf.DUMMYFUNCTION("""COMPUTED_VALUE"""),"Sturdy wooden shield")</f>
        <v>Sturdy wooden shield</v>
      </c>
      <c r="D204" s="35" t="str">
        <f>IFERROR(__xludf.DUMMYFUNCTION("""COMPUTED_VALUE"""),"6-10")</f>
        <v>6-10</v>
      </c>
      <c r="E204" s="5" t="str">
        <f>IFERROR(__xludf.DUMMYFUNCTION("""COMPUTED_VALUE"""),"Soul")</f>
        <v>Soul</v>
      </c>
      <c r="F204" s="35" t="str">
        <f>IFERROR(__xludf.DUMMYFUNCTION("""COMPUTED_VALUE"""),"11-15")</f>
        <v>11-15</v>
      </c>
      <c r="G204" s="5" t="str">
        <f>IFERROR(__xludf.DUMMYFUNCTION("""COMPUTED_VALUE"""),"Nothing")</f>
        <v>Nothing</v>
      </c>
      <c r="H204" s="35" t="str">
        <f>IFERROR(__xludf.DUMMYFUNCTION("""COMPUTED_VALUE"""),"16-20")</f>
        <v>16-20</v>
      </c>
      <c r="I204" s="5" t="str">
        <f>IFERROR(__xludf.DUMMYFUNCTION("""COMPUTED_VALUE"""),"100,000,000G-500,000,000G")</f>
        <v>100,000,000G-500,000,000G</v>
      </c>
      <c r="J204" s="35" t="str">
        <f>IFERROR(__xludf.DUMMYFUNCTION("""COMPUTED_VALUE"""),"21-25")</f>
        <v>21-25</v>
      </c>
      <c r="K204" s="5" t="str">
        <f>IFERROR(__xludf.DUMMYFUNCTION("""COMPUTED_VALUE"""),"Nothing")</f>
        <v>Nothing</v>
      </c>
      <c r="L204" s="32"/>
      <c r="M204" s="32"/>
      <c r="N204" s="32"/>
      <c r="O204" s="32"/>
      <c r="P204" s="32"/>
      <c r="Q204" s="32"/>
      <c r="R204" s="32"/>
      <c r="S204" s="32"/>
      <c r="T204" s="32"/>
      <c r="U204" s="32"/>
      <c r="V204" s="32"/>
      <c r="W204" s="32"/>
      <c r="X204" s="32"/>
    </row>
    <row r="205">
      <c r="A205" s="32" t="str">
        <f>IFERROR(__xludf.DUMMYFUNCTION("""COMPUTED_VALUE"""),"The Grim Reaper")</f>
        <v>The Grim Reaper</v>
      </c>
      <c r="B205" s="35" t="str">
        <f>IFERROR(__xludf.DUMMYFUNCTION("""COMPUTED_VALUE"""),"1-5")</f>
        <v>1-5</v>
      </c>
      <c r="C205" s="5" t="str">
        <f>IFERROR(__xludf.DUMMYFUNCTION("""COMPUTED_VALUE"""),"Soul")</f>
        <v>Soul</v>
      </c>
      <c r="D205" s="35" t="str">
        <f>IFERROR(__xludf.DUMMYFUNCTION("""COMPUTED_VALUE"""),"6-10")</f>
        <v>6-10</v>
      </c>
      <c r="E205" s="5" t="str">
        <f>IFERROR(__xludf.DUMMYFUNCTION("""COMPUTED_VALUE"""),"Soul")</f>
        <v>Soul</v>
      </c>
      <c r="F205" s="35" t="str">
        <f>IFERROR(__xludf.DUMMYFUNCTION("""COMPUTED_VALUE"""),"11-15")</f>
        <v>11-15</v>
      </c>
      <c r="G205" s="5" t="str">
        <f>IFERROR(__xludf.DUMMYFUNCTION("""COMPUTED_VALUE"""),"Death's Scythe")</f>
        <v>Death's Scythe</v>
      </c>
      <c r="H205" s="35" t="str">
        <f>IFERROR(__xludf.DUMMYFUNCTION("""COMPUTED_VALUE"""),"16-20")</f>
        <v>16-20</v>
      </c>
      <c r="I205" s="5" t="str">
        <f>IFERROR(__xludf.DUMMYFUNCTION("""COMPUTED_VALUE"""),"Soul")</f>
        <v>Soul</v>
      </c>
      <c r="J205" s="35" t="str">
        <f>IFERROR(__xludf.DUMMYFUNCTION("""COMPUTED_VALUE"""),"21-25")</f>
        <v>21-25</v>
      </c>
      <c r="K205" s="5" t="str">
        <f>IFERROR(__xludf.DUMMYFUNCTION("""COMPUTED_VALUE"""),"Soul")</f>
        <v>Soul</v>
      </c>
      <c r="L205" s="32"/>
      <c r="M205" s="32"/>
      <c r="N205" s="32"/>
      <c r="O205" s="32"/>
      <c r="P205" s="32"/>
      <c r="Q205" s="32"/>
      <c r="R205" s="32"/>
      <c r="S205" s="32"/>
      <c r="T205" s="32"/>
      <c r="U205" s="32"/>
      <c r="V205" s="32"/>
      <c r="W205" s="32"/>
      <c r="X205" s="32"/>
    </row>
    <row r="206">
      <c r="A206" s="32" t="str">
        <f>IFERROR(__xludf.DUMMYFUNCTION("""COMPUTED_VALUE"""),"The Guardian Of Death")</f>
        <v>The Guardian Of Death</v>
      </c>
      <c r="B206" s="35" t="str">
        <f>IFERROR(__xludf.DUMMYFUNCTION("""COMPUTED_VALUE"""),"1-5")</f>
        <v>1-5</v>
      </c>
      <c r="C206" s="5" t="str">
        <f>IFERROR(__xludf.DUMMYFUNCTION("""COMPUTED_VALUE"""),"The Sword Of Death")</f>
        <v>The Sword Of Death</v>
      </c>
      <c r="D206" s="35" t="str">
        <f>IFERROR(__xludf.DUMMYFUNCTION("""COMPUTED_VALUE"""),"6-10")</f>
        <v>6-10</v>
      </c>
      <c r="E206" s="5" t="str">
        <f>IFERROR(__xludf.DUMMYFUNCTION("""COMPUTED_VALUE"""),"Soul")</f>
        <v>Soul</v>
      </c>
      <c r="F206" s="35" t="str">
        <f>IFERROR(__xludf.DUMMYFUNCTION("""COMPUTED_VALUE"""),"11-15")</f>
        <v>11-15</v>
      </c>
      <c r="G206" s="5" t="str">
        <f>IFERROR(__xludf.DUMMYFUNCTION("""COMPUTED_VALUE"""),"Void sword")</f>
        <v>Void sword</v>
      </c>
      <c r="H206" s="35" t="str">
        <f>IFERROR(__xludf.DUMMYFUNCTION("""COMPUTED_VALUE"""),"16-20")</f>
        <v>16-20</v>
      </c>
      <c r="I206" s="5" t="str">
        <f>IFERROR(__xludf.DUMMYFUNCTION("""COMPUTED_VALUE"""),"Nothing")</f>
        <v>Nothing</v>
      </c>
      <c r="J206" s="35" t="str">
        <f>IFERROR(__xludf.DUMMYFUNCTION("""COMPUTED_VALUE"""),"21-25")</f>
        <v>21-25</v>
      </c>
      <c r="K206" s="5" t="str">
        <f>IFERROR(__xludf.DUMMYFUNCTION("""COMPUTED_VALUE"""),"Nothing")</f>
        <v>Nothing</v>
      </c>
      <c r="L206" s="32"/>
      <c r="M206" s="32"/>
      <c r="N206" s="32"/>
      <c r="O206" s="32"/>
      <c r="P206" s="32"/>
      <c r="Q206" s="32"/>
      <c r="R206" s="32"/>
      <c r="S206" s="32"/>
      <c r="T206" s="32"/>
      <c r="U206" s="32"/>
      <c r="V206" s="32"/>
      <c r="W206" s="32"/>
      <c r="X206" s="32"/>
    </row>
    <row r="207">
      <c r="A207" s="32" t="str">
        <f>IFERROR(__xludf.DUMMYFUNCTION("""COMPUTED_VALUE"""),"The Guardian Of The Mystic Well")</f>
        <v>The Guardian Of The Mystic Well</v>
      </c>
      <c r="B207" s="35" t="str">
        <f>IFERROR(__xludf.DUMMYFUNCTION("""COMPUTED_VALUE"""),"1-15")</f>
        <v>1-15</v>
      </c>
      <c r="C207" s="5" t="str">
        <f>IFERROR(__xludf.DUMMYFUNCTION("""COMPUTED_VALUE"""),"Water Tome Rank 9")</f>
        <v>Water Tome Rank 9</v>
      </c>
      <c r="D207" s="35" t="str">
        <f>IFERROR(__xludf.DUMMYFUNCTION("""COMPUTED_VALUE"""),"6-10")</f>
        <v>6-10</v>
      </c>
      <c r="E207" s="5" t="str">
        <f>IFERROR(__xludf.DUMMYFUNCTION("""COMPUTED_VALUE"""),"Nothing")</f>
        <v>Nothing</v>
      </c>
      <c r="F207" s="35" t="str">
        <f>IFERROR(__xludf.DUMMYFUNCTION("""COMPUTED_VALUE"""),"11-15")</f>
        <v>11-15</v>
      </c>
      <c r="G207" s="5" t="str">
        <f>IFERROR(__xludf.DUMMYFUNCTION("""COMPUTED_VALUE"""),"Nothing")</f>
        <v>Nothing</v>
      </c>
      <c r="H207" s="35" t="str">
        <f>IFERROR(__xludf.DUMMYFUNCTION("""COMPUTED_VALUE"""),"16-20")</f>
        <v>16-20</v>
      </c>
      <c r="I207" s="5" t="str">
        <f>IFERROR(__xludf.DUMMYFUNCTION("""COMPUTED_VALUE"""),"20,000G-40,000G")</f>
        <v>20,000G-40,000G</v>
      </c>
      <c r="J207" s="35" t="str">
        <f>IFERROR(__xludf.DUMMYFUNCTION("""COMPUTED_VALUE"""),"21-25")</f>
        <v>21-25</v>
      </c>
      <c r="K207" s="5" t="str">
        <f>IFERROR(__xludf.DUMMYFUNCTION("""COMPUTED_VALUE"""),"Soul")</f>
        <v>Soul</v>
      </c>
      <c r="L207" s="32"/>
      <c r="M207" s="32"/>
      <c r="N207" s="32"/>
      <c r="O207" s="32"/>
      <c r="P207" s="32"/>
      <c r="Q207" s="32"/>
      <c r="R207" s="32"/>
      <c r="S207" s="32"/>
      <c r="T207" s="32"/>
      <c r="U207" s="32"/>
      <c r="V207" s="32"/>
      <c r="W207" s="32"/>
      <c r="X207" s="32"/>
    </row>
    <row r="208">
      <c r="A208" s="3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08" s="35" t="str">
        <f>IFERROR(__xludf.DUMMYFUNCTION("""COMPUTED_VALUE"""),"1-5")</f>
        <v>1-5</v>
      </c>
      <c r="C208" s="5" t="str">
        <f>IFERROR(__xludf.DUMMYFUNCTION("""COMPUTED_VALUE"""),"Nothing")</f>
        <v>Nothing</v>
      </c>
      <c r="D208" s="35" t="str">
        <f>IFERROR(__xludf.DUMMYFUNCTION("""COMPUTED_VALUE"""),"6-10")</f>
        <v>6-10</v>
      </c>
      <c r="E208" s="5" t="str">
        <f>IFERROR(__xludf.DUMMYFUNCTION("""COMPUTED_VALUE"""),"Nothing")</f>
        <v>Nothing</v>
      </c>
      <c r="F208" s="35" t="str">
        <f>IFERROR(__xludf.DUMMYFUNCTION("""COMPUTED_VALUE"""),"11-15")</f>
        <v>11-15</v>
      </c>
      <c r="G208" s="5" t="str">
        <f>IFERROR(__xludf.DUMMYFUNCTION("""COMPUTED_VALUE"""),"Soul")</f>
        <v>Soul</v>
      </c>
      <c r="H208" s="35" t="str">
        <f>IFERROR(__xludf.DUMMYFUNCTION("""COMPUTED_VALUE"""),"16-20")</f>
        <v>16-20</v>
      </c>
      <c r="I208" s="5" t="str">
        <f>IFERROR(__xludf.DUMMYFUNCTION("""COMPUTED_VALUE"""),"Nothing")</f>
        <v>Nothing</v>
      </c>
      <c r="J208" s="35" t="str">
        <f>IFERROR(__xludf.DUMMYFUNCTION("""COMPUTED_VALUE"""),"21-25")</f>
        <v>21-25</v>
      </c>
      <c r="K208" s="5" t="str">
        <f>IFERROR(__xludf.DUMMYFUNCTION("""COMPUTED_VALUE"""),"Nothing")</f>
        <v>Nothing</v>
      </c>
      <c r="L208" s="32"/>
      <c r="M208" s="32"/>
      <c r="N208" s="32"/>
      <c r="O208" s="32"/>
      <c r="P208" s="32"/>
      <c r="Q208" s="32"/>
      <c r="R208" s="32"/>
      <c r="S208" s="32"/>
      <c r="T208" s="32"/>
      <c r="U208" s="32"/>
      <c r="V208" s="32"/>
      <c r="W208" s="32"/>
      <c r="X208" s="32"/>
    </row>
    <row r="209">
      <c r="A209" s="32" t="str">
        <f>IFERROR(__xludf.DUMMYFUNCTION("""COMPUTED_VALUE"""),"The Horseman Of Lord Dreadful No. 2 This enemy will appear alongside The Horseman Of Lord Dreadful No. 1")</f>
        <v>The Horseman Of Lord Dreadful No. 2 This enemy will appear alongside The Horseman Of Lord Dreadful No. 1</v>
      </c>
      <c r="B209" s="35" t="str">
        <f>IFERROR(__xludf.DUMMYFUNCTION("""COMPUTED_VALUE"""),"1-5")</f>
        <v>1-5</v>
      </c>
      <c r="C209" s="5" t="str">
        <f>IFERROR(__xludf.DUMMYFUNCTION("""COMPUTED_VALUE"""),"Nothing")</f>
        <v>Nothing</v>
      </c>
      <c r="D209" s="35" t="str">
        <f>IFERROR(__xludf.DUMMYFUNCTION("""COMPUTED_VALUE"""),"6-10")</f>
        <v>6-10</v>
      </c>
      <c r="E209" s="5" t="str">
        <f>IFERROR(__xludf.DUMMYFUNCTION("""COMPUTED_VALUE"""),"Nothing")</f>
        <v>Nothing</v>
      </c>
      <c r="F209" s="35" t="str">
        <f>IFERROR(__xludf.DUMMYFUNCTION("""COMPUTED_VALUE"""),"11-15")</f>
        <v>11-15</v>
      </c>
      <c r="G209" s="5" t="str">
        <f>IFERROR(__xludf.DUMMYFUNCTION("""COMPUTED_VALUE"""),"Soul")</f>
        <v>Soul</v>
      </c>
      <c r="H209" s="35" t="str">
        <f>IFERROR(__xludf.DUMMYFUNCTION("""COMPUTED_VALUE"""),"16-20")</f>
        <v>16-20</v>
      </c>
      <c r="I209" s="5" t="str">
        <f>IFERROR(__xludf.DUMMYFUNCTION("""COMPUTED_VALUE"""),"Nothing")</f>
        <v>Nothing</v>
      </c>
      <c r="J209" s="35" t="str">
        <f>IFERROR(__xludf.DUMMYFUNCTION("""COMPUTED_VALUE"""),"21-25")</f>
        <v>21-25</v>
      </c>
      <c r="K209" s="5" t="str">
        <f>IFERROR(__xludf.DUMMYFUNCTION("""COMPUTED_VALUE"""),"Nothing")</f>
        <v>Nothing</v>
      </c>
      <c r="L209" s="32"/>
      <c r="M209" s="32"/>
      <c r="N209" s="32"/>
      <c r="O209" s="32"/>
      <c r="P209" s="32"/>
      <c r="Q209" s="32"/>
      <c r="R209" s="32"/>
      <c r="S209" s="32"/>
      <c r="T209" s="32"/>
      <c r="U209" s="32"/>
      <c r="V209" s="32"/>
      <c r="W209" s="32"/>
      <c r="X209" s="32"/>
    </row>
    <row r="210">
      <c r="A210" s="32" t="str">
        <f>IFERROR(__xludf.DUMMYFUNCTION("""COMPUTED_VALUE"""),"The Kraken")</f>
        <v>The Kraken</v>
      </c>
      <c r="B210" s="35" t="str">
        <f>IFERROR(__xludf.DUMMYFUNCTION("""COMPUTED_VALUE"""),"1-5")</f>
        <v>1-5</v>
      </c>
      <c r="C210" s="32" t="str">
        <f>IFERROR(__xludf.DUMMYFUNCTION("""COMPUTED_VALUE"""),"Nothing")</f>
        <v>Nothing</v>
      </c>
      <c r="D210" s="35" t="str">
        <f>IFERROR(__xludf.DUMMYFUNCTION("""COMPUTED_VALUE"""),"6-10")</f>
        <v>6-10</v>
      </c>
      <c r="E210" s="32" t="str">
        <f>IFERROR(__xludf.DUMMYFUNCTION("""COMPUTED_VALUE"""),"80,000G-100,000G")</f>
        <v>80,000G-100,000G</v>
      </c>
      <c r="F210" s="35" t="str">
        <f>IFERROR(__xludf.DUMMYFUNCTION("""COMPUTED_VALUE"""),"11-15")</f>
        <v>11-15</v>
      </c>
      <c r="G210" s="32" t="str">
        <f>IFERROR(__xludf.DUMMYFUNCTION("""COMPUTED_VALUE"""),"Soul")</f>
        <v>Soul</v>
      </c>
      <c r="H210" s="35" t="str">
        <f>IFERROR(__xludf.DUMMYFUNCTION("""COMPUTED_VALUE"""),"16-20")</f>
        <v>16-20</v>
      </c>
      <c r="I210" s="32" t="str">
        <f>IFERROR(__xludf.DUMMYFUNCTION("""COMPUTED_VALUE"""),"kraken's power ring")</f>
        <v>kraken's power ring</v>
      </c>
      <c r="J210" s="35" t="str">
        <f>IFERROR(__xludf.DUMMYFUNCTION("""COMPUTED_VALUE"""),"21-25")</f>
        <v>21-25</v>
      </c>
      <c r="K210" s="32" t="str">
        <f>IFERROR(__xludf.DUMMYFUNCTION("""COMPUTED_VALUE"""),"Nothing")</f>
        <v>Nothing</v>
      </c>
      <c r="L210" s="32"/>
      <c r="M210" s="32"/>
      <c r="N210" s="32"/>
      <c r="O210" s="32"/>
      <c r="P210" s="32"/>
      <c r="Q210" s="32"/>
      <c r="R210" s="32"/>
      <c r="S210" s="32"/>
      <c r="T210" s="32"/>
      <c r="U210" s="32"/>
      <c r="V210" s="32"/>
      <c r="W210" s="32"/>
      <c r="X210" s="32"/>
    </row>
    <row r="211">
      <c r="A211" s="32" t="str">
        <f>IFERROR(__xludf.DUMMYFUNCTION("""COMPUTED_VALUE"""),"The Puppet Master")</f>
        <v>The Puppet Master</v>
      </c>
      <c r="B211" s="35" t="str">
        <f>IFERROR(__xludf.DUMMYFUNCTION("""COMPUTED_VALUE"""),"1-5")</f>
        <v>1-5</v>
      </c>
      <c r="C211" s="32"/>
      <c r="D211" s="35" t="str">
        <f>IFERROR(__xludf.DUMMYFUNCTION("""COMPUTED_VALUE"""),"6-10")</f>
        <v>6-10</v>
      </c>
      <c r="E211" s="32"/>
      <c r="F211" s="35" t="str">
        <f>IFERROR(__xludf.DUMMYFUNCTION("""COMPUTED_VALUE"""),"11-15")</f>
        <v>11-15</v>
      </c>
      <c r="G211" s="32"/>
      <c r="H211" s="35" t="str">
        <f>IFERROR(__xludf.DUMMYFUNCTION("""COMPUTED_VALUE"""),"16-20")</f>
        <v>16-20</v>
      </c>
      <c r="I211" s="32"/>
      <c r="J211" s="35" t="str">
        <f>IFERROR(__xludf.DUMMYFUNCTION("""COMPUTED_VALUE"""),"21-25")</f>
        <v>21-25</v>
      </c>
      <c r="K211" s="32" t="str">
        <f>IFERROR(__xludf.DUMMYFUNCTION("""COMPUTED_VALUE"""),"Soul")</f>
        <v>Soul</v>
      </c>
      <c r="L211" s="32"/>
      <c r="M211" s="32"/>
      <c r="N211" s="32"/>
      <c r="O211" s="32"/>
      <c r="P211" s="32"/>
      <c r="Q211" s="32"/>
      <c r="R211" s="32"/>
      <c r="S211" s="32"/>
      <c r="T211" s="32"/>
      <c r="U211" s="32"/>
      <c r="V211" s="32"/>
      <c r="W211" s="32"/>
      <c r="X211" s="32"/>
    </row>
    <row r="212">
      <c r="A212" s="32" t="str">
        <f>IFERROR(__xludf.DUMMYFUNCTION("""COMPUTED_VALUE"""),"The Ring King")</f>
        <v>The Ring King</v>
      </c>
      <c r="B212" s="35" t="str">
        <f>IFERROR(__xludf.DUMMYFUNCTION("""COMPUTED_VALUE"""),"1-5")</f>
        <v>1-5</v>
      </c>
      <c r="C212" s="32" t="str">
        <f>IFERROR(__xludf.DUMMYFUNCTION("""COMPUTED_VALUE"""),"Ring of darkness")</f>
        <v>Ring of darkness</v>
      </c>
      <c r="D212" s="35" t="str">
        <f>IFERROR(__xludf.DUMMYFUNCTION("""COMPUTED_VALUE"""),"6-10")</f>
        <v>6-10</v>
      </c>
      <c r="E212" s="32" t="str">
        <f>IFERROR(__xludf.DUMMYFUNCTION("""COMPUTED_VALUE"""),"Ring of Death")</f>
        <v>Ring of Death</v>
      </c>
      <c r="F212" s="35" t="str">
        <f>IFERROR(__xludf.DUMMYFUNCTION("""COMPUTED_VALUE"""),"11-15")</f>
        <v>11-15</v>
      </c>
      <c r="G212" s="32" t="str">
        <f>IFERROR(__xludf.DUMMYFUNCTION("""COMPUTED_VALUE"""),"Ring of Pure Defense")</f>
        <v>Ring of Pure Defense</v>
      </c>
      <c r="H212" s="35" t="str">
        <f>IFERROR(__xludf.DUMMYFUNCTION("""COMPUTED_VALUE"""),"16-20")</f>
        <v>16-20</v>
      </c>
      <c r="I212" s="32" t="str">
        <f>IFERROR(__xludf.DUMMYFUNCTION("""COMPUTED_VALUE"""),"Ring of Reflect")</f>
        <v>Ring of Reflect</v>
      </c>
      <c r="J212" s="35" t="str">
        <f>IFERROR(__xludf.DUMMYFUNCTION("""COMPUTED_VALUE"""),"21-25")</f>
        <v>21-25</v>
      </c>
      <c r="K212" s="32" t="str">
        <f>IFERROR(__xludf.DUMMYFUNCTION("""COMPUTED_VALUE"""),"Ring of Invulnerability ")</f>
        <v>Ring of Invulnerability </v>
      </c>
      <c r="L212" s="32"/>
      <c r="M212" s="32"/>
      <c r="N212" s="32"/>
      <c r="O212" s="32"/>
      <c r="P212" s="32"/>
      <c r="Q212" s="32"/>
      <c r="R212" s="32"/>
      <c r="S212" s="32"/>
      <c r="T212" s="32"/>
      <c r="U212" s="32"/>
      <c r="V212" s="32"/>
      <c r="W212" s="32"/>
      <c r="X212" s="32"/>
    </row>
    <row r="213">
      <c r="A213" s="32" t="str">
        <f>IFERROR(__xludf.DUMMYFUNCTION("""COMPUTED_VALUE"""),"The Undead King")</f>
        <v>The Undead King</v>
      </c>
      <c r="B213" s="35" t="str">
        <f>IFERROR(__xludf.DUMMYFUNCTION("""COMPUTED_VALUE"""),"1-5")</f>
        <v>1-5</v>
      </c>
      <c r="C213" s="32" t="str">
        <f>IFERROR(__xludf.DUMMYFUNCTION("""COMPUTED_VALUE"""),"Nothing")</f>
        <v>Nothing</v>
      </c>
      <c r="D213" s="35" t="str">
        <f>IFERROR(__xludf.DUMMYFUNCTION("""COMPUTED_VALUE"""),"6-10")</f>
        <v>6-10</v>
      </c>
      <c r="E213" s="32" t="str">
        <f>IFERROR(__xludf.DUMMYFUNCTION("""COMPUTED_VALUE"""),"Nothing")</f>
        <v>Nothing</v>
      </c>
      <c r="F213" s="35" t="str">
        <f>IFERROR(__xludf.DUMMYFUNCTION("""COMPUTED_VALUE"""),"11-15")</f>
        <v>11-15</v>
      </c>
      <c r="G213" s="32" t="str">
        <f>IFERROR(__xludf.DUMMYFUNCTION("""COMPUTED_VALUE"""),"Black Crystal Necklace of luck")</f>
        <v>Black Crystal Necklace of luck</v>
      </c>
      <c r="H213" s="35" t="str">
        <f>IFERROR(__xludf.DUMMYFUNCTION("""COMPUTED_VALUE"""),"16-20")</f>
        <v>16-20</v>
      </c>
      <c r="I213" s="32" t="str">
        <f>IFERROR(__xludf.DUMMYFUNCTION("""COMPUTED_VALUE"""),"500,000G-1,000,000G")</f>
        <v>500,000G-1,000,000G</v>
      </c>
      <c r="J213" s="35" t="str">
        <f>IFERROR(__xludf.DUMMYFUNCTION("""COMPUTED_VALUE"""),"21-25")</f>
        <v>21-25</v>
      </c>
      <c r="K213" s="32" t="str">
        <f>IFERROR(__xludf.DUMMYFUNCTION("""COMPUTED_VALUE"""),"Soul")</f>
        <v>Soul</v>
      </c>
      <c r="L213" s="32"/>
      <c r="M213" s="32"/>
      <c r="N213" s="32"/>
      <c r="O213" s="32"/>
      <c r="P213" s="32"/>
      <c r="Q213" s="32"/>
      <c r="R213" s="32"/>
      <c r="S213" s="32"/>
      <c r="T213" s="32"/>
      <c r="U213" s="32"/>
      <c r="V213" s="32"/>
      <c r="W213" s="32"/>
      <c r="X213" s="32"/>
    </row>
    <row r="214">
      <c r="A214" s="32" t="str">
        <f>IFERROR(__xludf.DUMMYFUNCTION("""COMPUTED_VALUE"""),"Titonium The Destroyer")</f>
        <v>Titonium The Destroyer</v>
      </c>
      <c r="B214" s="35" t="str">
        <f>IFERROR(__xludf.DUMMYFUNCTION("""COMPUTED_VALUE"""),"1-5")</f>
        <v>1-5</v>
      </c>
      <c r="C214" s="32"/>
      <c r="D214" s="35" t="str">
        <f>IFERROR(__xludf.DUMMYFUNCTION("""COMPUTED_VALUE"""),"6-10")</f>
        <v>6-10</v>
      </c>
      <c r="E214" s="32"/>
      <c r="F214" s="35" t="str">
        <f>IFERROR(__xludf.DUMMYFUNCTION("""COMPUTED_VALUE"""),"11-15")</f>
        <v>11-15</v>
      </c>
      <c r="G214" s="32"/>
      <c r="H214" s="35" t="str">
        <f>IFERROR(__xludf.DUMMYFUNCTION("""COMPUTED_VALUE"""),"16-20")</f>
        <v>16-20</v>
      </c>
      <c r="I214" s="32"/>
      <c r="J214" s="35" t="str">
        <f>IFERROR(__xludf.DUMMYFUNCTION("""COMPUTED_VALUE"""),"21-25")</f>
        <v>21-25</v>
      </c>
      <c r="K214" s="32" t="str">
        <f>IFERROR(__xludf.DUMMYFUNCTION("""COMPUTED_VALUE"""),"Soul")</f>
        <v>Soul</v>
      </c>
      <c r="L214" s="32"/>
      <c r="M214" s="32"/>
      <c r="N214" s="32"/>
      <c r="O214" s="32"/>
      <c r="P214" s="32"/>
      <c r="Q214" s="32"/>
      <c r="R214" s="32"/>
      <c r="S214" s="32"/>
      <c r="T214" s="32"/>
      <c r="U214" s="32"/>
      <c r="V214" s="32"/>
      <c r="W214" s="32"/>
      <c r="X214" s="32"/>
    </row>
    <row r="215">
      <c r="A215" s="32" t="str">
        <f>IFERROR(__xludf.DUMMYFUNCTION("""COMPUTED_VALUE"""),"Turkey Hydra")</f>
        <v>Turkey Hydra</v>
      </c>
      <c r="B215" s="35" t="str">
        <f>IFERROR(__xludf.DUMMYFUNCTION("""COMPUTED_VALUE"""),"1-5")</f>
        <v>1-5</v>
      </c>
      <c r="C215" s="32" t="str">
        <f>IFERROR(__xludf.DUMMYFUNCTION("""COMPUTED_VALUE"""),"Pilgrim's Hat")</f>
        <v>Pilgrim's Hat</v>
      </c>
      <c r="D215" s="35" t="str">
        <f>IFERROR(__xludf.DUMMYFUNCTION("""COMPUTED_VALUE"""),"6-10")</f>
        <v>6-10</v>
      </c>
      <c r="E215" s="32" t="str">
        <f>IFERROR(__xludf.DUMMYFUNCTION("""COMPUTED_VALUE"""),"Amulet of Giving")</f>
        <v>Amulet of Giving</v>
      </c>
      <c r="F215" s="35" t="str">
        <f>IFERROR(__xludf.DUMMYFUNCTION("""COMPUTED_VALUE"""),"11-15")</f>
        <v>11-15</v>
      </c>
      <c r="G215" s="32" t="str">
        <f>IFERROR(__xludf.DUMMYFUNCTION("""COMPUTED_VALUE"""),"Golden Coin")</f>
        <v>Golden Coin</v>
      </c>
      <c r="H215" s="35" t="str">
        <f>IFERROR(__xludf.DUMMYFUNCTION("""COMPUTED_VALUE"""),"16-20")</f>
        <v>16-20</v>
      </c>
      <c r="I215" s="32" t="str">
        <f>IFERROR(__xludf.DUMMYFUNCTION("""COMPUTED_VALUE"""),"Soul")</f>
        <v>Soul</v>
      </c>
      <c r="J215" s="35" t="str">
        <f>IFERROR(__xludf.DUMMYFUNCTION("""COMPUTED_VALUE"""),"21-25")</f>
        <v>21-25</v>
      </c>
      <c r="K215" s="32" t="str">
        <f>IFERROR(__xludf.DUMMYFUNCTION("""COMPUTED_VALUE"""),"500,000,000G-1,000,000,000G")</f>
        <v>500,000,000G-1,000,000,000G</v>
      </c>
      <c r="L215" s="32"/>
      <c r="M215" s="32"/>
      <c r="N215" s="32"/>
      <c r="O215" s="32"/>
      <c r="P215" s="32"/>
      <c r="Q215" s="32"/>
      <c r="R215" s="32"/>
      <c r="S215" s="32"/>
      <c r="T215" s="32"/>
      <c r="U215" s="32"/>
      <c r="V215" s="32"/>
      <c r="W215" s="32"/>
      <c r="X215" s="32"/>
    </row>
    <row r="216">
      <c r="A216" s="32" t="str">
        <f>IFERROR(__xludf.DUMMYFUNCTION("""COMPUTED_VALUE"""),"Twilight Cultist")</f>
        <v>Twilight Cultist</v>
      </c>
      <c r="B216" s="35" t="str">
        <f>IFERROR(__xludf.DUMMYFUNCTION("""COMPUTED_VALUE"""),"1-5")</f>
        <v>1-5</v>
      </c>
      <c r="C216" s="32" t="str">
        <f>IFERROR(__xludf.DUMMYFUNCTION("""COMPUTED_VALUE"""),"Twilight Bow")</f>
        <v>Twilight Bow</v>
      </c>
      <c r="D216" s="35" t="str">
        <f>IFERROR(__xludf.DUMMYFUNCTION("""COMPUTED_VALUE"""),"6-11")</f>
        <v>6-11</v>
      </c>
      <c r="E216" s="32" t="str">
        <f>IFERROR(__xludf.DUMMYFUNCTION("""COMPUTED_VALUE"""),"Twilight Sword")</f>
        <v>Twilight Sword</v>
      </c>
      <c r="F216" s="35" t="str">
        <f>IFERROR(__xludf.DUMMYFUNCTION("""COMPUTED_VALUE"""),"11-16")</f>
        <v>11-16</v>
      </c>
      <c r="G216" s="32" t="str">
        <f>IFERROR(__xludf.DUMMYFUNCTION("""COMPUTED_VALUE"""),"80,000G-100,000G")</f>
        <v>80,000G-100,000G</v>
      </c>
      <c r="H216" s="35" t="str">
        <f>IFERROR(__xludf.DUMMYFUNCTION("""COMPUTED_VALUE"""),"16-21")</f>
        <v>16-21</v>
      </c>
      <c r="I216" s="32" t="str">
        <f>IFERROR(__xludf.DUMMYFUNCTION("""COMPUTED_VALUE"""),"Soul")</f>
        <v>Soul</v>
      </c>
      <c r="J216" s="35" t="str">
        <f>IFERROR(__xludf.DUMMYFUNCTION("""COMPUTED_VALUE"""),"21-26")</f>
        <v>21-26</v>
      </c>
      <c r="K216" s="32" t="str">
        <f>IFERROR(__xludf.DUMMYFUNCTION("""COMPUTED_VALUE"""),"Rank 9 Twilight Tome")</f>
        <v>Rank 9 Twilight Tome</v>
      </c>
      <c r="L216" s="32"/>
      <c r="M216" s="32"/>
      <c r="N216" s="32"/>
      <c r="O216" s="32"/>
      <c r="P216" s="32"/>
      <c r="Q216" s="32"/>
      <c r="R216" s="32"/>
      <c r="S216" s="32"/>
      <c r="T216" s="32"/>
      <c r="U216" s="32"/>
      <c r="V216" s="32"/>
      <c r="W216" s="32"/>
      <c r="X216" s="32"/>
    </row>
    <row r="217">
      <c r="A217" s="32" t="str">
        <f>IFERROR(__xludf.DUMMYFUNCTION("""COMPUTED_VALUE"""),"Twilight Lord")</f>
        <v>Twilight Lord</v>
      </c>
      <c r="B217" s="35" t="str">
        <f>IFERROR(__xludf.DUMMYFUNCTION("""COMPUTED_VALUE"""),"1-5")</f>
        <v>1-5</v>
      </c>
      <c r="C217" s="32" t="str">
        <f>IFERROR(__xludf.DUMMYFUNCTION("""COMPUTED_VALUE"""),"Rank 9 Twilight Tome")</f>
        <v>Rank 9 Twilight Tome</v>
      </c>
      <c r="D217" s="35" t="str">
        <f>IFERROR(__xludf.DUMMYFUNCTION("""COMPUTED_VALUE"""),"6-10")</f>
        <v>6-10</v>
      </c>
      <c r="E217" s="32" t="str">
        <f>IFERROR(__xludf.DUMMYFUNCTION("""COMPUTED_VALUE"""),"Twilight Sword")</f>
        <v>Twilight Sword</v>
      </c>
      <c r="F217" s="35" t="str">
        <f>IFERROR(__xludf.DUMMYFUNCTION("""COMPUTED_VALUE"""),"11-15")</f>
        <v>11-15</v>
      </c>
      <c r="G217" s="32" t="str">
        <f>IFERROR(__xludf.DUMMYFUNCTION("""COMPUTED_VALUE"""),"Soul")</f>
        <v>Soul</v>
      </c>
      <c r="H217" s="35" t="str">
        <f>IFERROR(__xludf.DUMMYFUNCTION("""COMPUTED_VALUE"""),"16-20")</f>
        <v>16-20</v>
      </c>
      <c r="I217" s="32" t="str">
        <f>IFERROR(__xludf.DUMMYFUNCTION("""COMPUTED_VALUE"""),"Nothing")</f>
        <v>Nothing</v>
      </c>
      <c r="J217" s="35" t="str">
        <f>IFERROR(__xludf.DUMMYFUNCTION("""COMPUTED_VALUE"""),"21-25")</f>
        <v>21-25</v>
      </c>
      <c r="K217" s="32" t="str">
        <f>IFERROR(__xludf.DUMMYFUNCTION("""COMPUTED_VALUE"""),"Nothing")</f>
        <v>Nothing</v>
      </c>
      <c r="L217" s="32"/>
      <c r="M217" s="32"/>
      <c r="N217" s="32"/>
      <c r="O217" s="32"/>
      <c r="P217" s="32"/>
      <c r="Q217" s="32"/>
      <c r="R217" s="32"/>
      <c r="S217" s="32"/>
      <c r="T217" s="32"/>
      <c r="U217" s="32"/>
      <c r="V217" s="32"/>
      <c r="W217" s="32"/>
      <c r="X217" s="32"/>
    </row>
    <row r="218">
      <c r="A218" s="32" t="str">
        <f>IFERROR(__xludf.DUMMYFUNCTION("""COMPUTED_VALUE"""),"Twilight Priest")</f>
        <v>Twilight Priest</v>
      </c>
      <c r="B218" s="35" t="str">
        <f>IFERROR(__xludf.DUMMYFUNCTION("""COMPUTED_VALUE"""),"1-5")</f>
        <v>1-5</v>
      </c>
      <c r="C218" s="32" t="str">
        <f>IFERROR(__xludf.DUMMYFUNCTION("""COMPUTED_VALUE"""),"Egg")</f>
        <v>Egg</v>
      </c>
      <c r="D218" s="35" t="str">
        <f>IFERROR(__xludf.DUMMYFUNCTION("""COMPUTED_VALUE"""),"6-10")</f>
        <v>6-10</v>
      </c>
      <c r="E218" s="32" t="str">
        <f>IFERROR(__xludf.DUMMYFUNCTION("""COMPUTED_VALUE"""),"Twilight Bow")</f>
        <v>Twilight Bow</v>
      </c>
      <c r="F218" s="35" t="str">
        <f>IFERROR(__xludf.DUMMYFUNCTION("""COMPUTED_VALUE"""),"11-15")</f>
        <v>11-15</v>
      </c>
      <c r="G218" s="32" t="str">
        <f>IFERROR(__xludf.DUMMYFUNCTION("""COMPUTED_VALUE"""),"Soul")</f>
        <v>Soul</v>
      </c>
      <c r="H218" s="35" t="str">
        <f>IFERROR(__xludf.DUMMYFUNCTION("""COMPUTED_VALUE"""),"16-20")</f>
        <v>16-20</v>
      </c>
      <c r="I218" s="32" t="str">
        <f>IFERROR(__xludf.DUMMYFUNCTION("""COMPUTED_VALUE"""),"Rank 9 Twilight Tome")</f>
        <v>Rank 9 Twilight Tome</v>
      </c>
      <c r="J218" s="35" t="str">
        <f>IFERROR(__xludf.DUMMYFUNCTION("""COMPUTED_VALUE"""),"21-25")</f>
        <v>21-25</v>
      </c>
      <c r="K218" s="32" t="str">
        <f>IFERROR(__xludf.DUMMYFUNCTION("""COMPUTED_VALUE"""),"100,000,000G-500,000,000G")</f>
        <v>100,000,000G-500,000,000G</v>
      </c>
      <c r="L218" s="32"/>
      <c r="M218" s="32"/>
      <c r="N218" s="32"/>
      <c r="O218" s="32"/>
      <c r="P218" s="32"/>
      <c r="Q218" s="32"/>
      <c r="R218" s="32"/>
      <c r="S218" s="32"/>
      <c r="T218" s="32"/>
      <c r="U218" s="32"/>
      <c r="V218" s="32"/>
      <c r="W218" s="32"/>
      <c r="X218" s="32"/>
    </row>
    <row r="219">
      <c r="A219" s="32" t="str">
        <f>IFERROR(__xludf.DUMMYFUNCTION("""COMPUTED_VALUE"""),"Twilight Shadow")</f>
        <v>Twilight Shadow</v>
      </c>
      <c r="B219" s="35" t="str">
        <f>IFERROR(__xludf.DUMMYFUNCTION("""COMPUTED_VALUE"""),"1-5")</f>
        <v>1-5</v>
      </c>
      <c r="C219" s="32" t="str">
        <f>IFERROR(__xludf.DUMMYFUNCTION("""COMPUTED_VALUE"""),"Egg")</f>
        <v>Egg</v>
      </c>
      <c r="D219" s="35" t="str">
        <f>IFERROR(__xludf.DUMMYFUNCTION("""COMPUTED_VALUE"""),"6-10")</f>
        <v>6-10</v>
      </c>
      <c r="E219" s="32" t="str">
        <f>IFERROR(__xludf.DUMMYFUNCTION("""COMPUTED_VALUE"""),"Nothing")</f>
        <v>Nothing</v>
      </c>
      <c r="F219" s="35" t="str">
        <f>IFERROR(__xludf.DUMMYFUNCTION("""COMPUTED_VALUE"""),"11-15")</f>
        <v>11-15</v>
      </c>
      <c r="G219" s="32" t="str">
        <f>IFERROR(__xludf.DUMMYFUNCTION("""COMPUTED_VALUE"""),"Egg")</f>
        <v>Egg</v>
      </c>
      <c r="H219" s="35" t="str">
        <f>IFERROR(__xludf.DUMMYFUNCTION("""COMPUTED_VALUE"""),"16-20")</f>
        <v>16-20</v>
      </c>
      <c r="I219" s="32" t="str">
        <f>IFERROR(__xludf.DUMMYFUNCTION("""COMPUTED_VALUE"""),"Staff Of Shadows")</f>
        <v>Staff Of Shadows</v>
      </c>
      <c r="J219" s="35" t="str">
        <f>IFERROR(__xludf.DUMMYFUNCTION("""COMPUTED_VALUE"""),"21-25")</f>
        <v>21-25</v>
      </c>
      <c r="K219" s="32" t="str">
        <f>IFERROR(__xludf.DUMMYFUNCTION("""COMPUTED_VALUE"""),"Soul")</f>
        <v>Soul</v>
      </c>
      <c r="L219" s="32"/>
      <c r="M219" s="32"/>
      <c r="N219" s="32"/>
      <c r="O219" s="32"/>
      <c r="P219" s="32"/>
      <c r="Q219" s="32"/>
      <c r="R219" s="32"/>
      <c r="S219" s="32"/>
      <c r="T219" s="32"/>
      <c r="U219" s="32"/>
      <c r="V219" s="32"/>
      <c r="W219" s="32"/>
      <c r="X219" s="32"/>
    </row>
    <row r="220">
      <c r="A220" s="32" t="str">
        <f>IFERROR(__xludf.DUMMYFUNCTION("""COMPUTED_VALUE"""),"Twilight Soldier")</f>
        <v>Twilight Soldier</v>
      </c>
      <c r="B220" s="35" t="str">
        <f>IFERROR(__xludf.DUMMYFUNCTION("""COMPUTED_VALUE"""),"1-5")</f>
        <v>1-5</v>
      </c>
      <c r="C220" s="32" t="str">
        <f>IFERROR(__xludf.DUMMYFUNCTION("""COMPUTED_VALUE"""),"Twilight Sword")</f>
        <v>Twilight Sword</v>
      </c>
      <c r="D220" s="35" t="str">
        <f>IFERROR(__xludf.DUMMYFUNCTION("""COMPUTED_VALUE"""),"6-10")</f>
        <v>6-10</v>
      </c>
      <c r="E220" s="32" t="str">
        <f>IFERROR(__xludf.DUMMYFUNCTION("""COMPUTED_VALUE"""),"Egg")</f>
        <v>Egg</v>
      </c>
      <c r="F220" s="35" t="str">
        <f>IFERROR(__xludf.DUMMYFUNCTION("""COMPUTED_VALUE"""),"11-15")</f>
        <v>11-15</v>
      </c>
      <c r="G220" s="32" t="str">
        <f>IFERROR(__xludf.DUMMYFUNCTION("""COMPUTED_VALUE"""),"Soul")</f>
        <v>Soul</v>
      </c>
      <c r="H220" s="35" t="str">
        <f>IFERROR(__xludf.DUMMYFUNCTION("""COMPUTED_VALUE"""),"16-20")</f>
        <v>16-20</v>
      </c>
      <c r="I220" s="32" t="str">
        <f>IFERROR(__xludf.DUMMYFUNCTION("""COMPUTED_VALUE"""),"40,000G-60,000G")</f>
        <v>40,000G-60,000G</v>
      </c>
      <c r="J220" s="35" t="str">
        <f>IFERROR(__xludf.DUMMYFUNCTION("""COMPUTED_VALUE"""),"21-25")</f>
        <v>21-25</v>
      </c>
      <c r="K220" s="32" t="str">
        <f>IFERROR(__xludf.DUMMYFUNCTION("""COMPUTED_VALUE"""),"Nothing")</f>
        <v>Nothing</v>
      </c>
      <c r="L220" s="32"/>
      <c r="M220" s="32"/>
      <c r="N220" s="32"/>
      <c r="O220" s="32"/>
      <c r="P220" s="32"/>
      <c r="Q220" s="32"/>
      <c r="R220" s="32"/>
      <c r="S220" s="32"/>
      <c r="T220" s="32"/>
      <c r="U220" s="32"/>
      <c r="V220" s="32"/>
      <c r="W220" s="32"/>
      <c r="X220" s="32"/>
    </row>
    <row r="221">
      <c r="A221" s="32" t="str">
        <f>IFERROR(__xludf.DUMMYFUNCTION("""COMPUTED_VALUE"""),"Undead Dragon")</f>
        <v>Undead Dragon</v>
      </c>
      <c r="B221" s="35" t="str">
        <f>IFERROR(__xludf.DUMMYFUNCTION("""COMPUTED_VALUE"""),"1-5")</f>
        <v>1-5</v>
      </c>
      <c r="C221" s="32" t="str">
        <f>IFERROR(__xludf.DUMMYFUNCTION("""COMPUTED_VALUE"""),"Egg")</f>
        <v>Egg</v>
      </c>
      <c r="D221" s="35" t="str">
        <f>IFERROR(__xludf.DUMMYFUNCTION("""COMPUTED_VALUE"""),"6-10")</f>
        <v>6-10</v>
      </c>
      <c r="E221" s="32" t="str">
        <f>IFERROR(__xludf.DUMMYFUNCTION("""COMPUTED_VALUE"""),"Ring of the Bonded Undead")</f>
        <v>Ring of the Bonded Undead</v>
      </c>
      <c r="F221" s="35" t="str">
        <f>IFERROR(__xludf.DUMMYFUNCTION("""COMPUTED_VALUE"""),"11-15")</f>
        <v>11-15</v>
      </c>
      <c r="G221" s="32" t="str">
        <f>IFERROR(__xludf.DUMMYFUNCTION("""COMPUTED_VALUE"""),"Soul")</f>
        <v>Soul</v>
      </c>
      <c r="H221" s="35" t="str">
        <f>IFERROR(__xludf.DUMMYFUNCTION("""COMPUTED_VALUE"""),"16-20")</f>
        <v>16-20</v>
      </c>
      <c r="I221" s="32" t="str">
        <f>IFERROR(__xludf.DUMMYFUNCTION("""COMPUTED_VALUE"""),"Staff Of Shadows")</f>
        <v>Staff Of Shadows</v>
      </c>
      <c r="J221" s="35" t="str">
        <f>IFERROR(__xludf.DUMMYFUNCTION("""COMPUTED_VALUE"""),"21-25")</f>
        <v>21-25</v>
      </c>
      <c r="K221" s="32" t="str">
        <f>IFERROR(__xludf.DUMMYFUNCTION("""COMPUTED_VALUE"""),"100,000,000G-500,000,000G")</f>
        <v>100,000,000G-500,000,000G</v>
      </c>
      <c r="L221" s="32"/>
      <c r="M221" s="32"/>
      <c r="N221" s="32"/>
      <c r="O221" s="32"/>
      <c r="P221" s="32"/>
      <c r="Q221" s="32"/>
      <c r="R221" s="32"/>
      <c r="S221" s="32"/>
      <c r="T221" s="32"/>
      <c r="U221" s="32"/>
      <c r="V221" s="32"/>
      <c r="W221" s="32"/>
      <c r="X221" s="32"/>
    </row>
    <row r="222">
      <c r="A222" s="32" t="str">
        <f>IFERROR(__xludf.DUMMYFUNCTION("""COMPUTED_VALUE"""),"Vampire")</f>
        <v>Vampire</v>
      </c>
      <c r="B222" s="35" t="str">
        <f>IFERROR(__xludf.DUMMYFUNCTION("""COMPUTED_VALUE"""),"1-5")</f>
        <v>1-5</v>
      </c>
      <c r="C222" s="32" t="str">
        <f>IFERROR(__xludf.DUMMYFUNCTION("""COMPUTED_VALUE"""),"Egg")</f>
        <v>Egg</v>
      </c>
      <c r="D222" s="35" t="str">
        <f>IFERROR(__xludf.DUMMYFUNCTION("""COMPUTED_VALUE"""),"6-10")</f>
        <v>6-10</v>
      </c>
      <c r="E222" s="32" t="str">
        <f>IFERROR(__xludf.DUMMYFUNCTION("""COMPUTED_VALUE"""),"vampires tooth")</f>
        <v>vampires tooth</v>
      </c>
      <c r="F222" s="35" t="str">
        <f>IFERROR(__xludf.DUMMYFUNCTION("""COMPUTED_VALUE"""),"11-15")</f>
        <v>11-15</v>
      </c>
      <c r="G222" s="32" t="str">
        <f>IFERROR(__xludf.DUMMYFUNCTION("""COMPUTED_VALUE"""),"Ring of the Bonded Undead")</f>
        <v>Ring of the Bonded Undead</v>
      </c>
      <c r="H222" s="35" t="str">
        <f>IFERROR(__xludf.DUMMYFUNCTION("""COMPUTED_VALUE"""),"16-20")</f>
        <v>16-20</v>
      </c>
      <c r="I222" s="32" t="str">
        <f>IFERROR(__xludf.DUMMYFUNCTION("""COMPUTED_VALUE"""),"Soul")</f>
        <v>Soul</v>
      </c>
      <c r="J222" s="35" t="str">
        <f>IFERROR(__xludf.DUMMYFUNCTION("""COMPUTED_VALUE"""),"21-25")</f>
        <v>21-25</v>
      </c>
      <c r="K222" s="32" t="str">
        <f>IFERROR(__xludf.DUMMYFUNCTION("""COMPUTED_VALUE"""),"Nothing")</f>
        <v>Nothing</v>
      </c>
      <c r="L222" s="32"/>
      <c r="M222" s="32"/>
      <c r="N222" s="32"/>
      <c r="O222" s="32"/>
      <c r="P222" s="32"/>
      <c r="Q222" s="32"/>
      <c r="R222" s="32"/>
      <c r="S222" s="32"/>
      <c r="T222" s="32"/>
      <c r="U222" s="32"/>
      <c r="V222" s="32"/>
      <c r="W222" s="32"/>
      <c r="X222" s="32"/>
    </row>
    <row r="223">
      <c r="A223" s="32" t="str">
        <f>IFERROR(__xludf.DUMMYFUNCTION("""COMPUTED_VALUE"""),"Vampire King")</f>
        <v>Vampire King</v>
      </c>
      <c r="B223" s="35" t="str">
        <f>IFERROR(__xludf.DUMMYFUNCTION("""COMPUTED_VALUE"""),"1-5")</f>
        <v>1-5</v>
      </c>
      <c r="C223" s="32" t="str">
        <f>IFERROR(__xludf.DUMMYFUNCTION("""COMPUTED_VALUE"""),"Soul")</f>
        <v>Soul</v>
      </c>
      <c r="D223" s="35" t="str">
        <f>IFERROR(__xludf.DUMMYFUNCTION("""COMPUTED_VALUE"""),"6-10")</f>
        <v>6-10</v>
      </c>
      <c r="E223" s="32" t="str">
        <f>IFERROR(__xludf.DUMMYFUNCTION("""COMPUTED_VALUE"""),"Sword of the Vampire’s Lust")</f>
        <v>Sword of the Vampire’s Lust</v>
      </c>
      <c r="F223" s="35" t="str">
        <f>IFERROR(__xludf.DUMMYFUNCTION("""COMPUTED_VALUE"""),"11-15")</f>
        <v>11-15</v>
      </c>
      <c r="G223" s="32" t="str">
        <f>IFERROR(__xludf.DUMMYFUNCTION("""COMPUTED_VALUE"""),"vampires tooth")</f>
        <v>vampires tooth</v>
      </c>
      <c r="H223" s="35" t="str">
        <f>IFERROR(__xludf.DUMMYFUNCTION("""COMPUTED_VALUE"""),"16-20")</f>
        <v>16-20</v>
      </c>
      <c r="I223" s="32" t="str">
        <f>IFERROR(__xludf.DUMMYFUNCTION("""COMPUTED_VALUE"""),"100,000,000G-500,000,000G")</f>
        <v>100,000,000G-500,000,000G</v>
      </c>
      <c r="J223" s="35" t="str">
        <f>IFERROR(__xludf.DUMMYFUNCTION("""COMPUTED_VALUE"""),"21-25")</f>
        <v>21-25</v>
      </c>
      <c r="K223" s="32" t="str">
        <f>IFERROR(__xludf.DUMMYFUNCTION("""COMPUTED_VALUE"""),"Nothing")</f>
        <v>Nothing</v>
      </c>
      <c r="L223" s="32"/>
      <c r="M223" s="32"/>
      <c r="N223" s="32"/>
      <c r="O223" s="32"/>
      <c r="P223" s="32"/>
      <c r="Q223" s="32"/>
      <c r="R223" s="32"/>
      <c r="S223" s="32"/>
      <c r="T223" s="32"/>
      <c r="U223" s="32"/>
      <c r="V223" s="32"/>
      <c r="W223" s="32"/>
      <c r="X223" s="32"/>
    </row>
    <row r="224">
      <c r="A224" s="32" t="str">
        <f>IFERROR(__xludf.DUMMYFUNCTION("""COMPUTED_VALUE"""),"Vampire Lord")</f>
        <v>Vampire Lord</v>
      </c>
      <c r="B224" s="35" t="str">
        <f>IFERROR(__xludf.DUMMYFUNCTION("""COMPUTED_VALUE"""),"1-5")</f>
        <v>1-5</v>
      </c>
      <c r="C224" s="32" t="str">
        <f>IFERROR(__xludf.DUMMYFUNCTION("""COMPUTED_VALUE"""),"Soul")</f>
        <v>Soul</v>
      </c>
      <c r="D224" s="35" t="str">
        <f>IFERROR(__xludf.DUMMYFUNCTION("""COMPUTED_VALUE"""),"6-10")</f>
        <v>6-10</v>
      </c>
      <c r="E224" s="32" t="str">
        <f>IFERROR(__xludf.DUMMYFUNCTION("""COMPUTED_VALUE"""),"vampires tooth")</f>
        <v>vampires tooth</v>
      </c>
      <c r="F224" s="35" t="str">
        <f>IFERROR(__xludf.DUMMYFUNCTION("""COMPUTED_VALUE"""),"11-15")</f>
        <v>11-15</v>
      </c>
      <c r="G224" s="32" t="str">
        <f>IFERROR(__xludf.DUMMYFUNCTION("""COMPUTED_VALUE"""),"Nothing")</f>
        <v>Nothing</v>
      </c>
      <c r="H224" s="35" t="str">
        <f>IFERROR(__xludf.DUMMYFUNCTION("""COMPUTED_VALUE"""),"16-20")</f>
        <v>16-20</v>
      </c>
      <c r="I224" s="32" t="str">
        <f>IFERROR(__xludf.DUMMYFUNCTION("""COMPUTED_VALUE"""),"80,000,000G-100,000,000G")</f>
        <v>80,000,000G-100,000,000G</v>
      </c>
      <c r="J224" s="35" t="str">
        <f>IFERROR(__xludf.DUMMYFUNCTION("""COMPUTED_VALUE"""),"21-25")</f>
        <v>21-25</v>
      </c>
      <c r="K224" s="32" t="str">
        <f>IFERROR(__xludf.DUMMYFUNCTION("""COMPUTED_VALUE"""),"Nothing")</f>
        <v>Nothing</v>
      </c>
      <c r="L224" s="32"/>
      <c r="M224" s="32"/>
      <c r="N224" s="32"/>
      <c r="O224" s="32"/>
      <c r="P224" s="32"/>
      <c r="Q224" s="32"/>
      <c r="R224" s="32"/>
      <c r="S224" s="32"/>
      <c r="T224" s="32"/>
      <c r="U224" s="32"/>
      <c r="V224" s="32"/>
      <c r="W224" s="32"/>
      <c r="X224" s="32"/>
    </row>
    <row r="225">
      <c r="A225" s="32" t="str">
        <f>IFERROR(__xludf.DUMMYFUNCTION("""COMPUTED_VALUE"""),"Volcanic Void Dragon")</f>
        <v>Volcanic Void Dragon</v>
      </c>
      <c r="B225" s="35" t="str">
        <f>IFERROR(__xludf.DUMMYFUNCTION("""COMPUTED_VALUE"""),"1-5")</f>
        <v>1-5</v>
      </c>
      <c r="C225" s="32" t="str">
        <f>IFERROR(__xludf.DUMMYFUNCTION("""COMPUTED_VALUE"""),"Soul")</f>
        <v>Soul</v>
      </c>
      <c r="D225" s="35" t="str">
        <f>IFERROR(__xludf.DUMMYFUNCTION("""COMPUTED_VALUE"""),"6-10")</f>
        <v>6-10</v>
      </c>
      <c r="E225" s="32" t="str">
        <f>IFERROR(__xludf.DUMMYFUNCTION("""COMPUTED_VALUE"""),"Void sword")</f>
        <v>Void sword</v>
      </c>
      <c r="F225" s="35" t="str">
        <f>IFERROR(__xludf.DUMMYFUNCTION("""COMPUTED_VALUE"""),"11-15")</f>
        <v>11-15</v>
      </c>
      <c r="G225" s="32" t="str">
        <f>IFERROR(__xludf.DUMMYFUNCTION("""COMPUTED_VALUE"""),"Ashen Pole Axe")</f>
        <v>Ashen Pole Axe</v>
      </c>
      <c r="H225" s="35" t="str">
        <f>IFERROR(__xludf.DUMMYFUNCTION("""COMPUTED_VALUE"""),"16-20")</f>
        <v>16-20</v>
      </c>
      <c r="I225" s="32" t="str">
        <f>IFERROR(__xludf.DUMMYFUNCTION("""COMPUTED_VALUE"""),"Nothing")</f>
        <v>Nothing</v>
      </c>
      <c r="J225" s="35" t="str">
        <f>IFERROR(__xludf.DUMMYFUNCTION("""COMPUTED_VALUE"""),"21-25")</f>
        <v>21-25</v>
      </c>
      <c r="K225" s="32" t="str">
        <f>IFERROR(__xludf.DUMMYFUNCTION("""COMPUTED_VALUE"""),"Egg")</f>
        <v>Egg</v>
      </c>
      <c r="L225" s="32"/>
      <c r="M225" s="32"/>
      <c r="N225" s="32"/>
      <c r="O225" s="32"/>
      <c r="P225" s="32"/>
      <c r="Q225" s="32"/>
      <c r="R225" s="32"/>
      <c r="S225" s="32"/>
      <c r="T225" s="32"/>
      <c r="U225" s="32"/>
      <c r="V225" s="32"/>
      <c r="W225" s="32"/>
      <c r="X225" s="32"/>
    </row>
    <row r="226">
      <c r="A226" s="32" t="str">
        <f>IFERROR(__xludf.DUMMYFUNCTION("""COMPUTED_VALUE"""),"Voodoo Shameness")</f>
        <v>Voodoo Shameness</v>
      </c>
      <c r="B226" s="35" t="str">
        <f>IFERROR(__xludf.DUMMYFUNCTION("""COMPUTED_VALUE"""),"1-5")</f>
        <v>1-5</v>
      </c>
      <c r="C226" s="32" t="str">
        <f>IFERROR(__xludf.DUMMYFUNCTION("""COMPUTED_VALUE"""),"Nothing")</f>
        <v>Nothing</v>
      </c>
      <c r="D226" s="35" t="str">
        <f>IFERROR(__xludf.DUMMYFUNCTION("""COMPUTED_VALUE"""),"6-10")</f>
        <v>6-10</v>
      </c>
      <c r="E226" s="32" t="str">
        <f>IFERROR(__xludf.DUMMYFUNCTION("""COMPUTED_VALUE"""),"1,000G-20,000G")</f>
        <v>1,000G-20,000G</v>
      </c>
      <c r="F226" s="35" t="str">
        <f>IFERROR(__xludf.DUMMYFUNCTION("""COMPUTED_VALUE"""),"11-15")</f>
        <v>11-15</v>
      </c>
      <c r="G226" s="32" t="str">
        <f>IFERROR(__xludf.DUMMYFUNCTION("""COMPUTED_VALUE"""),"Nothing")</f>
        <v>Nothing</v>
      </c>
      <c r="H226" s="35" t="str">
        <f>IFERROR(__xludf.DUMMYFUNCTION("""COMPUTED_VALUE"""),"16-20")</f>
        <v>16-20</v>
      </c>
      <c r="I226" s="32" t="str">
        <f>IFERROR(__xludf.DUMMYFUNCTION("""COMPUTED_VALUE"""),"Soul")</f>
        <v>Soul</v>
      </c>
      <c r="J226" s="35" t="str">
        <f>IFERROR(__xludf.DUMMYFUNCTION("""COMPUTED_VALUE"""),"21-25")</f>
        <v>21-25</v>
      </c>
      <c r="K226" s="32" t="str">
        <f>IFERROR(__xludf.DUMMYFUNCTION("""COMPUTED_VALUE"""),"Nothing")</f>
        <v>Nothing</v>
      </c>
      <c r="L226" s="32"/>
      <c r="M226" s="32"/>
      <c r="N226" s="32"/>
      <c r="O226" s="32"/>
      <c r="P226" s="32"/>
      <c r="Q226" s="32"/>
      <c r="R226" s="32"/>
      <c r="S226" s="32"/>
      <c r="T226" s="32"/>
      <c r="U226" s="32"/>
      <c r="V226" s="32"/>
      <c r="W226" s="32"/>
      <c r="X226" s="32"/>
    </row>
    <row r="227">
      <c r="A227" s="32" t="str">
        <f>IFERROR(__xludf.DUMMYFUNCTION("""COMPUTED_VALUE"""),"Wandering Pumpkin")</f>
        <v>Wandering Pumpkin</v>
      </c>
      <c r="B227" s="35" t="str">
        <f>IFERROR(__xludf.DUMMYFUNCTION("""COMPUTED_VALUE"""),"1-5")</f>
        <v>1-5</v>
      </c>
      <c r="C227" s="32" t="str">
        <f>IFERROR(__xludf.DUMMYFUNCTION("""COMPUTED_VALUE"""),"Premium Pumpkin")</f>
        <v>Premium Pumpkin</v>
      </c>
      <c r="D227" s="35" t="str">
        <f>IFERROR(__xludf.DUMMYFUNCTION("""COMPUTED_VALUE"""),"6-10")</f>
        <v>6-10</v>
      </c>
      <c r="E227" s="32" t="str">
        <f>IFERROR(__xludf.DUMMYFUNCTION("""COMPUTED_VALUE"""),"Pumpkin")</f>
        <v>Pumpkin</v>
      </c>
      <c r="F227" s="35" t="str">
        <f>IFERROR(__xludf.DUMMYFUNCTION("""COMPUTED_VALUE"""),"11-15")</f>
        <v>11-15</v>
      </c>
      <c r="G227" s="32" t="str">
        <f>IFERROR(__xludf.DUMMYFUNCTION("""COMPUTED_VALUE"""),"Pumpkin Soup")</f>
        <v>Pumpkin Soup</v>
      </c>
      <c r="H227" s="35" t="str">
        <f>IFERROR(__xludf.DUMMYFUNCTION("""COMPUTED_VALUE"""),"16-20")</f>
        <v>16-20</v>
      </c>
      <c r="I227" s="32" t="str">
        <f>IFERROR(__xludf.DUMMYFUNCTION("""COMPUTED_VALUE"""),"Pumpkin Diamond")</f>
        <v>Pumpkin Diamond</v>
      </c>
      <c r="J227" s="35" t="str">
        <f>IFERROR(__xludf.DUMMYFUNCTION("""COMPUTED_VALUE"""),"21-25")</f>
        <v>21-25</v>
      </c>
      <c r="K227" s="32" t="str">
        <f>IFERROR(__xludf.DUMMYFUNCTION("""COMPUTED_VALUE"""),"Premium Pumpkin Soup")</f>
        <v>Premium Pumpkin Soup</v>
      </c>
      <c r="L227" s="32"/>
      <c r="M227" s="32"/>
      <c r="N227" s="32"/>
      <c r="O227" s="32"/>
      <c r="P227" s="32"/>
      <c r="Q227" s="32"/>
      <c r="R227" s="32"/>
      <c r="S227" s="32"/>
      <c r="T227" s="32"/>
      <c r="U227" s="32"/>
      <c r="V227" s="32"/>
      <c r="W227" s="32"/>
      <c r="X227" s="32"/>
    </row>
    <row r="228">
      <c r="A228" s="32" t="str">
        <f>IFERROR(__xludf.DUMMYFUNCTION("""COMPUTED_VALUE"""),"Werewolf")</f>
        <v>Werewolf</v>
      </c>
      <c r="B228" s="35" t="str">
        <f>IFERROR(__xludf.DUMMYFUNCTION("""COMPUTED_VALUE"""),"1-5")</f>
        <v>1-5</v>
      </c>
      <c r="C228" s="32" t="str">
        <f>IFERROR(__xludf.DUMMYFUNCTION("""COMPUTED_VALUE"""),"Egg")</f>
        <v>Egg</v>
      </c>
      <c r="D228" s="35" t="str">
        <f>IFERROR(__xludf.DUMMYFUNCTION("""COMPUTED_VALUE"""),"6-10")</f>
        <v>6-10</v>
      </c>
      <c r="E228" s="32" t="str">
        <f>IFERROR(__xludf.DUMMYFUNCTION("""COMPUTED_VALUE"""),"werewolf pelt")</f>
        <v>werewolf pelt</v>
      </c>
      <c r="F228" s="35" t="str">
        <f>IFERROR(__xludf.DUMMYFUNCTION("""COMPUTED_VALUE"""),"11-15")</f>
        <v>11-15</v>
      </c>
      <c r="G228" s="32" t="str">
        <f>IFERROR(__xludf.DUMMYFUNCTION("""COMPUTED_VALUE"""),"Soul")</f>
        <v>Soul</v>
      </c>
      <c r="H228" s="35" t="str">
        <f>IFERROR(__xludf.DUMMYFUNCTION("""COMPUTED_VALUE"""),"16-20")</f>
        <v>16-20</v>
      </c>
      <c r="I228" s="32" t="str">
        <f>IFERROR(__xludf.DUMMYFUNCTION("""COMPUTED_VALUE"""),"20,000G-40,000G")</f>
        <v>20,000G-40,000G</v>
      </c>
      <c r="J228" s="35" t="str">
        <f>IFERROR(__xludf.DUMMYFUNCTION("""COMPUTED_VALUE"""),"21-25")</f>
        <v>21-25</v>
      </c>
      <c r="K228" s="32" t="str">
        <f>IFERROR(__xludf.DUMMYFUNCTION("""COMPUTED_VALUE"""),"Nothing")</f>
        <v>Nothing</v>
      </c>
      <c r="L228" s="32"/>
      <c r="M228" s="32"/>
      <c r="N228" s="32"/>
      <c r="O228" s="32"/>
      <c r="P228" s="32"/>
      <c r="Q228" s="32"/>
      <c r="R228" s="32"/>
      <c r="S228" s="32"/>
      <c r="T228" s="32"/>
      <c r="U228" s="32"/>
      <c r="V228" s="32"/>
      <c r="W228" s="32"/>
      <c r="X228" s="32"/>
    </row>
    <row r="229">
      <c r="A229" s="32" t="str">
        <f>IFERROR(__xludf.DUMMYFUNCTION("""COMPUTED_VALUE"""),"Werewolf King")</f>
        <v>Werewolf King</v>
      </c>
      <c r="B229" s="35" t="str">
        <f>IFERROR(__xludf.DUMMYFUNCTION("""COMPUTED_VALUE"""),"1-5")</f>
        <v>1-5</v>
      </c>
      <c r="C229" s="32" t="str">
        <f>IFERROR(__xludf.DUMMYFUNCTION("""COMPUTED_VALUE"""),"Soul")</f>
        <v>Soul</v>
      </c>
      <c r="D229" s="35" t="str">
        <f>IFERROR(__xludf.DUMMYFUNCTION("""COMPUTED_VALUE"""),"6-10")</f>
        <v>6-10</v>
      </c>
      <c r="E229" s="32" t="str">
        <f>IFERROR(__xludf.DUMMYFUNCTION("""COMPUTED_VALUE"""),"Soul")</f>
        <v>Soul</v>
      </c>
      <c r="F229" s="35" t="str">
        <f>IFERROR(__xludf.DUMMYFUNCTION("""COMPUTED_VALUE"""),"11-15")</f>
        <v>11-15</v>
      </c>
      <c r="G229" s="32" t="str">
        <f>IFERROR(__xludf.DUMMYFUNCTION("""COMPUTED_VALUE"""),"1,000,000G-20,000,000G")</f>
        <v>1,000,000G-20,000,000G</v>
      </c>
      <c r="H229" s="35" t="str">
        <f>IFERROR(__xludf.DUMMYFUNCTION("""COMPUTED_VALUE"""),"16-20")</f>
        <v>16-20</v>
      </c>
      <c r="I229" s="32" t="str">
        <f>IFERROR(__xludf.DUMMYFUNCTION("""COMPUTED_VALUE"""),"Nothing")</f>
        <v>Nothing</v>
      </c>
      <c r="J229" s="35" t="str">
        <f>IFERROR(__xludf.DUMMYFUNCTION("""COMPUTED_VALUE"""),"21-25")</f>
        <v>21-25</v>
      </c>
      <c r="K229" s="32" t="str">
        <f>IFERROR(__xludf.DUMMYFUNCTION("""COMPUTED_VALUE"""),"werewolf pelt")</f>
        <v>werewolf pelt</v>
      </c>
      <c r="L229" s="32"/>
      <c r="M229" s="32"/>
      <c r="N229" s="32"/>
      <c r="O229" s="32"/>
      <c r="P229" s="32"/>
      <c r="Q229" s="32"/>
      <c r="R229" s="32"/>
      <c r="S229" s="32"/>
      <c r="T229" s="32"/>
      <c r="U229" s="32"/>
      <c r="V229" s="32"/>
      <c r="W229" s="32"/>
      <c r="X229" s="32"/>
    </row>
    <row r="230">
      <c r="A230" s="32" t="str">
        <f>IFERROR(__xludf.DUMMYFUNCTION("""COMPUTED_VALUE"""),"Witch")</f>
        <v>Witch</v>
      </c>
      <c r="B230" s="35" t="str">
        <f>IFERROR(__xludf.DUMMYFUNCTION("""COMPUTED_VALUE"""),"1-5")</f>
        <v>1-5</v>
      </c>
      <c r="C230" s="32" t="str">
        <f>IFERROR(__xludf.DUMMYFUNCTION("""COMPUTED_VALUE"""),"Potion of Mana")</f>
        <v>Potion of Mana</v>
      </c>
      <c r="D230" s="35" t="str">
        <f>IFERROR(__xludf.DUMMYFUNCTION("""COMPUTED_VALUE"""),"6-10")</f>
        <v>6-10</v>
      </c>
      <c r="E230" s="32" t="str">
        <f>IFERROR(__xludf.DUMMYFUNCTION("""COMPUTED_VALUE"""),"1,000G-20,000G")</f>
        <v>1,000G-20,000G</v>
      </c>
      <c r="F230" s="35" t="str">
        <f>IFERROR(__xludf.DUMMYFUNCTION("""COMPUTED_VALUE"""),"11-15")</f>
        <v>11-15</v>
      </c>
      <c r="G230" s="32" t="str">
        <f>IFERROR(__xludf.DUMMYFUNCTION("""COMPUTED_VALUE"""),"Soul")</f>
        <v>Soul</v>
      </c>
      <c r="H230" s="35" t="str">
        <f>IFERROR(__xludf.DUMMYFUNCTION("""COMPUTED_VALUE"""),"16-20")</f>
        <v>16-20</v>
      </c>
      <c r="I230" s="32" t="str">
        <f>IFERROR(__xludf.DUMMYFUNCTION("""COMPUTED_VALUE"""),"Egg")</f>
        <v>Egg</v>
      </c>
      <c r="J230" s="35" t="str">
        <f>IFERROR(__xludf.DUMMYFUNCTION("""COMPUTED_VALUE"""),"21-25")</f>
        <v>21-25</v>
      </c>
      <c r="K230" s="32" t="str">
        <f>IFERROR(__xludf.DUMMYFUNCTION("""COMPUTED_VALUE"""),"Nothing")</f>
        <v>Nothing</v>
      </c>
      <c r="L230" s="32"/>
      <c r="M230" s="32"/>
      <c r="N230" s="32"/>
      <c r="O230" s="32"/>
      <c r="P230" s="32"/>
      <c r="Q230" s="32"/>
      <c r="R230" s="32"/>
      <c r="S230" s="32"/>
      <c r="T230" s="32"/>
      <c r="U230" s="32"/>
      <c r="V230" s="32"/>
      <c r="W230" s="32"/>
      <c r="X230" s="32"/>
    </row>
    <row r="231">
      <c r="A231" s="32" t="str">
        <f>IFERROR(__xludf.DUMMYFUNCTION("""COMPUTED_VALUE"""),"Zombie")</f>
        <v>Zombie</v>
      </c>
      <c r="B231" s="35" t="str">
        <f>IFERROR(__xludf.DUMMYFUNCTION("""COMPUTED_VALUE"""),"1-5")</f>
        <v>1-5</v>
      </c>
      <c r="C231" s="32" t="str">
        <f>IFERROR(__xludf.DUMMYFUNCTION("""COMPUTED_VALUE"""),"Rotton Flesh")</f>
        <v>Rotton Flesh</v>
      </c>
      <c r="D231" s="35" t="str">
        <f>IFERROR(__xludf.DUMMYFUNCTION("""COMPUTED_VALUE"""),"6-10")</f>
        <v>6-10</v>
      </c>
      <c r="E231" s="32" t="str">
        <f>IFERROR(__xludf.DUMMYFUNCTION("""COMPUTED_VALUE"""),"Rusted Halberd")</f>
        <v>Rusted Halberd</v>
      </c>
      <c r="F231" s="35" t="str">
        <f>IFERROR(__xludf.DUMMYFUNCTION("""COMPUTED_VALUE"""),"11-15")</f>
        <v>11-15</v>
      </c>
      <c r="G231" s="32" t="str">
        <f>IFERROR(__xludf.DUMMYFUNCTION("""COMPUTED_VALUE"""),"Soul")</f>
        <v>Soul</v>
      </c>
      <c r="H231" s="35" t="str">
        <f>IFERROR(__xludf.DUMMYFUNCTION("""COMPUTED_VALUE"""),"16-20")</f>
        <v>16-20</v>
      </c>
      <c r="I231" s="32" t="str">
        <f>IFERROR(__xludf.DUMMYFUNCTION("""COMPUTED_VALUE"""),"Egg")</f>
        <v>Egg</v>
      </c>
      <c r="J231" s="35" t="str">
        <f>IFERROR(__xludf.DUMMYFUNCTION("""COMPUTED_VALUE"""),"21-25")</f>
        <v>21-25</v>
      </c>
      <c r="K231" s="32" t="str">
        <f>IFERROR(__xludf.DUMMYFUNCTION("""COMPUTED_VALUE"""),"Diseased Rapier")</f>
        <v>Diseased Rapier</v>
      </c>
      <c r="L231" s="32"/>
      <c r="M231" s="32"/>
      <c r="N231" s="32"/>
      <c r="O231" s="32"/>
      <c r="P231" s="32"/>
      <c r="Q231" s="32"/>
      <c r="R231" s="32"/>
      <c r="S231" s="32"/>
      <c r="T231" s="32"/>
      <c r="U231" s="32"/>
      <c r="V231" s="32"/>
      <c r="W231" s="32"/>
      <c r="X231" s="32"/>
    </row>
    <row r="232">
      <c r="A232" s="32" t="str">
        <f>IFERROR(__xludf.DUMMYFUNCTION("""COMPUTED_VALUE"""),"Zombie Whale Shark")</f>
        <v>Zombie Whale Shark</v>
      </c>
      <c r="B232" s="35" t="str">
        <f>IFERROR(__xludf.DUMMYFUNCTION("""COMPUTED_VALUE"""),"1-5")</f>
        <v>1-5</v>
      </c>
      <c r="C232" s="32" t="str">
        <f>IFERROR(__xludf.DUMMYFUNCTION("""COMPUTED_VALUE"""),"Rotton Flesh")</f>
        <v>Rotton Flesh</v>
      </c>
      <c r="D232" s="35" t="str">
        <f>IFERROR(__xludf.DUMMYFUNCTION("""COMPUTED_VALUE"""),"6-10")</f>
        <v>6-10</v>
      </c>
      <c r="E232" s="32" t="str">
        <f>IFERROR(__xludf.DUMMYFUNCTION("""COMPUTED_VALUE"""),"Shark Fin")</f>
        <v>Shark Fin</v>
      </c>
      <c r="F232" s="35" t="str">
        <f>IFERROR(__xludf.DUMMYFUNCTION("""COMPUTED_VALUE"""),"11-15")</f>
        <v>11-15</v>
      </c>
      <c r="G232" s="32" t="str">
        <f>IFERROR(__xludf.DUMMYFUNCTION("""COMPUTED_VALUE"""),"Soul")</f>
        <v>Soul</v>
      </c>
      <c r="H232" s="35" t="str">
        <f>IFERROR(__xludf.DUMMYFUNCTION("""COMPUTED_VALUE"""),"16-20")</f>
        <v>16-20</v>
      </c>
      <c r="I232" s="32" t="str">
        <f>IFERROR(__xludf.DUMMYFUNCTION("""COMPUTED_VALUE"""),"500,000G-1,000,000G")</f>
        <v>500,000G-1,000,000G</v>
      </c>
      <c r="J232" s="35" t="str">
        <f>IFERROR(__xludf.DUMMYFUNCTION("""COMPUTED_VALUE"""),"21-25")</f>
        <v>21-25</v>
      </c>
      <c r="K232" s="32" t="str">
        <f>IFERROR(__xludf.DUMMYFUNCTION("""COMPUTED_VALUE"""),"Egg")</f>
        <v>Egg</v>
      </c>
      <c r="L232" s="32"/>
      <c r="M232" s="32"/>
      <c r="N232" s="32"/>
      <c r="O232" s="32"/>
      <c r="P232" s="32"/>
      <c r="Q232" s="32"/>
      <c r="R232" s="32"/>
      <c r="S232" s="32"/>
      <c r="T232" s="32"/>
      <c r="U232" s="32"/>
      <c r="V232" s="32"/>
      <c r="W232" s="32"/>
      <c r="X232" s="32"/>
    </row>
    <row r="233">
      <c r="A233" s="32"/>
      <c r="B233" s="35" t="str">
        <f>IFERROR(__xludf.DUMMYFUNCTION("""COMPUTED_VALUE"""),"1-5")</f>
        <v>1-5</v>
      </c>
      <c r="C233" s="32" t="str">
        <f>IFERROR(__xludf.DUMMYFUNCTION("""COMPUTED_VALUE"""),"Emerald")</f>
        <v>Emerald</v>
      </c>
      <c r="D233" s="35" t="str">
        <f>IFERROR(__xludf.DUMMYFUNCTION("""COMPUTED_VALUE"""),"6-10")</f>
        <v>6-10</v>
      </c>
      <c r="E233" s="32" t="str">
        <f>IFERROR(__xludf.DUMMYFUNCTION("""COMPUTED_VALUE"""),"Emerald")</f>
        <v>Emerald</v>
      </c>
      <c r="F233" s="35" t="str">
        <f>IFERROR(__xludf.DUMMYFUNCTION("""COMPUTED_VALUE"""),"11-15")</f>
        <v>11-15</v>
      </c>
      <c r="G233" s="32" t="str">
        <f>IFERROR(__xludf.DUMMYFUNCTION("""COMPUTED_VALUE"""),"1,000,000G-20,000,000G")</f>
        <v>1,000,000G-20,000,000G</v>
      </c>
      <c r="H233" s="35" t="str">
        <f>IFERROR(__xludf.DUMMYFUNCTION("""COMPUTED_VALUE"""),"16-20")</f>
        <v>16-20</v>
      </c>
      <c r="I233" s="32" t="str">
        <f>IFERROR(__xludf.DUMMYFUNCTION("""COMPUTED_VALUE"""),"Soul")</f>
        <v>Soul</v>
      </c>
      <c r="J233" s="35" t="str">
        <f>IFERROR(__xludf.DUMMYFUNCTION("""COMPUTED_VALUE"""),"21-25")</f>
        <v>21-25</v>
      </c>
      <c r="K233" s="32" t="str">
        <f>IFERROR(__xludf.DUMMYFUNCTION("""COMPUTED_VALUE"""),"Egg")</f>
        <v>Egg</v>
      </c>
      <c r="L233" s="32"/>
      <c r="M233" s="32"/>
      <c r="N233" s="32"/>
      <c r="O233" s="32"/>
      <c r="P233" s="32"/>
      <c r="Q233" s="32"/>
      <c r="R233" s="32"/>
      <c r="S233" s="32"/>
      <c r="T233" s="32"/>
      <c r="U233" s="32"/>
      <c r="V233" s="32"/>
      <c r="W233" s="32"/>
      <c r="X233" s="32"/>
    </row>
    <row r="234">
      <c r="A234" s="32"/>
      <c r="B234" s="35" t="str">
        <f>IFERROR(__xludf.DUMMYFUNCTION("""COMPUTED_VALUE"""),"1-5")</f>
        <v>1-5</v>
      </c>
      <c r="C234" s="32"/>
      <c r="D234" s="35" t="str">
        <f>IFERROR(__xludf.DUMMYFUNCTION("""COMPUTED_VALUE"""),"6-10")</f>
        <v>6-10</v>
      </c>
      <c r="E234" s="32"/>
      <c r="F234" s="35" t="str">
        <f>IFERROR(__xludf.DUMMYFUNCTION("""COMPUTED_VALUE"""),"11-15")</f>
        <v>11-15</v>
      </c>
      <c r="G234" s="32"/>
      <c r="H234" s="35" t="str">
        <f>IFERROR(__xludf.DUMMYFUNCTION("""COMPUTED_VALUE"""),"16-20")</f>
        <v>16-20</v>
      </c>
      <c r="I234" s="32"/>
      <c r="J234" s="35" t="str">
        <f>IFERROR(__xludf.DUMMYFUNCTION("""COMPUTED_VALUE"""),"21-25")</f>
        <v>21-25</v>
      </c>
      <c r="K234" s="32"/>
      <c r="L234" s="32"/>
      <c r="M234" s="32"/>
      <c r="N234" s="32"/>
      <c r="O234" s="32"/>
      <c r="P234" s="32"/>
      <c r="Q234" s="32"/>
      <c r="R234" s="32"/>
      <c r="S234" s="32"/>
      <c r="T234" s="32"/>
      <c r="U234" s="32"/>
      <c r="V234" s="32"/>
      <c r="W234" s="32"/>
      <c r="X234" s="32"/>
    </row>
    <row r="235">
      <c r="A235" s="32"/>
      <c r="B235" s="35" t="str">
        <f>IFERROR(__xludf.DUMMYFUNCTION("""COMPUTED_VALUE"""),"1-5")</f>
        <v>1-5</v>
      </c>
      <c r="C235" s="32"/>
      <c r="D235" s="35" t="str">
        <f>IFERROR(__xludf.DUMMYFUNCTION("""COMPUTED_VALUE"""),"6-10")</f>
        <v>6-10</v>
      </c>
      <c r="E235" s="32"/>
      <c r="F235" s="35" t="str">
        <f>IFERROR(__xludf.DUMMYFUNCTION("""COMPUTED_VALUE"""),"11-15")</f>
        <v>11-15</v>
      </c>
      <c r="G235" s="32"/>
      <c r="H235" s="35" t="str">
        <f>IFERROR(__xludf.DUMMYFUNCTION("""COMPUTED_VALUE"""),"16-20")</f>
        <v>16-20</v>
      </c>
      <c r="I235" s="32"/>
      <c r="J235" s="35" t="str">
        <f>IFERROR(__xludf.DUMMYFUNCTION("""COMPUTED_VALUE"""),"21-25")</f>
        <v>21-25</v>
      </c>
      <c r="K235" s="32"/>
      <c r="L235" s="32"/>
      <c r="M235" s="32"/>
      <c r="N235" s="32"/>
      <c r="O235" s="32"/>
      <c r="P235" s="32"/>
      <c r="Q235" s="32"/>
      <c r="R235" s="32"/>
      <c r="S235" s="32"/>
      <c r="T235" s="32"/>
      <c r="U235" s="32"/>
      <c r="V235" s="32"/>
      <c r="W235" s="32"/>
      <c r="X235" s="32"/>
    </row>
    <row r="236">
      <c r="A236" s="32" t="str">
        <f>IFERROR(__xludf.DUMMYFUNCTION("""COMPUTED_VALUE"""),"Diamond Dragon")</f>
        <v>Diamond Dragon</v>
      </c>
      <c r="B236" s="35" t="str">
        <f>IFERROR(__xludf.DUMMYFUNCTION("""COMPUTED_VALUE"""),"1-5")</f>
        <v>1-5</v>
      </c>
      <c r="C236" s="32" t="str">
        <f>IFERROR(__xludf.DUMMYFUNCTION("""COMPUTED_VALUE"""),"Diamond")</f>
        <v>Diamond</v>
      </c>
      <c r="D236" s="35" t="str">
        <f>IFERROR(__xludf.DUMMYFUNCTION("""COMPUTED_VALUE"""),"6-10")</f>
        <v>6-10</v>
      </c>
      <c r="E236" s="32" t="str">
        <f>IFERROR(__xludf.DUMMYFUNCTION("""COMPUTED_VALUE"""),"Diamond")</f>
        <v>Diamond</v>
      </c>
      <c r="F236" s="35" t="str">
        <f>IFERROR(__xludf.DUMMYFUNCTION("""COMPUTED_VALUE"""),"11-15")</f>
        <v>11-15</v>
      </c>
      <c r="G236" s="32" t="str">
        <f>IFERROR(__xludf.DUMMYFUNCTION("""COMPUTED_VALUE"""),"1,000,000G-20,000,000G")</f>
        <v>1,000,000G-20,000,000G</v>
      </c>
      <c r="H236" s="35" t="str">
        <f>IFERROR(__xludf.DUMMYFUNCTION("""COMPUTED_VALUE"""),"16-20")</f>
        <v>16-20</v>
      </c>
      <c r="I236" s="32" t="str">
        <f>IFERROR(__xludf.DUMMYFUNCTION("""COMPUTED_VALUE"""),"Soul")</f>
        <v>Soul</v>
      </c>
      <c r="J236" s="35" t="str">
        <f>IFERROR(__xludf.DUMMYFUNCTION("""COMPUTED_VALUE"""),"21-25")</f>
        <v>21-25</v>
      </c>
      <c r="K236" s="32" t="str">
        <f>IFERROR(__xludf.DUMMYFUNCTION("""COMPUTED_VALUE"""),"Egg")</f>
        <v>Egg</v>
      </c>
      <c r="L236" s="32"/>
      <c r="M236" s="32"/>
      <c r="N236" s="32"/>
      <c r="O236" s="32"/>
      <c r="P236" s="32"/>
      <c r="Q236" s="32"/>
      <c r="R236" s="32"/>
      <c r="S236" s="32"/>
      <c r="T236" s="32"/>
      <c r="U236" s="32"/>
      <c r="V236" s="32"/>
      <c r="W236" s="32"/>
      <c r="X236" s="32"/>
    </row>
    <row r="237">
      <c r="A237" s="32" t="str">
        <f>IFERROR(__xludf.DUMMYFUNCTION("""COMPUTED_VALUE"""),"Moonstone Dragon")</f>
        <v>Moonstone Dragon</v>
      </c>
      <c r="B237" s="35" t="str">
        <f>IFERROR(__xludf.DUMMYFUNCTION("""COMPUTED_VALUE"""),"1-5")</f>
        <v>1-5</v>
      </c>
      <c r="C237" s="32" t="str">
        <f>IFERROR(__xludf.DUMMYFUNCTION("""COMPUTED_VALUE"""),"Moonstone")</f>
        <v>Moonstone</v>
      </c>
      <c r="D237" s="35" t="str">
        <f>IFERROR(__xludf.DUMMYFUNCTION("""COMPUTED_VALUE"""),"6-10")</f>
        <v>6-10</v>
      </c>
      <c r="E237" s="32" t="str">
        <f>IFERROR(__xludf.DUMMYFUNCTION("""COMPUTED_VALUE"""),"Moonstone")</f>
        <v>Moonstone</v>
      </c>
      <c r="F237" s="35" t="str">
        <f>IFERROR(__xludf.DUMMYFUNCTION("""COMPUTED_VALUE"""),"11-15")</f>
        <v>11-15</v>
      </c>
      <c r="G237" s="32" t="str">
        <f>IFERROR(__xludf.DUMMYFUNCTION("""COMPUTED_VALUE"""),"1,000,000G-20,000,000G")</f>
        <v>1,000,000G-20,000,000G</v>
      </c>
      <c r="H237" s="35" t="str">
        <f>IFERROR(__xludf.DUMMYFUNCTION("""COMPUTED_VALUE"""),"16-20")</f>
        <v>16-20</v>
      </c>
      <c r="I237" s="32" t="str">
        <f>IFERROR(__xludf.DUMMYFUNCTION("""COMPUTED_VALUE"""),"Soul")</f>
        <v>Soul</v>
      </c>
      <c r="J237" s="35" t="str">
        <f>IFERROR(__xludf.DUMMYFUNCTION("""COMPUTED_VALUE"""),"21-25")</f>
        <v>21-25</v>
      </c>
      <c r="K237" s="32" t="str">
        <f>IFERROR(__xludf.DUMMYFUNCTION("""COMPUTED_VALUE"""),"Egg")</f>
        <v>Egg</v>
      </c>
      <c r="L237" s="32"/>
      <c r="M237" s="32"/>
      <c r="N237" s="32"/>
      <c r="O237" s="32"/>
      <c r="P237" s="32"/>
      <c r="Q237" s="32"/>
      <c r="R237" s="32"/>
      <c r="S237" s="32"/>
      <c r="T237" s="32"/>
      <c r="U237" s="32"/>
      <c r="V237" s="32"/>
      <c r="W237" s="32"/>
      <c r="X237" s="32"/>
    </row>
    <row r="238">
      <c r="A238" s="32" t="str">
        <f>IFERROR(__xludf.DUMMYFUNCTION("""COMPUTED_VALUE"""),"Sunstone Dragon")</f>
        <v>Sunstone Dragon</v>
      </c>
      <c r="B238" s="35" t="str">
        <f>IFERROR(__xludf.DUMMYFUNCTION("""COMPUTED_VALUE"""),"1-5")</f>
        <v>1-5</v>
      </c>
      <c r="C238" s="32" t="str">
        <f>IFERROR(__xludf.DUMMYFUNCTION("""COMPUTED_VALUE"""),"Sunstone")</f>
        <v>Sunstone</v>
      </c>
      <c r="D238" s="35" t="str">
        <f>IFERROR(__xludf.DUMMYFUNCTION("""COMPUTED_VALUE"""),"6-10")</f>
        <v>6-10</v>
      </c>
      <c r="E238" s="32" t="str">
        <f>IFERROR(__xludf.DUMMYFUNCTION("""COMPUTED_VALUE"""),"Sunstone")</f>
        <v>Sunstone</v>
      </c>
      <c r="F238" s="35" t="str">
        <f>IFERROR(__xludf.DUMMYFUNCTION("""COMPUTED_VALUE"""),"11-15")</f>
        <v>11-15</v>
      </c>
      <c r="G238" s="32" t="str">
        <f>IFERROR(__xludf.DUMMYFUNCTION("""COMPUTED_VALUE"""),"1,000,000G-20,000,000G")</f>
        <v>1,000,000G-20,000,000G</v>
      </c>
      <c r="H238" s="35" t="str">
        <f>IFERROR(__xludf.DUMMYFUNCTION("""COMPUTED_VALUE"""),"16-20")</f>
        <v>16-20</v>
      </c>
      <c r="I238" s="32" t="str">
        <f>IFERROR(__xludf.DUMMYFUNCTION("""COMPUTED_VALUE"""),"Soul")</f>
        <v>Soul</v>
      </c>
      <c r="J238" s="35" t="str">
        <f>IFERROR(__xludf.DUMMYFUNCTION("""COMPUTED_VALUE"""),"21-25")</f>
        <v>21-25</v>
      </c>
      <c r="K238" s="32" t="str">
        <f>IFERROR(__xludf.DUMMYFUNCTION("""COMPUTED_VALUE"""),"Egg")</f>
        <v>Egg</v>
      </c>
      <c r="L238" s="32"/>
      <c r="M238" s="32"/>
      <c r="N238" s="32"/>
      <c r="O238" s="32"/>
      <c r="P238" s="32"/>
      <c r="Q238" s="32"/>
      <c r="R238" s="32"/>
      <c r="S238" s="32"/>
      <c r="T238" s="32"/>
      <c r="U238" s="32"/>
      <c r="V238" s="32"/>
      <c r="W238" s="32"/>
      <c r="X238" s="32"/>
    </row>
    <row r="239">
      <c r="A239" s="32" t="str">
        <f>IFERROR(__xludf.DUMMYFUNCTION("""COMPUTED_VALUE"""),"Pirate")</f>
        <v>Pirate</v>
      </c>
      <c r="B239" s="35" t="str">
        <f>IFERROR(__xludf.DUMMYFUNCTION("""COMPUTED_VALUE"""),"1-5")</f>
        <v>1-5</v>
      </c>
      <c r="C239" s="32" t="str">
        <f>IFERROR(__xludf.DUMMYFUNCTION("""COMPUTED_VALUE"""),"Cannon Ball")</f>
        <v>Cannon Ball</v>
      </c>
      <c r="D239" s="35" t="str">
        <f>IFERROR(__xludf.DUMMYFUNCTION("""COMPUTED_VALUE"""),"6-10")</f>
        <v>6-10</v>
      </c>
      <c r="E239" s="32" t="str">
        <f>IFERROR(__xludf.DUMMYFUNCTION("""COMPUTED_VALUE"""),"1,000G-20,000G")</f>
        <v>1,000G-20,000G</v>
      </c>
      <c r="F239" s="35" t="str">
        <f>IFERROR(__xludf.DUMMYFUNCTION("""COMPUTED_VALUE"""),"11-15")</f>
        <v>11-15</v>
      </c>
      <c r="G239" s="32" t="str">
        <f>IFERROR(__xludf.DUMMYFUNCTION("""COMPUTED_VALUE"""),"Bullet")</f>
        <v>Bullet</v>
      </c>
      <c r="H239" s="35" t="str">
        <f>IFERROR(__xludf.DUMMYFUNCTION("""COMPUTED_VALUE"""),"16-20")</f>
        <v>16-20</v>
      </c>
      <c r="I239" s="32" t="str">
        <f>IFERROR(__xludf.DUMMYFUNCTION("""COMPUTED_VALUE"""),"Soul")</f>
        <v>Soul</v>
      </c>
      <c r="J239" s="35" t="str">
        <f>IFERROR(__xludf.DUMMYFUNCTION("""COMPUTED_VALUE"""),"21-25")</f>
        <v>21-25</v>
      </c>
      <c r="K239" s="32" t="str">
        <f>IFERROR(__xludf.DUMMYFUNCTION("""COMPUTED_VALUE"""),"Egg")</f>
        <v>Egg</v>
      </c>
      <c r="L239" s="32"/>
      <c r="M239" s="32"/>
      <c r="N239" s="32"/>
      <c r="O239" s="32"/>
      <c r="P239" s="32"/>
      <c r="Q239" s="32"/>
      <c r="R239" s="32"/>
      <c r="S239" s="32"/>
      <c r="T239" s="32"/>
      <c r="U239" s="32"/>
      <c r="V239" s="32"/>
      <c r="W239" s="32"/>
      <c r="X239" s="32"/>
    </row>
    <row r="240">
      <c r="A240" s="32" t="str">
        <f>IFERROR(__xludf.DUMMYFUNCTION("""COMPUTED_VALUE"""),"Pirate Captain")</f>
        <v>Pirate Captain</v>
      </c>
      <c r="B240" s="35" t="str">
        <f>IFERROR(__xludf.DUMMYFUNCTION("""COMPUTED_VALUE"""),"1-5")</f>
        <v>1-5</v>
      </c>
      <c r="C240" s="32" t="str">
        <f>IFERROR(__xludf.DUMMYFUNCTION("""COMPUTED_VALUE"""),"Doublet of Debauchery")</f>
        <v>Doublet of Debauchery</v>
      </c>
      <c r="D240" s="35" t="str">
        <f>IFERROR(__xludf.DUMMYFUNCTION("""COMPUTED_VALUE"""),"6-10")</f>
        <v>6-10</v>
      </c>
      <c r="E240" s="32" t="str">
        <f>IFERROR(__xludf.DUMMYFUNCTION("""COMPUTED_VALUE"""),"Bracers of Dastardly Deflection")</f>
        <v>Bracers of Dastardly Deflection</v>
      </c>
      <c r="F240" s="35" t="str">
        <f>IFERROR(__xludf.DUMMYFUNCTION("""COMPUTED_VALUE"""),"11-15")</f>
        <v>11-15</v>
      </c>
      <c r="G240" s="32" t="str">
        <f>IFERROR(__xludf.DUMMYFUNCTION("""COMPUTED_VALUE"""),"Tights of Fabulous Thievery")</f>
        <v>Tights of Fabulous Thievery</v>
      </c>
      <c r="H240" s="35" t="str">
        <f>IFERROR(__xludf.DUMMYFUNCTION("""COMPUTED_VALUE"""),"16-20")</f>
        <v>16-20</v>
      </c>
      <c r="I240" s="32" t="str">
        <f>IFERROR(__xludf.DUMMYFUNCTION("""COMPUTED_VALUE"""),"Cape of Misdeed")</f>
        <v>Cape of Misdeed</v>
      </c>
      <c r="J240" s="35" t="str">
        <f>IFERROR(__xludf.DUMMYFUNCTION("""COMPUTED_VALUE"""),"21-25")</f>
        <v>21-25</v>
      </c>
      <c r="K240" s="32" t="str">
        <f>IFERROR(__xludf.DUMMYFUNCTION("""COMPUTED_VALUE"""),"Feathered Hat of Roguish ""Justice""")</f>
        <v>Feathered Hat of Roguish "Justice"</v>
      </c>
      <c r="L240" s="32"/>
      <c r="M240" s="32"/>
      <c r="N240" s="32"/>
      <c r="O240" s="32"/>
      <c r="P240" s="32"/>
      <c r="Q240" s="32"/>
      <c r="R240" s="32"/>
      <c r="S240" s="32"/>
      <c r="T240" s="32"/>
      <c r="U240" s="32"/>
      <c r="V240" s="32"/>
      <c r="W240" s="32"/>
      <c r="X240" s="32"/>
    </row>
    <row r="241">
      <c r="A241" s="32" t="str">
        <f>IFERROR(__xludf.DUMMYFUNCTION("""COMPUTED_VALUE"""),"The Crystal King")</f>
        <v>The Crystal King</v>
      </c>
      <c r="B241" s="35" t="str">
        <f>IFERROR(__xludf.DUMMYFUNCTION("""COMPUTED_VALUE"""),"1-5")</f>
        <v>1-5</v>
      </c>
      <c r="C241" s="32" t="str">
        <f>IFERROR(__xludf.DUMMYFUNCTION("""COMPUTED_VALUE"""),"Black Crystal Necklace of Luck")</f>
        <v>Black Crystal Necklace of Luck</v>
      </c>
      <c r="D241" s="35" t="str">
        <f>IFERROR(__xludf.DUMMYFUNCTION("""COMPUTED_VALUE"""),"6-10")</f>
        <v>6-10</v>
      </c>
      <c r="E241" s="32" t="str">
        <f>IFERROR(__xludf.DUMMYFUNCTION("""COMPUTED_VALUE"""),"Crystal Longsword")</f>
        <v>Crystal Longsword</v>
      </c>
      <c r="F241" s="35" t="str">
        <f>IFERROR(__xludf.DUMMYFUNCTION("""COMPUTED_VALUE"""),"11-15")</f>
        <v>11-15</v>
      </c>
      <c r="G241" s="32" t="str">
        <f>IFERROR(__xludf.DUMMYFUNCTION("""COMPUTED_VALUE"""),"Crystal Ring")</f>
        <v>Crystal Ring</v>
      </c>
      <c r="H241" s="35" t="str">
        <f>IFERROR(__xludf.DUMMYFUNCTION("""COMPUTED_VALUE"""),"16-20")</f>
        <v>16-20</v>
      </c>
      <c r="I241" s="32" t="str">
        <f>IFERROR(__xludf.DUMMYFUNCTION("""COMPUTED_VALUE"""),"Crystal Forged Axe")</f>
        <v>Crystal Forged Axe</v>
      </c>
      <c r="J241" s="35" t="str">
        <f>IFERROR(__xludf.DUMMYFUNCTION("""COMPUTED_VALUE"""),"21-25")</f>
        <v>21-25</v>
      </c>
      <c r="K241" s="32" t="str">
        <f>IFERROR(__xludf.DUMMYFUNCTION("""COMPUTED_VALUE"""),"Crystal Healing Amulet")</f>
        <v>Crystal Healing Amulet</v>
      </c>
      <c r="L241" s="32"/>
      <c r="M241" s="32"/>
      <c r="N241" s="32"/>
      <c r="O241" s="32"/>
      <c r="P241" s="32"/>
      <c r="Q241" s="32"/>
      <c r="R241" s="32"/>
      <c r="S241" s="32"/>
      <c r="T241" s="32"/>
      <c r="U241" s="32"/>
      <c r="V241" s="32"/>
      <c r="W241" s="32"/>
      <c r="X241" s="32"/>
    </row>
    <row r="242">
      <c r="A242" s="32" t="str">
        <f>IFERROR(__xludf.DUMMYFUNCTION("""COMPUTED_VALUE"""),"Scarecrow Lord")</f>
        <v>Scarecrow Lord</v>
      </c>
      <c r="B242" s="35" t="str">
        <f>IFERROR(__xludf.DUMMYFUNCTION("""COMPUTED_VALUE"""),"1-5")</f>
        <v>1-5</v>
      </c>
      <c r="C242" s="32" t="str">
        <f>IFERROR(__xludf.DUMMYFUNCTION("""COMPUTED_VALUE"""),"Nothing")</f>
        <v>Nothing</v>
      </c>
      <c r="D242" s="35" t="str">
        <f>IFERROR(__xludf.DUMMYFUNCTION("""COMPUTED_VALUE"""),"6-10")</f>
        <v>6-10</v>
      </c>
      <c r="E242" s="32" t="str">
        <f>IFERROR(__xludf.DUMMYFUNCTION("""COMPUTED_VALUE"""),"Nothing")</f>
        <v>Nothing</v>
      </c>
      <c r="F242" s="35" t="str">
        <f>IFERROR(__xludf.DUMMYFUNCTION("""COMPUTED_VALUE"""),"11-15")</f>
        <v>11-15</v>
      </c>
      <c r="G242" s="32" t="str">
        <f>IFERROR(__xludf.DUMMYFUNCTION("""COMPUTED_VALUE"""),"Nothing")</f>
        <v>Nothing</v>
      </c>
      <c r="H242" s="35" t="str">
        <f>IFERROR(__xludf.DUMMYFUNCTION("""COMPUTED_VALUE"""),"16-20")</f>
        <v>16-20</v>
      </c>
      <c r="I242" s="32" t="str">
        <f>IFERROR(__xludf.DUMMYFUNCTION("""COMPUTED_VALUE"""),"Nothing")</f>
        <v>Nothing</v>
      </c>
      <c r="J242" s="35" t="str">
        <f>IFERROR(__xludf.DUMMYFUNCTION("""COMPUTED_VALUE"""),"21-25")</f>
        <v>21-25</v>
      </c>
      <c r="K242" s="32" t="str">
        <f>IFERROR(__xludf.DUMMYFUNCTION("""COMPUTED_VALUE"""),"Soul")</f>
        <v>Soul</v>
      </c>
      <c r="L242" s="32"/>
      <c r="M242" s="32"/>
      <c r="N242" s="32"/>
      <c r="O242" s="32"/>
      <c r="P242" s="32"/>
      <c r="Q242" s="32"/>
      <c r="R242" s="32"/>
      <c r="S242" s="32"/>
      <c r="T242" s="32"/>
      <c r="U242" s="32"/>
      <c r="V242" s="32"/>
      <c r="W242" s="32"/>
      <c r="X242" s="32"/>
    </row>
    <row r="243">
      <c r="A243" s="32" t="str">
        <f>IFERROR(__xludf.DUMMYFUNCTION("""COMPUTED_VALUE"""),"Corrupted King Zorgod")</f>
        <v>Corrupted King Zorgod</v>
      </c>
      <c r="B243" s="35" t="str">
        <f>IFERROR(__xludf.DUMMYFUNCTION("""COMPUTED_VALUE"""),"1-5")</f>
        <v>1-5</v>
      </c>
      <c r="C243" s="32" t="str">
        <f>IFERROR(__xludf.DUMMYFUNCTION("""COMPUTED_VALUE"""),"Nothing")</f>
        <v>Nothing</v>
      </c>
      <c r="D243" s="35" t="str">
        <f>IFERROR(__xludf.DUMMYFUNCTION("""COMPUTED_VALUE"""),"6-10")</f>
        <v>6-10</v>
      </c>
      <c r="E243" s="32" t="str">
        <f>IFERROR(__xludf.DUMMYFUNCTION("""COMPUTED_VALUE"""),"Nothing")</f>
        <v>Nothing</v>
      </c>
      <c r="F243" s="35" t="str">
        <f>IFERROR(__xludf.DUMMYFUNCTION("""COMPUTED_VALUE"""),"11-15")</f>
        <v>11-15</v>
      </c>
      <c r="G243" s="32" t="str">
        <f>IFERROR(__xludf.DUMMYFUNCTION("""COMPUTED_VALUE"""),"Nothing")</f>
        <v>Nothing</v>
      </c>
      <c r="H243" s="35" t="str">
        <f>IFERROR(__xludf.DUMMYFUNCTION("""COMPUTED_VALUE"""),"16-20")</f>
        <v>16-20</v>
      </c>
      <c r="I243" s="32" t="str">
        <f>IFERROR(__xludf.DUMMYFUNCTION("""COMPUTED_VALUE"""),"Nothing")</f>
        <v>Nothing</v>
      </c>
      <c r="J243" s="35" t="str">
        <f>IFERROR(__xludf.DUMMYFUNCTION("""COMPUTED_VALUE"""),"21-25")</f>
        <v>21-25</v>
      </c>
      <c r="K243" s="32" t="str">
        <f>IFERROR(__xludf.DUMMYFUNCTION("""COMPUTED_VALUE"""),"Soul")</f>
        <v>Soul</v>
      </c>
      <c r="L243" s="32"/>
      <c r="M243" s="32"/>
      <c r="N243" s="32"/>
      <c r="O243" s="32"/>
      <c r="P243" s="32"/>
      <c r="Q243" s="32"/>
      <c r="R243" s="32"/>
      <c r="S243" s="32"/>
      <c r="T243" s="32"/>
      <c r="U243" s="32"/>
      <c r="V243" s="32"/>
      <c r="W243" s="32"/>
      <c r="X243" s="32"/>
    </row>
    <row r="244">
      <c r="A244" s="32" t="str">
        <f>IFERROR(__xludf.DUMMYFUNCTION("""COMPUTED_VALUE"""),"Mekanian Soldier")</f>
        <v>Mekanian Soldier</v>
      </c>
      <c r="B244" s="35" t="str">
        <f>IFERROR(__xludf.DUMMYFUNCTION("""COMPUTED_VALUE"""),"1-5")</f>
        <v>1-5</v>
      </c>
      <c r="C244" s="32" t="str">
        <f>IFERROR(__xludf.DUMMYFUNCTION("""COMPUTED_VALUE"""),"Nothing")</f>
        <v>Nothing</v>
      </c>
      <c r="D244" s="35" t="str">
        <f>IFERROR(__xludf.DUMMYFUNCTION("""COMPUTED_VALUE"""),"6-10")</f>
        <v>6-10</v>
      </c>
      <c r="E244" s="32" t="str">
        <f>IFERROR(__xludf.DUMMYFUNCTION("""COMPUTED_VALUE"""),"Scrap Ring")</f>
        <v>Scrap Ring</v>
      </c>
      <c r="F244" s="35" t="str">
        <f>IFERROR(__xludf.DUMMYFUNCTION("""COMPUTED_VALUE"""),"11-15")</f>
        <v>11-15</v>
      </c>
      <c r="G244" s="32" t="str">
        <f>IFERROR(__xludf.DUMMYFUNCTION("""COMPUTED_VALUE"""),"Iron Pickaxe")</f>
        <v>Iron Pickaxe</v>
      </c>
      <c r="H244" s="35" t="str">
        <f>IFERROR(__xludf.DUMMYFUNCTION("""COMPUTED_VALUE"""),"16-20")</f>
        <v>16-20</v>
      </c>
      <c r="I244" s="32" t="str">
        <f>IFERROR(__xludf.DUMMYFUNCTION("""COMPUTED_VALUE"""),"Lazer Infused Sword")</f>
        <v>Lazer Infused Sword</v>
      </c>
      <c r="J244" s="35" t="str">
        <f>IFERROR(__xludf.DUMMYFUNCTION("""COMPUTED_VALUE"""),"21-25")</f>
        <v>21-25</v>
      </c>
      <c r="K244" s="32" t="str">
        <f>IFERROR(__xludf.DUMMYFUNCTION("""COMPUTED_VALUE"""),"Egg")</f>
        <v>Egg</v>
      </c>
      <c r="L244" s="32"/>
      <c r="M244" s="32"/>
      <c r="N244" s="32"/>
      <c r="O244" s="32"/>
      <c r="P244" s="32"/>
      <c r="Q244" s="32"/>
      <c r="R244" s="32"/>
      <c r="S244" s="32"/>
      <c r="T244" s="32"/>
      <c r="U244" s="32"/>
      <c r="V244" s="32"/>
      <c r="W244" s="32"/>
      <c r="X244" s="32"/>
    </row>
    <row r="245">
      <c r="A245" s="32" t="str">
        <f>IFERROR(__xludf.DUMMYFUNCTION("""COMPUTED_VALUE"""),"Mekanian Knight")</f>
        <v>Mekanian Knight</v>
      </c>
      <c r="B245" s="35" t="str">
        <f>IFERROR(__xludf.DUMMYFUNCTION("""COMPUTED_VALUE"""),"1-5")</f>
        <v>1-5</v>
      </c>
      <c r="C245" s="32" t="str">
        <f>IFERROR(__xludf.DUMMYFUNCTION("""COMPUTED_VALUE"""),"Nothing")</f>
        <v>Nothing</v>
      </c>
      <c r="D245" s="35" t="str">
        <f>IFERROR(__xludf.DUMMYFUNCTION("""COMPUTED_VALUE"""),"6-10")</f>
        <v>6-10</v>
      </c>
      <c r="E245" s="32" t="str">
        <f>IFERROR(__xludf.DUMMYFUNCTION("""COMPUTED_VALUE"""),"Nothing")</f>
        <v>Nothing</v>
      </c>
      <c r="F245" s="35" t="str">
        <f>IFERROR(__xludf.DUMMYFUNCTION("""COMPUTED_VALUE"""),"11-15")</f>
        <v>11-15</v>
      </c>
      <c r="G245" s="32"/>
      <c r="H245" s="35" t="str">
        <f>IFERROR(__xludf.DUMMYFUNCTION("""COMPUTED_VALUE"""),"16-20")</f>
        <v>16-20</v>
      </c>
      <c r="I245" s="32" t="str">
        <f>IFERROR(__xludf.DUMMYFUNCTION("""COMPUTED_VALUE"""),"Revolver")</f>
        <v>Revolver</v>
      </c>
      <c r="J245" s="35" t="str">
        <f>IFERROR(__xludf.DUMMYFUNCTION("""COMPUTED_VALUE"""),"21-25")</f>
        <v>21-25</v>
      </c>
      <c r="K245" s="32" t="str">
        <f>IFERROR(__xludf.DUMMYFUNCTION("""COMPUTED_VALUE"""),"Egg")</f>
        <v>Egg</v>
      </c>
      <c r="L245" s="32"/>
      <c r="M245" s="32"/>
      <c r="N245" s="32"/>
      <c r="O245" s="32"/>
      <c r="P245" s="32"/>
      <c r="Q245" s="32"/>
      <c r="R245" s="32"/>
      <c r="S245" s="32"/>
      <c r="T245" s="32"/>
      <c r="U245" s="32"/>
      <c r="V245" s="32"/>
      <c r="W245" s="32"/>
      <c r="X245" s="32"/>
    </row>
    <row r="246">
      <c r="A246" s="32" t="str">
        <f>IFERROR(__xludf.DUMMYFUNCTION("""COMPUTED_VALUE"""),"Mekanian ")</f>
        <v>Mekanian </v>
      </c>
      <c r="B246" s="35" t="str">
        <f>IFERROR(__xludf.DUMMYFUNCTION("""COMPUTED_VALUE"""),"1-5")</f>
        <v>1-5</v>
      </c>
      <c r="C246" s="32" t="str">
        <f>IFERROR(__xludf.DUMMYFUNCTION("""COMPUTED_VALUE"""),"Nothing")</f>
        <v>Nothing</v>
      </c>
      <c r="D246" s="35" t="str">
        <f>IFERROR(__xludf.DUMMYFUNCTION("""COMPUTED_VALUE"""),"6-10")</f>
        <v>6-10</v>
      </c>
      <c r="E246" s="32" t="str">
        <f>IFERROR(__xludf.DUMMYFUNCTION("""COMPUTED_VALUE"""),"Nothing")</f>
        <v>Nothing</v>
      </c>
      <c r="F246" s="35" t="str">
        <f>IFERROR(__xludf.DUMMYFUNCTION("""COMPUTED_VALUE"""),"11-15")</f>
        <v>11-15</v>
      </c>
      <c r="G246" s="32" t="str">
        <f>IFERROR(__xludf.DUMMYFUNCTION("""COMPUTED_VALUE"""),"Steel")</f>
        <v>Steel</v>
      </c>
      <c r="H246" s="35" t="str">
        <f>IFERROR(__xludf.DUMMYFUNCTION("""COMPUTED_VALUE"""),"16-20")</f>
        <v>16-20</v>
      </c>
      <c r="I246" s="32" t="str">
        <f>IFERROR(__xludf.DUMMYFUNCTION("""COMPUTED_VALUE"""),"Steel Armor")</f>
        <v>Steel Armor</v>
      </c>
      <c r="J246" s="35" t="str">
        <f>IFERROR(__xludf.DUMMYFUNCTION("""COMPUTED_VALUE"""),"21-25")</f>
        <v>21-25</v>
      </c>
      <c r="K246" s="32" t="str">
        <f>IFERROR(__xludf.DUMMYFUNCTION("""COMPUTED_VALUE"""),"Egg")</f>
        <v>Egg</v>
      </c>
      <c r="L246" s="32"/>
      <c r="M246" s="32"/>
      <c r="N246" s="32"/>
      <c r="O246" s="32"/>
      <c r="P246" s="32"/>
      <c r="Q246" s="32"/>
      <c r="R246" s="32"/>
      <c r="S246" s="32"/>
      <c r="T246" s="32"/>
      <c r="U246" s="32"/>
      <c r="V246" s="32"/>
      <c r="W246" s="32"/>
      <c r="X246" s="32"/>
    </row>
    <row r="247">
      <c r="A247" s="32" t="str">
        <f>IFERROR(__xludf.DUMMYFUNCTION("""COMPUTED_VALUE"""),"Water Elemental")</f>
        <v>Water Elemental</v>
      </c>
      <c r="B247" s="35" t="str">
        <f>IFERROR(__xludf.DUMMYFUNCTION("""COMPUTED_VALUE"""),"1-5")</f>
        <v>1-5</v>
      </c>
      <c r="C247" s="32" t="str">
        <f>IFERROR(__xludf.DUMMYFUNCTION("""COMPUTED_VALUE"""),"Nothing")</f>
        <v>Nothing</v>
      </c>
      <c r="D247" s="35" t="str">
        <f>IFERROR(__xludf.DUMMYFUNCTION("""COMPUTED_VALUE"""),"6-10")</f>
        <v>6-10</v>
      </c>
      <c r="E247" s="32" t="str">
        <f>IFERROR(__xludf.DUMMYFUNCTION("""COMPUTED_VALUE"""),"Ring o' Agility and Water")</f>
        <v>Ring o' Agility and Water</v>
      </c>
      <c r="F247" s="35" t="str">
        <f>IFERROR(__xludf.DUMMYFUNCTION("""COMPUTED_VALUE"""),"11-15")</f>
        <v>11-15</v>
      </c>
      <c r="G247" s="32" t="str">
        <f>IFERROR(__xludf.DUMMYFUNCTION("""COMPUTED_VALUE"""),"Nothing")</f>
        <v>Nothing</v>
      </c>
      <c r="H247" s="35" t="str">
        <f>IFERROR(__xludf.DUMMYFUNCTION("""COMPUTED_VALUE"""),"16-20")</f>
        <v>16-20</v>
      </c>
      <c r="I247" s="32" t="str">
        <f>IFERROR(__xludf.DUMMYFUNCTION("""COMPUTED_VALUE"""),"Soul")</f>
        <v>Soul</v>
      </c>
      <c r="J247" s="35" t="str">
        <f>IFERROR(__xludf.DUMMYFUNCTION("""COMPUTED_VALUE"""),"21-25")</f>
        <v>21-25</v>
      </c>
      <c r="K247" s="32" t="str">
        <f>IFERROR(__xludf.DUMMYFUNCTION("""COMPUTED_VALUE"""),"Staff of the Elemental King of Water")</f>
        <v>Staff of the Elemental King of Water</v>
      </c>
      <c r="L247" s="32"/>
      <c r="M247" s="32"/>
      <c r="N247" s="32"/>
      <c r="O247" s="32"/>
      <c r="P247" s="32"/>
      <c r="Q247" s="32"/>
      <c r="R247" s="32"/>
      <c r="S247" s="32"/>
      <c r="T247" s="32"/>
      <c r="U247" s="32"/>
      <c r="V247" s="32"/>
      <c r="W247" s="32"/>
      <c r="X247" s="32"/>
    </row>
    <row r="248">
      <c r="A248" s="32" t="str">
        <f>IFERROR(__xludf.DUMMYFUNCTION("""COMPUTED_VALUE"""),"Armored Car")</f>
        <v>Armored Car</v>
      </c>
      <c r="B248" s="35" t="str">
        <f>IFERROR(__xludf.DUMMYFUNCTION("""COMPUTED_VALUE"""),"1-5")</f>
        <v>1-5</v>
      </c>
      <c r="C248" s="32" t="str">
        <f>IFERROR(__xludf.DUMMYFUNCTION("""COMPUTED_VALUE"""),"Revolver")</f>
        <v>Revolver</v>
      </c>
      <c r="D248" s="35" t="str">
        <f>IFERROR(__xludf.DUMMYFUNCTION("""COMPUTED_VALUE"""),"6-10")</f>
        <v>6-10</v>
      </c>
      <c r="E248" s="32" t="str">
        <f>IFERROR(__xludf.DUMMYFUNCTION("""COMPUTED_VALUE"""),"Fire Bullet")</f>
        <v>Fire Bullet</v>
      </c>
      <c r="F248" s="35" t="str">
        <f>IFERROR(__xludf.DUMMYFUNCTION("""COMPUTED_VALUE"""),"11-15")</f>
        <v>11-15</v>
      </c>
      <c r="G248" s="32" t="str">
        <f>IFERROR(__xludf.DUMMYFUNCTION("""COMPUTED_VALUE"""),"Steel")</f>
        <v>Steel</v>
      </c>
      <c r="H248" s="35" t="str">
        <f>IFERROR(__xludf.DUMMYFUNCTION("""COMPUTED_VALUE"""),"16-20")</f>
        <v>16-20</v>
      </c>
      <c r="I248" s="32" t="str">
        <f>IFERROR(__xludf.DUMMYFUNCTION("""COMPUTED_VALUE"""),"80,000G-100,000G")</f>
        <v>80,000G-100,000G</v>
      </c>
      <c r="J248" s="35" t="str">
        <f>IFERROR(__xludf.DUMMYFUNCTION("""COMPUTED_VALUE"""),"21-25")</f>
        <v>21-25</v>
      </c>
      <c r="K248" s="32" t="str">
        <f>IFERROR(__xludf.DUMMYFUNCTION("""COMPUTED_VALUE"""),"Stunning Bullet")</f>
        <v>Stunning Bullet</v>
      </c>
      <c r="L248" s="32"/>
      <c r="M248" s="32"/>
      <c r="N248" s="32"/>
      <c r="O248" s="32"/>
      <c r="P248" s="32"/>
      <c r="Q248" s="32"/>
      <c r="R248" s="32"/>
      <c r="S248" s="32"/>
      <c r="T248" s="32"/>
      <c r="U248" s="32"/>
      <c r="V248" s="32"/>
      <c r="W248" s="32"/>
      <c r="X248" s="32"/>
    </row>
    <row r="249">
      <c r="A249" s="32" t="str">
        <f>IFERROR(__xludf.DUMMYFUNCTION("""COMPUTED_VALUE"""),"Tank")</f>
        <v>Tank</v>
      </c>
      <c r="B249" s="35" t="str">
        <f>IFERROR(__xludf.DUMMYFUNCTION("""COMPUTED_VALUE"""),"1-5")</f>
        <v>1-5</v>
      </c>
      <c r="C249" s="32" t="str">
        <f>IFERROR(__xludf.DUMMYFUNCTION("""COMPUTED_VALUE"""),"Standard Missile")</f>
        <v>Standard Missile</v>
      </c>
      <c r="D249" s="35" t="str">
        <f>IFERROR(__xludf.DUMMYFUNCTION("""COMPUTED_VALUE"""),"6-10")</f>
        <v>6-10</v>
      </c>
      <c r="E249" s="32" t="str">
        <f>IFERROR(__xludf.DUMMYFUNCTION("""COMPUTED_VALUE"""),"Missile Turret (car)")</f>
        <v>Missile Turret (car)</v>
      </c>
      <c r="F249" s="35" t="str">
        <f>IFERROR(__xludf.DUMMYFUNCTION("""COMPUTED_VALUE"""),"11-15")</f>
        <v>11-15</v>
      </c>
      <c r="G249" s="32" t="str">
        <f>IFERROR(__xludf.DUMMYFUNCTION("""COMPUTED_VALUE"""),"Steel")</f>
        <v>Steel</v>
      </c>
      <c r="H249" s="35" t="str">
        <f>IFERROR(__xludf.DUMMYFUNCTION("""COMPUTED_VALUE"""),"16-20")</f>
        <v>16-20</v>
      </c>
      <c r="I249" s="32" t="str">
        <f>IFERROR(__xludf.DUMMYFUNCTION("""COMPUTED_VALUE"""),"Bullet")</f>
        <v>Bullet</v>
      </c>
      <c r="J249" s="35" t="str">
        <f>IFERROR(__xludf.DUMMYFUNCTION("""COMPUTED_VALUE"""),"21-25")</f>
        <v>21-25</v>
      </c>
      <c r="K249" s="32" t="str">
        <f>IFERROR(__xludf.DUMMYFUNCTION("""COMPUTED_VALUE"""),"Celestial Bullet")</f>
        <v>Celestial Bullet</v>
      </c>
      <c r="L249" s="32"/>
      <c r="M249" s="32"/>
      <c r="N249" s="32"/>
      <c r="O249" s="32"/>
      <c r="P249" s="32"/>
      <c r="Q249" s="32"/>
      <c r="R249" s="32"/>
      <c r="S249" s="32"/>
      <c r="T249" s="32"/>
      <c r="U249" s="32"/>
      <c r="V249" s="32"/>
      <c r="W249" s="32"/>
      <c r="X249" s="32"/>
    </row>
    <row r="250">
      <c r="A250" s="32" t="str">
        <f>IFERROR(__xludf.DUMMYFUNCTION("""COMPUTED_VALUE"""),"ATV")</f>
        <v>ATV</v>
      </c>
      <c r="B250" s="35" t="str">
        <f>IFERROR(__xludf.DUMMYFUNCTION("""COMPUTED_VALUE"""),"1-5")</f>
        <v>1-5</v>
      </c>
      <c r="C250" s="32" t="str">
        <f>IFERROR(__xludf.DUMMYFUNCTION("""COMPUTED_VALUE"""),"Steel")</f>
        <v>Steel</v>
      </c>
      <c r="D250" s="35" t="str">
        <f>IFERROR(__xludf.DUMMYFUNCTION("""COMPUTED_VALUE"""),"6-10")</f>
        <v>6-10</v>
      </c>
      <c r="E250" s="32" t="str">
        <f>IFERROR(__xludf.DUMMYFUNCTION("""COMPUTED_VALUE"""),"Nothing")</f>
        <v>Nothing</v>
      </c>
      <c r="F250" s="35" t="str">
        <f>IFERROR(__xludf.DUMMYFUNCTION("""COMPUTED_VALUE"""),"11-15")</f>
        <v>11-15</v>
      </c>
      <c r="G250" s="32" t="str">
        <f>IFERROR(__xludf.DUMMYFUNCTION("""COMPUTED_VALUE"""),"Nothing")</f>
        <v>Nothing</v>
      </c>
      <c r="H250" s="35" t="str">
        <f>IFERROR(__xludf.DUMMYFUNCTION("""COMPUTED_VALUE"""),"16-20")</f>
        <v>16-20</v>
      </c>
      <c r="I250" s="32" t="str">
        <f>IFERROR(__xludf.DUMMYFUNCTION("""COMPUTED_VALUE"""),"Nothing")</f>
        <v>Nothing</v>
      </c>
      <c r="J250" s="35" t="str">
        <f>IFERROR(__xludf.DUMMYFUNCTION("""COMPUTED_VALUE"""),"21-25")</f>
        <v>21-25</v>
      </c>
      <c r="K250" s="32" t="str">
        <f>IFERROR(__xludf.DUMMYFUNCTION("""COMPUTED_VALUE"""),"Nothing")</f>
        <v>Nothing</v>
      </c>
      <c r="L250" s="32"/>
      <c r="M250" s="32"/>
      <c r="N250" s="32"/>
      <c r="O250" s="32"/>
      <c r="P250" s="32"/>
      <c r="Q250" s="32"/>
      <c r="R250" s="32"/>
      <c r="S250" s="32"/>
      <c r="T250" s="32"/>
      <c r="U250" s="32"/>
      <c r="V250" s="32"/>
      <c r="W250" s="32"/>
      <c r="X250" s="32"/>
    </row>
    <row r="251">
      <c r="A251" s="32" t="str">
        <f>IFERROR(__xludf.DUMMYFUNCTION("""COMPUTED_VALUE"""),"Battleship")</f>
        <v>Battleship</v>
      </c>
      <c r="B251" s="35" t="str">
        <f>IFERROR(__xludf.DUMMYFUNCTION("""COMPUTED_VALUE"""),"1-5")</f>
        <v>1-5</v>
      </c>
      <c r="C251" s="32" t="str">
        <f>IFERROR(__xludf.DUMMYFUNCTION("""COMPUTED_VALUE"""),"EMP Missile")</f>
        <v>EMP Missile</v>
      </c>
      <c r="D251" s="35" t="str">
        <f>IFERROR(__xludf.DUMMYFUNCTION("""COMPUTED_VALUE"""),"6-10")</f>
        <v>6-10</v>
      </c>
      <c r="E251" s="32" t="str">
        <f>IFERROR(__xludf.DUMMYFUNCTION("""COMPUTED_VALUE"""),"Steel")</f>
        <v>Steel</v>
      </c>
      <c r="F251" s="35" t="str">
        <f>IFERROR(__xludf.DUMMYFUNCTION("""COMPUTED_VALUE"""),"11-15")</f>
        <v>11-15</v>
      </c>
      <c r="G251" s="32" t="str">
        <f>IFERROR(__xludf.DUMMYFUNCTION("""COMPUTED_VALUE"""),"Standard Missile")</f>
        <v>Standard Missile</v>
      </c>
      <c r="H251" s="35" t="str">
        <f>IFERROR(__xludf.DUMMYFUNCTION("""COMPUTED_VALUE"""),"16-20")</f>
        <v>16-20</v>
      </c>
      <c r="I251" s="32" t="str">
        <f>IFERROR(__xludf.DUMMYFUNCTION("""COMPUTED_VALUE"""),"Treasure Chest Key (Non-Magical)")</f>
        <v>Treasure Chest Key (Non-Magical)</v>
      </c>
      <c r="J251" s="35" t="str">
        <f>IFERROR(__xludf.DUMMYFUNCTION("""COMPUTED_VALUE"""),"21-25")</f>
        <v>21-25</v>
      </c>
      <c r="K251" s="32" t="str">
        <f>IFERROR(__xludf.DUMMYFUNCTION("""COMPUTED_VALUE"""),"Tier 3 Treasure Chest (Non-Magical)")</f>
        <v>Tier 3 Treasure Chest (Non-Magical)</v>
      </c>
      <c r="L251" s="32"/>
      <c r="M251" s="32"/>
      <c r="N251" s="32"/>
      <c r="O251" s="32"/>
      <c r="P251" s="32"/>
      <c r="Q251" s="32"/>
      <c r="R251" s="32"/>
      <c r="S251" s="32"/>
      <c r="T251" s="32"/>
      <c r="U251" s="32"/>
      <c r="V251" s="32"/>
      <c r="W251" s="32"/>
      <c r="X251" s="32"/>
    </row>
    <row r="252">
      <c r="A252" s="32" t="str">
        <f>IFERROR(__xludf.DUMMYFUNCTION("""COMPUTED_VALUE"""),"Galleon")</f>
        <v>Galleon</v>
      </c>
      <c r="B252" s="35" t="str">
        <f>IFERROR(__xludf.DUMMYFUNCTION("""COMPUTED_VALUE"""),"1-5")</f>
        <v>1-5</v>
      </c>
      <c r="C252" s="32" t="str">
        <f>IFERROR(__xludf.DUMMYFUNCTION("""COMPUTED_VALUE"""),"Tier 3 Treasure Chest (Non-Magical)")</f>
        <v>Tier 3 Treasure Chest (Non-Magical)</v>
      </c>
      <c r="D252" s="35" t="str">
        <f>IFERROR(__xludf.DUMMYFUNCTION("""COMPUTED_VALUE"""),"6-10")</f>
        <v>6-10</v>
      </c>
      <c r="E252" s="32" t="str">
        <f>IFERROR(__xludf.DUMMYFUNCTION("""COMPUTED_VALUE"""),"Treasure Chest Key (Non-Magical)")</f>
        <v>Treasure Chest Key (Non-Magical)</v>
      </c>
      <c r="F252" s="35" t="str">
        <f>IFERROR(__xludf.DUMMYFUNCTION("""COMPUTED_VALUE"""),"11-15")</f>
        <v>11-15</v>
      </c>
      <c r="G252" s="32" t="str">
        <f>IFERROR(__xludf.DUMMYFUNCTION("""COMPUTED_VALUE"""),"Fire Cannon Ball")</f>
        <v>Fire Cannon Ball</v>
      </c>
      <c r="H252" s="35" t="str">
        <f>IFERROR(__xludf.DUMMYFUNCTION("""COMPUTED_VALUE"""),"16-20")</f>
        <v>16-20</v>
      </c>
      <c r="I252" s="32" t="str">
        <f>IFERROR(__xludf.DUMMYFUNCTION("""COMPUTED_VALUE"""),"Cannon Ball")</f>
        <v>Cannon Ball</v>
      </c>
      <c r="J252" s="35" t="str">
        <f>IFERROR(__xludf.DUMMYFUNCTION("""COMPUTED_VALUE"""),"21-25")</f>
        <v>21-25</v>
      </c>
      <c r="K252" s="32" t="str">
        <f>IFERROR(__xludf.DUMMYFUNCTION("""COMPUTED_VALUE"""),"Nothing")</f>
        <v>Nothing</v>
      </c>
      <c r="L252" s="32"/>
      <c r="M252" s="32"/>
      <c r="N252" s="32"/>
      <c r="O252" s="32"/>
      <c r="P252" s="32"/>
      <c r="Q252" s="32"/>
      <c r="R252" s="32"/>
      <c r="S252" s="32"/>
      <c r="T252" s="32"/>
      <c r="U252" s="32"/>
      <c r="V252" s="32"/>
      <c r="W252" s="32"/>
      <c r="X252" s="32"/>
    </row>
    <row r="253">
      <c r="A253" s="32" t="str">
        <f>IFERROR(__xludf.DUMMYFUNCTION("""COMPUTED_VALUE"""),"Submarine")</f>
        <v>Submarine</v>
      </c>
      <c r="B253" s="35" t="str">
        <f>IFERROR(__xludf.DUMMYFUNCTION("""COMPUTED_VALUE"""),"1-5")</f>
        <v>1-5</v>
      </c>
      <c r="C253" s="32" t="str">
        <f>IFERROR(__xludf.DUMMYFUNCTION("""COMPUTED_VALUE"""),"Steel")</f>
        <v>Steel</v>
      </c>
      <c r="D253" s="35" t="str">
        <f>IFERROR(__xludf.DUMMYFUNCTION("""COMPUTED_VALUE"""),"6-10")</f>
        <v>6-10</v>
      </c>
      <c r="E253" s="32" t="str">
        <f>IFERROR(__xludf.DUMMYFUNCTION("""COMPUTED_VALUE"""),"Torpedo")</f>
        <v>Torpedo</v>
      </c>
      <c r="F253" s="35" t="str">
        <f>IFERROR(__xludf.DUMMYFUNCTION("""COMPUTED_VALUE"""),"11-15")</f>
        <v>11-15</v>
      </c>
      <c r="G253" s="32" t="str">
        <f>IFERROR(__xludf.DUMMYFUNCTION("""COMPUTED_VALUE"""),"Torpedo Launcher")</f>
        <v>Torpedo Launcher</v>
      </c>
      <c r="H253" s="35" t="str">
        <f>IFERROR(__xludf.DUMMYFUNCTION("""COMPUTED_VALUE"""),"16-20")</f>
        <v>16-20</v>
      </c>
      <c r="I253" s="32" t="str">
        <f>IFERROR(__xludf.DUMMYFUNCTION("""COMPUTED_VALUE"""),"Treasure Chest Key (Non-Magical)")</f>
        <v>Treasure Chest Key (Non-Magical)</v>
      </c>
      <c r="J253" s="35" t="str">
        <f>IFERROR(__xludf.DUMMYFUNCTION("""COMPUTED_VALUE"""),"21-25")</f>
        <v>21-25</v>
      </c>
      <c r="K253" s="32" t="str">
        <f>IFERROR(__xludf.DUMMYFUNCTION("""COMPUTED_VALUE"""),"Tier 2 Treasure Chest (Non-Magical)")</f>
        <v>Tier 2 Treasure Chest (Non-Magical)</v>
      </c>
      <c r="L253" s="32"/>
      <c r="M253" s="32"/>
      <c r="N253" s="32"/>
      <c r="O253" s="32"/>
      <c r="P253" s="32"/>
      <c r="Q253" s="32"/>
      <c r="R253" s="32"/>
      <c r="S253" s="32"/>
      <c r="T253" s="32"/>
      <c r="U253" s="32"/>
      <c r="V253" s="32"/>
      <c r="W253" s="32"/>
      <c r="X253" s="32"/>
    </row>
    <row r="254">
      <c r="A254" s="32" t="str">
        <f>IFERROR(__xludf.DUMMYFUNCTION("""COMPUTED_VALUE"""),"Vampire Soldier")</f>
        <v>Vampire Soldier</v>
      </c>
      <c r="B254" s="35" t="str">
        <f>IFERROR(__xludf.DUMMYFUNCTION("""COMPUTED_VALUE"""),"1-5")</f>
        <v>1-5</v>
      </c>
      <c r="C254" s="32" t="str">
        <f>IFERROR(__xludf.DUMMYFUNCTION("""COMPUTED_VALUE"""),"A Jar of Blood")</f>
        <v>A Jar of Blood</v>
      </c>
      <c r="D254" s="35" t="str">
        <f>IFERROR(__xludf.DUMMYFUNCTION("""COMPUTED_VALUE"""),"6-10")</f>
        <v>6-10</v>
      </c>
      <c r="E254" s="32" t="str">
        <f>IFERROR(__xludf.DUMMYFUNCTION("""COMPUTED_VALUE"""),"Vampires Tooth")</f>
        <v>Vampires Tooth</v>
      </c>
      <c r="F254" s="35" t="str">
        <f>IFERROR(__xludf.DUMMYFUNCTION("""COMPUTED_VALUE"""),"11-15")</f>
        <v>11-15</v>
      </c>
      <c r="G254" s="32" t="str">
        <f>IFERROR(__xludf.DUMMYFUNCTION("""COMPUTED_VALUE"""),"Sword of the Vampire’s Lust")</f>
        <v>Sword of the Vampire’s Lust</v>
      </c>
      <c r="H254" s="35" t="str">
        <f>IFERROR(__xludf.DUMMYFUNCTION("""COMPUTED_VALUE"""),"16-20")</f>
        <v>16-20</v>
      </c>
      <c r="I254" s="32" t="str">
        <f>IFERROR(__xludf.DUMMYFUNCTION("""COMPUTED_VALUE"""),"Soul")</f>
        <v>Soul</v>
      </c>
      <c r="J254" s="35" t="str">
        <f>IFERROR(__xludf.DUMMYFUNCTION("""COMPUTED_VALUE"""),"21-25")</f>
        <v>21-25</v>
      </c>
      <c r="K254" s="32" t="str">
        <f>IFERROR(__xludf.DUMMYFUNCTION("""COMPUTED_VALUE"""),"1,000,000UC-20,000,000UC")</f>
        <v>1,000,000UC-20,000,000UC</v>
      </c>
      <c r="L254" s="32"/>
      <c r="M254" s="32"/>
      <c r="N254" s="32"/>
      <c r="O254" s="32"/>
      <c r="P254" s="32"/>
      <c r="Q254" s="32"/>
      <c r="R254" s="32"/>
      <c r="S254" s="32"/>
      <c r="T254" s="32"/>
      <c r="U254" s="32"/>
      <c r="V254" s="32"/>
      <c r="W254" s="32"/>
      <c r="X254" s="32"/>
    </row>
    <row r="255">
      <c r="A255" s="32" t="str">
        <f>IFERROR(__xludf.DUMMYFUNCTION("""COMPUTED_VALUE"""),"Demon ")</f>
        <v>Demon </v>
      </c>
      <c r="B255" s="35" t="str">
        <f>IFERROR(__xludf.DUMMYFUNCTION("""COMPUTED_VALUE"""),"1-5")</f>
        <v>1-5</v>
      </c>
      <c r="C255" s="32" t="str">
        <f>IFERROR(__xludf.DUMMYFUNCTION("""COMPUTED_VALUE"""),"Egg")</f>
        <v>Egg</v>
      </c>
      <c r="D255" s="35" t="str">
        <f>IFERROR(__xludf.DUMMYFUNCTION("""COMPUTED_VALUE"""),"6-10")</f>
        <v>6-10</v>
      </c>
      <c r="E255" s="32" t="str">
        <f>IFERROR(__xludf.DUMMYFUNCTION("""COMPUTED_VALUE"""),"Heart of the Demon")</f>
        <v>Heart of the Demon</v>
      </c>
      <c r="F255" s="35" t="str">
        <f>IFERROR(__xludf.DUMMYFUNCTION("""COMPUTED_VALUE"""),"11-15")</f>
        <v>11-15</v>
      </c>
      <c r="G255" s="32" t="str">
        <f>IFERROR(__xludf.DUMMYFUNCTION("""COMPUTED_VALUE"""),"Demon Claw")</f>
        <v>Demon Claw</v>
      </c>
      <c r="H255" s="35" t="str">
        <f>IFERROR(__xludf.DUMMYFUNCTION("""COMPUTED_VALUE"""),"16-20")</f>
        <v>16-20</v>
      </c>
      <c r="I255" s="32" t="str">
        <f>IFERROR(__xludf.DUMMYFUNCTION("""COMPUTED_VALUE"""),"Demons Eye")</f>
        <v>Demons Eye</v>
      </c>
      <c r="J255" s="35" t="str">
        <f>IFERROR(__xludf.DUMMYFUNCTION("""COMPUTED_VALUE"""),"21-25")</f>
        <v>21-25</v>
      </c>
      <c r="K255" s="32" t="str">
        <f>IFERROR(__xludf.DUMMYFUNCTION("""COMPUTED_VALUE"""),"Soul")</f>
        <v>Soul</v>
      </c>
      <c r="L255" s="32"/>
      <c r="M255" s="32"/>
      <c r="N255" s="32"/>
      <c r="O255" s="32"/>
      <c r="P255" s="32"/>
      <c r="Q255" s="32"/>
      <c r="R255" s="32"/>
      <c r="S255" s="32"/>
      <c r="T255" s="32"/>
      <c r="U255" s="32"/>
      <c r="V255" s="32"/>
      <c r="W255" s="32"/>
      <c r="X255" s="32"/>
    </row>
    <row r="256">
      <c r="A256" s="32" t="str">
        <f>IFERROR(__xludf.DUMMYFUNCTION("""COMPUTED_VALUE"""),"Deimos")</f>
        <v>Deimos</v>
      </c>
      <c r="B256" s="35" t="str">
        <f>IFERROR(__xludf.DUMMYFUNCTION("""COMPUTED_VALUE"""),"1-5")</f>
        <v>1-5</v>
      </c>
      <c r="C256" s="32" t="str">
        <f>IFERROR(__xludf.DUMMYFUNCTION("""COMPUTED_VALUE"""),"Demon Blood")</f>
        <v>Demon Blood</v>
      </c>
      <c r="D256" s="35" t="str">
        <f>IFERROR(__xludf.DUMMYFUNCTION("""COMPUTED_VALUE"""),"6-10")</f>
        <v>6-10</v>
      </c>
      <c r="E256" s="32" t="str">
        <f>IFERROR(__xludf.DUMMYFUNCTION("""COMPUTED_VALUE"""),"Demon Skull")</f>
        <v>Demon Skull</v>
      </c>
      <c r="F256" s="35" t="str">
        <f>IFERROR(__xludf.DUMMYFUNCTION("""COMPUTED_VALUE"""),"11-15")</f>
        <v>11-15</v>
      </c>
      <c r="G256" s="32" t="str">
        <f>IFERROR(__xludf.DUMMYFUNCTION("""COMPUTED_VALUE"""),"Demons Eye")</f>
        <v>Demons Eye</v>
      </c>
      <c r="H256" s="35" t="str">
        <f>IFERROR(__xludf.DUMMYFUNCTION("""COMPUTED_VALUE"""),"16-20")</f>
        <v>16-20</v>
      </c>
      <c r="I256" s="32" t="str">
        <f>IFERROR(__xludf.DUMMYFUNCTION("""COMPUTED_VALUE"""),"Demon Core")</f>
        <v>Demon Core</v>
      </c>
      <c r="J256" s="35" t="str">
        <f>IFERROR(__xludf.DUMMYFUNCTION("""COMPUTED_VALUE"""),"21-25")</f>
        <v>21-25</v>
      </c>
      <c r="K256" s="32" t="str">
        <f>IFERROR(__xludf.DUMMYFUNCTION("""COMPUTED_VALUE"""),"Soul")</f>
        <v>Soul</v>
      </c>
      <c r="L256" s="32"/>
      <c r="M256" s="32"/>
      <c r="N256" s="32"/>
      <c r="O256" s="32"/>
      <c r="P256" s="32"/>
      <c r="Q256" s="32"/>
      <c r="R256" s="32"/>
      <c r="S256" s="32"/>
      <c r="T256" s="32"/>
      <c r="U256" s="32"/>
      <c r="V256" s="32"/>
      <c r="W256" s="32"/>
      <c r="X256" s="32"/>
    </row>
    <row r="257">
      <c r="A257" s="32" t="str">
        <f>IFERROR(__xludf.DUMMYFUNCTION("""COMPUTED_VALUE"""),"Hellmore The Soul Keeper")</f>
        <v>Hellmore The Soul Keeper</v>
      </c>
      <c r="B257" s="35" t="str">
        <f>IFERROR(__xludf.DUMMYFUNCTION("""COMPUTED_VALUE"""),"1-5")</f>
        <v>1-5</v>
      </c>
      <c r="C257" s="32" t="str">
        <f>IFERROR(__xludf.DUMMYFUNCTION("""COMPUTED_VALUE"""),"100,000,000UC-500,000,000UC")</f>
        <v>100,000,000UC-500,000,000UC</v>
      </c>
      <c r="D257" s="35" t="str">
        <f>IFERROR(__xludf.DUMMYFUNCTION("""COMPUTED_VALUE"""),"6-10")</f>
        <v>6-10</v>
      </c>
      <c r="E257" s="32" t="str">
        <f>IFERROR(__xludf.DUMMYFUNCTION("""COMPUTED_VALUE"""),"Fire Ring")</f>
        <v>Fire Ring</v>
      </c>
      <c r="F257" s="35" t="str">
        <f>IFERROR(__xludf.DUMMYFUNCTION("""COMPUTED_VALUE"""),"11-15")</f>
        <v>11-15</v>
      </c>
      <c r="G257" s="32" t="str">
        <f>IFERROR(__xludf.DUMMYFUNCTION("""COMPUTED_VALUE"""),"Flaming Sword")</f>
        <v>Flaming Sword</v>
      </c>
      <c r="H257" s="35" t="str">
        <f>IFERROR(__xludf.DUMMYFUNCTION("""COMPUTED_VALUE"""),"16-20")</f>
        <v>16-20</v>
      </c>
      <c r="I257" s="32" t="str">
        <f>IFERROR(__xludf.DUMMYFUNCTION("""COMPUTED_VALUE"""),"Soul")</f>
        <v>Soul</v>
      </c>
      <c r="J257" s="35" t="str">
        <f>IFERROR(__xludf.DUMMYFUNCTION("""COMPUTED_VALUE"""),"21-25")</f>
        <v>21-25</v>
      </c>
      <c r="K257" s="32" t="str">
        <f>IFERROR(__xludf.DUMMYFUNCTION("""COMPUTED_VALUE"""),"Nothing")</f>
        <v>Nothing</v>
      </c>
      <c r="L257" s="32"/>
      <c r="M257" s="32"/>
      <c r="N257" s="32"/>
      <c r="O257" s="32"/>
      <c r="P257" s="32"/>
      <c r="Q257" s="32"/>
      <c r="R257" s="32"/>
      <c r="S257" s="32"/>
      <c r="T257" s="32"/>
      <c r="U257" s="32"/>
      <c r="V257" s="32"/>
      <c r="W257" s="32"/>
      <c r="X257" s="32"/>
    </row>
    <row r="258">
      <c r="A258" s="32" t="str">
        <f>IFERROR(__xludf.DUMMYFUNCTION("""COMPUTED_VALUE"""),"Lava Lizard")</f>
        <v>Lava Lizard</v>
      </c>
      <c r="B258" s="35" t="str">
        <f>IFERROR(__xludf.DUMMYFUNCTION("""COMPUTED_VALUE"""),"1-5")</f>
        <v>1-5</v>
      </c>
      <c r="C258" s="32" t="str">
        <f>IFERROR(__xludf.DUMMYFUNCTION("""COMPUTED_VALUE"""),"Volcanic Teeth")</f>
        <v>Volcanic Teeth</v>
      </c>
      <c r="D258" s="35" t="str">
        <f>IFERROR(__xludf.DUMMYFUNCTION("""COMPUTED_VALUE"""),"6-10")</f>
        <v>6-10</v>
      </c>
      <c r="E258" s="32" t="str">
        <f>IFERROR(__xludf.DUMMYFUNCTION("""COMPUTED_VALUE"""),"1,000,000UC-20,000,000UC")</f>
        <v>1,000,000UC-20,000,000UC</v>
      </c>
      <c r="F258" s="35" t="str">
        <f>IFERROR(__xludf.DUMMYFUNCTION("""COMPUTED_VALUE"""),"11-15")</f>
        <v>11-15</v>
      </c>
      <c r="G258" s="32" t="str">
        <f>IFERROR(__xludf.DUMMYFUNCTION("""COMPUTED_VALUE"""),"Fire Diamond")</f>
        <v>Fire Diamond</v>
      </c>
      <c r="H258" s="35" t="str">
        <f>IFERROR(__xludf.DUMMYFUNCTION("""COMPUTED_VALUE"""),"16-20")</f>
        <v>16-20</v>
      </c>
      <c r="I258" s="32" t="str">
        <f>IFERROR(__xludf.DUMMYFUNCTION("""COMPUTED_VALUE"""),"Soul")</f>
        <v>Soul</v>
      </c>
      <c r="J258" s="35" t="str">
        <f>IFERROR(__xludf.DUMMYFUNCTION("""COMPUTED_VALUE"""),"21-25")</f>
        <v>21-25</v>
      </c>
      <c r="K258" s="32" t="str">
        <f>IFERROR(__xludf.DUMMYFUNCTION("""COMPUTED_VALUE"""),"Egg")</f>
        <v>Egg</v>
      </c>
      <c r="L258" s="32"/>
      <c r="M258" s="32"/>
      <c r="N258" s="32"/>
      <c r="O258" s="32"/>
      <c r="P258" s="32"/>
      <c r="Q258" s="32"/>
      <c r="R258" s="32"/>
      <c r="S258" s="32"/>
      <c r="T258" s="32"/>
      <c r="U258" s="32"/>
      <c r="V258" s="32"/>
      <c r="W258" s="32"/>
      <c r="X258" s="32"/>
    </row>
    <row r="259">
      <c r="A259" s="32" t="str">
        <f>IFERROR(__xludf.DUMMYFUNCTION("""COMPUTED_VALUE"""),"Volcanic Lava Dragon")</f>
        <v>Volcanic Lava Dragon</v>
      </c>
      <c r="B259" s="35" t="str">
        <f>IFERROR(__xludf.DUMMYFUNCTION("""COMPUTED_VALUE"""),"1-5")</f>
        <v>1-5</v>
      </c>
      <c r="C259" s="32" t="str">
        <f>IFERROR(__xludf.DUMMYFUNCTION("""COMPUTED_VALUE"""),"Dragon Orb")</f>
        <v>Dragon Orb</v>
      </c>
      <c r="D259" s="35" t="str">
        <f>IFERROR(__xludf.DUMMYFUNCTION("""COMPUTED_VALUE"""),"6-10")</f>
        <v>6-10</v>
      </c>
      <c r="E259" s="32" t="str">
        <f>IFERROR(__xludf.DUMMYFUNCTION("""COMPUTED_VALUE"""),"Dragon's Skull")</f>
        <v>Dragon's Skull</v>
      </c>
      <c r="F259" s="35" t="str">
        <f>IFERROR(__xludf.DUMMYFUNCTION("""COMPUTED_VALUE"""),"11-15")</f>
        <v>11-15</v>
      </c>
      <c r="G259" s="32" t="str">
        <f>IFERROR(__xludf.DUMMYFUNCTION("""COMPUTED_VALUE"""),"100,000,000UC-500,000,000UC")</f>
        <v>100,000,000UC-500,000,000UC</v>
      </c>
      <c r="H259" s="35" t="str">
        <f>IFERROR(__xludf.DUMMYFUNCTION("""COMPUTED_VALUE"""),"16-20")</f>
        <v>16-20</v>
      </c>
      <c r="I259" s="32" t="str">
        <f>IFERROR(__xludf.DUMMYFUNCTION("""COMPUTED_VALUE"""),"Soul")</f>
        <v>Soul</v>
      </c>
      <c r="J259" s="35" t="str">
        <f>IFERROR(__xludf.DUMMYFUNCTION("""COMPUTED_VALUE"""),"21-25")</f>
        <v>21-25</v>
      </c>
      <c r="K259" s="32" t="str">
        <f>IFERROR(__xludf.DUMMYFUNCTION("""COMPUTED_VALUE"""),"Egg")</f>
        <v>Egg</v>
      </c>
      <c r="L259" s="32"/>
      <c r="M259" s="32"/>
      <c r="N259" s="32"/>
      <c r="O259" s="32"/>
      <c r="P259" s="32"/>
      <c r="Q259" s="32"/>
      <c r="R259" s="32"/>
      <c r="S259" s="32"/>
      <c r="T259" s="32"/>
      <c r="U259" s="32"/>
      <c r="V259" s="32"/>
      <c r="W259" s="32"/>
      <c r="X259" s="32"/>
    </row>
    <row r="260">
      <c r="A260" s="32" t="str">
        <f>IFERROR(__xludf.DUMMYFUNCTION("""COMPUTED_VALUE"""),"Volcanic Serpent")</f>
        <v>Volcanic Serpent</v>
      </c>
      <c r="B260" s="35" t="str">
        <f>IFERROR(__xludf.DUMMYFUNCTION("""COMPUTED_VALUE"""),"1-5")</f>
        <v>1-5</v>
      </c>
      <c r="C260" s="32" t="str">
        <f>IFERROR(__xludf.DUMMYFUNCTION("""COMPUTED_VALUE"""),"Volcanic Serpent Teeth ")</f>
        <v>Volcanic Serpent Teeth </v>
      </c>
      <c r="D260" s="35" t="str">
        <f>IFERROR(__xludf.DUMMYFUNCTION("""COMPUTED_VALUE"""),"6-10")</f>
        <v>6-10</v>
      </c>
      <c r="E260" s="32" t="str">
        <f>IFERROR(__xludf.DUMMYFUNCTION("""COMPUTED_VALUE"""),"Volcanic Serpent Scales")</f>
        <v>Volcanic Serpent Scales</v>
      </c>
      <c r="F260" s="35" t="str">
        <f>IFERROR(__xludf.DUMMYFUNCTION("""COMPUTED_VALUE"""),"11-15")</f>
        <v>11-15</v>
      </c>
      <c r="G260" s="32" t="str">
        <f>IFERROR(__xludf.DUMMYFUNCTION("""COMPUTED_VALUE"""),"500,000,000UC-1,000,000,000UC")</f>
        <v>500,000,000UC-1,000,000,000UC</v>
      </c>
      <c r="H260" s="35" t="str">
        <f>IFERROR(__xludf.DUMMYFUNCTION("""COMPUTED_VALUE"""),"16-20")</f>
        <v>16-20</v>
      </c>
      <c r="I260" s="32" t="str">
        <f>IFERROR(__xludf.DUMMYFUNCTION("""COMPUTED_VALUE"""),"Soul")</f>
        <v>Soul</v>
      </c>
      <c r="J260" s="35" t="str">
        <f>IFERROR(__xludf.DUMMYFUNCTION("""COMPUTED_VALUE"""),"21-25")</f>
        <v>21-25</v>
      </c>
      <c r="K260" s="32" t="str">
        <f>IFERROR(__xludf.DUMMYFUNCTION("""COMPUTED_VALUE"""),"Egg")</f>
        <v>Egg</v>
      </c>
      <c r="L260" s="32"/>
      <c r="M260" s="32"/>
      <c r="N260" s="32"/>
      <c r="O260" s="32"/>
      <c r="P260" s="32"/>
      <c r="Q260" s="32"/>
      <c r="R260" s="32"/>
      <c r="S260" s="32"/>
      <c r="T260" s="32"/>
      <c r="U260" s="32"/>
      <c r="V260" s="32"/>
      <c r="W260" s="32"/>
      <c r="X260" s="32"/>
    </row>
    <row r="261">
      <c r="A261" s="32" t="str">
        <f>IFERROR(__xludf.DUMMYFUNCTION("""COMPUTED_VALUE"""),"Lava Panther")</f>
        <v>Lava Panther</v>
      </c>
      <c r="B261" s="35" t="str">
        <f>IFERROR(__xludf.DUMMYFUNCTION("""COMPUTED_VALUE"""),"1-5")</f>
        <v>1-5</v>
      </c>
      <c r="C261" s="32" t="str">
        <f>IFERROR(__xludf.DUMMYFUNCTION("""COMPUTED_VALUE"""),"Lava Panther Leather")</f>
        <v>Lava Panther Leather</v>
      </c>
      <c r="D261" s="35" t="str">
        <f>IFERROR(__xludf.DUMMYFUNCTION("""COMPUTED_VALUE"""),"6-10")</f>
        <v>6-10</v>
      </c>
      <c r="E261" s="32" t="str">
        <f>IFERROR(__xludf.DUMMYFUNCTION("""COMPUTED_VALUE"""),"Lava Longsword")</f>
        <v>Lava Longsword</v>
      </c>
      <c r="F261" s="35" t="str">
        <f>IFERROR(__xludf.DUMMYFUNCTION("""COMPUTED_VALUE"""),"11-15")</f>
        <v>11-15</v>
      </c>
      <c r="G261" s="32" t="str">
        <f>IFERROR(__xludf.DUMMYFUNCTION("""COMPUTED_VALUE"""),"Volcanic Teeth")</f>
        <v>Volcanic Teeth</v>
      </c>
      <c r="H261" s="35" t="str">
        <f>IFERROR(__xludf.DUMMYFUNCTION("""COMPUTED_VALUE"""),"16-20")</f>
        <v>16-20</v>
      </c>
      <c r="I261" s="32" t="str">
        <f>IFERROR(__xludf.DUMMYFUNCTION("""COMPUTED_VALUE"""),"Soul")</f>
        <v>Soul</v>
      </c>
      <c r="J261" s="35" t="str">
        <f>IFERROR(__xludf.DUMMYFUNCTION("""COMPUTED_VALUE"""),"21-25")</f>
        <v>21-25</v>
      </c>
      <c r="K261" s="32" t="str">
        <f>IFERROR(__xludf.DUMMYFUNCTION("""COMPUTED_VALUE"""),"Egg")</f>
        <v>Egg</v>
      </c>
      <c r="L261" s="32"/>
      <c r="M261" s="32"/>
      <c r="N261" s="32"/>
      <c r="O261" s="32"/>
      <c r="P261" s="32"/>
      <c r="Q261" s="32"/>
      <c r="R261" s="32"/>
      <c r="S261" s="32"/>
      <c r="T261" s="32"/>
      <c r="U261" s="32"/>
      <c r="V261" s="32"/>
      <c r="W261" s="32"/>
      <c r="X261" s="32"/>
    </row>
    <row r="262">
      <c r="A262" s="32" t="str">
        <f>IFERROR(__xludf.DUMMYFUNCTION("""COMPUTED_VALUE"""),"Grand Dark &amp; Fire Mage")</f>
        <v>Grand Dark &amp; Fire Mage</v>
      </c>
      <c r="B262" s="35" t="str">
        <f>IFERROR(__xludf.DUMMYFUNCTION("""COMPUTED_VALUE"""),"1-5")</f>
        <v>1-5</v>
      </c>
      <c r="C262" s="32" t="str">
        <f>IFERROR(__xludf.DUMMYFUNCTION("""COMPUTED_VALUE"""),"The Grand Staff of Evil Flames")</f>
        <v>The Grand Staff of Evil Flames</v>
      </c>
      <c r="D262" s="35" t="str">
        <f>IFERROR(__xludf.DUMMYFUNCTION("""COMPUTED_VALUE"""),"6-10")</f>
        <v>6-10</v>
      </c>
      <c r="E262" s="32" t="str">
        <f>IFERROR(__xludf.DUMMYFUNCTION("""COMPUTED_VALUE"""),"40,000,000UC-60,000,000UC")</f>
        <v>40,000,000UC-60,000,000UC</v>
      </c>
      <c r="F262" s="35" t="str">
        <f>IFERROR(__xludf.DUMMYFUNCTION("""COMPUTED_VALUE"""),"11-15")</f>
        <v>11-15</v>
      </c>
      <c r="G262" s="32" t="str">
        <f>IFERROR(__xludf.DUMMYFUNCTION("""COMPUTED_VALUE"""),"1,000,000UC-20,000,000UC")</f>
        <v>1,000,000UC-20,000,000UC</v>
      </c>
      <c r="H262" s="35" t="str">
        <f>IFERROR(__xludf.DUMMYFUNCTION("""COMPUTED_VALUE"""),"16-20")</f>
        <v>16-20</v>
      </c>
      <c r="I262" s="32" t="str">
        <f>IFERROR(__xludf.DUMMYFUNCTION("""COMPUTED_VALUE"""),"Soul")</f>
        <v>Soul</v>
      </c>
      <c r="J262" s="35" t="str">
        <f>IFERROR(__xludf.DUMMYFUNCTION("""COMPUTED_VALUE"""),"21-25")</f>
        <v>21-25</v>
      </c>
      <c r="K262" s="32" t="str">
        <f>IFERROR(__xludf.DUMMYFUNCTION("""COMPUTED_VALUE"""),"Nothing")</f>
        <v>Nothing</v>
      </c>
      <c r="L262" s="32"/>
      <c r="M262" s="32"/>
      <c r="N262" s="32"/>
      <c r="O262" s="32"/>
      <c r="P262" s="32"/>
      <c r="Q262" s="32"/>
      <c r="R262" s="32"/>
      <c r="S262" s="32"/>
      <c r="T262" s="32"/>
      <c r="U262" s="32"/>
      <c r="V262" s="32"/>
      <c r="W262" s="32"/>
      <c r="X262" s="32"/>
    </row>
    <row r="263">
      <c r="A263" s="32" t="str">
        <f>IFERROR(__xludf.DUMMYFUNCTION("""COMPUTED_VALUE"""),"Grand Fire Elemental")</f>
        <v>Grand Fire Elemental</v>
      </c>
      <c r="B263" s="35" t="str">
        <f>IFERROR(__xludf.DUMMYFUNCTION("""COMPUTED_VALUE"""),"1-5")</f>
        <v>1-5</v>
      </c>
      <c r="C263" s="32" t="str">
        <f>IFERROR(__xludf.DUMMYFUNCTION("""COMPUTED_VALUE"""),"Fire Gem")</f>
        <v>Fire Gem</v>
      </c>
      <c r="D263" s="35" t="str">
        <f>IFERROR(__xludf.DUMMYFUNCTION("""COMPUTED_VALUE"""),"6-10")</f>
        <v>6-10</v>
      </c>
      <c r="E263" s="32" t="str">
        <f>IFERROR(__xludf.DUMMYFUNCTION("""COMPUTED_VALUE"""),"Dreading Wand Of Fire")</f>
        <v>Dreading Wand Of Fire</v>
      </c>
      <c r="F263" s="35" t="str">
        <f>IFERROR(__xludf.DUMMYFUNCTION("""COMPUTED_VALUE"""),"11-15")</f>
        <v>11-15</v>
      </c>
      <c r="G263" s="32" t="str">
        <f>IFERROR(__xludf.DUMMYFUNCTION("""COMPUTED_VALUE"""),"40,000UC-60,000UC")</f>
        <v>40,000UC-60,000UC</v>
      </c>
      <c r="H263" s="35" t="str">
        <f>IFERROR(__xludf.DUMMYFUNCTION("""COMPUTED_VALUE"""),"16-20")</f>
        <v>16-20</v>
      </c>
      <c r="I263" s="32" t="str">
        <f>IFERROR(__xludf.DUMMYFUNCTION("""COMPUTED_VALUE"""),"60,000UC-80,000UC")</f>
        <v>60,000UC-80,000UC</v>
      </c>
      <c r="J263" s="35" t="str">
        <f>IFERROR(__xludf.DUMMYFUNCTION("""COMPUTED_VALUE"""),"21-25")</f>
        <v>21-25</v>
      </c>
      <c r="K263" s="32" t="str">
        <f>IFERROR(__xludf.DUMMYFUNCTION("""COMPUTED_VALUE"""),"Soul")</f>
        <v>Soul</v>
      </c>
      <c r="L263" s="32"/>
      <c r="M263" s="32"/>
      <c r="N263" s="32"/>
      <c r="O263" s="32"/>
      <c r="P263" s="32"/>
      <c r="Q263" s="32"/>
      <c r="R263" s="32"/>
      <c r="S263" s="32"/>
      <c r="T263" s="32"/>
      <c r="U263" s="32"/>
      <c r="V263" s="32"/>
      <c r="W263" s="32"/>
      <c r="X263" s="32"/>
    </row>
    <row r="264">
      <c r="A264" s="32" t="str">
        <f>IFERROR(__xludf.DUMMYFUNCTION("""COMPUTED_VALUE"""),"Straitzo The Vampire Warrior")</f>
        <v>Straitzo The Vampire Warrior</v>
      </c>
      <c r="B264" s="35" t="str">
        <f>IFERROR(__xludf.DUMMYFUNCTION("""COMPUTED_VALUE"""),"1-5")</f>
        <v>1-5</v>
      </c>
      <c r="C264" s="32" t="str">
        <f>IFERROR(__xludf.DUMMYFUNCTION("""COMPUTED_VALUE"""),"A Jar of Blood")</f>
        <v>A Jar of Blood</v>
      </c>
      <c r="D264" s="35" t="str">
        <f>IFERROR(__xludf.DUMMYFUNCTION("""COMPUTED_VALUE"""),"6-10")</f>
        <v>6-10</v>
      </c>
      <c r="E264" s="32" t="str">
        <f>IFERROR(__xludf.DUMMYFUNCTION("""COMPUTED_VALUE"""),"Vampires Tooth")</f>
        <v>Vampires Tooth</v>
      </c>
      <c r="F264" s="35" t="str">
        <f>IFERROR(__xludf.DUMMYFUNCTION("""COMPUTED_VALUE"""),"11-15")</f>
        <v>11-15</v>
      </c>
      <c r="G264" s="32" t="str">
        <f>IFERROR(__xludf.DUMMYFUNCTION("""COMPUTED_VALUE"""),"Sword of the Vampire’s Lust")</f>
        <v>Sword of the Vampire’s Lust</v>
      </c>
      <c r="H264" s="35" t="str">
        <f>IFERROR(__xludf.DUMMYFUNCTION("""COMPUTED_VALUE"""),"16-20")</f>
        <v>16-20</v>
      </c>
      <c r="I264" s="32" t="str">
        <f>IFERROR(__xludf.DUMMYFUNCTION("""COMPUTED_VALUE"""),"1,000,000UC-20,000,000UC")</f>
        <v>1,000,000UC-20,000,000UC</v>
      </c>
      <c r="J264" s="35" t="str">
        <f>IFERROR(__xludf.DUMMYFUNCTION("""COMPUTED_VALUE"""),"21-25")</f>
        <v>21-25</v>
      </c>
      <c r="K264" s="32" t="str">
        <f>IFERROR(__xludf.DUMMYFUNCTION("""COMPUTED_VALUE"""),"Soul")</f>
        <v>Soul</v>
      </c>
      <c r="L264" s="32"/>
      <c r="M264" s="32"/>
      <c r="N264" s="32"/>
      <c r="O264" s="32"/>
      <c r="P264" s="32"/>
      <c r="Q264" s="32"/>
      <c r="R264" s="32"/>
      <c r="S264" s="32"/>
      <c r="T264" s="32"/>
      <c r="U264" s="32"/>
      <c r="V264" s="32"/>
      <c r="W264" s="32"/>
      <c r="X264" s="32"/>
    </row>
    <row r="265">
      <c r="A265" s="32" t="str">
        <f>IFERROR(__xludf.DUMMYFUNCTION("""COMPUTED_VALUE"""),"Cerberus Gatekeeper of Souls")</f>
        <v>Cerberus Gatekeeper of Souls</v>
      </c>
      <c r="B265" s="35" t="str">
        <f>IFERROR(__xludf.DUMMYFUNCTION("""COMPUTED_VALUE"""),"1-5")</f>
        <v>1-5</v>
      </c>
      <c r="C265" s="32" t="str">
        <f>IFERROR(__xludf.DUMMYFUNCTION("""COMPUTED_VALUE"""),"Demon Blood")</f>
        <v>Demon Blood</v>
      </c>
      <c r="D265" s="35" t="str">
        <f>IFERROR(__xludf.DUMMYFUNCTION("""COMPUTED_VALUE"""),"6-10")</f>
        <v>6-10</v>
      </c>
      <c r="E265" s="32" t="str">
        <f>IFERROR(__xludf.DUMMYFUNCTION("""COMPUTED_VALUE"""),"100,000,000UC-500,000,000UC")</f>
        <v>100,000,000UC-500,000,000UC</v>
      </c>
      <c r="F265" s="35" t="str">
        <f>IFERROR(__xludf.DUMMYFUNCTION("""COMPUTED_VALUE"""),"11-15")</f>
        <v>11-15</v>
      </c>
      <c r="G265" s="32" t="str">
        <f>IFERROR(__xludf.DUMMYFUNCTION("""COMPUTED_VALUE"""),"Nothing")</f>
        <v>Nothing</v>
      </c>
      <c r="H265" s="35" t="str">
        <f>IFERROR(__xludf.DUMMYFUNCTION("""COMPUTED_VALUE"""),"16-20")</f>
        <v>16-20</v>
      </c>
      <c r="I265" s="32" t="str">
        <f>IFERROR(__xludf.DUMMYFUNCTION("""COMPUTED_VALUE"""),"500,000,000UC-1,000,000,000UC")</f>
        <v>500,000,000UC-1,000,000,000UC</v>
      </c>
      <c r="J265" s="35" t="str">
        <f>IFERROR(__xludf.DUMMYFUNCTION("""COMPUTED_VALUE"""),"21-25")</f>
        <v>21-25</v>
      </c>
      <c r="K265" s="32" t="str">
        <f>IFERROR(__xludf.DUMMYFUNCTION("""COMPUTED_VALUE"""),"Soul")</f>
        <v>Soul</v>
      </c>
      <c r="L265" s="32"/>
      <c r="M265" s="32"/>
      <c r="N265" s="32"/>
      <c r="O265" s="32"/>
      <c r="P265" s="32"/>
      <c r="Q265" s="32"/>
      <c r="R265" s="32"/>
      <c r="S265" s="32"/>
      <c r="T265" s="32"/>
      <c r="U265" s="32"/>
      <c r="V265" s="32"/>
      <c r="W265" s="32"/>
      <c r="X265" s="32"/>
    </row>
    <row r="266">
      <c r="A266" s="32" t="str">
        <f>IFERROR(__xludf.DUMMYFUNCTION("""COMPUTED_VALUE"""),"Endless Dark Dragon")</f>
        <v>Endless Dark Dragon</v>
      </c>
      <c r="B266" s="35" t="str">
        <f>IFERROR(__xludf.DUMMYFUNCTION("""COMPUTED_VALUE"""),"1-5")</f>
        <v>1-5</v>
      </c>
      <c r="C266" s="32" t="str">
        <f>IFERROR(__xludf.DUMMYFUNCTION("""COMPUTED_VALUE"""),"Nothing")</f>
        <v>Nothing</v>
      </c>
      <c r="D266" s="35" t="str">
        <f>IFERROR(__xludf.DUMMYFUNCTION("""COMPUTED_VALUE"""),"6-10")</f>
        <v>6-10</v>
      </c>
      <c r="E266" s="32" t="str">
        <f>IFERROR(__xludf.DUMMYFUNCTION("""COMPUTED_VALUE"""),"Endless Dark Dragon Scales")</f>
        <v>Endless Dark Dragon Scales</v>
      </c>
      <c r="F266" s="35" t="str">
        <f>IFERROR(__xludf.DUMMYFUNCTION("""COMPUTED_VALUE"""),"11-15")</f>
        <v>11-15</v>
      </c>
      <c r="G266" s="32" t="str">
        <f>IFERROR(__xludf.DUMMYFUNCTION("""COMPUTED_VALUE"""),"500,000,000UC-1,000,000,000UC")</f>
        <v>500,000,000UC-1,000,000,000UC</v>
      </c>
      <c r="H266" s="35" t="str">
        <f>IFERROR(__xludf.DUMMYFUNCTION("""COMPUTED_VALUE"""),"16-20")</f>
        <v>16-20</v>
      </c>
      <c r="I266" s="32" t="str">
        <f>IFERROR(__xludf.DUMMYFUNCTION("""COMPUTED_VALUE"""),"Soul")</f>
        <v>Soul</v>
      </c>
      <c r="J266" s="35" t="str">
        <f>IFERROR(__xludf.DUMMYFUNCTION("""COMPUTED_VALUE"""),"21-25")</f>
        <v>21-25</v>
      </c>
      <c r="K266" s="32" t="str">
        <f>IFERROR(__xludf.DUMMYFUNCTION("""COMPUTED_VALUE"""),"Endless Dark Core")</f>
        <v>Endless Dark Core</v>
      </c>
      <c r="L266" s="32"/>
      <c r="M266" s="32"/>
      <c r="N266" s="32"/>
      <c r="O266" s="32"/>
      <c r="P266" s="32"/>
      <c r="Q266" s="32"/>
      <c r="R266" s="32"/>
      <c r="S266" s="32"/>
      <c r="T266" s="32"/>
      <c r="U266" s="32"/>
      <c r="V266" s="32"/>
      <c r="W266" s="32"/>
      <c r="X266" s="32"/>
    </row>
    <row r="267">
      <c r="A267" s="32" t="str">
        <f>IFERROR(__xludf.DUMMYFUNCTION("""COMPUTED_VALUE"""),"Giant Lava Frog ")</f>
        <v>Giant Lava Frog </v>
      </c>
      <c r="B267" s="35" t="str">
        <f>IFERROR(__xludf.DUMMYFUNCTION("""COMPUTED_VALUE"""),"1-5")</f>
        <v>1-5</v>
      </c>
      <c r="C267" s="32" t="str">
        <f>IFERROR(__xludf.DUMMYFUNCTION("""COMPUTED_VALUE"""),"60,000,000UC-80,000,000UC")</f>
        <v>60,000,000UC-80,000,000UC</v>
      </c>
      <c r="D267" s="35" t="str">
        <f>IFERROR(__xludf.DUMMYFUNCTION("""COMPUTED_VALUE"""),"6-10")</f>
        <v>6-10</v>
      </c>
      <c r="E267" s="32" t="str">
        <f>IFERROR(__xludf.DUMMYFUNCTION("""COMPUTED_VALUE"""),"Fire Diamond")</f>
        <v>Fire Diamond</v>
      </c>
      <c r="F267" s="35" t="str">
        <f>IFERROR(__xludf.DUMMYFUNCTION("""COMPUTED_VALUE"""),"11-15")</f>
        <v>11-15</v>
      </c>
      <c r="G267" s="32" t="str">
        <f>IFERROR(__xludf.DUMMYFUNCTION("""COMPUTED_VALUE"""),"80,000,000G-100,000,000G")</f>
        <v>80,000,000G-100,000,000G</v>
      </c>
      <c r="H267" s="35" t="str">
        <f>IFERROR(__xludf.DUMMYFUNCTION("""COMPUTED_VALUE"""),"16-20")</f>
        <v>16-20</v>
      </c>
      <c r="I267" s="32" t="str">
        <f>IFERROR(__xludf.DUMMYFUNCTION("""COMPUTED_VALUE"""),"Egg")</f>
        <v>Egg</v>
      </c>
      <c r="J267" s="35" t="str">
        <f>IFERROR(__xludf.DUMMYFUNCTION("""COMPUTED_VALUE"""),"21-25")</f>
        <v>21-25</v>
      </c>
      <c r="K267" s="32" t="str">
        <f>IFERROR(__xludf.DUMMYFUNCTION("""COMPUTED_VALUE"""),"Soul")</f>
        <v>Soul</v>
      </c>
      <c r="L267" s="32"/>
      <c r="M267" s="32"/>
      <c r="N267" s="32"/>
      <c r="O267" s="32"/>
      <c r="P267" s="32"/>
      <c r="Q267" s="32"/>
      <c r="R267" s="32"/>
      <c r="S267" s="32"/>
      <c r="T267" s="32"/>
      <c r="U267" s="32"/>
      <c r="V267" s="32"/>
      <c r="W267" s="32"/>
      <c r="X267" s="32"/>
    </row>
    <row r="268">
      <c r="A268" s="32" t="str">
        <f>IFERROR(__xludf.DUMMYFUNCTION("""COMPUTED_VALUE"""),"Lava Rat")</f>
        <v>Lava Rat</v>
      </c>
      <c r="B268" s="35" t="str">
        <f>IFERROR(__xludf.DUMMYFUNCTION("""COMPUTED_VALUE"""),"1-5")</f>
        <v>1-5</v>
      </c>
      <c r="C268" s="32" t="str">
        <f>IFERROR(__xludf.DUMMYFUNCTION("""COMPUTED_VALUE"""),"Fire Diamond")</f>
        <v>Fire Diamond</v>
      </c>
      <c r="D268" s="35" t="str">
        <f>IFERROR(__xludf.DUMMYFUNCTION("""COMPUTED_VALUE"""),"6-10")</f>
        <v>6-10</v>
      </c>
      <c r="E268" s="32" t="str">
        <f>IFERROR(__xludf.DUMMYFUNCTION("""COMPUTED_VALUE"""),"Giant Fire Diamond")</f>
        <v>Giant Fire Diamond</v>
      </c>
      <c r="F268" s="35" t="str">
        <f>IFERROR(__xludf.DUMMYFUNCTION("""COMPUTED_VALUE"""),"11-15")</f>
        <v>11-15</v>
      </c>
      <c r="G268" s="32" t="str">
        <f>IFERROR(__xludf.DUMMYFUNCTION("""COMPUTED_VALUE"""),"Volcanic Teeth")</f>
        <v>Volcanic Teeth</v>
      </c>
      <c r="H268" s="35" t="str">
        <f>IFERROR(__xludf.DUMMYFUNCTION("""COMPUTED_VALUE"""),"16-20")</f>
        <v>16-20</v>
      </c>
      <c r="I268" s="32" t="str">
        <f>IFERROR(__xludf.DUMMYFUNCTION("""COMPUTED_VALUE"""),"Soul")</f>
        <v>Soul</v>
      </c>
      <c r="J268" s="35" t="str">
        <f>IFERROR(__xludf.DUMMYFUNCTION("""COMPUTED_VALUE"""),"21-25")</f>
        <v>21-25</v>
      </c>
      <c r="K268" s="32" t="str">
        <f>IFERROR(__xludf.DUMMYFUNCTION("""COMPUTED_VALUE"""),"Egg")</f>
        <v>Egg</v>
      </c>
      <c r="L268" s="32"/>
      <c r="M268" s="32"/>
      <c r="N268" s="32"/>
      <c r="O268" s="32"/>
      <c r="P268" s="32"/>
      <c r="Q268" s="32"/>
      <c r="R268" s="32"/>
      <c r="S268" s="32"/>
      <c r="T268" s="32"/>
      <c r="U268" s="32"/>
      <c r="V268" s="32"/>
      <c r="W268" s="32"/>
      <c r="X268" s="32"/>
    </row>
    <row r="269">
      <c r="A269" s="32" t="str">
        <f>IFERROR(__xludf.DUMMYFUNCTION("""COMPUTED_VALUE"""),"Rat King")</f>
        <v>Rat King</v>
      </c>
      <c r="B269" s="35" t="str">
        <f>IFERROR(__xludf.DUMMYFUNCTION("""COMPUTED_VALUE"""),"1-5")</f>
        <v>1-5</v>
      </c>
      <c r="C269" s="32" t="str">
        <f>IFERROR(__xludf.DUMMYFUNCTION("""COMPUTED_VALUE"""),"Ring of Death")</f>
        <v>Ring of Death</v>
      </c>
      <c r="D269" s="35" t="str">
        <f>IFERROR(__xludf.DUMMYFUNCTION("""COMPUTED_VALUE"""),"6-10")</f>
        <v>6-10</v>
      </c>
      <c r="E269" s="32" t="str">
        <f>IFERROR(__xludf.DUMMYFUNCTION("""COMPUTED_VALUE"""),"500,000,000UC-1,000,000,000UC")</f>
        <v>500,000,000UC-1,000,000,000UC</v>
      </c>
      <c r="F269" s="35" t="str">
        <f>IFERROR(__xludf.DUMMYFUNCTION("""COMPUTED_VALUE"""),"11-15")</f>
        <v>11-15</v>
      </c>
      <c r="G269" s="32" t="str">
        <f>IFERROR(__xludf.DUMMYFUNCTION("""COMPUTED_VALUE"""),"Nothing")</f>
        <v>Nothing</v>
      </c>
      <c r="H269" s="35" t="str">
        <f>IFERROR(__xludf.DUMMYFUNCTION("""COMPUTED_VALUE"""),"16-20")</f>
        <v>16-20</v>
      </c>
      <c r="I269" s="32" t="str">
        <f>IFERROR(__xludf.DUMMYFUNCTION("""COMPUTED_VALUE"""),"Rat King's Crown")</f>
        <v>Rat King's Crown</v>
      </c>
      <c r="J269" s="35" t="str">
        <f>IFERROR(__xludf.DUMMYFUNCTION("""COMPUTED_VALUE"""),"21-25")</f>
        <v>21-25</v>
      </c>
      <c r="K269" s="32" t="str">
        <f>IFERROR(__xludf.DUMMYFUNCTION("""COMPUTED_VALUE"""),"Soul")</f>
        <v>Soul</v>
      </c>
      <c r="L269" s="32"/>
      <c r="M269" s="32"/>
      <c r="N269" s="32"/>
      <c r="O269" s="32"/>
      <c r="P269" s="32"/>
      <c r="Q269" s="32"/>
      <c r="R269" s="32"/>
      <c r="S269" s="32"/>
      <c r="T269" s="32"/>
      <c r="U269" s="32"/>
      <c r="V269" s="32"/>
      <c r="W269" s="32"/>
      <c r="X269" s="32"/>
    </row>
    <row r="270">
      <c r="A270" s="32" t="str">
        <f>IFERROR(__xludf.DUMMYFUNCTION("""COMPUTED_VALUE"""),"Magma Bear")</f>
        <v>Magma Bear</v>
      </c>
      <c r="B270" s="35" t="str">
        <f>IFERROR(__xludf.DUMMYFUNCTION("""COMPUTED_VALUE"""),"1-5")</f>
        <v>1-5</v>
      </c>
      <c r="C270" s="32" t="str">
        <f>IFERROR(__xludf.DUMMYFUNCTION("""COMPUTED_VALUE"""),"Magma Stone")</f>
        <v>Magma Stone</v>
      </c>
      <c r="D270" s="35" t="str">
        <f>IFERROR(__xludf.DUMMYFUNCTION("""COMPUTED_VALUE"""),"6-10")</f>
        <v>6-10</v>
      </c>
      <c r="E270" s="32" t="str">
        <f>IFERROR(__xludf.DUMMYFUNCTION("""COMPUTED_VALUE"""),"Volcanic Venison")</f>
        <v>Volcanic Venison</v>
      </c>
      <c r="F270" s="35" t="str">
        <f>IFERROR(__xludf.DUMMYFUNCTION("""COMPUTED_VALUE"""),"11-15")</f>
        <v>11-15</v>
      </c>
      <c r="G270" s="32" t="str">
        <f>IFERROR(__xludf.DUMMYFUNCTION("""COMPUTED_VALUE"""),"Volcanic Teeth")</f>
        <v>Volcanic Teeth</v>
      </c>
      <c r="H270" s="35" t="str">
        <f>IFERROR(__xludf.DUMMYFUNCTION("""COMPUTED_VALUE"""),"16-20")</f>
        <v>16-20</v>
      </c>
      <c r="I270" s="32" t="str">
        <f>IFERROR(__xludf.DUMMYFUNCTION("""COMPUTED_VALUE"""),"Soul")</f>
        <v>Soul</v>
      </c>
      <c r="J270" s="35" t="str">
        <f>IFERROR(__xludf.DUMMYFUNCTION("""COMPUTED_VALUE"""),"21-25")</f>
        <v>21-25</v>
      </c>
      <c r="K270" s="32" t="str">
        <f>IFERROR(__xludf.DUMMYFUNCTION("""COMPUTED_VALUE"""),"Egg")</f>
        <v>Egg</v>
      </c>
      <c r="L270" s="32"/>
      <c r="M270" s="32"/>
      <c r="N270" s="32"/>
      <c r="O270" s="32"/>
      <c r="P270" s="32"/>
      <c r="Q270" s="32"/>
      <c r="R270" s="32"/>
      <c r="S270" s="32"/>
      <c r="T270" s="32"/>
      <c r="U270" s="32"/>
      <c r="V270" s="32"/>
      <c r="W270" s="32"/>
      <c r="X270" s="32"/>
    </row>
    <row r="271">
      <c r="A271" s="32" t="str">
        <f>IFERROR(__xludf.DUMMYFUNCTION("""COMPUTED_VALUE"""),"Inferno Vulture")</f>
        <v>Inferno Vulture</v>
      </c>
      <c r="B271" s="35" t="str">
        <f>IFERROR(__xludf.DUMMYFUNCTION("""COMPUTED_VALUE"""),"1-5")</f>
        <v>1-5</v>
      </c>
      <c r="C271" s="32" t="str">
        <f>IFERROR(__xludf.DUMMYFUNCTION("""COMPUTED_VALUE"""),"Inferno Feather")</f>
        <v>Inferno Feather</v>
      </c>
      <c r="D271" s="35" t="str">
        <f>IFERROR(__xludf.DUMMYFUNCTION("""COMPUTED_VALUE"""),"6-10")</f>
        <v>6-10</v>
      </c>
      <c r="E271" s="32" t="str">
        <f>IFERROR(__xludf.DUMMYFUNCTION("""COMPUTED_VALUE"""),"1,000,000UC-20,000,000UC")</f>
        <v>1,000,000UC-20,000,000UC</v>
      </c>
      <c r="F271" s="35" t="str">
        <f>IFERROR(__xludf.DUMMYFUNCTION("""COMPUTED_VALUE"""),"11-15")</f>
        <v>11-15</v>
      </c>
      <c r="G271" s="32" t="str">
        <f>IFERROR(__xludf.DUMMYFUNCTION("""COMPUTED_VALUE"""),"Feather")</f>
        <v>Feather</v>
      </c>
      <c r="H271" s="35" t="str">
        <f>IFERROR(__xludf.DUMMYFUNCTION("""COMPUTED_VALUE"""),"16-20")</f>
        <v>16-20</v>
      </c>
      <c r="I271" s="32" t="str">
        <f>IFERROR(__xludf.DUMMYFUNCTION("""COMPUTED_VALUE"""),"Soul")</f>
        <v>Soul</v>
      </c>
      <c r="J271" s="35" t="str">
        <f>IFERROR(__xludf.DUMMYFUNCTION("""COMPUTED_VALUE"""),"21-25")</f>
        <v>21-25</v>
      </c>
      <c r="K271" s="32" t="str">
        <f>IFERROR(__xludf.DUMMYFUNCTION("""COMPUTED_VALUE"""),"Egg")</f>
        <v>Egg</v>
      </c>
      <c r="L271" s="32"/>
      <c r="M271" s="32"/>
      <c r="N271" s="32"/>
      <c r="O271" s="32"/>
      <c r="P271" s="32"/>
      <c r="Q271" s="32"/>
      <c r="R271" s="32"/>
      <c r="S271" s="32"/>
      <c r="T271" s="32"/>
      <c r="U271" s="32"/>
      <c r="V271" s="32"/>
      <c r="W271" s="32"/>
      <c r="X271" s="32"/>
    </row>
    <row r="272">
      <c r="A272" s="32" t="str">
        <f>IFERROR(__xludf.DUMMYFUNCTION("""COMPUTED_VALUE"""),"Lava Kraken")</f>
        <v>Lava Kraken</v>
      </c>
      <c r="B272" s="35" t="str">
        <f>IFERROR(__xludf.DUMMYFUNCTION("""COMPUTED_VALUE"""),"1-5")</f>
        <v>1-5</v>
      </c>
      <c r="C272" s="32" t="str">
        <f>IFERROR(__xludf.DUMMYFUNCTION("""COMPUTED_VALUE"""),"Squid Ink")</f>
        <v>Squid Ink</v>
      </c>
      <c r="D272" s="35" t="str">
        <f>IFERROR(__xludf.DUMMYFUNCTION("""COMPUTED_VALUE"""),"6-10")</f>
        <v>6-10</v>
      </c>
      <c r="E272" s="32" t="str">
        <f>IFERROR(__xludf.DUMMYFUNCTION("""COMPUTED_VALUE"""),"100,000,000UC-500,000,000UC")</f>
        <v>100,000,000UC-500,000,000UC</v>
      </c>
      <c r="F272" s="35" t="str">
        <f>IFERROR(__xludf.DUMMYFUNCTION("""COMPUTED_VALUE"""),"11-15")</f>
        <v>11-15</v>
      </c>
      <c r="G272" s="32" t="str">
        <f>IFERROR(__xludf.DUMMYFUNCTION("""COMPUTED_VALUE"""),"500,000,000G-1,000,000,000G")</f>
        <v>500,000,000G-1,000,000,000G</v>
      </c>
      <c r="H272" s="35" t="str">
        <f>IFERROR(__xludf.DUMMYFUNCTION("""COMPUTED_VALUE"""),"16-20")</f>
        <v>16-20</v>
      </c>
      <c r="I272" s="32" t="str">
        <f>IFERROR(__xludf.DUMMYFUNCTION("""COMPUTED_VALUE"""),"Soul")</f>
        <v>Soul</v>
      </c>
      <c r="J272" s="35" t="str">
        <f>IFERROR(__xludf.DUMMYFUNCTION("""COMPUTED_VALUE"""),"21-25")</f>
        <v>21-25</v>
      </c>
      <c r="K272" s="32" t="str">
        <f>IFERROR(__xludf.DUMMYFUNCTION("""COMPUTED_VALUE"""),"Nothing")</f>
        <v>Nothing</v>
      </c>
      <c r="L272" s="32"/>
      <c r="M272" s="32"/>
      <c r="N272" s="32"/>
      <c r="O272" s="32"/>
      <c r="P272" s="32"/>
      <c r="Q272" s="32"/>
      <c r="R272" s="32"/>
      <c r="S272" s="32"/>
      <c r="T272" s="32"/>
      <c r="U272" s="32"/>
      <c r="V272" s="32"/>
      <c r="W272" s="32"/>
      <c r="X272" s="32"/>
    </row>
    <row r="273">
      <c r="A273" s="32" t="str">
        <f>IFERROR(__xludf.DUMMYFUNCTION("""COMPUTED_VALUE"""),"Flaming Cactus")</f>
        <v>Flaming Cactus</v>
      </c>
      <c r="B273" s="35" t="str">
        <f>IFERROR(__xludf.DUMMYFUNCTION("""COMPUTED_VALUE"""),"1-5")</f>
        <v>1-5</v>
      </c>
      <c r="C273" s="32" t="str">
        <f>IFERROR(__xludf.DUMMYFUNCTION("""COMPUTED_VALUE"""),"60,000,000UC-80,000,000UC")</f>
        <v>60,000,000UC-80,000,000UC</v>
      </c>
      <c r="D273" s="35" t="str">
        <f>IFERROR(__xludf.DUMMYFUNCTION("""COMPUTED_VALUE"""),"6-10")</f>
        <v>6-10</v>
      </c>
      <c r="E273" s="32" t="str">
        <f>IFERROR(__xludf.DUMMYFUNCTION("""COMPUTED_VALUE"""),"Soul")</f>
        <v>Soul</v>
      </c>
      <c r="F273" s="35" t="str">
        <f>IFERROR(__xludf.DUMMYFUNCTION("""COMPUTED_VALUE"""),"11-15")</f>
        <v>11-15</v>
      </c>
      <c r="G273" s="32" t="str">
        <f>IFERROR(__xludf.DUMMYFUNCTION("""COMPUTED_VALUE"""),"40,000,000UC-60,000,000UC")</f>
        <v>40,000,000UC-60,000,000UC</v>
      </c>
      <c r="H273" s="35" t="str">
        <f>IFERROR(__xludf.DUMMYFUNCTION("""COMPUTED_VALUE"""),"16-20")</f>
        <v>16-20</v>
      </c>
      <c r="I273" s="32" t="str">
        <f>IFERROR(__xludf.DUMMYFUNCTION("""COMPUTED_VALUE"""),"100,000,000G-500,000,000G")</f>
        <v>100,000,000G-500,000,000G</v>
      </c>
      <c r="J273" s="35" t="str">
        <f>IFERROR(__xludf.DUMMYFUNCTION("""COMPUTED_VALUE"""),"21-25")</f>
        <v>21-25</v>
      </c>
      <c r="K273" s="32" t="str">
        <f>IFERROR(__xludf.DUMMYFUNCTION("""COMPUTED_VALUE"""),"Egg")</f>
        <v>Egg</v>
      </c>
      <c r="L273" s="32"/>
      <c r="M273" s="32"/>
      <c r="N273" s="32"/>
      <c r="O273" s="32"/>
      <c r="P273" s="32"/>
      <c r="Q273" s="32"/>
      <c r="R273" s="32"/>
      <c r="S273" s="32"/>
      <c r="T273" s="32"/>
      <c r="U273" s="32"/>
      <c r="V273" s="32"/>
      <c r="W273" s="32"/>
      <c r="X273" s="32"/>
    </row>
    <row r="274">
      <c r="A274" s="32" t="str">
        <f>IFERROR(__xludf.DUMMYFUNCTION("""COMPUTED_VALUE"""),"Flaming Behemoth")</f>
        <v>Flaming Behemoth</v>
      </c>
      <c r="B274" s="35" t="str">
        <f>IFERROR(__xludf.DUMMYFUNCTION("""COMPUTED_VALUE"""),"1-5")</f>
        <v>1-5</v>
      </c>
      <c r="C274" s="32" t="str">
        <f>IFERROR(__xludf.DUMMYFUNCTION("""COMPUTED_VALUE"""),"60,000,000UC-80,000,000UC")</f>
        <v>60,000,000UC-80,000,000UC</v>
      </c>
      <c r="D274" s="35" t="str">
        <f>IFERROR(__xludf.DUMMYFUNCTION("""COMPUTED_VALUE"""),"6-10")</f>
        <v>6-10</v>
      </c>
      <c r="E274" s="32" t="str">
        <f>IFERROR(__xludf.DUMMYFUNCTION("""COMPUTED_VALUE"""),"20,000,000UC-40,000,000UC")</f>
        <v>20,000,000UC-40,000,000UC</v>
      </c>
      <c r="F274" s="35" t="str">
        <f>IFERROR(__xludf.DUMMYFUNCTION("""COMPUTED_VALUE"""),"11-15")</f>
        <v>11-15</v>
      </c>
      <c r="G274" s="32" t="str">
        <f>IFERROR(__xludf.DUMMYFUNCTION("""COMPUTED_VALUE"""),"40,000,000UC-60,000,000UC")</f>
        <v>40,000,000UC-60,000,000UC</v>
      </c>
      <c r="H274" s="35" t="str">
        <f>IFERROR(__xludf.DUMMYFUNCTION("""COMPUTED_VALUE"""),"16-20")</f>
        <v>16-20</v>
      </c>
      <c r="I274" s="32" t="str">
        <f>IFERROR(__xludf.DUMMYFUNCTION("""COMPUTED_VALUE"""),"Soul")</f>
        <v>Soul</v>
      </c>
      <c r="J274" s="35" t="str">
        <f>IFERROR(__xludf.DUMMYFUNCTION("""COMPUTED_VALUE"""),"21-25")</f>
        <v>21-25</v>
      </c>
      <c r="K274" s="32" t="str">
        <f>IFERROR(__xludf.DUMMYFUNCTION("""COMPUTED_VALUE"""),"Nothing")</f>
        <v>Nothing</v>
      </c>
      <c r="L274" s="32"/>
      <c r="M274" s="32"/>
      <c r="N274" s="32"/>
      <c r="O274" s="32"/>
      <c r="P274" s="32"/>
      <c r="Q274" s="32"/>
      <c r="R274" s="32"/>
      <c r="S274" s="32"/>
      <c r="T274" s="32"/>
      <c r="U274" s="32"/>
      <c r="V274" s="32"/>
      <c r="W274" s="32"/>
      <c r="X274" s="32"/>
    </row>
    <row r="275">
      <c r="A275" s="32" t="str">
        <f>IFERROR(__xludf.DUMMYFUNCTION("""COMPUTED_VALUE"""),"Red Soul")</f>
        <v>Red Soul</v>
      </c>
      <c r="B275" s="35" t="str">
        <f>IFERROR(__xludf.DUMMYFUNCTION("""COMPUTED_VALUE"""),"1-5")</f>
        <v>1-5</v>
      </c>
      <c r="C275" s="32" t="str">
        <f>IFERROR(__xludf.DUMMYFUNCTION("""COMPUTED_VALUE"""),"60,000,000UC-80,000,000UC")</f>
        <v>60,000,000UC-80,000,000UC</v>
      </c>
      <c r="D275" s="35" t="str">
        <f>IFERROR(__xludf.DUMMYFUNCTION("""COMPUTED_VALUE"""),"6-10")</f>
        <v>6-10</v>
      </c>
      <c r="E275" s="32" t="str">
        <f>IFERROR(__xludf.DUMMYFUNCTION("""COMPUTED_VALUE"""),"20,000,000UC-40,000,000UC")</f>
        <v>20,000,000UC-40,000,000UC</v>
      </c>
      <c r="F275" s="35" t="str">
        <f>IFERROR(__xludf.DUMMYFUNCTION("""COMPUTED_VALUE"""),"11-15")</f>
        <v>11-15</v>
      </c>
      <c r="G275" s="32" t="str">
        <f>IFERROR(__xludf.DUMMYFUNCTION("""COMPUTED_VALUE"""),"40,000,000UC-60,000,000UC")</f>
        <v>40,000,000UC-60,000,000UC</v>
      </c>
      <c r="H275" s="35" t="str">
        <f>IFERROR(__xludf.DUMMYFUNCTION("""COMPUTED_VALUE"""),"16-20")</f>
        <v>16-20</v>
      </c>
      <c r="I275" s="32" t="str">
        <f>IFERROR(__xludf.DUMMYFUNCTION("""COMPUTED_VALUE"""),"Soul")</f>
        <v>Soul</v>
      </c>
      <c r="J275" s="35" t="str">
        <f>IFERROR(__xludf.DUMMYFUNCTION("""COMPUTED_VALUE"""),"21-25")</f>
        <v>21-25</v>
      </c>
      <c r="K275" s="32" t="str">
        <f>IFERROR(__xludf.DUMMYFUNCTION("""COMPUTED_VALUE"""),"Egg")</f>
        <v>Egg</v>
      </c>
      <c r="L275" s="32"/>
      <c r="M275" s="32"/>
      <c r="N275" s="32"/>
      <c r="O275" s="32"/>
      <c r="P275" s="32"/>
      <c r="Q275" s="32"/>
      <c r="R275" s="32"/>
      <c r="S275" s="32"/>
      <c r="T275" s="32"/>
      <c r="U275" s="32"/>
      <c r="V275" s="32"/>
      <c r="W275" s="32"/>
      <c r="X275" s="32"/>
    </row>
    <row r="276">
      <c r="A276" s="32" t="str">
        <f>IFERROR(__xludf.DUMMYFUNCTION("""COMPUTED_VALUE"""),"Blue Soul")</f>
        <v>Blue Soul</v>
      </c>
      <c r="B276" s="35" t="str">
        <f>IFERROR(__xludf.DUMMYFUNCTION("""COMPUTED_VALUE"""),"1-5")</f>
        <v>1-5</v>
      </c>
      <c r="C276" s="32" t="str">
        <f>IFERROR(__xludf.DUMMYFUNCTION("""COMPUTED_VALUE"""),"60,000,000UC-80,000,000UC")</f>
        <v>60,000,000UC-80,000,000UC</v>
      </c>
      <c r="D276" s="35" t="str">
        <f>IFERROR(__xludf.DUMMYFUNCTION("""COMPUTED_VALUE"""),"6-10")</f>
        <v>6-10</v>
      </c>
      <c r="E276" s="32" t="str">
        <f>IFERROR(__xludf.DUMMYFUNCTION("""COMPUTED_VALUE"""),"20,000,000UC-40,000,000UC")</f>
        <v>20,000,000UC-40,000,000UC</v>
      </c>
      <c r="F276" s="35" t="str">
        <f>IFERROR(__xludf.DUMMYFUNCTION("""COMPUTED_VALUE"""),"11-15")</f>
        <v>11-15</v>
      </c>
      <c r="G276" s="32" t="str">
        <f>IFERROR(__xludf.DUMMYFUNCTION("""COMPUTED_VALUE"""),"40,000,000UC-60,000,000UC")</f>
        <v>40,000,000UC-60,000,000UC</v>
      </c>
      <c r="H276" s="35" t="str">
        <f>IFERROR(__xludf.DUMMYFUNCTION("""COMPUTED_VALUE"""),"16-20")</f>
        <v>16-20</v>
      </c>
      <c r="I276" s="32" t="str">
        <f>IFERROR(__xludf.DUMMYFUNCTION("""COMPUTED_VALUE"""),"Soul")</f>
        <v>Soul</v>
      </c>
      <c r="J276" s="35" t="str">
        <f>IFERROR(__xludf.DUMMYFUNCTION("""COMPUTED_VALUE"""),"21-25")</f>
        <v>21-25</v>
      </c>
      <c r="K276" s="32" t="str">
        <f>IFERROR(__xludf.DUMMYFUNCTION("""COMPUTED_VALUE"""),"Egg")</f>
        <v>Egg</v>
      </c>
      <c r="L276" s="32"/>
      <c r="M276" s="32"/>
      <c r="N276" s="32"/>
      <c r="O276" s="32"/>
      <c r="P276" s="32"/>
      <c r="Q276" s="32"/>
      <c r="R276" s="32"/>
      <c r="S276" s="32"/>
      <c r="T276" s="32"/>
      <c r="U276" s="32"/>
      <c r="V276" s="32"/>
      <c r="W276" s="32"/>
      <c r="X276" s="32"/>
    </row>
    <row r="277">
      <c r="A277" s="32" t="str">
        <f>IFERROR(__xludf.DUMMYFUNCTION("""COMPUTED_VALUE"""),"Green Soul")</f>
        <v>Green Soul</v>
      </c>
      <c r="B277" s="35" t="str">
        <f>IFERROR(__xludf.DUMMYFUNCTION("""COMPUTED_VALUE"""),"1-5")</f>
        <v>1-5</v>
      </c>
      <c r="C277" s="32" t="str">
        <f>IFERROR(__xludf.DUMMYFUNCTION("""COMPUTED_VALUE"""),"60,000,000UC-80,000,000UC")</f>
        <v>60,000,000UC-80,000,000UC</v>
      </c>
      <c r="D277" s="35" t="str">
        <f>IFERROR(__xludf.DUMMYFUNCTION("""COMPUTED_VALUE"""),"6-10")</f>
        <v>6-10</v>
      </c>
      <c r="E277" s="32" t="str">
        <f>IFERROR(__xludf.DUMMYFUNCTION("""COMPUTED_VALUE"""),"20,000,000UC-40,000,000UC")</f>
        <v>20,000,000UC-40,000,000UC</v>
      </c>
      <c r="F277" s="35" t="str">
        <f>IFERROR(__xludf.DUMMYFUNCTION("""COMPUTED_VALUE"""),"11-15")</f>
        <v>11-15</v>
      </c>
      <c r="G277" s="32" t="str">
        <f>IFERROR(__xludf.DUMMYFUNCTION("""COMPUTED_VALUE"""),"40,000,000UC-60,000,000UC")</f>
        <v>40,000,000UC-60,000,000UC</v>
      </c>
      <c r="H277" s="35" t="str">
        <f>IFERROR(__xludf.DUMMYFUNCTION("""COMPUTED_VALUE"""),"16-20")</f>
        <v>16-20</v>
      </c>
      <c r="I277" s="32" t="str">
        <f>IFERROR(__xludf.DUMMYFUNCTION("""COMPUTED_VALUE"""),"Soul")</f>
        <v>Soul</v>
      </c>
      <c r="J277" s="35" t="str">
        <f>IFERROR(__xludf.DUMMYFUNCTION("""COMPUTED_VALUE"""),"21-25")</f>
        <v>21-25</v>
      </c>
      <c r="K277" s="32" t="str">
        <f>IFERROR(__xludf.DUMMYFUNCTION("""COMPUTED_VALUE"""),"Egg")</f>
        <v>Egg</v>
      </c>
      <c r="L277" s="32"/>
      <c r="M277" s="32"/>
      <c r="N277" s="32"/>
      <c r="O277" s="32"/>
      <c r="P277" s="32"/>
      <c r="Q277" s="32"/>
      <c r="R277" s="32"/>
      <c r="S277" s="32"/>
      <c r="T277" s="32"/>
      <c r="U277" s="32"/>
      <c r="V277" s="32"/>
      <c r="W277" s="32"/>
      <c r="X277" s="32"/>
    </row>
    <row r="278">
      <c r="A278" s="32" t="str">
        <f>IFERROR(__xludf.DUMMYFUNCTION("""COMPUTED_VALUE"""),"Yellow Soul")</f>
        <v>Yellow Soul</v>
      </c>
      <c r="B278" s="35" t="str">
        <f>IFERROR(__xludf.DUMMYFUNCTION("""COMPUTED_VALUE"""),"1-5")</f>
        <v>1-5</v>
      </c>
      <c r="C278" s="32" t="str">
        <f>IFERROR(__xludf.DUMMYFUNCTION("""COMPUTED_VALUE"""),"60,000,000UC-80,000,000UC")</f>
        <v>60,000,000UC-80,000,000UC</v>
      </c>
      <c r="D278" s="35" t="str">
        <f>IFERROR(__xludf.DUMMYFUNCTION("""COMPUTED_VALUE"""),"6-10")</f>
        <v>6-10</v>
      </c>
      <c r="E278" s="32" t="str">
        <f>IFERROR(__xludf.DUMMYFUNCTION("""COMPUTED_VALUE"""),"20,000,000UC-40,000,000UC")</f>
        <v>20,000,000UC-40,000,000UC</v>
      </c>
      <c r="F278" s="35" t="str">
        <f>IFERROR(__xludf.DUMMYFUNCTION("""COMPUTED_VALUE"""),"11-15")</f>
        <v>11-15</v>
      </c>
      <c r="G278" s="32" t="str">
        <f>IFERROR(__xludf.DUMMYFUNCTION("""COMPUTED_VALUE"""),"40,000,000UC-60,000,000UC")</f>
        <v>40,000,000UC-60,000,000UC</v>
      </c>
      <c r="H278" s="35" t="str">
        <f>IFERROR(__xludf.DUMMYFUNCTION("""COMPUTED_VALUE"""),"16-20")</f>
        <v>16-20</v>
      </c>
      <c r="I278" s="32" t="str">
        <f>IFERROR(__xludf.DUMMYFUNCTION("""COMPUTED_VALUE"""),"Soul")</f>
        <v>Soul</v>
      </c>
      <c r="J278" s="35" t="str">
        <f>IFERROR(__xludf.DUMMYFUNCTION("""COMPUTED_VALUE"""),"21-25")</f>
        <v>21-25</v>
      </c>
      <c r="K278" s="32" t="str">
        <f>IFERROR(__xludf.DUMMYFUNCTION("""COMPUTED_VALUE"""),"Egg")</f>
        <v>Egg</v>
      </c>
      <c r="L278" s="32"/>
      <c r="M278" s="32"/>
      <c r="N278" s="32"/>
      <c r="O278" s="32"/>
      <c r="P278" s="32"/>
      <c r="Q278" s="32"/>
      <c r="R278" s="32"/>
      <c r="S278" s="32"/>
      <c r="T278" s="32"/>
      <c r="U278" s="32"/>
      <c r="V278" s="32"/>
      <c r="W278" s="32"/>
      <c r="X278" s="32"/>
    </row>
    <row r="279">
      <c r="A279" s="32" t="str">
        <f>IFERROR(__xludf.DUMMYFUNCTION("""COMPUTED_VALUE"""),"Lava Moth")</f>
        <v>Lava Moth</v>
      </c>
      <c r="B279" s="35" t="str">
        <f>IFERROR(__xludf.DUMMYFUNCTION("""COMPUTED_VALUE"""),"1-5")</f>
        <v>1-5</v>
      </c>
      <c r="C279" s="32" t="str">
        <f>IFERROR(__xludf.DUMMYFUNCTION("""COMPUTED_VALUE"""),"60,000,000UC-80,000,000UC")</f>
        <v>60,000,000UC-80,000,000UC</v>
      </c>
      <c r="D279" s="35" t="str">
        <f>IFERROR(__xludf.DUMMYFUNCTION("""COMPUTED_VALUE"""),"6-10")</f>
        <v>6-10</v>
      </c>
      <c r="E279" s="32" t="str">
        <f>IFERROR(__xludf.DUMMYFUNCTION("""COMPUTED_VALUE"""),"20,000,000UC-40,000,000UC")</f>
        <v>20,000,000UC-40,000,000UC</v>
      </c>
      <c r="F279" s="35" t="str">
        <f>IFERROR(__xludf.DUMMYFUNCTION("""COMPUTED_VALUE"""),"11-15")</f>
        <v>11-15</v>
      </c>
      <c r="G279" s="32" t="str">
        <f>IFERROR(__xludf.DUMMYFUNCTION("""COMPUTED_VALUE"""),"40,000,000UC-60,000,000UC")</f>
        <v>40,000,000UC-60,000,000UC</v>
      </c>
      <c r="H279" s="35" t="str">
        <f>IFERROR(__xludf.DUMMYFUNCTION("""COMPUTED_VALUE"""),"16-20")</f>
        <v>16-20</v>
      </c>
      <c r="I279" s="32" t="str">
        <f>IFERROR(__xludf.DUMMYFUNCTION("""COMPUTED_VALUE"""),"Soul")</f>
        <v>Soul</v>
      </c>
      <c r="J279" s="35" t="str">
        <f>IFERROR(__xludf.DUMMYFUNCTION("""COMPUTED_VALUE"""),"21-25")</f>
        <v>21-25</v>
      </c>
      <c r="K279" s="32" t="str">
        <f>IFERROR(__xludf.DUMMYFUNCTION("""COMPUTED_VALUE"""),"Egg")</f>
        <v>Egg</v>
      </c>
      <c r="L279" s="32"/>
      <c r="M279" s="32"/>
      <c r="N279" s="32"/>
      <c r="O279" s="32"/>
      <c r="P279" s="32"/>
      <c r="Q279" s="32"/>
      <c r="R279" s="32"/>
      <c r="S279" s="32"/>
      <c r="T279" s="32"/>
      <c r="U279" s="32"/>
      <c r="V279" s="32"/>
      <c r="W279" s="32"/>
      <c r="X279" s="32"/>
    </row>
    <row r="280">
      <c r="A280" s="32" t="str">
        <f>IFERROR(__xludf.DUMMYFUNCTION("""COMPUTED_VALUE"""),"Giant Magma Snail")</f>
        <v>Giant Magma Snail</v>
      </c>
      <c r="B280" s="35" t="str">
        <f>IFERROR(__xludf.DUMMYFUNCTION("""COMPUTED_VALUE"""),"1-5")</f>
        <v>1-5</v>
      </c>
      <c r="C280" s="32" t="str">
        <f>IFERROR(__xludf.DUMMYFUNCTION("""COMPUTED_VALUE"""),"60,000,000UC-80,000,000UC")</f>
        <v>60,000,000UC-80,000,000UC</v>
      </c>
      <c r="D280" s="35" t="str">
        <f>IFERROR(__xludf.DUMMYFUNCTION("""COMPUTED_VALUE"""),"6-10")</f>
        <v>6-10</v>
      </c>
      <c r="E280" s="32" t="str">
        <f>IFERROR(__xludf.DUMMYFUNCTION("""COMPUTED_VALUE"""),"20,000,000UC-40,000,000UC")</f>
        <v>20,000,000UC-40,000,000UC</v>
      </c>
      <c r="F280" s="35" t="str">
        <f>IFERROR(__xludf.DUMMYFUNCTION("""COMPUTED_VALUE"""),"11-15")</f>
        <v>11-15</v>
      </c>
      <c r="G280" s="32" t="str">
        <f>IFERROR(__xludf.DUMMYFUNCTION("""COMPUTED_VALUE"""),"40,000,000UC-60,000,000UC")</f>
        <v>40,000,000UC-60,000,000UC</v>
      </c>
      <c r="H280" s="35" t="str">
        <f>IFERROR(__xludf.DUMMYFUNCTION("""COMPUTED_VALUE"""),"16-20")</f>
        <v>16-20</v>
      </c>
      <c r="I280" s="32" t="str">
        <f>IFERROR(__xludf.DUMMYFUNCTION("""COMPUTED_VALUE"""),"Soul")</f>
        <v>Soul</v>
      </c>
      <c r="J280" s="35" t="str">
        <f>IFERROR(__xludf.DUMMYFUNCTION("""COMPUTED_VALUE"""),"21-25")</f>
        <v>21-25</v>
      </c>
      <c r="K280" s="32" t="str">
        <f>IFERROR(__xludf.DUMMYFUNCTION("""COMPUTED_VALUE"""),"Egg")</f>
        <v>Egg</v>
      </c>
      <c r="L280" s="32"/>
      <c r="M280" s="32"/>
      <c r="N280" s="32"/>
      <c r="O280" s="32"/>
      <c r="P280" s="32"/>
      <c r="Q280" s="32"/>
      <c r="R280" s="32"/>
      <c r="S280" s="32"/>
      <c r="T280" s="32"/>
      <c r="U280" s="32"/>
      <c r="V280" s="32"/>
      <c r="W280" s="32"/>
      <c r="X280" s="32"/>
    </row>
    <row r="281">
      <c r="A281" s="32" t="str">
        <f>IFERROR(__xludf.DUMMYFUNCTION("""COMPUTED_VALUE"""),"Mr. Skeleton")</f>
        <v>Mr. Skeleton</v>
      </c>
      <c r="B281" s="35" t="str">
        <f>IFERROR(__xludf.DUMMYFUNCTION("""COMPUTED_VALUE"""),"1-5")</f>
        <v>1-5</v>
      </c>
      <c r="C281" s="32" t="str">
        <f>IFERROR(__xludf.DUMMYFUNCTION("""COMPUTED_VALUE"""),"60,000,000UC-80,000,000UC")</f>
        <v>60,000,000UC-80,000,000UC</v>
      </c>
      <c r="D281" s="35" t="str">
        <f>IFERROR(__xludf.DUMMYFUNCTION("""COMPUTED_VALUE"""),"6-10")</f>
        <v>6-10</v>
      </c>
      <c r="E281" s="32" t="str">
        <f>IFERROR(__xludf.DUMMYFUNCTION("""COMPUTED_VALUE"""),"20,000,000UC-40,000,000UC")</f>
        <v>20,000,000UC-40,000,000UC</v>
      </c>
      <c r="F281" s="35" t="str">
        <f>IFERROR(__xludf.DUMMYFUNCTION("""COMPUTED_VALUE"""),"11-15")</f>
        <v>11-15</v>
      </c>
      <c r="G281" s="32" t="str">
        <f>IFERROR(__xludf.DUMMYFUNCTION("""COMPUTED_VALUE"""),"40,000,000UC-60,000,000UC")</f>
        <v>40,000,000UC-60,000,000UC</v>
      </c>
      <c r="H281" s="35" t="str">
        <f>IFERROR(__xludf.DUMMYFUNCTION("""COMPUTED_VALUE"""),"16-20")</f>
        <v>16-20</v>
      </c>
      <c r="I281" s="32" t="str">
        <f>IFERROR(__xludf.DUMMYFUNCTION("""COMPUTED_VALUE"""),"Soul")</f>
        <v>Soul</v>
      </c>
      <c r="J281" s="35" t="str">
        <f>IFERROR(__xludf.DUMMYFUNCTION("""COMPUTED_VALUE"""),"21-25")</f>
        <v>21-25</v>
      </c>
      <c r="K281" s="32" t="str">
        <f>IFERROR(__xludf.DUMMYFUNCTION("""COMPUTED_VALUE"""),"Nothing")</f>
        <v>Nothing</v>
      </c>
      <c r="L281" s="32"/>
      <c r="M281" s="32"/>
      <c r="N281" s="32"/>
      <c r="O281" s="32"/>
      <c r="P281" s="32"/>
      <c r="Q281" s="32"/>
      <c r="R281" s="32"/>
      <c r="S281" s="32"/>
      <c r="T281" s="32"/>
      <c r="U281" s="32"/>
      <c r="V281" s="32"/>
      <c r="W281" s="32"/>
      <c r="X281" s="32"/>
    </row>
    <row r="282">
      <c r="A282" s="32" t="str">
        <f>IFERROR(__xludf.DUMMYFUNCTION("""COMPUTED_VALUE"""),"Flaming Duck")</f>
        <v>Flaming Duck</v>
      </c>
      <c r="B282" s="35" t="str">
        <f>IFERROR(__xludf.DUMMYFUNCTION("""COMPUTED_VALUE"""),"1-5")</f>
        <v>1-5</v>
      </c>
      <c r="C282" s="32" t="str">
        <f>IFERROR(__xludf.DUMMYFUNCTION("""COMPUTED_VALUE"""),"60,000,000UC-80,000,000UC")</f>
        <v>60,000,000UC-80,000,000UC</v>
      </c>
      <c r="D282" s="35" t="str">
        <f>IFERROR(__xludf.DUMMYFUNCTION("""COMPUTED_VALUE"""),"6-10")</f>
        <v>6-10</v>
      </c>
      <c r="E282" s="32" t="str">
        <f>IFERROR(__xludf.DUMMYFUNCTION("""COMPUTED_VALUE"""),"Flaming Feathers")</f>
        <v>Flaming Feathers</v>
      </c>
      <c r="F282" s="35" t="str">
        <f>IFERROR(__xludf.DUMMYFUNCTION("""COMPUTED_VALUE"""),"11-15")</f>
        <v>11-15</v>
      </c>
      <c r="G282" s="32" t="str">
        <f>IFERROR(__xludf.DUMMYFUNCTION("""COMPUTED_VALUE"""),"40,000,000UC-60,000,000UC")</f>
        <v>40,000,000UC-60,000,000UC</v>
      </c>
      <c r="H282" s="35" t="str">
        <f>IFERROR(__xludf.DUMMYFUNCTION("""COMPUTED_VALUE"""),"16-20")</f>
        <v>16-20</v>
      </c>
      <c r="I282" s="32" t="str">
        <f>IFERROR(__xludf.DUMMYFUNCTION("""COMPUTED_VALUE"""),"Soul")</f>
        <v>Soul</v>
      </c>
      <c r="J282" s="35" t="str">
        <f>IFERROR(__xludf.DUMMYFUNCTION("""COMPUTED_VALUE"""),"21-25")</f>
        <v>21-25</v>
      </c>
      <c r="K282" s="32" t="str">
        <f>IFERROR(__xludf.DUMMYFUNCTION("""COMPUTED_VALUE"""),"Egg")</f>
        <v>Egg</v>
      </c>
      <c r="L282" s="32"/>
      <c r="M282" s="32"/>
      <c r="N282" s="32"/>
      <c r="O282" s="32"/>
      <c r="P282" s="32"/>
      <c r="Q282" s="32"/>
      <c r="R282" s="32"/>
      <c r="S282" s="32"/>
      <c r="T282" s="32"/>
      <c r="U282" s="32"/>
      <c r="V282" s="32"/>
      <c r="W282" s="32"/>
      <c r="X282" s="32"/>
    </row>
    <row r="283">
      <c r="A283" s="32" t="str">
        <f>IFERROR(__xludf.DUMMYFUNCTION("""COMPUTED_VALUE"""),"Flaming Buffalo")</f>
        <v>Flaming Buffalo</v>
      </c>
      <c r="B283" s="35" t="str">
        <f>IFERROR(__xludf.DUMMYFUNCTION("""COMPUTED_VALUE"""),"1-5")</f>
        <v>1-5</v>
      </c>
      <c r="C283" s="32" t="str">
        <f>IFERROR(__xludf.DUMMYFUNCTION("""COMPUTED_VALUE"""),"60,000,000UC-80,000,000UC")</f>
        <v>60,000,000UC-80,000,000UC</v>
      </c>
      <c r="D283" s="35" t="str">
        <f>IFERROR(__xludf.DUMMYFUNCTION("""COMPUTED_VALUE"""),"6-10")</f>
        <v>6-10</v>
      </c>
      <c r="E283" s="32" t="str">
        <f>IFERROR(__xludf.DUMMYFUNCTION("""COMPUTED_VALUE"""),"20,000,000UC-40,000,000UC")</f>
        <v>20,000,000UC-40,000,000UC</v>
      </c>
      <c r="F283" s="35" t="str">
        <f>IFERROR(__xludf.DUMMYFUNCTION("""COMPUTED_VALUE"""),"11-15")</f>
        <v>11-15</v>
      </c>
      <c r="G283" s="32" t="str">
        <f>IFERROR(__xludf.DUMMYFUNCTION("""COMPUTED_VALUE"""),"40,000,000UC-60,000,000UC")</f>
        <v>40,000,000UC-60,000,000UC</v>
      </c>
      <c r="H283" s="35" t="str">
        <f>IFERROR(__xludf.DUMMYFUNCTION("""COMPUTED_VALUE"""),"16-20")</f>
        <v>16-20</v>
      </c>
      <c r="I283" s="32" t="str">
        <f>IFERROR(__xludf.DUMMYFUNCTION("""COMPUTED_VALUE"""),"Soul")</f>
        <v>Soul</v>
      </c>
      <c r="J283" s="35" t="str">
        <f>IFERROR(__xludf.DUMMYFUNCTION("""COMPUTED_VALUE"""),"21-25")</f>
        <v>21-25</v>
      </c>
      <c r="K283" s="32" t="str">
        <f>IFERROR(__xludf.DUMMYFUNCTION("""COMPUTED_VALUE"""),"Egg")</f>
        <v>Egg</v>
      </c>
      <c r="L283" s="32"/>
      <c r="M283" s="32"/>
      <c r="N283" s="32"/>
      <c r="O283" s="32"/>
      <c r="P283" s="32"/>
      <c r="Q283" s="32"/>
      <c r="R283" s="32"/>
      <c r="S283" s="32"/>
      <c r="T283" s="32"/>
      <c r="U283" s="32"/>
      <c r="V283" s="32"/>
      <c r="W283" s="32"/>
      <c r="X283" s="32"/>
    </row>
    <row r="284">
      <c r="A284" s="32" t="str">
        <f>IFERROR(__xludf.DUMMYFUNCTION("""COMPUTED_VALUE"""),"Inferno Tree Walker")</f>
        <v>Inferno Tree Walker</v>
      </c>
      <c r="B284" s="35" t="str">
        <f>IFERROR(__xludf.DUMMYFUNCTION("""COMPUTED_VALUE"""),"1-5")</f>
        <v>1-5</v>
      </c>
      <c r="C284" s="32" t="str">
        <f>IFERROR(__xludf.DUMMYFUNCTION("""COMPUTED_VALUE"""),"60,000,000UC-80,000,000UC")</f>
        <v>60,000,000UC-80,000,000UC</v>
      </c>
      <c r="D284" s="35" t="str">
        <f>IFERROR(__xludf.DUMMYFUNCTION("""COMPUTED_VALUE"""),"6-10")</f>
        <v>6-10</v>
      </c>
      <c r="E284" s="32" t="str">
        <f>IFERROR(__xludf.DUMMYFUNCTION("""COMPUTED_VALUE"""),"20,000,000UC-40,000,000UC")</f>
        <v>20,000,000UC-40,000,000UC</v>
      </c>
      <c r="F284" s="35" t="str">
        <f>IFERROR(__xludf.DUMMYFUNCTION("""COMPUTED_VALUE"""),"11-15")</f>
        <v>11-15</v>
      </c>
      <c r="G284" s="32" t="str">
        <f>IFERROR(__xludf.DUMMYFUNCTION("""COMPUTED_VALUE"""),"40,000,000UC-60,000,000UC")</f>
        <v>40,000,000UC-60,000,000UC</v>
      </c>
      <c r="H284" s="35" t="str">
        <f>IFERROR(__xludf.DUMMYFUNCTION("""COMPUTED_VALUE"""),"16-20")</f>
        <v>16-20</v>
      </c>
      <c r="I284" s="32" t="str">
        <f>IFERROR(__xludf.DUMMYFUNCTION("""COMPUTED_VALUE"""),"Soul")</f>
        <v>Soul</v>
      </c>
      <c r="J284" s="35" t="str">
        <f>IFERROR(__xludf.DUMMYFUNCTION("""COMPUTED_VALUE"""),"21-25")</f>
        <v>21-25</v>
      </c>
      <c r="K284" s="32" t="str">
        <f>IFERROR(__xludf.DUMMYFUNCTION("""COMPUTED_VALUE"""),"Nothing")</f>
        <v>Nothing</v>
      </c>
      <c r="L284" s="32"/>
      <c r="M284" s="32"/>
      <c r="N284" s="32"/>
      <c r="O284" s="32"/>
      <c r="P284" s="32"/>
      <c r="Q284" s="32"/>
      <c r="R284" s="32"/>
      <c r="S284" s="32"/>
      <c r="T284" s="32"/>
      <c r="U284" s="32"/>
      <c r="V284" s="32"/>
      <c r="W284" s="32"/>
      <c r="X284" s="32"/>
    </row>
    <row r="285">
      <c r="A285" s="32" t="str">
        <f>IFERROR(__xludf.DUMMYFUNCTION("""COMPUTED_VALUE"""),"The Purple Necromancer")</f>
        <v>The Purple Necromancer</v>
      </c>
      <c r="B285" s="35" t="str">
        <f>IFERROR(__xludf.DUMMYFUNCTION("""COMPUTED_VALUE"""),"1-5")</f>
        <v>1-5</v>
      </c>
      <c r="C285" s="32" t="str">
        <f>IFERROR(__xludf.DUMMYFUNCTION("""COMPUTED_VALUE"""),"60,000,000UC-80,000,000UC")</f>
        <v>60,000,000UC-80,000,000UC</v>
      </c>
      <c r="D285" s="35" t="str">
        <f>IFERROR(__xludf.DUMMYFUNCTION("""COMPUTED_VALUE"""),"6-10")</f>
        <v>6-10</v>
      </c>
      <c r="E285" s="32" t="str">
        <f>IFERROR(__xludf.DUMMYFUNCTION("""COMPUTED_VALUE"""),"20,000,000UC-40,000,000UC")</f>
        <v>20,000,000UC-40,000,000UC</v>
      </c>
      <c r="F285" s="35" t="str">
        <f>IFERROR(__xludf.DUMMYFUNCTION("""COMPUTED_VALUE"""),"11-15")</f>
        <v>11-15</v>
      </c>
      <c r="G285" s="32" t="str">
        <f>IFERROR(__xludf.DUMMYFUNCTION("""COMPUTED_VALUE"""),"40,000,000UC-60,000,000UC")</f>
        <v>40,000,000UC-60,000,000UC</v>
      </c>
      <c r="H285" s="35" t="str">
        <f>IFERROR(__xludf.DUMMYFUNCTION("""COMPUTED_VALUE"""),"16-20")</f>
        <v>16-20</v>
      </c>
      <c r="I285" s="32" t="str">
        <f>IFERROR(__xludf.DUMMYFUNCTION("""COMPUTED_VALUE"""),"Soul")</f>
        <v>Soul</v>
      </c>
      <c r="J285" s="35" t="str">
        <f>IFERROR(__xludf.DUMMYFUNCTION("""COMPUTED_VALUE"""),"21-25")</f>
        <v>21-25</v>
      </c>
      <c r="K285" s="32" t="str">
        <f>IFERROR(__xludf.DUMMYFUNCTION("""COMPUTED_VALUE"""),"Nothing")</f>
        <v>Nothing</v>
      </c>
      <c r="L285" s="32"/>
      <c r="M285" s="32"/>
      <c r="N285" s="32"/>
      <c r="O285" s="32"/>
      <c r="P285" s="32"/>
      <c r="Q285" s="32"/>
      <c r="R285" s="32"/>
      <c r="S285" s="32"/>
      <c r="T285" s="32"/>
      <c r="U285" s="32"/>
      <c r="V285" s="32"/>
      <c r="W285" s="32"/>
      <c r="X285" s="32"/>
    </row>
    <row r="286">
      <c r="A286" s="32" t="str">
        <f>IFERROR(__xludf.DUMMYFUNCTION("""COMPUTED_VALUE"""),"Black Soul")</f>
        <v>Black Soul</v>
      </c>
      <c r="B286" s="35" t="str">
        <f>IFERROR(__xludf.DUMMYFUNCTION("""COMPUTED_VALUE"""),"1-5")</f>
        <v>1-5</v>
      </c>
      <c r="C286" s="32" t="str">
        <f>IFERROR(__xludf.DUMMYFUNCTION("""COMPUTED_VALUE"""),"60,000,000UC-80,000,000UC")</f>
        <v>60,000,000UC-80,000,000UC</v>
      </c>
      <c r="D286" s="35" t="str">
        <f>IFERROR(__xludf.DUMMYFUNCTION("""COMPUTED_VALUE"""),"6-10")</f>
        <v>6-10</v>
      </c>
      <c r="E286" s="32" t="str">
        <f>IFERROR(__xludf.DUMMYFUNCTION("""COMPUTED_VALUE"""),"20,000,000UC-40,000,000UC")</f>
        <v>20,000,000UC-40,000,000UC</v>
      </c>
      <c r="F286" s="35" t="str">
        <f>IFERROR(__xludf.DUMMYFUNCTION("""COMPUTED_VALUE"""),"11-15")</f>
        <v>11-15</v>
      </c>
      <c r="G286" s="32" t="str">
        <f>IFERROR(__xludf.DUMMYFUNCTION("""COMPUTED_VALUE"""),"40,000,000UC-60,000,000UC")</f>
        <v>40,000,000UC-60,000,000UC</v>
      </c>
      <c r="H286" s="35" t="str">
        <f>IFERROR(__xludf.DUMMYFUNCTION("""COMPUTED_VALUE"""),"16-20")</f>
        <v>16-20</v>
      </c>
      <c r="I286" s="32" t="str">
        <f>IFERROR(__xludf.DUMMYFUNCTION("""COMPUTED_VALUE"""),"Soul")</f>
        <v>Soul</v>
      </c>
      <c r="J286" s="35" t="str">
        <f>IFERROR(__xludf.DUMMYFUNCTION("""COMPUTED_VALUE"""),"21-25")</f>
        <v>21-25</v>
      </c>
      <c r="K286" s="32" t="str">
        <f>IFERROR(__xludf.DUMMYFUNCTION("""COMPUTED_VALUE"""),"Egg")</f>
        <v>Egg</v>
      </c>
      <c r="L286" s="32"/>
      <c r="M286" s="32"/>
      <c r="N286" s="32"/>
      <c r="O286" s="32"/>
      <c r="P286" s="32"/>
      <c r="Q286" s="32"/>
      <c r="R286" s="32"/>
      <c r="S286" s="32"/>
      <c r="T286" s="32"/>
      <c r="U286" s="32"/>
      <c r="V286" s="32"/>
      <c r="W286" s="32"/>
      <c r="X286" s="32"/>
    </row>
    <row r="287">
      <c r="A287" s="32" t="str">
        <f>IFERROR(__xludf.DUMMYFUNCTION("""COMPUTED_VALUE"""),"Brown Soul")</f>
        <v>Brown Soul</v>
      </c>
      <c r="B287" s="35" t="str">
        <f>IFERROR(__xludf.DUMMYFUNCTION("""COMPUTED_VALUE"""),"1-5")</f>
        <v>1-5</v>
      </c>
      <c r="C287" s="32" t="str">
        <f>IFERROR(__xludf.DUMMYFUNCTION("""COMPUTED_VALUE"""),"60,000,000UC-80,000,000UC")</f>
        <v>60,000,000UC-80,000,000UC</v>
      </c>
      <c r="D287" s="35" t="str">
        <f>IFERROR(__xludf.DUMMYFUNCTION("""COMPUTED_VALUE"""),"6-10")</f>
        <v>6-10</v>
      </c>
      <c r="E287" s="32" t="str">
        <f>IFERROR(__xludf.DUMMYFUNCTION("""COMPUTED_VALUE"""),"20,000,000UC-40,000,000UC")</f>
        <v>20,000,000UC-40,000,000UC</v>
      </c>
      <c r="F287" s="35" t="str">
        <f>IFERROR(__xludf.DUMMYFUNCTION("""COMPUTED_VALUE"""),"11-15")</f>
        <v>11-15</v>
      </c>
      <c r="G287" s="32" t="str">
        <f>IFERROR(__xludf.DUMMYFUNCTION("""COMPUTED_VALUE"""),"40,000,000UC-60,000,000UC")</f>
        <v>40,000,000UC-60,000,000UC</v>
      </c>
      <c r="H287" s="35" t="str">
        <f>IFERROR(__xludf.DUMMYFUNCTION("""COMPUTED_VALUE"""),"16-20")</f>
        <v>16-20</v>
      </c>
      <c r="I287" s="32" t="str">
        <f>IFERROR(__xludf.DUMMYFUNCTION("""COMPUTED_VALUE"""),"Soul")</f>
        <v>Soul</v>
      </c>
      <c r="J287" s="35" t="str">
        <f>IFERROR(__xludf.DUMMYFUNCTION("""COMPUTED_VALUE"""),"21-25")</f>
        <v>21-25</v>
      </c>
      <c r="K287" s="32" t="str">
        <f>IFERROR(__xludf.DUMMYFUNCTION("""COMPUTED_VALUE"""),"Egg")</f>
        <v>Egg</v>
      </c>
      <c r="L287" s="32"/>
      <c r="M287" s="32"/>
      <c r="N287" s="32"/>
      <c r="O287" s="32"/>
      <c r="P287" s="32"/>
      <c r="Q287" s="32"/>
      <c r="R287" s="32"/>
      <c r="S287" s="32"/>
      <c r="T287" s="32"/>
      <c r="U287" s="32"/>
      <c r="V287" s="32"/>
      <c r="W287" s="32"/>
      <c r="X287" s="32"/>
    </row>
    <row r="288">
      <c r="A288" s="32" t="str">
        <f>IFERROR(__xludf.DUMMYFUNCTION("""COMPUTED_VALUE"""),"White Soul")</f>
        <v>White Soul</v>
      </c>
      <c r="B288" s="35" t="str">
        <f>IFERROR(__xludf.DUMMYFUNCTION("""COMPUTED_VALUE"""),"1-5")</f>
        <v>1-5</v>
      </c>
      <c r="C288" s="32" t="str">
        <f>IFERROR(__xludf.DUMMYFUNCTION("""COMPUTED_VALUE"""),"60,000,000UC-80,000,000UC")</f>
        <v>60,000,000UC-80,000,000UC</v>
      </c>
      <c r="D288" s="35" t="str">
        <f>IFERROR(__xludf.DUMMYFUNCTION("""COMPUTED_VALUE"""),"6-10")</f>
        <v>6-10</v>
      </c>
      <c r="E288" s="32" t="str">
        <f>IFERROR(__xludf.DUMMYFUNCTION("""COMPUTED_VALUE"""),"20,000,000UC-40,000,000UC")</f>
        <v>20,000,000UC-40,000,000UC</v>
      </c>
      <c r="F288" s="35" t="str">
        <f>IFERROR(__xludf.DUMMYFUNCTION("""COMPUTED_VALUE"""),"11-15")</f>
        <v>11-15</v>
      </c>
      <c r="G288" s="32" t="str">
        <f>IFERROR(__xludf.DUMMYFUNCTION("""COMPUTED_VALUE"""),"40,000,000UC-60,000,000UC")</f>
        <v>40,000,000UC-60,000,000UC</v>
      </c>
      <c r="H288" s="35" t="str">
        <f>IFERROR(__xludf.DUMMYFUNCTION("""COMPUTED_VALUE"""),"16-20")</f>
        <v>16-20</v>
      </c>
      <c r="I288" s="32" t="str">
        <f>IFERROR(__xludf.DUMMYFUNCTION("""COMPUTED_VALUE"""),"Soul")</f>
        <v>Soul</v>
      </c>
      <c r="J288" s="35" t="str">
        <f>IFERROR(__xludf.DUMMYFUNCTION("""COMPUTED_VALUE"""),"21-25")</f>
        <v>21-25</v>
      </c>
      <c r="K288" s="32" t="str">
        <f>IFERROR(__xludf.DUMMYFUNCTION("""COMPUTED_VALUE"""),"Egg")</f>
        <v>Egg</v>
      </c>
      <c r="L288" s="32"/>
      <c r="M288" s="32"/>
      <c r="N288" s="32"/>
      <c r="O288" s="32"/>
      <c r="P288" s="32"/>
      <c r="Q288" s="32"/>
      <c r="R288" s="32"/>
      <c r="S288" s="32"/>
      <c r="T288" s="32"/>
      <c r="U288" s="32"/>
      <c r="V288" s="32"/>
      <c r="W288" s="32"/>
      <c r="X288" s="32"/>
    </row>
    <row r="289">
      <c r="A289" s="32" t="str">
        <f>IFERROR(__xludf.DUMMYFUNCTION("""COMPUTED_VALUE"""),"Gray Soul")</f>
        <v>Gray Soul</v>
      </c>
      <c r="B289" s="35" t="str">
        <f>IFERROR(__xludf.DUMMYFUNCTION("""COMPUTED_VALUE"""),"1-5")</f>
        <v>1-5</v>
      </c>
      <c r="C289" s="32" t="str">
        <f>IFERROR(__xludf.DUMMYFUNCTION("""COMPUTED_VALUE"""),"60,000,000UC-80,000,000UC")</f>
        <v>60,000,000UC-80,000,000UC</v>
      </c>
      <c r="D289" s="35" t="str">
        <f>IFERROR(__xludf.DUMMYFUNCTION("""COMPUTED_VALUE"""),"6-10")</f>
        <v>6-10</v>
      </c>
      <c r="E289" s="32" t="str">
        <f>IFERROR(__xludf.DUMMYFUNCTION("""COMPUTED_VALUE"""),"20,000,000UC-40,000,000UC")</f>
        <v>20,000,000UC-40,000,000UC</v>
      </c>
      <c r="F289" s="35" t="str">
        <f>IFERROR(__xludf.DUMMYFUNCTION("""COMPUTED_VALUE"""),"11-15")</f>
        <v>11-15</v>
      </c>
      <c r="G289" s="32" t="str">
        <f>IFERROR(__xludf.DUMMYFUNCTION("""COMPUTED_VALUE"""),"40,000,000UC-60,000,000UC")</f>
        <v>40,000,000UC-60,000,000UC</v>
      </c>
      <c r="H289" s="35" t="str">
        <f>IFERROR(__xludf.DUMMYFUNCTION("""COMPUTED_VALUE"""),"16-20")</f>
        <v>16-20</v>
      </c>
      <c r="I289" s="32" t="str">
        <f>IFERROR(__xludf.DUMMYFUNCTION("""COMPUTED_VALUE"""),"Soul")</f>
        <v>Soul</v>
      </c>
      <c r="J289" s="35" t="str">
        <f>IFERROR(__xludf.DUMMYFUNCTION("""COMPUTED_VALUE"""),"21-25")</f>
        <v>21-25</v>
      </c>
      <c r="K289" s="32" t="str">
        <f>IFERROR(__xludf.DUMMYFUNCTION("""COMPUTED_VALUE"""),"Egg")</f>
        <v>Egg</v>
      </c>
      <c r="L289" s="32"/>
      <c r="M289" s="32"/>
      <c r="N289" s="32"/>
      <c r="O289" s="32"/>
      <c r="P289" s="32"/>
      <c r="Q289" s="32"/>
      <c r="R289" s="32"/>
      <c r="S289" s="32"/>
      <c r="T289" s="32"/>
      <c r="U289" s="32"/>
      <c r="V289" s="32"/>
      <c r="W289" s="32"/>
      <c r="X289" s="32"/>
    </row>
    <row r="290">
      <c r="A290" s="32" t="str">
        <f>IFERROR(__xludf.DUMMYFUNCTION("""COMPUTED_VALUE"""),"Flaming King Duck")</f>
        <v>Flaming King Duck</v>
      </c>
      <c r="B290" s="35" t="str">
        <f>IFERROR(__xludf.DUMMYFUNCTION("""COMPUTED_VALUE"""),"1-5")</f>
        <v>1-5</v>
      </c>
      <c r="C290" s="32" t="str">
        <f>IFERROR(__xludf.DUMMYFUNCTION("""COMPUTED_VALUE"""),"60,000,000UC-80,000,000UC")</f>
        <v>60,000,000UC-80,000,000UC</v>
      </c>
      <c r="D290" s="35" t="str">
        <f>IFERROR(__xludf.DUMMYFUNCTION("""COMPUTED_VALUE"""),"6-10")</f>
        <v>6-10</v>
      </c>
      <c r="E290" s="32" t="str">
        <f>IFERROR(__xludf.DUMMYFUNCTION("""COMPUTED_VALUE"""),"20,000,000UC-40,000,000UC")</f>
        <v>20,000,000UC-40,000,000UC</v>
      </c>
      <c r="F290" s="35" t="str">
        <f>IFERROR(__xludf.DUMMYFUNCTION("""COMPUTED_VALUE"""),"11-15")</f>
        <v>11-15</v>
      </c>
      <c r="G290" s="32" t="str">
        <f>IFERROR(__xludf.DUMMYFUNCTION("""COMPUTED_VALUE"""),"40,000,000UC-60,000,000UC")</f>
        <v>40,000,000UC-60,000,000UC</v>
      </c>
      <c r="H290" s="35" t="str">
        <f>IFERROR(__xludf.DUMMYFUNCTION("""COMPUTED_VALUE"""),"16-20")</f>
        <v>16-20</v>
      </c>
      <c r="I290" s="32" t="str">
        <f>IFERROR(__xludf.DUMMYFUNCTION("""COMPUTED_VALUE"""),"Soul")</f>
        <v>Soul</v>
      </c>
      <c r="J290" s="35" t="str">
        <f>IFERROR(__xludf.DUMMYFUNCTION("""COMPUTED_VALUE"""),"21-25")</f>
        <v>21-25</v>
      </c>
      <c r="K290" s="32" t="str">
        <f>IFERROR(__xludf.DUMMYFUNCTION("""COMPUTED_VALUE"""),"Nothing")</f>
        <v>Nothing</v>
      </c>
      <c r="L290" s="32"/>
      <c r="M290" s="32"/>
      <c r="N290" s="32"/>
      <c r="O290" s="32"/>
      <c r="P290" s="32"/>
      <c r="Q290" s="32"/>
      <c r="R290" s="32"/>
      <c r="S290" s="32"/>
      <c r="T290" s="32"/>
      <c r="U290" s="32"/>
      <c r="V290" s="32"/>
      <c r="W290" s="32"/>
      <c r="X290" s="32"/>
    </row>
    <row r="291">
      <c r="A291" s="32" t="str">
        <f>IFERROR(__xludf.DUMMYFUNCTION("""COMPUTED_VALUE"""),"Flaming Monkey")</f>
        <v>Flaming Monkey</v>
      </c>
      <c r="B291" s="35" t="str">
        <f>IFERROR(__xludf.DUMMYFUNCTION("""COMPUTED_VALUE"""),"1-5")</f>
        <v>1-5</v>
      </c>
      <c r="C291" s="32" t="str">
        <f>IFERROR(__xludf.DUMMYFUNCTION("""COMPUTED_VALUE"""),"60,000,000UC-80,000,000UC")</f>
        <v>60,000,000UC-80,000,000UC</v>
      </c>
      <c r="D291" s="35" t="str">
        <f>IFERROR(__xludf.DUMMYFUNCTION("""COMPUTED_VALUE"""),"6-10")</f>
        <v>6-10</v>
      </c>
      <c r="E291" s="32" t="str">
        <f>IFERROR(__xludf.DUMMYFUNCTION("""COMPUTED_VALUE"""),"20,000,000UC-40,000,000UC")</f>
        <v>20,000,000UC-40,000,000UC</v>
      </c>
      <c r="F291" s="35" t="str">
        <f>IFERROR(__xludf.DUMMYFUNCTION("""COMPUTED_VALUE"""),"11-15")</f>
        <v>11-15</v>
      </c>
      <c r="G291" s="32" t="str">
        <f>IFERROR(__xludf.DUMMYFUNCTION("""COMPUTED_VALUE"""),"40,000,000UC-60,000,000UC")</f>
        <v>40,000,000UC-60,000,000UC</v>
      </c>
      <c r="H291" s="35" t="str">
        <f>IFERROR(__xludf.DUMMYFUNCTION("""COMPUTED_VALUE"""),"16-20")</f>
        <v>16-20</v>
      </c>
      <c r="I291" s="32" t="str">
        <f>IFERROR(__xludf.DUMMYFUNCTION("""COMPUTED_VALUE"""),"Soul")</f>
        <v>Soul</v>
      </c>
      <c r="J291" s="35" t="str">
        <f>IFERROR(__xludf.DUMMYFUNCTION("""COMPUTED_VALUE"""),"21-25")</f>
        <v>21-25</v>
      </c>
      <c r="K291" s="32" t="str">
        <f>IFERROR(__xludf.DUMMYFUNCTION("""COMPUTED_VALUE"""),"Egg")</f>
        <v>Egg</v>
      </c>
      <c r="L291" s="32"/>
      <c r="M291" s="32"/>
      <c r="N291" s="32"/>
      <c r="O291" s="32"/>
      <c r="P291" s="32"/>
      <c r="Q291" s="32"/>
      <c r="R291" s="32"/>
      <c r="S291" s="32"/>
      <c r="T291" s="32"/>
      <c r="U291" s="32"/>
      <c r="V291" s="32"/>
      <c r="W291" s="32"/>
      <c r="X291" s="32"/>
    </row>
    <row r="292">
      <c r="A292" s="32" t="str">
        <f>IFERROR(__xludf.DUMMYFUNCTION("""COMPUTED_VALUE"""),"Magma Slime")</f>
        <v>Magma Slime</v>
      </c>
      <c r="B292" s="35" t="str">
        <f>IFERROR(__xludf.DUMMYFUNCTION("""COMPUTED_VALUE"""),"1-5")</f>
        <v>1-5</v>
      </c>
      <c r="C292" s="32" t="str">
        <f>IFERROR(__xludf.DUMMYFUNCTION("""COMPUTED_VALUE"""),"60,000,000UC-80,000,000UC")</f>
        <v>60,000,000UC-80,000,000UC</v>
      </c>
      <c r="D292" s="35" t="str">
        <f>IFERROR(__xludf.DUMMYFUNCTION("""COMPUTED_VALUE"""),"6-10")</f>
        <v>6-10</v>
      </c>
      <c r="E292" s="32" t="str">
        <f>IFERROR(__xludf.DUMMYFUNCTION("""COMPUTED_VALUE"""),"20,000,000UC-40,000,000UC")</f>
        <v>20,000,000UC-40,000,000UC</v>
      </c>
      <c r="F292" s="35" t="str">
        <f>IFERROR(__xludf.DUMMYFUNCTION("""COMPUTED_VALUE"""),"11-15")</f>
        <v>11-15</v>
      </c>
      <c r="G292" s="32" t="str">
        <f>IFERROR(__xludf.DUMMYFUNCTION("""COMPUTED_VALUE"""),"40,000,000UC-60,000,000UC")</f>
        <v>40,000,000UC-60,000,000UC</v>
      </c>
      <c r="H292" s="35" t="str">
        <f>IFERROR(__xludf.DUMMYFUNCTION("""COMPUTED_VALUE"""),"16-20")</f>
        <v>16-20</v>
      </c>
      <c r="I292" s="32" t="str">
        <f>IFERROR(__xludf.DUMMYFUNCTION("""COMPUTED_VALUE"""),"Soul")</f>
        <v>Soul</v>
      </c>
      <c r="J292" s="35" t="str">
        <f>IFERROR(__xludf.DUMMYFUNCTION("""COMPUTED_VALUE"""),"21-25")</f>
        <v>21-25</v>
      </c>
      <c r="K292" s="32" t="str">
        <f>IFERROR(__xludf.DUMMYFUNCTION("""COMPUTED_VALUE"""),"Sticky Slime Guantlets")</f>
        <v>Sticky Slime Guantlets</v>
      </c>
      <c r="L292" s="32"/>
      <c r="M292" s="32"/>
      <c r="N292" s="32"/>
      <c r="O292" s="32"/>
      <c r="P292" s="32"/>
      <c r="Q292" s="32"/>
      <c r="R292" s="32"/>
      <c r="S292" s="32"/>
      <c r="T292" s="32"/>
      <c r="U292" s="32"/>
      <c r="V292" s="32"/>
      <c r="W292" s="32"/>
      <c r="X292" s="32"/>
    </row>
    <row r="293">
      <c r="A293" s="32" t="str">
        <f>IFERROR(__xludf.DUMMYFUNCTION("""COMPUTED_VALUE"""),"Black Serpent Dragon")</f>
        <v>Black Serpent Dragon</v>
      </c>
      <c r="B293" s="35" t="str">
        <f>IFERROR(__xludf.DUMMYFUNCTION("""COMPUTED_VALUE"""),"1-5")</f>
        <v>1-5</v>
      </c>
      <c r="C293" s="32" t="str">
        <f>IFERROR(__xludf.DUMMYFUNCTION("""COMPUTED_VALUE"""),"Black Sepent Dragon Scales")</f>
        <v>Black Sepent Dragon Scales</v>
      </c>
      <c r="D293" s="35" t="str">
        <f>IFERROR(__xludf.DUMMYFUNCTION("""COMPUTED_VALUE"""),"6-10")</f>
        <v>6-10</v>
      </c>
      <c r="E293" s="32" t="str">
        <f>IFERROR(__xludf.DUMMYFUNCTION("""COMPUTED_VALUE"""),"500,000,000UC-1,000,000,000UC")</f>
        <v>500,000,000UC-1,000,000,000UC</v>
      </c>
      <c r="F293" s="35" t="str">
        <f>IFERROR(__xludf.DUMMYFUNCTION("""COMPUTED_VALUE"""),"11-15")</f>
        <v>11-15</v>
      </c>
      <c r="G293" s="32" t="str">
        <f>IFERROR(__xludf.DUMMYFUNCTION("""COMPUTED_VALUE"""),"Soul")</f>
        <v>Soul</v>
      </c>
      <c r="H293" s="35" t="str">
        <f>IFERROR(__xludf.DUMMYFUNCTION("""COMPUTED_VALUE"""),"16-20")</f>
        <v>16-20</v>
      </c>
      <c r="I293" s="32" t="str">
        <f>IFERROR(__xludf.DUMMYFUNCTION("""COMPUTED_VALUE"""),"Black Serpent Dragon Pendant")</f>
        <v>Black Serpent Dragon Pendant</v>
      </c>
      <c r="J293" s="35" t="str">
        <f>IFERROR(__xludf.DUMMYFUNCTION("""COMPUTED_VALUE"""),"21-25")</f>
        <v>21-25</v>
      </c>
      <c r="K293" s="32" t="str">
        <f>IFERROR(__xludf.DUMMYFUNCTION("""COMPUTED_VALUE"""),"Egg")</f>
        <v>Egg</v>
      </c>
      <c r="L293" s="32"/>
      <c r="M293" s="32"/>
      <c r="N293" s="32"/>
      <c r="O293" s="32"/>
      <c r="P293" s="32"/>
      <c r="Q293" s="32"/>
      <c r="R293" s="32"/>
      <c r="S293" s="32"/>
      <c r="T293" s="32"/>
      <c r="U293" s="32"/>
      <c r="V293" s="32"/>
      <c r="W293" s="32"/>
      <c r="X293" s="32"/>
    </row>
    <row r="294">
      <c r="A294" s="32" t="str">
        <f>IFERROR(__xludf.DUMMYFUNCTION("""COMPUTED_VALUE"""),"Acid Slime")</f>
        <v>Acid Slime</v>
      </c>
      <c r="B294" s="35" t="str">
        <f>IFERROR(__xludf.DUMMYFUNCTION("""COMPUTED_VALUE"""),"1-5")</f>
        <v>1-5</v>
      </c>
      <c r="C294" s="32" t="str">
        <f>IFERROR(__xludf.DUMMYFUNCTION("""COMPUTED_VALUE"""),"Slime core")</f>
        <v>Slime core</v>
      </c>
      <c r="D294" s="35" t="str">
        <f>IFERROR(__xludf.DUMMYFUNCTION("""COMPUTED_VALUE"""),"6-10")</f>
        <v>6-10</v>
      </c>
      <c r="E294" s="32" t="str">
        <f>IFERROR(__xludf.DUMMYFUNCTION("""COMPUTED_VALUE"""),"40,000,000UC-60,000,000UC")</f>
        <v>40,000,000UC-60,000,000UC</v>
      </c>
      <c r="F294" s="35" t="str">
        <f>IFERROR(__xludf.DUMMYFUNCTION("""COMPUTED_VALUE"""),"11-15")</f>
        <v>11-15</v>
      </c>
      <c r="G294" s="32" t="str">
        <f>IFERROR(__xludf.DUMMYFUNCTION("""COMPUTED_VALUE"""),"Nothing")</f>
        <v>Nothing</v>
      </c>
      <c r="H294" s="35" t="str">
        <f>IFERROR(__xludf.DUMMYFUNCTION("""COMPUTED_VALUE"""),"16-20")</f>
        <v>16-20</v>
      </c>
      <c r="I294" s="32" t="str">
        <f>IFERROR(__xludf.DUMMYFUNCTION("""COMPUTED_VALUE"""),"Nothing")</f>
        <v>Nothing</v>
      </c>
      <c r="J294" s="35" t="str">
        <f>IFERROR(__xludf.DUMMYFUNCTION("""COMPUTED_VALUE"""),"21-25")</f>
        <v>21-25</v>
      </c>
      <c r="K294" s="32" t="str">
        <f>IFERROR(__xludf.DUMMYFUNCTION("""COMPUTED_VALUE"""),"Nothing")</f>
        <v>Nothing</v>
      </c>
      <c r="L294" s="32"/>
      <c r="M294" s="32"/>
      <c r="N294" s="32"/>
      <c r="O294" s="32"/>
      <c r="P294" s="32"/>
      <c r="Q294" s="32"/>
      <c r="R294" s="32"/>
      <c r="S294" s="32"/>
      <c r="T294" s="32"/>
      <c r="U294" s="32"/>
      <c r="V294" s="32"/>
      <c r="W294" s="32"/>
      <c r="X294" s="32"/>
    </row>
    <row r="295">
      <c r="A295" s="32" t="str">
        <f>IFERROR(__xludf.DUMMYFUNCTION("""COMPUTED_VALUE"""),"Ancient Deer Of The Forest")</f>
        <v>Ancient Deer Of The Forest</v>
      </c>
      <c r="B295" s="35" t="str">
        <f>IFERROR(__xludf.DUMMYFUNCTION("""COMPUTED_VALUE"""),"1-5")</f>
        <v>1-5</v>
      </c>
      <c r="C295" s="32" t="str">
        <f>IFERROR(__xludf.DUMMYFUNCTION("""COMPUTED_VALUE"""),"Stag Meat")</f>
        <v>Stag Meat</v>
      </c>
      <c r="D295" s="35" t="str">
        <f>IFERROR(__xludf.DUMMYFUNCTION("""COMPUTED_VALUE"""),"6-10")</f>
        <v>6-10</v>
      </c>
      <c r="E295" s="32" t="str">
        <f>IFERROR(__xludf.DUMMYFUNCTION("""COMPUTED_VALUE"""),"Stag Meat")</f>
        <v>Stag Meat</v>
      </c>
      <c r="F295" s="35" t="str">
        <f>IFERROR(__xludf.DUMMYFUNCTION("""COMPUTED_VALUE"""),"11-15")</f>
        <v>11-15</v>
      </c>
      <c r="G295" s="32"/>
      <c r="H295" s="35" t="str">
        <f>IFERROR(__xludf.DUMMYFUNCTION("""COMPUTED_VALUE"""),"16-20")</f>
        <v>16-20</v>
      </c>
      <c r="I295" s="32"/>
      <c r="J295" s="35" t="str">
        <f>IFERROR(__xludf.DUMMYFUNCTION("""COMPUTED_VALUE"""),"21-25")</f>
        <v>21-25</v>
      </c>
      <c r="K295" s="32"/>
      <c r="L295" s="32"/>
      <c r="M295" s="32"/>
      <c r="N295" s="32"/>
      <c r="O295" s="32"/>
      <c r="P295" s="32"/>
      <c r="Q295" s="32"/>
      <c r="R295" s="32"/>
      <c r="S295" s="32"/>
      <c r="T295" s="32"/>
      <c r="U295" s="32"/>
      <c r="V295" s="32"/>
      <c r="W295" s="32"/>
      <c r="X295" s="32"/>
    </row>
    <row r="296">
      <c r="A296" s="32" t="str">
        <f>IFERROR(__xludf.DUMMYFUNCTION("""COMPUTED_VALUE"""),"Vermouth's Guard")</f>
        <v>Vermouth's Guard</v>
      </c>
      <c r="B296" s="35" t="str">
        <f>IFERROR(__xludf.DUMMYFUNCTION("""COMPUTED_VALUE"""),"1-5")</f>
        <v>1-5</v>
      </c>
      <c r="C296" s="32" t="str">
        <f>IFERROR(__xludf.DUMMYFUNCTION("""COMPUTED_VALUE"""),"60,000,000G-80,000,000G")</f>
        <v>60,000,000G-80,000,000G</v>
      </c>
      <c r="D296" s="35" t="str">
        <f>IFERROR(__xludf.DUMMYFUNCTION("""COMPUTED_VALUE"""),"6-10")</f>
        <v>6-10</v>
      </c>
      <c r="E296" s="32" t="str">
        <f>IFERROR(__xludf.DUMMYFUNCTION("""COMPUTED_VALUE"""),"Alpha Sword")</f>
        <v>Alpha Sword</v>
      </c>
      <c r="F296" s="35" t="str">
        <f>IFERROR(__xludf.DUMMYFUNCTION("""COMPUTED_VALUE"""),"11-15")</f>
        <v>11-15</v>
      </c>
      <c r="G296" s="32" t="str">
        <f>IFERROR(__xludf.DUMMYFUNCTION("""COMPUTED_VALUE"""),"Ice Blade")</f>
        <v>Ice Blade</v>
      </c>
      <c r="H296" s="35" t="str">
        <f>IFERROR(__xludf.DUMMYFUNCTION("""COMPUTED_VALUE"""),"16-20")</f>
        <v>16-20</v>
      </c>
      <c r="I296" s="32" t="str">
        <f>IFERROR(__xludf.DUMMYFUNCTION("""COMPUTED_VALUE"""),"Rum")</f>
        <v>Rum</v>
      </c>
      <c r="J296" s="35" t="str">
        <f>IFERROR(__xludf.DUMMYFUNCTION("""COMPUTED_VALUE"""),"21-25")</f>
        <v>21-25</v>
      </c>
      <c r="K296" s="32" t="str">
        <f>IFERROR(__xludf.DUMMYFUNCTION("""COMPUTED_VALUE"""),"Smoke Bomb")</f>
        <v>Smoke Bomb</v>
      </c>
      <c r="L296" s="32"/>
      <c r="M296" s="32"/>
      <c r="N296" s="32"/>
      <c r="O296" s="32"/>
      <c r="P296" s="32"/>
      <c r="Q296" s="32"/>
      <c r="R296" s="32"/>
      <c r="S296" s="32"/>
      <c r="T296" s="32"/>
      <c r="U296" s="32"/>
      <c r="V296" s="32"/>
      <c r="W296" s="32"/>
      <c r="X296" s="32"/>
    </row>
    <row r="297">
      <c r="A297" s="32" t="str">
        <f>IFERROR(__xludf.DUMMYFUNCTION("""COMPUTED_VALUE"""),"Dio The Time Dragon")</f>
        <v>Dio The Time Dragon</v>
      </c>
      <c r="B297" s="35" t="str">
        <f>IFERROR(__xludf.DUMMYFUNCTION("""COMPUTED_VALUE"""),"1-5")</f>
        <v>1-5</v>
      </c>
      <c r="C297" s="32"/>
      <c r="D297" s="35" t="str">
        <f>IFERROR(__xludf.DUMMYFUNCTION("""COMPUTED_VALUE"""),"6-10")</f>
        <v>6-10</v>
      </c>
      <c r="E297" s="32"/>
      <c r="F297" s="35" t="str">
        <f>IFERROR(__xludf.DUMMYFUNCTION("""COMPUTED_VALUE"""),"11-15")</f>
        <v>11-15</v>
      </c>
      <c r="G297" s="32"/>
      <c r="H297" s="35" t="str">
        <f>IFERROR(__xludf.DUMMYFUNCTION("""COMPUTED_VALUE"""),"16-20")</f>
        <v>16-20</v>
      </c>
      <c r="I297" s="32"/>
      <c r="J297" s="35" t="str">
        <f>IFERROR(__xludf.DUMMYFUNCTION("""COMPUTED_VALUE"""),"21-25")</f>
        <v>21-25</v>
      </c>
      <c r="K297" s="32"/>
      <c r="L297" s="32"/>
      <c r="M297" s="32"/>
      <c r="N297" s="32"/>
      <c r="O297" s="32"/>
      <c r="P297" s="32"/>
      <c r="Q297" s="32"/>
      <c r="R297" s="32"/>
      <c r="S297" s="32"/>
      <c r="T297" s="32"/>
      <c r="U297" s="32"/>
      <c r="V297" s="32"/>
      <c r="W297" s="32"/>
      <c r="X297" s="32"/>
    </row>
    <row r="298">
      <c r="A298" s="32" t="str">
        <f>IFERROR(__xludf.DUMMYFUNCTION("""COMPUTED_VALUE"""),"Guard Tier III")</f>
        <v>Guard Tier III</v>
      </c>
      <c r="B298" s="35" t="str">
        <f>IFERROR(__xludf.DUMMYFUNCTION("""COMPUTED_VALUE"""),"1-5")</f>
        <v>1-5</v>
      </c>
      <c r="C298" s="32" t="str">
        <f>IFERROR(__xludf.DUMMYFUNCTION("""COMPUTED_VALUE"""),"Nothing")</f>
        <v>Nothing</v>
      </c>
      <c r="D298" s="35" t="str">
        <f>IFERROR(__xludf.DUMMYFUNCTION("""COMPUTED_VALUE"""),"6-10")</f>
        <v>6-10</v>
      </c>
      <c r="E298" s="32" t="str">
        <f>IFERROR(__xludf.DUMMYFUNCTION("""COMPUTED_VALUE"""),"Nothing")</f>
        <v>Nothing</v>
      </c>
      <c r="F298" s="35" t="str">
        <f>IFERROR(__xludf.DUMMYFUNCTION("""COMPUTED_VALUE"""),"11-15")</f>
        <v>11-15</v>
      </c>
      <c r="G298" s="32" t="str">
        <f>IFERROR(__xludf.DUMMYFUNCTION("""COMPUTED_VALUE"""),"Nothing")</f>
        <v>Nothing</v>
      </c>
      <c r="H298" s="35" t="str">
        <f>IFERROR(__xludf.DUMMYFUNCTION("""COMPUTED_VALUE"""),"16-20")</f>
        <v>16-20</v>
      </c>
      <c r="I298" s="32" t="str">
        <f>IFERROR(__xludf.DUMMYFUNCTION("""COMPUTED_VALUE"""),"Nothing")</f>
        <v>Nothing</v>
      </c>
      <c r="J298" s="35" t="str">
        <f>IFERROR(__xludf.DUMMYFUNCTION("""COMPUTED_VALUE"""),"21-25")</f>
        <v>21-25</v>
      </c>
      <c r="K298" s="32" t="str">
        <f>IFERROR(__xludf.DUMMYFUNCTION("""COMPUTED_VALUE"""),"Nothing")</f>
        <v>Nothing</v>
      </c>
      <c r="L298" s="32"/>
      <c r="M298" s="32"/>
      <c r="N298" s="32"/>
      <c r="O298" s="32"/>
      <c r="P298" s="32"/>
      <c r="Q298" s="32"/>
      <c r="R298" s="32"/>
      <c r="S298" s="32"/>
      <c r="T298" s="32"/>
      <c r="U298" s="32"/>
      <c r="V298" s="32"/>
      <c r="W298" s="32"/>
      <c r="X298" s="32"/>
    </row>
    <row r="299">
      <c r="A299" s="32" t="str">
        <f>IFERROR(__xludf.DUMMYFUNCTION("""COMPUTED_VALUE"""),"Guard Tier II")</f>
        <v>Guard Tier II</v>
      </c>
      <c r="B299" s="35" t="str">
        <f>IFERROR(__xludf.DUMMYFUNCTION("""COMPUTED_VALUE"""),"1-5")</f>
        <v>1-5</v>
      </c>
      <c r="C299" s="32" t="str">
        <f>IFERROR(__xludf.DUMMYFUNCTION("""COMPUTED_VALUE"""),"Nothing")</f>
        <v>Nothing</v>
      </c>
      <c r="D299" s="35" t="str">
        <f>IFERROR(__xludf.DUMMYFUNCTION("""COMPUTED_VALUE"""),"6-10")</f>
        <v>6-10</v>
      </c>
      <c r="E299" s="32" t="str">
        <f>IFERROR(__xludf.DUMMYFUNCTION("""COMPUTED_VALUE"""),"Nothing")</f>
        <v>Nothing</v>
      </c>
      <c r="F299" s="35" t="str">
        <f>IFERROR(__xludf.DUMMYFUNCTION("""COMPUTED_VALUE"""),"11-15")</f>
        <v>11-15</v>
      </c>
      <c r="G299" s="32" t="str">
        <f>IFERROR(__xludf.DUMMYFUNCTION("""COMPUTED_VALUE"""),"Nothing")</f>
        <v>Nothing</v>
      </c>
      <c r="H299" s="35" t="str">
        <f>IFERROR(__xludf.DUMMYFUNCTION("""COMPUTED_VALUE"""),"16-20")</f>
        <v>16-20</v>
      </c>
      <c r="I299" s="32" t="str">
        <f>IFERROR(__xludf.DUMMYFUNCTION("""COMPUTED_VALUE"""),"Nothing")</f>
        <v>Nothing</v>
      </c>
      <c r="J299" s="35" t="str">
        <f>IFERROR(__xludf.DUMMYFUNCTION("""COMPUTED_VALUE"""),"21-25")</f>
        <v>21-25</v>
      </c>
      <c r="K299" s="32" t="str">
        <f>IFERROR(__xludf.DUMMYFUNCTION("""COMPUTED_VALUE"""),"Nothing")</f>
        <v>Nothing</v>
      </c>
      <c r="L299" s="32"/>
      <c r="M299" s="32"/>
      <c r="N299" s="32"/>
      <c r="O299" s="32"/>
      <c r="P299" s="32"/>
      <c r="Q299" s="32"/>
      <c r="R299" s="32"/>
      <c r="S299" s="32"/>
      <c r="T299" s="32"/>
      <c r="U299" s="32"/>
      <c r="V299" s="32"/>
      <c r="W299" s="32"/>
      <c r="X299" s="32"/>
    </row>
    <row r="300">
      <c r="A300" s="32" t="str">
        <f>IFERROR(__xludf.DUMMYFUNCTION("""COMPUTED_VALUE"""),"Guard Tier I")</f>
        <v>Guard Tier I</v>
      </c>
      <c r="B300" s="35" t="str">
        <f>IFERROR(__xludf.DUMMYFUNCTION("""COMPUTED_VALUE"""),"1-5")</f>
        <v>1-5</v>
      </c>
      <c r="C300" s="32" t="str">
        <f>IFERROR(__xludf.DUMMYFUNCTION("""COMPUTED_VALUE"""),"Nothing")</f>
        <v>Nothing</v>
      </c>
      <c r="D300" s="35" t="str">
        <f>IFERROR(__xludf.DUMMYFUNCTION("""COMPUTED_VALUE"""),"6-10")</f>
        <v>6-10</v>
      </c>
      <c r="E300" s="32" t="str">
        <f>IFERROR(__xludf.DUMMYFUNCTION("""COMPUTED_VALUE"""),"Nothing")</f>
        <v>Nothing</v>
      </c>
      <c r="F300" s="35" t="str">
        <f>IFERROR(__xludf.DUMMYFUNCTION("""COMPUTED_VALUE"""),"11-15")</f>
        <v>11-15</v>
      </c>
      <c r="G300" s="32" t="str">
        <f>IFERROR(__xludf.DUMMYFUNCTION("""COMPUTED_VALUE"""),"Nothing")</f>
        <v>Nothing</v>
      </c>
      <c r="H300" s="35" t="str">
        <f>IFERROR(__xludf.DUMMYFUNCTION("""COMPUTED_VALUE"""),"16-20")</f>
        <v>16-20</v>
      </c>
      <c r="I300" s="32" t="str">
        <f>IFERROR(__xludf.DUMMYFUNCTION("""COMPUTED_VALUE"""),"Nothing")</f>
        <v>Nothing</v>
      </c>
      <c r="J300" s="35" t="str">
        <f>IFERROR(__xludf.DUMMYFUNCTION("""COMPUTED_VALUE"""),"21-25")</f>
        <v>21-25</v>
      </c>
      <c r="K300" s="32" t="str">
        <f>IFERROR(__xludf.DUMMYFUNCTION("""COMPUTED_VALUE"""),"Nothing")</f>
        <v>Nothing</v>
      </c>
      <c r="L300" s="32"/>
      <c r="M300" s="32"/>
      <c r="N300" s="32"/>
      <c r="O300" s="32"/>
      <c r="P300" s="32"/>
      <c r="Q300" s="32"/>
      <c r="R300" s="32"/>
      <c r="S300" s="32"/>
      <c r="T300" s="32"/>
      <c r="U300" s="32"/>
      <c r="V300" s="32"/>
      <c r="W300" s="32"/>
      <c r="X300" s="32"/>
    </row>
    <row r="301">
      <c r="A301" s="32" t="str">
        <f>IFERROR(__xludf.DUMMYFUNCTION("""COMPUTED_VALUE"""),"Dragonscale Guard (Tier III)")</f>
        <v>Dragonscale Guard (Tier III)</v>
      </c>
      <c r="B301" s="35" t="str">
        <f>IFERROR(__xludf.DUMMYFUNCTION("""COMPUTED_VALUE"""),"1-5")</f>
        <v>1-5</v>
      </c>
      <c r="C301" s="32" t="str">
        <f>IFERROR(__xludf.DUMMYFUNCTION("""COMPUTED_VALUE"""),"Nothing")</f>
        <v>Nothing</v>
      </c>
      <c r="D301" s="35" t="str">
        <f>IFERROR(__xludf.DUMMYFUNCTION("""COMPUTED_VALUE"""),"6-10")</f>
        <v>6-10</v>
      </c>
      <c r="E301" s="32" t="str">
        <f>IFERROR(__xludf.DUMMYFUNCTION("""COMPUTED_VALUE"""),"Nothing")</f>
        <v>Nothing</v>
      </c>
      <c r="F301" s="35" t="str">
        <f>IFERROR(__xludf.DUMMYFUNCTION("""COMPUTED_VALUE"""),"11-15")</f>
        <v>11-15</v>
      </c>
      <c r="G301" s="32" t="str">
        <f>IFERROR(__xludf.DUMMYFUNCTION("""COMPUTED_VALUE"""),"Nothing")</f>
        <v>Nothing</v>
      </c>
      <c r="H301" s="35" t="str">
        <f>IFERROR(__xludf.DUMMYFUNCTION("""COMPUTED_VALUE"""),"16-20")</f>
        <v>16-20</v>
      </c>
      <c r="I301" s="32" t="str">
        <f>IFERROR(__xludf.DUMMYFUNCTION("""COMPUTED_VALUE"""),"Nothing")</f>
        <v>Nothing</v>
      </c>
      <c r="J301" s="35" t="str">
        <f>IFERROR(__xludf.DUMMYFUNCTION("""COMPUTED_VALUE"""),"21-25")</f>
        <v>21-25</v>
      </c>
      <c r="K301" s="32" t="str">
        <f>IFERROR(__xludf.DUMMYFUNCTION("""COMPUTED_VALUE"""),"Nothing")</f>
        <v>Nothing</v>
      </c>
      <c r="L301" s="32"/>
      <c r="M301" s="32"/>
      <c r="N301" s="32"/>
      <c r="O301" s="32"/>
      <c r="P301" s="32"/>
      <c r="Q301" s="32"/>
      <c r="R301" s="32"/>
      <c r="S301" s="32"/>
      <c r="T301" s="32"/>
      <c r="U301" s="32"/>
      <c r="V301" s="32"/>
      <c r="W301" s="32"/>
      <c r="X301" s="32"/>
    </row>
    <row r="302">
      <c r="A302" s="32" t="str">
        <f>IFERROR(__xludf.DUMMYFUNCTION("""COMPUTED_VALUE"""),"Dragonscale Guard (Tier II)")</f>
        <v>Dragonscale Guard (Tier II)</v>
      </c>
      <c r="B302" s="35" t="str">
        <f>IFERROR(__xludf.DUMMYFUNCTION("""COMPUTED_VALUE"""),"1-5")</f>
        <v>1-5</v>
      </c>
      <c r="C302" s="32" t="str">
        <f>IFERROR(__xludf.DUMMYFUNCTION("""COMPUTED_VALUE"""),"Nothing")</f>
        <v>Nothing</v>
      </c>
      <c r="D302" s="35" t="str">
        <f>IFERROR(__xludf.DUMMYFUNCTION("""COMPUTED_VALUE"""),"6-10")</f>
        <v>6-10</v>
      </c>
      <c r="E302" s="32" t="str">
        <f>IFERROR(__xludf.DUMMYFUNCTION("""COMPUTED_VALUE"""),"Nothing")</f>
        <v>Nothing</v>
      </c>
      <c r="F302" s="35" t="str">
        <f>IFERROR(__xludf.DUMMYFUNCTION("""COMPUTED_VALUE"""),"11-15")</f>
        <v>11-15</v>
      </c>
      <c r="G302" s="32" t="str">
        <f>IFERROR(__xludf.DUMMYFUNCTION("""COMPUTED_VALUE"""),"Nothing")</f>
        <v>Nothing</v>
      </c>
      <c r="H302" s="35" t="str">
        <f>IFERROR(__xludf.DUMMYFUNCTION("""COMPUTED_VALUE"""),"16-20")</f>
        <v>16-20</v>
      </c>
      <c r="I302" s="32" t="str">
        <f>IFERROR(__xludf.DUMMYFUNCTION("""COMPUTED_VALUE"""),"Nothing")</f>
        <v>Nothing</v>
      </c>
      <c r="J302" s="35" t="str">
        <f>IFERROR(__xludf.DUMMYFUNCTION("""COMPUTED_VALUE"""),"21-25")</f>
        <v>21-25</v>
      </c>
      <c r="K302" s="32" t="str">
        <f>IFERROR(__xludf.DUMMYFUNCTION("""COMPUTED_VALUE"""),"Nothing")</f>
        <v>Nothing</v>
      </c>
      <c r="L302" s="32"/>
      <c r="M302" s="32"/>
      <c r="N302" s="32"/>
      <c r="O302" s="32"/>
      <c r="P302" s="32"/>
      <c r="Q302" s="32"/>
      <c r="R302" s="32"/>
      <c r="S302" s="32"/>
      <c r="T302" s="32"/>
      <c r="U302" s="32"/>
      <c r="V302" s="32"/>
      <c r="W302" s="32"/>
      <c r="X302" s="32"/>
    </row>
    <row r="303">
      <c r="A303" s="32" t="str">
        <f>IFERROR(__xludf.DUMMYFUNCTION("""COMPUTED_VALUE"""),"Dragonscale Guard (Tier I)")</f>
        <v>Dragonscale Guard (Tier I)</v>
      </c>
      <c r="B303" s="35" t="str">
        <f>IFERROR(__xludf.DUMMYFUNCTION("""COMPUTED_VALUE"""),"1-5")</f>
        <v>1-5</v>
      </c>
      <c r="C303" s="32" t="str">
        <f>IFERROR(__xludf.DUMMYFUNCTION("""COMPUTED_VALUE"""),"Nothing")</f>
        <v>Nothing</v>
      </c>
      <c r="D303" s="35" t="str">
        <f>IFERROR(__xludf.DUMMYFUNCTION("""COMPUTED_VALUE"""),"6-10")</f>
        <v>6-10</v>
      </c>
      <c r="E303" s="32" t="str">
        <f>IFERROR(__xludf.DUMMYFUNCTION("""COMPUTED_VALUE"""),"Nothing")</f>
        <v>Nothing</v>
      </c>
      <c r="F303" s="35" t="str">
        <f>IFERROR(__xludf.DUMMYFUNCTION("""COMPUTED_VALUE"""),"11-15")</f>
        <v>11-15</v>
      </c>
      <c r="G303" s="32" t="str">
        <f>IFERROR(__xludf.DUMMYFUNCTION("""COMPUTED_VALUE"""),"Nothing")</f>
        <v>Nothing</v>
      </c>
      <c r="H303" s="35" t="str">
        <f>IFERROR(__xludf.DUMMYFUNCTION("""COMPUTED_VALUE"""),"16-20")</f>
        <v>16-20</v>
      </c>
      <c r="I303" s="32" t="str">
        <f>IFERROR(__xludf.DUMMYFUNCTION("""COMPUTED_VALUE"""),"Nothing")</f>
        <v>Nothing</v>
      </c>
      <c r="J303" s="35" t="str">
        <f>IFERROR(__xludf.DUMMYFUNCTION("""COMPUTED_VALUE"""),"21-25")</f>
        <v>21-25</v>
      </c>
      <c r="K303" s="32" t="str">
        <f>IFERROR(__xludf.DUMMYFUNCTION("""COMPUTED_VALUE"""),"Nothing")</f>
        <v>Nothing</v>
      </c>
      <c r="L303" s="32"/>
      <c r="M303" s="32"/>
      <c r="N303" s="32"/>
      <c r="O303" s="32"/>
      <c r="P303" s="32"/>
      <c r="Q303" s="32"/>
      <c r="R303" s="32"/>
      <c r="S303" s="32"/>
      <c r="T303" s="32"/>
      <c r="U303" s="32"/>
      <c r="V303" s="32"/>
      <c r="W303" s="32"/>
      <c r="X303" s="32"/>
    </row>
    <row r="304">
      <c r="A304" s="32" t="str">
        <f>IFERROR(__xludf.DUMMYFUNCTION("""COMPUTED_VALUE"""),"Abstara Guard (Tier IIl)")</f>
        <v>Abstara Guard (Tier IIl)</v>
      </c>
      <c r="B304" s="35" t="str">
        <f>IFERROR(__xludf.DUMMYFUNCTION("""COMPUTED_VALUE"""),"1-5")</f>
        <v>1-5</v>
      </c>
      <c r="C304" s="32" t="str">
        <f>IFERROR(__xludf.DUMMYFUNCTION("""COMPUTED_VALUE"""),"Nothing")</f>
        <v>Nothing</v>
      </c>
      <c r="D304" s="35" t="str">
        <f>IFERROR(__xludf.DUMMYFUNCTION("""COMPUTED_VALUE"""),"6-10")</f>
        <v>6-10</v>
      </c>
      <c r="E304" s="32" t="str">
        <f>IFERROR(__xludf.DUMMYFUNCTION("""COMPUTED_VALUE"""),"Nothing")</f>
        <v>Nothing</v>
      </c>
      <c r="F304" s="35" t="str">
        <f>IFERROR(__xludf.DUMMYFUNCTION("""COMPUTED_VALUE"""),"11-15")</f>
        <v>11-15</v>
      </c>
      <c r="G304" s="32" t="str">
        <f>IFERROR(__xludf.DUMMYFUNCTION("""COMPUTED_VALUE"""),"Nothing")</f>
        <v>Nothing</v>
      </c>
      <c r="H304" s="35" t="str">
        <f>IFERROR(__xludf.DUMMYFUNCTION("""COMPUTED_VALUE"""),"16-20")</f>
        <v>16-20</v>
      </c>
      <c r="I304" s="32" t="str">
        <f>IFERROR(__xludf.DUMMYFUNCTION("""COMPUTED_VALUE"""),"Nothing")</f>
        <v>Nothing</v>
      </c>
      <c r="J304" s="35" t="str">
        <f>IFERROR(__xludf.DUMMYFUNCTION("""COMPUTED_VALUE"""),"21-25")</f>
        <v>21-25</v>
      </c>
      <c r="K304" s="32" t="str">
        <f>IFERROR(__xludf.DUMMYFUNCTION("""COMPUTED_VALUE"""),"Nothing")</f>
        <v>Nothing</v>
      </c>
      <c r="L304" s="32"/>
      <c r="M304" s="32"/>
      <c r="N304" s="32"/>
      <c r="O304" s="32"/>
      <c r="P304" s="32"/>
      <c r="Q304" s="32"/>
      <c r="R304" s="32"/>
      <c r="S304" s="32"/>
      <c r="T304" s="32"/>
      <c r="U304" s="32"/>
      <c r="V304" s="32"/>
      <c r="W304" s="32"/>
      <c r="X304" s="32"/>
    </row>
    <row r="305">
      <c r="A305" s="32" t="str">
        <f>IFERROR(__xludf.DUMMYFUNCTION("""COMPUTED_VALUE"""),"Abstara Guard (Tier II)")</f>
        <v>Abstara Guard (Tier II)</v>
      </c>
      <c r="B305" s="35" t="str">
        <f>IFERROR(__xludf.DUMMYFUNCTION("""COMPUTED_VALUE"""),"1-5")</f>
        <v>1-5</v>
      </c>
      <c r="C305" s="32" t="str">
        <f>IFERROR(__xludf.DUMMYFUNCTION("""COMPUTED_VALUE"""),"Nothing")</f>
        <v>Nothing</v>
      </c>
      <c r="D305" s="35" t="str">
        <f>IFERROR(__xludf.DUMMYFUNCTION("""COMPUTED_VALUE"""),"6-10")</f>
        <v>6-10</v>
      </c>
      <c r="E305" s="32" t="str">
        <f>IFERROR(__xludf.DUMMYFUNCTION("""COMPUTED_VALUE"""),"Nothing")</f>
        <v>Nothing</v>
      </c>
      <c r="F305" s="35" t="str">
        <f>IFERROR(__xludf.DUMMYFUNCTION("""COMPUTED_VALUE"""),"11-15")</f>
        <v>11-15</v>
      </c>
      <c r="G305" s="32" t="str">
        <f>IFERROR(__xludf.DUMMYFUNCTION("""COMPUTED_VALUE"""),"Nothing")</f>
        <v>Nothing</v>
      </c>
      <c r="H305" s="35" t="str">
        <f>IFERROR(__xludf.DUMMYFUNCTION("""COMPUTED_VALUE"""),"16-20")</f>
        <v>16-20</v>
      </c>
      <c r="I305" s="32" t="str">
        <f>IFERROR(__xludf.DUMMYFUNCTION("""COMPUTED_VALUE"""),"Nothing")</f>
        <v>Nothing</v>
      </c>
      <c r="J305" s="35" t="str">
        <f>IFERROR(__xludf.DUMMYFUNCTION("""COMPUTED_VALUE"""),"21-25")</f>
        <v>21-25</v>
      </c>
      <c r="K305" s="32" t="str">
        <f>IFERROR(__xludf.DUMMYFUNCTION("""COMPUTED_VALUE"""),"Nothing")</f>
        <v>Nothing</v>
      </c>
      <c r="L305" s="32"/>
      <c r="M305" s="32"/>
      <c r="N305" s="32"/>
      <c r="O305" s="32"/>
      <c r="P305" s="32"/>
      <c r="Q305" s="32"/>
      <c r="R305" s="32"/>
      <c r="S305" s="32"/>
      <c r="T305" s="32"/>
      <c r="U305" s="32"/>
      <c r="V305" s="32"/>
      <c r="W305" s="32"/>
      <c r="X305" s="32"/>
    </row>
    <row r="306">
      <c r="A306" s="32" t="str">
        <f>IFERROR(__xludf.DUMMYFUNCTION("""COMPUTED_VALUE"""),"Abstara  Guard (Tier l)")</f>
        <v>Abstara  Guard (Tier l)</v>
      </c>
      <c r="B306" s="35" t="str">
        <f>IFERROR(__xludf.DUMMYFUNCTION("""COMPUTED_VALUE"""),"1-5")</f>
        <v>1-5</v>
      </c>
      <c r="C306" s="32" t="str">
        <f>IFERROR(__xludf.DUMMYFUNCTION("""COMPUTED_VALUE"""),"Nothing")</f>
        <v>Nothing</v>
      </c>
      <c r="D306" s="35" t="str">
        <f>IFERROR(__xludf.DUMMYFUNCTION("""COMPUTED_VALUE"""),"6-10")</f>
        <v>6-10</v>
      </c>
      <c r="E306" s="32" t="str">
        <f>IFERROR(__xludf.DUMMYFUNCTION("""COMPUTED_VALUE"""),"Nothing")</f>
        <v>Nothing</v>
      </c>
      <c r="F306" s="35" t="str">
        <f>IFERROR(__xludf.DUMMYFUNCTION("""COMPUTED_VALUE"""),"11-15")</f>
        <v>11-15</v>
      </c>
      <c r="G306" s="32" t="str">
        <f>IFERROR(__xludf.DUMMYFUNCTION("""COMPUTED_VALUE"""),"Nothing")</f>
        <v>Nothing</v>
      </c>
      <c r="H306" s="35" t="str">
        <f>IFERROR(__xludf.DUMMYFUNCTION("""COMPUTED_VALUE"""),"16-20")</f>
        <v>16-20</v>
      </c>
      <c r="I306" s="32" t="str">
        <f>IFERROR(__xludf.DUMMYFUNCTION("""COMPUTED_VALUE"""),"Nothing")</f>
        <v>Nothing</v>
      </c>
      <c r="J306" s="35" t="str">
        <f>IFERROR(__xludf.DUMMYFUNCTION("""COMPUTED_VALUE"""),"21-25")</f>
        <v>21-25</v>
      </c>
      <c r="K306" s="32" t="str">
        <f>IFERROR(__xludf.DUMMYFUNCTION("""COMPUTED_VALUE"""),"Nothing")</f>
        <v>Nothing</v>
      </c>
      <c r="L306" s="32"/>
      <c r="M306" s="32"/>
      <c r="N306" s="32"/>
      <c r="O306" s="32"/>
      <c r="P306" s="32"/>
      <c r="Q306" s="32"/>
      <c r="R306" s="32"/>
      <c r="S306" s="32"/>
      <c r="T306" s="32"/>
      <c r="U306" s="32"/>
      <c r="V306" s="32"/>
      <c r="W306" s="32"/>
      <c r="X306" s="32"/>
    </row>
    <row r="307">
      <c r="A307" s="32" t="str">
        <f>IFERROR(__xludf.DUMMYFUNCTION("""COMPUTED_VALUE"""),"Hephaestus, The God of The Forge")</f>
        <v>Hephaestus, The God of The Forge</v>
      </c>
      <c r="B307" s="35" t="str">
        <f>IFERROR(__xludf.DUMMYFUNCTION("""COMPUTED_VALUE"""),"1-5")</f>
        <v>1-5</v>
      </c>
      <c r="C307" s="32" t="str">
        <f>IFERROR(__xludf.DUMMYFUNCTION("""COMPUTED_VALUE"""),"Nothing")</f>
        <v>Nothing</v>
      </c>
      <c r="D307" s="35" t="str">
        <f>IFERROR(__xludf.DUMMYFUNCTION("""COMPUTED_VALUE"""),"6-10")</f>
        <v>6-10</v>
      </c>
      <c r="E307" s="32" t="str">
        <f>IFERROR(__xludf.DUMMYFUNCTION("""COMPUTED_VALUE"""),"Nothing")</f>
        <v>Nothing</v>
      </c>
      <c r="F307" s="35" t="str">
        <f>IFERROR(__xludf.DUMMYFUNCTION("""COMPUTED_VALUE"""),"11-15")</f>
        <v>11-15</v>
      </c>
      <c r="G307" s="32" t="str">
        <f>IFERROR(__xludf.DUMMYFUNCTION("""COMPUTED_VALUE"""),"Forged Paladin's Helm")</f>
        <v>Forged Paladin's Helm</v>
      </c>
      <c r="H307" s="35" t="str">
        <f>IFERROR(__xludf.DUMMYFUNCTION("""COMPUTED_VALUE"""),"16-20")</f>
        <v>16-20</v>
      </c>
      <c r="I307" s="32" t="str">
        <f>IFERROR(__xludf.DUMMYFUNCTION("""COMPUTED_VALUE"""),"Soul")</f>
        <v>Soul</v>
      </c>
      <c r="J307" s="35" t="str">
        <f>IFERROR(__xludf.DUMMYFUNCTION("""COMPUTED_VALUE"""),"21-25")</f>
        <v>21-25</v>
      </c>
      <c r="K307" s="32" t="str">
        <f>IFERROR(__xludf.DUMMYFUNCTION("""COMPUTED_VALUE"""),"Forged Firearm")</f>
        <v>Forged Firearm</v>
      </c>
      <c r="L307" s="32"/>
      <c r="M307" s="32"/>
      <c r="N307" s="32"/>
      <c r="O307" s="32"/>
      <c r="P307" s="32"/>
      <c r="Q307" s="32"/>
      <c r="R307" s="32"/>
      <c r="S307" s="32"/>
      <c r="T307" s="32"/>
      <c r="U307" s="32"/>
      <c r="V307" s="32"/>
      <c r="W307" s="32"/>
      <c r="X307" s="32"/>
    </row>
    <row r="308">
      <c r="A308" s="32" t="str">
        <f>IFERROR(__xludf.DUMMYFUNCTION("""COMPUTED_VALUE"""),"Hades The god of the Underworld")</f>
        <v>Hades The god of the Underworld</v>
      </c>
      <c r="B308" s="35" t="str">
        <f>IFERROR(__xludf.DUMMYFUNCTION("""COMPUTED_VALUE"""),"1-5")</f>
        <v>1-5</v>
      </c>
      <c r="C308" s="32" t="str">
        <f>IFERROR(__xludf.DUMMYFUNCTION("""COMPUTED_VALUE"""),"Nothing")</f>
        <v>Nothing</v>
      </c>
      <c r="D308" s="35" t="str">
        <f>IFERROR(__xludf.DUMMYFUNCTION("""COMPUTED_VALUE"""),"6-10")</f>
        <v>6-10</v>
      </c>
      <c r="E308" s="32" t="str">
        <f>IFERROR(__xludf.DUMMYFUNCTION("""COMPUTED_VALUE"""),"Nothing")</f>
        <v>Nothing</v>
      </c>
      <c r="F308" s="35" t="str">
        <f>IFERROR(__xludf.DUMMYFUNCTION("""COMPUTED_VALUE"""),"11-15")</f>
        <v>11-15</v>
      </c>
      <c r="G308" s="32" t="str">
        <f>IFERROR(__xludf.DUMMYFUNCTION("""COMPUTED_VALUE"""),"Hades' Death Scythe")</f>
        <v>Hades' Death Scythe</v>
      </c>
      <c r="H308" s="35" t="str">
        <f>IFERROR(__xludf.DUMMYFUNCTION("""COMPUTED_VALUE"""),"16-20")</f>
        <v>16-20</v>
      </c>
      <c r="I308" s="32" t="str">
        <f>IFERROR(__xludf.DUMMYFUNCTION("""COMPUTED_VALUE"""),"Soul")</f>
        <v>Soul</v>
      </c>
      <c r="J308" s="35" t="str">
        <f>IFERROR(__xludf.DUMMYFUNCTION("""COMPUTED_VALUE"""),"21-25")</f>
        <v>21-25</v>
      </c>
      <c r="K308" s="32" t="str">
        <f>IFERROR(__xludf.DUMMYFUNCTION("""COMPUTED_VALUE"""),"Nothing")</f>
        <v>Nothing</v>
      </c>
      <c r="L308" s="32"/>
      <c r="M308" s="32"/>
      <c r="N308" s="32"/>
      <c r="O308" s="32"/>
      <c r="P308" s="32"/>
      <c r="Q308" s="32"/>
      <c r="R308" s="32"/>
      <c r="S308" s="32"/>
      <c r="T308" s="32"/>
      <c r="U308" s="32"/>
      <c r="V308" s="32"/>
      <c r="W308" s="32"/>
      <c r="X308" s="32"/>
    </row>
    <row r="309">
      <c r="A309" s="32" t="str">
        <f>IFERROR(__xludf.DUMMYFUNCTION("""COMPUTED_VALUE"""),"Keeper of the Banished")</f>
        <v>Keeper of the Banished</v>
      </c>
      <c r="B309" s="35" t="str">
        <f>IFERROR(__xludf.DUMMYFUNCTION("""COMPUTED_VALUE"""),"1-5")</f>
        <v>1-5</v>
      </c>
      <c r="C309" s="32" t="str">
        <f>IFERROR(__xludf.DUMMYFUNCTION("""COMPUTED_VALUE"""),"Nothing")</f>
        <v>Nothing</v>
      </c>
      <c r="D309" s="35" t="str">
        <f>IFERROR(__xludf.DUMMYFUNCTION("""COMPUTED_VALUE"""),"6-10")</f>
        <v>6-10</v>
      </c>
      <c r="E309" s="32" t="str">
        <f>IFERROR(__xludf.DUMMYFUNCTION("""COMPUTED_VALUE"""),"Nothing")</f>
        <v>Nothing</v>
      </c>
      <c r="F309" s="35" t="str">
        <f>IFERROR(__xludf.DUMMYFUNCTION("""COMPUTED_VALUE"""),"11-15")</f>
        <v>11-15</v>
      </c>
      <c r="G309" s="32" t="str">
        <f>IFERROR(__xludf.DUMMYFUNCTION("""COMPUTED_VALUE"""),"Nothing")</f>
        <v>Nothing</v>
      </c>
      <c r="H309" s="35" t="str">
        <f>IFERROR(__xludf.DUMMYFUNCTION("""COMPUTED_VALUE"""),"16-20")</f>
        <v>16-20</v>
      </c>
      <c r="I309" s="32" t="str">
        <f>IFERROR(__xludf.DUMMYFUNCTION("""COMPUTED_VALUE"""),"Soul")</f>
        <v>Soul</v>
      </c>
      <c r="J309" s="35" t="str">
        <f>IFERROR(__xludf.DUMMYFUNCTION("""COMPUTED_VALUE"""),"21-25")</f>
        <v>21-25</v>
      </c>
      <c r="K309" s="32" t="str">
        <f>IFERROR(__xludf.DUMMYFUNCTION("""COMPUTED_VALUE"""),"Nothing")</f>
        <v>Nothing</v>
      </c>
      <c r="L309" s="32"/>
      <c r="M309" s="32"/>
      <c r="N309" s="32"/>
      <c r="O309" s="32"/>
      <c r="P309" s="32"/>
      <c r="Q309" s="32"/>
      <c r="R309" s="32"/>
      <c r="S309" s="32"/>
      <c r="T309" s="32"/>
      <c r="U309" s="32"/>
      <c r="V309" s="32"/>
      <c r="W309" s="32"/>
      <c r="X309" s="32"/>
    </row>
    <row r="310">
      <c r="A310" s="32" t="str">
        <f>IFERROR(__xludf.DUMMYFUNCTION("""COMPUTED_VALUE"""),"Artemis, Goddess of the Forest (First Phase)")</f>
        <v>Artemis, Goddess of the Forest (First Phase)</v>
      </c>
      <c r="B310" s="35" t="str">
        <f>IFERROR(__xludf.DUMMYFUNCTION("""COMPUTED_VALUE"""),"1-5")</f>
        <v>1-5</v>
      </c>
      <c r="C310" s="32" t="str">
        <f>IFERROR(__xludf.DUMMYFUNCTION("""COMPUTED_VALUE"""),"Nothing")</f>
        <v>Nothing</v>
      </c>
      <c r="D310" s="35" t="str">
        <f>IFERROR(__xludf.DUMMYFUNCTION("""COMPUTED_VALUE"""),"6-10")</f>
        <v>6-10</v>
      </c>
      <c r="E310" s="32" t="str">
        <f>IFERROR(__xludf.DUMMYFUNCTION("""COMPUTED_VALUE"""),"Nothing")</f>
        <v>Nothing</v>
      </c>
      <c r="F310" s="35" t="str">
        <f>IFERROR(__xludf.DUMMYFUNCTION("""COMPUTED_VALUE"""),"11-15")</f>
        <v>11-15</v>
      </c>
      <c r="G310" s="32" t="str">
        <f>IFERROR(__xludf.DUMMYFUNCTION("""COMPUTED_VALUE"""),"Nothing")</f>
        <v>Nothing</v>
      </c>
      <c r="H310" s="35" t="str">
        <f>IFERROR(__xludf.DUMMYFUNCTION("""COMPUTED_VALUE"""),"16-20")</f>
        <v>16-20</v>
      </c>
      <c r="I310" s="32" t="str">
        <f>IFERROR(__xludf.DUMMYFUNCTION("""COMPUTED_VALUE"""),"Soul")</f>
        <v>Soul</v>
      </c>
      <c r="J310" s="35" t="str">
        <f>IFERROR(__xludf.DUMMYFUNCTION("""COMPUTED_VALUE"""),"21-25")</f>
        <v>21-25</v>
      </c>
      <c r="K310" s="32" t="str">
        <f>IFERROR(__xludf.DUMMYFUNCTION("""COMPUTED_VALUE"""),"The Bow of The Verdant Forest")</f>
        <v>The Bow of The Verdant Forest</v>
      </c>
      <c r="L310" s="32"/>
      <c r="M310" s="32"/>
      <c r="N310" s="32"/>
      <c r="O310" s="32"/>
      <c r="P310" s="32"/>
      <c r="Q310" s="32"/>
      <c r="R310" s="32"/>
      <c r="S310" s="32"/>
      <c r="T310" s="32"/>
      <c r="U310" s="32"/>
      <c r="V310" s="32"/>
      <c r="W310" s="32"/>
      <c r="X310" s="32"/>
    </row>
    <row r="311">
      <c r="A311" s="32" t="str">
        <f>IFERROR(__xludf.DUMMYFUNCTION("""COMPUTED_VALUE"""),"Artemis, Nature's Wrathful Avatar (Second Phase)")</f>
        <v>Artemis, Nature's Wrathful Avatar (Second Phase)</v>
      </c>
      <c r="B311" s="35" t="str">
        <f>IFERROR(__xludf.DUMMYFUNCTION("""COMPUTED_VALUE"""),"1-5")</f>
        <v>1-5</v>
      </c>
      <c r="C311" s="32" t="str">
        <f>IFERROR(__xludf.DUMMYFUNCTION("""COMPUTED_VALUE"""),"Nothing")</f>
        <v>Nothing</v>
      </c>
      <c r="D311" s="35" t="str">
        <f>IFERROR(__xludf.DUMMYFUNCTION("""COMPUTED_VALUE"""),"6-10")</f>
        <v>6-10</v>
      </c>
      <c r="E311" s="32" t="str">
        <f>IFERROR(__xludf.DUMMYFUNCTION("""COMPUTED_VALUE"""),"Nothing")</f>
        <v>Nothing</v>
      </c>
      <c r="F311" s="35" t="str">
        <f>IFERROR(__xludf.DUMMYFUNCTION("""COMPUTED_VALUE"""),"11-15")</f>
        <v>11-15</v>
      </c>
      <c r="G311" s="32" t="str">
        <f>IFERROR(__xludf.DUMMYFUNCTION("""COMPUTED_VALUE"""),"Nothing")</f>
        <v>Nothing</v>
      </c>
      <c r="H311" s="35" t="str">
        <f>IFERROR(__xludf.DUMMYFUNCTION("""COMPUTED_VALUE"""),"16-20")</f>
        <v>16-20</v>
      </c>
      <c r="I311" s="32" t="str">
        <f>IFERROR(__xludf.DUMMYFUNCTION("""COMPUTED_VALUE"""),"Soul")</f>
        <v>Soul</v>
      </c>
      <c r="J311" s="35" t="str">
        <f>IFERROR(__xludf.DUMMYFUNCTION("""COMPUTED_VALUE"""),"21-25")</f>
        <v>21-25</v>
      </c>
      <c r="K311" s="32" t="str">
        <f>IFERROR(__xludf.DUMMYFUNCTION("""COMPUTED_VALUE"""),"Enchanted Wooden Buckler of The Verdant Forest")</f>
        <v>Enchanted Wooden Buckler of The Verdant Forest</v>
      </c>
      <c r="L311" s="32"/>
      <c r="M311" s="32"/>
      <c r="N311" s="32"/>
      <c r="O311" s="32"/>
      <c r="P311" s="32"/>
      <c r="Q311" s="32"/>
      <c r="R311" s="32"/>
      <c r="S311" s="32"/>
      <c r="T311" s="32"/>
      <c r="U311" s="32"/>
      <c r="V311" s="32"/>
      <c r="W311" s="32"/>
      <c r="X311" s="32"/>
    </row>
    <row r="312">
      <c r="A312" s="32" t="str">
        <f>IFERROR(__xludf.DUMMYFUNCTION("""COMPUTED_VALUE"""),"The Gods' Quiver")</f>
        <v>The Gods' Quiver</v>
      </c>
      <c r="B312" s="35" t="str">
        <f>IFERROR(__xludf.DUMMYFUNCTION("""COMPUTED_VALUE"""),"1-5")</f>
        <v>1-5</v>
      </c>
      <c r="C312" s="32" t="str">
        <f>IFERROR(__xludf.DUMMYFUNCTION("""COMPUTED_VALUE"""),"Holy Arrow")</f>
        <v>Holy Arrow</v>
      </c>
      <c r="D312" s="35" t="str">
        <f>IFERROR(__xludf.DUMMYFUNCTION("""COMPUTED_VALUE"""),"6-10")</f>
        <v>6-10</v>
      </c>
      <c r="E312" s="32" t="str">
        <f>IFERROR(__xludf.DUMMYFUNCTION("""COMPUTED_VALUE"""),"Arrow of Mutiplying ")</f>
        <v>Arrow of Mutiplying </v>
      </c>
      <c r="F312" s="35" t="str">
        <f>IFERROR(__xludf.DUMMYFUNCTION("""COMPUTED_VALUE"""),"11-15")</f>
        <v>11-15</v>
      </c>
      <c r="G312" s="32" t="str">
        <f>IFERROR(__xludf.DUMMYFUNCTION("""COMPUTED_VALUE"""),"Boots of The Verdant Forest")</f>
        <v>Boots of The Verdant Forest</v>
      </c>
      <c r="H312" s="35" t="str">
        <f>IFERROR(__xludf.DUMMYFUNCTION("""COMPUTED_VALUE"""),"16-20")</f>
        <v>16-20</v>
      </c>
      <c r="I312" s="32" t="str">
        <f>IFERROR(__xludf.DUMMYFUNCTION("""COMPUTED_VALUE"""),"Soul")</f>
        <v>Soul</v>
      </c>
      <c r="J312" s="35" t="str">
        <f>IFERROR(__xludf.DUMMYFUNCTION("""COMPUTED_VALUE"""),"21-25")</f>
        <v>21-25</v>
      </c>
      <c r="K312" s="32" t="str">
        <f>IFERROR(__xludf.DUMMYFUNCTION("""COMPUTED_VALUE"""),"Greaves of The Verdant Forest")</f>
        <v>Greaves of The Verdant Forest</v>
      </c>
      <c r="L312" s="32"/>
      <c r="M312" s="32"/>
      <c r="N312" s="32"/>
      <c r="O312" s="32"/>
      <c r="P312" s="32"/>
      <c r="Q312" s="32"/>
      <c r="R312" s="32"/>
      <c r="S312" s="32"/>
      <c r="T312" s="32"/>
      <c r="U312" s="32"/>
      <c r="V312" s="32"/>
      <c r="W312" s="32"/>
      <c r="X312" s="32"/>
    </row>
    <row r="313">
      <c r="A313" s="32" t="str">
        <f>IFERROR(__xludf.DUMMYFUNCTION("""COMPUTED_VALUE"""),"The Forged Ones")</f>
        <v>The Forged Ones</v>
      </c>
      <c r="B313" s="35" t="str">
        <f>IFERROR(__xludf.DUMMYFUNCTION("""COMPUTED_VALUE"""),"1-5")</f>
        <v>1-5</v>
      </c>
      <c r="C313" s="32" t="str">
        <f>IFERROR(__xludf.DUMMYFUNCTION("""COMPUTED_VALUE"""),"Forged Sabatons")</f>
        <v>Forged Sabatons</v>
      </c>
      <c r="D313" s="35" t="str">
        <f>IFERROR(__xludf.DUMMYFUNCTION("""COMPUTED_VALUE"""),"6-10")</f>
        <v>6-10</v>
      </c>
      <c r="E313" s="32" t="str">
        <f>IFERROR(__xludf.DUMMYFUNCTION("""COMPUTED_VALUE"""),"Forged Leg guard")</f>
        <v>Forged Leg guard</v>
      </c>
      <c r="F313" s="35" t="str">
        <f>IFERROR(__xludf.DUMMYFUNCTION("""COMPUTED_VALUE"""),"11-15")</f>
        <v>11-15</v>
      </c>
      <c r="G313" s="32" t="str">
        <f>IFERROR(__xludf.DUMMYFUNCTION("""COMPUTED_VALUE"""),"Forged Towershield")</f>
        <v>Forged Towershield</v>
      </c>
      <c r="H313" s="35" t="str">
        <f>IFERROR(__xludf.DUMMYFUNCTION("""COMPUTED_VALUE"""),"16-20")</f>
        <v>16-20</v>
      </c>
      <c r="I313" s="32" t="str">
        <f>IFERROR(__xludf.DUMMYFUNCTION("""COMPUTED_VALUE"""),"Soul")</f>
        <v>Soul</v>
      </c>
      <c r="J313" s="35" t="str">
        <f>IFERROR(__xludf.DUMMYFUNCTION("""COMPUTED_VALUE"""),"21-25")</f>
        <v>21-25</v>
      </c>
      <c r="K313" s="32" t="str">
        <f>IFERROR(__xludf.DUMMYFUNCTION("""COMPUTED_VALUE"""),"Forged Paladin's Vambraces")</f>
        <v>Forged Paladin's Vambraces</v>
      </c>
      <c r="L313" s="32"/>
      <c r="M313" s="32"/>
      <c r="N313" s="32"/>
      <c r="O313" s="32"/>
      <c r="P313" s="32"/>
      <c r="Q313" s="32"/>
      <c r="R313" s="32"/>
      <c r="S313" s="32"/>
      <c r="T313" s="32"/>
      <c r="U313" s="32"/>
      <c r="V313" s="32"/>
      <c r="W313" s="32"/>
      <c r="X313" s="32"/>
    </row>
    <row r="314">
      <c r="A314" s="32" t="str">
        <f>IFERROR(__xludf.DUMMYFUNCTION("""COMPUTED_VALUE"""),"Jenos, Head Paladin of Artemis")</f>
        <v>Jenos, Head Paladin of Artemis</v>
      </c>
      <c r="B314" s="35" t="str">
        <f>IFERROR(__xludf.DUMMYFUNCTION("""COMPUTED_VALUE"""),"1-5")</f>
        <v>1-5</v>
      </c>
      <c r="C314" s="32" t="str">
        <f>IFERROR(__xludf.DUMMYFUNCTION("""COMPUTED_VALUE"""),"Bracer of Trueshot")</f>
        <v>Bracer of Trueshot</v>
      </c>
      <c r="D314" s="35" t="str">
        <f>IFERROR(__xludf.DUMMYFUNCTION("""COMPUTED_VALUE"""),"6-10")</f>
        <v>6-10</v>
      </c>
      <c r="E314" s="32" t="str">
        <f>IFERROR(__xludf.DUMMYFUNCTION("""COMPUTED_VALUE"""),"Cowl of the Eagle's Sight")</f>
        <v>Cowl of the Eagle's Sight</v>
      </c>
      <c r="F314" s="35" t="str">
        <f>IFERROR(__xludf.DUMMYFUNCTION("""COMPUTED_VALUE"""),"11-15")</f>
        <v>11-15</v>
      </c>
      <c r="G314" s="32" t="str">
        <f>IFERROR(__xludf.DUMMYFUNCTION("""COMPUTED_VALUE"""),"Emerald Amulet of The Forest")</f>
        <v>Emerald Amulet of The Forest</v>
      </c>
      <c r="H314" s="35" t="str">
        <f>IFERROR(__xludf.DUMMYFUNCTION("""COMPUTED_VALUE"""),"16-20")</f>
        <v>16-20</v>
      </c>
      <c r="I314" s="32" t="str">
        <f>IFERROR(__xludf.DUMMYFUNCTION("""COMPUTED_VALUE"""),"Soul")</f>
        <v>Soul</v>
      </c>
      <c r="J314" s="35" t="str">
        <f>IFERROR(__xludf.DUMMYFUNCTION("""COMPUTED_VALUE"""),"21-25")</f>
        <v>21-25</v>
      </c>
      <c r="K314" s="32" t="str">
        <f>IFERROR(__xludf.DUMMYFUNCTION("""COMPUTED_VALUE"""),"Emerald Ring of The Forest")</f>
        <v>Emerald Ring of The Forest</v>
      </c>
      <c r="L314" s="32"/>
      <c r="M314" s="32"/>
      <c r="N314" s="32"/>
      <c r="O314" s="32"/>
      <c r="P314" s="32"/>
      <c r="Q314" s="32"/>
      <c r="R314" s="32"/>
      <c r="S314" s="32"/>
      <c r="T314" s="32"/>
      <c r="U314" s="32"/>
      <c r="V314" s="32"/>
      <c r="W314" s="32"/>
      <c r="X314" s="32"/>
    </row>
    <row r="315">
      <c r="A315" s="32" t="str">
        <f>IFERROR(__xludf.DUMMYFUNCTION("""COMPUTED_VALUE"""),"Seraph")</f>
        <v>Seraph</v>
      </c>
      <c r="B315" s="35" t="str">
        <f>IFERROR(__xludf.DUMMYFUNCTION("""COMPUTED_VALUE"""),"1-5")</f>
        <v>1-5</v>
      </c>
      <c r="C315" s="32" t="str">
        <f>IFERROR(__xludf.DUMMYFUNCTION("""COMPUTED_VALUE"""),"Nothing")</f>
        <v>Nothing</v>
      </c>
      <c r="D315" s="35" t="str">
        <f>IFERROR(__xludf.DUMMYFUNCTION("""COMPUTED_VALUE"""),"6-10")</f>
        <v>6-10</v>
      </c>
      <c r="E315" s="32" t="str">
        <f>IFERROR(__xludf.DUMMYFUNCTION("""COMPUTED_VALUE"""),"Nothing")</f>
        <v>Nothing</v>
      </c>
      <c r="F315" s="35" t="str">
        <f>IFERROR(__xludf.DUMMYFUNCTION("""COMPUTED_VALUE"""),"11-15")</f>
        <v>11-15</v>
      </c>
      <c r="G315" s="32" t="str">
        <f>IFERROR(__xludf.DUMMYFUNCTION("""COMPUTED_VALUE"""),"Nothing")</f>
        <v>Nothing</v>
      </c>
      <c r="H315" s="35" t="str">
        <f>IFERROR(__xludf.DUMMYFUNCTION("""COMPUTED_VALUE"""),"16-20")</f>
        <v>16-20</v>
      </c>
      <c r="I315" s="32" t="str">
        <f>IFERROR(__xludf.DUMMYFUNCTION("""COMPUTED_VALUE"""),"Nothing")</f>
        <v>Nothing</v>
      </c>
      <c r="J315" s="35" t="str">
        <f>IFERROR(__xludf.DUMMYFUNCTION("""COMPUTED_VALUE"""),"21-25")</f>
        <v>21-25</v>
      </c>
      <c r="K315" s="32" t="str">
        <f>IFERROR(__xludf.DUMMYFUNCTION("""COMPUTED_VALUE"""),"Nothing")</f>
        <v>Nothing</v>
      </c>
      <c r="L315" s="32"/>
      <c r="M315" s="32"/>
      <c r="N315" s="32"/>
      <c r="O315" s="32"/>
      <c r="P315" s="32"/>
      <c r="Q315" s="32"/>
      <c r="R315" s="32"/>
      <c r="S315" s="32"/>
      <c r="T315" s="32"/>
      <c r="U315" s="32"/>
      <c r="V315" s="32"/>
      <c r="W315" s="32"/>
      <c r="X315" s="32"/>
    </row>
    <row r="316">
      <c r="A316" s="32" t="str">
        <f>IFERROR(__xludf.DUMMYFUNCTION("""COMPUTED_VALUE"""),"The Black And White Dragon")</f>
        <v>The Black And White Dragon</v>
      </c>
      <c r="B316" s="35" t="str">
        <f>IFERROR(__xludf.DUMMYFUNCTION("""COMPUTED_VALUE"""),"1-5")</f>
        <v>1-5</v>
      </c>
      <c r="C316" s="32" t="str">
        <f>IFERROR(__xludf.DUMMYFUNCTION("""COMPUTED_VALUE"""),"Nothing")</f>
        <v>Nothing</v>
      </c>
      <c r="D316" s="35" t="str">
        <f>IFERROR(__xludf.DUMMYFUNCTION("""COMPUTED_VALUE"""),"6-10")</f>
        <v>6-10</v>
      </c>
      <c r="E316" s="32" t="str">
        <f>IFERROR(__xludf.DUMMYFUNCTION("""COMPUTED_VALUE"""),"Nothing")</f>
        <v>Nothing</v>
      </c>
      <c r="F316" s="35" t="str">
        <f>IFERROR(__xludf.DUMMYFUNCTION("""COMPUTED_VALUE"""),"11-15")</f>
        <v>11-15</v>
      </c>
      <c r="G316" s="32" t="str">
        <f>IFERROR(__xludf.DUMMYFUNCTION("""COMPUTED_VALUE"""),"Nothing")</f>
        <v>Nothing</v>
      </c>
      <c r="H316" s="35" t="str">
        <f>IFERROR(__xludf.DUMMYFUNCTION("""COMPUTED_VALUE"""),"16-20")</f>
        <v>16-20</v>
      </c>
      <c r="I316" s="32" t="str">
        <f>IFERROR(__xludf.DUMMYFUNCTION("""COMPUTED_VALUE"""),"Soul")</f>
        <v>Soul</v>
      </c>
      <c r="J316" s="35" t="str">
        <f>IFERROR(__xludf.DUMMYFUNCTION("""COMPUTED_VALUE"""),"21-25")</f>
        <v>21-25</v>
      </c>
      <c r="K316" s="32" t="str">
        <f>IFERROR(__xludf.DUMMYFUNCTION("""COMPUTED_VALUE"""),"Nothing")</f>
        <v>Nothing</v>
      </c>
      <c r="L316" s="32"/>
      <c r="M316" s="32"/>
      <c r="N316" s="32"/>
      <c r="O316" s="32"/>
      <c r="P316" s="32"/>
      <c r="Q316" s="32"/>
      <c r="R316" s="32"/>
      <c r="S316" s="32"/>
      <c r="T316" s="32"/>
      <c r="U316" s="32"/>
      <c r="V316" s="32"/>
      <c r="W316" s="32"/>
      <c r="X316" s="32"/>
    </row>
    <row r="317">
      <c r="A317" s="32" t="str">
        <f>IFERROR(__xludf.DUMMYFUNCTION("""COMPUTED_VALUE"""),"Vermouth The Sea Monkey King")</f>
        <v>Vermouth The Sea Monkey King</v>
      </c>
      <c r="B317" s="35" t="str">
        <f>IFERROR(__xludf.DUMMYFUNCTION("""COMPUTED_VALUE"""),"1-5")</f>
        <v>1-5</v>
      </c>
      <c r="C317" s="32" t="str">
        <f>IFERROR(__xludf.DUMMYFUNCTION("""COMPUTED_VALUE"""),"Nothing")</f>
        <v>Nothing</v>
      </c>
      <c r="D317" s="35" t="str">
        <f>IFERROR(__xludf.DUMMYFUNCTION("""COMPUTED_VALUE"""),"6-10")</f>
        <v>6-10</v>
      </c>
      <c r="E317" s="32" t="str">
        <f>IFERROR(__xludf.DUMMYFUNCTION("""COMPUTED_VALUE"""),"Soul")</f>
        <v>Soul</v>
      </c>
      <c r="F317" s="35" t="str">
        <f>IFERROR(__xludf.DUMMYFUNCTION("""COMPUTED_VALUE"""),"11-15")</f>
        <v>11-15</v>
      </c>
      <c r="G317" s="32" t="str">
        <f>IFERROR(__xludf.DUMMYFUNCTION("""COMPUTED_VALUE"""),"Nothing")</f>
        <v>Nothing</v>
      </c>
      <c r="H317" s="35" t="str">
        <f>IFERROR(__xludf.DUMMYFUNCTION("""COMPUTED_VALUE"""),"16-20")</f>
        <v>16-20</v>
      </c>
      <c r="I317" s="32" t="str">
        <f>IFERROR(__xludf.DUMMYFUNCTION("""COMPUTED_VALUE"""),"Nothing")</f>
        <v>Nothing</v>
      </c>
      <c r="J317" s="35" t="str">
        <f>IFERROR(__xludf.DUMMYFUNCTION("""COMPUTED_VALUE"""),"21-25")</f>
        <v>21-25</v>
      </c>
      <c r="K317" s="32" t="str">
        <f>IFERROR(__xludf.DUMMYFUNCTION("""COMPUTED_VALUE"""),"Nothing")</f>
        <v>Nothing</v>
      </c>
      <c r="L317" s="32"/>
      <c r="M317" s="32"/>
      <c r="N317" s="32"/>
      <c r="O317" s="32"/>
      <c r="P317" s="32"/>
      <c r="Q317" s="32"/>
      <c r="R317" s="32"/>
      <c r="S317" s="32"/>
      <c r="T317" s="32"/>
      <c r="U317" s="32"/>
      <c r="V317" s="32"/>
      <c r="W317" s="32"/>
      <c r="X317" s="32"/>
    </row>
    <row r="318">
      <c r="A318" s="32" t="str">
        <f>IFERROR(__xludf.DUMMYFUNCTION("""COMPUTED_VALUE"""),"Bashe The Cursed Sepent")</f>
        <v>Bashe The Cursed Sepent</v>
      </c>
      <c r="B318" s="35" t="str">
        <f>IFERROR(__xludf.DUMMYFUNCTION("""COMPUTED_VALUE"""),"1-5")</f>
        <v>1-5</v>
      </c>
      <c r="C318" s="32" t="str">
        <f>IFERROR(__xludf.DUMMYFUNCTION("""COMPUTED_VALUE"""),"Soul")</f>
        <v>Soul</v>
      </c>
      <c r="D318" s="35" t="str">
        <f>IFERROR(__xludf.DUMMYFUNCTION("""COMPUTED_VALUE"""),"6-10")</f>
        <v>6-10</v>
      </c>
      <c r="E318" s="32" t="str">
        <f>IFERROR(__xludf.DUMMYFUNCTION("""COMPUTED_VALUE"""),"Bashe's Tail")</f>
        <v>Bashe's Tail</v>
      </c>
      <c r="F318" s="35" t="str">
        <f>IFERROR(__xludf.DUMMYFUNCTION("""COMPUTED_VALUE"""),"11-15")</f>
        <v>11-15</v>
      </c>
      <c r="G318" s="32" t="str">
        <f>IFERROR(__xludf.DUMMYFUNCTION("""COMPUTED_VALUE"""),"Bashe's Flute")</f>
        <v>Bashe's Flute</v>
      </c>
      <c r="H318" s="35" t="str">
        <f>IFERROR(__xludf.DUMMYFUNCTION("""COMPUTED_VALUE"""),"16-20")</f>
        <v>16-20</v>
      </c>
      <c r="I318" s="32" t="str">
        <f>IFERROR(__xludf.DUMMYFUNCTION("""COMPUTED_VALUE"""),"Nothing")</f>
        <v>Nothing</v>
      </c>
      <c r="J318" s="35" t="str">
        <f>IFERROR(__xludf.DUMMYFUNCTION("""COMPUTED_VALUE"""),"21-25")</f>
        <v>21-25</v>
      </c>
      <c r="K318" s="32" t="str">
        <f>IFERROR(__xludf.DUMMYFUNCTION("""COMPUTED_VALUE"""),"Nothing")</f>
        <v>Nothing</v>
      </c>
      <c r="L318" s="32"/>
      <c r="M318" s="32"/>
      <c r="N318" s="32"/>
      <c r="O318" s="32"/>
      <c r="P318" s="32"/>
      <c r="Q318" s="32"/>
      <c r="R318" s="32"/>
      <c r="S318" s="32"/>
      <c r="T318" s="32"/>
      <c r="U318" s="32"/>
      <c r="V318" s="32"/>
      <c r="W318" s="32"/>
      <c r="X318" s="32"/>
    </row>
    <row r="319">
      <c r="A319" s="32" t="str">
        <f>IFERROR(__xludf.DUMMYFUNCTION("""COMPUTED_VALUE"""),"Grash, The Oni of Fiji")</f>
        <v>Grash, The Oni of Fiji</v>
      </c>
      <c r="B319" s="35" t="str">
        <f>IFERROR(__xludf.DUMMYFUNCTION("""COMPUTED_VALUE"""),"1-5")</f>
        <v>1-5</v>
      </c>
      <c r="C319" s="32" t="str">
        <f>IFERROR(__xludf.DUMMYFUNCTION("""COMPUTED_VALUE"""),"Grash's Favorite Length Of Iron")</f>
        <v>Grash's Favorite Length Of Iron</v>
      </c>
      <c r="D319" s="35" t="str">
        <f>IFERROR(__xludf.DUMMYFUNCTION("""COMPUTED_VALUE"""),"6-10")</f>
        <v>6-10</v>
      </c>
      <c r="E319" s="32" t="str">
        <f>IFERROR(__xludf.DUMMYFUNCTION("""COMPUTED_VALUE"""),"Soul")</f>
        <v>Soul</v>
      </c>
      <c r="F319" s="35" t="str">
        <f>IFERROR(__xludf.DUMMYFUNCTION("""COMPUTED_VALUE"""),"11-15")</f>
        <v>11-15</v>
      </c>
      <c r="G319" s="32" t="str">
        <f>IFERROR(__xludf.DUMMYFUNCTION("""COMPUTED_VALUE"""),"80,000G-100,000G")</f>
        <v>80,000G-100,000G</v>
      </c>
      <c r="H319" s="35" t="str">
        <f>IFERROR(__xludf.DUMMYFUNCTION("""COMPUTED_VALUE"""),"16-20")</f>
        <v>16-20</v>
      </c>
      <c r="I319" s="32" t="str">
        <f>IFERROR(__xludf.DUMMYFUNCTION("""COMPUTED_VALUE"""),"100,000,000G-500,000,000G")</f>
        <v>100,000,000G-500,000,000G</v>
      </c>
      <c r="J319" s="35" t="str">
        <f>IFERROR(__xludf.DUMMYFUNCTION("""COMPUTED_VALUE"""),"21-25")</f>
        <v>21-25</v>
      </c>
      <c r="K319" s="32" t="str">
        <f>IFERROR(__xludf.DUMMYFUNCTION("""COMPUTED_VALUE"""),"Nothing")</f>
        <v>Nothing</v>
      </c>
      <c r="L319" s="32"/>
      <c r="M319" s="32"/>
      <c r="N319" s="32"/>
      <c r="O319" s="32"/>
      <c r="P319" s="32"/>
      <c r="Q319" s="32"/>
      <c r="R319" s="32"/>
      <c r="S319" s="32"/>
      <c r="T319" s="32"/>
      <c r="U319" s="32"/>
      <c r="V319" s="32"/>
      <c r="W319" s="32"/>
      <c r="X319" s="32"/>
    </row>
    <row r="320">
      <c r="A320" s="32" t="str">
        <f>IFERROR(__xludf.DUMMYFUNCTION("""COMPUTED_VALUE"""),"The Black Tortoise ")</f>
        <v>The Black Tortoise </v>
      </c>
      <c r="B320" s="35" t="str">
        <f>IFERROR(__xludf.DUMMYFUNCTION("""COMPUTED_VALUE"""),"1-5")</f>
        <v>1-5</v>
      </c>
      <c r="C320" s="32" t="str">
        <f>IFERROR(__xludf.DUMMYFUNCTION("""COMPUTED_VALUE"""),"Nothing")</f>
        <v>Nothing</v>
      </c>
      <c r="D320" s="35" t="str">
        <f>IFERROR(__xludf.DUMMYFUNCTION("""COMPUTED_VALUE"""),"6-10")</f>
        <v>6-10</v>
      </c>
      <c r="E320" s="32" t="str">
        <f>IFERROR(__xludf.DUMMYFUNCTION("""COMPUTED_VALUE"""),"Soul")</f>
        <v>Soul</v>
      </c>
      <c r="F320" s="35" t="str">
        <f>IFERROR(__xludf.DUMMYFUNCTION("""COMPUTED_VALUE"""),"11-15")</f>
        <v>11-15</v>
      </c>
      <c r="G320" s="32" t="str">
        <f>IFERROR(__xludf.DUMMYFUNCTION("""COMPUTED_VALUE"""),"Soul")</f>
        <v>Soul</v>
      </c>
      <c r="H320" s="35" t="str">
        <f>IFERROR(__xludf.DUMMYFUNCTION("""COMPUTED_VALUE"""),"16-20")</f>
        <v>16-20</v>
      </c>
      <c r="I320" s="32" t="str">
        <f>IFERROR(__xludf.DUMMYFUNCTION("""COMPUTED_VALUE"""),"Nothing")</f>
        <v>Nothing</v>
      </c>
      <c r="J320" s="35" t="str">
        <f>IFERROR(__xludf.DUMMYFUNCTION("""COMPUTED_VALUE"""),"21-25")</f>
        <v>21-25</v>
      </c>
      <c r="K320" s="32" t="str">
        <f>IFERROR(__xludf.DUMMYFUNCTION("""COMPUTED_VALUE"""),"Nothing")</f>
        <v>Nothing</v>
      </c>
      <c r="L320" s="32"/>
      <c r="M320" s="32"/>
      <c r="N320" s="32"/>
      <c r="O320" s="32"/>
      <c r="P320" s="32"/>
      <c r="Q320" s="32"/>
      <c r="R320" s="32"/>
      <c r="S320" s="32"/>
      <c r="T320" s="32"/>
      <c r="U320" s="32"/>
      <c r="V320" s="32"/>
      <c r="W320" s="32"/>
      <c r="X320" s="32"/>
    </row>
    <row r="321">
      <c r="A321" s="32" t="str">
        <f>IFERROR(__xludf.DUMMYFUNCTION("""COMPUTED_VALUE"""),"PyroShell")</f>
        <v>PyroShell</v>
      </c>
      <c r="B321" s="35" t="str">
        <f>IFERROR(__xludf.DUMMYFUNCTION("""COMPUTED_VALUE"""),"1-5")</f>
        <v>1-5</v>
      </c>
      <c r="C321" s="32" t="str">
        <f>IFERROR(__xludf.DUMMYFUNCTION("""COMPUTED_VALUE"""),"Nothing")</f>
        <v>Nothing</v>
      </c>
      <c r="D321" s="35" t="str">
        <f>IFERROR(__xludf.DUMMYFUNCTION("""COMPUTED_VALUE"""),"6-10")</f>
        <v>6-10</v>
      </c>
      <c r="E321" s="32" t="str">
        <f>IFERROR(__xludf.DUMMYFUNCTION("""COMPUTED_VALUE"""),"Soul")</f>
        <v>Soul</v>
      </c>
      <c r="F321" s="35" t="str">
        <f>IFERROR(__xludf.DUMMYFUNCTION("""COMPUTED_VALUE"""),"11-15")</f>
        <v>11-15</v>
      </c>
      <c r="G321" s="32" t="str">
        <f>IFERROR(__xludf.DUMMYFUNCTION("""COMPUTED_VALUE"""),"Egg")</f>
        <v>Egg</v>
      </c>
      <c r="H321" s="35" t="str">
        <f>IFERROR(__xludf.DUMMYFUNCTION("""COMPUTED_VALUE"""),"16-20")</f>
        <v>16-20</v>
      </c>
      <c r="I321" s="32" t="str">
        <f>IFERROR(__xludf.DUMMYFUNCTION("""COMPUTED_VALUE"""),"Nothing")</f>
        <v>Nothing</v>
      </c>
      <c r="J321" s="35" t="str">
        <f>IFERROR(__xludf.DUMMYFUNCTION("""COMPUTED_VALUE"""),"21-25")</f>
        <v>21-25</v>
      </c>
      <c r="K321" s="32" t="str">
        <f>IFERROR(__xludf.DUMMYFUNCTION("""COMPUTED_VALUE"""),"Nothing")</f>
        <v>Nothing</v>
      </c>
      <c r="L321" s="32"/>
      <c r="M321" s="32"/>
      <c r="N321" s="32"/>
      <c r="O321" s="32"/>
      <c r="P321" s="32"/>
      <c r="Q321" s="32"/>
      <c r="R321" s="32"/>
      <c r="S321" s="32"/>
      <c r="T321" s="32"/>
      <c r="U321" s="32"/>
      <c r="V321" s="32"/>
      <c r="W321" s="32"/>
      <c r="X321" s="32"/>
    </row>
    <row r="322">
      <c r="A322" s="32" t="str">
        <f>IFERROR(__xludf.DUMMYFUNCTION("""COMPUTED_VALUE"""),"Ninja of Bashe")</f>
        <v>Ninja of Bashe</v>
      </c>
      <c r="B322" s="35" t="str">
        <f>IFERROR(__xludf.DUMMYFUNCTION("""COMPUTED_VALUE"""),"1-5")</f>
        <v>1-5</v>
      </c>
      <c r="C322" s="32" t="str">
        <f>IFERROR(__xludf.DUMMYFUNCTION("""COMPUTED_VALUE"""),"1,000,000G-20,000,000G")</f>
        <v>1,000,000G-20,000,000G</v>
      </c>
      <c r="D322" s="35" t="str">
        <f>IFERROR(__xludf.DUMMYFUNCTION("""COMPUTED_VALUE"""),"6-10")</f>
        <v>6-10</v>
      </c>
      <c r="E322" s="32" t="str">
        <f>IFERROR(__xludf.DUMMYFUNCTION("""COMPUTED_VALUE"""),"80,000,000G-100,000,000G")</f>
        <v>80,000,000G-100,000,000G</v>
      </c>
      <c r="F322" s="35" t="str">
        <f>IFERROR(__xludf.DUMMYFUNCTION("""COMPUTED_VALUE"""),"11-15")</f>
        <v>11-15</v>
      </c>
      <c r="G322" s="32" t="str">
        <f>IFERROR(__xludf.DUMMYFUNCTION("""COMPUTED_VALUE"""),"80,000G-100,000G")</f>
        <v>80,000G-100,000G</v>
      </c>
      <c r="H322" s="35" t="str">
        <f>IFERROR(__xludf.DUMMYFUNCTION("""COMPUTED_VALUE"""),"16-20")</f>
        <v>16-20</v>
      </c>
      <c r="I322" s="32" t="str">
        <f>IFERROR(__xludf.DUMMYFUNCTION("""COMPUTED_VALUE"""),"40,000,000G-60,000,000G")</f>
        <v>40,000,000G-60,000,000G</v>
      </c>
      <c r="J322" s="35" t="str">
        <f>IFERROR(__xludf.DUMMYFUNCTION("""COMPUTED_VALUE"""),"21-25")</f>
        <v>21-25</v>
      </c>
      <c r="K322" s="32" t="str">
        <f>IFERROR(__xludf.DUMMYFUNCTION("""COMPUTED_VALUE"""),"80,000,000G-100,000,000G")</f>
        <v>80,000,000G-100,000,000G</v>
      </c>
      <c r="L322" s="32"/>
      <c r="M322" s="32"/>
      <c r="N322" s="32"/>
      <c r="O322" s="32"/>
      <c r="P322" s="32"/>
      <c r="Q322" s="32"/>
      <c r="R322" s="32"/>
      <c r="S322" s="32"/>
      <c r="T322" s="32"/>
      <c r="U322" s="32"/>
      <c r="V322" s="32"/>
      <c r="W322" s="32"/>
      <c r="X322" s="32"/>
    </row>
    <row r="323">
      <c r="A323" s="32" t="str">
        <f>IFERROR(__xludf.DUMMYFUNCTION("""COMPUTED_VALUE"""),"The Great Storm Kaiju")</f>
        <v>The Great Storm Kaiju</v>
      </c>
      <c r="B323" s="35" t="str">
        <f>IFERROR(__xludf.DUMMYFUNCTION("""COMPUTED_VALUE"""),"1-5")</f>
        <v>1-5</v>
      </c>
      <c r="C323" s="32" t="str">
        <f>IFERROR(__xludf.DUMMYFUNCTION("""COMPUTED_VALUE"""),"Nothing")</f>
        <v>Nothing</v>
      </c>
      <c r="D323" s="35" t="str">
        <f>IFERROR(__xludf.DUMMYFUNCTION("""COMPUTED_VALUE"""),"6-10")</f>
        <v>6-10</v>
      </c>
      <c r="E323" s="32" t="str">
        <f>IFERROR(__xludf.DUMMYFUNCTION("""COMPUTED_VALUE"""),"Nothing")</f>
        <v>Nothing</v>
      </c>
      <c r="F323" s="35" t="str">
        <f>IFERROR(__xludf.DUMMYFUNCTION("""COMPUTED_VALUE"""),"11-15")</f>
        <v>11-15</v>
      </c>
      <c r="G323" s="32" t="str">
        <f>IFERROR(__xludf.DUMMYFUNCTION("""COMPUTED_VALUE"""),"Nothing")</f>
        <v>Nothing</v>
      </c>
      <c r="H323" s="35" t="str">
        <f>IFERROR(__xludf.DUMMYFUNCTION("""COMPUTED_VALUE"""),"16-20")</f>
        <v>16-20</v>
      </c>
      <c r="I323" s="32" t="str">
        <f>IFERROR(__xludf.DUMMYFUNCTION("""COMPUTED_VALUE"""),"Nothing")</f>
        <v>Nothing</v>
      </c>
      <c r="J323" s="35" t="str">
        <f>IFERROR(__xludf.DUMMYFUNCTION("""COMPUTED_VALUE"""),"21-25")</f>
        <v>21-25</v>
      </c>
      <c r="K323" s="32" t="str">
        <f>IFERROR(__xludf.DUMMYFUNCTION("""COMPUTED_VALUE"""),"Nothing")</f>
        <v>Nothing</v>
      </c>
      <c r="L323" s="32"/>
      <c r="M323" s="32"/>
      <c r="N323" s="32"/>
      <c r="O323" s="32"/>
      <c r="P323" s="32"/>
      <c r="Q323" s="32"/>
      <c r="R323" s="32"/>
      <c r="S323" s="32"/>
      <c r="T323" s="32"/>
      <c r="U323" s="32"/>
      <c r="V323" s="32"/>
      <c r="W323" s="32"/>
      <c r="X323" s="32"/>
    </row>
    <row r="324">
      <c r="A324" s="32" t="str">
        <f>IFERROR(__xludf.DUMMYFUNCTION("""COMPUTED_VALUE"""),"Gaia, Goddess of Earth")</f>
        <v>Gaia, Goddess of Earth</v>
      </c>
      <c r="B324" s="35" t="str">
        <f>IFERROR(__xludf.DUMMYFUNCTION("""COMPUTED_VALUE"""),"1-5")</f>
        <v>1-5</v>
      </c>
      <c r="C324" s="32" t="str">
        <f>IFERROR(__xludf.DUMMYFUNCTION("""COMPUTED_VALUE"""),"Nothing")</f>
        <v>Nothing</v>
      </c>
      <c r="D324" s="35" t="str">
        <f>IFERROR(__xludf.DUMMYFUNCTION("""COMPUTED_VALUE"""),"6-10")</f>
        <v>6-10</v>
      </c>
      <c r="E324" s="32" t="str">
        <f>IFERROR(__xludf.DUMMYFUNCTION("""COMPUTED_VALUE"""),"Nothing")</f>
        <v>Nothing</v>
      </c>
      <c r="F324" s="35" t="str">
        <f>IFERROR(__xludf.DUMMYFUNCTION("""COMPUTED_VALUE"""),"11-15")</f>
        <v>11-15</v>
      </c>
      <c r="G324" s="32" t="str">
        <f>IFERROR(__xludf.DUMMYFUNCTION("""COMPUTED_VALUE"""),"Nothing")</f>
        <v>Nothing</v>
      </c>
      <c r="H324" s="35" t="str">
        <f>IFERROR(__xludf.DUMMYFUNCTION("""COMPUTED_VALUE"""),"16-20")</f>
        <v>16-20</v>
      </c>
      <c r="I324" s="32" t="str">
        <f>IFERROR(__xludf.DUMMYFUNCTION("""COMPUTED_VALUE"""),"Soul")</f>
        <v>Soul</v>
      </c>
      <c r="J324" s="35" t="str">
        <f>IFERROR(__xludf.DUMMYFUNCTION("""COMPUTED_VALUE"""),"21-25")</f>
        <v>21-25</v>
      </c>
      <c r="K324" s="32" t="str">
        <f>IFERROR(__xludf.DUMMYFUNCTION("""COMPUTED_VALUE"""),"Nothing")</f>
        <v>Nothing</v>
      </c>
      <c r="L324" s="32"/>
      <c r="M324" s="32"/>
      <c r="N324" s="32"/>
      <c r="O324" s="32"/>
      <c r="P324" s="32"/>
      <c r="Q324" s="32"/>
      <c r="R324" s="32"/>
      <c r="S324" s="32"/>
      <c r="T324" s="32"/>
      <c r="U324" s="32"/>
      <c r="V324" s="32"/>
      <c r="W324" s="32"/>
      <c r="X324" s="32"/>
    </row>
    <row r="325">
      <c r="A325" s="32" t="str">
        <f>IFERROR(__xludf.DUMMYFUNCTION("""COMPUTED_VALUE"""),"Bahamut, Beast of the Endless Void (First Phase)")</f>
        <v>Bahamut, Beast of the Endless Void (First Phase)</v>
      </c>
      <c r="B325" s="35" t="str">
        <f>IFERROR(__xludf.DUMMYFUNCTION("""COMPUTED_VALUE"""),"1-5")</f>
        <v>1-5</v>
      </c>
      <c r="C325" s="32" t="str">
        <f>IFERROR(__xludf.DUMMYFUNCTION("""COMPUTED_VALUE"""),"500,000,000G-1,000,000,000G")</f>
        <v>500,000,000G-1,000,000,000G</v>
      </c>
      <c r="D325" s="35" t="str">
        <f>IFERROR(__xludf.DUMMYFUNCTION("""COMPUTED_VALUE"""),"6-10")</f>
        <v>6-10</v>
      </c>
      <c r="E325" s="32" t="str">
        <f>IFERROR(__xludf.DUMMYFUNCTION("""COMPUTED_VALUE"""),"500,000G-1,000,000G")</f>
        <v>500,000G-1,000,000G</v>
      </c>
      <c r="F325" s="35" t="str">
        <f>IFERROR(__xludf.DUMMYFUNCTION("""COMPUTED_VALUE"""),"11-15")</f>
        <v>11-15</v>
      </c>
      <c r="G325" s="32" t="str">
        <f>IFERROR(__xludf.DUMMYFUNCTION("""COMPUTED_VALUE"""),"Bahamut's Claw")</f>
        <v>Bahamut's Claw</v>
      </c>
      <c r="H325" s="35" t="str">
        <f>IFERROR(__xludf.DUMMYFUNCTION("""COMPUTED_VALUE"""),"16-20")</f>
        <v>16-20</v>
      </c>
      <c r="I325" s="32" t="str">
        <f>IFERROR(__xludf.DUMMYFUNCTION("""COMPUTED_VALUE"""),"Nothing")</f>
        <v>Nothing</v>
      </c>
      <c r="J325" s="35" t="str">
        <f>IFERROR(__xludf.DUMMYFUNCTION("""COMPUTED_VALUE"""),"21-25")</f>
        <v>21-25</v>
      </c>
      <c r="K325" s="32" t="str">
        <f>IFERROR(__xludf.DUMMYFUNCTION("""COMPUTED_VALUE"""),"Soul")</f>
        <v>Soul</v>
      </c>
      <c r="L325" s="32"/>
      <c r="M325" s="32"/>
      <c r="N325" s="32"/>
      <c r="O325" s="32"/>
      <c r="P325" s="32"/>
      <c r="Q325" s="32"/>
      <c r="R325" s="32"/>
      <c r="S325" s="32"/>
      <c r="T325" s="32"/>
      <c r="U325" s="32"/>
      <c r="V325" s="32"/>
      <c r="W325" s="32"/>
      <c r="X325" s="32"/>
    </row>
    <row r="326">
      <c r="A326" s="32" t="str">
        <f>IFERROR(__xludf.DUMMYFUNCTION("""COMPUTED_VALUE"""),"Orgroth - The Volcanic Guardian of Fire Tiki Mountain")</f>
        <v>Orgroth - The Volcanic Guardian of Fire Tiki Mountain</v>
      </c>
      <c r="B326" s="35" t="str">
        <f>IFERROR(__xludf.DUMMYFUNCTION("""COMPUTED_VALUE"""),"1-5")</f>
        <v>1-5</v>
      </c>
      <c r="C326" s="32" t="str">
        <f>IFERROR(__xludf.DUMMYFUNCTION("""COMPUTED_VALUE"""),"Nothing")</f>
        <v>Nothing</v>
      </c>
      <c r="D326" s="35" t="str">
        <f>IFERROR(__xludf.DUMMYFUNCTION("""COMPUTED_VALUE"""),"6-10")</f>
        <v>6-10</v>
      </c>
      <c r="E326" s="32" t="str">
        <f>IFERROR(__xludf.DUMMYFUNCTION("""COMPUTED_VALUE"""),"Nothing")</f>
        <v>Nothing</v>
      </c>
      <c r="F326" s="35" t="str">
        <f>IFERROR(__xludf.DUMMYFUNCTION("""COMPUTED_VALUE"""),"11-15")</f>
        <v>11-15</v>
      </c>
      <c r="G326" s="32" t="str">
        <f>IFERROR(__xludf.DUMMYFUNCTION("""COMPUTED_VALUE"""),"Nothing")</f>
        <v>Nothing</v>
      </c>
      <c r="H326" s="35" t="str">
        <f>IFERROR(__xludf.DUMMYFUNCTION("""COMPUTED_VALUE"""),"16-20")</f>
        <v>16-20</v>
      </c>
      <c r="I326" s="32" t="str">
        <f>IFERROR(__xludf.DUMMYFUNCTION("""COMPUTED_VALUE"""),"Nothing")</f>
        <v>Nothing</v>
      </c>
      <c r="J326" s="35" t="str">
        <f>IFERROR(__xludf.DUMMYFUNCTION("""COMPUTED_VALUE"""),"21-25")</f>
        <v>21-25</v>
      </c>
      <c r="K326" s="32" t="str">
        <f>IFERROR(__xludf.DUMMYFUNCTION("""COMPUTED_VALUE"""),"Nothing")</f>
        <v>Nothing</v>
      </c>
      <c r="L326" s="32"/>
      <c r="M326" s="32"/>
      <c r="N326" s="32"/>
      <c r="O326" s="32"/>
      <c r="P326" s="32"/>
      <c r="Q326" s="32"/>
      <c r="R326" s="32"/>
      <c r="S326" s="32"/>
      <c r="T326" s="32"/>
      <c r="U326" s="32"/>
      <c r="V326" s="32"/>
      <c r="W326" s="32"/>
      <c r="X326" s="32"/>
    </row>
    <row r="327">
      <c r="A327" s="32" t="str">
        <f>IFERROR(__xludf.DUMMYFUNCTION("""COMPUTED_VALUE"""),"Zor - The Volcanic Golem")</f>
        <v>Zor - The Volcanic Golem</v>
      </c>
      <c r="B327" s="35" t="str">
        <f>IFERROR(__xludf.DUMMYFUNCTION("""COMPUTED_VALUE"""),"1-5")</f>
        <v>1-5</v>
      </c>
      <c r="C327" s="32" t="str">
        <f>IFERROR(__xludf.DUMMYFUNCTION("""COMPUTED_VALUE"""),"Nothing")</f>
        <v>Nothing</v>
      </c>
      <c r="D327" s="35" t="str">
        <f>IFERROR(__xludf.DUMMYFUNCTION("""COMPUTED_VALUE"""),"6-10")</f>
        <v>6-10</v>
      </c>
      <c r="E327" s="32" t="str">
        <f>IFERROR(__xludf.DUMMYFUNCTION("""COMPUTED_VALUE"""),"40,000,000G-60,000,000G")</f>
        <v>40,000,000G-60,000,000G</v>
      </c>
      <c r="F327" s="35" t="str">
        <f>IFERROR(__xludf.DUMMYFUNCTION("""COMPUTED_VALUE"""),"11-15")</f>
        <v>11-15</v>
      </c>
      <c r="G327" s="32" t="str">
        <f>IFERROR(__xludf.DUMMYFUNCTION("""COMPUTED_VALUE"""),"Nothing")</f>
        <v>Nothing</v>
      </c>
      <c r="H327" s="35" t="str">
        <f>IFERROR(__xludf.DUMMYFUNCTION("""COMPUTED_VALUE"""),"16-20")</f>
        <v>16-20</v>
      </c>
      <c r="I327" s="32" t="str">
        <f>IFERROR(__xludf.DUMMYFUNCTION("""COMPUTED_VALUE"""),"Nothing")</f>
        <v>Nothing</v>
      </c>
      <c r="J327" s="35" t="str">
        <f>IFERROR(__xludf.DUMMYFUNCTION("""COMPUTED_VALUE"""),"21-25")</f>
        <v>21-25</v>
      </c>
      <c r="K327" s="32" t="str">
        <f>IFERROR(__xludf.DUMMYFUNCTION("""COMPUTED_VALUE"""),"Nothing")</f>
        <v>Nothing</v>
      </c>
      <c r="L327" s="32"/>
      <c r="M327" s="32"/>
      <c r="N327" s="32"/>
      <c r="O327" s="32"/>
      <c r="P327" s="32"/>
      <c r="Q327" s="32"/>
      <c r="R327" s="32"/>
      <c r="S327" s="32"/>
      <c r="T327" s="32"/>
      <c r="U327" s="32"/>
      <c r="V327" s="32"/>
      <c r="W327" s="32"/>
      <c r="X327" s="32"/>
    </row>
    <row r="328">
      <c r="A328" s="32" t="str">
        <f>IFERROR(__xludf.DUMMYFUNCTION("""COMPUTED_VALUE"""),"Gaia's Paladins")</f>
        <v>Gaia's Paladins</v>
      </c>
      <c r="B328" s="35" t="str">
        <f>IFERROR(__xludf.DUMMYFUNCTION("""COMPUTED_VALUE"""),"1-5")</f>
        <v>1-5</v>
      </c>
      <c r="C328" s="32" t="str">
        <f>IFERROR(__xludf.DUMMYFUNCTION("""COMPUTED_VALUE"""),"Paladin of Gaia's Plate Chausses")</f>
        <v>Paladin of Gaia's Plate Chausses</v>
      </c>
      <c r="D328" s="35" t="str">
        <f>IFERROR(__xludf.DUMMYFUNCTION("""COMPUTED_VALUE"""),"6-10")</f>
        <v>6-10</v>
      </c>
      <c r="E328" s="32" t="str">
        <f>IFERROR(__xludf.DUMMYFUNCTION("""COMPUTED_VALUE"""),"Paladin of Gaia's Emblazoned Chestpiece")</f>
        <v>Paladin of Gaia's Emblazoned Chestpiece</v>
      </c>
      <c r="F328" s="35" t="str">
        <f>IFERROR(__xludf.DUMMYFUNCTION("""COMPUTED_VALUE"""),"11-15")</f>
        <v>11-15</v>
      </c>
      <c r="G328" s="32" t="str">
        <f>IFERROR(__xludf.DUMMYFUNCTION("""COMPUTED_VALUE"""),"Paladin of Gaia's Vambraces")</f>
        <v>Paladin of Gaia's Vambraces</v>
      </c>
      <c r="H328" s="35" t="str">
        <f>IFERROR(__xludf.DUMMYFUNCTION("""COMPUTED_VALUE"""),"16-20")</f>
        <v>16-20</v>
      </c>
      <c r="I328" s="32" t="str">
        <f>IFERROR(__xludf.DUMMYFUNCTION("""COMPUTED_VALUE"""),"Soul")</f>
        <v>Soul</v>
      </c>
      <c r="J328" s="35" t="str">
        <f>IFERROR(__xludf.DUMMYFUNCTION("""COMPUTED_VALUE"""),"21-25")</f>
        <v>21-25</v>
      </c>
      <c r="K328" s="32" t="str">
        <f>IFERROR(__xludf.DUMMYFUNCTION("""COMPUTED_VALUE"""),"Paladin of Gaia's Stone Pauldrons")</f>
        <v>Paladin of Gaia's Stone Pauldrons</v>
      </c>
      <c r="L328" s="32"/>
      <c r="M328" s="32"/>
      <c r="N328" s="32"/>
      <c r="O328" s="32"/>
      <c r="P328" s="32"/>
      <c r="Q328" s="32"/>
      <c r="R328" s="32"/>
      <c r="S328" s="32"/>
      <c r="T328" s="32"/>
      <c r="U328" s="32"/>
      <c r="V328" s="32"/>
      <c r="W328" s="32"/>
      <c r="X328" s="32"/>
    </row>
    <row r="329">
      <c r="A329" s="32" t="str">
        <f>IFERROR(__xludf.DUMMYFUNCTION("""COMPUTED_VALUE"""),"Talthos - The Towering Kaiju")</f>
        <v>Talthos - The Towering Kaiju</v>
      </c>
      <c r="B329" s="35" t="str">
        <f>IFERROR(__xludf.DUMMYFUNCTION("""COMPUTED_VALUE"""),"1-5")</f>
        <v>1-5</v>
      </c>
      <c r="C329" s="32" t="str">
        <f>IFERROR(__xludf.DUMMYFUNCTION("""COMPUTED_VALUE"""),"Nothing")</f>
        <v>Nothing</v>
      </c>
      <c r="D329" s="35" t="str">
        <f>IFERROR(__xludf.DUMMYFUNCTION("""COMPUTED_VALUE"""),"6-10")</f>
        <v>6-10</v>
      </c>
      <c r="E329" s="32" t="str">
        <f>IFERROR(__xludf.DUMMYFUNCTION("""COMPUTED_VALUE"""),"Nothing")</f>
        <v>Nothing</v>
      </c>
      <c r="F329" s="35" t="str">
        <f>IFERROR(__xludf.DUMMYFUNCTION("""COMPUTED_VALUE"""),"11-15")</f>
        <v>11-15</v>
      </c>
      <c r="G329" s="32" t="str">
        <f>IFERROR(__xludf.DUMMYFUNCTION("""COMPUTED_VALUE"""),"Nothing")</f>
        <v>Nothing</v>
      </c>
      <c r="H329" s="35" t="str">
        <f>IFERROR(__xludf.DUMMYFUNCTION("""COMPUTED_VALUE"""),"16-20")</f>
        <v>16-20</v>
      </c>
      <c r="I329" s="32" t="str">
        <f>IFERROR(__xludf.DUMMYFUNCTION("""COMPUTED_VALUE"""),"Nothing")</f>
        <v>Nothing</v>
      </c>
      <c r="J329" s="35" t="str">
        <f>IFERROR(__xludf.DUMMYFUNCTION("""COMPUTED_VALUE"""),"21-25")</f>
        <v>21-25</v>
      </c>
      <c r="K329" s="32" t="str">
        <f>IFERROR(__xludf.DUMMYFUNCTION("""COMPUTED_VALUE"""),"Nothing")</f>
        <v>Nothing</v>
      </c>
      <c r="L329" s="32"/>
      <c r="M329" s="32"/>
      <c r="N329" s="32"/>
      <c r="O329" s="32"/>
      <c r="P329" s="32"/>
      <c r="Q329" s="32"/>
      <c r="R329" s="32"/>
      <c r="S329" s="32"/>
      <c r="T329" s="32"/>
      <c r="U329" s="32"/>
      <c r="V329" s="32"/>
      <c r="W329" s="32"/>
      <c r="X329" s="32"/>
    </row>
    <row r="330">
      <c r="A330" s="32" t="str">
        <f>IFERROR(__xludf.DUMMYFUNCTION("""COMPUTED_VALUE"""),"Cloudius - The Smoke Elemental")</f>
        <v>Cloudius - The Smoke Elemental</v>
      </c>
      <c r="B330" s="35" t="str">
        <f>IFERROR(__xludf.DUMMYFUNCTION("""COMPUTED_VALUE"""),"1-5")</f>
        <v>1-5</v>
      </c>
      <c r="C330" s="32" t="str">
        <f>IFERROR(__xludf.DUMMYFUNCTION("""COMPUTED_VALUE"""),"Nothing")</f>
        <v>Nothing</v>
      </c>
      <c r="D330" s="35" t="str">
        <f>IFERROR(__xludf.DUMMYFUNCTION("""COMPUTED_VALUE"""),"6-10")</f>
        <v>6-10</v>
      </c>
      <c r="E330" s="32" t="str">
        <f>IFERROR(__xludf.DUMMYFUNCTION("""COMPUTED_VALUE"""),"Nothing")</f>
        <v>Nothing</v>
      </c>
      <c r="F330" s="35" t="str">
        <f>IFERROR(__xludf.DUMMYFUNCTION("""COMPUTED_VALUE"""),"11-15")</f>
        <v>11-15</v>
      </c>
      <c r="G330" s="32" t="str">
        <f>IFERROR(__xludf.DUMMYFUNCTION("""COMPUTED_VALUE"""),"Nothing")</f>
        <v>Nothing</v>
      </c>
      <c r="H330" s="35" t="str">
        <f>IFERROR(__xludf.DUMMYFUNCTION("""COMPUTED_VALUE"""),"16-20")</f>
        <v>16-20</v>
      </c>
      <c r="I330" s="32" t="str">
        <f>IFERROR(__xludf.DUMMYFUNCTION("""COMPUTED_VALUE"""),"Nothing")</f>
        <v>Nothing</v>
      </c>
      <c r="J330" s="35" t="str">
        <f>IFERROR(__xludf.DUMMYFUNCTION("""COMPUTED_VALUE"""),"21-25")</f>
        <v>21-25</v>
      </c>
      <c r="K330" s="32" t="str">
        <f>IFERROR(__xludf.DUMMYFUNCTION("""COMPUTED_VALUE"""),"Nothing")</f>
        <v>Nothing</v>
      </c>
      <c r="L330" s="32"/>
      <c r="M330" s="32"/>
      <c r="N330" s="32"/>
      <c r="O330" s="32"/>
      <c r="P330" s="32"/>
      <c r="Q330" s="32"/>
      <c r="R330" s="32"/>
      <c r="S330" s="32"/>
      <c r="T330" s="32"/>
      <c r="U330" s="32"/>
      <c r="V330" s="32"/>
      <c r="W330" s="32"/>
      <c r="X330" s="32"/>
    </row>
    <row r="331">
      <c r="A331" s="32" t="str">
        <f>IFERROR(__xludf.DUMMYFUNCTION("""COMPUTED_VALUE"""),"Grisaia - The Head Paladin of Gaia")</f>
        <v>Grisaia - The Head Paladin of Gaia</v>
      </c>
      <c r="B331" s="35" t="str">
        <f>IFERROR(__xludf.DUMMYFUNCTION("""COMPUTED_VALUE"""),"1-5")</f>
        <v>1-5</v>
      </c>
      <c r="C331" s="32" t="str">
        <f>IFERROR(__xludf.DUMMYFUNCTION("""COMPUTED_VALUE"""),"Paladin of Gaia's Bucket helm of Tenacity")</f>
        <v>Paladin of Gaia's Bucket helm of Tenacity</v>
      </c>
      <c r="D331" s="35" t="str">
        <f>IFERROR(__xludf.DUMMYFUNCTION("""COMPUTED_VALUE"""),"6-10")</f>
        <v>6-10</v>
      </c>
      <c r="E331" s="32" t="str">
        <f>IFERROR(__xludf.DUMMYFUNCTION("""COMPUTED_VALUE"""),"Paladin of Gaia's Ruby Ring")</f>
        <v>Paladin of Gaia's Ruby Ring</v>
      </c>
      <c r="F331" s="35" t="str">
        <f>IFERROR(__xludf.DUMMYFUNCTION("""COMPUTED_VALUE"""),"11-15")</f>
        <v>11-15</v>
      </c>
      <c r="G331" s="32" t="str">
        <f>IFERROR(__xludf.DUMMYFUNCTION("""COMPUTED_VALUE"""),"Paladin of Gaia's Emerald Pendant")</f>
        <v>Paladin of Gaia's Emerald Pendant</v>
      </c>
      <c r="H331" s="35" t="str">
        <f>IFERROR(__xludf.DUMMYFUNCTION("""COMPUTED_VALUE"""),"16-20")</f>
        <v>16-20</v>
      </c>
      <c r="I331" s="32" t="str">
        <f>IFERROR(__xludf.DUMMYFUNCTION("""COMPUTED_VALUE"""),"Soul")</f>
        <v>Soul</v>
      </c>
      <c r="J331" s="35" t="str">
        <f>IFERROR(__xludf.DUMMYFUNCTION("""COMPUTED_VALUE"""),"21-25")</f>
        <v>21-25</v>
      </c>
      <c r="K331" s="32" t="str">
        <f>IFERROR(__xludf.DUMMYFUNCTION("""COMPUTED_VALUE"""),"Paladin of Gaia's Sabatons")</f>
        <v>Paladin of Gaia's Sabatons</v>
      </c>
      <c r="L331" s="32"/>
      <c r="M331" s="32"/>
      <c r="N331" s="32"/>
      <c r="O331" s="32"/>
      <c r="P331" s="32"/>
      <c r="Q331" s="32"/>
      <c r="R331" s="32"/>
      <c r="S331" s="32"/>
      <c r="T331" s="32"/>
      <c r="U331" s="32"/>
      <c r="V331" s="32"/>
      <c r="W331" s="32"/>
      <c r="X331" s="32"/>
    </row>
    <row r="332">
      <c r="A332" s="32" t="str">
        <f>IFERROR(__xludf.DUMMYFUNCTION("""COMPUTED_VALUE"""),"Earth Golem")</f>
        <v>Earth Golem</v>
      </c>
      <c r="B332" s="35" t="str">
        <f>IFERROR(__xludf.DUMMYFUNCTION("""COMPUTED_VALUE"""),"1-5")</f>
        <v>1-5</v>
      </c>
      <c r="C332" s="32" t="str">
        <f>IFERROR(__xludf.DUMMYFUNCTION("""COMPUTED_VALUE"""),"Stonewall Shield")</f>
        <v>Stonewall Shield</v>
      </c>
      <c r="D332" s="35" t="str">
        <f>IFERROR(__xludf.DUMMYFUNCTION("""COMPUTED_VALUE"""),"6-10")</f>
        <v>6-10</v>
      </c>
      <c r="E332" s="32" t="str">
        <f>IFERROR(__xludf.DUMMYFUNCTION("""COMPUTED_VALUE"""),"Earth Golem Core")</f>
        <v>Earth Golem Core</v>
      </c>
      <c r="F332" s="35" t="str">
        <f>IFERROR(__xludf.DUMMYFUNCTION("""COMPUTED_VALUE"""),"11-15")</f>
        <v>11-15</v>
      </c>
      <c r="G332" s="32" t="str">
        <f>IFERROR(__xludf.DUMMYFUNCTION("""COMPUTED_VALUE"""),"Egg")</f>
        <v>Egg</v>
      </c>
      <c r="H332" s="35" t="str">
        <f>IFERROR(__xludf.DUMMYFUNCTION("""COMPUTED_VALUE"""),"16-20")</f>
        <v>16-20</v>
      </c>
      <c r="I332" s="32" t="str">
        <f>IFERROR(__xludf.DUMMYFUNCTION("""COMPUTED_VALUE"""),"Nothing")</f>
        <v>Nothing</v>
      </c>
      <c r="J332" s="35" t="str">
        <f>IFERROR(__xludf.DUMMYFUNCTION("""COMPUTED_VALUE"""),"21-25")</f>
        <v>21-25</v>
      </c>
      <c r="K332" s="32" t="str">
        <f>IFERROR(__xludf.DUMMYFUNCTION("""COMPUTED_VALUE"""),"Nothing")</f>
        <v>Nothing</v>
      </c>
      <c r="L332" s="32"/>
      <c r="M332" s="32"/>
      <c r="N332" s="32"/>
      <c r="O332" s="32"/>
      <c r="P332" s="32"/>
      <c r="Q332" s="32"/>
      <c r="R332" s="32"/>
      <c r="S332" s="32"/>
      <c r="T332" s="32"/>
      <c r="U332" s="32"/>
      <c r="V332" s="32"/>
      <c r="W332" s="32"/>
      <c r="X332" s="32"/>
    </row>
    <row r="333">
      <c r="A333" s="32" t="str">
        <f>IFERROR(__xludf.DUMMYFUNCTION("""COMPUTED_VALUE"""),"Crystal Spider")</f>
        <v>Crystal Spider</v>
      </c>
      <c r="B333" s="35" t="str">
        <f>IFERROR(__xludf.DUMMYFUNCTION("""COMPUTED_VALUE"""),"1-5")</f>
        <v>1-5</v>
      </c>
      <c r="C333" s="32" t="str">
        <f>IFERROR(__xludf.DUMMYFUNCTION("""COMPUTED_VALUE"""),"Egg")</f>
        <v>Egg</v>
      </c>
      <c r="D333" s="35" t="str">
        <f>IFERROR(__xludf.DUMMYFUNCTION("""COMPUTED_VALUE"""),"6-10")</f>
        <v>6-10</v>
      </c>
      <c r="E333" s="32" t="str">
        <f>IFERROR(__xludf.DUMMYFUNCTION("""COMPUTED_VALUE"""),"Soul")</f>
        <v>Soul</v>
      </c>
      <c r="F333" s="35" t="str">
        <f>IFERROR(__xludf.DUMMYFUNCTION("""COMPUTED_VALUE"""),"11-15")</f>
        <v>11-15</v>
      </c>
      <c r="G333" s="32" t="str">
        <f>IFERROR(__xludf.DUMMYFUNCTION("""COMPUTED_VALUE"""),"Nothing")</f>
        <v>Nothing</v>
      </c>
      <c r="H333" s="35" t="str">
        <f>IFERROR(__xludf.DUMMYFUNCTION("""COMPUTED_VALUE"""),"16-20")</f>
        <v>16-20</v>
      </c>
      <c r="I333" s="32" t="str">
        <f>IFERROR(__xludf.DUMMYFUNCTION("""COMPUTED_VALUE"""),"Nothing")</f>
        <v>Nothing</v>
      </c>
      <c r="J333" s="35" t="str">
        <f>IFERROR(__xludf.DUMMYFUNCTION("""COMPUTED_VALUE"""),"21-25")</f>
        <v>21-25</v>
      </c>
      <c r="K333" s="32" t="str">
        <f>IFERROR(__xludf.DUMMYFUNCTION("""COMPUTED_VALUE"""),"Nothing")</f>
        <v>Nothing</v>
      </c>
      <c r="L333" s="32"/>
      <c r="M333" s="32"/>
      <c r="N333" s="32"/>
      <c r="O333" s="32"/>
      <c r="P333" s="32"/>
      <c r="Q333" s="32"/>
      <c r="R333" s="32"/>
      <c r="S333" s="32"/>
      <c r="T333" s="32"/>
      <c r="U333" s="32"/>
      <c r="V333" s="32"/>
      <c r="W333" s="32"/>
      <c r="X333" s="32"/>
    </row>
    <row r="334">
      <c r="A334" s="32" t="str">
        <f>IFERROR(__xludf.DUMMYFUNCTION("""COMPUTED_VALUE"""),"Ninja Trainee (Dragonscale)")</f>
        <v>Ninja Trainee (Dragonscale)</v>
      </c>
      <c r="B334" s="35" t="str">
        <f>IFERROR(__xludf.DUMMYFUNCTION("""COMPUTED_VALUE"""),"1-5")</f>
        <v>1-5</v>
      </c>
      <c r="C334" s="32" t="str">
        <f>IFERROR(__xludf.DUMMYFUNCTION("""COMPUTED_VALUE"""),"80,000G-100,000G")</f>
        <v>80,000G-100,000G</v>
      </c>
      <c r="D334" s="35" t="str">
        <f>IFERROR(__xludf.DUMMYFUNCTION("""COMPUTED_VALUE"""),"6-10")</f>
        <v>6-10</v>
      </c>
      <c r="E334" s="32" t="str">
        <f>IFERROR(__xludf.DUMMYFUNCTION("""COMPUTED_VALUE"""),"Sai")</f>
        <v>Sai</v>
      </c>
      <c r="F334" s="35" t="str">
        <f>IFERROR(__xludf.DUMMYFUNCTION("""COMPUTED_VALUE"""),"11-15")</f>
        <v>11-15</v>
      </c>
      <c r="G334" s="32" t="str">
        <f>IFERROR(__xludf.DUMMYFUNCTION("""COMPUTED_VALUE"""),"Soul")</f>
        <v>Soul</v>
      </c>
      <c r="H334" s="35" t="str">
        <f>IFERROR(__xludf.DUMMYFUNCTION("""COMPUTED_VALUE"""),"16-20")</f>
        <v>16-20</v>
      </c>
      <c r="I334" s="32" t="str">
        <f>IFERROR(__xludf.DUMMYFUNCTION("""COMPUTED_VALUE"""),"Ninja Initiate's Gloves")</f>
        <v>Ninja Initiate's Gloves</v>
      </c>
      <c r="J334" s="35" t="str">
        <f>IFERROR(__xludf.DUMMYFUNCTION("""COMPUTED_VALUE"""),"21-25")</f>
        <v>21-25</v>
      </c>
      <c r="K334" s="32" t="str">
        <f>IFERROR(__xludf.DUMMYFUNCTION("""COMPUTED_VALUE"""),"Shuriken (Enhanced)")</f>
        <v>Shuriken (Enhanced)</v>
      </c>
      <c r="L334" s="32"/>
      <c r="M334" s="32"/>
      <c r="N334" s="32"/>
      <c r="O334" s="32"/>
      <c r="P334" s="32"/>
      <c r="Q334" s="32"/>
      <c r="R334" s="32"/>
      <c r="S334" s="32"/>
      <c r="T334" s="32"/>
      <c r="U334" s="32"/>
      <c r="V334" s="32"/>
      <c r="W334" s="32"/>
      <c r="X334" s="32"/>
    </row>
    <row r="335">
      <c r="A335" s="32" t="str">
        <f>IFERROR(__xludf.DUMMYFUNCTION("""COMPUTED_VALUE"""),"Ninja Ambusher (Dragonscale)")</f>
        <v>Ninja Ambusher (Dragonscale)</v>
      </c>
      <c r="B335" s="35" t="str">
        <f>IFERROR(__xludf.DUMMYFUNCTION("""COMPUTED_VALUE"""),"1-5")</f>
        <v>1-5</v>
      </c>
      <c r="C335" s="32" t="str">
        <f>IFERROR(__xludf.DUMMYFUNCTION("""COMPUTED_VALUE"""),"500,000G-1,000,000G")</f>
        <v>500,000G-1,000,000G</v>
      </c>
      <c r="D335" s="35" t="str">
        <f>IFERROR(__xludf.DUMMYFUNCTION("""COMPUTED_VALUE"""),"6-10")</f>
        <v>6-10</v>
      </c>
      <c r="E335" s="32" t="str">
        <f>IFERROR(__xludf.DUMMYFUNCTION("""COMPUTED_VALUE"""),"Ambusher's Vest")</f>
        <v>Ambusher's Vest</v>
      </c>
      <c r="F335" s="35" t="str">
        <f>IFERROR(__xludf.DUMMYFUNCTION("""COMPUTED_VALUE"""),"11-15")</f>
        <v>11-15</v>
      </c>
      <c r="G335" s="32" t="str">
        <f>IFERROR(__xludf.DUMMYFUNCTION("""COMPUTED_VALUE"""),"Soul")</f>
        <v>Soul</v>
      </c>
      <c r="H335" s="35" t="str">
        <f>IFERROR(__xludf.DUMMYFUNCTION("""COMPUTED_VALUE"""),"16-20")</f>
        <v>16-20</v>
      </c>
      <c r="I335" s="32" t="str">
        <f>IFERROR(__xludf.DUMMYFUNCTION("""COMPUTED_VALUE"""),"A Jar of Blood")</f>
        <v>A Jar of Blood</v>
      </c>
      <c r="J335" s="35" t="str">
        <f>IFERROR(__xludf.DUMMYFUNCTION("""COMPUTED_VALUE"""),"21-25")</f>
        <v>21-25</v>
      </c>
      <c r="K335" s="32" t="str">
        <f>IFERROR(__xludf.DUMMYFUNCTION("""COMPUTED_VALUE"""),"Shuriken (Enhanced)")</f>
        <v>Shuriken (Enhanced)</v>
      </c>
      <c r="L335" s="32"/>
      <c r="M335" s="32"/>
      <c r="N335" s="32"/>
      <c r="O335" s="32"/>
      <c r="P335" s="32"/>
      <c r="Q335" s="32"/>
      <c r="R335" s="32"/>
      <c r="S335" s="32"/>
      <c r="T335" s="32"/>
      <c r="U335" s="32"/>
      <c r="V335" s="32"/>
      <c r="W335" s="32"/>
      <c r="X335" s="32"/>
    </row>
    <row r="336">
      <c r="A336" s="32" t="str">
        <f>IFERROR(__xludf.DUMMYFUNCTION("""COMPUTED_VALUE"""),"Ninja Poison Master (Dragonscale)")</f>
        <v>Ninja Poison Master (Dragonscale)</v>
      </c>
      <c r="B336" s="35" t="str">
        <f>IFERROR(__xludf.DUMMYFUNCTION("""COMPUTED_VALUE"""),"1-5")</f>
        <v>1-5</v>
      </c>
      <c r="C336" s="32" t="str">
        <f>IFERROR(__xludf.DUMMYFUNCTION("""COMPUTED_VALUE"""),"500,000G-1,000,000G")</f>
        <v>500,000G-1,000,000G</v>
      </c>
      <c r="D336" s="35" t="str">
        <f>IFERROR(__xludf.DUMMYFUNCTION("""COMPUTED_VALUE"""),"6-10")</f>
        <v>6-10</v>
      </c>
      <c r="E336" s="32" t="str">
        <f>IFERROR(__xludf.DUMMYFUNCTION("""COMPUTED_VALUE"""),"Poison Tipped Needle")</f>
        <v>Poison Tipped Needle</v>
      </c>
      <c r="F336" s="35" t="str">
        <f>IFERROR(__xludf.DUMMYFUNCTION("""COMPUTED_VALUE"""),"11-15")</f>
        <v>11-15</v>
      </c>
      <c r="G336" s="32" t="str">
        <f>IFERROR(__xludf.DUMMYFUNCTION("""COMPUTED_VALUE"""),"Soul")</f>
        <v>Soul</v>
      </c>
      <c r="H336" s="35" t="str">
        <f>IFERROR(__xludf.DUMMYFUNCTION("""COMPUTED_VALUE"""),"16-20")</f>
        <v>16-20</v>
      </c>
      <c r="I336" s="32" t="str">
        <f>IFERROR(__xludf.DUMMYFUNCTION("""COMPUTED_VALUE"""),"Poison Dart Gun")</f>
        <v>Poison Dart Gun</v>
      </c>
      <c r="J336" s="35" t="str">
        <f>IFERROR(__xludf.DUMMYFUNCTION("""COMPUTED_VALUE"""),"21-25")</f>
        <v>21-25</v>
      </c>
      <c r="K336" s="32" t="str">
        <f>IFERROR(__xludf.DUMMYFUNCTION("""COMPUTED_VALUE"""),"Poison Master's Heavy Duty Gloves")</f>
        <v>Poison Master's Heavy Duty Gloves</v>
      </c>
      <c r="L336" s="32"/>
      <c r="M336" s="32"/>
      <c r="N336" s="32"/>
      <c r="O336" s="32"/>
      <c r="P336" s="32"/>
      <c r="Q336" s="32"/>
      <c r="R336" s="32"/>
      <c r="S336" s="32"/>
      <c r="T336" s="32"/>
      <c r="U336" s="32"/>
      <c r="V336" s="32"/>
      <c r="W336" s="32"/>
      <c r="X336" s="32"/>
    </row>
    <row r="337">
      <c r="A337" s="32" t="str">
        <f>IFERROR(__xludf.DUMMYFUNCTION("""COMPUTED_VALUE"""),"Ninja Master (Dragonscale)")</f>
        <v>Ninja Master (Dragonscale)</v>
      </c>
      <c r="B337" s="35" t="str">
        <f>IFERROR(__xludf.DUMMYFUNCTION("""COMPUTED_VALUE"""),"1-5")</f>
        <v>1-5</v>
      </c>
      <c r="C337" s="32" t="str">
        <f>IFERROR(__xludf.DUMMYFUNCTION("""COMPUTED_VALUE"""),"1,000,000G-20,000,000G")</f>
        <v>1,000,000G-20,000,000G</v>
      </c>
      <c r="D337" s="35" t="str">
        <f>IFERROR(__xludf.DUMMYFUNCTION("""COMPUTED_VALUE"""),"6-10")</f>
        <v>6-10</v>
      </c>
      <c r="E337" s="32" t="str">
        <f>IFERROR(__xludf.DUMMYFUNCTION("""COMPUTED_VALUE"""),"Soul")</f>
        <v>Soul</v>
      </c>
      <c r="F337" s="35" t="str">
        <f>IFERROR(__xludf.DUMMYFUNCTION("""COMPUTED_VALUE"""),"11-15")</f>
        <v>11-15</v>
      </c>
      <c r="G337" s="32" t="str">
        <f>IFERROR(__xludf.DUMMYFUNCTION("""COMPUTED_VALUE"""),"80,000G-100,000G")</f>
        <v>80,000G-100,000G</v>
      </c>
      <c r="H337" s="35" t="str">
        <f>IFERROR(__xludf.DUMMYFUNCTION("""COMPUTED_VALUE"""),"16-20")</f>
        <v>16-20</v>
      </c>
      <c r="I337" s="32" t="str">
        <f>IFERROR(__xludf.DUMMYFUNCTION("""COMPUTED_VALUE"""),"A Jar of Blood")</f>
        <v>A Jar of Blood</v>
      </c>
      <c r="J337" s="35" t="str">
        <f>IFERROR(__xludf.DUMMYFUNCTION("""COMPUTED_VALUE"""),"21-25")</f>
        <v>21-25</v>
      </c>
      <c r="K337" s="32" t="str">
        <f>IFERROR(__xludf.DUMMYFUNCTION("""COMPUTED_VALUE"""),"Shuriken (Enhanced)")</f>
        <v>Shuriken (Enhanced)</v>
      </c>
      <c r="L337" s="32"/>
      <c r="M337" s="32"/>
      <c r="N337" s="32"/>
      <c r="O337" s="32"/>
      <c r="P337" s="32"/>
      <c r="Q337" s="32"/>
      <c r="R337" s="32"/>
      <c r="S337" s="32"/>
      <c r="T337" s="32"/>
      <c r="U337" s="32"/>
      <c r="V337" s="32"/>
      <c r="W337" s="32"/>
      <c r="X337" s="32"/>
    </row>
    <row r="338">
      <c r="A338" s="32" t="str">
        <f>IFERROR(__xludf.DUMMYFUNCTION("""COMPUTED_VALUE"""),"Trap: Pendulum")</f>
        <v>Trap: Pendulum</v>
      </c>
      <c r="B338" s="35" t="str">
        <f>IFERROR(__xludf.DUMMYFUNCTION("""COMPUTED_VALUE"""),"1-5")</f>
        <v>1-5</v>
      </c>
      <c r="C338" s="32"/>
      <c r="D338" s="35" t="str">
        <f>IFERROR(__xludf.DUMMYFUNCTION("""COMPUTED_VALUE"""),"6-10")</f>
        <v>6-10</v>
      </c>
      <c r="E338" s="32"/>
      <c r="F338" s="35" t="str">
        <f>IFERROR(__xludf.DUMMYFUNCTION("""COMPUTED_VALUE"""),"11-15")</f>
        <v>11-15</v>
      </c>
      <c r="G338" s="32"/>
      <c r="H338" s="35" t="str">
        <f>IFERROR(__xludf.DUMMYFUNCTION("""COMPUTED_VALUE"""),"16-20")</f>
        <v>16-20</v>
      </c>
      <c r="I338" s="32"/>
      <c r="J338" s="35" t="str">
        <f>IFERROR(__xludf.DUMMYFUNCTION("""COMPUTED_VALUE"""),"21-25")</f>
        <v>21-25</v>
      </c>
      <c r="K338" s="32"/>
      <c r="L338" s="32"/>
      <c r="M338" s="32"/>
      <c r="N338" s="32"/>
      <c r="O338" s="32"/>
      <c r="P338" s="32"/>
      <c r="Q338" s="32"/>
      <c r="R338" s="32"/>
      <c r="S338" s="32"/>
      <c r="T338" s="32"/>
      <c r="U338" s="32"/>
      <c r="V338" s="32"/>
      <c r="W338" s="32"/>
      <c r="X338" s="32"/>
    </row>
    <row r="339">
      <c r="A339" s="32" t="str">
        <f>IFERROR(__xludf.DUMMYFUNCTION("""COMPUTED_VALUE"""),"Trap: Moving Saw Blade")</f>
        <v>Trap: Moving Saw Blade</v>
      </c>
      <c r="B339" s="35" t="str">
        <f>IFERROR(__xludf.DUMMYFUNCTION("""COMPUTED_VALUE"""),"1-5")</f>
        <v>1-5</v>
      </c>
      <c r="C339" s="32"/>
      <c r="D339" s="35" t="str">
        <f>IFERROR(__xludf.DUMMYFUNCTION("""COMPUTED_VALUE"""),"6-10")</f>
        <v>6-10</v>
      </c>
      <c r="E339" s="32"/>
      <c r="F339" s="35" t="str">
        <f>IFERROR(__xludf.DUMMYFUNCTION("""COMPUTED_VALUE"""),"11-15")</f>
        <v>11-15</v>
      </c>
      <c r="G339" s="32"/>
      <c r="H339" s="35" t="str">
        <f>IFERROR(__xludf.DUMMYFUNCTION("""COMPUTED_VALUE"""),"16-20")</f>
        <v>16-20</v>
      </c>
      <c r="I339" s="32"/>
      <c r="J339" s="35" t="str">
        <f>IFERROR(__xludf.DUMMYFUNCTION("""COMPUTED_VALUE"""),"21-25")</f>
        <v>21-25</v>
      </c>
      <c r="K339" s="32"/>
      <c r="L339" s="32"/>
      <c r="M339" s="32"/>
      <c r="N339" s="32"/>
      <c r="O339" s="32"/>
      <c r="P339" s="32"/>
      <c r="Q339" s="32"/>
      <c r="R339" s="32"/>
      <c r="S339" s="32"/>
      <c r="T339" s="32"/>
      <c r="U339" s="32"/>
      <c r="V339" s="32"/>
      <c r="W339" s="32"/>
      <c r="X339" s="32"/>
    </row>
    <row r="340">
      <c r="A340" s="32" t="str">
        <f>IFERROR(__xludf.DUMMYFUNCTION("""COMPUTED_VALUE"""),"Trap: Bear Trap")</f>
        <v>Trap: Bear Trap</v>
      </c>
      <c r="B340" s="35" t="str">
        <f>IFERROR(__xludf.DUMMYFUNCTION("""COMPUTED_VALUE"""),"1-5")</f>
        <v>1-5</v>
      </c>
      <c r="C340" s="32"/>
      <c r="D340" s="35" t="str">
        <f>IFERROR(__xludf.DUMMYFUNCTION("""COMPUTED_VALUE"""),"6-10")</f>
        <v>6-10</v>
      </c>
      <c r="E340" s="32"/>
      <c r="F340" s="35" t="str">
        <f>IFERROR(__xludf.DUMMYFUNCTION("""COMPUTED_VALUE"""),"11-15")</f>
        <v>11-15</v>
      </c>
      <c r="G340" s="32"/>
      <c r="H340" s="35" t="str">
        <f>IFERROR(__xludf.DUMMYFUNCTION("""COMPUTED_VALUE"""),"16-20")</f>
        <v>16-20</v>
      </c>
      <c r="I340" s="32"/>
      <c r="J340" s="35" t="str">
        <f>IFERROR(__xludf.DUMMYFUNCTION("""COMPUTED_VALUE"""),"21-25")</f>
        <v>21-25</v>
      </c>
      <c r="K340" s="32"/>
      <c r="L340" s="32"/>
      <c r="M340" s="32"/>
      <c r="N340" s="32"/>
      <c r="O340" s="32"/>
      <c r="P340" s="32"/>
      <c r="Q340" s="32"/>
      <c r="R340" s="32"/>
      <c r="S340" s="32"/>
      <c r="T340" s="32"/>
      <c r="U340" s="32"/>
      <c r="V340" s="32"/>
      <c r="W340" s="32"/>
      <c r="X340" s="32"/>
    </row>
    <row r="341">
      <c r="A341" s="32" t="str">
        <f>IFERROR(__xludf.DUMMYFUNCTION("""COMPUTED_VALUE"""),"Trap: Pitfall")</f>
        <v>Trap: Pitfall</v>
      </c>
      <c r="B341" s="35" t="str">
        <f>IFERROR(__xludf.DUMMYFUNCTION("""COMPUTED_VALUE"""),"1-5")</f>
        <v>1-5</v>
      </c>
      <c r="C341" s="32"/>
      <c r="D341" s="35" t="str">
        <f>IFERROR(__xludf.DUMMYFUNCTION("""COMPUTED_VALUE"""),"6-10")</f>
        <v>6-10</v>
      </c>
      <c r="E341" s="32"/>
      <c r="F341" s="35" t="str">
        <f>IFERROR(__xludf.DUMMYFUNCTION("""COMPUTED_VALUE"""),"11-15")</f>
        <v>11-15</v>
      </c>
      <c r="G341" s="32"/>
      <c r="H341" s="35" t="str">
        <f>IFERROR(__xludf.DUMMYFUNCTION("""COMPUTED_VALUE"""),"16-20")</f>
        <v>16-20</v>
      </c>
      <c r="I341" s="32"/>
      <c r="J341" s="35" t="str">
        <f>IFERROR(__xludf.DUMMYFUNCTION("""COMPUTED_VALUE"""),"21-25")</f>
        <v>21-25</v>
      </c>
      <c r="K341" s="32"/>
      <c r="L341" s="32"/>
      <c r="M341" s="32"/>
      <c r="N341" s="32"/>
      <c r="O341" s="32"/>
      <c r="P341" s="32"/>
      <c r="Q341" s="32"/>
      <c r="R341" s="32"/>
      <c r="S341" s="32"/>
      <c r="T341" s="32"/>
      <c r="U341" s="32"/>
      <c r="V341" s="32"/>
      <c r="W341" s="32"/>
      <c r="X341" s="32"/>
    </row>
    <row r="342">
      <c r="A342" s="32" t="str">
        <f>IFERROR(__xludf.DUMMYFUNCTION("""COMPUTED_VALUE"""),"Trap: Flaming Arrows")</f>
        <v>Trap: Flaming Arrows</v>
      </c>
      <c r="B342" s="35" t="str">
        <f>IFERROR(__xludf.DUMMYFUNCTION("""COMPUTED_VALUE"""),"1-5")</f>
        <v>1-5</v>
      </c>
      <c r="C342" s="32"/>
      <c r="D342" s="35" t="str">
        <f>IFERROR(__xludf.DUMMYFUNCTION("""COMPUTED_VALUE"""),"6-10")</f>
        <v>6-10</v>
      </c>
      <c r="E342" s="32"/>
      <c r="F342" s="35" t="str">
        <f>IFERROR(__xludf.DUMMYFUNCTION("""COMPUTED_VALUE"""),"11-15")</f>
        <v>11-15</v>
      </c>
      <c r="G342" s="32"/>
      <c r="H342" s="35" t="str">
        <f>IFERROR(__xludf.DUMMYFUNCTION("""COMPUTED_VALUE"""),"16-20")</f>
        <v>16-20</v>
      </c>
      <c r="I342" s="32"/>
      <c r="J342" s="35" t="str">
        <f>IFERROR(__xludf.DUMMYFUNCTION("""COMPUTED_VALUE"""),"21-25")</f>
        <v>21-25</v>
      </c>
      <c r="K342" s="32"/>
      <c r="L342" s="32"/>
      <c r="M342" s="32"/>
      <c r="N342" s="32"/>
      <c r="O342" s="32"/>
      <c r="P342" s="32"/>
      <c r="Q342" s="32"/>
      <c r="R342" s="32"/>
      <c r="S342" s="32"/>
      <c r="T342" s="32"/>
      <c r="U342" s="32"/>
      <c r="V342" s="32"/>
      <c r="W342" s="32"/>
      <c r="X342" s="32"/>
    </row>
    <row r="343">
      <c r="A343" s="32" t="str">
        <f>IFERROR(__xludf.DUMMYFUNCTION("""COMPUTED_VALUE"""),"Trap: Bolder")</f>
        <v>Trap: Bolder</v>
      </c>
      <c r="B343" s="35" t="str">
        <f>IFERROR(__xludf.DUMMYFUNCTION("""COMPUTED_VALUE"""),"1-5")</f>
        <v>1-5</v>
      </c>
      <c r="C343" s="32"/>
      <c r="D343" s="35" t="str">
        <f>IFERROR(__xludf.DUMMYFUNCTION("""COMPUTED_VALUE"""),"6-10")</f>
        <v>6-10</v>
      </c>
      <c r="E343" s="32"/>
      <c r="F343" s="35" t="str">
        <f>IFERROR(__xludf.DUMMYFUNCTION("""COMPUTED_VALUE"""),"11-15")</f>
        <v>11-15</v>
      </c>
      <c r="G343" s="32"/>
      <c r="H343" s="35" t="str">
        <f>IFERROR(__xludf.DUMMYFUNCTION("""COMPUTED_VALUE"""),"16-20")</f>
        <v>16-20</v>
      </c>
      <c r="I343" s="32"/>
      <c r="J343" s="35" t="str">
        <f>IFERROR(__xludf.DUMMYFUNCTION("""COMPUTED_VALUE"""),"21-25")</f>
        <v>21-25</v>
      </c>
      <c r="K343" s="32"/>
      <c r="L343" s="32"/>
      <c r="M343" s="32"/>
      <c r="N343" s="32"/>
      <c r="O343" s="32"/>
      <c r="P343" s="32"/>
      <c r="Q343" s="32"/>
      <c r="R343" s="32"/>
      <c r="S343" s="32"/>
      <c r="T343" s="32"/>
      <c r="U343" s="32"/>
      <c r="V343" s="32"/>
      <c r="W343" s="32"/>
      <c r="X343" s="32"/>
    </row>
    <row r="344">
      <c r="A344" s="32" t="str">
        <f>IFERROR(__xludf.DUMMYFUNCTION("""COMPUTED_VALUE"""),"Trap: Mimic")</f>
        <v>Trap: Mimic</v>
      </c>
      <c r="B344" s="35" t="str">
        <f>IFERROR(__xludf.DUMMYFUNCTION("""COMPUTED_VALUE"""),"1-5")</f>
        <v>1-5</v>
      </c>
      <c r="C344" s="32"/>
      <c r="D344" s="35" t="str">
        <f>IFERROR(__xludf.DUMMYFUNCTION("""COMPUTED_VALUE"""),"6-10")</f>
        <v>6-10</v>
      </c>
      <c r="E344" s="32"/>
      <c r="F344" s="35" t="str">
        <f>IFERROR(__xludf.DUMMYFUNCTION("""COMPUTED_VALUE"""),"11-15")</f>
        <v>11-15</v>
      </c>
      <c r="G344" s="32"/>
      <c r="H344" s="35" t="str">
        <f>IFERROR(__xludf.DUMMYFUNCTION("""COMPUTED_VALUE"""),"16-20")</f>
        <v>16-20</v>
      </c>
      <c r="I344" s="32"/>
      <c r="J344" s="35" t="str">
        <f>IFERROR(__xludf.DUMMYFUNCTION("""COMPUTED_VALUE"""),"21-25")</f>
        <v>21-25</v>
      </c>
      <c r="K344" s="32"/>
      <c r="L344" s="32"/>
      <c r="M344" s="32"/>
      <c r="N344" s="32"/>
      <c r="O344" s="32"/>
      <c r="P344" s="32"/>
      <c r="Q344" s="32"/>
      <c r="R344" s="32"/>
      <c r="S344" s="32"/>
      <c r="T344" s="32"/>
      <c r="U344" s="32"/>
      <c r="V344" s="32"/>
      <c r="W344" s="32"/>
      <c r="X344" s="32"/>
    </row>
    <row r="345">
      <c r="A345" s="32" t="str">
        <f>IFERROR(__xludf.DUMMYFUNCTION("""COMPUTED_VALUE"""),"Mimic (Mob)")</f>
        <v>Mimic (Mob)</v>
      </c>
      <c r="B345" s="35" t="str">
        <f>IFERROR(__xludf.DUMMYFUNCTION("""COMPUTED_VALUE"""),"1-5")</f>
        <v>1-5</v>
      </c>
      <c r="C345" s="32" t="str">
        <f>IFERROR(__xludf.DUMMYFUNCTION("""COMPUTED_VALUE"""),"Nothing")</f>
        <v>Nothing</v>
      </c>
      <c r="D345" s="35" t="str">
        <f>IFERROR(__xludf.DUMMYFUNCTION("""COMPUTED_VALUE"""),"6-10")</f>
        <v>6-10</v>
      </c>
      <c r="E345" s="32" t="str">
        <f>IFERROR(__xludf.DUMMYFUNCTION("""COMPUTED_VALUE"""),"Nothing")</f>
        <v>Nothing</v>
      </c>
      <c r="F345" s="35" t="str">
        <f>IFERROR(__xludf.DUMMYFUNCTION("""COMPUTED_VALUE"""),"11-15")</f>
        <v>11-15</v>
      </c>
      <c r="G345" s="32" t="str">
        <f>IFERROR(__xludf.DUMMYFUNCTION("""COMPUTED_VALUE"""),"Nothing")</f>
        <v>Nothing</v>
      </c>
      <c r="H345" s="35" t="str">
        <f>IFERROR(__xludf.DUMMYFUNCTION("""COMPUTED_VALUE"""),"16-20")</f>
        <v>16-20</v>
      </c>
      <c r="I345" s="32" t="str">
        <f>IFERROR(__xludf.DUMMYFUNCTION("""COMPUTED_VALUE"""),"Treasure Chest Key (Non-Magical)")</f>
        <v>Treasure Chest Key (Non-Magical)</v>
      </c>
      <c r="J345" s="35" t="str">
        <f>IFERROR(__xludf.DUMMYFUNCTION("""COMPUTED_VALUE"""),"21-25")</f>
        <v>21-25</v>
      </c>
      <c r="K345" s="32" t="str">
        <f>IFERROR(__xludf.DUMMYFUNCTION("""COMPUTED_VALUE"""),"Tier 3 Treasure Chest (Non-Magical)")</f>
        <v>Tier 3 Treasure Chest (Non-Magical)</v>
      </c>
      <c r="L345" s="32"/>
      <c r="M345" s="32"/>
      <c r="N345" s="32"/>
      <c r="O345" s="32"/>
      <c r="P345" s="32"/>
      <c r="Q345" s="32"/>
      <c r="R345" s="32"/>
      <c r="S345" s="32"/>
      <c r="T345" s="32"/>
      <c r="U345" s="32"/>
      <c r="V345" s="32"/>
      <c r="W345" s="32"/>
      <c r="X345" s="32"/>
    </row>
    <row r="346">
      <c r="A346" s="32" t="str">
        <f>IFERROR(__xludf.DUMMYFUNCTION("""COMPUTED_VALUE"""),"Puzzle: Floating Underground Sphere")</f>
        <v>Puzzle: Floating Underground Sphere</v>
      </c>
      <c r="B346" s="35" t="str">
        <f>IFERROR(__xludf.DUMMYFUNCTION("""COMPUTED_VALUE"""),"1-5")</f>
        <v>1-5</v>
      </c>
      <c r="C346" s="32"/>
      <c r="D346" s="35" t="str">
        <f>IFERROR(__xludf.DUMMYFUNCTION("""COMPUTED_VALUE"""),"6-10")</f>
        <v>6-10</v>
      </c>
      <c r="E346" s="32"/>
      <c r="F346" s="35" t="str">
        <f>IFERROR(__xludf.DUMMYFUNCTION("""COMPUTED_VALUE"""),"11-15")</f>
        <v>11-15</v>
      </c>
      <c r="G346" s="32"/>
      <c r="H346" s="35" t="str">
        <f>IFERROR(__xludf.DUMMYFUNCTION("""COMPUTED_VALUE"""),"16-20")</f>
        <v>16-20</v>
      </c>
      <c r="I346" s="32"/>
      <c r="J346" s="35" t="str">
        <f>IFERROR(__xludf.DUMMYFUNCTION("""COMPUTED_VALUE"""),"21-25")</f>
        <v>21-25</v>
      </c>
      <c r="K346" s="32"/>
      <c r="L346" s="32"/>
      <c r="M346" s="32"/>
      <c r="N346" s="32"/>
      <c r="O346" s="32"/>
      <c r="P346" s="32"/>
      <c r="Q346" s="32"/>
      <c r="R346" s="32"/>
      <c r="S346" s="32"/>
      <c r="T346" s="32"/>
      <c r="U346" s="32"/>
      <c r="V346" s="32"/>
      <c r="W346" s="32"/>
      <c r="X346" s="32"/>
    </row>
    <row r="347">
      <c r="A347" s="32" t="str">
        <f>IFERROR(__xludf.DUMMYFUNCTION("""COMPUTED_VALUE"""),"Puzzle: Locked Stone Platform Entrance")</f>
        <v>Puzzle: Locked Stone Platform Entrance</v>
      </c>
      <c r="B347" s="35" t="str">
        <f>IFERROR(__xludf.DUMMYFUNCTION("""COMPUTED_VALUE"""),"1-5")</f>
        <v>1-5</v>
      </c>
      <c r="C347" s="32"/>
      <c r="D347" s="35" t="str">
        <f>IFERROR(__xludf.DUMMYFUNCTION("""COMPUTED_VALUE"""),"6-10")</f>
        <v>6-10</v>
      </c>
      <c r="E347" s="32"/>
      <c r="F347" s="35" t="str">
        <f>IFERROR(__xludf.DUMMYFUNCTION("""COMPUTED_VALUE"""),"11-15")</f>
        <v>11-15</v>
      </c>
      <c r="G347" s="32"/>
      <c r="H347" s="35" t="str">
        <f>IFERROR(__xludf.DUMMYFUNCTION("""COMPUTED_VALUE"""),"16-20")</f>
        <v>16-20</v>
      </c>
      <c r="I347" s="32"/>
      <c r="J347" s="35" t="str">
        <f>IFERROR(__xludf.DUMMYFUNCTION("""COMPUTED_VALUE"""),"21-25")</f>
        <v>21-25</v>
      </c>
      <c r="K347" s="32"/>
      <c r="L347" s="32"/>
      <c r="M347" s="32"/>
      <c r="N347" s="32"/>
      <c r="O347" s="32"/>
      <c r="P347" s="32"/>
      <c r="Q347" s="32"/>
      <c r="R347" s="32"/>
      <c r="S347" s="32"/>
      <c r="T347" s="32"/>
      <c r="U347" s="32"/>
      <c r="V347" s="32"/>
      <c r="W347" s="32"/>
      <c r="X347" s="32"/>
    </row>
    <row r="348">
      <c r="A348" s="32" t="str">
        <f>IFERROR(__xludf.DUMMYFUNCTION("""COMPUTED_VALUE"""),"Puzzle: Mysterious Symbol")</f>
        <v>Puzzle: Mysterious Symbol</v>
      </c>
      <c r="B348" s="35" t="str">
        <f>IFERROR(__xludf.DUMMYFUNCTION("""COMPUTED_VALUE"""),"1-5")</f>
        <v>1-5</v>
      </c>
      <c r="C348" s="32"/>
      <c r="D348" s="35" t="str">
        <f>IFERROR(__xludf.DUMMYFUNCTION("""COMPUTED_VALUE"""),"6-10")</f>
        <v>6-10</v>
      </c>
      <c r="E348" s="32"/>
      <c r="F348" s="35" t="str">
        <f>IFERROR(__xludf.DUMMYFUNCTION("""COMPUTED_VALUE"""),"11-15")</f>
        <v>11-15</v>
      </c>
      <c r="G348" s="32"/>
      <c r="H348" s="35" t="str">
        <f>IFERROR(__xludf.DUMMYFUNCTION("""COMPUTED_VALUE"""),"16-20")</f>
        <v>16-20</v>
      </c>
      <c r="I348" s="32"/>
      <c r="J348" s="35" t="str">
        <f>IFERROR(__xludf.DUMMYFUNCTION("""COMPUTED_VALUE"""),"21-25")</f>
        <v>21-25</v>
      </c>
      <c r="K348" s="32"/>
      <c r="L348" s="32"/>
      <c r="M348" s="32"/>
      <c r="N348" s="32"/>
      <c r="O348" s="32"/>
      <c r="P348" s="32"/>
      <c r="Q348" s="32"/>
      <c r="R348" s="32"/>
      <c r="S348" s="32"/>
      <c r="T348" s="32"/>
      <c r="U348" s="32"/>
      <c r="V348" s="32"/>
      <c r="W348" s="32"/>
      <c r="X348" s="32"/>
    </row>
    <row r="349">
      <c r="A349" s="32" t="str">
        <f>IFERROR(__xludf.DUMMYFUNCTION("""COMPUTED_VALUE"""),"Puzzle: Ancient Stone Statue")</f>
        <v>Puzzle: Ancient Stone Statue</v>
      </c>
      <c r="B349" s="35" t="str">
        <f>IFERROR(__xludf.DUMMYFUNCTION("""COMPUTED_VALUE"""),"1-5")</f>
        <v>1-5</v>
      </c>
      <c r="C349" s="32"/>
      <c r="D349" s="35" t="str">
        <f>IFERROR(__xludf.DUMMYFUNCTION("""COMPUTED_VALUE"""),"6-10")</f>
        <v>6-10</v>
      </c>
      <c r="E349" s="32"/>
      <c r="F349" s="35" t="str">
        <f>IFERROR(__xludf.DUMMYFUNCTION("""COMPUTED_VALUE"""),"11-15")</f>
        <v>11-15</v>
      </c>
      <c r="G349" s="32"/>
      <c r="H349" s="35" t="str">
        <f>IFERROR(__xludf.DUMMYFUNCTION("""COMPUTED_VALUE"""),"16-20")</f>
        <v>16-20</v>
      </c>
      <c r="I349" s="32"/>
      <c r="J349" s="35" t="str">
        <f>IFERROR(__xludf.DUMMYFUNCTION("""COMPUTED_VALUE"""),"21-25")</f>
        <v>21-25</v>
      </c>
      <c r="K349" s="32"/>
      <c r="L349" s="32"/>
      <c r="M349" s="32"/>
      <c r="N349" s="32"/>
      <c r="O349" s="32"/>
      <c r="P349" s="32"/>
      <c r="Q349" s="32"/>
      <c r="R349" s="32"/>
      <c r="S349" s="32"/>
      <c r="T349" s="32"/>
      <c r="U349" s="32"/>
      <c r="V349" s="32"/>
      <c r="W349" s="32"/>
      <c r="X349" s="32"/>
    </row>
    <row r="350">
      <c r="A350" s="32" t="str">
        <f>IFERROR(__xludf.DUMMYFUNCTION("""COMPUTED_VALUE"""),"Puzzle: The Chosen One")</f>
        <v>Puzzle: The Chosen One</v>
      </c>
      <c r="B350" s="35" t="str">
        <f>IFERROR(__xludf.DUMMYFUNCTION("""COMPUTED_VALUE"""),"1-5")</f>
        <v>1-5</v>
      </c>
      <c r="C350" s="32"/>
      <c r="D350" s="35" t="str">
        <f>IFERROR(__xludf.DUMMYFUNCTION("""COMPUTED_VALUE"""),"6-10")</f>
        <v>6-10</v>
      </c>
      <c r="E350" s="32"/>
      <c r="F350" s="35" t="str">
        <f>IFERROR(__xludf.DUMMYFUNCTION("""COMPUTED_VALUE"""),"11-15")</f>
        <v>11-15</v>
      </c>
      <c r="G350" s="32"/>
      <c r="H350" s="35" t="str">
        <f>IFERROR(__xludf.DUMMYFUNCTION("""COMPUTED_VALUE"""),"16-20")</f>
        <v>16-20</v>
      </c>
      <c r="I350" s="32"/>
      <c r="J350" s="35" t="str">
        <f>IFERROR(__xludf.DUMMYFUNCTION("""COMPUTED_VALUE"""),"21-25")</f>
        <v>21-25</v>
      </c>
      <c r="K350" s="32"/>
      <c r="L350" s="32"/>
      <c r="M350" s="32"/>
      <c r="N350" s="32"/>
      <c r="O350" s="32"/>
      <c r="P350" s="32"/>
      <c r="Q350" s="32"/>
      <c r="R350" s="32"/>
      <c r="S350" s="32"/>
      <c r="T350" s="32"/>
      <c r="U350" s="32"/>
      <c r="V350" s="32"/>
      <c r="W350" s="32"/>
      <c r="X350" s="32"/>
    </row>
    <row r="351">
      <c r="A351" s="32" t="str">
        <f>IFERROR(__xludf.DUMMYFUNCTION("""COMPUTED_VALUE"""),"The Ambrosian Paladins")</f>
        <v>The Ambrosian Paladins</v>
      </c>
      <c r="B351" s="35" t="str">
        <f>IFERROR(__xludf.DUMMYFUNCTION("""COMPUTED_VALUE"""),"1-5")</f>
        <v>1-5</v>
      </c>
      <c r="C351" s="32"/>
      <c r="D351" s="35" t="str">
        <f>IFERROR(__xludf.DUMMYFUNCTION("""COMPUTED_VALUE"""),"6-10")</f>
        <v>6-10</v>
      </c>
      <c r="E351" s="32"/>
      <c r="F351" s="35" t="str">
        <f>IFERROR(__xludf.DUMMYFUNCTION("""COMPUTED_VALUE"""),"11-15")</f>
        <v>11-15</v>
      </c>
      <c r="G351" s="32"/>
      <c r="H351" s="35" t="str">
        <f>IFERROR(__xludf.DUMMYFUNCTION("""COMPUTED_VALUE"""),"16-20")</f>
        <v>16-20</v>
      </c>
      <c r="I351" s="32"/>
      <c r="J351" s="35" t="str">
        <f>IFERROR(__xludf.DUMMYFUNCTION("""COMPUTED_VALUE"""),"21-25")</f>
        <v>21-25</v>
      </c>
      <c r="K351" s="32"/>
      <c r="L351" s="32"/>
      <c r="M351" s="32"/>
      <c r="N351" s="32"/>
      <c r="O351" s="32"/>
      <c r="P351" s="32"/>
      <c r="Q351" s="32"/>
      <c r="R351" s="32"/>
      <c r="S351" s="32"/>
      <c r="T351" s="32"/>
      <c r="U351" s="32"/>
      <c r="V351" s="32"/>
      <c r="W351" s="32"/>
      <c r="X351" s="32"/>
    </row>
    <row r="352">
      <c r="A352" s="32" t="str">
        <f>IFERROR(__xludf.DUMMYFUNCTION("""COMPUTED_VALUE"""),"Wave Rider Paladins")</f>
        <v>Wave Rider Paladins</v>
      </c>
      <c r="B352" s="35" t="str">
        <f>IFERROR(__xludf.DUMMYFUNCTION("""COMPUTED_VALUE"""),"1-5")</f>
        <v>1-5</v>
      </c>
      <c r="C352" s="32" t="str">
        <f>IFERROR(__xludf.DUMMYFUNCTION("""COMPUTED_VALUE"""),"Heavenly Lute")</f>
        <v>Heavenly Lute</v>
      </c>
      <c r="D352" s="35" t="str">
        <f>IFERROR(__xludf.DUMMYFUNCTION("""COMPUTED_VALUE"""),"6-10")</f>
        <v>6-10</v>
      </c>
      <c r="E352" s="32" t="str">
        <f>IFERROR(__xludf.DUMMYFUNCTION("""COMPUTED_VALUE"""),"Ice bomb")</f>
        <v>Ice bomb</v>
      </c>
      <c r="F352" s="35" t="str">
        <f>IFERROR(__xludf.DUMMYFUNCTION("""COMPUTED_VALUE"""),"11-15")</f>
        <v>11-15</v>
      </c>
      <c r="G352" s="32" t="str">
        <f>IFERROR(__xludf.DUMMYFUNCTION("""COMPUTED_VALUE"""),"Draconic Shield")</f>
        <v>Draconic Shield</v>
      </c>
      <c r="H352" s="35" t="str">
        <f>IFERROR(__xludf.DUMMYFUNCTION("""COMPUTED_VALUE"""),"16-20")</f>
        <v>16-20</v>
      </c>
      <c r="I352" s="32" t="str">
        <f>IFERROR(__xludf.DUMMYFUNCTION("""COMPUTED_VALUE"""),"Soul")</f>
        <v>Soul</v>
      </c>
      <c r="J352" s="35" t="str">
        <f>IFERROR(__xludf.DUMMYFUNCTION("""COMPUTED_VALUE"""),"21-25")</f>
        <v>21-25</v>
      </c>
      <c r="K352" s="32" t="str">
        <f>IFERROR(__xludf.DUMMYFUNCTION("""COMPUTED_VALUE"""),"Ring o' Agility and Water")</f>
        <v>Ring o' Agility and Water</v>
      </c>
      <c r="L352" s="32"/>
      <c r="M352" s="32"/>
      <c r="N352" s="32"/>
      <c r="O352" s="32"/>
      <c r="P352" s="32"/>
      <c r="Q352" s="32"/>
      <c r="R352" s="32"/>
      <c r="S352" s="32"/>
      <c r="T352" s="32"/>
      <c r="U352" s="32"/>
      <c r="V352" s="32"/>
      <c r="W352" s="32"/>
      <c r="X352" s="32"/>
    </row>
    <row r="353">
      <c r="A353" s="32" t="str">
        <f>IFERROR(__xludf.DUMMYFUNCTION("""COMPUTED_VALUE"""),"Urchin Swiffer Paladins")</f>
        <v>Urchin Swiffer Paladins</v>
      </c>
      <c r="B353" s="35" t="str">
        <f>IFERROR(__xludf.DUMMYFUNCTION("""COMPUTED_VALUE"""),"1-5")</f>
        <v>1-5</v>
      </c>
      <c r="C353" s="32" t="str">
        <f>IFERROR(__xludf.DUMMYFUNCTION("""COMPUTED_VALUE"""),"Soul")</f>
        <v>Soul</v>
      </c>
      <c r="D353" s="35" t="str">
        <f>IFERROR(__xludf.DUMMYFUNCTION("""COMPUTED_VALUE"""),"6-10")</f>
        <v>6-10</v>
      </c>
      <c r="E353" s="32" t="str">
        <f>IFERROR(__xludf.DUMMYFUNCTION("""COMPUTED_VALUE"""),"Storm Dragonscale Flail")</f>
        <v>Storm Dragonscale Flail</v>
      </c>
      <c r="F353" s="35" t="str">
        <f>IFERROR(__xludf.DUMMYFUNCTION("""COMPUTED_VALUE"""),"11-15")</f>
        <v>11-15</v>
      </c>
      <c r="G353" s="32" t="str">
        <f>IFERROR(__xludf.DUMMYFUNCTION("""COMPUTED_VALUE"""),"60,000,000G-80,000,000G")</f>
        <v>60,000,000G-80,000,000G</v>
      </c>
      <c r="H353" s="35" t="str">
        <f>IFERROR(__xludf.DUMMYFUNCTION("""COMPUTED_VALUE"""),"16-20")</f>
        <v>16-20</v>
      </c>
      <c r="I353" s="32" t="str">
        <f>IFERROR(__xludf.DUMMYFUNCTION("""COMPUTED_VALUE"""),"Nothing")</f>
        <v>Nothing</v>
      </c>
      <c r="J353" s="35" t="str">
        <f>IFERROR(__xludf.DUMMYFUNCTION("""COMPUTED_VALUE"""),"21-25")</f>
        <v>21-25</v>
      </c>
      <c r="K353" s="32" t="str">
        <f>IFERROR(__xludf.DUMMYFUNCTION("""COMPUTED_VALUE"""),"Ring o' Agility and Water")</f>
        <v>Ring o' Agility and Water</v>
      </c>
      <c r="L353" s="32"/>
      <c r="M353" s="32"/>
      <c r="N353" s="32"/>
      <c r="O353" s="32"/>
      <c r="P353" s="32"/>
      <c r="Q353" s="32"/>
      <c r="R353" s="32"/>
      <c r="S353" s="32"/>
      <c r="T353" s="32"/>
      <c r="U353" s="32"/>
      <c r="V353" s="32"/>
      <c r="W353" s="32"/>
      <c r="X353" s="32"/>
    </row>
    <row r="354">
      <c r="A354" s="32" t="str">
        <f>IFERROR(__xludf.DUMMYFUNCTION("""COMPUTED_VALUE"""),"Poseidon, God of Tritonoch")</f>
        <v>Poseidon, God of Tritonoch</v>
      </c>
      <c r="B354" s="35" t="str">
        <f>IFERROR(__xludf.DUMMYFUNCTION("""COMPUTED_VALUE"""),"1-5")</f>
        <v>1-5</v>
      </c>
      <c r="C354" s="32"/>
      <c r="D354" s="35" t="str">
        <f>IFERROR(__xludf.DUMMYFUNCTION("""COMPUTED_VALUE"""),"6-10")</f>
        <v>6-10</v>
      </c>
      <c r="E354" s="32"/>
      <c r="F354" s="35" t="str">
        <f>IFERROR(__xludf.DUMMYFUNCTION("""COMPUTED_VALUE"""),"11-15")</f>
        <v>11-15</v>
      </c>
      <c r="G354" s="32"/>
      <c r="H354" s="35" t="str">
        <f>IFERROR(__xludf.DUMMYFUNCTION("""COMPUTED_VALUE"""),"16-20")</f>
        <v>16-20</v>
      </c>
      <c r="I354" s="32"/>
      <c r="J354" s="35" t="str">
        <f>IFERROR(__xludf.DUMMYFUNCTION("""COMPUTED_VALUE"""),"21-25")</f>
        <v>21-25</v>
      </c>
      <c r="K354" s="32"/>
      <c r="L354" s="32"/>
      <c r="M354" s="32"/>
      <c r="N354" s="32"/>
      <c r="O354" s="32"/>
      <c r="P354" s="32"/>
      <c r="Q354" s="32"/>
      <c r="R354" s="32"/>
      <c r="S354" s="32"/>
      <c r="T354" s="32"/>
      <c r="U354" s="32"/>
      <c r="V354" s="32"/>
      <c r="W354" s="32"/>
      <c r="X354" s="32"/>
    </row>
    <row r="355">
      <c r="A355" s="32" t="str">
        <f>IFERROR(__xludf.DUMMYFUNCTION("""COMPUTED_VALUE"""),"Neptune, God of Atlotopia")</f>
        <v>Neptune, God of Atlotopia</v>
      </c>
      <c r="B355" s="35" t="str">
        <f>IFERROR(__xludf.DUMMYFUNCTION("""COMPUTED_VALUE"""),"1-5")</f>
        <v>1-5</v>
      </c>
      <c r="C355" s="32"/>
      <c r="D355" s="35" t="str">
        <f>IFERROR(__xludf.DUMMYFUNCTION("""COMPUTED_VALUE"""),"6-10")</f>
        <v>6-10</v>
      </c>
      <c r="E355" s="32"/>
      <c r="F355" s="35" t="str">
        <f>IFERROR(__xludf.DUMMYFUNCTION("""COMPUTED_VALUE"""),"11-15")</f>
        <v>11-15</v>
      </c>
      <c r="G355" s="32"/>
      <c r="H355" s="35" t="str">
        <f>IFERROR(__xludf.DUMMYFUNCTION("""COMPUTED_VALUE"""),"16-20")</f>
        <v>16-20</v>
      </c>
      <c r="I355" s="32"/>
      <c r="J355" s="35" t="str">
        <f>IFERROR(__xludf.DUMMYFUNCTION("""COMPUTED_VALUE"""),"21-25")</f>
        <v>21-25</v>
      </c>
      <c r="K355" s="32"/>
      <c r="L355" s="32"/>
      <c r="M355" s="32"/>
      <c r="N355" s="32"/>
      <c r="O355" s="32"/>
      <c r="P355" s="32"/>
      <c r="Q355" s="32"/>
      <c r="R355" s="32"/>
      <c r="S355" s="32"/>
      <c r="T355" s="32"/>
      <c r="U355" s="32"/>
      <c r="V355" s="32"/>
      <c r="W355" s="32"/>
      <c r="X355" s="32"/>
    </row>
    <row r="356">
      <c r="A356" s="32" t="str">
        <f>IFERROR(__xludf.DUMMYFUNCTION("""COMPUTED_VALUE"""),"Dionysus, The Eternal Party")</f>
        <v>Dionysus, The Eternal Party</v>
      </c>
      <c r="B356" s="35" t="str">
        <f>IFERROR(__xludf.DUMMYFUNCTION("""COMPUTED_VALUE"""),"1-5")</f>
        <v>1-5</v>
      </c>
      <c r="C356" s="32"/>
      <c r="D356" s="35" t="str">
        <f>IFERROR(__xludf.DUMMYFUNCTION("""COMPUTED_VALUE"""),"6-10")</f>
        <v>6-10</v>
      </c>
      <c r="E356" s="32"/>
      <c r="F356" s="35" t="str">
        <f>IFERROR(__xludf.DUMMYFUNCTION("""COMPUTED_VALUE"""),"11-15")</f>
        <v>11-15</v>
      </c>
      <c r="G356" s="32"/>
      <c r="H356" s="35" t="str">
        <f>IFERROR(__xludf.DUMMYFUNCTION("""COMPUTED_VALUE"""),"16-20")</f>
        <v>16-20</v>
      </c>
      <c r="I356" s="32"/>
      <c r="J356" s="35" t="str">
        <f>IFERROR(__xludf.DUMMYFUNCTION("""COMPUTED_VALUE"""),"21-25")</f>
        <v>21-25</v>
      </c>
      <c r="K356" s="32"/>
      <c r="L356" s="32"/>
      <c r="M356" s="32"/>
      <c r="N356" s="32"/>
      <c r="O356" s="32"/>
      <c r="P356" s="32"/>
      <c r="Q356" s="32"/>
      <c r="R356" s="32"/>
      <c r="S356" s="32"/>
      <c r="T356" s="32"/>
      <c r="U356" s="32"/>
      <c r="V356" s="32"/>
      <c r="W356" s="32"/>
      <c r="X356" s="32"/>
    </row>
    <row r="357">
      <c r="A357" s="32" t="str">
        <f>IFERROR(__xludf.DUMMYFUNCTION("""COMPUTED_VALUE"""),"The Bloodletters")</f>
        <v>The Bloodletters</v>
      </c>
      <c r="B357" s="35" t="str">
        <f>IFERROR(__xludf.DUMMYFUNCTION("""COMPUTED_VALUE"""),"1-5")</f>
        <v>1-5</v>
      </c>
      <c r="C357" s="32" t="str">
        <f>IFERROR(__xludf.DUMMYFUNCTION("""COMPUTED_VALUE"""),"Blood Katana")</f>
        <v>Blood Katana</v>
      </c>
      <c r="D357" s="35" t="str">
        <f>IFERROR(__xludf.DUMMYFUNCTION("""COMPUTED_VALUE"""),"6-10")</f>
        <v>6-10</v>
      </c>
      <c r="E357" s="32" t="str">
        <f>IFERROR(__xludf.DUMMYFUNCTION("""COMPUTED_VALUE"""),"A Jar of Blood")</f>
        <v>A Jar of Blood</v>
      </c>
      <c r="F357" s="35" t="str">
        <f>IFERROR(__xludf.DUMMYFUNCTION("""COMPUTED_VALUE"""),"11-15")</f>
        <v>11-15</v>
      </c>
      <c r="G357" s="32" t="str">
        <f>IFERROR(__xludf.DUMMYFUNCTION("""COMPUTED_VALUE"""),"Demon Blood")</f>
        <v>Demon Blood</v>
      </c>
      <c r="H357" s="35" t="str">
        <f>IFERROR(__xludf.DUMMYFUNCTION("""COMPUTED_VALUE"""),"16-20")</f>
        <v>16-20</v>
      </c>
      <c r="I357" s="32" t="str">
        <f>IFERROR(__xludf.DUMMYFUNCTION("""COMPUTED_VALUE"""),"Nothing")</f>
        <v>Nothing</v>
      </c>
      <c r="J357" s="35" t="str">
        <f>IFERROR(__xludf.DUMMYFUNCTION("""COMPUTED_VALUE"""),"21-25")</f>
        <v>21-25</v>
      </c>
      <c r="K357" s="32" t="str">
        <f>IFERROR(__xludf.DUMMYFUNCTION("""COMPUTED_VALUE"""),"Nothing")</f>
        <v>Nothing</v>
      </c>
      <c r="L357" s="32"/>
      <c r="M357" s="32"/>
      <c r="N357" s="32"/>
      <c r="O357" s="32"/>
      <c r="P357" s="32"/>
      <c r="Q357" s="32"/>
      <c r="R357" s="32"/>
      <c r="S357" s="32"/>
      <c r="T357" s="32"/>
      <c r="U357" s="32"/>
      <c r="V357" s="32"/>
      <c r="W357" s="32"/>
      <c r="X357" s="32"/>
    </row>
    <row r="358">
      <c r="A358" s="32" t="str">
        <f>IFERROR(__xludf.DUMMYFUNCTION("""COMPUTED_VALUE"""),"The Soulbound Royals")</f>
        <v>The Soulbound Royals</v>
      </c>
      <c r="B358" s="35" t="str">
        <f>IFERROR(__xludf.DUMMYFUNCTION("""COMPUTED_VALUE"""),"1-5")</f>
        <v>1-5</v>
      </c>
      <c r="C358" s="32" t="str">
        <f>IFERROR(__xludf.DUMMYFUNCTION("""COMPUTED_VALUE"""),"Chaotic Amulet")</f>
        <v>Chaotic Amulet</v>
      </c>
      <c r="D358" s="35" t="str">
        <f>IFERROR(__xludf.DUMMYFUNCTION("""COMPUTED_VALUE"""),"6-10")</f>
        <v>6-10</v>
      </c>
      <c r="E358" s="32" t="str">
        <f>IFERROR(__xludf.DUMMYFUNCTION("""COMPUTED_VALUE"""),"Ring o' Courage and Order")</f>
        <v>Ring o' Courage and Order</v>
      </c>
      <c r="F358" s="35" t="str">
        <f>IFERROR(__xludf.DUMMYFUNCTION("""COMPUTED_VALUE"""),"11-15")</f>
        <v>11-15</v>
      </c>
      <c r="G358" s="32" t="str">
        <f>IFERROR(__xludf.DUMMYFUNCTION("""COMPUTED_VALUE"""),"Nothing")</f>
        <v>Nothing</v>
      </c>
      <c r="H358" s="35" t="str">
        <f>IFERROR(__xludf.DUMMYFUNCTION("""COMPUTED_VALUE"""),"16-20")</f>
        <v>16-20</v>
      </c>
      <c r="I358" s="32" t="str">
        <f>IFERROR(__xludf.DUMMYFUNCTION("""COMPUTED_VALUE"""),"40,000,000G-60,000,000G")</f>
        <v>40,000,000G-60,000,000G</v>
      </c>
      <c r="J358" s="35" t="str">
        <f>IFERROR(__xludf.DUMMYFUNCTION("""COMPUTED_VALUE"""),"21-25")</f>
        <v>21-25</v>
      </c>
      <c r="K358" s="32" t="str">
        <f>IFERROR(__xludf.DUMMYFUNCTION("""COMPUTED_VALUE"""),"Nothing")</f>
        <v>Nothing</v>
      </c>
      <c r="L358" s="32"/>
      <c r="M358" s="32"/>
      <c r="N358" s="32"/>
      <c r="O358" s="32"/>
      <c r="P358" s="32"/>
      <c r="Q358" s="32"/>
      <c r="R358" s="32"/>
      <c r="S358" s="32"/>
      <c r="T358" s="32"/>
      <c r="U358" s="32"/>
      <c r="V358" s="32"/>
      <c r="W358" s="32"/>
      <c r="X358" s="32"/>
    </row>
    <row r="359">
      <c r="A359" s="32" t="str">
        <f>IFERROR(__xludf.DUMMYFUNCTION("""COMPUTED_VALUE"""),"The Exiled One")</f>
        <v>The Exiled One</v>
      </c>
      <c r="B359" s="35" t="str">
        <f>IFERROR(__xludf.DUMMYFUNCTION("""COMPUTED_VALUE"""),"1-5")</f>
        <v>1-5</v>
      </c>
      <c r="C359" s="32" t="str">
        <f>IFERROR(__xludf.DUMMYFUNCTION("""COMPUTED_VALUE"""),"Forgotten Scythe")</f>
        <v>Forgotten Scythe</v>
      </c>
      <c r="D359" s="35" t="str">
        <f>IFERROR(__xludf.DUMMYFUNCTION("""COMPUTED_VALUE"""),"6-10")</f>
        <v>6-10</v>
      </c>
      <c r="E359" s="32" t="str">
        <f>IFERROR(__xludf.DUMMYFUNCTION("""COMPUTED_VALUE"""),"Forgotten Scythe")</f>
        <v>Forgotten Scythe</v>
      </c>
      <c r="F359" s="35" t="str">
        <f>IFERROR(__xludf.DUMMYFUNCTION("""COMPUTED_VALUE"""),"11-15")</f>
        <v>11-15</v>
      </c>
      <c r="G359" s="32" t="str">
        <f>IFERROR(__xludf.DUMMYFUNCTION("""COMPUTED_VALUE"""),"80,000,000G-100,000,000G")</f>
        <v>80,000,000G-100,000,000G</v>
      </c>
      <c r="H359" s="35" t="str">
        <f>IFERROR(__xludf.DUMMYFUNCTION("""COMPUTED_VALUE"""),"16-20")</f>
        <v>16-20</v>
      </c>
      <c r="I359" s="32" t="str">
        <f>IFERROR(__xludf.DUMMYFUNCTION("""COMPUTED_VALUE"""),"Nothing")</f>
        <v>Nothing</v>
      </c>
      <c r="J359" s="35" t="str">
        <f>IFERROR(__xludf.DUMMYFUNCTION("""COMPUTED_VALUE"""),"21-25")</f>
        <v>21-25</v>
      </c>
      <c r="K359" s="32" t="str">
        <f>IFERROR(__xludf.DUMMYFUNCTION("""COMPUTED_VALUE"""),"Soul")</f>
        <v>Soul</v>
      </c>
      <c r="L359" s="32"/>
      <c r="M359" s="32"/>
      <c r="N359" s="32"/>
      <c r="O359" s="32"/>
      <c r="P359" s="32"/>
      <c r="Q359" s="32"/>
      <c r="R359" s="32"/>
      <c r="S359" s="32"/>
      <c r="T359" s="32"/>
      <c r="U359" s="32"/>
      <c r="V359" s="32"/>
      <c r="W359" s="32"/>
      <c r="X359" s="32"/>
    </row>
    <row r="360">
      <c r="A360" s="32" t="str">
        <f>IFERROR(__xludf.DUMMYFUNCTION("""COMPUTED_VALUE"""),"The Storm Bloods")</f>
        <v>The Storm Bloods</v>
      </c>
      <c r="B360" s="35" t="str">
        <f>IFERROR(__xludf.DUMMYFUNCTION("""COMPUTED_VALUE"""),"1-5")</f>
        <v>1-5</v>
      </c>
      <c r="C360" s="32" t="str">
        <f>IFERROR(__xludf.DUMMYFUNCTION("""COMPUTED_VALUE"""),"Storm Dragonscale Flail")</f>
        <v>Storm Dragonscale Flail</v>
      </c>
      <c r="D360" s="35" t="str">
        <f>IFERROR(__xludf.DUMMYFUNCTION("""COMPUTED_VALUE"""),"6-10")</f>
        <v>6-10</v>
      </c>
      <c r="E360" s="32" t="str">
        <f>IFERROR(__xludf.DUMMYFUNCTION("""COMPUTED_VALUE"""),"Ring o' Spite and Blood")</f>
        <v>Ring o' Spite and Blood</v>
      </c>
      <c r="F360" s="35" t="str">
        <f>IFERROR(__xludf.DUMMYFUNCTION("""COMPUTED_VALUE"""),"11-15")</f>
        <v>11-15</v>
      </c>
      <c r="G360" s="32" t="str">
        <f>IFERROR(__xludf.DUMMYFUNCTION("""COMPUTED_VALUE"""),"Blade of Ancestral Blood")</f>
        <v>Blade of Ancestral Blood</v>
      </c>
      <c r="H360" s="35" t="str">
        <f>IFERROR(__xludf.DUMMYFUNCTION("""COMPUTED_VALUE"""),"16-20")</f>
        <v>16-20</v>
      </c>
      <c r="I360" s="32" t="str">
        <f>IFERROR(__xludf.DUMMYFUNCTION("""COMPUTED_VALUE"""),"Nothing")</f>
        <v>Nothing</v>
      </c>
      <c r="J360" s="35" t="str">
        <f>IFERROR(__xludf.DUMMYFUNCTION("""COMPUTED_VALUE"""),"21-25")</f>
        <v>21-25</v>
      </c>
      <c r="K360" s="32" t="str">
        <f>IFERROR(__xludf.DUMMYFUNCTION("""COMPUTED_VALUE"""),"80,000,000G-100,000,000G")</f>
        <v>80,000,000G-100,000,000G</v>
      </c>
      <c r="L360" s="32"/>
      <c r="M360" s="32"/>
      <c r="N360" s="32"/>
      <c r="O360" s="32"/>
      <c r="P360" s="32"/>
      <c r="Q360" s="32"/>
      <c r="R360" s="32"/>
      <c r="S360" s="32"/>
      <c r="T360" s="32"/>
      <c r="U360" s="32"/>
      <c r="V360" s="32"/>
      <c r="W360" s="32"/>
      <c r="X360" s="32"/>
    </row>
    <row r="361">
      <c r="A361" s="32" t="str">
        <f>IFERROR(__xludf.DUMMYFUNCTION("""COMPUTED_VALUE"""),"The Astrologians")</f>
        <v>The Astrologians</v>
      </c>
      <c r="B361" s="35" t="str">
        <f>IFERROR(__xludf.DUMMYFUNCTION("""COMPUTED_VALUE"""),"1-5")</f>
        <v>1-5</v>
      </c>
      <c r="C361" s="32" t="str">
        <f>IFERROR(__xludf.DUMMYFUNCTION("""COMPUTED_VALUE"""),"Nothing")</f>
        <v>Nothing</v>
      </c>
      <c r="D361" s="35" t="str">
        <f>IFERROR(__xludf.DUMMYFUNCTION("""COMPUTED_VALUE"""),"6-10")</f>
        <v>6-10</v>
      </c>
      <c r="E361" s="32" t="str">
        <f>IFERROR(__xludf.DUMMYFUNCTION("""COMPUTED_VALUE"""),"Honeyed Nordic Mead")</f>
        <v>Honeyed Nordic Mead</v>
      </c>
      <c r="F361" s="35" t="str">
        <f>IFERROR(__xludf.DUMMYFUNCTION("""COMPUTED_VALUE"""),"11-15")</f>
        <v>11-15</v>
      </c>
      <c r="G361" s="32" t="str">
        <f>IFERROR(__xludf.DUMMYFUNCTION("""COMPUTED_VALUE"""),"1,000,000G-20,000,000G")</f>
        <v>1,000,000G-20,000,000G</v>
      </c>
      <c r="H361" s="35" t="str">
        <f>IFERROR(__xludf.DUMMYFUNCTION("""COMPUTED_VALUE"""),"16-20")</f>
        <v>16-20</v>
      </c>
      <c r="I361" s="32" t="str">
        <f>IFERROR(__xludf.DUMMYFUNCTION("""COMPUTED_VALUE"""),"Ring o' Grace and Astral")</f>
        <v>Ring o' Grace and Astral</v>
      </c>
      <c r="J361" s="35" t="str">
        <f>IFERROR(__xludf.DUMMYFUNCTION("""COMPUTED_VALUE"""),"21-25")</f>
        <v>21-25</v>
      </c>
      <c r="K361" s="32" t="str">
        <f>IFERROR(__xludf.DUMMYFUNCTION("""COMPUTED_VALUE"""),"Nothing")</f>
        <v>Nothing</v>
      </c>
      <c r="L361" s="32"/>
      <c r="M361" s="32"/>
      <c r="N361" s="32"/>
      <c r="O361" s="32"/>
      <c r="P361" s="32"/>
      <c r="Q361" s="32"/>
      <c r="R361" s="32"/>
      <c r="S361" s="32"/>
      <c r="T361" s="32"/>
      <c r="U361" s="32"/>
      <c r="V361" s="32"/>
      <c r="W361" s="32"/>
      <c r="X361" s="32"/>
    </row>
    <row r="362">
      <c r="A362" s="32" t="str">
        <f>IFERROR(__xludf.DUMMYFUNCTION("""COMPUTED_VALUE"""),"Monk (Abbot)")</f>
        <v>Monk (Abbot)</v>
      </c>
      <c r="B362" s="35" t="str">
        <f>IFERROR(__xludf.DUMMYFUNCTION("""COMPUTED_VALUE"""),"1-5")</f>
        <v>1-5</v>
      </c>
      <c r="C362" s="32" t="str">
        <f>IFERROR(__xludf.DUMMYFUNCTION("""COMPUTED_VALUE"""),"Nothing")</f>
        <v>Nothing</v>
      </c>
      <c r="D362" s="35" t="str">
        <f>IFERROR(__xludf.DUMMYFUNCTION("""COMPUTED_VALUE"""),"6-10")</f>
        <v>6-10</v>
      </c>
      <c r="E362" s="32" t="str">
        <f>IFERROR(__xludf.DUMMYFUNCTION("""COMPUTED_VALUE"""),"Nothing")</f>
        <v>Nothing</v>
      </c>
      <c r="F362" s="35" t="str">
        <f>IFERROR(__xludf.DUMMYFUNCTION("""COMPUTED_VALUE"""),"11-15")</f>
        <v>11-15</v>
      </c>
      <c r="G362" s="32" t="str">
        <f>IFERROR(__xludf.DUMMYFUNCTION("""COMPUTED_VALUE"""),"Nothing")</f>
        <v>Nothing</v>
      </c>
      <c r="H362" s="35" t="str">
        <f>IFERROR(__xludf.DUMMYFUNCTION("""COMPUTED_VALUE"""),"16-20")</f>
        <v>16-20</v>
      </c>
      <c r="I362" s="32" t="str">
        <f>IFERROR(__xludf.DUMMYFUNCTION("""COMPUTED_VALUE"""),"Leather")</f>
        <v>Leather</v>
      </c>
      <c r="J362" s="35" t="str">
        <f>IFERROR(__xludf.DUMMYFUNCTION("""COMPUTED_VALUE"""),"21-25")</f>
        <v>21-25</v>
      </c>
      <c r="K362" s="32" t="str">
        <f>IFERROR(__xludf.DUMMYFUNCTION("""COMPUTED_VALUE"""),"Nothing")</f>
        <v>Nothing</v>
      </c>
      <c r="L362" s="32"/>
      <c r="M362" s="32"/>
      <c r="N362" s="32"/>
      <c r="O362" s="32"/>
      <c r="P362" s="32"/>
      <c r="Q362" s="32"/>
      <c r="R362" s="32"/>
      <c r="S362" s="32"/>
      <c r="T362" s="32"/>
      <c r="U362" s="32"/>
      <c r="V362" s="32"/>
      <c r="W362" s="32"/>
      <c r="X362" s="32"/>
    </row>
    <row r="363">
      <c r="A363" s="32" t="str">
        <f>IFERROR(__xludf.DUMMYFUNCTION("""COMPUTED_VALUE"""),"The Harbingers of The Voidwoken (Spira)")</f>
        <v>The Harbingers of The Voidwoken (Spira)</v>
      </c>
      <c r="B363" s="35" t="str">
        <f>IFERROR(__xludf.DUMMYFUNCTION("""COMPUTED_VALUE"""),"1-5")</f>
        <v>1-5</v>
      </c>
      <c r="C363" s="32" t="str">
        <f>IFERROR(__xludf.DUMMYFUNCTION("""COMPUTED_VALUE"""),"Harbingers' Helm of the Unrestrained (Spira)")</f>
        <v>Harbingers' Helm of the Unrestrained (Spira)</v>
      </c>
      <c r="D363" s="35" t="str">
        <f>IFERROR(__xludf.DUMMYFUNCTION("""COMPUTED_VALUE"""),"6-10")</f>
        <v>6-10</v>
      </c>
      <c r="E363" s="32" t="str">
        <f>IFERROR(__xludf.DUMMYFUNCTION("""COMPUTED_VALUE"""),"Harbingers' Emblazoned Chest of The Encroaching Void (Spira)")</f>
        <v>Harbingers' Emblazoned Chest of The Encroaching Void (Spira)</v>
      </c>
      <c r="F363" s="35" t="str">
        <f>IFERROR(__xludf.DUMMYFUNCTION("""COMPUTED_VALUE"""),"11-15")</f>
        <v>11-15</v>
      </c>
      <c r="G363" s="32" t="str">
        <f>IFERROR(__xludf.DUMMYFUNCTION("""COMPUTED_VALUE"""),"Harbingers' Broken Fettering (Spira)")</f>
        <v>Harbingers' Broken Fettering (Spira)</v>
      </c>
      <c r="H363" s="35" t="str">
        <f>IFERROR(__xludf.DUMMYFUNCTION("""COMPUTED_VALUE"""),"16-20")</f>
        <v>16-20</v>
      </c>
      <c r="I363" s="32" t="str">
        <f>IFERROR(__xludf.DUMMYFUNCTION("""COMPUTED_VALUE"""),"Soul")</f>
        <v>Soul</v>
      </c>
      <c r="J363" s="35" t="str">
        <f>IFERROR(__xludf.DUMMYFUNCTION("""COMPUTED_VALUE"""),"21-25")</f>
        <v>21-25</v>
      </c>
      <c r="K363" s="32" t="str">
        <f>IFERROR(__xludf.DUMMYFUNCTION("""COMPUTED_VALUE"""),"Harbingers' Claw of Steel (Spira)")</f>
        <v>Harbingers' Claw of Steel (Spira)</v>
      </c>
      <c r="L363" s="32"/>
      <c r="M363" s="32"/>
      <c r="N363" s="32"/>
      <c r="O363" s="32"/>
      <c r="P363" s="32"/>
      <c r="Q363" s="32"/>
      <c r="R363" s="32"/>
      <c r="S363" s="32"/>
      <c r="T363" s="32"/>
      <c r="U363" s="32"/>
      <c r="V363" s="32"/>
      <c r="W363" s="32"/>
      <c r="X363" s="32"/>
    </row>
    <row r="364">
      <c r="A364" s="32" t="str">
        <f>IFERROR(__xludf.DUMMYFUNCTION("""COMPUTED_VALUE"""),"Wolf")</f>
        <v>Wolf</v>
      </c>
      <c r="B364" s="35" t="str">
        <f>IFERROR(__xludf.DUMMYFUNCTION("""COMPUTED_VALUE"""),"1-5")</f>
        <v>1-5</v>
      </c>
      <c r="C364" s="32" t="str">
        <f>IFERROR(__xludf.DUMMYFUNCTION("""COMPUTED_VALUE"""),"Soul")</f>
        <v>Soul</v>
      </c>
      <c r="D364" s="35" t="str">
        <f>IFERROR(__xludf.DUMMYFUNCTION("""COMPUTED_VALUE"""),"6-10")</f>
        <v>6-10</v>
      </c>
      <c r="E364" s="32" t="str">
        <f>IFERROR(__xludf.DUMMYFUNCTION("""COMPUTED_VALUE"""),"Egg")</f>
        <v>Egg</v>
      </c>
      <c r="F364" s="35" t="str">
        <f>IFERROR(__xludf.DUMMYFUNCTION("""COMPUTED_VALUE"""),"11-15")</f>
        <v>11-15</v>
      </c>
      <c r="G364" s="32" t="str">
        <f>IFERROR(__xludf.DUMMYFUNCTION("""COMPUTED_VALUE"""),"Wolf Tooth Neclace")</f>
        <v>Wolf Tooth Neclace</v>
      </c>
      <c r="H364" s="35" t="str">
        <f>IFERROR(__xludf.DUMMYFUNCTION("""COMPUTED_VALUE"""),"16-20")</f>
        <v>16-20</v>
      </c>
      <c r="I364" s="32" t="str">
        <f>IFERROR(__xludf.DUMMYFUNCTION("""COMPUTED_VALUE"""),"Nothing")</f>
        <v>Nothing</v>
      </c>
      <c r="J364" s="35" t="str">
        <f>IFERROR(__xludf.DUMMYFUNCTION("""COMPUTED_VALUE"""),"21-25")</f>
        <v>21-25</v>
      </c>
      <c r="K364" s="32" t="str">
        <f>IFERROR(__xludf.DUMMYFUNCTION("""COMPUTED_VALUE"""),"Nothing")</f>
        <v>Nothing</v>
      </c>
      <c r="L364" s="32"/>
      <c r="M364" s="32"/>
      <c r="N364" s="32"/>
      <c r="O364" s="32"/>
      <c r="P364" s="32"/>
      <c r="Q364" s="32"/>
      <c r="R364" s="32"/>
      <c r="S364" s="32"/>
      <c r="T364" s="32"/>
      <c r="U364" s="32"/>
      <c r="V364" s="32"/>
      <c r="W364" s="32"/>
      <c r="X364" s="32"/>
    </row>
    <row r="365">
      <c r="A365" s="32" t="str">
        <f>IFERROR(__xludf.DUMMYFUNCTION("""COMPUTED_VALUE"""),"Imp")</f>
        <v>Imp</v>
      </c>
      <c r="B365" s="35" t="str">
        <f>IFERROR(__xludf.DUMMYFUNCTION("""COMPUTED_VALUE"""),"1-5")</f>
        <v>1-5</v>
      </c>
      <c r="C365" s="32" t="str">
        <f>IFERROR(__xludf.DUMMYFUNCTION("""COMPUTED_VALUE"""),"Soul")</f>
        <v>Soul</v>
      </c>
      <c r="D365" s="35" t="str">
        <f>IFERROR(__xludf.DUMMYFUNCTION("""COMPUTED_VALUE"""),"6-10")</f>
        <v>6-10</v>
      </c>
      <c r="E365" s="32" t="str">
        <f>IFERROR(__xludf.DUMMYFUNCTION("""COMPUTED_VALUE"""),"Egg")</f>
        <v>Egg</v>
      </c>
      <c r="F365" s="35" t="str">
        <f>IFERROR(__xludf.DUMMYFUNCTION("""COMPUTED_VALUE"""),"11-15")</f>
        <v>11-15</v>
      </c>
      <c r="G365" s="32" t="str">
        <f>IFERROR(__xludf.DUMMYFUNCTION("""COMPUTED_VALUE"""),"Demonic Necklace")</f>
        <v>Demonic Necklace</v>
      </c>
      <c r="H365" s="35" t="str">
        <f>IFERROR(__xludf.DUMMYFUNCTION("""COMPUTED_VALUE"""),"16-20")</f>
        <v>16-20</v>
      </c>
      <c r="I365" s="32" t="str">
        <f>IFERROR(__xludf.DUMMYFUNCTION("""COMPUTED_VALUE"""),"Nothing")</f>
        <v>Nothing</v>
      </c>
      <c r="J365" s="35" t="str">
        <f>IFERROR(__xludf.DUMMYFUNCTION("""COMPUTED_VALUE"""),"21-25")</f>
        <v>21-25</v>
      </c>
      <c r="K365" s="32" t="str">
        <f>IFERROR(__xludf.DUMMYFUNCTION("""COMPUTED_VALUE"""),"Nothing")</f>
        <v>Nothing</v>
      </c>
      <c r="L365" s="32"/>
      <c r="M365" s="32"/>
      <c r="N365" s="32"/>
      <c r="O365" s="32"/>
      <c r="P365" s="32"/>
      <c r="Q365" s="32"/>
      <c r="R365" s="32"/>
      <c r="S365" s="32"/>
      <c r="T365" s="32"/>
      <c r="U365" s="32"/>
      <c r="V365" s="32"/>
      <c r="W365" s="32"/>
      <c r="X365" s="32"/>
    </row>
    <row r="366">
      <c r="A366" s="32" t="str">
        <f>IFERROR(__xludf.DUMMYFUNCTION("""COMPUTED_VALUE"""),"Fire Wyrm")</f>
        <v>Fire Wyrm</v>
      </c>
      <c r="B366" s="35" t="str">
        <f>IFERROR(__xludf.DUMMYFUNCTION("""COMPUTED_VALUE"""),"1-5")</f>
        <v>1-5</v>
      </c>
      <c r="C366" s="32" t="str">
        <f>IFERROR(__xludf.DUMMYFUNCTION("""COMPUTED_VALUE"""),"Soul")</f>
        <v>Soul</v>
      </c>
      <c r="D366" s="35" t="str">
        <f>IFERROR(__xludf.DUMMYFUNCTION("""COMPUTED_VALUE"""),"6-10")</f>
        <v>6-10</v>
      </c>
      <c r="E366" s="32" t="str">
        <f>IFERROR(__xludf.DUMMYFUNCTION("""COMPUTED_VALUE"""),"Egg")</f>
        <v>Egg</v>
      </c>
      <c r="F366" s="35" t="str">
        <f>IFERROR(__xludf.DUMMYFUNCTION("""COMPUTED_VALUE"""),"11-15")</f>
        <v>11-15</v>
      </c>
      <c r="G366" s="32" t="str">
        <f>IFERROR(__xludf.DUMMYFUNCTION("""COMPUTED_VALUE"""),"Dragon Scale Necklace")</f>
        <v>Dragon Scale Necklace</v>
      </c>
      <c r="H366" s="35" t="str">
        <f>IFERROR(__xludf.DUMMYFUNCTION("""COMPUTED_VALUE"""),"16-20")</f>
        <v>16-20</v>
      </c>
      <c r="I366" s="32" t="str">
        <f>IFERROR(__xludf.DUMMYFUNCTION("""COMPUTED_VALUE"""),"Nothing")</f>
        <v>Nothing</v>
      </c>
      <c r="J366" s="35" t="str">
        <f>IFERROR(__xludf.DUMMYFUNCTION("""COMPUTED_VALUE"""),"21-25")</f>
        <v>21-25</v>
      </c>
      <c r="K366" s="32" t="str">
        <f>IFERROR(__xludf.DUMMYFUNCTION("""COMPUTED_VALUE"""),"Nothing")</f>
        <v>Nothing</v>
      </c>
      <c r="L366" s="32"/>
      <c r="M366" s="32"/>
      <c r="N366" s="32"/>
      <c r="O366" s="32"/>
      <c r="P366" s="32"/>
      <c r="Q366" s="32"/>
      <c r="R366" s="32"/>
      <c r="S366" s="32"/>
      <c r="T366" s="32"/>
      <c r="U366" s="32"/>
      <c r="V366" s="32"/>
      <c r="W366" s="32"/>
      <c r="X366" s="32"/>
    </row>
    <row r="367">
      <c r="A367" s="32" t="str">
        <f>IFERROR(__xludf.DUMMYFUNCTION("""COMPUTED_VALUE"""),"Storm Wyrm")</f>
        <v>Storm Wyrm</v>
      </c>
      <c r="B367" s="35" t="str">
        <f>IFERROR(__xludf.DUMMYFUNCTION("""COMPUTED_VALUE"""),"1-5")</f>
        <v>1-5</v>
      </c>
      <c r="C367" s="32" t="str">
        <f>IFERROR(__xludf.DUMMYFUNCTION("""COMPUTED_VALUE"""),"Soul")</f>
        <v>Soul</v>
      </c>
      <c r="D367" s="35" t="str">
        <f>IFERROR(__xludf.DUMMYFUNCTION("""COMPUTED_VALUE"""),"6-10")</f>
        <v>6-10</v>
      </c>
      <c r="E367" s="32" t="str">
        <f>IFERROR(__xludf.DUMMYFUNCTION("""COMPUTED_VALUE"""),"Egg")</f>
        <v>Egg</v>
      </c>
      <c r="F367" s="35" t="str">
        <f>IFERROR(__xludf.DUMMYFUNCTION("""COMPUTED_VALUE"""),"11-15")</f>
        <v>11-15</v>
      </c>
      <c r="G367" s="32" t="str">
        <f>IFERROR(__xludf.DUMMYFUNCTION("""COMPUTED_VALUE"""),"Dragon Scale Necklace")</f>
        <v>Dragon Scale Necklace</v>
      </c>
      <c r="H367" s="35" t="str">
        <f>IFERROR(__xludf.DUMMYFUNCTION("""COMPUTED_VALUE"""),"16-20")</f>
        <v>16-20</v>
      </c>
      <c r="I367" s="32" t="str">
        <f>IFERROR(__xludf.DUMMYFUNCTION("""COMPUTED_VALUE"""),"Nothing")</f>
        <v>Nothing</v>
      </c>
      <c r="J367" s="35" t="str">
        <f>IFERROR(__xludf.DUMMYFUNCTION("""COMPUTED_VALUE"""),"21-25")</f>
        <v>21-25</v>
      </c>
      <c r="K367" s="32" t="str">
        <f>IFERROR(__xludf.DUMMYFUNCTION("""COMPUTED_VALUE"""),"Nothing")</f>
        <v>Nothing</v>
      </c>
      <c r="L367" s="32"/>
      <c r="M367" s="32"/>
      <c r="N367" s="32"/>
      <c r="O367" s="32"/>
      <c r="P367" s="32"/>
      <c r="Q367" s="32"/>
      <c r="R367" s="32"/>
      <c r="S367" s="32"/>
      <c r="T367" s="32"/>
      <c r="U367" s="32"/>
      <c r="V367" s="32"/>
      <c r="W367" s="32"/>
      <c r="X367" s="32"/>
    </row>
    <row r="368">
      <c r="A368" s="32" t="str">
        <f>IFERROR(__xludf.DUMMYFUNCTION("""COMPUTED_VALUE"""),"Earth Wyrm")</f>
        <v>Earth Wyrm</v>
      </c>
      <c r="B368" s="35" t="str">
        <f>IFERROR(__xludf.DUMMYFUNCTION("""COMPUTED_VALUE"""),"1-5")</f>
        <v>1-5</v>
      </c>
      <c r="C368" s="32" t="str">
        <f>IFERROR(__xludf.DUMMYFUNCTION("""COMPUTED_VALUE"""),"Soul")</f>
        <v>Soul</v>
      </c>
      <c r="D368" s="35" t="str">
        <f>IFERROR(__xludf.DUMMYFUNCTION("""COMPUTED_VALUE"""),"6-10")</f>
        <v>6-10</v>
      </c>
      <c r="E368" s="32" t="str">
        <f>IFERROR(__xludf.DUMMYFUNCTION("""COMPUTED_VALUE"""),"Egg")</f>
        <v>Egg</v>
      </c>
      <c r="F368" s="35" t="str">
        <f>IFERROR(__xludf.DUMMYFUNCTION("""COMPUTED_VALUE"""),"11-15")</f>
        <v>11-15</v>
      </c>
      <c r="G368" s="32" t="str">
        <f>IFERROR(__xludf.DUMMYFUNCTION("""COMPUTED_VALUE"""),"Dragon Scale Necklace")</f>
        <v>Dragon Scale Necklace</v>
      </c>
      <c r="H368" s="35" t="str">
        <f>IFERROR(__xludf.DUMMYFUNCTION("""COMPUTED_VALUE"""),"16-20")</f>
        <v>16-20</v>
      </c>
      <c r="I368" s="32" t="str">
        <f>IFERROR(__xludf.DUMMYFUNCTION("""COMPUTED_VALUE"""),"Nothing")</f>
        <v>Nothing</v>
      </c>
      <c r="J368" s="35" t="str">
        <f>IFERROR(__xludf.DUMMYFUNCTION("""COMPUTED_VALUE"""),"21-25")</f>
        <v>21-25</v>
      </c>
      <c r="K368" s="32" t="str">
        <f>IFERROR(__xludf.DUMMYFUNCTION("""COMPUTED_VALUE"""),"Nothing")</f>
        <v>Nothing</v>
      </c>
      <c r="L368" s="32"/>
      <c r="M368" s="32"/>
      <c r="N368" s="32"/>
      <c r="O368" s="32"/>
      <c r="P368" s="32"/>
      <c r="Q368" s="32"/>
      <c r="R368" s="32"/>
      <c r="S368" s="32"/>
      <c r="T368" s="32"/>
      <c r="U368" s="32"/>
      <c r="V368" s="32"/>
      <c r="W368" s="32"/>
      <c r="X368" s="32"/>
    </row>
    <row r="369">
      <c r="A369" s="32" t="str">
        <f>IFERROR(__xludf.DUMMYFUNCTION("""COMPUTED_VALUE"""),"Water Wyrm")</f>
        <v>Water Wyrm</v>
      </c>
      <c r="B369" s="35" t="str">
        <f>IFERROR(__xludf.DUMMYFUNCTION("""COMPUTED_VALUE"""),"1-5")</f>
        <v>1-5</v>
      </c>
      <c r="C369" s="32" t="str">
        <f>IFERROR(__xludf.DUMMYFUNCTION("""COMPUTED_VALUE"""),"Soul")</f>
        <v>Soul</v>
      </c>
      <c r="D369" s="35" t="str">
        <f>IFERROR(__xludf.DUMMYFUNCTION("""COMPUTED_VALUE"""),"6-10")</f>
        <v>6-10</v>
      </c>
      <c r="E369" s="32" t="str">
        <f>IFERROR(__xludf.DUMMYFUNCTION("""COMPUTED_VALUE"""),"Egg")</f>
        <v>Egg</v>
      </c>
      <c r="F369" s="35" t="str">
        <f>IFERROR(__xludf.DUMMYFUNCTION("""COMPUTED_VALUE"""),"11-15")</f>
        <v>11-15</v>
      </c>
      <c r="G369" s="32" t="str">
        <f>IFERROR(__xludf.DUMMYFUNCTION("""COMPUTED_VALUE"""),"Dragon Scale Necklace")</f>
        <v>Dragon Scale Necklace</v>
      </c>
      <c r="H369" s="35" t="str">
        <f>IFERROR(__xludf.DUMMYFUNCTION("""COMPUTED_VALUE"""),"16-20")</f>
        <v>16-20</v>
      </c>
      <c r="I369" s="32" t="str">
        <f>IFERROR(__xludf.DUMMYFUNCTION("""COMPUTED_VALUE"""),"Nothing")</f>
        <v>Nothing</v>
      </c>
      <c r="J369" s="35" t="str">
        <f>IFERROR(__xludf.DUMMYFUNCTION("""COMPUTED_VALUE"""),"21-25")</f>
        <v>21-25</v>
      </c>
      <c r="K369" s="32" t="str">
        <f>IFERROR(__xludf.DUMMYFUNCTION("""COMPUTED_VALUE"""),"Nothing")</f>
        <v>Nothing</v>
      </c>
      <c r="L369" s="32"/>
      <c r="M369" s="32"/>
      <c r="N369" s="32"/>
      <c r="O369" s="32"/>
      <c r="P369" s="32"/>
      <c r="Q369" s="32"/>
      <c r="R369" s="32"/>
      <c r="S369" s="32"/>
      <c r="T369" s="32"/>
      <c r="U369" s="32"/>
      <c r="V369" s="32"/>
      <c r="W369" s="32"/>
      <c r="X369" s="32"/>
    </row>
    <row r="370">
      <c r="A370" s="32" t="str">
        <f>IFERROR(__xludf.DUMMYFUNCTION("""COMPUTED_VALUE"""),"Nature Wyrm")</f>
        <v>Nature Wyrm</v>
      </c>
      <c r="B370" s="35" t="str">
        <f>IFERROR(__xludf.DUMMYFUNCTION("""COMPUTED_VALUE"""),"1-5")</f>
        <v>1-5</v>
      </c>
      <c r="C370" s="32" t="str">
        <f>IFERROR(__xludf.DUMMYFUNCTION("""COMPUTED_VALUE"""),"Soul")</f>
        <v>Soul</v>
      </c>
      <c r="D370" s="35" t="str">
        <f>IFERROR(__xludf.DUMMYFUNCTION("""COMPUTED_VALUE"""),"6-10")</f>
        <v>6-10</v>
      </c>
      <c r="E370" s="32" t="str">
        <f>IFERROR(__xludf.DUMMYFUNCTION("""COMPUTED_VALUE"""),"Egg")</f>
        <v>Egg</v>
      </c>
      <c r="F370" s="35" t="str">
        <f>IFERROR(__xludf.DUMMYFUNCTION("""COMPUTED_VALUE"""),"11-15")</f>
        <v>11-15</v>
      </c>
      <c r="G370" s="32" t="str">
        <f>IFERROR(__xludf.DUMMYFUNCTION("""COMPUTED_VALUE"""),"Dragon Scale Necklace")</f>
        <v>Dragon Scale Necklace</v>
      </c>
      <c r="H370" s="35" t="str">
        <f>IFERROR(__xludf.DUMMYFUNCTION("""COMPUTED_VALUE"""),"16-20")</f>
        <v>16-20</v>
      </c>
      <c r="I370" s="32" t="str">
        <f>IFERROR(__xludf.DUMMYFUNCTION("""COMPUTED_VALUE"""),"Nothing")</f>
        <v>Nothing</v>
      </c>
      <c r="J370" s="35" t="str">
        <f>IFERROR(__xludf.DUMMYFUNCTION("""COMPUTED_VALUE"""),"21-25")</f>
        <v>21-25</v>
      </c>
      <c r="K370" s="32" t="str">
        <f>IFERROR(__xludf.DUMMYFUNCTION("""COMPUTED_VALUE"""),"Nothing")</f>
        <v>Nothing</v>
      </c>
      <c r="L370" s="32"/>
      <c r="M370" s="32"/>
      <c r="N370" s="32"/>
      <c r="O370" s="32"/>
      <c r="P370" s="32"/>
      <c r="Q370" s="32"/>
      <c r="R370" s="32"/>
      <c r="S370" s="32"/>
      <c r="T370" s="32"/>
      <c r="U370" s="32"/>
      <c r="V370" s="32"/>
      <c r="W370" s="32"/>
      <c r="X370" s="32"/>
    </row>
    <row r="371">
      <c r="A371" s="32" t="str">
        <f>IFERROR(__xludf.DUMMYFUNCTION("""COMPUTED_VALUE"""),"Lesser tengu")</f>
        <v>Lesser tengu</v>
      </c>
      <c r="B371" s="35" t="str">
        <f>IFERROR(__xludf.DUMMYFUNCTION("""COMPUTED_VALUE"""),"1-5")</f>
        <v>1-5</v>
      </c>
      <c r="C371" s="32" t="str">
        <f>IFERROR(__xludf.DUMMYFUNCTION("""COMPUTED_VALUE"""),"Soul")</f>
        <v>Soul</v>
      </c>
      <c r="D371" s="35" t="str">
        <f>IFERROR(__xludf.DUMMYFUNCTION("""COMPUTED_VALUE"""),"6-10")</f>
        <v>6-10</v>
      </c>
      <c r="E371" s="32" t="str">
        <f>IFERROR(__xludf.DUMMYFUNCTION("""COMPUTED_VALUE"""),"Egg")</f>
        <v>Egg</v>
      </c>
      <c r="F371" s="35" t="str">
        <f>IFERROR(__xludf.DUMMYFUNCTION("""COMPUTED_VALUE"""),"11-15")</f>
        <v>11-15</v>
      </c>
      <c r="G371" s="32" t="str">
        <f>IFERROR(__xludf.DUMMYFUNCTION("""COMPUTED_VALUE"""),"Heavenly Necklace")</f>
        <v>Heavenly Necklace</v>
      </c>
      <c r="H371" s="35" t="str">
        <f>IFERROR(__xludf.DUMMYFUNCTION("""COMPUTED_VALUE"""),"16-20")</f>
        <v>16-20</v>
      </c>
      <c r="I371" s="32" t="str">
        <f>IFERROR(__xludf.DUMMYFUNCTION("""COMPUTED_VALUE"""),"Nothing")</f>
        <v>Nothing</v>
      </c>
      <c r="J371" s="35" t="str">
        <f>IFERROR(__xludf.DUMMYFUNCTION("""COMPUTED_VALUE"""),"21-25")</f>
        <v>21-25</v>
      </c>
      <c r="K371" s="32" t="str">
        <f>IFERROR(__xludf.DUMMYFUNCTION("""COMPUTED_VALUE"""),"Nothing")</f>
        <v>Nothing</v>
      </c>
      <c r="L371" s="32"/>
      <c r="M371" s="32"/>
      <c r="N371" s="32"/>
      <c r="O371" s="32"/>
      <c r="P371" s="32"/>
      <c r="Q371" s="32"/>
      <c r="R371" s="32"/>
      <c r="S371" s="32"/>
      <c r="T371" s="32"/>
      <c r="U371" s="32"/>
      <c r="V371" s="32"/>
      <c r="W371" s="32"/>
      <c r="X371" s="32"/>
    </row>
    <row r="372">
      <c r="A372" s="32" t="str">
        <f>IFERROR(__xludf.DUMMYFUNCTION("""COMPUTED_VALUE"""),"Master Inugima of the Amphibuki")</f>
        <v>Master Inugima of the Amphibuki</v>
      </c>
      <c r="B372" s="35" t="str">
        <f>IFERROR(__xludf.DUMMYFUNCTION("""COMPUTED_VALUE"""),"1-5")</f>
        <v>1-5</v>
      </c>
      <c r="C372" s="32" t="str">
        <f>IFERROR(__xludf.DUMMYFUNCTION("""COMPUTED_VALUE"""),"Soul")</f>
        <v>Soul</v>
      </c>
      <c r="D372" s="35" t="str">
        <f>IFERROR(__xludf.DUMMYFUNCTION("""COMPUTED_VALUE"""),"6-10")</f>
        <v>6-10</v>
      </c>
      <c r="E372" s="32"/>
      <c r="F372" s="35" t="str">
        <f>IFERROR(__xludf.DUMMYFUNCTION("""COMPUTED_VALUE"""),"11-15")</f>
        <v>11-15</v>
      </c>
      <c r="G372" s="32"/>
      <c r="H372" s="35" t="str">
        <f>IFERROR(__xludf.DUMMYFUNCTION("""COMPUTED_VALUE"""),"16-20")</f>
        <v>16-20</v>
      </c>
      <c r="I372" s="32"/>
      <c r="J372" s="35" t="str">
        <f>IFERROR(__xludf.DUMMYFUNCTION("""COMPUTED_VALUE"""),"21-25")</f>
        <v>21-25</v>
      </c>
      <c r="K372" s="32"/>
      <c r="L372" s="32"/>
      <c r="M372" s="32"/>
      <c r="N372" s="32"/>
      <c r="O372" s="32"/>
      <c r="P372" s="32"/>
      <c r="Q372" s="32"/>
      <c r="R372" s="32"/>
      <c r="S372" s="32"/>
      <c r="T372" s="32"/>
      <c r="U372" s="32"/>
      <c r="V372" s="32"/>
      <c r="W372" s="32"/>
      <c r="X372" s="32"/>
    </row>
    <row r="373">
      <c r="A373" s="32" t="str">
        <f>IFERROR(__xludf.DUMMYFUNCTION("""COMPUTED_VALUE"""),"Imphigenia, Betrayed Goddess Of The Moon")</f>
        <v>Imphigenia, Betrayed Goddess Of The Moon</v>
      </c>
      <c r="B373" s="35" t="str">
        <f>IFERROR(__xludf.DUMMYFUNCTION("""COMPUTED_VALUE"""),"1-5")</f>
        <v>1-5</v>
      </c>
      <c r="C373" s="32" t="str">
        <f>IFERROR(__xludf.DUMMYFUNCTION("""COMPUTED_VALUE"""),"Soul")</f>
        <v>Soul</v>
      </c>
      <c r="D373" s="35" t="str">
        <f>IFERROR(__xludf.DUMMYFUNCTION("""COMPUTED_VALUE"""),"6-10")</f>
        <v>6-10</v>
      </c>
      <c r="E373" s="32"/>
      <c r="F373" s="35" t="str">
        <f>IFERROR(__xludf.DUMMYFUNCTION("""COMPUTED_VALUE"""),"11-15")</f>
        <v>11-15</v>
      </c>
      <c r="G373" s="32"/>
      <c r="H373" s="35" t="str">
        <f>IFERROR(__xludf.DUMMYFUNCTION("""COMPUTED_VALUE"""),"16-20")</f>
        <v>16-20</v>
      </c>
      <c r="I373" s="32"/>
      <c r="J373" s="35" t="str">
        <f>IFERROR(__xludf.DUMMYFUNCTION("""COMPUTED_VALUE"""),"21-25")</f>
        <v>21-25</v>
      </c>
      <c r="K373" s="32"/>
      <c r="L373" s="32"/>
      <c r="M373" s="32"/>
      <c r="N373" s="32"/>
      <c r="O373" s="32"/>
      <c r="P373" s="32"/>
      <c r="Q373" s="32"/>
      <c r="R373" s="32"/>
      <c r="S373" s="32"/>
      <c r="T373" s="32"/>
      <c r="U373" s="32"/>
      <c r="V373" s="32"/>
      <c r="W373" s="32"/>
      <c r="X373" s="32"/>
    </row>
    <row r="374">
      <c r="A374" s="32" t="str">
        <f>IFERROR(__xludf.DUMMYFUNCTION("""COMPUTED_VALUE"""),"Imphigenia, Harbinger of Revenge")</f>
        <v>Imphigenia, Harbinger of Revenge</v>
      </c>
      <c r="B374" s="35" t="str">
        <f>IFERROR(__xludf.DUMMYFUNCTION("""COMPUTED_VALUE"""),"1-5")</f>
        <v>1-5</v>
      </c>
      <c r="C374" s="32" t="str">
        <f>IFERROR(__xludf.DUMMYFUNCTION("""COMPUTED_VALUE"""),"Soul")</f>
        <v>Soul</v>
      </c>
      <c r="D374" s="35" t="str">
        <f>IFERROR(__xludf.DUMMYFUNCTION("""COMPUTED_VALUE"""),"6-10")</f>
        <v>6-10</v>
      </c>
      <c r="E374" s="32"/>
      <c r="F374" s="35" t="str">
        <f>IFERROR(__xludf.DUMMYFUNCTION("""COMPUTED_VALUE"""),"11-15")</f>
        <v>11-15</v>
      </c>
      <c r="G374" s="32"/>
      <c r="H374" s="35" t="str">
        <f>IFERROR(__xludf.DUMMYFUNCTION("""COMPUTED_VALUE"""),"16-20")</f>
        <v>16-20</v>
      </c>
      <c r="I374" s="32"/>
      <c r="J374" s="35" t="str">
        <f>IFERROR(__xludf.DUMMYFUNCTION("""COMPUTED_VALUE"""),"21-25")</f>
        <v>21-25</v>
      </c>
      <c r="K374" s="32"/>
      <c r="L374" s="32"/>
      <c r="M374" s="32"/>
      <c r="N374" s="32"/>
      <c r="O374" s="32"/>
      <c r="P374" s="32"/>
      <c r="Q374" s="32"/>
      <c r="R374" s="32"/>
      <c r="S374" s="32"/>
      <c r="T374" s="32"/>
      <c r="U374" s="32"/>
      <c r="V374" s="32"/>
      <c r="W374" s="32"/>
      <c r="X374" s="32"/>
    </row>
    <row r="375">
      <c r="A375" s="32" t="str">
        <f>IFERROR(__xludf.DUMMYFUNCTION("""COMPUTED_VALUE"""),"Lunarion, Faithful Hound of Imphigenia")</f>
        <v>Lunarion, Faithful Hound of Imphigenia</v>
      </c>
      <c r="B375" s="35" t="str">
        <f>IFERROR(__xludf.DUMMYFUNCTION("""COMPUTED_VALUE"""),"1-5")</f>
        <v>1-5</v>
      </c>
      <c r="C375" s="32" t="str">
        <f>IFERROR(__xludf.DUMMYFUNCTION("""COMPUTED_VALUE"""),"Soul")</f>
        <v>Soul</v>
      </c>
      <c r="D375" s="35" t="str">
        <f>IFERROR(__xludf.DUMMYFUNCTION("""COMPUTED_VALUE"""),"6-10")</f>
        <v>6-10</v>
      </c>
      <c r="E375" s="32"/>
      <c r="F375" s="35" t="str">
        <f>IFERROR(__xludf.DUMMYFUNCTION("""COMPUTED_VALUE"""),"11-15")</f>
        <v>11-15</v>
      </c>
      <c r="G375" s="32"/>
      <c r="H375" s="35" t="str">
        <f>IFERROR(__xludf.DUMMYFUNCTION("""COMPUTED_VALUE"""),"16-20")</f>
        <v>16-20</v>
      </c>
      <c r="I375" s="32"/>
      <c r="J375" s="35" t="str">
        <f>IFERROR(__xludf.DUMMYFUNCTION("""COMPUTED_VALUE"""),"21-25")</f>
        <v>21-25</v>
      </c>
      <c r="K375" s="32"/>
      <c r="L375" s="32"/>
      <c r="M375" s="32"/>
      <c r="N375" s="32"/>
      <c r="O375" s="32"/>
      <c r="P375" s="32"/>
      <c r="Q375" s="32"/>
      <c r="R375" s="32"/>
      <c r="S375" s="32"/>
      <c r="T375" s="32"/>
      <c r="U375" s="32"/>
      <c r="V375" s="32"/>
      <c r="W375" s="32"/>
      <c r="X375" s="32"/>
    </row>
    <row r="376">
      <c r="A376" s="32" t="str">
        <f>IFERROR(__xludf.DUMMYFUNCTION("""COMPUTED_VALUE"""),"Master Inugima Clone")</f>
        <v>Master Inugima Clone</v>
      </c>
      <c r="B376" s="35" t="str">
        <f>IFERROR(__xludf.DUMMYFUNCTION("""COMPUTED_VALUE"""),"1-5")</f>
        <v>1-5</v>
      </c>
      <c r="C376" s="32"/>
      <c r="D376" s="35" t="str">
        <f>IFERROR(__xludf.DUMMYFUNCTION("""COMPUTED_VALUE"""),"6-10")</f>
        <v>6-10</v>
      </c>
      <c r="E376" s="32"/>
      <c r="F376" s="35" t="str">
        <f>IFERROR(__xludf.DUMMYFUNCTION("""COMPUTED_VALUE"""),"11-15")</f>
        <v>11-15</v>
      </c>
      <c r="G376" s="32"/>
      <c r="H376" s="35" t="str">
        <f>IFERROR(__xludf.DUMMYFUNCTION("""COMPUTED_VALUE"""),"16-20")</f>
        <v>16-20</v>
      </c>
      <c r="I376" s="32"/>
      <c r="J376" s="35" t="str">
        <f>IFERROR(__xludf.DUMMYFUNCTION("""COMPUTED_VALUE"""),"21-25")</f>
        <v>21-25</v>
      </c>
      <c r="K376" s="32"/>
      <c r="L376" s="32"/>
      <c r="M376" s="32"/>
      <c r="N376" s="32"/>
      <c r="O376" s="32"/>
      <c r="P376" s="32"/>
      <c r="Q376" s="32"/>
      <c r="R376" s="32"/>
      <c r="S376" s="32"/>
      <c r="T376" s="32"/>
      <c r="U376" s="32"/>
      <c r="V376" s="32"/>
      <c r="W376" s="32"/>
      <c r="X376" s="32"/>
    </row>
    <row r="377">
      <c r="A377" s="32" t="str">
        <f>IFERROR(__xludf.DUMMYFUNCTION("""COMPUTED_VALUE"""),"The Harbingers of The Voidwoken (DragonScale)")</f>
        <v>The Harbingers of The Voidwoken (DragonScale)</v>
      </c>
      <c r="B377" s="35" t="str">
        <f>IFERROR(__xludf.DUMMYFUNCTION("""COMPUTED_VALUE"""),"1-5")</f>
        <v>1-5</v>
      </c>
      <c r="C377" s="32" t="str">
        <f>IFERROR(__xludf.DUMMYFUNCTION("""COMPUTED_VALUE"""),"Soul")</f>
        <v>Soul</v>
      </c>
      <c r="D377" s="35" t="str">
        <f>IFERROR(__xludf.DUMMYFUNCTION("""COMPUTED_VALUE"""),"6-10")</f>
        <v>6-10</v>
      </c>
      <c r="E377" s="32"/>
      <c r="F377" s="35" t="str">
        <f>IFERROR(__xludf.DUMMYFUNCTION("""COMPUTED_VALUE"""),"11-15")</f>
        <v>11-15</v>
      </c>
      <c r="G377" s="32"/>
      <c r="H377" s="35" t="str">
        <f>IFERROR(__xludf.DUMMYFUNCTION("""COMPUTED_VALUE"""),"16-20")</f>
        <v>16-20</v>
      </c>
      <c r="I377" s="32"/>
      <c r="J377" s="35" t="str">
        <f>IFERROR(__xludf.DUMMYFUNCTION("""COMPUTED_VALUE"""),"21-25")</f>
        <v>21-25</v>
      </c>
      <c r="K377" s="32"/>
      <c r="L377" s="32"/>
      <c r="M377" s="32"/>
      <c r="N377" s="32"/>
      <c r="O377" s="32"/>
      <c r="P377" s="32"/>
      <c r="Q377" s="32"/>
      <c r="R377" s="32"/>
      <c r="S377" s="32"/>
      <c r="T377" s="32"/>
      <c r="U377" s="32"/>
      <c r="V377" s="32"/>
      <c r="W377" s="32"/>
      <c r="X377" s="32"/>
    </row>
    <row r="378">
      <c r="A378" s="32" t="str">
        <f>IFERROR(__xludf.DUMMYFUNCTION("""COMPUTED_VALUE"""),"The Harbingers of The Voidwoken (Abstara)")</f>
        <v>The Harbingers of The Voidwoken (Abstara)</v>
      </c>
      <c r="B378" s="35" t="str">
        <f>IFERROR(__xludf.DUMMYFUNCTION("""COMPUTED_VALUE"""),"1-5")</f>
        <v>1-5</v>
      </c>
      <c r="C378" s="32" t="str">
        <f>IFERROR(__xludf.DUMMYFUNCTION("""COMPUTED_VALUE"""),"Soul")</f>
        <v>Soul</v>
      </c>
      <c r="D378" s="35" t="str">
        <f>IFERROR(__xludf.DUMMYFUNCTION("""COMPUTED_VALUE"""),"6-10")</f>
        <v>6-10</v>
      </c>
      <c r="E378" s="32"/>
      <c r="F378" s="35" t="str">
        <f>IFERROR(__xludf.DUMMYFUNCTION("""COMPUTED_VALUE"""),"11-15")</f>
        <v>11-15</v>
      </c>
      <c r="G378" s="32"/>
      <c r="H378" s="35" t="str">
        <f>IFERROR(__xludf.DUMMYFUNCTION("""COMPUTED_VALUE"""),"16-20")</f>
        <v>16-20</v>
      </c>
      <c r="I378" s="32"/>
      <c r="J378" s="35" t="str">
        <f>IFERROR(__xludf.DUMMYFUNCTION("""COMPUTED_VALUE"""),"21-25")</f>
        <v>21-25</v>
      </c>
      <c r="K378" s="32"/>
      <c r="L378" s="32"/>
      <c r="M378" s="32"/>
      <c r="N378" s="32"/>
      <c r="O378" s="32"/>
      <c r="P378" s="32"/>
      <c r="Q378" s="32"/>
      <c r="R378" s="32"/>
      <c r="S378" s="32"/>
      <c r="T378" s="32"/>
      <c r="U378" s="32"/>
      <c r="V378" s="32"/>
      <c r="W378" s="32"/>
      <c r="X378" s="32"/>
    </row>
    <row r="379">
      <c r="A379" s="32" t="str">
        <f>IFERROR(__xludf.DUMMYFUNCTION("""COMPUTED_VALUE"""),"The Harbingers of The Voidwoken (Solreach)")</f>
        <v>The Harbingers of The Voidwoken (Solreach)</v>
      </c>
      <c r="B379" s="35" t="str">
        <f>IFERROR(__xludf.DUMMYFUNCTION("""COMPUTED_VALUE"""),"1-5")</f>
        <v>1-5</v>
      </c>
      <c r="C379" s="32" t="str">
        <f>IFERROR(__xludf.DUMMYFUNCTION("""COMPUTED_VALUE"""),"Soul")</f>
        <v>Soul</v>
      </c>
      <c r="D379" s="35" t="str">
        <f>IFERROR(__xludf.DUMMYFUNCTION("""COMPUTED_VALUE"""),"6-10")</f>
        <v>6-10</v>
      </c>
      <c r="E379" s="32"/>
      <c r="F379" s="35" t="str">
        <f>IFERROR(__xludf.DUMMYFUNCTION("""COMPUTED_VALUE"""),"11-15")</f>
        <v>11-15</v>
      </c>
      <c r="G379" s="32"/>
      <c r="H379" s="35" t="str">
        <f>IFERROR(__xludf.DUMMYFUNCTION("""COMPUTED_VALUE"""),"16-20")</f>
        <v>16-20</v>
      </c>
      <c r="I379" s="32"/>
      <c r="J379" s="35" t="str">
        <f>IFERROR(__xludf.DUMMYFUNCTION("""COMPUTED_VALUE"""),"21-25")</f>
        <v>21-25</v>
      </c>
      <c r="K379" s="32"/>
      <c r="L379" s="32"/>
      <c r="M379" s="32"/>
      <c r="N379" s="32"/>
      <c r="O379" s="32"/>
      <c r="P379" s="32"/>
      <c r="Q379" s="32"/>
      <c r="R379" s="32"/>
      <c r="S379" s="32"/>
      <c r="T379" s="32"/>
      <c r="U379" s="32"/>
      <c r="V379" s="32"/>
      <c r="W379" s="32"/>
      <c r="X379" s="32"/>
    </row>
    <row r="380">
      <c r="A380" s="32" t="str">
        <f>IFERROR(__xludf.DUMMYFUNCTION("""COMPUTED_VALUE"""),"Forest Faery")</f>
        <v>Forest Faery</v>
      </c>
      <c r="B380" s="35" t="str">
        <f>IFERROR(__xludf.DUMMYFUNCTION("""COMPUTED_VALUE"""),"1-5")</f>
        <v>1-5</v>
      </c>
      <c r="C380" s="32" t="str">
        <f>IFERROR(__xludf.DUMMYFUNCTION("""COMPUTED_VALUE"""),"Soul")</f>
        <v>Soul</v>
      </c>
      <c r="D380" s="35" t="str">
        <f>IFERROR(__xludf.DUMMYFUNCTION("""COMPUTED_VALUE"""),"6-10")</f>
        <v>6-10</v>
      </c>
      <c r="E380" s="32"/>
      <c r="F380" s="35" t="str">
        <f>IFERROR(__xludf.DUMMYFUNCTION("""COMPUTED_VALUE"""),"11-15")</f>
        <v>11-15</v>
      </c>
      <c r="G380" s="32"/>
      <c r="H380" s="35" t="str">
        <f>IFERROR(__xludf.DUMMYFUNCTION("""COMPUTED_VALUE"""),"16-20")</f>
        <v>16-20</v>
      </c>
      <c r="I380" s="32"/>
      <c r="J380" s="35" t="str">
        <f>IFERROR(__xludf.DUMMYFUNCTION("""COMPUTED_VALUE"""),"21-25")</f>
        <v>21-25</v>
      </c>
      <c r="K380" s="32"/>
      <c r="L380" s="32"/>
      <c r="M380" s="32"/>
      <c r="N380" s="32"/>
      <c r="O380" s="32"/>
      <c r="P380" s="32"/>
      <c r="Q380" s="32"/>
      <c r="R380" s="32"/>
      <c r="S380" s="32"/>
      <c r="T380" s="32"/>
      <c r="U380" s="32"/>
      <c r="V380" s="32"/>
      <c r="W380" s="32"/>
      <c r="X380" s="32"/>
    </row>
    <row r="381">
      <c r="A381" s="32" t="str">
        <f>IFERROR(__xludf.DUMMYFUNCTION("""COMPUTED_VALUE"""),"Egg of The Faery King")</f>
        <v>Egg of The Faery King</v>
      </c>
      <c r="B381" s="35" t="str">
        <f>IFERROR(__xludf.DUMMYFUNCTION("""COMPUTED_VALUE"""),"1-5")</f>
        <v>1-5</v>
      </c>
      <c r="C381" s="32"/>
      <c r="D381" s="35" t="str">
        <f>IFERROR(__xludf.DUMMYFUNCTION("""COMPUTED_VALUE"""),"6-10")</f>
        <v>6-10</v>
      </c>
      <c r="E381" s="32"/>
      <c r="F381" s="35" t="str">
        <f>IFERROR(__xludf.DUMMYFUNCTION("""COMPUTED_VALUE"""),"11-15")</f>
        <v>11-15</v>
      </c>
      <c r="G381" s="32"/>
      <c r="H381" s="35" t="str">
        <f>IFERROR(__xludf.DUMMYFUNCTION("""COMPUTED_VALUE"""),"16-20")</f>
        <v>16-20</v>
      </c>
      <c r="I381" s="32"/>
      <c r="J381" s="35" t="str">
        <f>IFERROR(__xludf.DUMMYFUNCTION("""COMPUTED_VALUE"""),"21-25")</f>
        <v>21-25</v>
      </c>
      <c r="K381" s="32"/>
      <c r="L381" s="32"/>
      <c r="M381" s="32"/>
      <c r="N381" s="32"/>
      <c r="O381" s="32"/>
      <c r="P381" s="32"/>
      <c r="Q381" s="32"/>
      <c r="R381" s="32"/>
      <c r="S381" s="32"/>
      <c r="T381" s="32"/>
      <c r="U381" s="32"/>
      <c r="V381" s="32"/>
      <c r="W381" s="32"/>
      <c r="X381" s="32"/>
    </row>
    <row r="382">
      <c r="A382" s="32" t="str">
        <f>IFERROR(__xludf.DUMMYFUNCTION("""COMPUTED_VALUE"""),"Forest Golem")</f>
        <v>Forest Golem</v>
      </c>
      <c r="B382" s="35" t="str">
        <f>IFERROR(__xludf.DUMMYFUNCTION("""COMPUTED_VALUE"""),"1-5")</f>
        <v>1-5</v>
      </c>
      <c r="C382" s="32" t="str">
        <f>IFERROR(__xludf.DUMMYFUNCTION("""COMPUTED_VALUE"""),"Blessed Torch")</f>
        <v>Blessed Torch</v>
      </c>
      <c r="D382" s="35" t="str">
        <f>IFERROR(__xludf.DUMMYFUNCTION("""COMPUTED_VALUE"""),"6-10")</f>
        <v>6-10</v>
      </c>
      <c r="E382" s="32" t="str">
        <f>IFERROR(__xludf.DUMMYFUNCTION("""COMPUTED_VALUE"""),"1,000,000G-20,000,000G")</f>
        <v>1,000,000G-20,000,000G</v>
      </c>
      <c r="F382" s="35" t="str">
        <f>IFERROR(__xludf.DUMMYFUNCTION("""COMPUTED_VALUE"""),"11-15")</f>
        <v>11-15</v>
      </c>
      <c r="G382" s="32" t="str">
        <f>IFERROR(__xludf.DUMMYFUNCTION("""COMPUTED_VALUE"""),"Pebble of Fertility")</f>
        <v>Pebble of Fertility</v>
      </c>
      <c r="H382" s="35" t="str">
        <f>IFERROR(__xludf.DUMMYFUNCTION("""COMPUTED_VALUE"""),"16-20")</f>
        <v>16-20</v>
      </c>
      <c r="I382" s="32" t="str">
        <f>IFERROR(__xludf.DUMMYFUNCTION("""COMPUTED_VALUE"""),"Forest Faery Egg")</f>
        <v>Forest Faery Egg</v>
      </c>
      <c r="J382" s="35" t="str">
        <f>IFERROR(__xludf.DUMMYFUNCTION("""COMPUTED_VALUE"""),"21-25")</f>
        <v>21-25</v>
      </c>
      <c r="K382" s="32" t="str">
        <f>IFERROR(__xludf.DUMMYFUNCTION("""COMPUTED_VALUE"""),"Nothing")</f>
        <v>Nothing</v>
      </c>
      <c r="L382" s="32"/>
      <c r="M382" s="32"/>
      <c r="N382" s="32"/>
      <c r="O382" s="32"/>
      <c r="P382" s="32"/>
      <c r="Q382" s="32"/>
      <c r="R382" s="32"/>
      <c r="S382" s="32"/>
      <c r="T382" s="32"/>
      <c r="U382" s="32"/>
      <c r="V382" s="32"/>
      <c r="W382" s="32"/>
      <c r="X382" s="32"/>
    </row>
    <row r="383">
      <c r="A383" s="32" t="str">
        <f>IFERROR(__xludf.DUMMYFUNCTION("""COMPUTED_VALUE"""),"Oberon The Faery King ")</f>
        <v>Oberon The Faery King </v>
      </c>
      <c r="B383" s="35" t="str">
        <f>IFERROR(__xludf.DUMMYFUNCTION("""COMPUTED_VALUE"""),"1-5")</f>
        <v>1-5</v>
      </c>
      <c r="C383" s="32" t="str">
        <f>IFERROR(__xludf.DUMMYFUNCTION("""COMPUTED_VALUE"""),"Faery Kings Sword")</f>
        <v>Faery Kings Sword</v>
      </c>
      <c r="D383" s="35" t="str">
        <f>IFERROR(__xludf.DUMMYFUNCTION("""COMPUTED_VALUE"""),"6-10")</f>
        <v>6-10</v>
      </c>
      <c r="E383" s="32" t="str">
        <f>IFERROR(__xludf.DUMMYFUNCTION("""COMPUTED_VALUE"""),"Nature Faery Wand")</f>
        <v>Nature Faery Wand</v>
      </c>
      <c r="F383" s="35" t="str">
        <f>IFERROR(__xludf.DUMMYFUNCTION("""COMPUTED_VALUE"""),"11-15")</f>
        <v>11-15</v>
      </c>
      <c r="G383" s="32" t="str">
        <f>IFERROR(__xludf.DUMMYFUNCTION("""COMPUTED_VALUE"""),"500,000,000G-1,000,000,000G")</f>
        <v>500,000,000G-1,000,000,000G</v>
      </c>
      <c r="H383" s="35" t="str">
        <f>IFERROR(__xludf.DUMMYFUNCTION("""COMPUTED_VALUE"""),"16-20")</f>
        <v>16-20</v>
      </c>
      <c r="I383" s="32" t="str">
        <f>IFERROR(__xludf.DUMMYFUNCTION("""COMPUTED_VALUE"""),"80,000,000G-100,000,000G")</f>
        <v>80,000,000G-100,000,000G</v>
      </c>
      <c r="J383" s="35" t="str">
        <f>IFERROR(__xludf.DUMMYFUNCTION("""COMPUTED_VALUE"""),"21-25")</f>
        <v>21-25</v>
      </c>
      <c r="K383" s="32" t="str">
        <f>IFERROR(__xludf.DUMMYFUNCTION("""COMPUTED_VALUE"""),"Soul")</f>
        <v>Soul</v>
      </c>
      <c r="L383" s="32"/>
      <c r="M383" s="32"/>
      <c r="N383" s="32"/>
      <c r="O383" s="32"/>
      <c r="P383" s="32"/>
      <c r="Q383" s="32"/>
      <c r="R383" s="32"/>
      <c r="S383" s="32"/>
      <c r="T383" s="32"/>
      <c r="U383" s="32"/>
      <c r="V383" s="32"/>
      <c r="W383" s="32"/>
      <c r="X383" s="32"/>
    </row>
    <row r="384">
      <c r="A384" s="32" t="str">
        <f>IFERROR(__xludf.DUMMYFUNCTION("""COMPUTED_VALUE"""),"Salamander, King Of The Fire Elementals")</f>
        <v>Salamander, King Of The Fire Elementals</v>
      </c>
      <c r="B384" s="35" t="str">
        <f>IFERROR(__xludf.DUMMYFUNCTION("""COMPUTED_VALUE"""),"1-5")</f>
        <v>1-5</v>
      </c>
      <c r="C384" s="32" t="str">
        <f>IFERROR(__xludf.DUMMYFUNCTION("""COMPUTED_VALUE"""),"Soul")</f>
        <v>Soul</v>
      </c>
      <c r="D384" s="35" t="str">
        <f>IFERROR(__xludf.DUMMYFUNCTION("""COMPUTED_VALUE"""),"6-10")</f>
        <v>6-10</v>
      </c>
      <c r="E384" s="32"/>
      <c r="F384" s="35" t="str">
        <f>IFERROR(__xludf.DUMMYFUNCTION("""COMPUTED_VALUE"""),"11-15")</f>
        <v>11-15</v>
      </c>
      <c r="G384" s="32"/>
      <c r="H384" s="35" t="str">
        <f>IFERROR(__xludf.DUMMYFUNCTION("""COMPUTED_VALUE"""),"16-20")</f>
        <v>16-20</v>
      </c>
      <c r="I384" s="32"/>
      <c r="J384" s="35" t="str">
        <f>IFERROR(__xludf.DUMMYFUNCTION("""COMPUTED_VALUE"""),"21-25")</f>
        <v>21-25</v>
      </c>
      <c r="K384" s="32"/>
      <c r="L384" s="32"/>
      <c r="M384" s="32"/>
      <c r="N384" s="32"/>
      <c r="O384" s="32"/>
      <c r="P384" s="32"/>
      <c r="Q384" s="32"/>
      <c r="R384" s="32"/>
      <c r="S384" s="32"/>
      <c r="T384" s="32"/>
      <c r="U384" s="32"/>
      <c r="V384" s="32"/>
      <c r="W384" s="32"/>
      <c r="X384" s="32"/>
    </row>
    <row r="385">
      <c r="A385" s="32" t="str">
        <f>IFERROR(__xludf.DUMMYFUNCTION("""COMPUTED_VALUE"""),"Beast of Gévaudan")</f>
        <v>Beast of Gévaudan</v>
      </c>
      <c r="B385" s="35" t="str">
        <f>IFERROR(__xludf.DUMMYFUNCTION("""COMPUTED_VALUE"""),"1-5")</f>
        <v>1-5</v>
      </c>
      <c r="C385" s="32" t="str">
        <f>IFERROR(__xludf.DUMMYFUNCTION("""COMPUTED_VALUE"""),"Soul")</f>
        <v>Soul</v>
      </c>
      <c r="D385" s="35" t="str">
        <f>IFERROR(__xludf.DUMMYFUNCTION("""COMPUTED_VALUE"""),"6-10")</f>
        <v>6-10</v>
      </c>
      <c r="E385" s="32" t="str">
        <f>IFERROR(__xludf.DUMMYFUNCTION("""COMPUTED_VALUE"""),"Wolf Tooth Neclace")</f>
        <v>Wolf Tooth Neclace</v>
      </c>
      <c r="F385" s="35" t="str">
        <f>IFERROR(__xludf.DUMMYFUNCTION("""COMPUTED_VALUE"""),"11-15")</f>
        <v>11-15</v>
      </c>
      <c r="G385" s="32" t="str">
        <f>IFERROR(__xludf.DUMMYFUNCTION("""COMPUTED_VALUE"""),"500,000G-1,000,000G")</f>
        <v>500,000G-1,000,000G</v>
      </c>
      <c r="H385" s="35" t="str">
        <f>IFERROR(__xludf.DUMMYFUNCTION("""COMPUTED_VALUE"""),"16-20")</f>
        <v>16-20</v>
      </c>
      <c r="I385" s="32" t="str">
        <f>IFERROR(__xludf.DUMMYFUNCTION("""COMPUTED_VALUE"""),"The Cloak of Gévaudan")</f>
        <v>The Cloak of Gévaudan</v>
      </c>
      <c r="J385" s="35" t="str">
        <f>IFERROR(__xludf.DUMMYFUNCTION("""COMPUTED_VALUE"""),"21-25")</f>
        <v>21-25</v>
      </c>
      <c r="K385" s="32" t="str">
        <f>IFERROR(__xludf.DUMMYFUNCTION("""COMPUTED_VALUE"""),"Nothing")</f>
        <v>Nothing</v>
      </c>
      <c r="L385" s="32"/>
      <c r="M385" s="32"/>
      <c r="N385" s="32"/>
      <c r="O385" s="32"/>
      <c r="P385" s="32"/>
      <c r="Q385" s="32"/>
      <c r="R385" s="32"/>
      <c r="S385" s="32"/>
      <c r="T385" s="32"/>
      <c r="U385" s="32"/>
      <c r="V385" s="32"/>
      <c r="W385" s="32"/>
      <c r="X385" s="32"/>
    </row>
    <row r="386">
      <c r="A386" s="32" t="str">
        <f>IFERROR(__xludf.DUMMYFUNCTION("""COMPUTED_VALUE"""),"Cargo Ship")</f>
        <v>Cargo Ship</v>
      </c>
      <c r="B386" s="35" t="str">
        <f>IFERROR(__xludf.DUMMYFUNCTION("""COMPUTED_VALUE"""),"1-5")</f>
        <v>1-5</v>
      </c>
      <c r="C386" s="32" t="str">
        <f>IFERROR(__xludf.DUMMYFUNCTION("""COMPUTED_VALUE"""),"Standard Missile")</f>
        <v>Standard Missile</v>
      </c>
      <c r="D386" s="35" t="str">
        <f>IFERROR(__xludf.DUMMYFUNCTION("""COMPUTED_VALUE"""),"6-10")</f>
        <v>6-10</v>
      </c>
      <c r="E386" s="32" t="str">
        <f>IFERROR(__xludf.DUMMYFUNCTION("""COMPUTED_VALUE"""),"EMP Missile")</f>
        <v>EMP Missile</v>
      </c>
      <c r="F386" s="35" t="str">
        <f>IFERROR(__xludf.DUMMYFUNCTION("""COMPUTED_VALUE"""),"11-15")</f>
        <v>11-15</v>
      </c>
      <c r="G386" s="32" t="str">
        <f>IFERROR(__xludf.DUMMYFUNCTION("""COMPUTED_VALUE"""),"Nuclear Missile")</f>
        <v>Nuclear Missile</v>
      </c>
      <c r="H386" s="35" t="str">
        <f>IFERROR(__xludf.DUMMYFUNCTION("""COMPUTED_VALUE"""),"16-20")</f>
        <v>16-20</v>
      </c>
      <c r="I386" s="32" t="str">
        <f>IFERROR(__xludf.DUMMYFUNCTION("""COMPUTED_VALUE"""),"Treasure Chest Key (Non-Magical)")</f>
        <v>Treasure Chest Key (Non-Magical)</v>
      </c>
      <c r="J386" s="35" t="str">
        <f>IFERROR(__xludf.DUMMYFUNCTION("""COMPUTED_VALUE"""),"21-25")</f>
        <v>21-25</v>
      </c>
      <c r="K386" s="32" t="str">
        <f>IFERROR(__xludf.DUMMYFUNCTION("""COMPUTED_VALUE"""),"Tier 3 Treasure Chest (Non-Magical)")</f>
        <v>Tier 3 Treasure Chest (Non-Magical)</v>
      </c>
      <c r="L386" s="32"/>
      <c r="M386" s="32"/>
      <c r="N386" s="32"/>
      <c r="O386" s="32"/>
      <c r="P386" s="32"/>
      <c r="Q386" s="32"/>
      <c r="R386" s="32"/>
      <c r="S386" s="32"/>
      <c r="T386" s="32"/>
      <c r="U386" s="32"/>
      <c r="V386" s="32"/>
      <c r="W386" s="32"/>
      <c r="X386" s="32"/>
    </row>
    <row r="387">
      <c r="A387" s="32" t="str">
        <f>IFERROR(__xludf.DUMMYFUNCTION("""COMPUTED_VALUE"""),"Ghost Ship")</f>
        <v>Ghost Ship</v>
      </c>
      <c r="B387" s="35" t="str">
        <f>IFERROR(__xludf.DUMMYFUNCTION("""COMPUTED_VALUE"""),"1-5")</f>
        <v>1-5</v>
      </c>
      <c r="C387" s="32" t="str">
        <f>IFERROR(__xludf.DUMMYFUNCTION("""COMPUTED_VALUE"""),"Cannon Ball")</f>
        <v>Cannon Ball</v>
      </c>
      <c r="D387" s="35" t="str">
        <f>IFERROR(__xludf.DUMMYFUNCTION("""COMPUTED_VALUE"""),"6-10")</f>
        <v>6-10</v>
      </c>
      <c r="E387" s="32" t="str">
        <f>IFERROR(__xludf.DUMMYFUNCTION("""COMPUTED_VALUE"""),"Spectral Bullet")</f>
        <v>Spectral Bullet</v>
      </c>
      <c r="F387" s="35" t="str">
        <f>IFERROR(__xludf.DUMMYFUNCTION("""COMPUTED_VALUE"""),"11-15")</f>
        <v>11-15</v>
      </c>
      <c r="G387" s="32" t="str">
        <f>IFERROR(__xludf.DUMMYFUNCTION("""COMPUTED_VALUE"""),"500,000G-1,000,000G")</f>
        <v>500,000G-1,000,000G</v>
      </c>
      <c r="H387" s="35" t="str">
        <f>IFERROR(__xludf.DUMMYFUNCTION("""COMPUTED_VALUE"""),"16-20")</f>
        <v>16-20</v>
      </c>
      <c r="I387" s="32" t="str">
        <f>IFERROR(__xludf.DUMMYFUNCTION("""COMPUTED_VALUE"""),"Treasure Chest Key (Non-Magical)")</f>
        <v>Treasure Chest Key (Non-Magical)</v>
      </c>
      <c r="J387" s="35" t="str">
        <f>IFERROR(__xludf.DUMMYFUNCTION("""COMPUTED_VALUE"""),"21-25")</f>
        <v>21-25</v>
      </c>
      <c r="K387" s="32" t="str">
        <f>IFERROR(__xludf.DUMMYFUNCTION("""COMPUTED_VALUE"""),"Tier 2 Treasure Chest (Non-Magical)")</f>
        <v>Tier 2 Treasure Chest (Non-Magical)</v>
      </c>
      <c r="L387" s="32"/>
      <c r="M387" s="32"/>
      <c r="N387" s="32"/>
      <c r="O387" s="32"/>
      <c r="P387" s="32"/>
      <c r="Q387" s="32"/>
      <c r="R387" s="32"/>
      <c r="S387" s="32"/>
      <c r="T387" s="32"/>
      <c r="U387" s="32"/>
      <c r="V387" s="32"/>
      <c r="W387" s="32"/>
      <c r="X387" s="32"/>
    </row>
    <row r="388">
      <c r="A388" s="32" t="str">
        <f>IFERROR(__xludf.DUMMYFUNCTION("""COMPUTED_VALUE"""),"Brigantine")</f>
        <v>Brigantine</v>
      </c>
      <c r="B388" s="35" t="str">
        <f>IFERROR(__xludf.DUMMYFUNCTION("""COMPUTED_VALUE"""),"1-5")</f>
        <v>1-5</v>
      </c>
      <c r="C388" s="32" t="str">
        <f>IFERROR(__xludf.DUMMYFUNCTION("""COMPUTED_VALUE"""),"Tier 2 Treasure Chest (Non-Magical)")</f>
        <v>Tier 2 Treasure Chest (Non-Magical)</v>
      </c>
      <c r="D388" s="35" t="str">
        <f>IFERROR(__xludf.DUMMYFUNCTION("""COMPUTED_VALUE"""),"6-10")</f>
        <v>6-10</v>
      </c>
      <c r="E388" s="32" t="str">
        <f>IFERROR(__xludf.DUMMYFUNCTION("""COMPUTED_VALUE"""),"Treasure Chest Key (Non-Magical)")</f>
        <v>Treasure Chest Key (Non-Magical)</v>
      </c>
      <c r="F388" s="35" t="str">
        <f>IFERROR(__xludf.DUMMYFUNCTION("""COMPUTED_VALUE"""),"11-15")</f>
        <v>11-15</v>
      </c>
      <c r="G388" s="32" t="str">
        <f>IFERROR(__xludf.DUMMYFUNCTION("""COMPUTED_VALUE"""),"1,000,000G-20,000,000G")</f>
        <v>1,000,000G-20,000,000G</v>
      </c>
      <c r="H388" s="35" t="str">
        <f>IFERROR(__xludf.DUMMYFUNCTION("""COMPUTED_VALUE"""),"16-20")</f>
        <v>16-20</v>
      </c>
      <c r="I388" s="32" t="str">
        <f>IFERROR(__xludf.DUMMYFUNCTION("""COMPUTED_VALUE"""),"Cannon Ball")</f>
        <v>Cannon Ball</v>
      </c>
      <c r="J388" s="35" t="str">
        <f>IFERROR(__xludf.DUMMYFUNCTION("""COMPUTED_VALUE"""),"21-25")</f>
        <v>21-25</v>
      </c>
      <c r="K388" s="32" t="str">
        <f>IFERROR(__xludf.DUMMYFUNCTION("""COMPUTED_VALUE"""),"Cannon Ball")</f>
        <v>Cannon Ball</v>
      </c>
      <c r="L388" s="32"/>
      <c r="M388" s="32"/>
      <c r="N388" s="32"/>
      <c r="O388" s="32"/>
      <c r="P388" s="32"/>
      <c r="Q388" s="32"/>
      <c r="R388" s="32"/>
      <c r="S388" s="32"/>
      <c r="T388" s="32"/>
      <c r="U388" s="32"/>
      <c r="V388" s="32"/>
      <c r="W388" s="32"/>
      <c r="X388" s="32"/>
    </row>
    <row r="389">
      <c r="A389" s="32" t="str">
        <f>IFERROR(__xludf.DUMMYFUNCTION("""COMPUTED_VALUE"""),"Sloop")</f>
        <v>Sloop</v>
      </c>
      <c r="B389" s="35" t="str">
        <f>IFERROR(__xludf.DUMMYFUNCTION("""COMPUTED_VALUE"""),"1-5")</f>
        <v>1-5</v>
      </c>
      <c r="C389" s="32" t="str">
        <f>IFERROR(__xludf.DUMMYFUNCTION("""COMPUTED_VALUE"""),"Tier 1 Treasure Chest (Non-Magical)")</f>
        <v>Tier 1 Treasure Chest (Non-Magical)</v>
      </c>
      <c r="D389" s="35" t="str">
        <f>IFERROR(__xludf.DUMMYFUNCTION("""COMPUTED_VALUE"""),"6-10")</f>
        <v>6-10</v>
      </c>
      <c r="E389" s="32" t="str">
        <f>IFERROR(__xludf.DUMMYFUNCTION("""COMPUTED_VALUE"""),"Treasure Chest Key (Non-Magical)")</f>
        <v>Treasure Chest Key (Non-Magical)</v>
      </c>
      <c r="F389" s="35" t="str">
        <f>IFERROR(__xludf.DUMMYFUNCTION("""COMPUTED_VALUE"""),"11-15")</f>
        <v>11-15</v>
      </c>
      <c r="G389" s="32" t="str">
        <f>IFERROR(__xludf.DUMMYFUNCTION("""COMPUTED_VALUE"""),"20,000,000G-40,000,000G")</f>
        <v>20,000,000G-40,000,000G</v>
      </c>
      <c r="H389" s="35" t="str">
        <f>IFERROR(__xludf.DUMMYFUNCTION("""COMPUTED_VALUE"""),"16-20")</f>
        <v>16-20</v>
      </c>
      <c r="I389" s="32" t="str">
        <f>IFERROR(__xludf.DUMMYFUNCTION("""COMPUTED_VALUE"""),"Cannon Ball")</f>
        <v>Cannon Ball</v>
      </c>
      <c r="J389" s="35" t="str">
        <f>IFERROR(__xludf.DUMMYFUNCTION("""COMPUTED_VALUE"""),"21-25")</f>
        <v>21-25</v>
      </c>
      <c r="K389" s="32" t="str">
        <f>IFERROR(__xludf.DUMMYFUNCTION("""COMPUTED_VALUE"""),"Cannon Ball")</f>
        <v>Cannon Ball</v>
      </c>
      <c r="L389" s="32"/>
      <c r="M389" s="32"/>
      <c r="N389" s="32"/>
      <c r="O389" s="32"/>
      <c r="P389" s="32"/>
      <c r="Q389" s="32"/>
      <c r="R389" s="32"/>
      <c r="S389" s="32"/>
      <c r="T389" s="32"/>
      <c r="U389" s="32"/>
      <c r="V389" s="32"/>
      <c r="W389" s="32"/>
      <c r="X389" s="32"/>
    </row>
    <row r="390">
      <c r="A390" s="32" t="str">
        <f>IFERROR(__xludf.DUMMYFUNCTION("""COMPUTED_VALUE"""),"Aircraft Carrier")</f>
        <v>Aircraft Carrier</v>
      </c>
      <c r="B390" s="35" t="str">
        <f>IFERROR(__xludf.DUMMYFUNCTION("""COMPUTED_VALUE"""),"1-5")</f>
        <v>1-5</v>
      </c>
      <c r="C390" s="32" t="str">
        <f>IFERROR(__xludf.DUMMYFUNCTION("""COMPUTED_VALUE"""),"Tier 3 Treasure Chest (Non-Magical)")</f>
        <v>Tier 3 Treasure Chest (Non-Magical)</v>
      </c>
      <c r="D390" s="35" t="str">
        <f>IFERROR(__xludf.DUMMYFUNCTION("""COMPUTED_VALUE"""),"6-10")</f>
        <v>6-10</v>
      </c>
      <c r="E390" s="32" t="str">
        <f>IFERROR(__xludf.DUMMYFUNCTION("""COMPUTED_VALUE"""),"Treasure Chest Key (Non-Magical)")</f>
        <v>Treasure Chest Key (Non-Magical)</v>
      </c>
      <c r="F390" s="35" t="str">
        <f>IFERROR(__xludf.DUMMYFUNCTION("""COMPUTED_VALUE"""),"11-15")</f>
        <v>11-15</v>
      </c>
      <c r="G390" s="32" t="str">
        <f>IFERROR(__xludf.DUMMYFUNCTION("""COMPUTED_VALUE"""),"80,000,000G-100,000,000G")</f>
        <v>80,000,000G-100,000,000G</v>
      </c>
      <c r="H390" s="35" t="str">
        <f>IFERROR(__xludf.DUMMYFUNCTION("""COMPUTED_VALUE"""),"16-20")</f>
        <v>16-20</v>
      </c>
      <c r="I390" s="32" t="str">
        <f>IFERROR(__xludf.DUMMYFUNCTION("""COMPUTED_VALUE"""),"Standard Missile")</f>
        <v>Standard Missile</v>
      </c>
      <c r="J390" s="35" t="str">
        <f>IFERROR(__xludf.DUMMYFUNCTION("""COMPUTED_VALUE"""),"21-25")</f>
        <v>21-25</v>
      </c>
      <c r="K390" s="32" t="str">
        <f>IFERROR(__xludf.DUMMYFUNCTION("""COMPUTED_VALUE"""),"Standard Missile")</f>
        <v>Standard Missile</v>
      </c>
      <c r="L390" s="32"/>
      <c r="M390" s="32"/>
      <c r="N390" s="32"/>
      <c r="O390" s="32"/>
      <c r="P390" s="32"/>
      <c r="Q390" s="32"/>
      <c r="R390" s="32"/>
      <c r="S390" s="32"/>
      <c r="T390" s="32"/>
      <c r="U390" s="32"/>
      <c r="V390" s="32"/>
      <c r="W390" s="32"/>
      <c r="X390" s="32"/>
    </row>
    <row r="391">
      <c r="A391" s="32" t="str">
        <f>IFERROR(__xludf.DUMMYFUNCTION("""COMPUTED_VALUE"""),"Ancient Wood Dragon")</f>
        <v>Ancient Wood Dragon</v>
      </c>
      <c r="B391" s="35" t="str">
        <f>IFERROR(__xludf.DUMMYFUNCTION("""COMPUTED_VALUE"""),"1-5")</f>
        <v>1-5</v>
      </c>
      <c r="C391" s="32" t="str">
        <f>IFERROR(__xludf.DUMMYFUNCTION("""COMPUTED_VALUE"""),"Stick of Mystery ")</f>
        <v>Stick of Mystery </v>
      </c>
      <c r="D391" s="35" t="str">
        <f>IFERROR(__xludf.DUMMYFUNCTION("""COMPUTED_VALUE"""),"6-10")</f>
        <v>6-10</v>
      </c>
      <c r="E391" s="32" t="str">
        <f>IFERROR(__xludf.DUMMYFUNCTION("""COMPUTED_VALUE"""),"The Stick of the Panda")</f>
        <v>The Stick of the Panda</v>
      </c>
      <c r="F391" s="35" t="str">
        <f>IFERROR(__xludf.DUMMYFUNCTION("""COMPUTED_VALUE"""),"11-15")</f>
        <v>11-15</v>
      </c>
      <c r="G391" s="32" t="str">
        <f>IFERROR(__xludf.DUMMYFUNCTION("""COMPUTED_VALUE"""),"Common Tree Branch")</f>
        <v>Common Tree Branch</v>
      </c>
      <c r="H391" s="35" t="str">
        <f>IFERROR(__xludf.DUMMYFUNCTION("""COMPUTED_VALUE"""),"16-20")</f>
        <v>16-20</v>
      </c>
      <c r="I391" s="32" t="str">
        <f>IFERROR(__xludf.DUMMYFUNCTION("""COMPUTED_VALUE"""),"Uncommon Tree branch")</f>
        <v>Uncommon Tree branch</v>
      </c>
      <c r="J391" s="35" t="str">
        <f>IFERROR(__xludf.DUMMYFUNCTION("""COMPUTED_VALUE"""),"21-25")</f>
        <v>21-25</v>
      </c>
      <c r="K391" s="32" t="str">
        <f>IFERROR(__xludf.DUMMYFUNCTION("""COMPUTED_VALUE"""),"Dead Forest Branch")</f>
        <v>Dead Forest Branch</v>
      </c>
      <c r="L391" s="32"/>
      <c r="M391" s="32"/>
      <c r="N391" s="32"/>
      <c r="O391" s="32"/>
      <c r="P391" s="32"/>
      <c r="Q391" s="32"/>
      <c r="R391" s="32"/>
      <c r="S391" s="32"/>
      <c r="T391" s="32"/>
      <c r="U391" s="32"/>
      <c r="V391" s="32"/>
      <c r="W391" s="32"/>
      <c r="X391" s="32"/>
    </row>
    <row r="392">
      <c r="A392" s="32" t="str">
        <f>IFERROR(__xludf.DUMMYFUNCTION("""COMPUTED_VALUE"""),"Elder Acid Dragon")</f>
        <v>Elder Acid Dragon</v>
      </c>
      <c r="B392" s="35" t="str">
        <f>IFERROR(__xludf.DUMMYFUNCTION("""COMPUTED_VALUE"""),"1-5")</f>
        <v>1-5</v>
      </c>
      <c r="C392" s="32" t="str">
        <f>IFERROR(__xludf.DUMMYFUNCTION("""COMPUTED_VALUE"""),"Poison Dart Gun")</f>
        <v>Poison Dart Gun</v>
      </c>
      <c r="D392" s="35" t="str">
        <f>IFERROR(__xludf.DUMMYFUNCTION("""COMPUTED_VALUE"""),"6-10")</f>
        <v>6-10</v>
      </c>
      <c r="E392" s="32" t="str">
        <f>IFERROR(__xludf.DUMMYFUNCTION("""COMPUTED_VALUE"""),"Poison Tipped Needle")</f>
        <v>Poison Tipped Needle</v>
      </c>
      <c r="F392" s="35" t="str">
        <f>IFERROR(__xludf.DUMMYFUNCTION("""COMPUTED_VALUE"""),"11-15")</f>
        <v>11-15</v>
      </c>
      <c r="G392" s="32" t="str">
        <f>IFERROR(__xludf.DUMMYFUNCTION("""COMPUTED_VALUE"""),"Dragon's Skull")</f>
        <v>Dragon's Skull</v>
      </c>
      <c r="H392" s="35" t="str">
        <f>IFERROR(__xludf.DUMMYFUNCTION("""COMPUTED_VALUE"""),"16-20")</f>
        <v>16-20</v>
      </c>
      <c r="I392" s="32" t="str">
        <f>IFERROR(__xludf.DUMMYFUNCTION("""COMPUTED_VALUE"""),"Broken Sword")</f>
        <v>Broken Sword</v>
      </c>
      <c r="J392" s="35" t="str">
        <f>IFERROR(__xludf.DUMMYFUNCTION("""COMPUTED_VALUE"""),"21-25")</f>
        <v>21-25</v>
      </c>
      <c r="K392" s="32" t="str">
        <f>IFERROR(__xludf.DUMMYFUNCTION("""COMPUTED_VALUE"""),"Nothing")</f>
        <v>Nothing</v>
      </c>
      <c r="L392" s="32"/>
      <c r="M392" s="32"/>
      <c r="N392" s="32"/>
      <c r="O392" s="32"/>
      <c r="P392" s="32"/>
      <c r="Q392" s="32"/>
      <c r="R392" s="32"/>
      <c r="S392" s="32"/>
      <c r="T392" s="32"/>
      <c r="U392" s="32"/>
      <c r="V392" s="32"/>
      <c r="W392" s="32"/>
      <c r="X392" s="32"/>
    </row>
    <row r="393">
      <c r="A393" s="32" t="str">
        <f>IFERROR(__xludf.DUMMYFUNCTION("""COMPUTED_VALUE"""),"Elder Water Dragon")</f>
        <v>Elder Water Dragon</v>
      </c>
      <c r="B393" s="35" t="str">
        <f>IFERROR(__xludf.DUMMYFUNCTION("""COMPUTED_VALUE"""),"1-5")</f>
        <v>1-5</v>
      </c>
      <c r="C393" s="32" t="str">
        <f>IFERROR(__xludf.DUMMYFUNCTION("""COMPUTED_VALUE"""),"Nothing")</f>
        <v>Nothing</v>
      </c>
      <c r="D393" s="35" t="str">
        <f>IFERROR(__xludf.DUMMYFUNCTION("""COMPUTED_VALUE"""),"6-10")</f>
        <v>6-10</v>
      </c>
      <c r="E393" s="32" t="str">
        <f>IFERROR(__xludf.DUMMYFUNCTION("""COMPUTED_VALUE"""),"Dragonscale Cape")</f>
        <v>Dragonscale Cape</v>
      </c>
      <c r="F393" s="35" t="str">
        <f>IFERROR(__xludf.DUMMYFUNCTION("""COMPUTED_VALUE"""),"11-15")</f>
        <v>11-15</v>
      </c>
      <c r="G393" s="32" t="str">
        <f>IFERROR(__xludf.DUMMYFUNCTION("""COMPUTED_VALUE"""),"Fossilized Water Dragon Bones")</f>
        <v>Fossilized Water Dragon Bones</v>
      </c>
      <c r="H393" s="35" t="str">
        <f>IFERROR(__xludf.DUMMYFUNCTION("""COMPUTED_VALUE"""),"16-20")</f>
        <v>16-20</v>
      </c>
      <c r="I393" s="32" t="str">
        <f>IFERROR(__xludf.DUMMYFUNCTION("""COMPUTED_VALUE"""),"Nothing")</f>
        <v>Nothing</v>
      </c>
      <c r="J393" s="35" t="str">
        <f>IFERROR(__xludf.DUMMYFUNCTION("""COMPUTED_VALUE"""),"21-25")</f>
        <v>21-25</v>
      </c>
      <c r="K393" s="32" t="str">
        <f>IFERROR(__xludf.DUMMYFUNCTION("""COMPUTED_VALUE"""),"Soul")</f>
        <v>Soul</v>
      </c>
      <c r="L393" s="32"/>
      <c r="M393" s="32"/>
      <c r="N393" s="32"/>
      <c r="O393" s="32"/>
      <c r="P393" s="32"/>
      <c r="Q393" s="32"/>
      <c r="R393" s="32"/>
      <c r="S393" s="32"/>
      <c r="T393" s="32"/>
      <c r="U393" s="32"/>
      <c r="V393" s="32"/>
      <c r="W393" s="32"/>
      <c r="X393" s="32"/>
    </row>
    <row r="394">
      <c r="A394" s="32" t="str">
        <f>IFERROR(__xludf.DUMMYFUNCTION("""COMPUTED_VALUE"""),"Elder Astral Dragon")</f>
        <v>Elder Astral Dragon</v>
      </c>
      <c r="B394" s="35" t="str">
        <f>IFERROR(__xludf.DUMMYFUNCTION("""COMPUTED_VALUE"""),"1-5")</f>
        <v>1-5</v>
      </c>
      <c r="C394" s="32" t="str">
        <f>IFERROR(__xludf.DUMMYFUNCTION("""COMPUTED_VALUE"""),"Old Knife")</f>
        <v>Old Knife</v>
      </c>
      <c r="D394" s="35" t="str">
        <f>IFERROR(__xludf.DUMMYFUNCTION("""COMPUTED_VALUE"""),"6-10")</f>
        <v>6-10</v>
      </c>
      <c r="E394" s="32" t="str">
        <f>IFERROR(__xludf.DUMMYFUNCTION("""COMPUTED_VALUE"""),"60,000,000G-80,000,000G")</f>
        <v>60,000,000G-80,000,000G</v>
      </c>
      <c r="F394" s="35" t="str">
        <f>IFERROR(__xludf.DUMMYFUNCTION("""COMPUTED_VALUE"""),"11-15")</f>
        <v>11-15</v>
      </c>
      <c r="G394" s="32" t="str">
        <f>IFERROR(__xludf.DUMMYFUNCTION("""COMPUTED_VALUE"""),"Nothing")</f>
        <v>Nothing</v>
      </c>
      <c r="H394" s="35" t="str">
        <f>IFERROR(__xludf.DUMMYFUNCTION("""COMPUTED_VALUE"""),"16-20")</f>
        <v>16-20</v>
      </c>
      <c r="I394" s="32" t="str">
        <f>IFERROR(__xludf.DUMMYFUNCTION("""COMPUTED_VALUE"""),"Soul")</f>
        <v>Soul</v>
      </c>
      <c r="J394" s="35" t="str">
        <f>IFERROR(__xludf.DUMMYFUNCTION("""COMPUTED_VALUE"""),"21-25")</f>
        <v>21-25</v>
      </c>
      <c r="K394" s="32" t="str">
        <f>IFERROR(__xludf.DUMMYFUNCTION("""COMPUTED_VALUE"""),"Nothing")</f>
        <v>Nothing</v>
      </c>
      <c r="L394" s="32"/>
      <c r="M394" s="32"/>
      <c r="N394" s="32"/>
      <c r="O394" s="32"/>
      <c r="P394" s="32"/>
      <c r="Q394" s="32"/>
      <c r="R394" s="32"/>
      <c r="S394" s="32"/>
      <c r="T394" s="32"/>
      <c r="U394" s="32"/>
      <c r="V394" s="32"/>
      <c r="W394" s="32"/>
      <c r="X394" s="32"/>
    </row>
    <row r="395">
      <c r="A395" s="32" t="str">
        <f>IFERROR(__xludf.DUMMYFUNCTION("""COMPUTED_VALUE"""),"Elder Celestial Dragon")</f>
        <v>Elder Celestial Dragon</v>
      </c>
      <c r="B395" s="35" t="str">
        <f>IFERROR(__xludf.DUMMYFUNCTION("""COMPUTED_VALUE"""),"1-5")</f>
        <v>1-5</v>
      </c>
      <c r="C395" s="32" t="str">
        <f>IFERROR(__xludf.DUMMYFUNCTION("""COMPUTED_VALUE"""),"Elemental Scythe")</f>
        <v>Elemental Scythe</v>
      </c>
      <c r="D395" s="35" t="str">
        <f>IFERROR(__xludf.DUMMYFUNCTION("""COMPUTED_VALUE"""),"6-10")</f>
        <v>6-10</v>
      </c>
      <c r="E395" s="32" t="str">
        <f>IFERROR(__xludf.DUMMYFUNCTION("""COMPUTED_VALUE"""),"Draconic Shield")</f>
        <v>Draconic Shield</v>
      </c>
      <c r="F395" s="35" t="str">
        <f>IFERROR(__xludf.DUMMYFUNCTION("""COMPUTED_VALUE"""),"11-15")</f>
        <v>11-15</v>
      </c>
      <c r="G395" s="32" t="str">
        <f>IFERROR(__xludf.DUMMYFUNCTION("""COMPUTED_VALUE"""),"Dragon's Skull")</f>
        <v>Dragon's Skull</v>
      </c>
      <c r="H395" s="35" t="str">
        <f>IFERROR(__xludf.DUMMYFUNCTION("""COMPUTED_VALUE"""),"16-20")</f>
        <v>16-20</v>
      </c>
      <c r="I395" s="32" t="str">
        <f>IFERROR(__xludf.DUMMYFUNCTION("""COMPUTED_VALUE"""),"Nothing")</f>
        <v>Nothing</v>
      </c>
      <c r="J395" s="35" t="str">
        <f>IFERROR(__xludf.DUMMYFUNCTION("""COMPUTED_VALUE"""),"21-25")</f>
        <v>21-25</v>
      </c>
      <c r="K395" s="32" t="str">
        <f>IFERROR(__xludf.DUMMYFUNCTION("""COMPUTED_VALUE"""),"Nothing")</f>
        <v>Nothing</v>
      </c>
      <c r="L395" s="32"/>
      <c r="M395" s="32"/>
      <c r="N395" s="32"/>
      <c r="O395" s="32"/>
      <c r="P395" s="32"/>
      <c r="Q395" s="32"/>
      <c r="R395" s="32"/>
      <c r="S395" s="32"/>
      <c r="T395" s="32"/>
      <c r="U395" s="32"/>
      <c r="V395" s="32"/>
      <c r="W395" s="32"/>
      <c r="X395" s="32"/>
    </row>
    <row r="396">
      <c r="A396" s="32" t="str">
        <f>IFERROR(__xludf.DUMMYFUNCTION("""COMPUTED_VALUE"""),"Elder Chaos Dragon")</f>
        <v>Elder Chaos Dragon</v>
      </c>
      <c r="B396" s="35" t="str">
        <f>IFERROR(__xludf.DUMMYFUNCTION("""COMPUTED_VALUE"""),"1-5")</f>
        <v>1-5</v>
      </c>
      <c r="C396" s="32" t="str">
        <f>IFERROR(__xludf.DUMMYFUNCTION("""COMPUTED_VALUE"""),"Dragon scales")</f>
        <v>Dragon scales</v>
      </c>
      <c r="D396" s="35" t="str">
        <f>IFERROR(__xludf.DUMMYFUNCTION("""COMPUTED_VALUE"""),"6-10")</f>
        <v>6-10</v>
      </c>
      <c r="E396" s="32" t="str">
        <f>IFERROR(__xludf.DUMMYFUNCTION("""COMPUTED_VALUE"""),"Gas Grenade")</f>
        <v>Gas Grenade</v>
      </c>
      <c r="F396" s="35" t="str">
        <f>IFERROR(__xludf.DUMMYFUNCTION("""COMPUTED_VALUE"""),"11-15")</f>
        <v>11-15</v>
      </c>
      <c r="G396" s="32" t="str">
        <f>IFERROR(__xludf.DUMMYFUNCTION("""COMPUTED_VALUE"""),"Double Barrel Shotgun")</f>
        <v>Double Barrel Shotgun</v>
      </c>
      <c r="H396" s="35" t="str">
        <f>IFERROR(__xludf.DUMMYFUNCTION("""COMPUTED_VALUE"""),"16-20")</f>
        <v>16-20</v>
      </c>
      <c r="I396" s="32" t="str">
        <f>IFERROR(__xludf.DUMMYFUNCTION("""COMPUTED_VALUE"""),"Nothing")</f>
        <v>Nothing</v>
      </c>
      <c r="J396" s="35" t="str">
        <f>IFERROR(__xludf.DUMMYFUNCTION("""COMPUTED_VALUE"""),"21-25")</f>
        <v>21-25</v>
      </c>
      <c r="K396" s="32" t="str">
        <f>IFERROR(__xludf.DUMMYFUNCTION("""COMPUTED_VALUE"""),"Chaos Sword")</f>
        <v>Chaos Sword</v>
      </c>
      <c r="L396" s="32"/>
      <c r="M396" s="32"/>
      <c r="N396" s="32"/>
      <c r="O396" s="32"/>
      <c r="P396" s="32"/>
      <c r="Q396" s="32"/>
      <c r="R396" s="32"/>
      <c r="S396" s="32"/>
      <c r="T396" s="32"/>
      <c r="U396" s="32"/>
      <c r="V396" s="32"/>
      <c r="W396" s="32"/>
      <c r="X396" s="32"/>
    </row>
    <row r="397">
      <c r="A397" s="32" t="str">
        <f>IFERROR(__xludf.DUMMYFUNCTION("""COMPUTED_VALUE"""),"Elder Dark Dragon")</f>
        <v>Elder Dark Dragon</v>
      </c>
      <c r="B397" s="35" t="str">
        <f>IFERROR(__xludf.DUMMYFUNCTION("""COMPUTED_VALUE"""),"1-5")</f>
        <v>1-5</v>
      </c>
      <c r="C397" s="32" t="str">
        <f>IFERROR(__xludf.DUMMYFUNCTION("""COMPUTED_VALUE"""),"Dark Wand")</f>
        <v>Dark Wand</v>
      </c>
      <c r="D397" s="35" t="str">
        <f>IFERROR(__xludf.DUMMYFUNCTION("""COMPUTED_VALUE"""),"6-10")</f>
        <v>6-10</v>
      </c>
      <c r="E397" s="32" t="str">
        <f>IFERROR(__xludf.DUMMYFUNCTION("""COMPUTED_VALUE"""),"Dark Dragonscale Claws")</f>
        <v>Dark Dragonscale Claws</v>
      </c>
      <c r="F397" s="35" t="str">
        <f>IFERROR(__xludf.DUMMYFUNCTION("""COMPUTED_VALUE"""),"11-15")</f>
        <v>11-15</v>
      </c>
      <c r="G397" s="32" t="str">
        <f>IFERROR(__xludf.DUMMYFUNCTION("""COMPUTED_VALUE"""),"Demon Claw")</f>
        <v>Demon Claw</v>
      </c>
      <c r="H397" s="35" t="str">
        <f>IFERROR(__xludf.DUMMYFUNCTION("""COMPUTED_VALUE"""),"16-20")</f>
        <v>16-20</v>
      </c>
      <c r="I397" s="32" t="str">
        <f>IFERROR(__xludf.DUMMYFUNCTION("""COMPUTED_VALUE"""),"Nothing")</f>
        <v>Nothing</v>
      </c>
      <c r="J397" s="35" t="str">
        <f>IFERROR(__xludf.DUMMYFUNCTION("""COMPUTED_VALUE"""),"21-25")</f>
        <v>21-25</v>
      </c>
      <c r="K397" s="32" t="str">
        <f>IFERROR(__xludf.DUMMYFUNCTION("""COMPUTED_VALUE"""),"Nothing")</f>
        <v>Nothing</v>
      </c>
      <c r="L397" s="32"/>
      <c r="M397" s="32"/>
      <c r="N397" s="32"/>
      <c r="O397" s="32"/>
      <c r="P397" s="32"/>
      <c r="Q397" s="32"/>
      <c r="R397" s="32"/>
      <c r="S397" s="32"/>
      <c r="T397" s="32"/>
      <c r="U397" s="32"/>
      <c r="V397" s="32"/>
      <c r="W397" s="32"/>
      <c r="X397" s="32"/>
    </row>
    <row r="398">
      <c r="A398" s="32" t="str">
        <f>IFERROR(__xludf.DUMMYFUNCTION("""COMPUTED_VALUE"""),"Elder Delta Dragon")</f>
        <v>Elder Delta Dragon</v>
      </c>
      <c r="B398" s="35" t="str">
        <f>IFERROR(__xludf.DUMMYFUNCTION("""COMPUTED_VALUE"""),"1-5")</f>
        <v>1-5</v>
      </c>
      <c r="C398" s="32" t="str">
        <f>IFERROR(__xludf.DUMMYFUNCTION("""COMPUTED_VALUE"""),"Nothing")</f>
        <v>Nothing</v>
      </c>
      <c r="D398" s="35" t="str">
        <f>IFERROR(__xludf.DUMMYFUNCTION("""COMPUTED_VALUE"""),"6-10")</f>
        <v>6-10</v>
      </c>
      <c r="E398" s="32" t="str">
        <f>IFERROR(__xludf.DUMMYFUNCTION("""COMPUTED_VALUE"""),"Soul")</f>
        <v>Soul</v>
      </c>
      <c r="F398" s="35" t="str">
        <f>IFERROR(__xludf.DUMMYFUNCTION("""COMPUTED_VALUE"""),"11-15")</f>
        <v>11-15</v>
      </c>
      <c r="G398" s="32" t="str">
        <f>IFERROR(__xludf.DUMMYFUNCTION("""COMPUTED_VALUE"""),"Soul")</f>
        <v>Soul</v>
      </c>
      <c r="H398" s="35" t="str">
        <f>IFERROR(__xludf.DUMMYFUNCTION("""COMPUTED_VALUE"""),"16-20")</f>
        <v>16-20</v>
      </c>
      <c r="I398" s="32" t="str">
        <f>IFERROR(__xludf.DUMMYFUNCTION("""COMPUTED_VALUE"""),"Soul")</f>
        <v>Soul</v>
      </c>
      <c r="J398" s="35" t="str">
        <f>IFERROR(__xludf.DUMMYFUNCTION("""COMPUTED_VALUE"""),"21-25")</f>
        <v>21-25</v>
      </c>
      <c r="K398" s="32" t="str">
        <f>IFERROR(__xludf.DUMMYFUNCTION("""COMPUTED_VALUE"""),"Soul")</f>
        <v>Soul</v>
      </c>
      <c r="L398" s="32"/>
      <c r="M398" s="32"/>
      <c r="N398" s="32"/>
      <c r="O398" s="32"/>
      <c r="P398" s="32"/>
      <c r="Q398" s="32"/>
      <c r="R398" s="32"/>
      <c r="S398" s="32"/>
      <c r="T398" s="32"/>
      <c r="U398" s="32"/>
      <c r="V398" s="32"/>
      <c r="W398" s="32"/>
      <c r="X398" s="32"/>
    </row>
    <row r="399">
      <c r="A399" s="32" t="str">
        <f>IFERROR(__xludf.DUMMYFUNCTION("""COMPUTED_VALUE"""),"Elder Forest Dragon")</f>
        <v>Elder Forest Dragon</v>
      </c>
      <c r="B399" s="35" t="str">
        <f>IFERROR(__xludf.DUMMYFUNCTION("""COMPUTED_VALUE"""),"1-5")</f>
        <v>1-5</v>
      </c>
      <c r="C399" s="32" t="str">
        <f>IFERROR(__xludf.DUMMYFUNCTION("""COMPUTED_VALUE"""),"Wood")</f>
        <v>Wood</v>
      </c>
      <c r="D399" s="35" t="str">
        <f>IFERROR(__xludf.DUMMYFUNCTION("""COMPUTED_VALUE"""),"6-10")</f>
        <v>6-10</v>
      </c>
      <c r="E399" s="32" t="str">
        <f>IFERROR(__xludf.DUMMYFUNCTION("""COMPUTED_VALUE"""),"Dead Forest Blade")</f>
        <v>Dead Forest Blade</v>
      </c>
      <c r="F399" s="35" t="str">
        <f>IFERROR(__xludf.DUMMYFUNCTION("""COMPUTED_VALUE"""),"11-15")</f>
        <v>11-15</v>
      </c>
      <c r="G399" s="32" t="str">
        <f>IFERROR(__xludf.DUMMYFUNCTION("""COMPUTED_VALUE"""),"Soul")</f>
        <v>Soul</v>
      </c>
      <c r="H399" s="35" t="str">
        <f>IFERROR(__xludf.DUMMYFUNCTION("""COMPUTED_VALUE"""),"16-20")</f>
        <v>16-20</v>
      </c>
      <c r="I399" s="32" t="str">
        <f>IFERROR(__xludf.DUMMYFUNCTION("""COMPUTED_VALUE"""),"Dragonscale Skirt")</f>
        <v>Dragonscale Skirt</v>
      </c>
      <c r="J399" s="35" t="str">
        <f>IFERROR(__xludf.DUMMYFUNCTION("""COMPUTED_VALUE"""),"21-25")</f>
        <v>21-25</v>
      </c>
      <c r="K399" s="32" t="str">
        <f>IFERROR(__xludf.DUMMYFUNCTION("""COMPUTED_VALUE"""),"Nothing")</f>
        <v>Nothing</v>
      </c>
      <c r="L399" s="32"/>
      <c r="M399" s="32"/>
      <c r="N399" s="32"/>
      <c r="O399" s="32"/>
      <c r="P399" s="32"/>
      <c r="Q399" s="32"/>
      <c r="R399" s="32"/>
      <c r="S399" s="32"/>
      <c r="T399" s="32"/>
      <c r="U399" s="32"/>
      <c r="V399" s="32"/>
      <c r="W399" s="32"/>
      <c r="X399" s="32"/>
    </row>
    <row r="400">
      <c r="A400" s="32" t="str">
        <f>IFERROR(__xludf.DUMMYFUNCTION("""COMPUTED_VALUE"""),"Elder Frost Dragon")</f>
        <v>Elder Frost Dragon</v>
      </c>
      <c r="B400" s="35" t="str">
        <f>IFERROR(__xludf.DUMMYFUNCTION("""COMPUTED_VALUE"""),"1-5")</f>
        <v>1-5</v>
      </c>
      <c r="C400" s="32" t="str">
        <f>IFERROR(__xludf.DUMMYFUNCTION("""COMPUTED_VALUE"""),"Giant Frost Diamond")</f>
        <v>Giant Frost Diamond</v>
      </c>
      <c r="D400" s="35" t="str">
        <f>IFERROR(__xludf.DUMMYFUNCTION("""COMPUTED_VALUE"""),"6-10")</f>
        <v>6-10</v>
      </c>
      <c r="E400" s="32" t="str">
        <f>IFERROR(__xludf.DUMMYFUNCTION("""COMPUTED_VALUE"""),"Soul")</f>
        <v>Soul</v>
      </c>
      <c r="F400" s="35" t="str">
        <f>IFERROR(__xludf.DUMMYFUNCTION("""COMPUTED_VALUE"""),"11-15")</f>
        <v>11-15</v>
      </c>
      <c r="G400" s="32" t="str">
        <f>IFERROR(__xludf.DUMMYFUNCTION("""COMPUTED_VALUE"""),"60,000,000G-80,000,000G")</f>
        <v>60,000,000G-80,000,000G</v>
      </c>
      <c r="H400" s="35" t="str">
        <f>IFERROR(__xludf.DUMMYFUNCTION("""COMPUTED_VALUE"""),"16-20")</f>
        <v>16-20</v>
      </c>
      <c r="I400" s="32" t="str">
        <f>IFERROR(__xludf.DUMMYFUNCTION("""COMPUTED_VALUE"""),"Dragonian Chestplate")</f>
        <v>Dragonian Chestplate</v>
      </c>
      <c r="J400" s="35" t="str">
        <f>IFERROR(__xludf.DUMMYFUNCTION("""COMPUTED_VALUE"""),"21-25")</f>
        <v>21-25</v>
      </c>
      <c r="K400" s="32" t="str">
        <f>IFERROR(__xludf.DUMMYFUNCTION("""COMPUTED_VALUE"""),"Dragonscale Cape")</f>
        <v>Dragonscale Cape</v>
      </c>
      <c r="L400" s="32"/>
      <c r="M400" s="32"/>
      <c r="N400" s="32"/>
      <c r="O400" s="32"/>
      <c r="P400" s="32"/>
      <c r="Q400" s="32"/>
      <c r="R400" s="32"/>
      <c r="S400" s="32"/>
      <c r="T400" s="32"/>
      <c r="U400" s="32"/>
      <c r="V400" s="32"/>
      <c r="W400" s="32"/>
      <c r="X400" s="32"/>
    </row>
    <row r="401">
      <c r="A401" s="32" t="str">
        <f>IFERROR(__xludf.DUMMYFUNCTION("""COMPUTED_VALUE"""),"Elder Soul Dragon")</f>
        <v>Elder Soul Dragon</v>
      </c>
      <c r="B401" s="35" t="str">
        <f>IFERROR(__xludf.DUMMYFUNCTION("""COMPUTED_VALUE"""),"1-5")</f>
        <v>1-5</v>
      </c>
      <c r="C401" s="32" t="str">
        <f>IFERROR(__xludf.DUMMYFUNCTION("""COMPUTED_VALUE"""),"Soul")</f>
        <v>Soul</v>
      </c>
      <c r="D401" s="35" t="str">
        <f>IFERROR(__xludf.DUMMYFUNCTION("""COMPUTED_VALUE"""),"6-10")</f>
        <v>6-10</v>
      </c>
      <c r="E401" s="32" t="str">
        <f>IFERROR(__xludf.DUMMYFUNCTION("""COMPUTED_VALUE"""),"1,000,000G-20,000,000G")</f>
        <v>1,000,000G-20,000,000G</v>
      </c>
      <c r="F401" s="35" t="str">
        <f>IFERROR(__xludf.DUMMYFUNCTION("""COMPUTED_VALUE"""),"11-15")</f>
        <v>11-15</v>
      </c>
      <c r="G401" s="32" t="str">
        <f>IFERROR(__xludf.DUMMYFUNCTION("""COMPUTED_VALUE"""),"Soul")</f>
        <v>Soul</v>
      </c>
      <c r="H401" s="35" t="str">
        <f>IFERROR(__xludf.DUMMYFUNCTION("""COMPUTED_VALUE"""),"16-20")</f>
        <v>16-20</v>
      </c>
      <c r="I401" s="32" t="str">
        <f>IFERROR(__xludf.DUMMYFUNCTION("""COMPUTED_VALUE"""),"1,000,000G-20,000,000G")</f>
        <v>1,000,000G-20,000,000G</v>
      </c>
      <c r="J401" s="35" t="str">
        <f>IFERROR(__xludf.DUMMYFUNCTION("""COMPUTED_VALUE"""),"21-25")</f>
        <v>21-25</v>
      </c>
      <c r="K401" s="32" t="str">
        <f>IFERROR(__xludf.DUMMYFUNCTION("""COMPUTED_VALUE"""),"Draconic Scythe")</f>
        <v>Draconic Scythe</v>
      </c>
      <c r="L401" s="32"/>
      <c r="M401" s="32"/>
      <c r="N401" s="32"/>
      <c r="O401" s="32"/>
      <c r="P401" s="32"/>
      <c r="Q401" s="32"/>
      <c r="R401" s="32"/>
      <c r="S401" s="32"/>
      <c r="T401" s="32"/>
      <c r="U401" s="32"/>
      <c r="V401" s="32"/>
      <c r="W401" s="32"/>
      <c r="X401" s="32"/>
    </row>
    <row r="402">
      <c r="A402" s="32" t="str">
        <f>IFERROR(__xludf.DUMMYFUNCTION("""COMPUTED_VALUE"""),"Elder Spirit Dragon")</f>
        <v>Elder Spirit Dragon</v>
      </c>
      <c r="B402" s="35" t="str">
        <f>IFERROR(__xludf.DUMMYFUNCTION("""COMPUTED_VALUE"""),"1-5")</f>
        <v>1-5</v>
      </c>
      <c r="C402" s="32" t="str">
        <f>IFERROR(__xludf.DUMMYFUNCTION("""COMPUTED_VALUE"""),"Soul")</f>
        <v>Soul</v>
      </c>
      <c r="D402" s="35" t="str">
        <f>IFERROR(__xludf.DUMMYFUNCTION("""COMPUTED_VALUE"""),"6-10")</f>
        <v>6-10</v>
      </c>
      <c r="E402" s="32" t="str">
        <f>IFERROR(__xludf.DUMMYFUNCTION("""COMPUTED_VALUE"""),"1,000,000G-20,000,000G")</f>
        <v>1,000,000G-20,000,000G</v>
      </c>
      <c r="F402" s="35" t="str">
        <f>IFERROR(__xludf.DUMMYFUNCTION("""COMPUTED_VALUE"""),"11-15")</f>
        <v>11-15</v>
      </c>
      <c r="G402" s="32" t="str">
        <f>IFERROR(__xludf.DUMMYFUNCTION("""COMPUTED_VALUE"""),"Soul")</f>
        <v>Soul</v>
      </c>
      <c r="H402" s="35" t="str">
        <f>IFERROR(__xludf.DUMMYFUNCTION("""COMPUTED_VALUE"""),"16-20")</f>
        <v>16-20</v>
      </c>
      <c r="I402" s="32" t="str">
        <f>IFERROR(__xludf.DUMMYFUNCTION("""COMPUTED_VALUE"""),"1,000,000G-20,000,000G")</f>
        <v>1,000,000G-20,000,000G</v>
      </c>
      <c r="J402" s="35" t="str">
        <f>IFERROR(__xludf.DUMMYFUNCTION("""COMPUTED_VALUE"""),"21-25")</f>
        <v>21-25</v>
      </c>
      <c r="K402" s="32" t="str">
        <f>IFERROR(__xludf.DUMMYFUNCTION("""COMPUTED_VALUE"""),"Draconic Scythe")</f>
        <v>Draconic Scythe</v>
      </c>
      <c r="L402" s="32"/>
      <c r="M402" s="32"/>
      <c r="N402" s="32"/>
      <c r="O402" s="32"/>
      <c r="P402" s="32"/>
      <c r="Q402" s="32"/>
      <c r="R402" s="32"/>
      <c r="S402" s="32"/>
      <c r="T402" s="32"/>
      <c r="U402" s="32"/>
      <c r="V402" s="32"/>
      <c r="W402" s="32"/>
      <c r="X402" s="32"/>
    </row>
    <row r="403">
      <c r="A403" s="32" t="str">
        <f>IFERROR(__xludf.DUMMYFUNCTION("""COMPUTED_VALUE"""),"Elder Stone Dragon")</f>
        <v>Elder Stone Dragon</v>
      </c>
      <c r="B403" s="35" t="str">
        <f>IFERROR(__xludf.DUMMYFUNCTION("""COMPUTED_VALUE"""),"1-5")</f>
        <v>1-5</v>
      </c>
      <c r="C403" s="32" t="str">
        <f>IFERROR(__xludf.DUMMYFUNCTION("""COMPUTED_VALUE"""),"Dragonscale Scythe")</f>
        <v>Dragonscale Scythe</v>
      </c>
      <c r="D403" s="35" t="str">
        <f>IFERROR(__xludf.DUMMYFUNCTION("""COMPUTED_VALUE"""),"6-10")</f>
        <v>6-10</v>
      </c>
      <c r="E403" s="32" t="str">
        <f>IFERROR(__xludf.DUMMYFUNCTION("""COMPUTED_VALUE"""),"60,000,000G-80,000,000G")</f>
        <v>60,000,000G-80,000,000G</v>
      </c>
      <c r="F403" s="35" t="str">
        <f>IFERROR(__xludf.DUMMYFUNCTION("""COMPUTED_VALUE"""),"11-15")</f>
        <v>11-15</v>
      </c>
      <c r="G403" s="32" t="str">
        <f>IFERROR(__xludf.DUMMYFUNCTION("""COMPUTED_VALUE"""),"Soul")</f>
        <v>Soul</v>
      </c>
      <c r="H403" s="35" t="str">
        <f>IFERROR(__xludf.DUMMYFUNCTION("""COMPUTED_VALUE"""),"16-20")</f>
        <v>16-20</v>
      </c>
      <c r="I403" s="32" t="str">
        <f>IFERROR(__xludf.DUMMYFUNCTION("""COMPUTED_VALUE"""),"60,000,000G-80,000,000G")</f>
        <v>60,000,000G-80,000,000G</v>
      </c>
      <c r="J403" s="35" t="str">
        <f>IFERROR(__xludf.DUMMYFUNCTION("""COMPUTED_VALUE"""),"21-25")</f>
        <v>21-25</v>
      </c>
      <c r="K403" s="32" t="str">
        <f>IFERROR(__xludf.DUMMYFUNCTION("""COMPUTED_VALUE"""),"Nothing")</f>
        <v>Nothing</v>
      </c>
      <c r="L403" s="32"/>
      <c r="M403" s="32"/>
      <c r="N403" s="32"/>
      <c r="O403" s="32"/>
      <c r="P403" s="32"/>
      <c r="Q403" s="32"/>
      <c r="R403" s="32"/>
      <c r="S403" s="32"/>
      <c r="T403" s="32"/>
      <c r="U403" s="32"/>
      <c r="V403" s="32"/>
      <c r="W403" s="32"/>
      <c r="X403" s="32"/>
    </row>
    <row r="404">
      <c r="A404" s="32"/>
      <c r="B404" s="35" t="str">
        <f>IFERROR(__xludf.DUMMYFUNCTION("""COMPUTED_VALUE"""),"1-5")</f>
        <v>1-5</v>
      </c>
      <c r="C404" s="32"/>
      <c r="D404" s="35" t="str">
        <f>IFERROR(__xludf.DUMMYFUNCTION("""COMPUTED_VALUE"""),"6-10")</f>
        <v>6-10</v>
      </c>
      <c r="E404" s="32"/>
      <c r="F404" s="35" t="str">
        <f>IFERROR(__xludf.DUMMYFUNCTION("""COMPUTED_VALUE"""),"11-15")</f>
        <v>11-15</v>
      </c>
      <c r="G404" s="32"/>
      <c r="H404" s="35" t="str">
        <f>IFERROR(__xludf.DUMMYFUNCTION("""COMPUTED_VALUE"""),"16-20")</f>
        <v>16-20</v>
      </c>
      <c r="I404" s="32"/>
      <c r="J404" s="35" t="str">
        <f>IFERROR(__xludf.DUMMYFUNCTION("""COMPUTED_VALUE"""),"21-25")</f>
        <v>21-25</v>
      </c>
      <c r="K404" s="32"/>
      <c r="L404" s="32"/>
      <c r="M404" s="32"/>
      <c r="N404" s="32"/>
      <c r="O404" s="32"/>
      <c r="P404" s="32"/>
      <c r="Q404" s="32"/>
      <c r="R404" s="32"/>
      <c r="S404" s="32"/>
      <c r="T404" s="32"/>
      <c r="U404" s="32"/>
      <c r="V404" s="32"/>
      <c r="W404" s="32"/>
      <c r="X404" s="32"/>
    </row>
    <row r="405">
      <c r="A405" s="32" t="str">
        <f>IFERROR(__xludf.DUMMYFUNCTION("""COMPUTED_VALUE"""),"Elder Fire Dragon")</f>
        <v>Elder Fire Dragon</v>
      </c>
      <c r="B405" s="35" t="str">
        <f>IFERROR(__xludf.DUMMYFUNCTION("""COMPUTED_VALUE"""),"1-5")</f>
        <v>1-5</v>
      </c>
      <c r="C405" s="32" t="str">
        <f>IFERROR(__xludf.DUMMYFUNCTION("""COMPUTED_VALUE"""),"Nothing")</f>
        <v>Nothing</v>
      </c>
      <c r="D405" s="35" t="str">
        <f>IFERROR(__xludf.DUMMYFUNCTION("""COMPUTED_VALUE"""),"6-10")</f>
        <v>6-10</v>
      </c>
      <c r="E405" s="32" t="str">
        <f>IFERROR(__xludf.DUMMYFUNCTION("""COMPUTED_VALUE"""),"Dragonscale Mail")</f>
        <v>Dragonscale Mail</v>
      </c>
      <c r="F405" s="35" t="str">
        <f>IFERROR(__xludf.DUMMYFUNCTION("""COMPUTED_VALUE"""),"11-15")</f>
        <v>11-15</v>
      </c>
      <c r="G405" s="32" t="str">
        <f>IFERROR(__xludf.DUMMYFUNCTION("""COMPUTED_VALUE"""),"Dragonscale Cape")</f>
        <v>Dragonscale Cape</v>
      </c>
      <c r="H405" s="35" t="str">
        <f>IFERROR(__xludf.DUMMYFUNCTION("""COMPUTED_VALUE"""),"16-20")</f>
        <v>16-20</v>
      </c>
      <c r="I405" s="32" t="str">
        <f>IFERROR(__xludf.DUMMYFUNCTION("""COMPUTED_VALUE"""),"Fire Arrow")</f>
        <v>Fire Arrow</v>
      </c>
      <c r="J405" s="35" t="str">
        <f>IFERROR(__xludf.DUMMYFUNCTION("""COMPUTED_VALUE"""),"21-25")</f>
        <v>21-25</v>
      </c>
      <c r="K405" s="32" t="str">
        <f>IFERROR(__xludf.DUMMYFUNCTION("""COMPUTED_VALUE"""),"Nothing")</f>
        <v>Nothing</v>
      </c>
      <c r="L405" s="32"/>
      <c r="M405" s="32"/>
      <c r="N405" s="32"/>
      <c r="O405" s="32"/>
      <c r="P405" s="32"/>
      <c r="Q405" s="32"/>
      <c r="R405" s="32"/>
      <c r="S405" s="32"/>
      <c r="T405" s="32"/>
      <c r="U405" s="32"/>
      <c r="V405" s="32"/>
      <c r="W405" s="32"/>
      <c r="X405" s="32"/>
    </row>
    <row r="406">
      <c r="A406" s="32"/>
      <c r="B406" s="35" t="str">
        <f>IFERROR(__xludf.DUMMYFUNCTION("""COMPUTED_VALUE"""),"1-5")</f>
        <v>1-5</v>
      </c>
      <c r="C406" s="32"/>
      <c r="D406" s="35" t="str">
        <f>IFERROR(__xludf.DUMMYFUNCTION("""COMPUTED_VALUE"""),"6-10")</f>
        <v>6-10</v>
      </c>
      <c r="E406" s="32"/>
      <c r="F406" s="35" t="str">
        <f>IFERROR(__xludf.DUMMYFUNCTION("""COMPUTED_VALUE"""),"11-15")</f>
        <v>11-15</v>
      </c>
      <c r="G406" s="32"/>
      <c r="H406" s="35" t="str">
        <f>IFERROR(__xludf.DUMMYFUNCTION("""COMPUTED_VALUE"""),"16-20")</f>
        <v>16-20</v>
      </c>
      <c r="I406" s="32"/>
      <c r="J406" s="35" t="str">
        <f>IFERROR(__xludf.DUMMYFUNCTION("""COMPUTED_VALUE"""),"21-25")</f>
        <v>21-25</v>
      </c>
      <c r="K406" s="32"/>
      <c r="L406" s="32"/>
      <c r="M406" s="32"/>
      <c r="N406" s="32"/>
      <c r="O406" s="32"/>
      <c r="P406" s="32"/>
      <c r="Q406" s="32"/>
      <c r="R406" s="32"/>
      <c r="S406" s="32"/>
      <c r="T406" s="32"/>
      <c r="U406" s="32"/>
      <c r="V406" s="32"/>
      <c r="W406" s="32"/>
      <c r="X406" s="32"/>
    </row>
    <row r="407">
      <c r="A407" s="32" t="str">
        <f>IFERROR(__xludf.DUMMYFUNCTION("""COMPUTED_VALUE"""),"Elder Undead Dragon")</f>
        <v>Elder Undead Dragon</v>
      </c>
      <c r="B407" s="35" t="str">
        <f>IFERROR(__xludf.DUMMYFUNCTION("""COMPUTED_VALUE"""),"1-5")</f>
        <v>1-5</v>
      </c>
      <c r="C407" s="32" t="str">
        <f>IFERROR(__xludf.DUMMYFUNCTION("""COMPUTED_VALUE"""),"Dragonscale Charm")</f>
        <v>Dragonscale Charm</v>
      </c>
      <c r="D407" s="35" t="str">
        <f>IFERROR(__xludf.DUMMYFUNCTION("""COMPUTED_VALUE"""),"6-10")</f>
        <v>6-10</v>
      </c>
      <c r="E407" s="32" t="str">
        <f>IFERROR(__xludf.DUMMYFUNCTION("""COMPUTED_VALUE"""),"Dragonscale Sandals")</f>
        <v>Dragonscale Sandals</v>
      </c>
      <c r="F407" s="35" t="str">
        <f>IFERROR(__xludf.DUMMYFUNCTION("""COMPUTED_VALUE"""),"11-15")</f>
        <v>11-15</v>
      </c>
      <c r="G407" s="32" t="str">
        <f>IFERROR(__xludf.DUMMYFUNCTION("""COMPUTED_VALUE"""),"Dragonscale Charm")</f>
        <v>Dragonscale Charm</v>
      </c>
      <c r="H407" s="35" t="str">
        <f>IFERROR(__xludf.DUMMYFUNCTION("""COMPUTED_VALUE"""),"16-20")</f>
        <v>16-20</v>
      </c>
      <c r="I407" s="32" t="str">
        <f>IFERROR(__xludf.DUMMYFUNCTION("""COMPUTED_VALUE"""),"Dragonscale Talisman")</f>
        <v>Dragonscale Talisman</v>
      </c>
      <c r="J407" s="35" t="str">
        <f>IFERROR(__xludf.DUMMYFUNCTION("""COMPUTED_VALUE"""),"21-25")</f>
        <v>21-25</v>
      </c>
      <c r="K407" s="32" t="str">
        <f>IFERROR(__xludf.DUMMYFUNCTION("""COMPUTED_VALUE"""),"Dragonscale Talisman")</f>
        <v>Dragonscale Talisman</v>
      </c>
      <c r="L407" s="32"/>
      <c r="M407" s="32"/>
      <c r="N407" s="32"/>
      <c r="O407" s="32"/>
      <c r="P407" s="32"/>
      <c r="Q407" s="32"/>
      <c r="R407" s="32"/>
      <c r="S407" s="32"/>
      <c r="T407" s="32"/>
      <c r="U407" s="32"/>
      <c r="V407" s="32"/>
      <c r="W407" s="32"/>
      <c r="X407" s="32"/>
    </row>
    <row r="408">
      <c r="A408" s="32" t="str">
        <f>IFERROR(__xludf.DUMMYFUNCTION("""COMPUTED_VALUE"""),"Elder Crystal Dragon")</f>
        <v>Elder Crystal Dragon</v>
      </c>
      <c r="B408" s="35" t="str">
        <f>IFERROR(__xludf.DUMMYFUNCTION("""COMPUTED_VALUE"""),"1-5")</f>
        <v>1-5</v>
      </c>
      <c r="C408" s="32" t="str">
        <f>IFERROR(__xludf.DUMMYFUNCTION("""COMPUTED_VALUE"""),"Dragonscale Helm")</f>
        <v>Dragonscale Helm</v>
      </c>
      <c r="D408" s="35" t="str">
        <f>IFERROR(__xludf.DUMMYFUNCTION("""COMPUTED_VALUE"""),"6-10")</f>
        <v>6-10</v>
      </c>
      <c r="E408" s="32" t="str">
        <f>IFERROR(__xludf.DUMMYFUNCTION("""COMPUTED_VALUE"""),"Dragonscale Bracers")</f>
        <v>Dragonscale Bracers</v>
      </c>
      <c r="F408" s="35" t="str">
        <f>IFERROR(__xludf.DUMMYFUNCTION("""COMPUTED_VALUE"""),"11-15")</f>
        <v>11-15</v>
      </c>
      <c r="G408" s="32" t="str">
        <f>IFERROR(__xludf.DUMMYFUNCTION("""COMPUTED_VALUE"""),"Dragonscale Harp")</f>
        <v>Dragonscale Harp</v>
      </c>
      <c r="H408" s="35" t="str">
        <f>IFERROR(__xludf.DUMMYFUNCTION("""COMPUTED_VALUE"""),"16-20")</f>
        <v>16-20</v>
      </c>
      <c r="I408" s="32" t="str">
        <f>IFERROR(__xludf.DUMMYFUNCTION("""COMPUTED_VALUE"""),"Dragonscale Spear")</f>
        <v>Dragonscale Spear</v>
      </c>
      <c r="J408" s="35" t="str">
        <f>IFERROR(__xludf.DUMMYFUNCTION("""COMPUTED_VALUE"""),"21-25")</f>
        <v>21-25</v>
      </c>
      <c r="K408" s="32" t="str">
        <f>IFERROR(__xludf.DUMMYFUNCTION("""COMPUTED_VALUE"""),"Dragonscale Gauntlets")</f>
        <v>Dragonscale Gauntlets</v>
      </c>
      <c r="L408" s="32"/>
      <c r="M408" s="32"/>
      <c r="N408" s="32"/>
      <c r="O408" s="32"/>
      <c r="P408" s="32"/>
      <c r="Q408" s="32"/>
      <c r="R408" s="32"/>
      <c r="S408" s="32"/>
      <c r="T408" s="32"/>
      <c r="U408" s="32"/>
      <c r="V408" s="32"/>
      <c r="W408" s="32"/>
      <c r="X408" s="32"/>
    </row>
    <row r="409">
      <c r="A409" s="32" t="str">
        <f>IFERROR(__xludf.DUMMYFUNCTION("""COMPUTED_VALUE"""),"Ancient Acid Dragon")</f>
        <v>Ancient Acid Dragon</v>
      </c>
      <c r="B409" s="35" t="str">
        <f>IFERROR(__xludf.DUMMYFUNCTION("""COMPUTED_VALUE"""),"1-5")</f>
        <v>1-5</v>
      </c>
      <c r="C409" s="32" t="str">
        <f>IFERROR(__xludf.DUMMYFUNCTION("""COMPUTED_VALUE"""),"Dragonscale Crown")</f>
        <v>Dragonscale Crown</v>
      </c>
      <c r="D409" s="35" t="str">
        <f>IFERROR(__xludf.DUMMYFUNCTION("""COMPUTED_VALUE"""),"6-10")</f>
        <v>6-10</v>
      </c>
      <c r="E409" s="32" t="str">
        <f>IFERROR(__xludf.DUMMYFUNCTION("""COMPUTED_VALUE"""),"Dragonscale Rifle")</f>
        <v>Dragonscale Rifle</v>
      </c>
      <c r="F409" s="35" t="str">
        <f>IFERROR(__xludf.DUMMYFUNCTION("""COMPUTED_VALUE"""),"11-15")</f>
        <v>11-15</v>
      </c>
      <c r="G409" s="32" t="str">
        <f>IFERROR(__xludf.DUMMYFUNCTION("""COMPUTED_VALUE"""),"Dragonscale Buckler")</f>
        <v>Dragonscale Buckler</v>
      </c>
      <c r="H409" s="35" t="str">
        <f>IFERROR(__xludf.DUMMYFUNCTION("""COMPUTED_VALUE"""),"16-20")</f>
        <v>16-20</v>
      </c>
      <c r="I409" s="32" t="str">
        <f>IFERROR(__xludf.DUMMYFUNCTION("""COMPUTED_VALUE"""),"Dragonscale of Returns")</f>
        <v>Dragonscale of Returns</v>
      </c>
      <c r="J409" s="35" t="str">
        <f>IFERROR(__xludf.DUMMYFUNCTION("""COMPUTED_VALUE"""),"21-25")</f>
        <v>21-25</v>
      </c>
      <c r="K409" s="32" t="str">
        <f>IFERROR(__xludf.DUMMYFUNCTION("""COMPUTED_VALUE"""),"1,000G-20,000G")</f>
        <v>1,000G-20,000G</v>
      </c>
      <c r="L409" s="32"/>
      <c r="M409" s="32"/>
      <c r="N409" s="32"/>
      <c r="O409" s="32"/>
      <c r="P409" s="32"/>
      <c r="Q409" s="32"/>
      <c r="R409" s="32"/>
      <c r="S409" s="32"/>
      <c r="T409" s="32"/>
      <c r="U409" s="32"/>
      <c r="V409" s="32"/>
      <c r="W409" s="32"/>
      <c r="X409" s="32"/>
    </row>
    <row r="410">
      <c r="A410" s="32" t="str">
        <f>IFERROR(__xludf.DUMMYFUNCTION("""COMPUTED_VALUE"""),"Ancient Water Dragon")</f>
        <v>Ancient Water Dragon</v>
      </c>
      <c r="B410" s="35" t="str">
        <f>IFERROR(__xludf.DUMMYFUNCTION("""COMPUTED_VALUE"""),"1-5")</f>
        <v>1-5</v>
      </c>
      <c r="C410" s="32" t="str">
        <f>IFERROR(__xludf.DUMMYFUNCTION("""COMPUTED_VALUE"""),"Soul")</f>
        <v>Soul</v>
      </c>
      <c r="D410" s="35" t="str">
        <f>IFERROR(__xludf.DUMMYFUNCTION("""COMPUTED_VALUE"""),"6-10")</f>
        <v>6-10</v>
      </c>
      <c r="E410" s="32" t="str">
        <f>IFERROR(__xludf.DUMMYFUNCTION("""COMPUTED_VALUE"""),"Nothing")</f>
        <v>Nothing</v>
      </c>
      <c r="F410" s="35" t="str">
        <f>IFERROR(__xludf.DUMMYFUNCTION("""COMPUTED_VALUE"""),"11-15")</f>
        <v>11-15</v>
      </c>
      <c r="G410" s="32" t="str">
        <f>IFERROR(__xludf.DUMMYFUNCTION("""COMPUTED_VALUE"""),"40,000,000G-60,000,000G")</f>
        <v>40,000,000G-60,000,000G</v>
      </c>
      <c r="H410" s="35" t="str">
        <f>IFERROR(__xludf.DUMMYFUNCTION("""COMPUTED_VALUE"""),"16-20")</f>
        <v>16-20</v>
      </c>
      <c r="I410" s="32" t="str">
        <f>IFERROR(__xludf.DUMMYFUNCTION("""COMPUTED_VALUE"""),"Nothing")</f>
        <v>Nothing</v>
      </c>
      <c r="J410" s="35" t="str">
        <f>IFERROR(__xludf.DUMMYFUNCTION("""COMPUTED_VALUE"""),"21-25")</f>
        <v>21-25</v>
      </c>
      <c r="K410" s="32" t="str">
        <f>IFERROR(__xludf.DUMMYFUNCTION("""COMPUTED_VALUE"""),"Fossilized Water Dragon Bones")</f>
        <v>Fossilized Water Dragon Bones</v>
      </c>
      <c r="L410" s="32"/>
      <c r="M410" s="32"/>
      <c r="N410" s="32"/>
      <c r="O410" s="32"/>
      <c r="P410" s="32"/>
      <c r="Q410" s="32"/>
      <c r="R410" s="32"/>
      <c r="S410" s="32"/>
      <c r="T410" s="32"/>
      <c r="U410" s="32"/>
      <c r="V410" s="32"/>
      <c r="W410" s="32"/>
      <c r="X410" s="32"/>
    </row>
    <row r="411">
      <c r="A411" s="32" t="str">
        <f>IFERROR(__xludf.DUMMYFUNCTION("""COMPUTED_VALUE"""),"Ancient Astral Dragon")</f>
        <v>Ancient Astral Dragon</v>
      </c>
      <c r="B411" s="35" t="str">
        <f>IFERROR(__xludf.DUMMYFUNCTION("""COMPUTED_VALUE"""),"1-5")</f>
        <v>1-5</v>
      </c>
      <c r="C411" s="32" t="str">
        <f>IFERROR(__xludf.DUMMYFUNCTION("""COMPUTED_VALUE"""),"Dragon Scale Necklace")</f>
        <v>Dragon Scale Necklace</v>
      </c>
      <c r="D411" s="35" t="str">
        <f>IFERROR(__xludf.DUMMYFUNCTION("""COMPUTED_VALUE"""),"6-10")</f>
        <v>6-10</v>
      </c>
      <c r="E411" s="32" t="str">
        <f>IFERROR(__xludf.DUMMYFUNCTION("""COMPUTED_VALUE"""),"Dragon scales")</f>
        <v>Dragon scales</v>
      </c>
      <c r="F411" s="35" t="str">
        <f>IFERROR(__xludf.DUMMYFUNCTION("""COMPUTED_VALUE"""),"11-15")</f>
        <v>11-15</v>
      </c>
      <c r="G411" s="32" t="str">
        <f>IFERROR(__xludf.DUMMYFUNCTION("""COMPUTED_VALUE"""),"Nothing")</f>
        <v>Nothing</v>
      </c>
      <c r="H411" s="35" t="str">
        <f>IFERROR(__xludf.DUMMYFUNCTION("""COMPUTED_VALUE"""),"16-20")</f>
        <v>16-20</v>
      </c>
      <c r="I411" s="32" t="str">
        <f>IFERROR(__xludf.DUMMYFUNCTION("""COMPUTED_VALUE"""),"Soul")</f>
        <v>Soul</v>
      </c>
      <c r="J411" s="35" t="str">
        <f>IFERROR(__xludf.DUMMYFUNCTION("""COMPUTED_VALUE"""),"21-25")</f>
        <v>21-25</v>
      </c>
      <c r="K411" s="32" t="str">
        <f>IFERROR(__xludf.DUMMYFUNCTION("""COMPUTED_VALUE"""),"Soul")</f>
        <v>Soul</v>
      </c>
      <c r="L411" s="32"/>
      <c r="M411" s="32"/>
      <c r="N411" s="32"/>
      <c r="O411" s="32"/>
      <c r="P411" s="32"/>
      <c r="Q411" s="32"/>
      <c r="R411" s="32"/>
      <c r="S411" s="32"/>
      <c r="T411" s="32"/>
      <c r="U411" s="32"/>
      <c r="V411" s="32"/>
      <c r="W411" s="32"/>
      <c r="X411" s="32"/>
    </row>
    <row r="412">
      <c r="A412" s="32" t="str">
        <f>IFERROR(__xludf.DUMMYFUNCTION("""COMPUTED_VALUE"""),"Ancient Celestial Dragon")</f>
        <v>Ancient Celestial Dragon</v>
      </c>
      <c r="B412" s="35" t="str">
        <f>IFERROR(__xludf.DUMMYFUNCTION("""COMPUTED_VALUE"""),"1-5")</f>
        <v>1-5</v>
      </c>
      <c r="C412" s="32" t="str">
        <f>IFERROR(__xludf.DUMMYFUNCTION("""COMPUTED_VALUE"""),"Dragon's Skull")</f>
        <v>Dragon's Skull</v>
      </c>
      <c r="D412" s="35" t="str">
        <f>IFERROR(__xludf.DUMMYFUNCTION("""COMPUTED_VALUE"""),"6-10")</f>
        <v>6-10</v>
      </c>
      <c r="E412" s="32" t="str">
        <f>IFERROR(__xludf.DUMMYFUNCTION("""COMPUTED_VALUE"""),"Dragon's Skull")</f>
        <v>Dragon's Skull</v>
      </c>
      <c r="F412" s="35" t="str">
        <f>IFERROR(__xludf.DUMMYFUNCTION("""COMPUTED_VALUE"""),"11-15")</f>
        <v>11-15</v>
      </c>
      <c r="G412" s="32" t="str">
        <f>IFERROR(__xludf.DUMMYFUNCTION("""COMPUTED_VALUE"""),"Nothing")</f>
        <v>Nothing</v>
      </c>
      <c r="H412" s="35" t="str">
        <f>IFERROR(__xludf.DUMMYFUNCTION("""COMPUTED_VALUE"""),"16-20")</f>
        <v>16-20</v>
      </c>
      <c r="I412" s="32" t="str">
        <f>IFERROR(__xludf.DUMMYFUNCTION("""COMPUTED_VALUE"""),"Draconic Shield")</f>
        <v>Draconic Shield</v>
      </c>
      <c r="J412" s="35" t="str">
        <f>IFERROR(__xludf.DUMMYFUNCTION("""COMPUTED_VALUE"""),"21-25")</f>
        <v>21-25</v>
      </c>
      <c r="K412" s="32" t="str">
        <f>IFERROR(__xludf.DUMMYFUNCTION("""COMPUTED_VALUE"""),"Soul")</f>
        <v>Soul</v>
      </c>
      <c r="L412" s="32"/>
      <c r="M412" s="32"/>
      <c r="N412" s="32"/>
      <c r="O412" s="32"/>
      <c r="P412" s="32"/>
      <c r="Q412" s="32"/>
      <c r="R412" s="32"/>
      <c r="S412" s="32"/>
      <c r="T412" s="32"/>
      <c r="U412" s="32"/>
      <c r="V412" s="32"/>
      <c r="W412" s="32"/>
      <c r="X412" s="32"/>
    </row>
    <row r="413">
      <c r="A413" s="32" t="str">
        <f>IFERROR(__xludf.DUMMYFUNCTION("""COMPUTED_VALUE"""),"Ancient Chaos Dragon")</f>
        <v>Ancient Chaos Dragon</v>
      </c>
      <c r="B413" s="35" t="str">
        <f>IFERROR(__xludf.DUMMYFUNCTION("""COMPUTED_VALUE"""),"1-5")</f>
        <v>1-5</v>
      </c>
      <c r="C413" s="32" t="str">
        <f>IFERROR(__xludf.DUMMYFUNCTION("""COMPUTED_VALUE"""),"Ring o' Insanity and Chaos")</f>
        <v>Ring o' Insanity and Chaos</v>
      </c>
      <c r="D413" s="35" t="str">
        <f>IFERROR(__xludf.DUMMYFUNCTION("""COMPUTED_VALUE"""),"6-10")</f>
        <v>6-10</v>
      </c>
      <c r="E413" s="32" t="str">
        <f>IFERROR(__xludf.DUMMYFUNCTION("""COMPUTED_VALUE"""),"Chaos Bullet")</f>
        <v>Chaos Bullet</v>
      </c>
      <c r="F413" s="35" t="str">
        <f>IFERROR(__xludf.DUMMYFUNCTION("""COMPUTED_VALUE"""),"11-15")</f>
        <v>11-15</v>
      </c>
      <c r="G413" s="32" t="str">
        <f>IFERROR(__xludf.DUMMYFUNCTION("""COMPUTED_VALUE"""),"Nothing")</f>
        <v>Nothing</v>
      </c>
      <c r="H413" s="35" t="str">
        <f>IFERROR(__xludf.DUMMYFUNCTION("""COMPUTED_VALUE"""),"16-20")</f>
        <v>16-20</v>
      </c>
      <c r="I413" s="32" t="str">
        <f>IFERROR(__xludf.DUMMYFUNCTION("""COMPUTED_VALUE"""),"Soul")</f>
        <v>Soul</v>
      </c>
      <c r="J413" s="35" t="str">
        <f>IFERROR(__xludf.DUMMYFUNCTION("""COMPUTED_VALUE"""),"21-25")</f>
        <v>21-25</v>
      </c>
      <c r="K413" s="32" t="str">
        <f>IFERROR(__xludf.DUMMYFUNCTION("""COMPUTED_VALUE"""),"Soul")</f>
        <v>Soul</v>
      </c>
      <c r="L413" s="32"/>
      <c r="M413" s="32"/>
      <c r="N413" s="32"/>
      <c r="O413" s="32"/>
      <c r="P413" s="32"/>
      <c r="Q413" s="32"/>
      <c r="R413" s="32"/>
      <c r="S413" s="32"/>
      <c r="T413" s="32"/>
      <c r="U413" s="32"/>
      <c r="V413" s="32"/>
      <c r="W413" s="32"/>
      <c r="X413" s="32"/>
    </row>
    <row r="414">
      <c r="A414" s="32" t="str">
        <f>IFERROR(__xludf.DUMMYFUNCTION("""COMPUTED_VALUE"""),"Ancient Dark Dragon")</f>
        <v>Ancient Dark Dragon</v>
      </c>
      <c r="B414" s="35" t="str">
        <f>IFERROR(__xludf.DUMMYFUNCTION("""COMPUTED_VALUE"""),"1-5")</f>
        <v>1-5</v>
      </c>
      <c r="C414" s="32" t="str">
        <f>IFERROR(__xludf.DUMMYFUNCTION("""COMPUTED_VALUE"""),"Ring of Darkness")</f>
        <v>Ring of Darkness</v>
      </c>
      <c r="D414" s="35" t="str">
        <f>IFERROR(__xludf.DUMMYFUNCTION("""COMPUTED_VALUE"""),"6-10")</f>
        <v>6-10</v>
      </c>
      <c r="E414" s="32" t="str">
        <f>IFERROR(__xludf.DUMMYFUNCTION("""COMPUTED_VALUE"""),"Nothing")</f>
        <v>Nothing</v>
      </c>
      <c r="F414" s="35" t="str">
        <f>IFERROR(__xludf.DUMMYFUNCTION("""COMPUTED_VALUE"""),"11-15")</f>
        <v>11-15</v>
      </c>
      <c r="G414" s="32" t="str">
        <f>IFERROR(__xludf.DUMMYFUNCTION("""COMPUTED_VALUE"""),"Soul")</f>
        <v>Soul</v>
      </c>
      <c r="H414" s="35" t="str">
        <f>IFERROR(__xludf.DUMMYFUNCTION("""COMPUTED_VALUE"""),"16-20")</f>
        <v>16-20</v>
      </c>
      <c r="I414" s="32" t="str">
        <f>IFERROR(__xludf.DUMMYFUNCTION("""COMPUTED_VALUE"""),"Dark Dragonscale Claws")</f>
        <v>Dark Dragonscale Claws</v>
      </c>
      <c r="J414" s="35" t="str">
        <f>IFERROR(__xludf.DUMMYFUNCTION("""COMPUTED_VALUE"""),"21-25")</f>
        <v>21-25</v>
      </c>
      <c r="K414" s="32" t="str">
        <f>IFERROR(__xludf.DUMMYFUNCTION("""COMPUTED_VALUE"""),"Nothing")</f>
        <v>Nothing</v>
      </c>
      <c r="L414" s="32"/>
      <c r="M414" s="32"/>
      <c r="N414" s="32"/>
      <c r="O414" s="32"/>
      <c r="P414" s="32"/>
      <c r="Q414" s="32"/>
      <c r="R414" s="32"/>
      <c r="S414" s="32"/>
      <c r="T414" s="32"/>
      <c r="U414" s="32"/>
      <c r="V414" s="32"/>
      <c r="W414" s="32"/>
      <c r="X414" s="32"/>
    </row>
    <row r="415">
      <c r="A415" s="32" t="str">
        <f>IFERROR(__xludf.DUMMYFUNCTION("""COMPUTED_VALUE"""),"Ancient Delta Dragon")</f>
        <v>Ancient Delta Dragon</v>
      </c>
      <c r="B415" s="35" t="str">
        <f>IFERROR(__xludf.DUMMYFUNCTION("""COMPUTED_VALUE"""),"1-5")</f>
        <v>1-5</v>
      </c>
      <c r="C415" s="32" t="str">
        <f>IFERROR(__xludf.DUMMYFUNCTION("""COMPUTED_VALUE"""),"Nothing")</f>
        <v>Nothing</v>
      </c>
      <c r="D415" s="35" t="str">
        <f>IFERROR(__xludf.DUMMYFUNCTION("""COMPUTED_VALUE"""),"6-10")</f>
        <v>6-10</v>
      </c>
      <c r="E415" s="32" t="str">
        <f>IFERROR(__xludf.DUMMYFUNCTION("""COMPUTED_VALUE"""),"Soul")</f>
        <v>Soul</v>
      </c>
      <c r="F415" s="35" t="str">
        <f>IFERROR(__xludf.DUMMYFUNCTION("""COMPUTED_VALUE"""),"11-15")</f>
        <v>11-15</v>
      </c>
      <c r="G415" s="32" t="str">
        <f>IFERROR(__xludf.DUMMYFUNCTION("""COMPUTED_VALUE"""),"20,000,000G-40,000,000G")</f>
        <v>20,000,000G-40,000,000G</v>
      </c>
      <c r="H415" s="35" t="str">
        <f>IFERROR(__xludf.DUMMYFUNCTION("""COMPUTED_VALUE"""),"16-20")</f>
        <v>16-20</v>
      </c>
      <c r="I415" s="32" t="str">
        <f>IFERROR(__xludf.DUMMYFUNCTION("""COMPUTED_VALUE"""),"100,000,000G-500,000,000G")</f>
        <v>100,000,000G-500,000,000G</v>
      </c>
      <c r="J415" s="35" t="str">
        <f>IFERROR(__xludf.DUMMYFUNCTION("""COMPUTED_VALUE"""),"21-25")</f>
        <v>21-25</v>
      </c>
      <c r="K415" s="32" t="str">
        <f>IFERROR(__xludf.DUMMYFUNCTION("""COMPUTED_VALUE"""),"80,000,000G-100,000,000G")</f>
        <v>80,000,000G-100,000,000G</v>
      </c>
      <c r="L415" s="32"/>
      <c r="M415" s="32"/>
      <c r="N415" s="32"/>
      <c r="O415" s="32"/>
      <c r="P415" s="32"/>
      <c r="Q415" s="32"/>
      <c r="R415" s="32"/>
      <c r="S415" s="32"/>
      <c r="T415" s="32"/>
      <c r="U415" s="32"/>
      <c r="V415" s="32"/>
      <c r="W415" s="32"/>
      <c r="X415" s="32"/>
    </row>
    <row r="416">
      <c r="A416" s="32" t="str">
        <f>IFERROR(__xludf.DUMMYFUNCTION("""COMPUTED_VALUE"""),"Ancient Forest Dragon")</f>
        <v>Ancient Forest Dragon</v>
      </c>
      <c r="B416" s="35" t="str">
        <f>IFERROR(__xludf.DUMMYFUNCTION("""COMPUTED_VALUE"""),"1-5")</f>
        <v>1-5</v>
      </c>
      <c r="C416" s="32" t="str">
        <f>IFERROR(__xludf.DUMMYFUNCTION("""COMPUTED_VALUE"""),"Dead Forest Blade")</f>
        <v>Dead Forest Blade</v>
      </c>
      <c r="D416" s="35" t="str">
        <f>IFERROR(__xludf.DUMMYFUNCTION("""COMPUTED_VALUE"""),"6-10")</f>
        <v>6-10</v>
      </c>
      <c r="E416" s="32" t="str">
        <f>IFERROR(__xludf.DUMMYFUNCTION("""COMPUTED_VALUE"""),"Soul")</f>
        <v>Soul</v>
      </c>
      <c r="F416" s="35" t="str">
        <f>IFERROR(__xludf.DUMMYFUNCTION("""COMPUTED_VALUE"""),"11-15")</f>
        <v>11-15</v>
      </c>
      <c r="G416" s="32" t="str">
        <f>IFERROR(__xludf.DUMMYFUNCTION("""COMPUTED_VALUE"""),"Cursed Blade")</f>
        <v>Cursed Blade</v>
      </c>
      <c r="H416" s="35" t="str">
        <f>IFERROR(__xludf.DUMMYFUNCTION("""COMPUTED_VALUE"""),"16-20")</f>
        <v>16-20</v>
      </c>
      <c r="I416" s="32" t="str">
        <f>IFERROR(__xludf.DUMMYFUNCTION("""COMPUTED_VALUE"""),"Soul")</f>
        <v>Soul</v>
      </c>
      <c r="J416" s="35" t="str">
        <f>IFERROR(__xludf.DUMMYFUNCTION("""COMPUTED_VALUE"""),"21-25")</f>
        <v>21-25</v>
      </c>
      <c r="K416" s="32" t="str">
        <f>IFERROR(__xludf.DUMMYFUNCTION("""COMPUTED_VALUE"""),"Nothing")</f>
        <v>Nothing</v>
      </c>
      <c r="L416" s="32"/>
      <c r="M416" s="32"/>
      <c r="N416" s="32"/>
      <c r="O416" s="32"/>
      <c r="P416" s="32"/>
      <c r="Q416" s="32"/>
      <c r="R416" s="32"/>
      <c r="S416" s="32"/>
      <c r="T416" s="32"/>
      <c r="U416" s="32"/>
      <c r="V416" s="32"/>
      <c r="W416" s="32"/>
      <c r="X416" s="32"/>
    </row>
    <row r="417">
      <c r="A417" s="32" t="str">
        <f>IFERROR(__xludf.DUMMYFUNCTION("""COMPUTED_VALUE"""),"Ancient Frost Dragon")</f>
        <v>Ancient Frost Dragon</v>
      </c>
      <c r="B417" s="35" t="str">
        <f>IFERROR(__xludf.DUMMYFUNCTION("""COMPUTED_VALUE"""),"1-5")</f>
        <v>1-5</v>
      </c>
      <c r="C417" s="32" t="str">
        <f>IFERROR(__xludf.DUMMYFUNCTION("""COMPUTED_VALUE"""),"Nothing")</f>
        <v>Nothing</v>
      </c>
      <c r="D417" s="35" t="str">
        <f>IFERROR(__xludf.DUMMYFUNCTION("""COMPUTED_VALUE"""),"6-10")</f>
        <v>6-10</v>
      </c>
      <c r="E417" s="32" t="str">
        <f>IFERROR(__xludf.DUMMYFUNCTION("""COMPUTED_VALUE"""),"Ice bomb")</f>
        <v>Ice bomb</v>
      </c>
      <c r="F417" s="35" t="str">
        <f>IFERROR(__xludf.DUMMYFUNCTION("""COMPUTED_VALUE"""),"11-15")</f>
        <v>11-15</v>
      </c>
      <c r="G417" s="32" t="str">
        <f>IFERROR(__xludf.DUMMYFUNCTION("""COMPUTED_VALUE"""),"Wine")</f>
        <v>Wine</v>
      </c>
      <c r="H417" s="35" t="str">
        <f>IFERROR(__xludf.DUMMYFUNCTION("""COMPUTED_VALUE"""),"16-20")</f>
        <v>16-20</v>
      </c>
      <c r="I417" s="32" t="str">
        <f>IFERROR(__xludf.DUMMYFUNCTION("""COMPUTED_VALUE"""),"Soul")</f>
        <v>Soul</v>
      </c>
      <c r="J417" s="35" t="str">
        <f>IFERROR(__xludf.DUMMYFUNCTION("""COMPUTED_VALUE"""),"21-25")</f>
        <v>21-25</v>
      </c>
      <c r="K417" s="32" t="str">
        <f>IFERROR(__xludf.DUMMYFUNCTION("""COMPUTED_VALUE"""),"Nothing")</f>
        <v>Nothing</v>
      </c>
      <c r="L417" s="32"/>
      <c r="M417" s="32"/>
      <c r="N417" s="32"/>
      <c r="O417" s="32"/>
      <c r="P417" s="32"/>
      <c r="Q417" s="32"/>
      <c r="R417" s="32"/>
      <c r="S417" s="32"/>
      <c r="T417" s="32"/>
      <c r="U417" s="32"/>
      <c r="V417" s="32"/>
      <c r="W417" s="32"/>
      <c r="X417" s="32"/>
    </row>
    <row r="418">
      <c r="A418" s="32" t="str">
        <f>IFERROR(__xludf.DUMMYFUNCTION("""COMPUTED_VALUE"""),"Ancient Soul Dragon")</f>
        <v>Ancient Soul Dragon</v>
      </c>
      <c r="B418" s="35" t="str">
        <f>IFERROR(__xludf.DUMMYFUNCTION("""COMPUTED_VALUE"""),"1-5")</f>
        <v>1-5</v>
      </c>
      <c r="C418" s="32" t="str">
        <f>IFERROR(__xludf.DUMMYFUNCTION("""COMPUTED_VALUE"""),"Soul")</f>
        <v>Soul</v>
      </c>
      <c r="D418" s="35" t="str">
        <f>IFERROR(__xludf.DUMMYFUNCTION("""COMPUTED_VALUE"""),"6-10")</f>
        <v>6-10</v>
      </c>
      <c r="E418" s="32"/>
      <c r="F418" s="35" t="str">
        <f>IFERROR(__xludf.DUMMYFUNCTION("""COMPUTED_VALUE"""),"11-15")</f>
        <v>11-15</v>
      </c>
      <c r="G418" s="32" t="str">
        <f>IFERROR(__xludf.DUMMYFUNCTION("""COMPUTED_VALUE"""),"Soul")</f>
        <v>Soul</v>
      </c>
      <c r="H418" s="35" t="str">
        <f>IFERROR(__xludf.DUMMYFUNCTION("""COMPUTED_VALUE"""),"16-20")</f>
        <v>16-20</v>
      </c>
      <c r="I418" s="32" t="str">
        <f>IFERROR(__xludf.DUMMYFUNCTION("""COMPUTED_VALUE"""),"1,000,000G-20,000,000G")</f>
        <v>1,000,000G-20,000,000G</v>
      </c>
      <c r="J418" s="35" t="str">
        <f>IFERROR(__xludf.DUMMYFUNCTION("""COMPUTED_VALUE"""),"21-25")</f>
        <v>21-25</v>
      </c>
      <c r="K418" s="32"/>
      <c r="L418" s="32"/>
      <c r="M418" s="32"/>
      <c r="N418" s="32"/>
      <c r="O418" s="32"/>
      <c r="P418" s="32"/>
      <c r="Q418" s="32"/>
      <c r="R418" s="32"/>
      <c r="S418" s="32"/>
      <c r="T418" s="32"/>
      <c r="U418" s="32"/>
      <c r="V418" s="32"/>
      <c r="W418" s="32"/>
      <c r="X418" s="32"/>
    </row>
    <row r="419">
      <c r="A419" s="32" t="str">
        <f>IFERROR(__xludf.DUMMYFUNCTION("""COMPUTED_VALUE"""),"Ancient Spirit Dragon")</f>
        <v>Ancient Spirit Dragon</v>
      </c>
      <c r="B419" s="35" t="str">
        <f>IFERROR(__xludf.DUMMYFUNCTION("""COMPUTED_VALUE"""),"1-5")</f>
        <v>1-5</v>
      </c>
      <c r="C419" s="32" t="str">
        <f>IFERROR(__xludf.DUMMYFUNCTION("""COMPUTED_VALUE"""),"1,000,000G-20,000,000G")</f>
        <v>1,000,000G-20,000,000G</v>
      </c>
      <c r="D419" s="35" t="str">
        <f>IFERROR(__xludf.DUMMYFUNCTION("""COMPUTED_VALUE"""),"6-10")</f>
        <v>6-10</v>
      </c>
      <c r="E419" s="32" t="str">
        <f>IFERROR(__xludf.DUMMYFUNCTION("""COMPUTED_VALUE"""),"Spirit Blade")</f>
        <v>Spirit Blade</v>
      </c>
      <c r="F419" s="35" t="str">
        <f>IFERROR(__xludf.DUMMYFUNCTION("""COMPUTED_VALUE"""),"11-15")</f>
        <v>11-15</v>
      </c>
      <c r="G419" s="32" t="str">
        <f>IFERROR(__xludf.DUMMYFUNCTION("""COMPUTED_VALUE"""),"Spirit Shield")</f>
        <v>Spirit Shield</v>
      </c>
      <c r="H419" s="35" t="str">
        <f>IFERROR(__xludf.DUMMYFUNCTION("""COMPUTED_VALUE"""),"16-20")</f>
        <v>16-20</v>
      </c>
      <c r="I419" s="32" t="str">
        <f>IFERROR(__xludf.DUMMYFUNCTION("""COMPUTED_VALUE"""),"80,000,000G-100,000,000G")</f>
        <v>80,000,000G-100,000,000G</v>
      </c>
      <c r="J419" s="35" t="str">
        <f>IFERROR(__xludf.DUMMYFUNCTION("""COMPUTED_VALUE"""),"21-25")</f>
        <v>21-25</v>
      </c>
      <c r="K419" s="32" t="str">
        <f>IFERROR(__xludf.DUMMYFUNCTION("""COMPUTED_VALUE"""),"Nothing")</f>
        <v>Nothing</v>
      </c>
      <c r="L419" s="32"/>
      <c r="M419" s="32"/>
      <c r="N419" s="32"/>
      <c r="O419" s="32"/>
      <c r="P419" s="32"/>
      <c r="Q419" s="32"/>
      <c r="R419" s="32"/>
      <c r="S419" s="32"/>
      <c r="T419" s="32"/>
      <c r="U419" s="32"/>
      <c r="V419" s="32"/>
      <c r="W419" s="32"/>
      <c r="X419" s="32"/>
    </row>
    <row r="420">
      <c r="A420" s="32" t="str">
        <f>IFERROR(__xludf.DUMMYFUNCTION("""COMPUTED_VALUE"""),"Ancient Stone Dragon")</f>
        <v>Ancient Stone Dragon</v>
      </c>
      <c r="B420" s="35" t="str">
        <f>IFERROR(__xludf.DUMMYFUNCTION("""COMPUTED_VALUE"""),"1-5")</f>
        <v>1-5</v>
      </c>
      <c r="C420" s="32" t="str">
        <f>IFERROR(__xludf.DUMMYFUNCTION("""COMPUTED_VALUE"""),"Nothing")</f>
        <v>Nothing</v>
      </c>
      <c r="D420" s="35" t="str">
        <f>IFERROR(__xludf.DUMMYFUNCTION("""COMPUTED_VALUE"""),"6-10")</f>
        <v>6-10</v>
      </c>
      <c r="E420" s="32" t="str">
        <f>IFERROR(__xludf.DUMMYFUNCTION("""COMPUTED_VALUE"""),"Nothing")</f>
        <v>Nothing</v>
      </c>
      <c r="F420" s="35" t="str">
        <f>IFERROR(__xludf.DUMMYFUNCTION("""COMPUTED_VALUE"""),"11-15")</f>
        <v>11-15</v>
      </c>
      <c r="G420" s="32" t="str">
        <f>IFERROR(__xludf.DUMMYFUNCTION("""COMPUTED_VALUE"""),"Soul")</f>
        <v>Soul</v>
      </c>
      <c r="H420" s="35" t="str">
        <f>IFERROR(__xludf.DUMMYFUNCTION("""COMPUTED_VALUE"""),"16-20")</f>
        <v>16-20</v>
      </c>
      <c r="I420" s="32" t="str">
        <f>IFERROR(__xludf.DUMMYFUNCTION("""COMPUTED_VALUE"""),"Nothing")</f>
        <v>Nothing</v>
      </c>
      <c r="J420" s="35" t="str">
        <f>IFERROR(__xludf.DUMMYFUNCTION("""COMPUTED_VALUE"""),"21-25")</f>
        <v>21-25</v>
      </c>
      <c r="K420" s="32" t="str">
        <f>IFERROR(__xludf.DUMMYFUNCTION("""COMPUTED_VALUE"""),"Stone")</f>
        <v>Stone</v>
      </c>
      <c r="L420" s="32"/>
      <c r="M420" s="32"/>
      <c r="N420" s="32"/>
      <c r="O420" s="32"/>
      <c r="P420" s="32"/>
      <c r="Q420" s="32"/>
      <c r="R420" s="32"/>
      <c r="S420" s="32"/>
      <c r="T420" s="32"/>
      <c r="U420" s="32"/>
      <c r="V420" s="32"/>
      <c r="W420" s="32"/>
      <c r="X420" s="32"/>
    </row>
    <row r="421">
      <c r="A421" s="32"/>
      <c r="B421" s="35" t="str">
        <f>IFERROR(__xludf.DUMMYFUNCTION("""COMPUTED_VALUE"""),"1-5")</f>
        <v>1-5</v>
      </c>
      <c r="C421" s="32"/>
      <c r="D421" s="35" t="str">
        <f>IFERROR(__xludf.DUMMYFUNCTION("""COMPUTED_VALUE"""),"6-10")</f>
        <v>6-10</v>
      </c>
      <c r="E421" s="32"/>
      <c r="F421" s="35" t="str">
        <f>IFERROR(__xludf.DUMMYFUNCTION("""COMPUTED_VALUE"""),"11-15")</f>
        <v>11-15</v>
      </c>
      <c r="G421" s="32"/>
      <c r="H421" s="35" t="str">
        <f>IFERROR(__xludf.DUMMYFUNCTION("""COMPUTED_VALUE"""),"16-20")</f>
        <v>16-20</v>
      </c>
      <c r="I421" s="32"/>
      <c r="J421" s="35" t="str">
        <f>IFERROR(__xludf.DUMMYFUNCTION("""COMPUTED_VALUE"""),"21-25")</f>
        <v>21-25</v>
      </c>
      <c r="K421" s="32"/>
      <c r="L421" s="32"/>
      <c r="M421" s="32"/>
      <c r="N421" s="32"/>
      <c r="O421" s="32"/>
      <c r="P421" s="32"/>
      <c r="Q421" s="32"/>
      <c r="R421" s="32"/>
      <c r="S421" s="32"/>
      <c r="T421" s="32"/>
      <c r="U421" s="32"/>
      <c r="V421" s="32"/>
      <c r="W421" s="32"/>
      <c r="X421" s="32"/>
    </row>
    <row r="422">
      <c r="A422" s="32" t="str">
        <f>IFERROR(__xludf.DUMMYFUNCTION("""COMPUTED_VALUE"""),"Ancient Fire Dragon")</f>
        <v>Ancient Fire Dragon</v>
      </c>
      <c r="B422" s="35" t="str">
        <f>IFERROR(__xludf.DUMMYFUNCTION("""COMPUTED_VALUE"""),"1-5")</f>
        <v>1-5</v>
      </c>
      <c r="C422" s="32" t="str">
        <f>IFERROR(__xludf.DUMMYFUNCTION("""COMPUTED_VALUE"""),"Searing Dragonscale Staff")</f>
        <v>Searing Dragonscale Staff</v>
      </c>
      <c r="D422" s="35" t="str">
        <f>IFERROR(__xludf.DUMMYFUNCTION("""COMPUTED_VALUE"""),"6-10")</f>
        <v>6-10</v>
      </c>
      <c r="E422" s="32" t="str">
        <f>IFERROR(__xludf.DUMMYFUNCTION("""COMPUTED_VALUE"""),"Fire Dragonscale Bow")</f>
        <v>Fire Dragonscale Bow</v>
      </c>
      <c r="F422" s="35" t="str">
        <f>IFERROR(__xludf.DUMMYFUNCTION("""COMPUTED_VALUE"""),"11-15")</f>
        <v>11-15</v>
      </c>
      <c r="G422" s="32" t="str">
        <f>IFERROR(__xludf.DUMMYFUNCTION("""COMPUTED_VALUE"""),"Burning Broadsword")</f>
        <v>Burning Broadsword</v>
      </c>
      <c r="H422" s="35" t="str">
        <f>IFERROR(__xludf.DUMMYFUNCTION("""COMPUTED_VALUE"""),"16-20")</f>
        <v>16-20</v>
      </c>
      <c r="I422" s="32" t="str">
        <f>IFERROR(__xludf.DUMMYFUNCTION("""COMPUTED_VALUE"""),"Soul")</f>
        <v>Soul</v>
      </c>
      <c r="J422" s="35" t="str">
        <f>IFERROR(__xludf.DUMMYFUNCTION("""COMPUTED_VALUE"""),"21-25")</f>
        <v>21-25</v>
      </c>
      <c r="K422" s="32" t="str">
        <f>IFERROR(__xludf.DUMMYFUNCTION("""COMPUTED_VALUE"""),"Nothing")</f>
        <v>Nothing</v>
      </c>
      <c r="L422" s="32"/>
      <c r="M422" s="32"/>
      <c r="N422" s="32"/>
      <c r="O422" s="32"/>
      <c r="P422" s="32"/>
      <c r="Q422" s="32"/>
      <c r="R422" s="32"/>
      <c r="S422" s="32"/>
      <c r="T422" s="32"/>
      <c r="U422" s="32"/>
      <c r="V422" s="32"/>
      <c r="W422" s="32"/>
      <c r="X422" s="32"/>
    </row>
    <row r="423">
      <c r="A423" s="32"/>
      <c r="B423" s="35" t="str">
        <f>IFERROR(__xludf.DUMMYFUNCTION("""COMPUTED_VALUE"""),"1-5")</f>
        <v>1-5</v>
      </c>
      <c r="C423" s="32"/>
      <c r="D423" s="35" t="str">
        <f>IFERROR(__xludf.DUMMYFUNCTION("""COMPUTED_VALUE"""),"6-10")</f>
        <v>6-10</v>
      </c>
      <c r="E423" s="32"/>
      <c r="F423" s="35" t="str">
        <f>IFERROR(__xludf.DUMMYFUNCTION("""COMPUTED_VALUE"""),"11-15")</f>
        <v>11-15</v>
      </c>
      <c r="G423" s="32"/>
      <c r="H423" s="35" t="str">
        <f>IFERROR(__xludf.DUMMYFUNCTION("""COMPUTED_VALUE"""),"16-20")</f>
        <v>16-20</v>
      </c>
      <c r="I423" s="32"/>
      <c r="J423" s="35" t="str">
        <f>IFERROR(__xludf.DUMMYFUNCTION("""COMPUTED_VALUE"""),"21-25")</f>
        <v>21-25</v>
      </c>
      <c r="K423" s="32"/>
      <c r="L423" s="32"/>
      <c r="M423" s="32"/>
      <c r="N423" s="32"/>
      <c r="O423" s="32"/>
      <c r="P423" s="32"/>
      <c r="Q423" s="32"/>
      <c r="R423" s="32"/>
      <c r="S423" s="32"/>
      <c r="T423" s="32"/>
      <c r="U423" s="32"/>
      <c r="V423" s="32"/>
      <c r="W423" s="32"/>
      <c r="X423" s="32"/>
    </row>
    <row r="424">
      <c r="A424" s="32" t="str">
        <f>IFERROR(__xludf.DUMMYFUNCTION("""COMPUTED_VALUE"""),"Ancient Undead Dragon")</f>
        <v>Ancient Undead Dragon</v>
      </c>
      <c r="B424" s="35" t="str">
        <f>IFERROR(__xludf.DUMMYFUNCTION("""COMPUTED_VALUE"""),"1-5")</f>
        <v>1-5</v>
      </c>
      <c r="C424" s="32" t="str">
        <f>IFERROR(__xludf.DUMMYFUNCTION("""COMPUTED_VALUE"""),"Nothing")</f>
        <v>Nothing</v>
      </c>
      <c r="D424" s="35" t="str">
        <f>IFERROR(__xludf.DUMMYFUNCTION("""COMPUTED_VALUE"""),"6-10")</f>
        <v>6-10</v>
      </c>
      <c r="E424" s="32" t="str">
        <f>IFERROR(__xludf.DUMMYFUNCTION("""COMPUTED_VALUE"""),"Dragon's Skull")</f>
        <v>Dragon's Skull</v>
      </c>
      <c r="F424" s="35" t="str">
        <f>IFERROR(__xludf.DUMMYFUNCTION("""COMPUTED_VALUE"""),"11-15")</f>
        <v>11-15</v>
      </c>
      <c r="G424" s="32" t="str">
        <f>IFERROR(__xludf.DUMMYFUNCTION("""COMPUTED_VALUE"""),"Rotton Flesh")</f>
        <v>Rotton Flesh</v>
      </c>
      <c r="H424" s="35" t="str">
        <f>IFERROR(__xludf.DUMMYFUNCTION("""COMPUTED_VALUE"""),"16-20")</f>
        <v>16-20</v>
      </c>
      <c r="I424" s="32" t="str">
        <f>IFERROR(__xludf.DUMMYFUNCTION("""COMPUTED_VALUE"""),"Soul")</f>
        <v>Soul</v>
      </c>
      <c r="J424" s="35" t="str">
        <f>IFERROR(__xludf.DUMMYFUNCTION("""COMPUTED_VALUE"""),"21-25")</f>
        <v>21-25</v>
      </c>
      <c r="K424" s="32" t="str">
        <f>IFERROR(__xludf.DUMMYFUNCTION("""COMPUTED_VALUE"""),"Bonemerang")</f>
        <v>Bonemerang</v>
      </c>
      <c r="L424" s="32"/>
      <c r="M424" s="32"/>
      <c r="N424" s="32"/>
      <c r="O424" s="32"/>
      <c r="P424" s="32"/>
      <c r="Q424" s="32"/>
      <c r="R424" s="32"/>
      <c r="S424" s="32"/>
      <c r="T424" s="32"/>
      <c r="U424" s="32"/>
      <c r="V424" s="32"/>
      <c r="W424" s="32"/>
      <c r="X424" s="32"/>
    </row>
    <row r="425">
      <c r="A425" s="32" t="str">
        <f>IFERROR(__xludf.DUMMYFUNCTION("""COMPUTED_VALUE"""),"Ancient Crystal Dragon")</f>
        <v>Ancient Crystal Dragon</v>
      </c>
      <c r="B425" s="35" t="str">
        <f>IFERROR(__xludf.DUMMYFUNCTION("""COMPUTED_VALUE"""),"1-5")</f>
        <v>1-5</v>
      </c>
      <c r="C425" s="32" t="str">
        <f>IFERROR(__xludf.DUMMYFUNCTION("""COMPUTED_VALUE"""),"Nothing")</f>
        <v>Nothing</v>
      </c>
      <c r="D425" s="35" t="str">
        <f>IFERROR(__xludf.DUMMYFUNCTION("""COMPUTED_VALUE"""),"6-10")</f>
        <v>6-10</v>
      </c>
      <c r="E425" s="32" t="str">
        <f>IFERROR(__xludf.DUMMYFUNCTION("""COMPUTED_VALUE"""),"500,000G-1,000,000G")</f>
        <v>500,000G-1,000,000G</v>
      </c>
      <c r="F425" s="35" t="str">
        <f>IFERROR(__xludf.DUMMYFUNCTION("""COMPUTED_VALUE"""),"11-15")</f>
        <v>11-15</v>
      </c>
      <c r="G425" s="32" t="str">
        <f>IFERROR(__xludf.DUMMYFUNCTION("""COMPUTED_VALUE"""),"Soul")</f>
        <v>Soul</v>
      </c>
      <c r="H425" s="35" t="str">
        <f>IFERROR(__xludf.DUMMYFUNCTION("""COMPUTED_VALUE"""),"16-20")</f>
        <v>16-20</v>
      </c>
      <c r="I425" s="32" t="str">
        <f>IFERROR(__xludf.DUMMYFUNCTION("""COMPUTED_VALUE"""),"Staff Of Suffering")</f>
        <v>Staff Of Suffering</v>
      </c>
      <c r="J425" s="35" t="str">
        <f>IFERROR(__xludf.DUMMYFUNCTION("""COMPUTED_VALUE"""),"21-25")</f>
        <v>21-25</v>
      </c>
      <c r="K425" s="32" t="str">
        <f>IFERROR(__xludf.DUMMYFUNCTION("""COMPUTED_VALUE"""),"Nothing")</f>
        <v>Nothing</v>
      </c>
      <c r="L425" s="32"/>
      <c r="M425" s="32"/>
      <c r="N425" s="32"/>
      <c r="O425" s="32"/>
      <c r="P425" s="32"/>
      <c r="Q425" s="32"/>
      <c r="R425" s="32"/>
      <c r="S425" s="32"/>
      <c r="T425" s="32"/>
      <c r="U425" s="32"/>
      <c r="V425" s="32"/>
      <c r="W425" s="32"/>
      <c r="X425" s="32"/>
    </row>
    <row r="426">
      <c r="A426" s="32" t="str">
        <f>IFERROR(__xludf.DUMMYFUNCTION("""COMPUTED_VALUE"""),"Divine Acid Dragon")</f>
        <v>Divine Acid Dragon</v>
      </c>
      <c r="B426" s="35" t="str">
        <f>IFERROR(__xludf.DUMMYFUNCTION("""COMPUTED_VALUE"""),"1-5")</f>
        <v>1-5</v>
      </c>
      <c r="C426" s="32"/>
      <c r="D426" s="35" t="str">
        <f>IFERROR(__xludf.DUMMYFUNCTION("""COMPUTED_VALUE"""),"6-10")</f>
        <v>6-10</v>
      </c>
      <c r="E426" s="32"/>
      <c r="F426" s="35" t="str">
        <f>IFERROR(__xludf.DUMMYFUNCTION("""COMPUTED_VALUE"""),"11-15")</f>
        <v>11-15</v>
      </c>
      <c r="G426" s="32"/>
      <c r="H426" s="35" t="str">
        <f>IFERROR(__xludf.DUMMYFUNCTION("""COMPUTED_VALUE"""),"16-20")</f>
        <v>16-20</v>
      </c>
      <c r="I426" s="32"/>
      <c r="J426" s="35" t="str">
        <f>IFERROR(__xludf.DUMMYFUNCTION("""COMPUTED_VALUE"""),"21-25")</f>
        <v>21-25</v>
      </c>
      <c r="K426" s="32"/>
      <c r="L426" s="32"/>
      <c r="M426" s="32"/>
      <c r="N426" s="32"/>
      <c r="O426" s="32"/>
      <c r="P426" s="32"/>
      <c r="Q426" s="32"/>
      <c r="R426" s="32"/>
      <c r="S426" s="32"/>
      <c r="T426" s="32"/>
      <c r="U426" s="32"/>
      <c r="V426" s="32"/>
      <c r="W426" s="32"/>
      <c r="X426" s="32"/>
    </row>
    <row r="427">
      <c r="A427" s="32" t="str">
        <f>IFERROR(__xludf.DUMMYFUNCTION("""COMPUTED_VALUE"""),"Divine Water Dragon")</f>
        <v>Divine Water Dragon</v>
      </c>
      <c r="B427" s="35" t="str">
        <f>IFERROR(__xludf.DUMMYFUNCTION("""COMPUTED_VALUE"""),"1-5")</f>
        <v>1-5</v>
      </c>
      <c r="C427" s="32"/>
      <c r="D427" s="35" t="str">
        <f>IFERROR(__xludf.DUMMYFUNCTION("""COMPUTED_VALUE"""),"6-10")</f>
        <v>6-10</v>
      </c>
      <c r="E427" s="32"/>
      <c r="F427" s="35" t="str">
        <f>IFERROR(__xludf.DUMMYFUNCTION("""COMPUTED_VALUE"""),"11-15")</f>
        <v>11-15</v>
      </c>
      <c r="G427" s="32"/>
      <c r="H427" s="35" t="str">
        <f>IFERROR(__xludf.DUMMYFUNCTION("""COMPUTED_VALUE"""),"16-20")</f>
        <v>16-20</v>
      </c>
      <c r="I427" s="32"/>
      <c r="J427" s="35" t="str">
        <f>IFERROR(__xludf.DUMMYFUNCTION("""COMPUTED_VALUE"""),"21-25")</f>
        <v>21-25</v>
      </c>
      <c r="K427" s="32"/>
      <c r="L427" s="32"/>
      <c r="M427" s="32"/>
      <c r="N427" s="32"/>
      <c r="O427" s="32"/>
      <c r="P427" s="32"/>
      <c r="Q427" s="32"/>
      <c r="R427" s="32"/>
      <c r="S427" s="32"/>
      <c r="T427" s="32"/>
      <c r="U427" s="32"/>
      <c r="V427" s="32"/>
      <c r="W427" s="32"/>
      <c r="X427" s="32"/>
    </row>
    <row r="428">
      <c r="A428" s="32" t="str">
        <f>IFERROR(__xludf.DUMMYFUNCTION("""COMPUTED_VALUE"""),"Divine Astral Dragon")</f>
        <v>Divine Astral Dragon</v>
      </c>
      <c r="B428" s="35" t="str">
        <f>IFERROR(__xludf.DUMMYFUNCTION("""COMPUTED_VALUE"""),"1-5")</f>
        <v>1-5</v>
      </c>
      <c r="C428" s="32"/>
      <c r="D428" s="35" t="str">
        <f>IFERROR(__xludf.DUMMYFUNCTION("""COMPUTED_VALUE"""),"6-10")</f>
        <v>6-10</v>
      </c>
      <c r="E428" s="32"/>
      <c r="F428" s="35" t="str">
        <f>IFERROR(__xludf.DUMMYFUNCTION("""COMPUTED_VALUE"""),"11-15")</f>
        <v>11-15</v>
      </c>
      <c r="G428" s="32"/>
      <c r="H428" s="35" t="str">
        <f>IFERROR(__xludf.DUMMYFUNCTION("""COMPUTED_VALUE"""),"16-20")</f>
        <v>16-20</v>
      </c>
      <c r="I428" s="32"/>
      <c r="J428" s="35" t="str">
        <f>IFERROR(__xludf.DUMMYFUNCTION("""COMPUTED_VALUE"""),"21-25")</f>
        <v>21-25</v>
      </c>
      <c r="K428" s="32"/>
      <c r="L428" s="32"/>
      <c r="M428" s="32"/>
      <c r="N428" s="32"/>
      <c r="O428" s="32"/>
      <c r="P428" s="32"/>
      <c r="Q428" s="32"/>
      <c r="R428" s="32"/>
      <c r="S428" s="32"/>
      <c r="T428" s="32"/>
      <c r="U428" s="32"/>
      <c r="V428" s="32"/>
      <c r="W428" s="32"/>
      <c r="X428" s="32"/>
    </row>
    <row r="429">
      <c r="A429" s="32" t="str">
        <f>IFERROR(__xludf.DUMMYFUNCTION("""COMPUTED_VALUE"""),"Divine Celestial Dragon")</f>
        <v>Divine Celestial Dragon</v>
      </c>
      <c r="B429" s="35" t="str">
        <f>IFERROR(__xludf.DUMMYFUNCTION("""COMPUTED_VALUE"""),"1-5")</f>
        <v>1-5</v>
      </c>
      <c r="C429" s="32"/>
      <c r="D429" s="35" t="str">
        <f>IFERROR(__xludf.DUMMYFUNCTION("""COMPUTED_VALUE"""),"6-10")</f>
        <v>6-10</v>
      </c>
      <c r="E429" s="32"/>
      <c r="F429" s="35" t="str">
        <f>IFERROR(__xludf.DUMMYFUNCTION("""COMPUTED_VALUE"""),"11-15")</f>
        <v>11-15</v>
      </c>
      <c r="G429" s="32"/>
      <c r="H429" s="35" t="str">
        <f>IFERROR(__xludf.DUMMYFUNCTION("""COMPUTED_VALUE"""),"16-20")</f>
        <v>16-20</v>
      </c>
      <c r="I429" s="32"/>
      <c r="J429" s="35" t="str">
        <f>IFERROR(__xludf.DUMMYFUNCTION("""COMPUTED_VALUE"""),"21-25")</f>
        <v>21-25</v>
      </c>
      <c r="K429" s="32"/>
      <c r="L429" s="32"/>
      <c r="M429" s="32"/>
      <c r="N429" s="32"/>
      <c r="O429" s="32"/>
      <c r="P429" s="32"/>
      <c r="Q429" s="32"/>
      <c r="R429" s="32"/>
      <c r="S429" s="32"/>
      <c r="T429" s="32"/>
      <c r="U429" s="32"/>
      <c r="V429" s="32"/>
      <c r="W429" s="32"/>
      <c r="X429" s="32"/>
    </row>
    <row r="430">
      <c r="A430" s="32" t="str">
        <f>IFERROR(__xludf.DUMMYFUNCTION("""COMPUTED_VALUE"""),"Divine Chaos Dragon")</f>
        <v>Divine Chaos Dragon</v>
      </c>
      <c r="B430" s="35" t="str">
        <f>IFERROR(__xludf.DUMMYFUNCTION("""COMPUTED_VALUE"""),"1-5")</f>
        <v>1-5</v>
      </c>
      <c r="C430" s="32"/>
      <c r="D430" s="35" t="str">
        <f>IFERROR(__xludf.DUMMYFUNCTION("""COMPUTED_VALUE"""),"6-10")</f>
        <v>6-10</v>
      </c>
      <c r="E430" s="32"/>
      <c r="F430" s="35" t="str">
        <f>IFERROR(__xludf.DUMMYFUNCTION("""COMPUTED_VALUE"""),"11-15")</f>
        <v>11-15</v>
      </c>
      <c r="G430" s="32"/>
      <c r="H430" s="35" t="str">
        <f>IFERROR(__xludf.DUMMYFUNCTION("""COMPUTED_VALUE"""),"16-20")</f>
        <v>16-20</v>
      </c>
      <c r="I430" s="32"/>
      <c r="J430" s="35" t="str">
        <f>IFERROR(__xludf.DUMMYFUNCTION("""COMPUTED_VALUE"""),"21-25")</f>
        <v>21-25</v>
      </c>
      <c r="K430" s="32"/>
      <c r="L430" s="32"/>
      <c r="M430" s="32"/>
      <c r="N430" s="32"/>
      <c r="O430" s="32"/>
      <c r="P430" s="32"/>
      <c r="Q430" s="32"/>
      <c r="R430" s="32"/>
      <c r="S430" s="32"/>
      <c r="T430" s="32"/>
      <c r="U430" s="32"/>
      <c r="V430" s="32"/>
      <c r="W430" s="32"/>
      <c r="X430" s="32"/>
    </row>
    <row r="431">
      <c r="A431" s="32" t="str">
        <f>IFERROR(__xludf.DUMMYFUNCTION("""COMPUTED_VALUE"""),"Divine Dark Dragon")</f>
        <v>Divine Dark Dragon</v>
      </c>
      <c r="B431" s="35" t="str">
        <f>IFERROR(__xludf.DUMMYFUNCTION("""COMPUTED_VALUE"""),"1-5")</f>
        <v>1-5</v>
      </c>
      <c r="C431" s="32"/>
      <c r="D431" s="35" t="str">
        <f>IFERROR(__xludf.DUMMYFUNCTION("""COMPUTED_VALUE"""),"6-10")</f>
        <v>6-10</v>
      </c>
      <c r="E431" s="32"/>
      <c r="F431" s="35" t="str">
        <f>IFERROR(__xludf.DUMMYFUNCTION("""COMPUTED_VALUE"""),"11-15")</f>
        <v>11-15</v>
      </c>
      <c r="G431" s="32"/>
      <c r="H431" s="35" t="str">
        <f>IFERROR(__xludf.DUMMYFUNCTION("""COMPUTED_VALUE"""),"16-20")</f>
        <v>16-20</v>
      </c>
      <c r="I431" s="32"/>
      <c r="J431" s="35" t="str">
        <f>IFERROR(__xludf.DUMMYFUNCTION("""COMPUTED_VALUE"""),"21-25")</f>
        <v>21-25</v>
      </c>
      <c r="K431" s="32"/>
      <c r="L431" s="32"/>
      <c r="M431" s="32"/>
      <c r="N431" s="32"/>
      <c r="O431" s="32"/>
      <c r="P431" s="32"/>
      <c r="Q431" s="32"/>
      <c r="R431" s="32"/>
      <c r="S431" s="32"/>
      <c r="T431" s="32"/>
      <c r="U431" s="32"/>
      <c r="V431" s="32"/>
      <c r="W431" s="32"/>
      <c r="X431" s="32"/>
    </row>
    <row r="432">
      <c r="A432" s="32" t="str">
        <f>IFERROR(__xludf.DUMMYFUNCTION("""COMPUTED_VALUE"""),"Divine Delta Dragon")</f>
        <v>Divine Delta Dragon</v>
      </c>
      <c r="B432" s="35" t="str">
        <f>IFERROR(__xludf.DUMMYFUNCTION("""COMPUTED_VALUE"""),"1-5")</f>
        <v>1-5</v>
      </c>
      <c r="C432" s="32"/>
      <c r="D432" s="35" t="str">
        <f>IFERROR(__xludf.DUMMYFUNCTION("""COMPUTED_VALUE"""),"6-10")</f>
        <v>6-10</v>
      </c>
      <c r="E432" s="32"/>
      <c r="F432" s="35" t="str">
        <f>IFERROR(__xludf.DUMMYFUNCTION("""COMPUTED_VALUE"""),"11-15")</f>
        <v>11-15</v>
      </c>
      <c r="G432" s="32"/>
      <c r="H432" s="35" t="str">
        <f>IFERROR(__xludf.DUMMYFUNCTION("""COMPUTED_VALUE"""),"16-20")</f>
        <v>16-20</v>
      </c>
      <c r="I432" s="32"/>
      <c r="J432" s="35" t="str">
        <f>IFERROR(__xludf.DUMMYFUNCTION("""COMPUTED_VALUE"""),"21-25")</f>
        <v>21-25</v>
      </c>
      <c r="K432" s="32"/>
      <c r="L432" s="32"/>
      <c r="M432" s="32"/>
      <c r="N432" s="32"/>
      <c r="O432" s="32"/>
      <c r="P432" s="32"/>
      <c r="Q432" s="32"/>
      <c r="R432" s="32"/>
      <c r="S432" s="32"/>
      <c r="T432" s="32"/>
      <c r="U432" s="32"/>
      <c r="V432" s="32"/>
      <c r="W432" s="32"/>
      <c r="X432" s="32"/>
    </row>
    <row r="433">
      <c r="A433" s="32" t="str">
        <f>IFERROR(__xludf.DUMMYFUNCTION("""COMPUTED_VALUE"""),"Divine Forest Dragon")</f>
        <v>Divine Forest Dragon</v>
      </c>
      <c r="B433" s="35" t="str">
        <f>IFERROR(__xludf.DUMMYFUNCTION("""COMPUTED_VALUE"""),"1-5")</f>
        <v>1-5</v>
      </c>
      <c r="C433" s="32"/>
      <c r="D433" s="35" t="str">
        <f>IFERROR(__xludf.DUMMYFUNCTION("""COMPUTED_VALUE"""),"6-10")</f>
        <v>6-10</v>
      </c>
      <c r="E433" s="32"/>
      <c r="F433" s="35" t="str">
        <f>IFERROR(__xludf.DUMMYFUNCTION("""COMPUTED_VALUE"""),"11-15")</f>
        <v>11-15</v>
      </c>
      <c r="G433" s="32"/>
      <c r="H433" s="35" t="str">
        <f>IFERROR(__xludf.DUMMYFUNCTION("""COMPUTED_VALUE"""),"16-20")</f>
        <v>16-20</v>
      </c>
      <c r="I433" s="32"/>
      <c r="J433" s="35" t="str">
        <f>IFERROR(__xludf.DUMMYFUNCTION("""COMPUTED_VALUE"""),"21-25")</f>
        <v>21-25</v>
      </c>
      <c r="K433" s="32"/>
      <c r="L433" s="32"/>
      <c r="M433" s="32"/>
      <c r="N433" s="32"/>
      <c r="O433" s="32"/>
      <c r="P433" s="32"/>
      <c r="Q433" s="32"/>
      <c r="R433" s="32"/>
      <c r="S433" s="32"/>
      <c r="T433" s="32"/>
      <c r="U433" s="32"/>
      <c r="V433" s="32"/>
      <c r="W433" s="32"/>
      <c r="X433" s="32"/>
    </row>
    <row r="434">
      <c r="A434" s="32" t="str">
        <f>IFERROR(__xludf.DUMMYFUNCTION("""COMPUTED_VALUE"""),"Divine Frost Dragon")</f>
        <v>Divine Frost Dragon</v>
      </c>
      <c r="B434" s="35" t="str">
        <f>IFERROR(__xludf.DUMMYFUNCTION("""COMPUTED_VALUE"""),"1-5")</f>
        <v>1-5</v>
      </c>
      <c r="C434" s="32"/>
      <c r="D434" s="35" t="str">
        <f>IFERROR(__xludf.DUMMYFUNCTION("""COMPUTED_VALUE"""),"6-10")</f>
        <v>6-10</v>
      </c>
      <c r="E434" s="32"/>
      <c r="F434" s="35" t="str">
        <f>IFERROR(__xludf.DUMMYFUNCTION("""COMPUTED_VALUE"""),"11-15")</f>
        <v>11-15</v>
      </c>
      <c r="G434" s="32"/>
      <c r="H434" s="35" t="str">
        <f>IFERROR(__xludf.DUMMYFUNCTION("""COMPUTED_VALUE"""),"16-20")</f>
        <v>16-20</v>
      </c>
      <c r="I434" s="32"/>
      <c r="J434" s="35" t="str">
        <f>IFERROR(__xludf.DUMMYFUNCTION("""COMPUTED_VALUE"""),"21-25")</f>
        <v>21-25</v>
      </c>
      <c r="K434" s="32"/>
      <c r="L434" s="32"/>
      <c r="M434" s="32"/>
      <c r="N434" s="32"/>
      <c r="O434" s="32"/>
      <c r="P434" s="32"/>
      <c r="Q434" s="32"/>
      <c r="R434" s="32"/>
      <c r="S434" s="32"/>
      <c r="T434" s="32"/>
      <c r="U434" s="32"/>
      <c r="V434" s="32"/>
      <c r="W434" s="32"/>
      <c r="X434" s="32"/>
    </row>
    <row r="435">
      <c r="A435" s="32" t="str">
        <f>IFERROR(__xludf.DUMMYFUNCTION("""COMPUTED_VALUE"""),"Divine Soul Dragon")</f>
        <v>Divine Soul Dragon</v>
      </c>
      <c r="B435" s="35" t="str">
        <f>IFERROR(__xludf.DUMMYFUNCTION("""COMPUTED_VALUE"""),"1-5")</f>
        <v>1-5</v>
      </c>
      <c r="C435" s="32" t="str">
        <f>IFERROR(__xludf.DUMMYFUNCTION("""COMPUTED_VALUE"""),"Soul")</f>
        <v>Soul</v>
      </c>
      <c r="D435" s="35" t="str">
        <f>IFERROR(__xludf.DUMMYFUNCTION("""COMPUTED_VALUE"""),"6-10")</f>
        <v>6-10</v>
      </c>
      <c r="E435" s="32"/>
      <c r="F435" s="35" t="str">
        <f>IFERROR(__xludf.DUMMYFUNCTION("""COMPUTED_VALUE"""),"11-15")</f>
        <v>11-15</v>
      </c>
      <c r="G435" s="32" t="str">
        <f>IFERROR(__xludf.DUMMYFUNCTION("""COMPUTED_VALUE"""),"Soul")</f>
        <v>Soul</v>
      </c>
      <c r="H435" s="35" t="str">
        <f>IFERROR(__xludf.DUMMYFUNCTION("""COMPUTED_VALUE"""),"16-20")</f>
        <v>16-20</v>
      </c>
      <c r="I435" s="32" t="str">
        <f>IFERROR(__xludf.DUMMYFUNCTION("""COMPUTED_VALUE"""),"1,000,000G-20,000,000G")</f>
        <v>1,000,000G-20,000,000G</v>
      </c>
      <c r="J435" s="35" t="str">
        <f>IFERROR(__xludf.DUMMYFUNCTION("""COMPUTED_VALUE"""),"21-25")</f>
        <v>21-25</v>
      </c>
      <c r="K435" s="32"/>
      <c r="L435" s="32"/>
      <c r="M435" s="32"/>
      <c r="N435" s="32"/>
      <c r="O435" s="32"/>
      <c r="P435" s="32"/>
      <c r="Q435" s="32"/>
      <c r="R435" s="32"/>
      <c r="S435" s="32"/>
      <c r="T435" s="32"/>
      <c r="U435" s="32"/>
      <c r="V435" s="32"/>
      <c r="W435" s="32"/>
      <c r="X435" s="32"/>
    </row>
    <row r="436">
      <c r="A436" s="32" t="str">
        <f>IFERROR(__xludf.DUMMYFUNCTION("""COMPUTED_VALUE"""),"Divine Spirit Dragon")</f>
        <v>Divine Spirit Dragon</v>
      </c>
      <c r="B436" s="35" t="str">
        <f>IFERROR(__xludf.DUMMYFUNCTION("""COMPUTED_VALUE"""),"1-5")</f>
        <v>1-5</v>
      </c>
      <c r="C436" s="32"/>
      <c r="D436" s="35" t="str">
        <f>IFERROR(__xludf.DUMMYFUNCTION("""COMPUTED_VALUE"""),"6-10")</f>
        <v>6-10</v>
      </c>
      <c r="E436" s="32"/>
      <c r="F436" s="35" t="str">
        <f>IFERROR(__xludf.DUMMYFUNCTION("""COMPUTED_VALUE"""),"11-15")</f>
        <v>11-15</v>
      </c>
      <c r="G436" s="32"/>
      <c r="H436" s="35" t="str">
        <f>IFERROR(__xludf.DUMMYFUNCTION("""COMPUTED_VALUE"""),"16-20")</f>
        <v>16-20</v>
      </c>
      <c r="I436" s="32"/>
      <c r="J436" s="35" t="str">
        <f>IFERROR(__xludf.DUMMYFUNCTION("""COMPUTED_VALUE"""),"21-25")</f>
        <v>21-25</v>
      </c>
      <c r="K436" s="32"/>
      <c r="L436" s="32"/>
      <c r="M436" s="32"/>
      <c r="N436" s="32"/>
      <c r="O436" s="32"/>
      <c r="P436" s="32"/>
      <c r="Q436" s="32"/>
      <c r="R436" s="32"/>
      <c r="S436" s="32"/>
      <c r="T436" s="32"/>
      <c r="U436" s="32"/>
      <c r="V436" s="32"/>
      <c r="W436" s="32"/>
      <c r="X436" s="32"/>
    </row>
    <row r="437">
      <c r="A437" s="32" t="str">
        <f>IFERROR(__xludf.DUMMYFUNCTION("""COMPUTED_VALUE"""),"Divine Stone Dragon")</f>
        <v>Divine Stone Dragon</v>
      </c>
      <c r="B437" s="35" t="str">
        <f>IFERROR(__xludf.DUMMYFUNCTION("""COMPUTED_VALUE"""),"1-5")</f>
        <v>1-5</v>
      </c>
      <c r="C437" s="32"/>
      <c r="D437" s="35" t="str">
        <f>IFERROR(__xludf.DUMMYFUNCTION("""COMPUTED_VALUE"""),"6-10")</f>
        <v>6-10</v>
      </c>
      <c r="E437" s="32"/>
      <c r="F437" s="35" t="str">
        <f>IFERROR(__xludf.DUMMYFUNCTION("""COMPUTED_VALUE"""),"11-15")</f>
        <v>11-15</v>
      </c>
      <c r="G437" s="32"/>
      <c r="H437" s="35" t="str">
        <f>IFERROR(__xludf.DUMMYFUNCTION("""COMPUTED_VALUE"""),"16-20")</f>
        <v>16-20</v>
      </c>
      <c r="I437" s="32"/>
      <c r="J437" s="35" t="str">
        <f>IFERROR(__xludf.DUMMYFUNCTION("""COMPUTED_VALUE"""),"21-25")</f>
        <v>21-25</v>
      </c>
      <c r="K437" s="32"/>
      <c r="L437" s="32"/>
      <c r="M437" s="32"/>
      <c r="N437" s="32"/>
      <c r="O437" s="32"/>
      <c r="P437" s="32"/>
      <c r="Q437" s="32"/>
      <c r="R437" s="32"/>
      <c r="S437" s="32"/>
      <c r="T437" s="32"/>
      <c r="U437" s="32"/>
      <c r="V437" s="32"/>
      <c r="W437" s="32"/>
      <c r="X437" s="32"/>
    </row>
    <row r="438">
      <c r="A438" s="32"/>
      <c r="B438" s="35" t="str">
        <f>IFERROR(__xludf.DUMMYFUNCTION("""COMPUTED_VALUE"""),"1-5")</f>
        <v>1-5</v>
      </c>
      <c r="C438" s="32"/>
      <c r="D438" s="35" t="str">
        <f>IFERROR(__xludf.DUMMYFUNCTION("""COMPUTED_VALUE"""),"6-10")</f>
        <v>6-10</v>
      </c>
      <c r="E438" s="32"/>
      <c r="F438" s="35" t="str">
        <f>IFERROR(__xludf.DUMMYFUNCTION("""COMPUTED_VALUE"""),"11-15")</f>
        <v>11-15</v>
      </c>
      <c r="G438" s="32"/>
      <c r="H438" s="35" t="str">
        <f>IFERROR(__xludf.DUMMYFUNCTION("""COMPUTED_VALUE"""),"16-20")</f>
        <v>16-20</v>
      </c>
      <c r="I438" s="32"/>
      <c r="J438" s="35" t="str">
        <f>IFERROR(__xludf.DUMMYFUNCTION("""COMPUTED_VALUE"""),"21-25")</f>
        <v>21-25</v>
      </c>
      <c r="K438" s="32"/>
      <c r="L438" s="32"/>
      <c r="M438" s="32"/>
      <c r="N438" s="32"/>
      <c r="O438" s="32"/>
      <c r="P438" s="32"/>
      <c r="Q438" s="32"/>
      <c r="R438" s="32"/>
      <c r="S438" s="32"/>
      <c r="T438" s="32"/>
      <c r="U438" s="32"/>
      <c r="V438" s="32"/>
      <c r="W438" s="32"/>
      <c r="X438" s="32"/>
    </row>
    <row r="439">
      <c r="A439" s="32" t="str">
        <f>IFERROR(__xludf.DUMMYFUNCTION("""COMPUTED_VALUE"""),"Divine Fire Dragon")</f>
        <v>Divine Fire Dragon</v>
      </c>
      <c r="B439" s="35" t="str">
        <f>IFERROR(__xludf.DUMMYFUNCTION("""COMPUTED_VALUE"""),"1-5")</f>
        <v>1-5</v>
      </c>
      <c r="C439" s="32"/>
      <c r="D439" s="35" t="str">
        <f>IFERROR(__xludf.DUMMYFUNCTION("""COMPUTED_VALUE"""),"6-10")</f>
        <v>6-10</v>
      </c>
      <c r="E439" s="32"/>
      <c r="F439" s="35" t="str">
        <f>IFERROR(__xludf.DUMMYFUNCTION("""COMPUTED_VALUE"""),"11-15")</f>
        <v>11-15</v>
      </c>
      <c r="G439" s="32"/>
      <c r="H439" s="35" t="str">
        <f>IFERROR(__xludf.DUMMYFUNCTION("""COMPUTED_VALUE"""),"16-20")</f>
        <v>16-20</v>
      </c>
      <c r="I439" s="32"/>
      <c r="J439" s="35" t="str">
        <f>IFERROR(__xludf.DUMMYFUNCTION("""COMPUTED_VALUE"""),"21-25")</f>
        <v>21-25</v>
      </c>
      <c r="K439" s="32"/>
      <c r="L439" s="32"/>
      <c r="M439" s="32"/>
      <c r="N439" s="32"/>
      <c r="O439" s="32"/>
      <c r="P439" s="32"/>
      <c r="Q439" s="32"/>
      <c r="R439" s="32"/>
      <c r="S439" s="32"/>
      <c r="T439" s="32"/>
      <c r="U439" s="32"/>
      <c r="V439" s="32"/>
      <c r="W439" s="32"/>
      <c r="X439" s="32"/>
    </row>
    <row r="440">
      <c r="A440" s="32" t="str">
        <f>IFERROR(__xludf.DUMMYFUNCTION("""COMPUTED_VALUE"""),"Divine Void Dragon")</f>
        <v>Divine Void Dragon</v>
      </c>
      <c r="B440" s="35" t="str">
        <f>IFERROR(__xludf.DUMMYFUNCTION("""COMPUTED_VALUE"""),"1-5")</f>
        <v>1-5</v>
      </c>
      <c r="C440" s="32"/>
      <c r="D440" s="35" t="str">
        <f>IFERROR(__xludf.DUMMYFUNCTION("""COMPUTED_VALUE"""),"6-10")</f>
        <v>6-10</v>
      </c>
      <c r="E440" s="32"/>
      <c r="F440" s="35" t="str">
        <f>IFERROR(__xludf.DUMMYFUNCTION("""COMPUTED_VALUE"""),"11-15")</f>
        <v>11-15</v>
      </c>
      <c r="G440" s="32"/>
      <c r="H440" s="35" t="str">
        <f>IFERROR(__xludf.DUMMYFUNCTION("""COMPUTED_VALUE"""),"16-20")</f>
        <v>16-20</v>
      </c>
      <c r="I440" s="32"/>
      <c r="J440" s="35" t="str">
        <f>IFERROR(__xludf.DUMMYFUNCTION("""COMPUTED_VALUE"""),"21-25")</f>
        <v>21-25</v>
      </c>
      <c r="K440" s="32"/>
      <c r="L440" s="32"/>
      <c r="M440" s="32"/>
      <c r="N440" s="32"/>
      <c r="O440" s="32"/>
      <c r="P440" s="32"/>
      <c r="Q440" s="32"/>
      <c r="R440" s="32"/>
      <c r="S440" s="32"/>
      <c r="T440" s="32"/>
      <c r="U440" s="32"/>
      <c r="V440" s="32"/>
      <c r="W440" s="32"/>
      <c r="X440" s="32"/>
    </row>
    <row r="441">
      <c r="A441" s="32" t="str">
        <f>IFERROR(__xludf.DUMMYFUNCTION("""COMPUTED_VALUE"""),"Divine Undead Dragon")</f>
        <v>Divine Undead Dragon</v>
      </c>
      <c r="B441" s="35" t="str">
        <f>IFERROR(__xludf.DUMMYFUNCTION("""COMPUTED_VALUE"""),"1-5")</f>
        <v>1-5</v>
      </c>
      <c r="C441" s="32"/>
      <c r="D441" s="35" t="str">
        <f>IFERROR(__xludf.DUMMYFUNCTION("""COMPUTED_VALUE"""),"6-10")</f>
        <v>6-10</v>
      </c>
      <c r="E441" s="32"/>
      <c r="F441" s="35" t="str">
        <f>IFERROR(__xludf.DUMMYFUNCTION("""COMPUTED_VALUE"""),"11-15")</f>
        <v>11-15</v>
      </c>
      <c r="G441" s="32"/>
      <c r="H441" s="35" t="str">
        <f>IFERROR(__xludf.DUMMYFUNCTION("""COMPUTED_VALUE"""),"16-20")</f>
        <v>16-20</v>
      </c>
      <c r="I441" s="32"/>
      <c r="J441" s="35" t="str">
        <f>IFERROR(__xludf.DUMMYFUNCTION("""COMPUTED_VALUE"""),"21-25")</f>
        <v>21-25</v>
      </c>
      <c r="K441" s="32"/>
      <c r="L441" s="32"/>
      <c r="M441" s="32"/>
      <c r="N441" s="32"/>
      <c r="O441" s="32"/>
      <c r="P441" s="32"/>
      <c r="Q441" s="32"/>
      <c r="R441" s="32"/>
      <c r="S441" s="32"/>
      <c r="T441" s="32"/>
      <c r="U441" s="32"/>
      <c r="V441" s="32"/>
      <c r="W441" s="32"/>
      <c r="X441" s="32"/>
    </row>
    <row r="442">
      <c r="A442" s="32" t="str">
        <f>IFERROR(__xludf.DUMMYFUNCTION("""COMPUTED_VALUE"""),"Divine Crystal Dragon")</f>
        <v>Divine Crystal Dragon</v>
      </c>
      <c r="B442" s="35" t="str">
        <f>IFERROR(__xludf.DUMMYFUNCTION("""COMPUTED_VALUE"""),"1-5")</f>
        <v>1-5</v>
      </c>
      <c r="C442" s="32"/>
      <c r="D442" s="35" t="str">
        <f>IFERROR(__xludf.DUMMYFUNCTION("""COMPUTED_VALUE"""),"6-10")</f>
        <v>6-10</v>
      </c>
      <c r="E442" s="32"/>
      <c r="F442" s="35" t="str">
        <f>IFERROR(__xludf.DUMMYFUNCTION("""COMPUTED_VALUE"""),"11-15")</f>
        <v>11-15</v>
      </c>
      <c r="G442" s="32"/>
      <c r="H442" s="35" t="str">
        <f>IFERROR(__xludf.DUMMYFUNCTION("""COMPUTED_VALUE"""),"16-20")</f>
        <v>16-20</v>
      </c>
      <c r="I442" s="32"/>
      <c r="J442" s="35" t="str">
        <f>IFERROR(__xludf.DUMMYFUNCTION("""COMPUTED_VALUE"""),"21-25")</f>
        <v>21-25</v>
      </c>
      <c r="K442" s="32"/>
      <c r="L442" s="32"/>
      <c r="M442" s="32"/>
      <c r="N442" s="32"/>
      <c r="O442" s="32"/>
      <c r="P442" s="32"/>
      <c r="Q442" s="32"/>
      <c r="R442" s="32"/>
      <c r="S442" s="32"/>
      <c r="T442" s="32"/>
      <c r="U442" s="32"/>
      <c r="V442" s="32"/>
      <c r="W442" s="32"/>
      <c r="X442" s="32"/>
    </row>
    <row r="443">
      <c r="A443" s="32" t="str">
        <f>IFERROR(__xludf.DUMMYFUNCTION("""COMPUTED_VALUE"""),"Acid Wyrm")</f>
        <v>Acid Wyrm</v>
      </c>
      <c r="B443" s="35" t="str">
        <f>IFERROR(__xludf.DUMMYFUNCTION("""COMPUTED_VALUE"""),"1-5")</f>
        <v>1-5</v>
      </c>
      <c r="C443" s="32" t="str">
        <f>IFERROR(__xludf.DUMMYFUNCTION("""COMPUTED_VALUE"""),"Nothing")</f>
        <v>Nothing</v>
      </c>
      <c r="D443" s="35" t="str">
        <f>IFERROR(__xludf.DUMMYFUNCTION("""COMPUTED_VALUE"""),"6-10")</f>
        <v>6-10</v>
      </c>
      <c r="E443" s="32" t="str">
        <f>IFERROR(__xludf.DUMMYFUNCTION("""COMPUTED_VALUE"""),"Nothing")</f>
        <v>Nothing</v>
      </c>
      <c r="F443" s="35" t="str">
        <f>IFERROR(__xludf.DUMMYFUNCTION("""COMPUTED_VALUE"""),"11-15")</f>
        <v>11-15</v>
      </c>
      <c r="G443" s="32" t="str">
        <f>IFERROR(__xludf.DUMMYFUNCTION("""COMPUTED_VALUE"""),"20,000,000G-40,000,000G")</f>
        <v>20,000,000G-40,000,000G</v>
      </c>
      <c r="H443" s="35" t="str">
        <f>IFERROR(__xludf.DUMMYFUNCTION("""COMPUTED_VALUE"""),"16-20")</f>
        <v>16-20</v>
      </c>
      <c r="I443" s="32" t="str">
        <f>IFERROR(__xludf.DUMMYFUNCTION("""COMPUTED_VALUE"""),"Egg")</f>
        <v>Egg</v>
      </c>
      <c r="J443" s="35" t="str">
        <f>IFERROR(__xludf.DUMMYFUNCTION("""COMPUTED_VALUE"""),"21-25")</f>
        <v>21-25</v>
      </c>
      <c r="K443" s="32" t="str">
        <f>IFERROR(__xludf.DUMMYFUNCTION("""COMPUTED_VALUE"""),"Soul")</f>
        <v>Soul</v>
      </c>
      <c r="L443" s="32"/>
      <c r="M443" s="32"/>
      <c r="N443" s="32"/>
      <c r="O443" s="32"/>
      <c r="P443" s="32"/>
      <c r="Q443" s="32"/>
      <c r="R443" s="32"/>
      <c r="S443" s="32"/>
      <c r="T443" s="32"/>
      <c r="U443" s="32"/>
      <c r="V443" s="32"/>
      <c r="W443" s="32"/>
      <c r="X443" s="32"/>
    </row>
    <row r="444">
      <c r="A444" s="32" t="str">
        <f>IFERROR(__xludf.DUMMYFUNCTION("""COMPUTED_VALUE"""),"Astral Wyrm")</f>
        <v>Astral Wyrm</v>
      </c>
      <c r="B444" s="35" t="str">
        <f>IFERROR(__xludf.DUMMYFUNCTION("""COMPUTED_VALUE"""),"1-5")</f>
        <v>1-5</v>
      </c>
      <c r="C444" s="32" t="str">
        <f>IFERROR(__xludf.DUMMYFUNCTION("""COMPUTED_VALUE"""),"500,000G-1,000,000G")</f>
        <v>500,000G-1,000,000G</v>
      </c>
      <c r="D444" s="35" t="str">
        <f>IFERROR(__xludf.DUMMYFUNCTION("""COMPUTED_VALUE"""),"6-10")</f>
        <v>6-10</v>
      </c>
      <c r="E444" s="32" t="str">
        <f>IFERROR(__xludf.DUMMYFUNCTION("""COMPUTED_VALUE"""),"Ring o' Grace and Astral")</f>
        <v>Ring o' Grace and Astral</v>
      </c>
      <c r="F444" s="35" t="str">
        <f>IFERROR(__xludf.DUMMYFUNCTION("""COMPUTED_VALUE"""),"11-15")</f>
        <v>11-15</v>
      </c>
      <c r="G444" s="32" t="str">
        <f>IFERROR(__xludf.DUMMYFUNCTION("""COMPUTED_VALUE"""),"Ring")</f>
        <v>Ring</v>
      </c>
      <c r="H444" s="35" t="str">
        <f>IFERROR(__xludf.DUMMYFUNCTION("""COMPUTED_VALUE"""),"16-20")</f>
        <v>16-20</v>
      </c>
      <c r="I444" s="32" t="str">
        <f>IFERROR(__xludf.DUMMYFUNCTION("""COMPUTED_VALUE"""),"Egg")</f>
        <v>Egg</v>
      </c>
      <c r="J444" s="35" t="str">
        <f>IFERROR(__xludf.DUMMYFUNCTION("""COMPUTED_VALUE"""),"21-25")</f>
        <v>21-25</v>
      </c>
      <c r="K444" s="32" t="str">
        <f>IFERROR(__xludf.DUMMYFUNCTION("""COMPUTED_VALUE"""),"Soul")</f>
        <v>Soul</v>
      </c>
      <c r="L444" s="32"/>
      <c r="M444" s="32"/>
      <c r="N444" s="32"/>
      <c r="O444" s="32"/>
      <c r="P444" s="32"/>
      <c r="Q444" s="32"/>
      <c r="R444" s="32"/>
      <c r="S444" s="32"/>
      <c r="T444" s="32"/>
      <c r="U444" s="32"/>
      <c r="V444" s="32"/>
      <c r="W444" s="32"/>
      <c r="X444" s="32"/>
    </row>
    <row r="445">
      <c r="A445" s="32" t="str">
        <f>IFERROR(__xludf.DUMMYFUNCTION("""COMPUTED_VALUE"""),"Celestial Wyrm")</f>
        <v>Celestial Wyrm</v>
      </c>
      <c r="B445" s="35" t="str">
        <f>IFERROR(__xludf.DUMMYFUNCTION("""COMPUTED_VALUE"""),"1-5")</f>
        <v>1-5</v>
      </c>
      <c r="C445" s="32" t="str">
        <f>IFERROR(__xludf.DUMMYFUNCTION("""COMPUTED_VALUE"""),"80,000G-100,000G")</f>
        <v>80,000G-100,000G</v>
      </c>
      <c r="D445" s="35" t="str">
        <f>IFERROR(__xludf.DUMMYFUNCTION("""COMPUTED_VALUE"""),"6-10")</f>
        <v>6-10</v>
      </c>
      <c r="E445" s="32" t="str">
        <f>IFERROR(__xludf.DUMMYFUNCTION("""COMPUTED_VALUE"""),"Nothing")</f>
        <v>Nothing</v>
      </c>
      <c r="F445" s="35" t="str">
        <f>IFERROR(__xludf.DUMMYFUNCTION("""COMPUTED_VALUE"""),"11-15")</f>
        <v>11-15</v>
      </c>
      <c r="G445" s="32" t="str">
        <f>IFERROR(__xludf.DUMMYFUNCTION("""COMPUTED_VALUE"""),"Nothing")</f>
        <v>Nothing</v>
      </c>
      <c r="H445" s="35" t="str">
        <f>IFERROR(__xludf.DUMMYFUNCTION("""COMPUTED_VALUE"""),"16-20")</f>
        <v>16-20</v>
      </c>
      <c r="I445" s="32" t="str">
        <f>IFERROR(__xludf.DUMMYFUNCTION("""COMPUTED_VALUE"""),"Egg")</f>
        <v>Egg</v>
      </c>
      <c r="J445" s="35" t="str">
        <f>IFERROR(__xludf.DUMMYFUNCTION("""COMPUTED_VALUE"""),"21-25")</f>
        <v>21-25</v>
      </c>
      <c r="K445" s="32" t="str">
        <f>IFERROR(__xludf.DUMMYFUNCTION("""COMPUTED_VALUE"""),"Soul")</f>
        <v>Soul</v>
      </c>
      <c r="L445" s="32"/>
      <c r="M445" s="32"/>
      <c r="N445" s="32"/>
      <c r="O445" s="32"/>
      <c r="P445" s="32"/>
      <c r="Q445" s="32"/>
      <c r="R445" s="32"/>
      <c r="S445" s="32"/>
      <c r="T445" s="32"/>
      <c r="U445" s="32"/>
      <c r="V445" s="32"/>
      <c r="W445" s="32"/>
      <c r="X445" s="32"/>
    </row>
    <row r="446">
      <c r="A446" s="32" t="str">
        <f>IFERROR(__xludf.DUMMYFUNCTION("""COMPUTED_VALUE"""),"Chaos Wyrm")</f>
        <v>Chaos Wyrm</v>
      </c>
      <c r="B446" s="35" t="str">
        <f>IFERROR(__xludf.DUMMYFUNCTION("""COMPUTED_VALUE"""),"1-5")</f>
        <v>1-5</v>
      </c>
      <c r="C446" s="32" t="str">
        <f>IFERROR(__xludf.DUMMYFUNCTION("""COMPUTED_VALUE"""),"500,000G-1,000,000G")</f>
        <v>500,000G-1,000,000G</v>
      </c>
      <c r="D446" s="35" t="str">
        <f>IFERROR(__xludf.DUMMYFUNCTION("""COMPUTED_VALUE"""),"6-10")</f>
        <v>6-10</v>
      </c>
      <c r="E446" s="32" t="str">
        <f>IFERROR(__xludf.DUMMYFUNCTION("""COMPUTED_VALUE"""),"Nothing")</f>
        <v>Nothing</v>
      </c>
      <c r="F446" s="35" t="str">
        <f>IFERROR(__xludf.DUMMYFUNCTION("""COMPUTED_VALUE"""),"11-15")</f>
        <v>11-15</v>
      </c>
      <c r="G446" s="32" t="str">
        <f>IFERROR(__xludf.DUMMYFUNCTION("""COMPUTED_VALUE"""),"Ring of Pure Chaos")</f>
        <v>Ring of Pure Chaos</v>
      </c>
      <c r="H446" s="35" t="str">
        <f>IFERROR(__xludf.DUMMYFUNCTION("""COMPUTED_VALUE"""),"16-20")</f>
        <v>16-20</v>
      </c>
      <c r="I446" s="32" t="str">
        <f>IFERROR(__xludf.DUMMYFUNCTION("""COMPUTED_VALUE"""),"Egg")</f>
        <v>Egg</v>
      </c>
      <c r="J446" s="35" t="str">
        <f>IFERROR(__xludf.DUMMYFUNCTION("""COMPUTED_VALUE"""),"21-25")</f>
        <v>21-25</v>
      </c>
      <c r="K446" s="32" t="str">
        <f>IFERROR(__xludf.DUMMYFUNCTION("""COMPUTED_VALUE"""),"Soul")</f>
        <v>Soul</v>
      </c>
      <c r="L446" s="32"/>
      <c r="M446" s="32"/>
      <c r="N446" s="32"/>
      <c r="O446" s="32"/>
      <c r="P446" s="32"/>
      <c r="Q446" s="32"/>
      <c r="R446" s="32"/>
      <c r="S446" s="32"/>
      <c r="T446" s="32"/>
      <c r="U446" s="32"/>
      <c r="V446" s="32"/>
      <c r="W446" s="32"/>
      <c r="X446" s="32"/>
    </row>
    <row r="447">
      <c r="A447" s="32" t="str">
        <f>IFERROR(__xludf.DUMMYFUNCTION("""COMPUTED_VALUE"""),"Dark Wyrm")</f>
        <v>Dark Wyrm</v>
      </c>
      <c r="B447" s="35" t="str">
        <f>IFERROR(__xludf.DUMMYFUNCTION("""COMPUTED_VALUE"""),"1-5")</f>
        <v>1-5</v>
      </c>
      <c r="C447" s="32" t="str">
        <f>IFERROR(__xludf.DUMMYFUNCTION("""COMPUTED_VALUE"""),"500,000G-1,000,000G")</f>
        <v>500,000G-1,000,000G</v>
      </c>
      <c r="D447" s="35" t="str">
        <f>IFERROR(__xludf.DUMMYFUNCTION("""COMPUTED_VALUE"""),"6-10")</f>
        <v>6-10</v>
      </c>
      <c r="E447" s="32" t="str">
        <f>IFERROR(__xludf.DUMMYFUNCTION("""COMPUTED_VALUE"""),"Ring")</f>
        <v>Ring</v>
      </c>
      <c r="F447" s="35" t="str">
        <f>IFERROR(__xludf.DUMMYFUNCTION("""COMPUTED_VALUE"""),"11-15")</f>
        <v>11-15</v>
      </c>
      <c r="G447" s="32" t="str">
        <f>IFERROR(__xludf.DUMMYFUNCTION("""COMPUTED_VALUE"""),"Ring of Darkness")</f>
        <v>Ring of Darkness</v>
      </c>
      <c r="H447" s="35" t="str">
        <f>IFERROR(__xludf.DUMMYFUNCTION("""COMPUTED_VALUE"""),"16-20")</f>
        <v>16-20</v>
      </c>
      <c r="I447" s="32" t="str">
        <f>IFERROR(__xludf.DUMMYFUNCTION("""COMPUTED_VALUE"""),"Egg")</f>
        <v>Egg</v>
      </c>
      <c r="J447" s="35" t="str">
        <f>IFERROR(__xludf.DUMMYFUNCTION("""COMPUTED_VALUE"""),"21-25")</f>
        <v>21-25</v>
      </c>
      <c r="K447" s="32" t="str">
        <f>IFERROR(__xludf.DUMMYFUNCTION("""COMPUTED_VALUE"""),"Soul")</f>
        <v>Soul</v>
      </c>
      <c r="L447" s="32"/>
      <c r="M447" s="32"/>
      <c r="N447" s="32"/>
      <c r="O447" s="32"/>
      <c r="P447" s="32"/>
      <c r="Q447" s="32"/>
      <c r="R447" s="32"/>
      <c r="S447" s="32"/>
      <c r="T447" s="32"/>
      <c r="U447" s="32"/>
      <c r="V447" s="32"/>
      <c r="W447" s="32"/>
      <c r="X447" s="32"/>
    </row>
    <row r="448">
      <c r="A448" s="32" t="str">
        <f>IFERROR(__xludf.DUMMYFUNCTION("""COMPUTED_VALUE"""),"Delta Wyrm")</f>
        <v>Delta Wyrm</v>
      </c>
      <c r="B448" s="35" t="str">
        <f>IFERROR(__xludf.DUMMYFUNCTION("""COMPUTED_VALUE"""),"1-5")</f>
        <v>1-5</v>
      </c>
      <c r="C448" s="32" t="str">
        <f>IFERROR(__xludf.DUMMYFUNCTION("""COMPUTED_VALUE"""),"80,000G-100,000G")</f>
        <v>80,000G-100,000G</v>
      </c>
      <c r="D448" s="35" t="str">
        <f>IFERROR(__xludf.DUMMYFUNCTION("""COMPUTED_VALUE"""),"6-10")</f>
        <v>6-10</v>
      </c>
      <c r="E448" s="32" t="str">
        <f>IFERROR(__xludf.DUMMYFUNCTION("""COMPUTED_VALUE"""),"Nothing")</f>
        <v>Nothing</v>
      </c>
      <c r="F448" s="35" t="str">
        <f>IFERROR(__xludf.DUMMYFUNCTION("""COMPUTED_VALUE"""),"11-15")</f>
        <v>11-15</v>
      </c>
      <c r="G448" s="32" t="str">
        <f>IFERROR(__xludf.DUMMYFUNCTION("""COMPUTED_VALUE"""),"Ring o' Power and Delta")</f>
        <v>Ring o' Power and Delta</v>
      </c>
      <c r="H448" s="35" t="str">
        <f>IFERROR(__xludf.DUMMYFUNCTION("""COMPUTED_VALUE"""),"16-20")</f>
        <v>16-20</v>
      </c>
      <c r="I448" s="32" t="str">
        <f>IFERROR(__xludf.DUMMYFUNCTION("""COMPUTED_VALUE"""),"Egg")</f>
        <v>Egg</v>
      </c>
      <c r="J448" s="35" t="str">
        <f>IFERROR(__xludf.DUMMYFUNCTION("""COMPUTED_VALUE"""),"21-25")</f>
        <v>21-25</v>
      </c>
      <c r="K448" s="32" t="str">
        <f>IFERROR(__xludf.DUMMYFUNCTION("""COMPUTED_VALUE"""),"Soul")</f>
        <v>Soul</v>
      </c>
      <c r="L448" s="32"/>
      <c r="M448" s="32"/>
      <c r="N448" s="32"/>
      <c r="O448" s="32"/>
      <c r="P448" s="32"/>
      <c r="Q448" s="32"/>
      <c r="R448" s="32"/>
      <c r="S448" s="32"/>
      <c r="T448" s="32"/>
      <c r="U448" s="32"/>
      <c r="V448" s="32"/>
      <c r="W448" s="32"/>
      <c r="X448" s="32"/>
    </row>
    <row r="449">
      <c r="A449" s="32" t="str">
        <f>IFERROR(__xludf.DUMMYFUNCTION("""COMPUTED_VALUE"""),"Frost Wyrm")</f>
        <v>Frost Wyrm</v>
      </c>
      <c r="B449" s="35" t="str">
        <f>IFERROR(__xludf.DUMMYFUNCTION("""COMPUTED_VALUE"""),"1-5")</f>
        <v>1-5</v>
      </c>
      <c r="C449" s="32" t="str">
        <f>IFERROR(__xludf.DUMMYFUNCTION("""COMPUTED_VALUE"""),"500,000G-1,000,000G")</f>
        <v>500,000G-1,000,000G</v>
      </c>
      <c r="D449" s="35" t="str">
        <f>IFERROR(__xludf.DUMMYFUNCTION("""COMPUTED_VALUE"""),"6-10")</f>
        <v>6-10</v>
      </c>
      <c r="E449" s="32" t="str">
        <f>IFERROR(__xludf.DUMMYFUNCTION("""COMPUTED_VALUE"""),"Nothing")</f>
        <v>Nothing</v>
      </c>
      <c r="F449" s="35" t="str">
        <f>IFERROR(__xludf.DUMMYFUNCTION("""COMPUTED_VALUE"""),"11-15")</f>
        <v>11-15</v>
      </c>
      <c r="G449" s="32" t="str">
        <f>IFERROR(__xludf.DUMMYFUNCTION("""COMPUTED_VALUE"""),"Ice bomb")</f>
        <v>Ice bomb</v>
      </c>
      <c r="H449" s="35" t="str">
        <f>IFERROR(__xludf.DUMMYFUNCTION("""COMPUTED_VALUE"""),"16-20")</f>
        <v>16-20</v>
      </c>
      <c r="I449" s="32" t="str">
        <f>IFERROR(__xludf.DUMMYFUNCTION("""COMPUTED_VALUE"""),"Egg")</f>
        <v>Egg</v>
      </c>
      <c r="J449" s="35" t="str">
        <f>IFERROR(__xludf.DUMMYFUNCTION("""COMPUTED_VALUE"""),"21-25")</f>
        <v>21-25</v>
      </c>
      <c r="K449" s="32" t="str">
        <f>IFERROR(__xludf.DUMMYFUNCTION("""COMPUTED_VALUE"""),"Soul")</f>
        <v>Soul</v>
      </c>
      <c r="L449" s="32"/>
      <c r="M449" s="32"/>
      <c r="N449" s="32"/>
      <c r="O449" s="32"/>
      <c r="P449" s="32"/>
      <c r="Q449" s="32"/>
      <c r="R449" s="32"/>
      <c r="S449" s="32"/>
      <c r="T449" s="32"/>
      <c r="U449" s="32"/>
      <c r="V449" s="32"/>
      <c r="W449" s="32"/>
      <c r="X449" s="32"/>
    </row>
    <row r="450">
      <c r="A450" s="32" t="str">
        <f>IFERROR(__xludf.DUMMYFUNCTION("""COMPUTED_VALUE"""),"Soul Wyrm")</f>
        <v>Soul Wyrm</v>
      </c>
      <c r="B450" s="35" t="str">
        <f>IFERROR(__xludf.DUMMYFUNCTION("""COMPUTED_VALUE"""),"1-5")</f>
        <v>1-5</v>
      </c>
      <c r="C450" s="32" t="str">
        <f>IFERROR(__xludf.DUMMYFUNCTION("""COMPUTED_VALUE"""),"Soul")</f>
        <v>Soul</v>
      </c>
      <c r="D450" s="35" t="str">
        <f>IFERROR(__xludf.DUMMYFUNCTION("""COMPUTED_VALUE"""),"6-10")</f>
        <v>6-10</v>
      </c>
      <c r="E450" s="32"/>
      <c r="F450" s="35" t="str">
        <f>IFERROR(__xludf.DUMMYFUNCTION("""COMPUTED_VALUE"""),"11-15")</f>
        <v>11-15</v>
      </c>
      <c r="G450" s="32" t="str">
        <f>IFERROR(__xludf.DUMMYFUNCTION("""COMPUTED_VALUE"""),"Soul")</f>
        <v>Soul</v>
      </c>
      <c r="H450" s="35" t="str">
        <f>IFERROR(__xludf.DUMMYFUNCTION("""COMPUTED_VALUE"""),"16-20")</f>
        <v>16-20</v>
      </c>
      <c r="I450" s="32" t="str">
        <f>IFERROR(__xludf.DUMMYFUNCTION("""COMPUTED_VALUE"""),"1,000,000G-20,000,000G")</f>
        <v>1,000,000G-20,000,000G</v>
      </c>
      <c r="J450" s="35" t="str">
        <f>IFERROR(__xludf.DUMMYFUNCTION("""COMPUTED_VALUE"""),"21-25")</f>
        <v>21-25</v>
      </c>
      <c r="K450" s="32"/>
      <c r="L450" s="32"/>
      <c r="M450" s="32"/>
      <c r="N450" s="32"/>
      <c r="O450" s="32"/>
      <c r="P450" s="32"/>
      <c r="Q450" s="32"/>
      <c r="R450" s="32"/>
      <c r="S450" s="32"/>
      <c r="T450" s="32"/>
      <c r="U450" s="32"/>
      <c r="V450" s="32"/>
      <c r="W450" s="32"/>
      <c r="X450" s="32"/>
    </row>
    <row r="451">
      <c r="A451" s="32" t="str">
        <f>IFERROR(__xludf.DUMMYFUNCTION("""COMPUTED_VALUE"""),"Spirit Wyrm")</f>
        <v>Spirit Wyrm</v>
      </c>
      <c r="B451" s="35" t="str">
        <f>IFERROR(__xludf.DUMMYFUNCTION("""COMPUTED_VALUE"""),"1-5")</f>
        <v>1-5</v>
      </c>
      <c r="C451" s="32" t="str">
        <f>IFERROR(__xludf.DUMMYFUNCTION("""COMPUTED_VALUE"""),"Nothing")</f>
        <v>Nothing</v>
      </c>
      <c r="D451" s="35" t="str">
        <f>IFERROR(__xludf.DUMMYFUNCTION("""COMPUTED_VALUE"""),"6-10")</f>
        <v>6-10</v>
      </c>
      <c r="E451" s="32" t="str">
        <f>IFERROR(__xludf.DUMMYFUNCTION("""COMPUTED_VALUE"""),"Nothing")</f>
        <v>Nothing</v>
      </c>
      <c r="F451" s="35" t="str">
        <f>IFERROR(__xludf.DUMMYFUNCTION("""COMPUTED_VALUE"""),"11-15")</f>
        <v>11-15</v>
      </c>
      <c r="G451" s="32" t="str">
        <f>IFERROR(__xludf.DUMMYFUNCTION("""COMPUTED_VALUE"""),"Booze Bomb")</f>
        <v>Booze Bomb</v>
      </c>
      <c r="H451" s="35" t="str">
        <f>IFERROR(__xludf.DUMMYFUNCTION("""COMPUTED_VALUE"""),"16-20")</f>
        <v>16-20</v>
      </c>
      <c r="I451" s="32" t="str">
        <f>IFERROR(__xludf.DUMMYFUNCTION("""COMPUTED_VALUE"""),"Egg")</f>
        <v>Egg</v>
      </c>
      <c r="J451" s="35" t="str">
        <f>IFERROR(__xludf.DUMMYFUNCTION("""COMPUTED_VALUE"""),"21-25")</f>
        <v>21-25</v>
      </c>
      <c r="K451" s="32" t="str">
        <f>IFERROR(__xludf.DUMMYFUNCTION("""COMPUTED_VALUE"""),"Soul")</f>
        <v>Soul</v>
      </c>
      <c r="L451" s="32"/>
      <c r="M451" s="32"/>
      <c r="N451" s="32"/>
      <c r="O451" s="32"/>
      <c r="P451" s="32"/>
      <c r="Q451" s="32"/>
      <c r="R451" s="32"/>
      <c r="S451" s="32"/>
      <c r="T451" s="32"/>
      <c r="U451" s="32"/>
      <c r="V451" s="32"/>
      <c r="W451" s="32"/>
      <c r="X451" s="32"/>
    </row>
    <row r="452">
      <c r="A452" s="32"/>
      <c r="B452" s="35" t="str">
        <f>IFERROR(__xludf.DUMMYFUNCTION("""COMPUTED_VALUE"""),"1-5")</f>
        <v>1-5</v>
      </c>
      <c r="C452" s="32"/>
      <c r="D452" s="35" t="str">
        <f>IFERROR(__xludf.DUMMYFUNCTION("""COMPUTED_VALUE"""),"6-10")</f>
        <v>6-10</v>
      </c>
      <c r="E452" s="32"/>
      <c r="F452" s="35" t="str">
        <f>IFERROR(__xludf.DUMMYFUNCTION("""COMPUTED_VALUE"""),"11-15")</f>
        <v>11-15</v>
      </c>
      <c r="G452" s="32"/>
      <c r="H452" s="35" t="str">
        <f>IFERROR(__xludf.DUMMYFUNCTION("""COMPUTED_VALUE"""),"16-20")</f>
        <v>16-20</v>
      </c>
      <c r="I452" s="32"/>
      <c r="J452" s="35" t="str">
        <f>IFERROR(__xludf.DUMMYFUNCTION("""COMPUTED_VALUE"""),"21-25")</f>
        <v>21-25</v>
      </c>
      <c r="K452" s="32"/>
      <c r="L452" s="32"/>
      <c r="M452" s="32"/>
      <c r="N452" s="32"/>
      <c r="O452" s="32"/>
      <c r="P452" s="32"/>
      <c r="Q452" s="32"/>
      <c r="R452" s="32"/>
      <c r="S452" s="32"/>
      <c r="T452" s="32"/>
      <c r="U452" s="32"/>
      <c r="V452" s="32"/>
      <c r="W452" s="32"/>
      <c r="X452" s="32"/>
    </row>
    <row r="453">
      <c r="A453" s="32"/>
      <c r="B453" s="35" t="str">
        <f>IFERROR(__xludf.DUMMYFUNCTION("""COMPUTED_VALUE"""),"1-5")</f>
        <v>1-5</v>
      </c>
      <c r="C453" s="32"/>
      <c r="D453" s="35" t="str">
        <f>IFERROR(__xludf.DUMMYFUNCTION("""COMPUTED_VALUE"""),"6-10")</f>
        <v>6-10</v>
      </c>
      <c r="E453" s="32"/>
      <c r="F453" s="35" t="str">
        <f>IFERROR(__xludf.DUMMYFUNCTION("""COMPUTED_VALUE"""),"11-15")</f>
        <v>11-15</v>
      </c>
      <c r="G453" s="32"/>
      <c r="H453" s="35" t="str">
        <f>IFERROR(__xludf.DUMMYFUNCTION("""COMPUTED_VALUE"""),"16-20")</f>
        <v>16-20</v>
      </c>
      <c r="I453" s="32"/>
      <c r="J453" s="35" t="str">
        <f>IFERROR(__xludf.DUMMYFUNCTION("""COMPUTED_VALUE"""),"21-25")</f>
        <v>21-25</v>
      </c>
      <c r="K453" s="32"/>
      <c r="L453" s="32"/>
      <c r="M453" s="32"/>
      <c r="N453" s="32"/>
      <c r="O453" s="32"/>
      <c r="P453" s="32"/>
      <c r="Q453" s="32"/>
      <c r="R453" s="32"/>
      <c r="S453" s="32"/>
      <c r="T453" s="32"/>
      <c r="U453" s="32"/>
      <c r="V453" s="32"/>
      <c r="W453" s="32"/>
      <c r="X453" s="32"/>
    </row>
    <row r="454">
      <c r="A454" s="32" t="str">
        <f>IFERROR(__xludf.DUMMYFUNCTION("""COMPUTED_VALUE"""),"Undead Wyrm")</f>
        <v>Undead Wyrm</v>
      </c>
      <c r="B454" s="35" t="str">
        <f>IFERROR(__xludf.DUMMYFUNCTION("""COMPUTED_VALUE"""),"1-5")</f>
        <v>1-5</v>
      </c>
      <c r="C454" s="32" t="str">
        <f>IFERROR(__xludf.DUMMYFUNCTION("""COMPUTED_VALUE"""),"Bone")</f>
        <v>Bone</v>
      </c>
      <c r="D454" s="35" t="str">
        <f>IFERROR(__xludf.DUMMYFUNCTION("""COMPUTED_VALUE"""),"6-10")</f>
        <v>6-10</v>
      </c>
      <c r="E454" s="32" t="str">
        <f>IFERROR(__xludf.DUMMYFUNCTION("""COMPUTED_VALUE"""),"Dragon's Skull")</f>
        <v>Dragon's Skull</v>
      </c>
      <c r="F454" s="35" t="str">
        <f>IFERROR(__xludf.DUMMYFUNCTION("""COMPUTED_VALUE"""),"11-15")</f>
        <v>11-15</v>
      </c>
      <c r="G454" s="32" t="str">
        <f>IFERROR(__xludf.DUMMYFUNCTION("""COMPUTED_VALUE"""),"Broken Dragonscale Mail")</f>
        <v>Broken Dragonscale Mail</v>
      </c>
      <c r="H454" s="35" t="str">
        <f>IFERROR(__xludf.DUMMYFUNCTION("""COMPUTED_VALUE"""),"16-20")</f>
        <v>16-20</v>
      </c>
      <c r="I454" s="32" t="str">
        <f>IFERROR(__xludf.DUMMYFUNCTION("""COMPUTED_VALUE"""),"Egg")</f>
        <v>Egg</v>
      </c>
      <c r="J454" s="35" t="str">
        <f>IFERROR(__xludf.DUMMYFUNCTION("""COMPUTED_VALUE"""),"21-25")</f>
        <v>21-25</v>
      </c>
      <c r="K454" s="32" t="str">
        <f>IFERROR(__xludf.DUMMYFUNCTION("""COMPUTED_VALUE"""),"Soul")</f>
        <v>Soul</v>
      </c>
      <c r="L454" s="32"/>
      <c r="M454" s="32"/>
      <c r="N454" s="32"/>
      <c r="O454" s="32"/>
      <c r="P454" s="32"/>
      <c r="Q454" s="32"/>
      <c r="R454" s="32"/>
      <c r="S454" s="32"/>
      <c r="T454" s="32"/>
      <c r="U454" s="32"/>
      <c r="V454" s="32"/>
      <c r="W454" s="32"/>
      <c r="X454" s="32"/>
    </row>
    <row r="455">
      <c r="A455" s="32" t="str">
        <f>IFERROR(__xludf.DUMMYFUNCTION("""COMPUTED_VALUE"""),"Crystal Wyrm")</f>
        <v>Crystal Wyrm</v>
      </c>
      <c r="B455" s="35" t="str">
        <f>IFERROR(__xludf.DUMMYFUNCTION("""COMPUTED_VALUE"""),"1-5")</f>
        <v>1-5</v>
      </c>
      <c r="C455" s="32" t="str">
        <f>IFERROR(__xludf.DUMMYFUNCTION("""COMPUTED_VALUE"""),"Crystal Sword")</f>
        <v>Crystal Sword</v>
      </c>
      <c r="D455" s="35" t="str">
        <f>IFERROR(__xludf.DUMMYFUNCTION("""COMPUTED_VALUE"""),"6-10")</f>
        <v>6-10</v>
      </c>
      <c r="E455" s="32" t="str">
        <f>IFERROR(__xludf.DUMMYFUNCTION("""COMPUTED_VALUE"""),"Crystal Ring")</f>
        <v>Crystal Ring</v>
      </c>
      <c r="F455" s="35" t="str">
        <f>IFERROR(__xludf.DUMMYFUNCTION("""COMPUTED_VALUE"""),"11-15")</f>
        <v>11-15</v>
      </c>
      <c r="G455" s="32" t="str">
        <f>IFERROR(__xludf.DUMMYFUNCTION("""COMPUTED_VALUE"""),"Crystal")</f>
        <v>Crystal</v>
      </c>
      <c r="H455" s="35" t="str">
        <f>IFERROR(__xludf.DUMMYFUNCTION("""COMPUTED_VALUE"""),"16-20")</f>
        <v>16-20</v>
      </c>
      <c r="I455" s="32" t="str">
        <f>IFERROR(__xludf.DUMMYFUNCTION("""COMPUTED_VALUE"""),"Egg")</f>
        <v>Egg</v>
      </c>
      <c r="J455" s="35" t="str">
        <f>IFERROR(__xludf.DUMMYFUNCTION("""COMPUTED_VALUE"""),"21-25")</f>
        <v>21-25</v>
      </c>
      <c r="K455" s="32" t="str">
        <f>IFERROR(__xludf.DUMMYFUNCTION("""COMPUTED_VALUE"""),"Soul")</f>
        <v>Soul</v>
      </c>
      <c r="L455" s="32"/>
      <c r="M455" s="32"/>
      <c r="N455" s="32"/>
      <c r="O455" s="32"/>
      <c r="P455" s="32"/>
      <c r="Q455" s="32"/>
      <c r="R455" s="32"/>
      <c r="S455" s="32"/>
      <c r="T455" s="32"/>
      <c r="U455" s="32"/>
      <c r="V455" s="32"/>
      <c r="W455" s="32"/>
      <c r="X455" s="32"/>
    </row>
    <row r="456">
      <c r="A456" s="32" t="str">
        <f>IFERROR(__xludf.DUMMYFUNCTION("""COMPUTED_VALUE"""),"Komodo Dragon")</f>
        <v>Komodo Dragon</v>
      </c>
      <c r="B456" s="35" t="str">
        <f>IFERROR(__xludf.DUMMYFUNCTION("""COMPUTED_VALUE"""),"1-5")</f>
        <v>1-5</v>
      </c>
      <c r="C456" s="32" t="str">
        <f>IFERROR(__xludf.DUMMYFUNCTION("""COMPUTED_VALUE"""),"Scale")</f>
        <v>Scale</v>
      </c>
      <c r="D456" s="35" t="str">
        <f>IFERROR(__xludf.DUMMYFUNCTION("""COMPUTED_VALUE"""),"6-10")</f>
        <v>6-10</v>
      </c>
      <c r="E456" s="32" t="str">
        <f>IFERROR(__xludf.DUMMYFUNCTION("""COMPUTED_VALUE"""),"Nothing")</f>
        <v>Nothing</v>
      </c>
      <c r="F456" s="35" t="str">
        <f>IFERROR(__xludf.DUMMYFUNCTION("""COMPUTED_VALUE"""),"11-15")</f>
        <v>11-15</v>
      </c>
      <c r="G456" s="32" t="str">
        <f>IFERROR(__xludf.DUMMYFUNCTION("""COMPUTED_VALUE"""),"Dragon scales")</f>
        <v>Dragon scales</v>
      </c>
      <c r="H456" s="35" t="str">
        <f>IFERROR(__xludf.DUMMYFUNCTION("""COMPUTED_VALUE"""),"16-20")</f>
        <v>16-20</v>
      </c>
      <c r="I456" s="32" t="str">
        <f>IFERROR(__xludf.DUMMYFUNCTION("""COMPUTED_VALUE"""),"Nothing")</f>
        <v>Nothing</v>
      </c>
      <c r="J456" s="35" t="str">
        <f>IFERROR(__xludf.DUMMYFUNCTION("""COMPUTED_VALUE"""),"21-25")</f>
        <v>21-25</v>
      </c>
      <c r="K456" s="32" t="str">
        <f>IFERROR(__xludf.DUMMYFUNCTION("""COMPUTED_VALUE"""),"Soul")</f>
        <v>Soul</v>
      </c>
      <c r="L456" s="32"/>
      <c r="M456" s="32"/>
      <c r="N456" s="32"/>
      <c r="O456" s="32"/>
      <c r="P456" s="32"/>
      <c r="Q456" s="32"/>
      <c r="R456" s="32"/>
      <c r="S456" s="32"/>
      <c r="T456" s="32"/>
      <c r="U456" s="32"/>
      <c r="V456" s="32"/>
      <c r="W456" s="32"/>
      <c r="X456" s="32"/>
    </row>
    <row r="457">
      <c r="A457" s="32" t="str">
        <f>IFERROR(__xludf.DUMMYFUNCTION("""COMPUTED_VALUE"""),"Lizardfolk Wizard")</f>
        <v>Lizardfolk Wizard</v>
      </c>
      <c r="B457" s="35" t="str">
        <f>IFERROR(__xludf.DUMMYFUNCTION("""COMPUTED_VALUE"""),"1-5")</f>
        <v>1-5</v>
      </c>
      <c r="C457" s="32" t="str">
        <f>IFERROR(__xludf.DUMMYFUNCTION("""COMPUTED_VALUE"""),"Dark Wand")</f>
        <v>Dark Wand</v>
      </c>
      <c r="D457" s="35" t="str">
        <f>IFERROR(__xludf.DUMMYFUNCTION("""COMPUTED_VALUE"""),"6-10")</f>
        <v>6-10</v>
      </c>
      <c r="E457" s="32" t="str">
        <f>IFERROR(__xludf.DUMMYFUNCTION("""COMPUTED_VALUE"""),"Wizard's Hood")</f>
        <v>Wizard's Hood</v>
      </c>
      <c r="F457" s="35" t="str">
        <f>IFERROR(__xludf.DUMMYFUNCTION("""COMPUTED_VALUE"""),"11-15")</f>
        <v>11-15</v>
      </c>
      <c r="G457" s="32" t="str">
        <f>IFERROR(__xludf.DUMMYFUNCTION("""COMPUTED_VALUE"""),"Wizard's Cloak")</f>
        <v>Wizard's Cloak</v>
      </c>
      <c r="H457" s="35" t="str">
        <f>IFERROR(__xludf.DUMMYFUNCTION("""COMPUTED_VALUE"""),"16-20")</f>
        <v>16-20</v>
      </c>
      <c r="I457" s="32" t="str">
        <f>IFERROR(__xludf.DUMMYFUNCTION("""COMPUTED_VALUE"""),"Nothing")</f>
        <v>Nothing</v>
      </c>
      <c r="J457" s="35" t="str">
        <f>IFERROR(__xludf.DUMMYFUNCTION("""COMPUTED_VALUE"""),"21-25")</f>
        <v>21-25</v>
      </c>
      <c r="K457" s="32" t="str">
        <f>IFERROR(__xludf.DUMMYFUNCTION("""COMPUTED_VALUE"""),"Soul")</f>
        <v>Soul</v>
      </c>
      <c r="L457" s="32"/>
      <c r="M457" s="32"/>
      <c r="N457" s="32"/>
      <c r="O457" s="32"/>
      <c r="P457" s="32"/>
      <c r="Q457" s="32"/>
      <c r="R457" s="32"/>
      <c r="S457" s="32"/>
      <c r="T457" s="32"/>
      <c r="U457" s="32"/>
      <c r="V457" s="32"/>
      <c r="W457" s="32"/>
      <c r="X457" s="32"/>
    </row>
    <row r="458">
      <c r="A458" s="32" t="str">
        <f>IFERROR(__xludf.DUMMYFUNCTION("""COMPUTED_VALUE"""),"Lizardfolk Thief")</f>
        <v>Lizardfolk Thief</v>
      </c>
      <c r="B458" s="35" t="str">
        <f>IFERROR(__xludf.DUMMYFUNCTION("""COMPUTED_VALUE"""),"1-5")</f>
        <v>1-5</v>
      </c>
      <c r="C458" s="32" t="str">
        <f>IFERROR(__xludf.DUMMYFUNCTION("""COMPUTED_VALUE"""),"Tights of Fabulous Thievery")</f>
        <v>Tights of Fabulous Thievery</v>
      </c>
      <c r="D458" s="35" t="str">
        <f>IFERROR(__xludf.DUMMYFUNCTION("""COMPUTED_VALUE"""),"6-10")</f>
        <v>6-10</v>
      </c>
      <c r="E458" s="32" t="str">
        <f>IFERROR(__xludf.DUMMYFUNCTION("""COMPUTED_VALUE"""),"Scale")</f>
        <v>Scale</v>
      </c>
      <c r="F458" s="35" t="str">
        <f>IFERROR(__xludf.DUMMYFUNCTION("""COMPUTED_VALUE"""),"11-15")</f>
        <v>11-15</v>
      </c>
      <c r="G458" s="32" t="str">
        <f>IFERROR(__xludf.DUMMYFUNCTION("""COMPUTED_VALUE"""),"Nothing")</f>
        <v>Nothing</v>
      </c>
      <c r="H458" s="35" t="str">
        <f>IFERROR(__xludf.DUMMYFUNCTION("""COMPUTED_VALUE"""),"16-20")</f>
        <v>16-20</v>
      </c>
      <c r="I458" s="32" t="str">
        <f>IFERROR(__xludf.DUMMYFUNCTION("""COMPUTED_VALUE"""),"Soul")</f>
        <v>Soul</v>
      </c>
      <c r="J458" s="35" t="str">
        <f>IFERROR(__xludf.DUMMYFUNCTION("""COMPUTED_VALUE"""),"21-25")</f>
        <v>21-25</v>
      </c>
      <c r="K458" s="32" t="str">
        <f>IFERROR(__xludf.DUMMYFUNCTION("""COMPUTED_VALUE"""),"80,000,000G-100,000,000G")</f>
        <v>80,000,000G-100,000,000G</v>
      </c>
      <c r="L458" s="32"/>
      <c r="M458" s="32"/>
      <c r="N458" s="32"/>
      <c r="O458" s="32"/>
      <c r="P458" s="32"/>
      <c r="Q458" s="32"/>
      <c r="R458" s="32"/>
      <c r="S458" s="32"/>
      <c r="T458" s="32"/>
      <c r="U458" s="32"/>
      <c r="V458" s="32"/>
      <c r="W458" s="32"/>
      <c r="X458" s="32"/>
    </row>
    <row r="459">
      <c r="A459" s="32" t="str">
        <f>IFERROR(__xludf.DUMMYFUNCTION("""COMPUTED_VALUE"""),"Lizardfolk Warrior")</f>
        <v>Lizardfolk Warrior</v>
      </c>
      <c r="B459" s="35" t="str">
        <f>IFERROR(__xludf.DUMMYFUNCTION("""COMPUTED_VALUE"""),"1-5")</f>
        <v>1-5</v>
      </c>
      <c r="C459" s="32" t="str">
        <f>IFERROR(__xludf.DUMMYFUNCTION("""COMPUTED_VALUE"""),"Sword of Steel")</f>
        <v>Sword of Steel</v>
      </c>
      <c r="D459" s="35" t="str">
        <f>IFERROR(__xludf.DUMMYFUNCTION("""COMPUTED_VALUE"""),"6-10")</f>
        <v>6-10</v>
      </c>
      <c r="E459" s="32" t="str">
        <f>IFERROR(__xludf.DUMMYFUNCTION("""COMPUTED_VALUE"""),"Scale")</f>
        <v>Scale</v>
      </c>
      <c r="F459" s="35" t="str">
        <f>IFERROR(__xludf.DUMMYFUNCTION("""COMPUTED_VALUE"""),"11-15")</f>
        <v>11-15</v>
      </c>
      <c r="G459" s="32" t="str">
        <f>IFERROR(__xludf.DUMMYFUNCTION("""COMPUTED_VALUE"""),"Nothing")</f>
        <v>Nothing</v>
      </c>
      <c r="H459" s="35" t="str">
        <f>IFERROR(__xludf.DUMMYFUNCTION("""COMPUTED_VALUE"""),"16-20")</f>
        <v>16-20</v>
      </c>
      <c r="I459" s="32" t="str">
        <f>IFERROR(__xludf.DUMMYFUNCTION("""COMPUTED_VALUE"""),"Chain Link Armor")</f>
        <v>Chain Link Armor</v>
      </c>
      <c r="J459" s="35" t="str">
        <f>IFERROR(__xludf.DUMMYFUNCTION("""COMPUTED_VALUE"""),"21-25")</f>
        <v>21-25</v>
      </c>
      <c r="K459" s="32" t="str">
        <f>IFERROR(__xludf.DUMMYFUNCTION("""COMPUTED_VALUE"""),"Soul")</f>
        <v>Soul</v>
      </c>
      <c r="L459" s="32"/>
      <c r="M459" s="32"/>
      <c r="N459" s="32"/>
      <c r="O459" s="32"/>
      <c r="P459" s="32"/>
      <c r="Q459" s="32"/>
      <c r="R459" s="32"/>
      <c r="S459" s="32"/>
      <c r="T459" s="32"/>
      <c r="U459" s="32"/>
      <c r="V459" s="32"/>
      <c r="W459" s="32"/>
      <c r="X459" s="32"/>
    </row>
    <row r="460">
      <c r="A460" s="32" t="str">
        <f>IFERROR(__xludf.DUMMYFUNCTION("""COMPUTED_VALUE"""),"Iguanian  Assassin")</f>
        <v>Iguanian  Assassin</v>
      </c>
      <c r="B460" s="35" t="str">
        <f>IFERROR(__xludf.DUMMYFUNCTION("""COMPUTED_VALUE"""),"1-5")</f>
        <v>1-5</v>
      </c>
      <c r="C460" s="32" t="str">
        <f>IFERROR(__xludf.DUMMYFUNCTION("""COMPUTED_VALUE"""),"The Invisible Spear")</f>
        <v>The Invisible Spear</v>
      </c>
      <c r="D460" s="35" t="str">
        <f>IFERROR(__xludf.DUMMYFUNCTION("""COMPUTED_VALUE"""),"6-10")</f>
        <v>6-10</v>
      </c>
      <c r="E460" s="32" t="str">
        <f>IFERROR(__xludf.DUMMYFUNCTION("""COMPUTED_VALUE"""),"Nothing")</f>
        <v>Nothing</v>
      </c>
      <c r="F460" s="35" t="str">
        <f>IFERROR(__xludf.DUMMYFUNCTION("""COMPUTED_VALUE"""),"11-15")</f>
        <v>11-15</v>
      </c>
      <c r="G460" s="32" t="str">
        <f>IFERROR(__xludf.DUMMYFUNCTION("""COMPUTED_VALUE"""),"Nothing")</f>
        <v>Nothing</v>
      </c>
      <c r="H460" s="35" t="str">
        <f>IFERROR(__xludf.DUMMYFUNCTION("""COMPUTED_VALUE"""),"16-20")</f>
        <v>16-20</v>
      </c>
      <c r="I460" s="32" t="str">
        <f>IFERROR(__xludf.DUMMYFUNCTION("""COMPUTED_VALUE"""),"Soul")</f>
        <v>Soul</v>
      </c>
      <c r="J460" s="35" t="str">
        <f>IFERROR(__xludf.DUMMYFUNCTION("""COMPUTED_VALUE"""),"21-25")</f>
        <v>21-25</v>
      </c>
      <c r="K460" s="32" t="str">
        <f>IFERROR(__xludf.DUMMYFUNCTION("""COMPUTED_VALUE"""),"Nothing")</f>
        <v>Nothing</v>
      </c>
      <c r="L460" s="32"/>
      <c r="M460" s="32"/>
      <c r="N460" s="32"/>
      <c r="O460" s="32"/>
      <c r="P460" s="32"/>
      <c r="Q460" s="32"/>
      <c r="R460" s="32"/>
      <c r="S460" s="32"/>
      <c r="T460" s="32"/>
      <c r="U460" s="32"/>
      <c r="V460" s="32"/>
      <c r="W460" s="32"/>
      <c r="X460" s="32"/>
    </row>
    <row r="461">
      <c r="A461" s="32" t="str">
        <f>IFERROR(__xludf.DUMMYFUNCTION("""COMPUTED_VALUE"""),"Iguanian Brawler")</f>
        <v>Iguanian Brawler</v>
      </c>
      <c r="B461" s="35" t="str">
        <f>IFERROR(__xludf.DUMMYFUNCTION("""COMPUTED_VALUE"""),"1-5")</f>
        <v>1-5</v>
      </c>
      <c r="C461" s="32" t="str">
        <f>IFERROR(__xludf.DUMMYFUNCTION("""COMPUTED_VALUE"""),"Fingerless Glove of Anonymity")</f>
        <v>Fingerless Glove of Anonymity</v>
      </c>
      <c r="D461" s="35" t="str">
        <f>IFERROR(__xludf.DUMMYFUNCTION("""COMPUTED_VALUE"""),"6-10")</f>
        <v>6-10</v>
      </c>
      <c r="E461" s="32" t="str">
        <f>IFERROR(__xludf.DUMMYFUNCTION("""COMPUTED_VALUE"""),"Nothing")</f>
        <v>Nothing</v>
      </c>
      <c r="F461" s="35" t="str">
        <f>IFERROR(__xludf.DUMMYFUNCTION("""COMPUTED_VALUE"""),"11-15")</f>
        <v>11-15</v>
      </c>
      <c r="G461" s="32" t="str">
        <f>IFERROR(__xludf.DUMMYFUNCTION("""COMPUTED_VALUE"""),"Knife")</f>
        <v>Knife</v>
      </c>
      <c r="H461" s="35" t="str">
        <f>IFERROR(__xludf.DUMMYFUNCTION("""COMPUTED_VALUE"""),"16-20")</f>
        <v>16-20</v>
      </c>
      <c r="I461" s="32" t="str">
        <f>IFERROR(__xludf.DUMMYFUNCTION("""COMPUTED_VALUE"""),"Soul")</f>
        <v>Soul</v>
      </c>
      <c r="J461" s="35" t="str">
        <f>IFERROR(__xludf.DUMMYFUNCTION("""COMPUTED_VALUE"""),"21-25")</f>
        <v>21-25</v>
      </c>
      <c r="K461" s="32" t="str">
        <f>IFERROR(__xludf.DUMMYFUNCTION("""COMPUTED_VALUE"""),"Nothing")</f>
        <v>Nothing</v>
      </c>
      <c r="L461" s="32"/>
      <c r="M461" s="32"/>
      <c r="N461" s="32"/>
      <c r="O461" s="32"/>
      <c r="P461" s="32"/>
      <c r="Q461" s="32"/>
      <c r="R461" s="32"/>
      <c r="S461" s="32"/>
      <c r="T461" s="32"/>
      <c r="U461" s="32"/>
      <c r="V461" s="32"/>
      <c r="W461" s="32"/>
      <c r="X461" s="32"/>
    </row>
    <row r="462">
      <c r="A462" s="32" t="str">
        <f>IFERROR(__xludf.DUMMYFUNCTION("""COMPUTED_VALUE"""),"Iguanian Mage")</f>
        <v>Iguanian Mage</v>
      </c>
      <c r="B462" s="35" t="str">
        <f>IFERROR(__xludf.DUMMYFUNCTION("""COMPUTED_VALUE"""),"1-5")</f>
        <v>1-5</v>
      </c>
      <c r="C462" s="32" t="str">
        <f>IFERROR(__xludf.DUMMYFUNCTION("""COMPUTED_VALUE"""),"Nothing")</f>
        <v>Nothing</v>
      </c>
      <c r="D462" s="35" t="str">
        <f>IFERROR(__xludf.DUMMYFUNCTION("""COMPUTED_VALUE"""),"6-10")</f>
        <v>6-10</v>
      </c>
      <c r="E462" s="32" t="str">
        <f>IFERROR(__xludf.DUMMYFUNCTION("""COMPUTED_VALUE"""),"500,000G-1,000,000G")</f>
        <v>500,000G-1,000,000G</v>
      </c>
      <c r="F462" s="35" t="str">
        <f>IFERROR(__xludf.DUMMYFUNCTION("""COMPUTED_VALUE"""),"11-15")</f>
        <v>11-15</v>
      </c>
      <c r="G462" s="32" t="str">
        <f>IFERROR(__xludf.DUMMYFUNCTION("""COMPUTED_VALUE"""),"Nothing")</f>
        <v>Nothing</v>
      </c>
      <c r="H462" s="35" t="str">
        <f>IFERROR(__xludf.DUMMYFUNCTION("""COMPUTED_VALUE"""),"16-20")</f>
        <v>16-20</v>
      </c>
      <c r="I462" s="32" t="str">
        <f>IFERROR(__xludf.DUMMYFUNCTION("""COMPUTED_VALUE"""),"Mage's Cloak")</f>
        <v>Mage's Cloak</v>
      </c>
      <c r="J462" s="35" t="str">
        <f>IFERROR(__xludf.DUMMYFUNCTION("""COMPUTED_VALUE"""),"21-25")</f>
        <v>21-25</v>
      </c>
      <c r="K462" s="32" t="str">
        <f>IFERROR(__xludf.DUMMYFUNCTION("""COMPUTED_VALUE"""),"Soul")</f>
        <v>Soul</v>
      </c>
      <c r="L462" s="32"/>
      <c r="M462" s="32"/>
      <c r="N462" s="32"/>
      <c r="O462" s="32"/>
      <c r="P462" s="32"/>
      <c r="Q462" s="32"/>
      <c r="R462" s="32"/>
      <c r="S462" s="32"/>
      <c r="T462" s="32"/>
      <c r="U462" s="32"/>
      <c r="V462" s="32"/>
      <c r="W462" s="32"/>
      <c r="X462" s="32"/>
    </row>
    <row r="463">
      <c r="A463" s="32" t="str">
        <f>IFERROR(__xludf.DUMMYFUNCTION("""COMPUTED_VALUE"""),"Salamandrith Ranger")</f>
        <v>Salamandrith Ranger</v>
      </c>
      <c r="B463" s="35" t="str">
        <f>IFERROR(__xludf.DUMMYFUNCTION("""COMPUTED_VALUE"""),"1-5")</f>
        <v>1-5</v>
      </c>
      <c r="C463" s="32" t="str">
        <f>IFERROR(__xludf.DUMMYFUNCTION("""COMPUTED_VALUE"""),"Fire Resistant Boots")</f>
        <v>Fire Resistant Boots</v>
      </c>
      <c r="D463" s="35" t="str">
        <f>IFERROR(__xludf.DUMMYFUNCTION("""COMPUTED_VALUE"""),"6-10")</f>
        <v>6-10</v>
      </c>
      <c r="E463" s="32" t="str">
        <f>IFERROR(__xludf.DUMMYFUNCTION("""COMPUTED_VALUE"""),"Nothing")</f>
        <v>Nothing</v>
      </c>
      <c r="F463" s="35" t="str">
        <f>IFERROR(__xludf.DUMMYFUNCTION("""COMPUTED_VALUE"""),"11-15")</f>
        <v>11-15</v>
      </c>
      <c r="G463" s="32" t="str">
        <f>IFERROR(__xludf.DUMMYFUNCTION("""COMPUTED_VALUE"""),"Nothing")</f>
        <v>Nothing</v>
      </c>
      <c r="H463" s="35" t="str">
        <f>IFERROR(__xludf.DUMMYFUNCTION("""COMPUTED_VALUE"""),"16-20")</f>
        <v>16-20</v>
      </c>
      <c r="I463" s="32" t="str">
        <f>IFERROR(__xludf.DUMMYFUNCTION("""COMPUTED_VALUE"""),"Condemned Bow")</f>
        <v>Condemned Bow</v>
      </c>
      <c r="J463" s="35" t="str">
        <f>IFERROR(__xludf.DUMMYFUNCTION("""COMPUTED_VALUE"""),"21-25")</f>
        <v>21-25</v>
      </c>
      <c r="K463" s="32" t="str">
        <f>IFERROR(__xludf.DUMMYFUNCTION("""COMPUTED_VALUE"""),"Soul")</f>
        <v>Soul</v>
      </c>
      <c r="L463" s="32"/>
      <c r="M463" s="32"/>
      <c r="N463" s="32"/>
      <c r="O463" s="32"/>
      <c r="P463" s="32"/>
      <c r="Q463" s="32"/>
      <c r="R463" s="32"/>
      <c r="S463" s="32"/>
      <c r="T463" s="32"/>
      <c r="U463" s="32"/>
      <c r="V463" s="32"/>
      <c r="W463" s="32"/>
      <c r="X463" s="32"/>
    </row>
    <row r="464">
      <c r="A464" s="32" t="str">
        <f>IFERROR(__xludf.DUMMYFUNCTION("""COMPUTED_VALUE"""),"Salamandrith Cultist")</f>
        <v>Salamandrith Cultist</v>
      </c>
      <c r="B464" s="35" t="str">
        <f>IFERROR(__xludf.DUMMYFUNCTION("""COMPUTED_VALUE"""),"1-5")</f>
        <v>1-5</v>
      </c>
      <c r="C464" s="32" t="str">
        <f>IFERROR(__xludf.DUMMYFUNCTION("""COMPUTED_VALUE"""),"Nothing")</f>
        <v>Nothing</v>
      </c>
      <c r="D464" s="35" t="str">
        <f>IFERROR(__xludf.DUMMYFUNCTION("""COMPUTED_VALUE"""),"6-10")</f>
        <v>6-10</v>
      </c>
      <c r="E464" s="32" t="str">
        <f>IFERROR(__xludf.DUMMYFUNCTION("""COMPUTED_VALUE"""),"Nothing")</f>
        <v>Nothing</v>
      </c>
      <c r="F464" s="35" t="str">
        <f>IFERROR(__xludf.DUMMYFUNCTION("""COMPUTED_VALUE"""),"11-15")</f>
        <v>11-15</v>
      </c>
      <c r="G464" s="32" t="str">
        <f>IFERROR(__xludf.DUMMYFUNCTION("""COMPUTED_VALUE"""),"Nothing")</f>
        <v>Nothing</v>
      </c>
      <c r="H464" s="35" t="str">
        <f>IFERROR(__xludf.DUMMYFUNCTION("""COMPUTED_VALUE"""),"16-20")</f>
        <v>16-20</v>
      </c>
      <c r="I464" s="32" t="str">
        <f>IFERROR(__xludf.DUMMYFUNCTION("""COMPUTED_VALUE"""),"Fire Bullet")</f>
        <v>Fire Bullet</v>
      </c>
      <c r="J464" s="35" t="str">
        <f>IFERROR(__xludf.DUMMYFUNCTION("""COMPUTED_VALUE"""),"21-25")</f>
        <v>21-25</v>
      </c>
      <c r="K464" s="32" t="str">
        <f>IFERROR(__xludf.DUMMYFUNCTION("""COMPUTED_VALUE"""),"Nothing")</f>
        <v>Nothing</v>
      </c>
      <c r="L464" s="32"/>
      <c r="M464" s="32"/>
      <c r="N464" s="32"/>
      <c r="O464" s="32"/>
      <c r="P464" s="32"/>
      <c r="Q464" s="32"/>
      <c r="R464" s="32"/>
      <c r="S464" s="32"/>
      <c r="T464" s="32"/>
      <c r="U464" s="32"/>
      <c r="V464" s="32"/>
      <c r="W464" s="32"/>
      <c r="X464" s="32"/>
    </row>
    <row r="465">
      <c r="A465" s="32" t="str">
        <f>IFERROR(__xludf.DUMMYFUNCTION("""COMPUTED_VALUE"""),"Salamandrith Shaman")</f>
        <v>Salamandrith Shaman</v>
      </c>
      <c r="B465" s="35" t="str">
        <f>IFERROR(__xludf.DUMMYFUNCTION("""COMPUTED_VALUE"""),"1-5")</f>
        <v>1-5</v>
      </c>
      <c r="C465" s="32" t="str">
        <f>IFERROR(__xludf.DUMMYFUNCTION("""COMPUTED_VALUE"""),"Shamanic Staff")</f>
        <v>Shamanic Staff</v>
      </c>
      <c r="D465" s="35" t="str">
        <f>IFERROR(__xludf.DUMMYFUNCTION("""COMPUTED_VALUE"""),"6-10")</f>
        <v>6-10</v>
      </c>
      <c r="E465" s="32" t="str">
        <f>IFERROR(__xludf.DUMMYFUNCTION("""COMPUTED_VALUE"""),"Fire Shield")</f>
        <v>Fire Shield</v>
      </c>
      <c r="F465" s="35" t="str">
        <f>IFERROR(__xludf.DUMMYFUNCTION("""COMPUTED_VALUE"""),"11-15")</f>
        <v>11-15</v>
      </c>
      <c r="G465" s="32" t="str">
        <f>IFERROR(__xludf.DUMMYFUNCTION("""COMPUTED_VALUE"""),"Nothing")</f>
        <v>Nothing</v>
      </c>
      <c r="H465" s="35" t="str">
        <f>IFERROR(__xludf.DUMMYFUNCTION("""COMPUTED_VALUE"""),"16-20")</f>
        <v>16-20</v>
      </c>
      <c r="I465" s="32" t="str">
        <f>IFERROR(__xludf.DUMMYFUNCTION("""COMPUTED_VALUE"""),"1,000G-20,000G")</f>
        <v>1,000G-20,000G</v>
      </c>
      <c r="J465" s="35" t="str">
        <f>IFERROR(__xludf.DUMMYFUNCTION("""COMPUTED_VALUE"""),"21-25")</f>
        <v>21-25</v>
      </c>
      <c r="K465" s="32" t="str">
        <f>IFERROR(__xludf.DUMMYFUNCTION("""COMPUTED_VALUE"""),"Soul")</f>
        <v>Soul</v>
      </c>
      <c r="L465" s="32"/>
      <c r="M465" s="32"/>
      <c r="N465" s="32"/>
      <c r="O465" s="32"/>
      <c r="P465" s="32"/>
      <c r="Q465" s="32"/>
      <c r="R465" s="32"/>
      <c r="S465" s="32"/>
      <c r="T465" s="32"/>
      <c r="U465" s="32"/>
      <c r="V465" s="32"/>
      <c r="W465" s="32"/>
      <c r="X465" s="32"/>
    </row>
    <row r="466">
      <c r="A466" s="32" t="str">
        <f>IFERROR(__xludf.DUMMYFUNCTION("""COMPUTED_VALUE"""),"Geckorian Wandering Sword")</f>
        <v>Geckorian Wandering Sword</v>
      </c>
      <c r="B466" s="35" t="str">
        <f>IFERROR(__xludf.DUMMYFUNCTION("""COMPUTED_VALUE"""),"1-5")</f>
        <v>1-5</v>
      </c>
      <c r="C466" s="32" t="str">
        <f>IFERROR(__xludf.DUMMYFUNCTION("""COMPUTED_VALUE"""),"Sword of Steel")</f>
        <v>Sword of Steel</v>
      </c>
      <c r="D466" s="35" t="str">
        <f>IFERROR(__xludf.DUMMYFUNCTION("""COMPUTED_VALUE"""),"6-10")</f>
        <v>6-10</v>
      </c>
      <c r="E466" s="32" t="str">
        <f>IFERROR(__xludf.DUMMYFUNCTION("""COMPUTED_VALUE"""),"Rusty sword")</f>
        <v>Rusty sword</v>
      </c>
      <c r="F466" s="35" t="str">
        <f>IFERROR(__xludf.DUMMYFUNCTION("""COMPUTED_VALUE"""),"11-15")</f>
        <v>11-15</v>
      </c>
      <c r="G466" s="32" t="str">
        <f>IFERROR(__xludf.DUMMYFUNCTION("""COMPUTED_VALUE"""),"Nature's Sword")</f>
        <v>Nature's Sword</v>
      </c>
      <c r="H466" s="35" t="str">
        <f>IFERROR(__xludf.DUMMYFUNCTION("""COMPUTED_VALUE"""),"16-20")</f>
        <v>16-20</v>
      </c>
      <c r="I466" s="32" t="str">
        <f>IFERROR(__xludf.DUMMYFUNCTION("""COMPUTED_VALUE"""),"Broken Sword")</f>
        <v>Broken Sword</v>
      </c>
      <c r="J466" s="35" t="str">
        <f>IFERROR(__xludf.DUMMYFUNCTION("""COMPUTED_VALUE"""),"21-25")</f>
        <v>21-25</v>
      </c>
      <c r="K466" s="32" t="str">
        <f>IFERROR(__xludf.DUMMYFUNCTION("""COMPUTED_VALUE"""),"Soul")</f>
        <v>Soul</v>
      </c>
      <c r="L466" s="32"/>
      <c r="M466" s="32"/>
      <c r="N466" s="32"/>
      <c r="O466" s="32"/>
      <c r="P466" s="32"/>
      <c r="Q466" s="32"/>
      <c r="R466" s="32"/>
      <c r="S466" s="32"/>
      <c r="T466" s="32"/>
      <c r="U466" s="32"/>
      <c r="V466" s="32"/>
      <c r="W466" s="32"/>
      <c r="X466" s="32"/>
    </row>
    <row r="467">
      <c r="A467" s="32" t="str">
        <f>IFERROR(__xludf.DUMMYFUNCTION("""COMPUTED_VALUE"""),"Geckorian Minstrel")</f>
        <v>Geckorian Minstrel</v>
      </c>
      <c r="B467" s="35" t="str">
        <f>IFERROR(__xludf.DUMMYFUNCTION("""COMPUTED_VALUE"""),"1-5")</f>
        <v>1-5</v>
      </c>
      <c r="C467" s="32" t="str">
        <f>IFERROR(__xludf.DUMMYFUNCTION("""COMPUTED_VALUE"""),"Heavenly Lute")</f>
        <v>Heavenly Lute</v>
      </c>
      <c r="D467" s="35" t="str">
        <f>IFERROR(__xludf.DUMMYFUNCTION("""COMPUTED_VALUE"""),"6-10")</f>
        <v>6-10</v>
      </c>
      <c r="E467" s="32" t="str">
        <f>IFERROR(__xludf.DUMMYFUNCTION("""COMPUTED_VALUE"""),"Dragonscale Harp")</f>
        <v>Dragonscale Harp</v>
      </c>
      <c r="F467" s="35" t="str">
        <f>IFERROR(__xludf.DUMMYFUNCTION("""COMPUTED_VALUE"""),"11-15")</f>
        <v>11-15</v>
      </c>
      <c r="G467" s="32" t="str">
        <f>IFERROR(__xludf.DUMMYFUNCTION("""COMPUTED_VALUE"""),"Harpoon Gun")</f>
        <v>Harpoon Gun</v>
      </c>
      <c r="H467" s="35" t="str">
        <f>IFERROR(__xludf.DUMMYFUNCTION("""COMPUTED_VALUE"""),"16-20")</f>
        <v>16-20</v>
      </c>
      <c r="I467" s="32" t="str">
        <f>IFERROR(__xludf.DUMMYFUNCTION("""COMPUTED_VALUE"""),"Kebab")</f>
        <v>Kebab</v>
      </c>
      <c r="J467" s="35" t="str">
        <f>IFERROR(__xludf.DUMMYFUNCTION("""COMPUTED_VALUE"""),"21-25")</f>
        <v>21-25</v>
      </c>
      <c r="K467" s="32" t="str">
        <f>IFERROR(__xludf.DUMMYFUNCTION("""COMPUTED_VALUE"""),"Soul")</f>
        <v>Soul</v>
      </c>
      <c r="L467" s="32"/>
      <c r="M467" s="32"/>
      <c r="N467" s="32"/>
      <c r="O467" s="32"/>
      <c r="P467" s="32"/>
      <c r="Q467" s="32"/>
      <c r="R467" s="32"/>
      <c r="S467" s="32"/>
      <c r="T467" s="32"/>
      <c r="U467" s="32"/>
      <c r="V467" s="32"/>
      <c r="W467" s="32"/>
      <c r="X467" s="32"/>
    </row>
    <row r="468">
      <c r="A468" s="32" t="str">
        <f>IFERROR(__xludf.DUMMYFUNCTION("""COMPUTED_VALUE"""),"Geckorian Warden")</f>
        <v>Geckorian Warden</v>
      </c>
      <c r="B468" s="35" t="str">
        <f>IFERROR(__xludf.DUMMYFUNCTION("""COMPUTED_VALUE"""),"1-5")</f>
        <v>1-5</v>
      </c>
      <c r="C468" s="32" t="str">
        <f>IFERROR(__xludf.DUMMYFUNCTION("""COMPUTED_VALUE"""),"60,000,000G-80,000,000G")</f>
        <v>60,000,000G-80,000,000G</v>
      </c>
      <c r="D468" s="35" t="str">
        <f>IFERROR(__xludf.DUMMYFUNCTION("""COMPUTED_VALUE"""),"6-10")</f>
        <v>6-10</v>
      </c>
      <c r="E468" s="32" t="str">
        <f>IFERROR(__xludf.DUMMYFUNCTION("""COMPUTED_VALUE"""),"Nothing")</f>
        <v>Nothing</v>
      </c>
      <c r="F468" s="35" t="str">
        <f>IFERROR(__xludf.DUMMYFUNCTION("""COMPUTED_VALUE"""),"11-15")</f>
        <v>11-15</v>
      </c>
      <c r="G468" s="32" t="str">
        <f>IFERROR(__xludf.DUMMYFUNCTION("""COMPUTED_VALUE"""),"Soul")</f>
        <v>Soul</v>
      </c>
      <c r="H468" s="35" t="str">
        <f>IFERROR(__xludf.DUMMYFUNCTION("""COMPUTED_VALUE"""),"16-20")</f>
        <v>16-20</v>
      </c>
      <c r="I468" s="32" t="str">
        <f>IFERROR(__xludf.DUMMYFUNCTION("""COMPUTED_VALUE"""),"Nothing")</f>
        <v>Nothing</v>
      </c>
      <c r="J468" s="35" t="str">
        <f>IFERROR(__xludf.DUMMYFUNCTION("""COMPUTED_VALUE"""),"21-25")</f>
        <v>21-25</v>
      </c>
      <c r="K468" s="32" t="str">
        <f>IFERROR(__xludf.DUMMYFUNCTION("""COMPUTED_VALUE"""),"Nothing")</f>
        <v>Nothing</v>
      </c>
      <c r="L468" s="32"/>
      <c r="M468" s="32"/>
      <c r="N468" s="32"/>
      <c r="O468" s="32"/>
      <c r="P468" s="32"/>
      <c r="Q468" s="32"/>
      <c r="R468" s="32"/>
      <c r="S468" s="32"/>
      <c r="T468" s="32"/>
      <c r="U468" s="32"/>
      <c r="V468" s="32"/>
      <c r="W468" s="32"/>
      <c r="X468" s="32"/>
    </row>
    <row r="469">
      <c r="A469" s="32" t="str">
        <f>IFERROR(__xludf.DUMMYFUNCTION("""COMPUTED_VALUE"""),"Chameldrian Infiltrator")</f>
        <v>Chameldrian Infiltrator</v>
      </c>
      <c r="B469" s="35" t="str">
        <f>IFERROR(__xludf.DUMMYFUNCTION("""COMPUTED_VALUE"""),"1-5")</f>
        <v>1-5</v>
      </c>
      <c r="C469" s="32" t="str">
        <f>IFERROR(__xludf.DUMMYFUNCTION("""COMPUTED_VALUE"""),"The Invisible Spear")</f>
        <v>The Invisible Spear</v>
      </c>
      <c r="D469" s="35" t="str">
        <f>IFERROR(__xludf.DUMMYFUNCTION("""COMPUTED_VALUE"""),"6-10")</f>
        <v>6-10</v>
      </c>
      <c r="E469" s="32" t="str">
        <f>IFERROR(__xludf.DUMMYFUNCTION("""COMPUTED_VALUE"""),"Fingerless Glove of Anonymity")</f>
        <v>Fingerless Glove of Anonymity</v>
      </c>
      <c r="F469" s="35" t="str">
        <f>IFERROR(__xludf.DUMMYFUNCTION("""COMPUTED_VALUE"""),"11-15")</f>
        <v>11-15</v>
      </c>
      <c r="G469" s="32" t="str">
        <f>IFERROR(__xludf.DUMMYFUNCTION("""COMPUTED_VALUE"""),"Ring of Sticky FIngers")</f>
        <v>Ring of Sticky FIngers</v>
      </c>
      <c r="H469" s="35" t="str">
        <f>IFERROR(__xludf.DUMMYFUNCTION("""COMPUTED_VALUE"""),"16-20")</f>
        <v>16-20</v>
      </c>
      <c r="I469" s="32" t="str">
        <f>IFERROR(__xludf.DUMMYFUNCTION("""COMPUTED_VALUE"""),"Nothing")</f>
        <v>Nothing</v>
      </c>
      <c r="J469" s="35" t="str">
        <f>IFERROR(__xludf.DUMMYFUNCTION("""COMPUTED_VALUE"""),"21-25")</f>
        <v>21-25</v>
      </c>
      <c r="K469" s="32" t="str">
        <f>IFERROR(__xludf.DUMMYFUNCTION("""COMPUTED_VALUE"""),"Soul")</f>
        <v>Soul</v>
      </c>
      <c r="L469" s="32"/>
      <c r="M469" s="32"/>
      <c r="N469" s="32"/>
      <c r="O469" s="32"/>
      <c r="P469" s="32"/>
      <c r="Q469" s="32"/>
      <c r="R469" s="32"/>
      <c r="S469" s="32"/>
      <c r="T469" s="32"/>
      <c r="U469" s="32"/>
      <c r="V469" s="32"/>
      <c r="W469" s="32"/>
      <c r="X469" s="32"/>
    </row>
    <row r="470">
      <c r="A470" s="32" t="str">
        <f>IFERROR(__xludf.DUMMYFUNCTION("""COMPUTED_VALUE"""),"Chameldrian Druid")</f>
        <v>Chameldrian Druid</v>
      </c>
      <c r="B470" s="35" t="str">
        <f>IFERROR(__xludf.DUMMYFUNCTION("""COMPUTED_VALUE"""),"1-5")</f>
        <v>1-5</v>
      </c>
      <c r="C470" s="32" t="str">
        <f>IFERROR(__xludf.DUMMYFUNCTION("""COMPUTED_VALUE"""),"Nothing")</f>
        <v>Nothing</v>
      </c>
      <c r="D470" s="35" t="str">
        <f>IFERROR(__xludf.DUMMYFUNCTION("""COMPUTED_VALUE"""),"6-10")</f>
        <v>6-10</v>
      </c>
      <c r="E470" s="32" t="str">
        <f>IFERROR(__xludf.DUMMYFUNCTION("""COMPUTED_VALUE"""),"Soul")</f>
        <v>Soul</v>
      </c>
      <c r="F470" s="35" t="str">
        <f>IFERROR(__xludf.DUMMYFUNCTION("""COMPUTED_VALUE"""),"11-15")</f>
        <v>11-15</v>
      </c>
      <c r="G470" s="32" t="str">
        <f>IFERROR(__xludf.DUMMYFUNCTION("""COMPUTED_VALUE"""),"Nothing")</f>
        <v>Nothing</v>
      </c>
      <c r="H470" s="35" t="str">
        <f>IFERROR(__xludf.DUMMYFUNCTION("""COMPUTED_VALUE"""),"16-20")</f>
        <v>16-20</v>
      </c>
      <c r="I470" s="32" t="str">
        <f>IFERROR(__xludf.DUMMYFUNCTION("""COMPUTED_VALUE"""),"The Invisible Spear")</f>
        <v>The Invisible Spear</v>
      </c>
      <c r="J470" s="35" t="str">
        <f>IFERROR(__xludf.DUMMYFUNCTION("""COMPUTED_VALUE"""),"21-25")</f>
        <v>21-25</v>
      </c>
      <c r="K470" s="32" t="str">
        <f>IFERROR(__xludf.DUMMYFUNCTION("""COMPUTED_VALUE"""),"Dark Wand")</f>
        <v>Dark Wand</v>
      </c>
      <c r="L470" s="32"/>
      <c r="M470" s="32"/>
      <c r="N470" s="32"/>
      <c r="O470" s="32"/>
      <c r="P470" s="32"/>
      <c r="Q470" s="32"/>
      <c r="R470" s="32"/>
      <c r="S470" s="32"/>
      <c r="T470" s="32"/>
      <c r="U470" s="32"/>
      <c r="V470" s="32"/>
      <c r="W470" s="32"/>
      <c r="X470" s="32"/>
    </row>
    <row r="471">
      <c r="A471" s="32" t="str">
        <f>IFERROR(__xludf.DUMMYFUNCTION("""COMPUTED_VALUE"""),"Chameldrian Berserker")</f>
        <v>Chameldrian Berserker</v>
      </c>
      <c r="B471" s="35" t="str">
        <f>IFERROR(__xludf.DUMMYFUNCTION("""COMPUTED_VALUE"""),"1-5")</f>
        <v>1-5</v>
      </c>
      <c r="C471" s="32" t="str">
        <f>IFERROR(__xludf.DUMMYFUNCTION("""COMPUTED_VALUE"""),"Forsaken Club")</f>
        <v>Forsaken Club</v>
      </c>
      <c r="D471" s="35" t="str">
        <f>IFERROR(__xludf.DUMMYFUNCTION("""COMPUTED_VALUE"""),"6-10")</f>
        <v>6-10</v>
      </c>
      <c r="E471" s="32" t="str">
        <f>IFERROR(__xludf.DUMMYFUNCTION("""COMPUTED_VALUE"""),"Storm Dragonscale Flail")</f>
        <v>Storm Dragonscale Flail</v>
      </c>
      <c r="F471" s="35" t="str">
        <f>IFERROR(__xludf.DUMMYFUNCTION("""COMPUTED_VALUE"""),"11-15")</f>
        <v>11-15</v>
      </c>
      <c r="G471" s="32" t="str">
        <f>IFERROR(__xludf.DUMMYFUNCTION("""COMPUTED_VALUE"""),"Nothing")</f>
        <v>Nothing</v>
      </c>
      <c r="H471" s="35" t="str">
        <f>IFERROR(__xludf.DUMMYFUNCTION("""COMPUTED_VALUE"""),"16-20")</f>
        <v>16-20</v>
      </c>
      <c r="I471" s="32" t="str">
        <f>IFERROR(__xludf.DUMMYFUNCTION("""COMPUTED_VALUE"""),"Nothing")</f>
        <v>Nothing</v>
      </c>
      <c r="J471" s="35" t="str">
        <f>IFERROR(__xludf.DUMMYFUNCTION("""COMPUTED_VALUE"""),"21-25")</f>
        <v>21-25</v>
      </c>
      <c r="K471" s="32" t="str">
        <f>IFERROR(__xludf.DUMMYFUNCTION("""COMPUTED_VALUE"""),"Soul")</f>
        <v>Soul</v>
      </c>
      <c r="L471" s="32"/>
      <c r="M471" s="32"/>
      <c r="N471" s="32"/>
      <c r="O471" s="32"/>
      <c r="P471" s="32"/>
      <c r="Q471" s="32"/>
      <c r="R471" s="32"/>
      <c r="S471" s="32"/>
      <c r="T471" s="32"/>
      <c r="U471" s="32"/>
      <c r="V471" s="32"/>
      <c r="W471" s="32"/>
      <c r="X471" s="32"/>
    </row>
    <row r="472">
      <c r="A472" s="32" t="str">
        <f>IFERROR(__xludf.DUMMYFUNCTION("""COMPUTED_VALUE"""),"Ancient Wood Dragon")</f>
        <v>Ancient Wood Dragon</v>
      </c>
      <c r="B472" s="35" t="str">
        <f>IFERROR(__xludf.DUMMYFUNCTION("""COMPUTED_VALUE"""),"1-5")</f>
        <v>1-5</v>
      </c>
      <c r="C472" s="32" t="str">
        <f>IFERROR(__xludf.DUMMYFUNCTION("""COMPUTED_VALUE"""),"Saber Toothed Sword")</f>
        <v>Saber Toothed Sword</v>
      </c>
      <c r="D472" s="35" t="str">
        <f>IFERROR(__xludf.DUMMYFUNCTION("""COMPUTED_VALUE"""),"6-10")</f>
        <v>6-10</v>
      </c>
      <c r="E472" s="32" t="str">
        <f>IFERROR(__xludf.DUMMYFUNCTION("""COMPUTED_VALUE"""),"Nothing")</f>
        <v>Nothing</v>
      </c>
      <c r="F472" s="35" t="str">
        <f>IFERROR(__xludf.DUMMYFUNCTION("""COMPUTED_VALUE"""),"11-15")</f>
        <v>11-15</v>
      </c>
      <c r="G472" s="32" t="str">
        <f>IFERROR(__xludf.DUMMYFUNCTION("""COMPUTED_VALUE"""),"20,000G-40,000G")</f>
        <v>20,000G-40,000G</v>
      </c>
      <c r="H472" s="35" t="str">
        <f>IFERROR(__xludf.DUMMYFUNCTION("""COMPUTED_VALUE"""),"16-20")</f>
        <v>16-20</v>
      </c>
      <c r="I472" s="32" t="str">
        <f>IFERROR(__xludf.DUMMYFUNCTION("""COMPUTED_VALUE"""),"Soul")</f>
        <v>Soul</v>
      </c>
      <c r="J472" s="35" t="str">
        <f>IFERROR(__xludf.DUMMYFUNCTION("""COMPUTED_VALUE"""),"21-25")</f>
        <v>21-25</v>
      </c>
      <c r="K472" s="32" t="str">
        <f>IFERROR(__xludf.DUMMYFUNCTION("""COMPUTED_VALUE"""),"Egg")</f>
        <v>Egg</v>
      </c>
      <c r="L472" s="32"/>
      <c r="M472" s="32"/>
      <c r="N472" s="32"/>
      <c r="O472" s="32"/>
      <c r="P472" s="32"/>
      <c r="Q472" s="32"/>
      <c r="R472" s="32"/>
      <c r="S472" s="32"/>
      <c r="T472" s="32"/>
      <c r="U472" s="32"/>
      <c r="V472" s="32"/>
      <c r="W472" s="32"/>
      <c r="X472" s="32"/>
    </row>
    <row r="473">
      <c r="A473" s="32" t="str">
        <f>IFERROR(__xludf.DUMMYFUNCTION("""COMPUTED_VALUE"""),"Nereid")</f>
        <v>Nereid</v>
      </c>
      <c r="B473" s="35" t="str">
        <f>IFERROR(__xludf.DUMMYFUNCTION("""COMPUTED_VALUE"""),"1-5")</f>
        <v>1-5</v>
      </c>
      <c r="C473" s="32" t="str">
        <f>IFERROR(__xludf.DUMMYFUNCTION("""COMPUTED_VALUE"""),"Molotov")</f>
        <v>Molotov</v>
      </c>
      <c r="D473" s="35" t="str">
        <f>IFERROR(__xludf.DUMMYFUNCTION("""COMPUTED_VALUE"""),"6-10")</f>
        <v>6-10</v>
      </c>
      <c r="E473" s="32" t="str">
        <f>IFERROR(__xludf.DUMMYFUNCTION("""COMPUTED_VALUE"""),"Nothing")</f>
        <v>Nothing</v>
      </c>
      <c r="F473" s="35" t="str">
        <f>IFERROR(__xludf.DUMMYFUNCTION("""COMPUTED_VALUE"""),"11-15")</f>
        <v>11-15</v>
      </c>
      <c r="G473" s="32" t="str">
        <f>IFERROR(__xludf.DUMMYFUNCTION("""COMPUTED_VALUE"""),"Soul")</f>
        <v>Soul</v>
      </c>
      <c r="H473" s="35" t="str">
        <f>IFERROR(__xludf.DUMMYFUNCTION("""COMPUTED_VALUE"""),"16-20")</f>
        <v>16-20</v>
      </c>
      <c r="I473" s="32" t="str">
        <f>IFERROR(__xludf.DUMMYFUNCTION("""COMPUTED_VALUE"""),"1,000G-20,000G")</f>
        <v>1,000G-20,000G</v>
      </c>
      <c r="J473" s="35" t="str">
        <f>IFERROR(__xludf.DUMMYFUNCTION("""COMPUTED_VALUE"""),"21-25")</f>
        <v>21-25</v>
      </c>
      <c r="K473" s="32" t="str">
        <f>IFERROR(__xludf.DUMMYFUNCTION("""COMPUTED_VALUE"""),"Nothing")</f>
        <v>Nothing</v>
      </c>
      <c r="L473" s="32"/>
      <c r="M473" s="32"/>
      <c r="N473" s="32"/>
      <c r="O473" s="32"/>
      <c r="P473" s="32"/>
      <c r="Q473" s="32"/>
      <c r="R473" s="32"/>
      <c r="S473" s="32"/>
      <c r="T473" s="32"/>
      <c r="U473" s="32"/>
      <c r="V473" s="32"/>
      <c r="W473" s="32"/>
      <c r="X473" s="32"/>
    </row>
    <row r="474">
      <c r="A474" s="32" t="str">
        <f>IFERROR(__xludf.DUMMYFUNCTION("""COMPUTED_VALUE"""),"Ancient Water Elemental")</f>
        <v>Ancient Water Elemental</v>
      </c>
      <c r="B474" s="35" t="str">
        <f>IFERROR(__xludf.DUMMYFUNCTION("""COMPUTED_VALUE"""),"1-5")</f>
        <v>1-5</v>
      </c>
      <c r="C474" s="32" t="str">
        <f>IFERROR(__xludf.DUMMYFUNCTION("""COMPUTED_VALUE"""),"Trident")</f>
        <v>Trident</v>
      </c>
      <c r="D474" s="35" t="str">
        <f>IFERROR(__xludf.DUMMYFUNCTION("""COMPUTED_VALUE"""),"6-10")</f>
        <v>6-10</v>
      </c>
      <c r="E474" s="32" t="str">
        <f>IFERROR(__xludf.DUMMYFUNCTION("""COMPUTED_VALUE"""),"Water potion")</f>
        <v>Water potion</v>
      </c>
      <c r="F474" s="35" t="str">
        <f>IFERROR(__xludf.DUMMYFUNCTION("""COMPUTED_VALUE"""),"11-15")</f>
        <v>11-15</v>
      </c>
      <c r="G474" s="32" t="str">
        <f>IFERROR(__xludf.DUMMYFUNCTION("""COMPUTED_VALUE"""),"Soul")</f>
        <v>Soul</v>
      </c>
      <c r="H474" s="35" t="str">
        <f>IFERROR(__xludf.DUMMYFUNCTION("""COMPUTED_VALUE"""),"16-20")</f>
        <v>16-20</v>
      </c>
      <c r="I474" s="32" t="str">
        <f>IFERROR(__xludf.DUMMYFUNCTION("""COMPUTED_VALUE"""),"Shoes of Water Walking")</f>
        <v>Shoes of Water Walking</v>
      </c>
      <c r="J474" s="35" t="str">
        <f>IFERROR(__xludf.DUMMYFUNCTION("""COMPUTED_VALUE"""),"21-25")</f>
        <v>21-25</v>
      </c>
      <c r="K474" s="32" t="str">
        <f>IFERROR(__xludf.DUMMYFUNCTION("""COMPUTED_VALUE"""),"Poison water")</f>
        <v>Poison water</v>
      </c>
      <c r="L474" s="32"/>
      <c r="M474" s="32"/>
      <c r="N474" s="32"/>
      <c r="O474" s="32"/>
      <c r="P474" s="32"/>
      <c r="Q474" s="32"/>
      <c r="R474" s="32"/>
      <c r="S474" s="32"/>
      <c r="T474" s="32"/>
      <c r="U474" s="32"/>
      <c r="V474" s="32"/>
      <c r="W474" s="32"/>
      <c r="X474" s="32"/>
    </row>
    <row r="475">
      <c r="A475" s="32" t="str">
        <f>IFERROR(__xludf.DUMMYFUNCTION("""COMPUTED_VALUE"""),"Fire Elemental")</f>
        <v>Fire Elemental</v>
      </c>
      <c r="B475" s="35" t="str">
        <f>IFERROR(__xludf.DUMMYFUNCTION("""COMPUTED_VALUE"""),"1-5")</f>
        <v>1-5</v>
      </c>
      <c r="C475" s="32" t="str">
        <f>IFERROR(__xludf.DUMMYFUNCTION("""COMPUTED_VALUE"""),"Nothing")</f>
        <v>Nothing</v>
      </c>
      <c r="D475" s="35" t="str">
        <f>IFERROR(__xludf.DUMMYFUNCTION("""COMPUTED_VALUE"""),"6-10")</f>
        <v>6-10</v>
      </c>
      <c r="E475" s="32" t="str">
        <f>IFERROR(__xludf.DUMMYFUNCTION("""COMPUTED_VALUE"""),"Flame Band")</f>
        <v>Flame Band</v>
      </c>
      <c r="F475" s="35" t="str">
        <f>IFERROR(__xludf.DUMMYFUNCTION("""COMPUTED_VALUE"""),"11-15")</f>
        <v>11-15</v>
      </c>
      <c r="G475" s="32" t="str">
        <f>IFERROR(__xludf.DUMMYFUNCTION("""COMPUTED_VALUE"""),"Fire Ring")</f>
        <v>Fire Ring</v>
      </c>
      <c r="H475" s="35" t="str">
        <f>IFERROR(__xludf.DUMMYFUNCTION("""COMPUTED_VALUE"""),"16-20")</f>
        <v>16-20</v>
      </c>
      <c r="I475" s="32" t="str">
        <f>IFERROR(__xludf.DUMMYFUNCTION("""COMPUTED_VALUE"""),"Fire Shield")</f>
        <v>Fire Shield</v>
      </c>
      <c r="J475" s="35" t="str">
        <f>IFERROR(__xludf.DUMMYFUNCTION("""COMPUTED_VALUE"""),"21-25")</f>
        <v>21-25</v>
      </c>
      <c r="K475" s="32" t="str">
        <f>IFERROR(__xludf.DUMMYFUNCTION("""COMPUTED_VALUE"""),"Soul")</f>
        <v>Soul</v>
      </c>
      <c r="L475" s="32"/>
      <c r="M475" s="32"/>
      <c r="N475" s="32"/>
      <c r="O475" s="32"/>
      <c r="P475" s="32"/>
      <c r="Q475" s="32"/>
      <c r="R475" s="32"/>
      <c r="S475" s="32"/>
      <c r="T475" s="32"/>
      <c r="U475" s="32"/>
      <c r="V475" s="32"/>
      <c r="W475" s="32"/>
      <c r="X475" s="32"/>
    </row>
    <row r="476">
      <c r="A476" s="32" t="str">
        <f>IFERROR(__xludf.DUMMYFUNCTION("""COMPUTED_VALUE"""),"Volcanic Elemental")</f>
        <v>Volcanic Elemental</v>
      </c>
      <c r="B476" s="35" t="str">
        <f>IFERROR(__xludf.DUMMYFUNCTION("""COMPUTED_VALUE"""),"1-5")</f>
        <v>1-5</v>
      </c>
      <c r="C476" s="32" t="str">
        <f>IFERROR(__xludf.DUMMYFUNCTION("""COMPUTED_VALUE"""),"Nothing")</f>
        <v>Nothing</v>
      </c>
      <c r="D476" s="35" t="str">
        <f>IFERROR(__xludf.DUMMYFUNCTION("""COMPUTED_VALUE"""),"6-10")</f>
        <v>6-10</v>
      </c>
      <c r="E476" s="32" t="str">
        <f>IFERROR(__xludf.DUMMYFUNCTION("""COMPUTED_VALUE"""),"Magma Trident")</f>
        <v>Magma Trident</v>
      </c>
      <c r="F476" s="35" t="str">
        <f>IFERROR(__xludf.DUMMYFUNCTION("""COMPUTED_VALUE"""),"11-15")</f>
        <v>11-15</v>
      </c>
      <c r="G476" s="32" t="str">
        <f>IFERROR(__xludf.DUMMYFUNCTION("""COMPUTED_VALUE"""),"Magma Morningstar")</f>
        <v>Magma Morningstar</v>
      </c>
      <c r="H476" s="35" t="str">
        <f>IFERROR(__xludf.DUMMYFUNCTION("""COMPUTED_VALUE"""),"16-20")</f>
        <v>16-20</v>
      </c>
      <c r="I476" s="32" t="str">
        <f>IFERROR(__xludf.DUMMYFUNCTION("""COMPUTED_VALUE"""),"Volcano's Summit")</f>
        <v>Volcano's Summit</v>
      </c>
      <c r="J476" s="35" t="str">
        <f>IFERROR(__xludf.DUMMYFUNCTION("""COMPUTED_VALUE"""),"21-25")</f>
        <v>21-25</v>
      </c>
      <c r="K476" s="32" t="str">
        <f>IFERROR(__xludf.DUMMYFUNCTION("""COMPUTED_VALUE"""),"Soul")</f>
        <v>Soul</v>
      </c>
      <c r="L476" s="32"/>
      <c r="M476" s="32"/>
      <c r="N476" s="32"/>
      <c r="O476" s="32"/>
      <c r="P476" s="32"/>
      <c r="Q476" s="32"/>
      <c r="R476" s="32"/>
      <c r="S476" s="32"/>
      <c r="T476" s="32"/>
      <c r="U476" s="32"/>
      <c r="V476" s="32"/>
      <c r="W476" s="32"/>
      <c r="X476" s="32"/>
    </row>
    <row r="477">
      <c r="A477" s="32" t="str">
        <f>IFERROR(__xludf.DUMMYFUNCTION("""COMPUTED_VALUE"""),"Ancient Fire Elemental")</f>
        <v>Ancient Fire Elemental</v>
      </c>
      <c r="B477" s="35" t="str">
        <f>IFERROR(__xludf.DUMMYFUNCTION("""COMPUTED_VALUE"""),"1-5")</f>
        <v>1-5</v>
      </c>
      <c r="C477" s="32" t="str">
        <f>IFERROR(__xludf.DUMMYFUNCTION("""COMPUTED_VALUE"""),"Bright Flame Sword")</f>
        <v>Bright Flame Sword</v>
      </c>
      <c r="D477" s="35" t="str">
        <f>IFERROR(__xludf.DUMMYFUNCTION("""COMPUTED_VALUE"""),"6-10")</f>
        <v>6-10</v>
      </c>
      <c r="E477" s="32" t="str">
        <f>IFERROR(__xludf.DUMMYFUNCTION("""COMPUTED_VALUE"""),"Flame Mask")</f>
        <v>Flame Mask</v>
      </c>
      <c r="F477" s="35" t="str">
        <f>IFERROR(__xludf.DUMMYFUNCTION("""COMPUTED_VALUE"""),"11-15")</f>
        <v>11-15</v>
      </c>
      <c r="G477" s="32" t="str">
        <f>IFERROR(__xludf.DUMMYFUNCTION("""COMPUTED_VALUE"""),"Fire Bullet")</f>
        <v>Fire Bullet</v>
      </c>
      <c r="H477" s="35" t="str">
        <f>IFERROR(__xludf.DUMMYFUNCTION("""COMPUTED_VALUE"""),"16-20")</f>
        <v>16-20</v>
      </c>
      <c r="I477" s="32" t="str">
        <f>IFERROR(__xludf.DUMMYFUNCTION("""COMPUTED_VALUE"""),"Soul")</f>
        <v>Soul</v>
      </c>
      <c r="J477" s="35" t="str">
        <f>IFERROR(__xludf.DUMMYFUNCTION("""COMPUTED_VALUE"""),"21-25")</f>
        <v>21-25</v>
      </c>
      <c r="K477" s="32" t="str">
        <f>IFERROR(__xludf.DUMMYFUNCTION("""COMPUTED_VALUE"""),"Soul")</f>
        <v>Soul</v>
      </c>
      <c r="L477" s="32"/>
      <c r="M477" s="32"/>
      <c r="N477" s="32"/>
      <c r="O477" s="32"/>
      <c r="P477" s="32"/>
      <c r="Q477" s="32"/>
      <c r="R477" s="32"/>
      <c r="S477" s="32"/>
      <c r="T477" s="32"/>
      <c r="U477" s="32"/>
      <c r="V477" s="32"/>
      <c r="W477" s="32"/>
      <c r="X477" s="32"/>
    </row>
    <row r="478">
      <c r="A478" s="32" t="str">
        <f>IFERROR(__xludf.DUMMYFUNCTION("""COMPUTED_VALUE"""),"Nature Elemental")</f>
        <v>Nature Elemental</v>
      </c>
      <c r="B478" s="35" t="str">
        <f>IFERROR(__xludf.DUMMYFUNCTION("""COMPUTED_VALUE"""),"1-5")</f>
        <v>1-5</v>
      </c>
      <c r="C478" s="32" t="str">
        <f>IFERROR(__xludf.DUMMYFUNCTION("""COMPUTED_VALUE"""),"Rock Axe")</f>
        <v>Rock Axe</v>
      </c>
      <c r="D478" s="35" t="str">
        <f>IFERROR(__xludf.DUMMYFUNCTION("""COMPUTED_VALUE"""),"6-10")</f>
        <v>6-10</v>
      </c>
      <c r="E478" s="32" t="str">
        <f>IFERROR(__xludf.DUMMYFUNCTION("""COMPUTED_VALUE"""),"Leather")</f>
        <v>Leather</v>
      </c>
      <c r="F478" s="35" t="str">
        <f>IFERROR(__xludf.DUMMYFUNCTION("""COMPUTED_VALUE"""),"11-15")</f>
        <v>11-15</v>
      </c>
      <c r="G478" s="32" t="str">
        <f>IFERROR(__xludf.DUMMYFUNCTION("""COMPUTED_VALUE"""),"Sand")</f>
        <v>Sand</v>
      </c>
      <c r="H478" s="35" t="str">
        <f>IFERROR(__xludf.DUMMYFUNCTION("""COMPUTED_VALUE"""),"16-20")</f>
        <v>16-20</v>
      </c>
      <c r="I478" s="32" t="str">
        <f>IFERROR(__xludf.DUMMYFUNCTION("""COMPUTED_VALUE"""),"Wood")</f>
        <v>Wood</v>
      </c>
      <c r="J478" s="35" t="str">
        <f>IFERROR(__xludf.DUMMYFUNCTION("""COMPUTED_VALUE"""),"21-25")</f>
        <v>21-25</v>
      </c>
      <c r="K478" s="32" t="str">
        <f>IFERROR(__xludf.DUMMYFUNCTION("""COMPUTED_VALUE"""),"Soul")</f>
        <v>Soul</v>
      </c>
      <c r="L478" s="32"/>
      <c r="M478" s="32"/>
      <c r="N478" s="32"/>
      <c r="O478" s="32"/>
      <c r="P478" s="32"/>
      <c r="Q478" s="32"/>
      <c r="R478" s="32"/>
      <c r="S478" s="32"/>
      <c r="T478" s="32"/>
      <c r="U478" s="32"/>
      <c r="V478" s="32"/>
      <c r="W478" s="32"/>
      <c r="X478" s="32"/>
    </row>
    <row r="479">
      <c r="A479" s="32" t="str">
        <f>IFERROR(__xludf.DUMMYFUNCTION("""COMPUTED_VALUE"""),"Forest Elemental")</f>
        <v>Forest Elemental</v>
      </c>
      <c r="B479" s="35" t="str">
        <f>IFERROR(__xludf.DUMMYFUNCTION("""COMPUTED_VALUE"""),"1-5")</f>
        <v>1-5</v>
      </c>
      <c r="C479" s="32" t="str">
        <f>IFERROR(__xludf.DUMMYFUNCTION("""COMPUTED_VALUE"""),"Dead Forest Blade")</f>
        <v>Dead Forest Blade</v>
      </c>
      <c r="D479" s="35" t="str">
        <f>IFERROR(__xludf.DUMMYFUNCTION("""COMPUTED_VALUE"""),"6-10")</f>
        <v>6-10</v>
      </c>
      <c r="E479" s="32" t="str">
        <f>IFERROR(__xludf.DUMMYFUNCTION("""COMPUTED_VALUE"""),"Dead Forest Branch")</f>
        <v>Dead Forest Branch</v>
      </c>
      <c r="F479" s="35" t="str">
        <f>IFERROR(__xludf.DUMMYFUNCTION("""COMPUTED_VALUE"""),"11-15")</f>
        <v>11-15</v>
      </c>
      <c r="G479" s="32" t="str">
        <f>IFERROR(__xludf.DUMMYFUNCTION("""COMPUTED_VALUE"""),"Wood")</f>
        <v>Wood</v>
      </c>
      <c r="H479" s="35" t="str">
        <f>IFERROR(__xludf.DUMMYFUNCTION("""COMPUTED_VALUE"""),"16-20")</f>
        <v>16-20</v>
      </c>
      <c r="I479" s="32" t="str">
        <f>IFERROR(__xludf.DUMMYFUNCTION("""COMPUTED_VALUE"""),"Soul")</f>
        <v>Soul</v>
      </c>
      <c r="J479" s="35" t="str">
        <f>IFERROR(__xludf.DUMMYFUNCTION("""COMPUTED_VALUE"""),"21-25")</f>
        <v>21-25</v>
      </c>
      <c r="K479" s="32" t="str">
        <f>IFERROR(__xludf.DUMMYFUNCTION("""COMPUTED_VALUE"""),"Soul")</f>
        <v>Soul</v>
      </c>
      <c r="L479" s="32"/>
      <c r="M479" s="32"/>
      <c r="N479" s="32"/>
      <c r="O479" s="32"/>
      <c r="P479" s="32"/>
      <c r="Q479" s="32"/>
      <c r="R479" s="32"/>
      <c r="S479" s="32"/>
      <c r="T479" s="32"/>
      <c r="U479" s="32"/>
      <c r="V479" s="32"/>
      <c r="W479" s="32"/>
      <c r="X479" s="32"/>
    </row>
    <row r="480">
      <c r="A480" s="32" t="str">
        <f>IFERROR(__xludf.DUMMYFUNCTION("""COMPUTED_VALUE"""),"Ancient Nature Elemental")</f>
        <v>Ancient Nature Elemental</v>
      </c>
      <c r="B480" s="35" t="str">
        <f>IFERROR(__xludf.DUMMYFUNCTION("""COMPUTED_VALUE"""),"1-5")</f>
        <v>1-5</v>
      </c>
      <c r="C480" s="32" t="str">
        <f>IFERROR(__xludf.DUMMYFUNCTION("""COMPUTED_VALUE"""),"Raw Meat")</f>
        <v>Raw Meat</v>
      </c>
      <c r="D480" s="35" t="str">
        <f>IFERROR(__xludf.DUMMYFUNCTION("""COMPUTED_VALUE"""),"6-10")</f>
        <v>6-10</v>
      </c>
      <c r="E480" s="32" t="str">
        <f>IFERROR(__xludf.DUMMYFUNCTION("""COMPUTED_VALUE"""),"Sand")</f>
        <v>Sand</v>
      </c>
      <c r="F480" s="35" t="str">
        <f>IFERROR(__xludf.DUMMYFUNCTION("""COMPUTED_VALUE"""),"11-15")</f>
        <v>11-15</v>
      </c>
      <c r="G480" s="32" t="str">
        <f>IFERROR(__xludf.DUMMYFUNCTION("""COMPUTED_VALUE"""),"Wood")</f>
        <v>Wood</v>
      </c>
      <c r="H480" s="35" t="str">
        <f>IFERROR(__xludf.DUMMYFUNCTION("""COMPUTED_VALUE"""),"16-20")</f>
        <v>16-20</v>
      </c>
      <c r="I480" s="32" t="str">
        <f>IFERROR(__xludf.DUMMYFUNCTION("""COMPUTED_VALUE"""),"Water")</f>
        <v>Water</v>
      </c>
      <c r="J480" s="35" t="str">
        <f>IFERROR(__xludf.DUMMYFUNCTION("""COMPUTED_VALUE"""),"21-25")</f>
        <v>21-25</v>
      </c>
      <c r="K480" s="32" t="str">
        <f>IFERROR(__xludf.DUMMYFUNCTION("""COMPUTED_VALUE"""),"Soul")</f>
        <v>Soul</v>
      </c>
      <c r="L480" s="32"/>
      <c r="M480" s="32"/>
      <c r="N480" s="32"/>
      <c r="O480" s="32"/>
      <c r="P480" s="32"/>
      <c r="Q480" s="32"/>
      <c r="R480" s="32"/>
      <c r="S480" s="32"/>
      <c r="T480" s="32"/>
      <c r="U480" s="32"/>
      <c r="V480" s="32"/>
      <c r="W480" s="32"/>
      <c r="X480" s="32"/>
    </row>
    <row r="481">
      <c r="A481" s="32" t="str">
        <f>IFERROR(__xludf.DUMMYFUNCTION("""COMPUTED_VALUE"""),"Earth Elemental")</f>
        <v>Earth Elemental</v>
      </c>
      <c r="B481" s="35" t="str">
        <f>IFERROR(__xludf.DUMMYFUNCTION("""COMPUTED_VALUE"""),"1-5")</f>
        <v>1-5</v>
      </c>
      <c r="C481" s="32" t="str">
        <f>IFERROR(__xludf.DUMMYFUNCTION("""COMPUTED_VALUE"""),"Rock Axe")</f>
        <v>Rock Axe</v>
      </c>
      <c r="D481" s="35" t="str">
        <f>IFERROR(__xludf.DUMMYFUNCTION("""COMPUTED_VALUE"""),"6-10")</f>
        <v>6-10</v>
      </c>
      <c r="E481" s="32" t="str">
        <f>IFERROR(__xludf.DUMMYFUNCTION("""COMPUTED_VALUE"""),"Sand")</f>
        <v>Sand</v>
      </c>
      <c r="F481" s="35" t="str">
        <f>IFERROR(__xludf.DUMMYFUNCTION("""COMPUTED_VALUE"""),"11-15")</f>
        <v>11-15</v>
      </c>
      <c r="G481" s="32" t="str">
        <f>IFERROR(__xludf.DUMMYFUNCTION("""COMPUTED_VALUE"""),"Nothing")</f>
        <v>Nothing</v>
      </c>
      <c r="H481" s="35" t="str">
        <f>IFERROR(__xludf.DUMMYFUNCTION("""COMPUTED_VALUE"""),"16-20")</f>
        <v>16-20</v>
      </c>
      <c r="I481" s="32" t="str">
        <f>IFERROR(__xludf.DUMMYFUNCTION("""COMPUTED_VALUE"""),"Nothing")</f>
        <v>Nothing</v>
      </c>
      <c r="J481" s="35" t="str">
        <f>IFERROR(__xludf.DUMMYFUNCTION("""COMPUTED_VALUE"""),"21-25")</f>
        <v>21-25</v>
      </c>
      <c r="K481" s="32" t="str">
        <f>IFERROR(__xludf.DUMMYFUNCTION("""COMPUTED_VALUE"""),"Soul")</f>
        <v>Soul</v>
      </c>
      <c r="L481" s="32"/>
      <c r="M481" s="32"/>
      <c r="N481" s="32"/>
      <c r="O481" s="32"/>
      <c r="P481" s="32"/>
      <c r="Q481" s="32"/>
      <c r="R481" s="32"/>
      <c r="S481" s="32"/>
      <c r="T481" s="32"/>
      <c r="U481" s="32"/>
      <c r="V481" s="32"/>
      <c r="W481" s="32"/>
      <c r="X481" s="32"/>
    </row>
    <row r="482">
      <c r="A482" s="32" t="str">
        <f>IFERROR(__xludf.DUMMYFUNCTION("""COMPUTED_VALUE"""),"Mountain Elemental")</f>
        <v>Mountain Elemental</v>
      </c>
      <c r="B482" s="35" t="str">
        <f>IFERROR(__xludf.DUMMYFUNCTION("""COMPUTED_VALUE"""),"1-5")</f>
        <v>1-5</v>
      </c>
      <c r="C482" s="32" t="str">
        <f>IFERROR(__xludf.DUMMYFUNCTION("""COMPUTED_VALUE"""),"Stone")</f>
        <v>Stone</v>
      </c>
      <c r="D482" s="35" t="str">
        <f>IFERROR(__xludf.DUMMYFUNCTION("""COMPUTED_VALUE"""),"6-10")</f>
        <v>6-10</v>
      </c>
      <c r="E482" s="32" t="str">
        <f>IFERROR(__xludf.DUMMYFUNCTION("""COMPUTED_VALUE"""),"Stone Sledgehammer")</f>
        <v>Stone Sledgehammer</v>
      </c>
      <c r="F482" s="35" t="str">
        <f>IFERROR(__xludf.DUMMYFUNCTION("""COMPUTED_VALUE"""),"11-15")</f>
        <v>11-15</v>
      </c>
      <c r="G482" s="32" t="str">
        <f>IFERROR(__xludf.DUMMYFUNCTION("""COMPUTED_VALUE"""),"Stone")</f>
        <v>Stone</v>
      </c>
      <c r="H482" s="35" t="str">
        <f>IFERROR(__xludf.DUMMYFUNCTION("""COMPUTED_VALUE"""),"16-20")</f>
        <v>16-20</v>
      </c>
      <c r="I482" s="32" t="str">
        <f>IFERROR(__xludf.DUMMYFUNCTION("""COMPUTED_VALUE"""),"Rock Axe")</f>
        <v>Rock Axe</v>
      </c>
      <c r="J482" s="35" t="str">
        <f>IFERROR(__xludf.DUMMYFUNCTION("""COMPUTED_VALUE"""),"21-25")</f>
        <v>21-25</v>
      </c>
      <c r="K482" s="32" t="str">
        <f>IFERROR(__xludf.DUMMYFUNCTION("""COMPUTED_VALUE"""),"Soul")</f>
        <v>Soul</v>
      </c>
      <c r="L482" s="32"/>
      <c r="M482" s="32"/>
      <c r="N482" s="32"/>
      <c r="O482" s="32"/>
      <c r="P482" s="32"/>
      <c r="Q482" s="32"/>
      <c r="R482" s="32"/>
      <c r="S482" s="32"/>
      <c r="T482" s="32"/>
      <c r="U482" s="32"/>
      <c r="V482" s="32"/>
      <c r="W482" s="32"/>
      <c r="X482" s="32"/>
    </row>
    <row r="483">
      <c r="A483" s="32" t="str">
        <f>IFERROR(__xludf.DUMMYFUNCTION("""COMPUTED_VALUE"""),"Ancient Earth Elemental")</f>
        <v>Ancient Earth Elemental</v>
      </c>
      <c r="B483" s="35" t="str">
        <f>IFERROR(__xludf.DUMMYFUNCTION("""COMPUTED_VALUE"""),"1-5")</f>
        <v>1-5</v>
      </c>
      <c r="C483" s="32" t="str">
        <f>IFERROR(__xludf.DUMMYFUNCTION("""COMPUTED_VALUE"""),"Sand")</f>
        <v>Sand</v>
      </c>
      <c r="D483" s="35" t="str">
        <f>IFERROR(__xludf.DUMMYFUNCTION("""COMPUTED_VALUE"""),"6-10")</f>
        <v>6-10</v>
      </c>
      <c r="E483" s="32" t="str">
        <f>IFERROR(__xludf.DUMMYFUNCTION("""COMPUTED_VALUE"""),"Wood")</f>
        <v>Wood</v>
      </c>
      <c r="F483" s="35" t="str">
        <f>IFERROR(__xludf.DUMMYFUNCTION("""COMPUTED_VALUE"""),"11-15")</f>
        <v>11-15</v>
      </c>
      <c r="G483" s="32" t="str">
        <f>IFERROR(__xludf.DUMMYFUNCTION("""COMPUTED_VALUE"""),"Ring of Healing")</f>
        <v>Ring of Healing</v>
      </c>
      <c r="H483" s="35" t="str">
        <f>IFERROR(__xludf.DUMMYFUNCTION("""COMPUTED_VALUE"""),"16-20")</f>
        <v>16-20</v>
      </c>
      <c r="I483" s="32" t="str">
        <f>IFERROR(__xludf.DUMMYFUNCTION("""COMPUTED_VALUE"""),"Rock Axe")</f>
        <v>Rock Axe</v>
      </c>
      <c r="J483" s="35" t="str">
        <f>IFERROR(__xludf.DUMMYFUNCTION("""COMPUTED_VALUE"""),"21-25")</f>
        <v>21-25</v>
      </c>
      <c r="K483" s="32" t="str">
        <f>IFERROR(__xludf.DUMMYFUNCTION("""COMPUTED_VALUE"""),"Soul")</f>
        <v>Soul</v>
      </c>
      <c r="L483" s="32"/>
      <c r="M483" s="32"/>
      <c r="N483" s="32"/>
      <c r="O483" s="32"/>
      <c r="P483" s="32"/>
      <c r="Q483" s="32"/>
      <c r="R483" s="32"/>
      <c r="S483" s="32"/>
      <c r="T483" s="32"/>
      <c r="U483" s="32"/>
      <c r="V483" s="32"/>
      <c r="W483" s="32"/>
      <c r="X483" s="32"/>
    </row>
    <row r="484">
      <c r="A484" s="32" t="str">
        <f>IFERROR(__xludf.DUMMYFUNCTION("""COMPUTED_VALUE"""),"Storm Elemental")</f>
        <v>Storm Elemental</v>
      </c>
      <c r="B484" s="35" t="str">
        <f>IFERROR(__xludf.DUMMYFUNCTION("""COMPUTED_VALUE"""),"1-5")</f>
        <v>1-5</v>
      </c>
      <c r="C484" s="32" t="str">
        <f>IFERROR(__xludf.DUMMYFUNCTION("""COMPUTED_VALUE"""),"Ring o' Impassivity and Storm")</f>
        <v>Ring o' Impassivity and Storm</v>
      </c>
      <c r="D484" s="35" t="str">
        <f>IFERROR(__xludf.DUMMYFUNCTION("""COMPUTED_VALUE"""),"6-10")</f>
        <v>6-10</v>
      </c>
      <c r="E484" s="32" t="str">
        <f>IFERROR(__xludf.DUMMYFUNCTION("""COMPUTED_VALUE"""),"Dark Wand")</f>
        <v>Dark Wand</v>
      </c>
      <c r="F484" s="35" t="str">
        <f>IFERROR(__xludf.DUMMYFUNCTION("""COMPUTED_VALUE"""),"11-15")</f>
        <v>11-15</v>
      </c>
      <c r="G484" s="32" t="str">
        <f>IFERROR(__xludf.DUMMYFUNCTION("""COMPUTED_VALUE"""),"Lightning Lance")</f>
        <v>Lightning Lance</v>
      </c>
      <c r="H484" s="35" t="str">
        <f>IFERROR(__xludf.DUMMYFUNCTION("""COMPUTED_VALUE"""),"16-20")</f>
        <v>16-20</v>
      </c>
      <c r="I484" s="32" t="str">
        <f>IFERROR(__xludf.DUMMYFUNCTION("""COMPUTED_VALUE"""),"Soul")</f>
        <v>Soul</v>
      </c>
      <c r="J484" s="35" t="str">
        <f>IFERROR(__xludf.DUMMYFUNCTION("""COMPUTED_VALUE"""),"21-25")</f>
        <v>21-25</v>
      </c>
      <c r="K484" s="32" t="str">
        <f>IFERROR(__xludf.DUMMYFUNCTION("""COMPUTED_VALUE"""),"60,000,000G-80,000,000G")</f>
        <v>60,000,000G-80,000,000G</v>
      </c>
      <c r="L484" s="32"/>
      <c r="M484" s="32"/>
      <c r="N484" s="32"/>
      <c r="O484" s="32"/>
      <c r="P484" s="32"/>
      <c r="Q484" s="32"/>
      <c r="R484" s="32"/>
      <c r="S484" s="32"/>
      <c r="T484" s="32"/>
      <c r="U484" s="32"/>
      <c r="V484" s="32"/>
      <c r="W484" s="32"/>
      <c r="X484" s="32"/>
    </row>
    <row r="485">
      <c r="A485" s="32" t="str">
        <f>IFERROR(__xludf.DUMMYFUNCTION("""COMPUTED_VALUE"""),"Lightning Elemental")</f>
        <v>Lightning Elemental</v>
      </c>
      <c r="B485" s="35" t="str">
        <f>IFERROR(__xludf.DUMMYFUNCTION("""COMPUTED_VALUE"""),"1-5")</f>
        <v>1-5</v>
      </c>
      <c r="C485" s="32" t="str">
        <f>IFERROR(__xludf.DUMMYFUNCTION("""COMPUTED_VALUE"""),"Nothing")</f>
        <v>Nothing</v>
      </c>
      <c r="D485" s="35" t="str">
        <f>IFERROR(__xludf.DUMMYFUNCTION("""COMPUTED_VALUE"""),"6-10")</f>
        <v>6-10</v>
      </c>
      <c r="E485" s="32" t="str">
        <f>IFERROR(__xludf.DUMMYFUNCTION("""COMPUTED_VALUE"""),"Lesser Healing Potion")</f>
        <v>Lesser Healing Potion</v>
      </c>
      <c r="F485" s="35" t="str">
        <f>IFERROR(__xludf.DUMMYFUNCTION("""COMPUTED_VALUE"""),"11-15")</f>
        <v>11-15</v>
      </c>
      <c r="G485" s="32" t="str">
        <f>IFERROR(__xludf.DUMMYFUNCTION("""COMPUTED_VALUE"""),"Nothing")</f>
        <v>Nothing</v>
      </c>
      <c r="H485" s="35" t="str">
        <f>IFERROR(__xludf.DUMMYFUNCTION("""COMPUTED_VALUE"""),"16-20")</f>
        <v>16-20</v>
      </c>
      <c r="I485" s="32" t="str">
        <f>IFERROR(__xludf.DUMMYFUNCTION("""COMPUTED_VALUE"""),"Soul")</f>
        <v>Soul</v>
      </c>
      <c r="J485" s="35" t="str">
        <f>IFERROR(__xludf.DUMMYFUNCTION("""COMPUTED_VALUE"""),"21-25")</f>
        <v>21-25</v>
      </c>
      <c r="K485" s="32" t="str">
        <f>IFERROR(__xludf.DUMMYFUNCTION("""COMPUTED_VALUE"""),"Lightning Lance")</f>
        <v>Lightning Lance</v>
      </c>
      <c r="L485" s="32"/>
      <c r="M485" s="32"/>
      <c r="N485" s="32"/>
      <c r="O485" s="32"/>
      <c r="P485" s="32"/>
      <c r="Q485" s="32"/>
      <c r="R485" s="32"/>
      <c r="S485" s="32"/>
      <c r="T485" s="32"/>
      <c r="U485" s="32"/>
      <c r="V485" s="32"/>
      <c r="W485" s="32"/>
      <c r="X485" s="32"/>
    </row>
    <row r="486">
      <c r="A486" s="32" t="str">
        <f>IFERROR(__xludf.DUMMYFUNCTION("""COMPUTED_VALUE"""),"Ancient Storm Elemental")</f>
        <v>Ancient Storm Elemental</v>
      </c>
      <c r="B486" s="35" t="str">
        <f>IFERROR(__xludf.DUMMYFUNCTION("""COMPUTED_VALUE"""),"1-5")</f>
        <v>1-5</v>
      </c>
      <c r="C486" s="32" t="str">
        <f>IFERROR(__xludf.DUMMYFUNCTION("""COMPUTED_VALUE"""),"Nothing")</f>
        <v>Nothing</v>
      </c>
      <c r="D486" s="35" t="str">
        <f>IFERROR(__xludf.DUMMYFUNCTION("""COMPUTED_VALUE"""),"6-10")</f>
        <v>6-10</v>
      </c>
      <c r="E486" s="32" t="str">
        <f>IFERROR(__xludf.DUMMYFUNCTION("""COMPUTED_VALUE"""),"Ring o' Agility and Water")</f>
        <v>Ring o' Agility and Water</v>
      </c>
      <c r="F486" s="35" t="str">
        <f>IFERROR(__xludf.DUMMYFUNCTION("""COMPUTED_VALUE"""),"11-15")</f>
        <v>11-15</v>
      </c>
      <c r="G486" s="32" t="str">
        <f>IFERROR(__xludf.DUMMYFUNCTION("""COMPUTED_VALUE"""),"Nothing")</f>
        <v>Nothing</v>
      </c>
      <c r="H486" s="35" t="str">
        <f>IFERROR(__xludf.DUMMYFUNCTION("""COMPUTED_VALUE"""),"16-20")</f>
        <v>16-20</v>
      </c>
      <c r="I486" s="32" t="str">
        <f>IFERROR(__xludf.DUMMYFUNCTION("""COMPUTED_VALUE"""),"Ice bomb")</f>
        <v>Ice bomb</v>
      </c>
      <c r="J486" s="35" t="str">
        <f>IFERROR(__xludf.DUMMYFUNCTION("""COMPUTED_VALUE"""),"21-25")</f>
        <v>21-25</v>
      </c>
      <c r="K486" s="32" t="str">
        <f>IFERROR(__xludf.DUMMYFUNCTION("""COMPUTED_VALUE"""),"Soul")</f>
        <v>Soul</v>
      </c>
      <c r="L486" s="32"/>
      <c r="M486" s="32"/>
      <c r="N486" s="32"/>
      <c r="O486" s="32"/>
      <c r="P486" s="32"/>
      <c r="Q486" s="32"/>
      <c r="R486" s="32"/>
      <c r="S486" s="32"/>
      <c r="T486" s="32"/>
      <c r="U486" s="32"/>
      <c r="V486" s="32"/>
      <c r="W486" s="32"/>
      <c r="X486" s="32"/>
    </row>
    <row r="487">
      <c r="A487" s="32" t="str">
        <f>IFERROR(__xludf.DUMMYFUNCTION("""COMPUTED_VALUE"""),"Lathom, Ancient Penumbral Elemental of Insanity")</f>
        <v>Lathom, Ancient Penumbral Elemental of Insanity</v>
      </c>
      <c r="B487" s="35" t="str">
        <f>IFERROR(__xludf.DUMMYFUNCTION("""COMPUTED_VALUE"""),"1-5")</f>
        <v>1-5</v>
      </c>
      <c r="C487" s="32" t="str">
        <f>IFERROR(__xludf.DUMMYFUNCTION("""COMPUTED_VALUE"""),"Nothing")</f>
        <v>Nothing</v>
      </c>
      <c r="D487" s="35" t="str">
        <f>IFERROR(__xludf.DUMMYFUNCTION("""COMPUTED_VALUE"""),"6-10")</f>
        <v>6-10</v>
      </c>
      <c r="E487" s="32" t="str">
        <f>IFERROR(__xludf.DUMMYFUNCTION("""COMPUTED_VALUE"""),"Nothing")</f>
        <v>Nothing</v>
      </c>
      <c r="F487" s="35" t="str">
        <f>IFERROR(__xludf.DUMMYFUNCTION("""COMPUTED_VALUE"""),"11-15")</f>
        <v>11-15</v>
      </c>
      <c r="G487" s="32" t="str">
        <f>IFERROR(__xludf.DUMMYFUNCTION("""COMPUTED_VALUE"""),"Nothing")</f>
        <v>Nothing</v>
      </c>
      <c r="H487" s="35" t="str">
        <f>IFERROR(__xludf.DUMMYFUNCTION("""COMPUTED_VALUE"""),"16-20")</f>
        <v>16-20</v>
      </c>
      <c r="I487" s="32" t="str">
        <f>IFERROR(__xludf.DUMMYFUNCTION("""COMPUTED_VALUE"""),"Nothing")</f>
        <v>Nothing</v>
      </c>
      <c r="J487" s="35" t="str">
        <f>IFERROR(__xludf.DUMMYFUNCTION("""COMPUTED_VALUE"""),"21-25")</f>
        <v>21-25</v>
      </c>
      <c r="K487" s="32" t="str">
        <f>IFERROR(__xludf.DUMMYFUNCTION("""COMPUTED_VALUE"""),"Soul")</f>
        <v>Soul</v>
      </c>
      <c r="L487" s="32"/>
      <c r="M487" s="32"/>
      <c r="N487" s="32"/>
      <c r="O487" s="32"/>
      <c r="P487" s="32"/>
      <c r="Q487" s="32"/>
      <c r="R487" s="32"/>
      <c r="S487" s="32"/>
      <c r="T487" s="32"/>
      <c r="U487" s="32"/>
      <c r="V487" s="32"/>
      <c r="W487" s="32"/>
      <c r="X487" s="32"/>
    </row>
    <row r="488">
      <c r="A488" s="32" t="str">
        <f>IFERROR(__xludf.DUMMYFUNCTION("""COMPUTED_VALUE"""),"Karduk, King of the Earth Elementals")</f>
        <v>Karduk, King of the Earth Elementals</v>
      </c>
      <c r="B488" s="35" t="str">
        <f>IFERROR(__xludf.DUMMYFUNCTION("""COMPUTED_VALUE"""),"1-5")</f>
        <v>1-5</v>
      </c>
      <c r="C488" s="32" t="str">
        <f>IFERROR(__xludf.DUMMYFUNCTION("""COMPUTED_VALUE"""),"Bag of Sand")</f>
        <v>Bag of Sand</v>
      </c>
      <c r="D488" s="35" t="str">
        <f>IFERROR(__xludf.DUMMYFUNCTION("""COMPUTED_VALUE"""),"6-10")</f>
        <v>6-10</v>
      </c>
      <c r="E488" s="32" t="str">
        <f>IFERROR(__xludf.DUMMYFUNCTION("""COMPUTED_VALUE"""),"Stonewall Shield")</f>
        <v>Stonewall Shield</v>
      </c>
      <c r="F488" s="35" t="str">
        <f>IFERROR(__xludf.DUMMYFUNCTION("""COMPUTED_VALUE"""),"11-15")</f>
        <v>11-15</v>
      </c>
      <c r="G488" s="32" t="str">
        <f>IFERROR(__xludf.DUMMYFUNCTION("""COMPUTED_VALUE"""),"20,000,000G-40,000,000G")</f>
        <v>20,000,000G-40,000,000G</v>
      </c>
      <c r="H488" s="35" t="str">
        <f>IFERROR(__xludf.DUMMYFUNCTION("""COMPUTED_VALUE"""),"16-20")</f>
        <v>16-20</v>
      </c>
      <c r="I488" s="32" t="str">
        <f>IFERROR(__xludf.DUMMYFUNCTION("""COMPUTED_VALUE"""),"Nothing")</f>
        <v>Nothing</v>
      </c>
      <c r="J488" s="35" t="str">
        <f>IFERROR(__xludf.DUMMYFUNCTION("""COMPUTED_VALUE"""),"21-25")</f>
        <v>21-25</v>
      </c>
      <c r="K488" s="32" t="str">
        <f>IFERROR(__xludf.DUMMYFUNCTION("""COMPUTED_VALUE"""),"Soul")</f>
        <v>Soul</v>
      </c>
      <c r="L488" s="32"/>
      <c r="M488" s="32"/>
      <c r="N488" s="32"/>
      <c r="O488" s="32"/>
      <c r="P488" s="32"/>
      <c r="Q488" s="32"/>
      <c r="R488" s="32"/>
      <c r="S488" s="32"/>
      <c r="T488" s="32"/>
      <c r="U488" s="32"/>
      <c r="V488" s="32"/>
      <c r="W488" s="32"/>
      <c r="X488" s="32"/>
    </row>
    <row r="489">
      <c r="A489" s="32" t="str">
        <f>IFERROR(__xludf.DUMMYFUNCTION("""COMPUTED_VALUE"""),"Undyne, Queen of the Water Elementals")</f>
        <v>Undyne, Queen of the Water Elementals</v>
      </c>
      <c r="B489" s="35" t="str">
        <f>IFERROR(__xludf.DUMMYFUNCTION("""COMPUTED_VALUE"""),"1-5")</f>
        <v>1-5</v>
      </c>
      <c r="C489" s="32" t="str">
        <f>IFERROR(__xludf.DUMMYFUNCTION("""COMPUTED_VALUE"""),"500,000,000G-1,000,000,000G")</f>
        <v>500,000,000G-1,000,000,000G</v>
      </c>
      <c r="D489" s="35" t="str">
        <f>IFERROR(__xludf.DUMMYFUNCTION("""COMPUTED_VALUE"""),"6-10")</f>
        <v>6-10</v>
      </c>
      <c r="E489" s="32" t="str">
        <f>IFERROR(__xludf.DUMMYFUNCTION("""COMPUTED_VALUE"""),"Nothing")</f>
        <v>Nothing</v>
      </c>
      <c r="F489" s="35" t="str">
        <f>IFERROR(__xludf.DUMMYFUNCTION("""COMPUTED_VALUE"""),"11-15")</f>
        <v>11-15</v>
      </c>
      <c r="G489" s="32" t="str">
        <f>IFERROR(__xludf.DUMMYFUNCTION("""COMPUTED_VALUE"""),"Water Warhammer")</f>
        <v>Water Warhammer</v>
      </c>
      <c r="H489" s="35" t="str">
        <f>IFERROR(__xludf.DUMMYFUNCTION("""COMPUTED_VALUE"""),"16-20")</f>
        <v>16-20</v>
      </c>
      <c r="I489" s="32" t="str">
        <f>IFERROR(__xludf.DUMMYFUNCTION("""COMPUTED_VALUE"""),"Water potion")</f>
        <v>Water potion</v>
      </c>
      <c r="J489" s="35" t="str">
        <f>IFERROR(__xludf.DUMMYFUNCTION("""COMPUTED_VALUE"""),"21-25")</f>
        <v>21-25</v>
      </c>
      <c r="K489" s="32" t="str">
        <f>IFERROR(__xludf.DUMMYFUNCTION("""COMPUTED_VALUE"""),"Soul")</f>
        <v>Soul</v>
      </c>
      <c r="L489" s="32"/>
      <c r="M489" s="32"/>
      <c r="N489" s="32"/>
      <c r="O489" s="32"/>
      <c r="P489" s="32"/>
      <c r="Q489" s="32"/>
      <c r="R489" s="32"/>
      <c r="S489" s="32"/>
      <c r="T489" s="32"/>
      <c r="U489" s="32"/>
      <c r="V489" s="32"/>
      <c r="W489" s="32"/>
      <c r="X489" s="32"/>
    </row>
    <row r="490">
      <c r="A490" s="32" t="str">
        <f>IFERROR(__xludf.DUMMYFUNCTION("""COMPUTED_VALUE"""),"Sylph, Queen of the Nature Elementals")</f>
        <v>Sylph, Queen of the Nature Elementals</v>
      </c>
      <c r="B490" s="35" t="str">
        <f>IFERROR(__xludf.DUMMYFUNCTION("""COMPUTED_VALUE"""),"1-5")</f>
        <v>1-5</v>
      </c>
      <c r="C490" s="32" t="str">
        <f>IFERROR(__xludf.DUMMYFUNCTION("""COMPUTED_VALUE"""),"100,000,000G-500,000,000G")</f>
        <v>100,000,000G-500,000,000G</v>
      </c>
      <c r="D490" s="35" t="str">
        <f>IFERROR(__xludf.DUMMYFUNCTION("""COMPUTED_VALUE"""),"6-10")</f>
        <v>6-10</v>
      </c>
      <c r="E490" s="32" t="str">
        <f>IFERROR(__xludf.DUMMYFUNCTION("""COMPUTED_VALUE"""),"Nothing")</f>
        <v>Nothing</v>
      </c>
      <c r="F490" s="35" t="str">
        <f>IFERROR(__xludf.DUMMYFUNCTION("""COMPUTED_VALUE"""),"11-15")</f>
        <v>11-15</v>
      </c>
      <c r="G490" s="32" t="str">
        <f>IFERROR(__xludf.DUMMYFUNCTION("""COMPUTED_VALUE"""),"Nothing")</f>
        <v>Nothing</v>
      </c>
      <c r="H490" s="35" t="str">
        <f>IFERROR(__xludf.DUMMYFUNCTION("""COMPUTED_VALUE"""),"16-20")</f>
        <v>16-20</v>
      </c>
      <c r="I490" s="32" t="str">
        <f>IFERROR(__xludf.DUMMYFUNCTION("""COMPUTED_VALUE"""),"Potion of Regeneration")</f>
        <v>Potion of Regeneration</v>
      </c>
      <c r="J490" s="35" t="str">
        <f>IFERROR(__xludf.DUMMYFUNCTION("""COMPUTED_VALUE"""),"21-25")</f>
        <v>21-25</v>
      </c>
      <c r="K490" s="32" t="str">
        <f>IFERROR(__xludf.DUMMYFUNCTION("""COMPUTED_VALUE"""),"Soul")</f>
        <v>Soul</v>
      </c>
      <c r="L490" s="32"/>
      <c r="M490" s="32"/>
      <c r="N490" s="32"/>
      <c r="O490" s="32"/>
      <c r="P490" s="32"/>
      <c r="Q490" s="32"/>
      <c r="R490" s="32"/>
      <c r="S490" s="32"/>
      <c r="T490" s="32"/>
      <c r="U490" s="32"/>
      <c r="V490" s="32"/>
      <c r="W490" s="32"/>
      <c r="X490" s="32"/>
    </row>
    <row r="491">
      <c r="A491" s="32" t="str">
        <f>IFERROR(__xludf.DUMMYFUNCTION("""COMPUTED_VALUE"""),"Raijin, King of the Storm Elementals")</f>
        <v>Raijin, King of the Storm Elementals</v>
      </c>
      <c r="B491" s="35" t="str">
        <f>IFERROR(__xludf.DUMMYFUNCTION("""COMPUTED_VALUE"""),"1-5")</f>
        <v>1-5</v>
      </c>
      <c r="C491" s="32" t="str">
        <f>IFERROR(__xludf.DUMMYFUNCTION("""COMPUTED_VALUE"""),"Soul")</f>
        <v>Soul</v>
      </c>
      <c r="D491" s="35" t="str">
        <f>IFERROR(__xludf.DUMMYFUNCTION("""COMPUTED_VALUE"""),"6-10")</f>
        <v>6-10</v>
      </c>
      <c r="E491" s="32" t="str">
        <f>IFERROR(__xludf.DUMMYFUNCTION("""COMPUTED_VALUE"""),"Nothing")</f>
        <v>Nothing</v>
      </c>
      <c r="F491" s="35" t="str">
        <f>IFERROR(__xludf.DUMMYFUNCTION("""COMPUTED_VALUE"""),"11-15")</f>
        <v>11-15</v>
      </c>
      <c r="G491" s="32" t="str">
        <f>IFERROR(__xludf.DUMMYFUNCTION("""COMPUTED_VALUE"""),"Ring o' Impassivity and Storm")</f>
        <v>Ring o' Impassivity and Storm</v>
      </c>
      <c r="H491" s="35" t="str">
        <f>IFERROR(__xludf.DUMMYFUNCTION("""COMPUTED_VALUE"""),"16-20")</f>
        <v>16-20</v>
      </c>
      <c r="I491" s="32" t="str">
        <f>IFERROR(__xludf.DUMMYFUNCTION("""COMPUTED_VALUE"""),"80,000G-100,000G")</f>
        <v>80,000G-100,000G</v>
      </c>
      <c r="J491" s="35" t="str">
        <f>IFERROR(__xludf.DUMMYFUNCTION("""COMPUTED_VALUE"""),"21-25")</f>
        <v>21-25</v>
      </c>
      <c r="K491" s="32" t="str">
        <f>IFERROR(__xludf.DUMMYFUNCTION("""COMPUTED_VALUE"""),"Nothing")</f>
        <v>Nothing</v>
      </c>
      <c r="L491" s="32"/>
      <c r="M491" s="32"/>
      <c r="N491" s="32"/>
      <c r="O491" s="32"/>
      <c r="P491" s="32"/>
      <c r="Q491" s="32"/>
      <c r="R491" s="32"/>
      <c r="S491" s="32"/>
      <c r="T491" s="32"/>
      <c r="U491" s="32"/>
      <c r="V491" s="32"/>
      <c r="W491" s="32"/>
      <c r="X491" s="32"/>
    </row>
    <row r="492">
      <c r="A492" s="32" t="str">
        <f>IFERROR(__xludf.DUMMYFUNCTION("""COMPUTED_VALUE"""),"Salamander, King of the Fire Elementals")</f>
        <v>Salamander, King of the Fire Elementals</v>
      </c>
      <c r="B492" s="35" t="str">
        <f>IFERROR(__xludf.DUMMYFUNCTION("""COMPUTED_VALUE"""),"1-5")</f>
        <v>1-5</v>
      </c>
      <c r="C492" s="32" t="str">
        <f>IFERROR(__xludf.DUMMYFUNCTION("""COMPUTED_VALUE"""),"Ring o' Strength and Fire")</f>
        <v>Ring o' Strength and Fire</v>
      </c>
      <c r="D492" s="35" t="str">
        <f>IFERROR(__xludf.DUMMYFUNCTION("""COMPUTED_VALUE"""),"6-10")</f>
        <v>6-10</v>
      </c>
      <c r="E492" s="32" t="str">
        <f>IFERROR(__xludf.DUMMYFUNCTION("""COMPUTED_VALUE"""),"Wig of Temper Fire")</f>
        <v>Wig of Temper Fire</v>
      </c>
      <c r="F492" s="35" t="str">
        <f>IFERROR(__xludf.DUMMYFUNCTION("""COMPUTED_VALUE"""),"11-15")</f>
        <v>11-15</v>
      </c>
      <c r="G492" s="32" t="str">
        <f>IFERROR(__xludf.DUMMYFUNCTION("""COMPUTED_VALUE"""),"Fire Shield")</f>
        <v>Fire Shield</v>
      </c>
      <c r="H492" s="35" t="str">
        <f>IFERROR(__xludf.DUMMYFUNCTION("""COMPUTED_VALUE"""),"16-20")</f>
        <v>16-20</v>
      </c>
      <c r="I492" s="32" t="str">
        <f>IFERROR(__xludf.DUMMYFUNCTION("""COMPUTED_VALUE"""),"Volcanic Sword of Destruction")</f>
        <v>Volcanic Sword of Destruction</v>
      </c>
      <c r="J492" s="35" t="str">
        <f>IFERROR(__xludf.DUMMYFUNCTION("""COMPUTED_VALUE"""),"21-25")</f>
        <v>21-25</v>
      </c>
      <c r="K492" s="32" t="str">
        <f>IFERROR(__xludf.DUMMYFUNCTION("""COMPUTED_VALUE"""),"Soul")</f>
        <v>Soul</v>
      </c>
      <c r="L492" s="32"/>
      <c r="M492" s="32"/>
      <c r="N492" s="32"/>
      <c r="O492" s="32"/>
      <c r="P492" s="32"/>
      <c r="Q492" s="32"/>
      <c r="R492" s="32"/>
      <c r="S492" s="32"/>
      <c r="T492" s="32"/>
      <c r="U492" s="32"/>
      <c r="V492" s="32"/>
      <c r="W492" s="32"/>
      <c r="X492" s="32"/>
    </row>
    <row r="493">
      <c r="A493" s="32" t="str">
        <f>IFERROR(__xludf.DUMMYFUNCTION("""COMPUTED_VALUE"""),"Sand Worm Queen")</f>
        <v>Sand Worm Queen</v>
      </c>
      <c r="B493" s="35" t="str">
        <f>IFERROR(__xludf.DUMMYFUNCTION("""COMPUTED_VALUE"""),"1-5")</f>
        <v>1-5</v>
      </c>
      <c r="C493" s="32" t="str">
        <f>IFERROR(__xludf.DUMMYFUNCTION("""COMPUTED_VALUE"""),"Sand")</f>
        <v>Sand</v>
      </c>
      <c r="D493" s="35" t="str">
        <f>IFERROR(__xludf.DUMMYFUNCTION("""COMPUTED_VALUE"""),"6-10")</f>
        <v>6-10</v>
      </c>
      <c r="E493" s="32" t="str">
        <f>IFERROR(__xludf.DUMMYFUNCTION("""COMPUTED_VALUE"""),"Bag of Sand")</f>
        <v>Bag of Sand</v>
      </c>
      <c r="F493" s="35" t="str">
        <f>IFERROR(__xludf.DUMMYFUNCTION("""COMPUTED_VALUE"""),"11-15")</f>
        <v>11-15</v>
      </c>
      <c r="G493" s="32" t="str">
        <f>IFERROR(__xludf.DUMMYFUNCTION("""COMPUTED_VALUE"""),"Glowing Red eye")</f>
        <v>Glowing Red eye</v>
      </c>
      <c r="H493" s="35" t="str">
        <f>IFERROR(__xludf.DUMMYFUNCTION("""COMPUTED_VALUE"""),"16-20")</f>
        <v>16-20</v>
      </c>
      <c r="I493" s="32" t="str">
        <f>IFERROR(__xludf.DUMMYFUNCTION("""COMPUTED_VALUE"""),"Sand Gem")</f>
        <v>Sand Gem</v>
      </c>
      <c r="J493" s="35" t="str">
        <f>IFERROR(__xludf.DUMMYFUNCTION("""COMPUTED_VALUE"""),"21-25")</f>
        <v>21-25</v>
      </c>
      <c r="K493" s="32" t="str">
        <f>IFERROR(__xludf.DUMMYFUNCTION("""COMPUTED_VALUE"""),"Soul")</f>
        <v>Soul</v>
      </c>
      <c r="L493" s="32"/>
      <c r="M493" s="32"/>
      <c r="N493" s="32"/>
      <c r="O493" s="32"/>
      <c r="P493" s="32"/>
      <c r="Q493" s="32"/>
      <c r="R493" s="32"/>
      <c r="S493" s="32"/>
      <c r="T493" s="32"/>
      <c r="U493" s="32"/>
      <c r="V493" s="32"/>
      <c r="W493" s="32"/>
      <c r="X493" s="32"/>
    </row>
    <row r="494">
      <c r="A494" s="32"/>
      <c r="B494" s="35" t="str">
        <f>IFERROR(__xludf.DUMMYFUNCTION("""COMPUTED_VALUE"""),"1-5")</f>
        <v>1-5</v>
      </c>
      <c r="C494" s="32"/>
      <c r="D494" s="35" t="str">
        <f>IFERROR(__xludf.DUMMYFUNCTION("""COMPUTED_VALUE"""),"6-10")</f>
        <v>6-10</v>
      </c>
      <c r="E494" s="32"/>
      <c r="F494" s="35" t="str">
        <f>IFERROR(__xludf.DUMMYFUNCTION("""COMPUTED_VALUE"""),"11-15")</f>
        <v>11-15</v>
      </c>
      <c r="G494" s="32"/>
      <c r="H494" s="35" t="str">
        <f>IFERROR(__xludf.DUMMYFUNCTION("""COMPUTED_VALUE"""),"16-20")</f>
        <v>16-20</v>
      </c>
      <c r="I494" s="32"/>
      <c r="J494" s="35" t="str">
        <f>IFERROR(__xludf.DUMMYFUNCTION("""COMPUTED_VALUE"""),"21-25")</f>
        <v>21-25</v>
      </c>
      <c r="K494" s="32"/>
      <c r="L494" s="32"/>
      <c r="M494" s="32"/>
      <c r="N494" s="32"/>
      <c r="O494" s="32"/>
      <c r="P494" s="32"/>
      <c r="Q494" s="32"/>
      <c r="R494" s="32"/>
      <c r="S494" s="32"/>
      <c r="T494" s="32"/>
      <c r="U494" s="32"/>
      <c r="V494" s="32"/>
      <c r="W494" s="32"/>
      <c r="X494" s="32"/>
    </row>
    <row r="495">
      <c r="A495" s="32"/>
      <c r="B495" s="35" t="str">
        <f>IFERROR(__xludf.DUMMYFUNCTION("""COMPUTED_VALUE"""),"1-5")</f>
        <v>1-5</v>
      </c>
      <c r="C495" s="32"/>
      <c r="D495" s="35" t="str">
        <f>IFERROR(__xludf.DUMMYFUNCTION("""COMPUTED_VALUE"""),"6-10")</f>
        <v>6-10</v>
      </c>
      <c r="E495" s="32"/>
      <c r="F495" s="35" t="str">
        <f>IFERROR(__xludf.DUMMYFUNCTION("""COMPUTED_VALUE"""),"11-15")</f>
        <v>11-15</v>
      </c>
      <c r="G495" s="32"/>
      <c r="H495" s="35" t="str">
        <f>IFERROR(__xludf.DUMMYFUNCTION("""COMPUTED_VALUE"""),"16-20")</f>
        <v>16-20</v>
      </c>
      <c r="I495" s="32"/>
      <c r="J495" s="35" t="str">
        <f>IFERROR(__xludf.DUMMYFUNCTION("""COMPUTED_VALUE"""),"21-25")</f>
        <v>21-25</v>
      </c>
      <c r="K495" s="32"/>
      <c r="L495" s="32"/>
      <c r="M495" s="32"/>
      <c r="N495" s="32"/>
      <c r="O495" s="32"/>
      <c r="P495" s="32"/>
      <c r="Q495" s="32"/>
      <c r="R495" s="32"/>
      <c r="S495" s="32"/>
      <c r="T495" s="32"/>
      <c r="U495" s="32"/>
      <c r="V495" s="32"/>
      <c r="W495" s="32"/>
      <c r="X495" s="32"/>
    </row>
    <row r="496">
      <c r="A496" s="32"/>
      <c r="B496" s="35" t="str">
        <f>IFERROR(__xludf.DUMMYFUNCTION("""COMPUTED_VALUE"""),"1-5")</f>
        <v>1-5</v>
      </c>
      <c r="C496" s="32"/>
      <c r="D496" s="35" t="str">
        <f>IFERROR(__xludf.DUMMYFUNCTION("""COMPUTED_VALUE"""),"6-10")</f>
        <v>6-10</v>
      </c>
      <c r="E496" s="32"/>
      <c r="F496" s="35" t="str">
        <f>IFERROR(__xludf.DUMMYFUNCTION("""COMPUTED_VALUE"""),"11-15")</f>
        <v>11-15</v>
      </c>
      <c r="G496" s="32"/>
      <c r="H496" s="35" t="str">
        <f>IFERROR(__xludf.DUMMYFUNCTION("""COMPUTED_VALUE"""),"16-20")</f>
        <v>16-20</v>
      </c>
      <c r="I496" s="32"/>
      <c r="J496" s="35" t="str">
        <f>IFERROR(__xludf.DUMMYFUNCTION("""COMPUTED_VALUE"""),"21-25")</f>
        <v>21-25</v>
      </c>
      <c r="K496" s="32"/>
      <c r="L496" s="32"/>
      <c r="M496" s="32"/>
      <c r="N496" s="32"/>
      <c r="O496" s="32"/>
      <c r="P496" s="32"/>
      <c r="Q496" s="32"/>
      <c r="R496" s="32"/>
      <c r="S496" s="32"/>
      <c r="T496" s="32"/>
      <c r="U496" s="32"/>
      <c r="V496" s="32"/>
      <c r="W496" s="32"/>
      <c r="X496" s="32"/>
    </row>
    <row r="497">
      <c r="A497" s="32"/>
      <c r="B497" s="35" t="str">
        <f>IFERROR(__xludf.DUMMYFUNCTION("""COMPUTED_VALUE"""),"1-5")</f>
        <v>1-5</v>
      </c>
      <c r="C497" s="32"/>
      <c r="D497" s="35" t="str">
        <f>IFERROR(__xludf.DUMMYFUNCTION("""COMPUTED_VALUE"""),"6-10")</f>
        <v>6-10</v>
      </c>
      <c r="E497" s="32"/>
      <c r="F497" s="35" t="str">
        <f>IFERROR(__xludf.DUMMYFUNCTION("""COMPUTED_VALUE"""),"11-15")</f>
        <v>11-15</v>
      </c>
      <c r="G497" s="32"/>
      <c r="H497" s="35" t="str">
        <f>IFERROR(__xludf.DUMMYFUNCTION("""COMPUTED_VALUE"""),"16-20")</f>
        <v>16-20</v>
      </c>
      <c r="I497" s="32"/>
      <c r="J497" s="35" t="str">
        <f>IFERROR(__xludf.DUMMYFUNCTION("""COMPUTED_VALUE"""),"21-25")</f>
        <v>21-25</v>
      </c>
      <c r="K497" s="32"/>
      <c r="L497" s="32"/>
      <c r="M497" s="32"/>
      <c r="N497" s="32"/>
      <c r="O497" s="32"/>
      <c r="P497" s="32"/>
      <c r="Q497" s="32"/>
      <c r="R497" s="32"/>
      <c r="S497" s="32"/>
      <c r="T497" s="32"/>
      <c r="U497" s="32"/>
      <c r="V497" s="32"/>
      <c r="W497" s="32"/>
      <c r="X497" s="32"/>
    </row>
    <row r="498">
      <c r="A498" s="32"/>
      <c r="B498" s="35" t="str">
        <f>IFERROR(__xludf.DUMMYFUNCTION("""COMPUTED_VALUE"""),"1-5")</f>
        <v>1-5</v>
      </c>
      <c r="C498" s="32"/>
      <c r="D498" s="35" t="str">
        <f>IFERROR(__xludf.DUMMYFUNCTION("""COMPUTED_VALUE"""),"6-10")</f>
        <v>6-10</v>
      </c>
      <c r="E498" s="32"/>
      <c r="F498" s="35" t="str">
        <f>IFERROR(__xludf.DUMMYFUNCTION("""COMPUTED_VALUE"""),"11-15")</f>
        <v>11-15</v>
      </c>
      <c r="G498" s="32"/>
      <c r="H498" s="35" t="str">
        <f>IFERROR(__xludf.DUMMYFUNCTION("""COMPUTED_VALUE"""),"16-20")</f>
        <v>16-20</v>
      </c>
      <c r="I498" s="32"/>
      <c r="J498" s="35" t="str">
        <f>IFERROR(__xludf.DUMMYFUNCTION("""COMPUTED_VALUE"""),"21-25")</f>
        <v>21-25</v>
      </c>
      <c r="K498" s="32"/>
      <c r="L498" s="32"/>
      <c r="M498" s="32"/>
      <c r="N498" s="32"/>
      <c r="O498" s="32"/>
      <c r="P498" s="32"/>
      <c r="Q498" s="32"/>
      <c r="R498" s="32"/>
      <c r="S498" s="32"/>
      <c r="T498" s="32"/>
      <c r="U498" s="32"/>
      <c r="V498" s="32"/>
      <c r="W498" s="32"/>
      <c r="X498" s="32"/>
    </row>
    <row r="499">
      <c r="A499" s="32"/>
      <c r="B499" s="35" t="str">
        <f>IFERROR(__xludf.DUMMYFUNCTION("""COMPUTED_VALUE"""),"1-5")</f>
        <v>1-5</v>
      </c>
      <c r="C499" s="32"/>
      <c r="D499" s="35" t="str">
        <f>IFERROR(__xludf.DUMMYFUNCTION("""COMPUTED_VALUE"""),"6-10")</f>
        <v>6-10</v>
      </c>
      <c r="E499" s="32"/>
      <c r="F499" s="35" t="str">
        <f>IFERROR(__xludf.DUMMYFUNCTION("""COMPUTED_VALUE"""),"11-15")</f>
        <v>11-15</v>
      </c>
      <c r="G499" s="32"/>
      <c r="H499" s="35" t="str">
        <f>IFERROR(__xludf.DUMMYFUNCTION("""COMPUTED_VALUE"""),"16-20")</f>
        <v>16-20</v>
      </c>
      <c r="I499" s="32"/>
      <c r="J499" s="35" t="str">
        <f>IFERROR(__xludf.DUMMYFUNCTION("""COMPUTED_VALUE"""),"21-25")</f>
        <v>21-25</v>
      </c>
      <c r="K499" s="32"/>
      <c r="L499" s="32"/>
      <c r="M499" s="32"/>
      <c r="N499" s="32"/>
      <c r="O499" s="32"/>
      <c r="P499" s="32"/>
      <c r="Q499" s="32"/>
      <c r="R499" s="32"/>
      <c r="S499" s="32"/>
      <c r="T499" s="32"/>
      <c r="U499" s="32"/>
      <c r="V499" s="32"/>
      <c r="W499" s="32"/>
      <c r="X499" s="32"/>
    </row>
    <row r="500">
      <c r="A500" s="32"/>
      <c r="B500" s="35" t="str">
        <f>IFERROR(__xludf.DUMMYFUNCTION("""COMPUTED_VALUE"""),"1-5")</f>
        <v>1-5</v>
      </c>
      <c r="C500" s="32"/>
      <c r="D500" s="35" t="str">
        <f>IFERROR(__xludf.DUMMYFUNCTION("""COMPUTED_VALUE"""),"6-10")</f>
        <v>6-10</v>
      </c>
      <c r="E500" s="32"/>
      <c r="F500" s="35" t="str">
        <f>IFERROR(__xludf.DUMMYFUNCTION("""COMPUTED_VALUE"""),"11-15")</f>
        <v>11-15</v>
      </c>
      <c r="G500" s="32"/>
      <c r="H500" s="35" t="str">
        <f>IFERROR(__xludf.DUMMYFUNCTION("""COMPUTED_VALUE"""),"16-20")</f>
        <v>16-20</v>
      </c>
      <c r="I500" s="32"/>
      <c r="J500" s="35" t="str">
        <f>IFERROR(__xludf.DUMMYFUNCTION("""COMPUTED_VALUE"""),"21-25")</f>
        <v>21-25</v>
      </c>
      <c r="K500" s="32"/>
      <c r="L500" s="32"/>
      <c r="M500" s="32"/>
      <c r="N500" s="32"/>
      <c r="O500" s="32"/>
      <c r="P500" s="32"/>
      <c r="Q500" s="32"/>
      <c r="R500" s="32"/>
      <c r="S500" s="32"/>
      <c r="T500" s="32"/>
      <c r="U500" s="32"/>
      <c r="V500" s="32"/>
      <c r="W500" s="32"/>
      <c r="X500" s="32"/>
    </row>
    <row r="501">
      <c r="A501" s="32"/>
      <c r="B501" s="35" t="str">
        <f>IFERROR(__xludf.DUMMYFUNCTION("""COMPUTED_VALUE"""),"1-5")</f>
        <v>1-5</v>
      </c>
      <c r="C501" s="32"/>
      <c r="D501" s="35" t="str">
        <f>IFERROR(__xludf.DUMMYFUNCTION("""COMPUTED_VALUE"""),"6-10")</f>
        <v>6-10</v>
      </c>
      <c r="E501" s="32"/>
      <c r="F501" s="35" t="str">
        <f>IFERROR(__xludf.DUMMYFUNCTION("""COMPUTED_VALUE"""),"11-15")</f>
        <v>11-15</v>
      </c>
      <c r="G501" s="32"/>
      <c r="H501" s="35" t="str">
        <f>IFERROR(__xludf.DUMMYFUNCTION("""COMPUTED_VALUE"""),"16-20")</f>
        <v>16-20</v>
      </c>
      <c r="I501" s="32"/>
      <c r="J501" s="35" t="str">
        <f>IFERROR(__xludf.DUMMYFUNCTION("""COMPUTED_VALUE"""),"21-25")</f>
        <v>21-25</v>
      </c>
      <c r="K501" s="32"/>
      <c r="L501" s="32"/>
      <c r="M501" s="32"/>
      <c r="N501" s="32"/>
      <c r="O501" s="32"/>
      <c r="P501" s="32"/>
      <c r="Q501" s="32"/>
      <c r="R501" s="32"/>
      <c r="S501" s="32"/>
      <c r="T501" s="32"/>
      <c r="U501" s="32"/>
      <c r="V501" s="32"/>
      <c r="W501" s="32"/>
      <c r="X501" s="32"/>
    </row>
    <row r="502">
      <c r="A502" s="32"/>
      <c r="B502" s="35" t="str">
        <f>IFERROR(__xludf.DUMMYFUNCTION("""COMPUTED_VALUE"""),"1-5")</f>
        <v>1-5</v>
      </c>
      <c r="C502" s="32"/>
      <c r="D502" s="35" t="str">
        <f>IFERROR(__xludf.DUMMYFUNCTION("""COMPUTED_VALUE"""),"6-10")</f>
        <v>6-10</v>
      </c>
      <c r="E502" s="32"/>
      <c r="F502" s="35" t="str">
        <f>IFERROR(__xludf.DUMMYFUNCTION("""COMPUTED_VALUE"""),"11-15")</f>
        <v>11-15</v>
      </c>
      <c r="G502" s="32"/>
      <c r="H502" s="35" t="str">
        <f>IFERROR(__xludf.DUMMYFUNCTION("""COMPUTED_VALUE"""),"16-20")</f>
        <v>16-20</v>
      </c>
      <c r="I502" s="32"/>
      <c r="J502" s="35" t="str">
        <f>IFERROR(__xludf.DUMMYFUNCTION("""COMPUTED_VALUE"""),"21-25")</f>
        <v>21-25</v>
      </c>
      <c r="K502" s="32"/>
      <c r="L502" s="32"/>
      <c r="M502" s="32"/>
      <c r="N502" s="32"/>
      <c r="O502" s="32"/>
      <c r="P502" s="32"/>
      <c r="Q502" s="32"/>
      <c r="R502" s="32"/>
      <c r="S502" s="32"/>
      <c r="T502" s="32"/>
      <c r="U502" s="32"/>
      <c r="V502" s="32"/>
      <c r="W502" s="32"/>
      <c r="X502" s="32"/>
    </row>
    <row r="503">
      <c r="A503" s="32"/>
      <c r="B503" s="35" t="str">
        <f>IFERROR(__xludf.DUMMYFUNCTION("""COMPUTED_VALUE"""),"1-5")</f>
        <v>1-5</v>
      </c>
      <c r="C503" s="32"/>
      <c r="D503" s="35" t="str">
        <f>IFERROR(__xludf.DUMMYFUNCTION("""COMPUTED_VALUE"""),"6-10")</f>
        <v>6-10</v>
      </c>
      <c r="E503" s="32"/>
      <c r="F503" s="35" t="str">
        <f>IFERROR(__xludf.DUMMYFUNCTION("""COMPUTED_VALUE"""),"11-15")</f>
        <v>11-15</v>
      </c>
      <c r="G503" s="32"/>
      <c r="H503" s="35" t="str">
        <f>IFERROR(__xludf.DUMMYFUNCTION("""COMPUTED_VALUE"""),"16-20")</f>
        <v>16-20</v>
      </c>
      <c r="I503" s="32"/>
      <c r="J503" s="35" t="str">
        <f>IFERROR(__xludf.DUMMYFUNCTION("""COMPUTED_VALUE"""),"21-25")</f>
        <v>21-25</v>
      </c>
      <c r="K503" s="32"/>
      <c r="L503" s="32"/>
      <c r="M503" s="32"/>
      <c r="N503" s="32"/>
      <c r="O503" s="32"/>
      <c r="P503" s="32"/>
      <c r="Q503" s="32"/>
      <c r="R503" s="32"/>
      <c r="S503" s="32"/>
      <c r="T503" s="32"/>
      <c r="U503" s="32"/>
      <c r="V503" s="32"/>
      <c r="W503" s="32"/>
      <c r="X503" s="32"/>
    </row>
    <row r="504">
      <c r="A504" s="32"/>
      <c r="B504" s="35" t="str">
        <f>IFERROR(__xludf.DUMMYFUNCTION("""COMPUTED_VALUE"""),"1-5")</f>
        <v>1-5</v>
      </c>
      <c r="C504" s="32"/>
      <c r="D504" s="35" t="str">
        <f>IFERROR(__xludf.DUMMYFUNCTION("""COMPUTED_VALUE"""),"6-10")</f>
        <v>6-10</v>
      </c>
      <c r="E504" s="32"/>
      <c r="F504" s="35" t="str">
        <f>IFERROR(__xludf.DUMMYFUNCTION("""COMPUTED_VALUE"""),"11-15")</f>
        <v>11-15</v>
      </c>
      <c r="G504" s="32"/>
      <c r="H504" s="35" t="str">
        <f>IFERROR(__xludf.DUMMYFUNCTION("""COMPUTED_VALUE"""),"16-20")</f>
        <v>16-20</v>
      </c>
      <c r="I504" s="32"/>
      <c r="J504" s="35" t="str">
        <f>IFERROR(__xludf.DUMMYFUNCTION("""COMPUTED_VALUE"""),"21-25")</f>
        <v>21-25</v>
      </c>
      <c r="K504" s="32"/>
      <c r="L504" s="32"/>
      <c r="M504" s="32"/>
      <c r="N504" s="32"/>
      <c r="O504" s="32"/>
      <c r="P504" s="32"/>
      <c r="Q504" s="32"/>
      <c r="R504" s="32"/>
      <c r="S504" s="32"/>
      <c r="T504" s="32"/>
      <c r="U504" s="32"/>
      <c r="V504" s="32"/>
      <c r="W504" s="32"/>
      <c r="X504" s="32"/>
    </row>
    <row r="505">
      <c r="A505" s="32"/>
      <c r="B505" s="35" t="str">
        <f>IFERROR(__xludf.DUMMYFUNCTION("""COMPUTED_VALUE"""),"1-5")</f>
        <v>1-5</v>
      </c>
      <c r="C505" s="32"/>
      <c r="D505" s="35" t="str">
        <f>IFERROR(__xludf.DUMMYFUNCTION("""COMPUTED_VALUE"""),"6-10")</f>
        <v>6-10</v>
      </c>
      <c r="E505" s="32"/>
      <c r="F505" s="35" t="str">
        <f>IFERROR(__xludf.DUMMYFUNCTION("""COMPUTED_VALUE"""),"11-15")</f>
        <v>11-15</v>
      </c>
      <c r="G505" s="32"/>
      <c r="H505" s="35" t="str">
        <f>IFERROR(__xludf.DUMMYFUNCTION("""COMPUTED_VALUE"""),"16-20")</f>
        <v>16-20</v>
      </c>
      <c r="I505" s="32"/>
      <c r="J505" s="35" t="str">
        <f>IFERROR(__xludf.DUMMYFUNCTION("""COMPUTED_VALUE"""),"21-25")</f>
        <v>21-25</v>
      </c>
      <c r="K505" s="32"/>
      <c r="L505" s="32"/>
      <c r="M505" s="32"/>
      <c r="N505" s="32"/>
      <c r="O505" s="32"/>
      <c r="P505" s="32"/>
      <c r="Q505" s="32"/>
      <c r="R505" s="32"/>
      <c r="S505" s="32"/>
      <c r="T505" s="32"/>
      <c r="U505" s="32"/>
      <c r="V505" s="32"/>
      <c r="W505" s="32"/>
      <c r="X505" s="32"/>
    </row>
    <row r="506">
      <c r="A506" s="32"/>
      <c r="B506" s="35" t="str">
        <f>IFERROR(__xludf.DUMMYFUNCTION("""COMPUTED_VALUE"""),"1-5")</f>
        <v>1-5</v>
      </c>
      <c r="C506" s="32"/>
      <c r="D506" s="35" t="str">
        <f>IFERROR(__xludf.DUMMYFUNCTION("""COMPUTED_VALUE"""),"6-10")</f>
        <v>6-10</v>
      </c>
      <c r="E506" s="32"/>
      <c r="F506" s="35" t="str">
        <f>IFERROR(__xludf.DUMMYFUNCTION("""COMPUTED_VALUE"""),"11-15")</f>
        <v>11-15</v>
      </c>
      <c r="G506" s="32"/>
      <c r="H506" s="35" t="str">
        <f>IFERROR(__xludf.DUMMYFUNCTION("""COMPUTED_VALUE"""),"16-20")</f>
        <v>16-20</v>
      </c>
      <c r="I506" s="32"/>
      <c r="J506" s="35" t="str">
        <f>IFERROR(__xludf.DUMMYFUNCTION("""COMPUTED_VALUE"""),"21-25")</f>
        <v>21-25</v>
      </c>
      <c r="K506" s="32"/>
      <c r="L506" s="32"/>
      <c r="M506" s="32"/>
      <c r="N506" s="32"/>
      <c r="O506" s="32"/>
      <c r="P506" s="32"/>
      <c r="Q506" s="32"/>
      <c r="R506" s="32"/>
      <c r="S506" s="32"/>
      <c r="T506" s="32"/>
      <c r="U506" s="32"/>
      <c r="V506" s="32"/>
      <c r="W506" s="32"/>
      <c r="X506" s="32"/>
    </row>
    <row r="507">
      <c r="A507" s="32"/>
      <c r="B507" s="35" t="str">
        <f>IFERROR(__xludf.DUMMYFUNCTION("""COMPUTED_VALUE"""),"1-5")</f>
        <v>1-5</v>
      </c>
      <c r="C507" s="32"/>
      <c r="D507" s="35" t="str">
        <f>IFERROR(__xludf.DUMMYFUNCTION("""COMPUTED_VALUE"""),"6-10")</f>
        <v>6-10</v>
      </c>
      <c r="E507" s="32"/>
      <c r="F507" s="35" t="str">
        <f>IFERROR(__xludf.DUMMYFUNCTION("""COMPUTED_VALUE"""),"11-15")</f>
        <v>11-15</v>
      </c>
      <c r="G507" s="32"/>
      <c r="H507" s="35" t="str">
        <f>IFERROR(__xludf.DUMMYFUNCTION("""COMPUTED_VALUE"""),"16-20")</f>
        <v>16-20</v>
      </c>
      <c r="I507" s="32"/>
      <c r="J507" s="35" t="str">
        <f>IFERROR(__xludf.DUMMYFUNCTION("""COMPUTED_VALUE"""),"21-25")</f>
        <v>21-25</v>
      </c>
      <c r="K507" s="32"/>
      <c r="L507" s="32"/>
      <c r="M507" s="32"/>
      <c r="N507" s="32"/>
      <c r="O507" s="32"/>
      <c r="P507" s="32"/>
      <c r="Q507" s="32"/>
      <c r="R507" s="32"/>
      <c r="S507" s="32"/>
      <c r="T507" s="32"/>
      <c r="U507" s="32"/>
      <c r="V507" s="32"/>
      <c r="W507" s="32"/>
      <c r="X507" s="32"/>
    </row>
    <row r="508">
      <c r="A508" s="32"/>
      <c r="B508" s="35" t="str">
        <f>IFERROR(__xludf.DUMMYFUNCTION("""COMPUTED_VALUE"""),"1-5")</f>
        <v>1-5</v>
      </c>
      <c r="C508" s="32"/>
      <c r="D508" s="35" t="str">
        <f>IFERROR(__xludf.DUMMYFUNCTION("""COMPUTED_VALUE"""),"6-10")</f>
        <v>6-10</v>
      </c>
      <c r="E508" s="32"/>
      <c r="F508" s="35" t="str">
        <f>IFERROR(__xludf.DUMMYFUNCTION("""COMPUTED_VALUE"""),"11-15")</f>
        <v>11-15</v>
      </c>
      <c r="G508" s="32"/>
      <c r="H508" s="35" t="str">
        <f>IFERROR(__xludf.DUMMYFUNCTION("""COMPUTED_VALUE"""),"16-20")</f>
        <v>16-20</v>
      </c>
      <c r="I508" s="32"/>
      <c r="J508" s="35" t="str">
        <f>IFERROR(__xludf.DUMMYFUNCTION("""COMPUTED_VALUE"""),"21-25")</f>
        <v>21-25</v>
      </c>
      <c r="K508" s="32"/>
      <c r="L508" s="32"/>
      <c r="M508" s="32"/>
      <c r="N508" s="32"/>
      <c r="O508" s="32"/>
      <c r="P508" s="32"/>
      <c r="Q508" s="32"/>
      <c r="R508" s="32"/>
      <c r="S508" s="32"/>
      <c r="T508" s="32"/>
      <c r="U508" s="32"/>
      <c r="V508" s="32"/>
      <c r="W508" s="32"/>
      <c r="X508" s="32"/>
    </row>
    <row r="509">
      <c r="A509" s="32"/>
      <c r="B509" s="35" t="str">
        <f>IFERROR(__xludf.DUMMYFUNCTION("""COMPUTED_VALUE"""),"1-5")</f>
        <v>1-5</v>
      </c>
      <c r="C509" s="32"/>
      <c r="D509" s="35" t="str">
        <f>IFERROR(__xludf.DUMMYFUNCTION("""COMPUTED_VALUE"""),"6-10")</f>
        <v>6-10</v>
      </c>
      <c r="E509" s="32"/>
      <c r="F509" s="35" t="str">
        <f>IFERROR(__xludf.DUMMYFUNCTION("""COMPUTED_VALUE"""),"11-15")</f>
        <v>11-15</v>
      </c>
      <c r="G509" s="32"/>
      <c r="H509" s="35" t="str">
        <f>IFERROR(__xludf.DUMMYFUNCTION("""COMPUTED_VALUE"""),"16-20")</f>
        <v>16-20</v>
      </c>
      <c r="I509" s="32"/>
      <c r="J509" s="35" t="str">
        <f>IFERROR(__xludf.DUMMYFUNCTION("""COMPUTED_VALUE"""),"21-25")</f>
        <v>21-25</v>
      </c>
      <c r="K509" s="32"/>
      <c r="L509" s="32"/>
      <c r="M509" s="32"/>
      <c r="N509" s="32"/>
      <c r="O509" s="32"/>
      <c r="P509" s="32"/>
      <c r="Q509" s="32"/>
      <c r="R509" s="32"/>
      <c r="S509" s="32"/>
      <c r="T509" s="32"/>
      <c r="U509" s="32"/>
      <c r="V509" s="32"/>
      <c r="W509" s="32"/>
      <c r="X509" s="32"/>
    </row>
    <row r="510">
      <c r="A510" s="32"/>
      <c r="B510" s="35" t="str">
        <f>IFERROR(__xludf.DUMMYFUNCTION("""COMPUTED_VALUE"""),"1-5")</f>
        <v>1-5</v>
      </c>
      <c r="C510" s="32"/>
      <c r="D510" s="35" t="str">
        <f>IFERROR(__xludf.DUMMYFUNCTION("""COMPUTED_VALUE"""),"6-10")</f>
        <v>6-10</v>
      </c>
      <c r="E510" s="32"/>
      <c r="F510" s="35" t="str">
        <f>IFERROR(__xludf.DUMMYFUNCTION("""COMPUTED_VALUE"""),"11-15")</f>
        <v>11-15</v>
      </c>
      <c r="G510" s="32"/>
      <c r="H510" s="35" t="str">
        <f>IFERROR(__xludf.DUMMYFUNCTION("""COMPUTED_VALUE"""),"16-20")</f>
        <v>16-20</v>
      </c>
      <c r="I510" s="32"/>
      <c r="J510" s="35" t="str">
        <f>IFERROR(__xludf.DUMMYFUNCTION("""COMPUTED_VALUE"""),"21-25")</f>
        <v>21-25</v>
      </c>
      <c r="K510" s="32"/>
      <c r="L510" s="32"/>
      <c r="M510" s="32"/>
      <c r="N510" s="32"/>
      <c r="O510" s="32"/>
      <c r="P510" s="32"/>
      <c r="Q510" s="32"/>
      <c r="R510" s="32"/>
      <c r="S510" s="32"/>
      <c r="T510" s="32"/>
      <c r="U510" s="32"/>
      <c r="V510" s="32"/>
      <c r="W510" s="32"/>
      <c r="X510" s="32"/>
    </row>
    <row r="511">
      <c r="A511" s="32"/>
      <c r="B511" s="35" t="str">
        <f>IFERROR(__xludf.DUMMYFUNCTION("""COMPUTED_VALUE"""),"1-5")</f>
        <v>1-5</v>
      </c>
      <c r="C511" s="32"/>
      <c r="D511" s="35" t="str">
        <f>IFERROR(__xludf.DUMMYFUNCTION("""COMPUTED_VALUE"""),"6-10")</f>
        <v>6-10</v>
      </c>
      <c r="E511" s="32"/>
      <c r="F511" s="35" t="str">
        <f>IFERROR(__xludf.DUMMYFUNCTION("""COMPUTED_VALUE"""),"11-15")</f>
        <v>11-15</v>
      </c>
      <c r="G511" s="32"/>
      <c r="H511" s="35" t="str">
        <f>IFERROR(__xludf.DUMMYFUNCTION("""COMPUTED_VALUE"""),"16-20")</f>
        <v>16-20</v>
      </c>
      <c r="I511" s="32"/>
      <c r="J511" s="35" t="str">
        <f>IFERROR(__xludf.DUMMYFUNCTION("""COMPUTED_VALUE"""),"21-25")</f>
        <v>21-25</v>
      </c>
      <c r="K511" s="32"/>
      <c r="L511" s="32"/>
      <c r="M511" s="32"/>
      <c r="N511" s="32"/>
      <c r="O511" s="32"/>
      <c r="P511" s="32"/>
      <c r="Q511" s="32"/>
      <c r="R511" s="32"/>
      <c r="S511" s="32"/>
      <c r="T511" s="32"/>
      <c r="U511" s="32"/>
      <c r="V511" s="32"/>
      <c r="W511" s="32"/>
      <c r="X511" s="32"/>
    </row>
    <row r="512">
      <c r="A512" s="32"/>
      <c r="B512" s="35" t="str">
        <f>IFERROR(__xludf.DUMMYFUNCTION("""COMPUTED_VALUE"""),"1-5")</f>
        <v>1-5</v>
      </c>
      <c r="C512" s="32"/>
      <c r="D512" s="35" t="str">
        <f>IFERROR(__xludf.DUMMYFUNCTION("""COMPUTED_VALUE"""),"6-10")</f>
        <v>6-10</v>
      </c>
      <c r="E512" s="32"/>
      <c r="F512" s="35" t="str">
        <f>IFERROR(__xludf.DUMMYFUNCTION("""COMPUTED_VALUE"""),"11-15")</f>
        <v>11-15</v>
      </c>
      <c r="G512" s="32"/>
      <c r="H512" s="35" t="str">
        <f>IFERROR(__xludf.DUMMYFUNCTION("""COMPUTED_VALUE"""),"16-20")</f>
        <v>16-20</v>
      </c>
      <c r="I512" s="32"/>
      <c r="J512" s="35" t="str">
        <f>IFERROR(__xludf.DUMMYFUNCTION("""COMPUTED_VALUE"""),"21-25")</f>
        <v>21-25</v>
      </c>
      <c r="K512" s="32"/>
      <c r="L512" s="32"/>
      <c r="M512" s="32"/>
      <c r="N512" s="32"/>
      <c r="O512" s="32"/>
      <c r="P512" s="32"/>
      <c r="Q512" s="32"/>
      <c r="R512" s="32"/>
      <c r="S512" s="32"/>
      <c r="T512" s="32"/>
      <c r="U512" s="32"/>
      <c r="V512" s="32"/>
      <c r="W512" s="32"/>
      <c r="X512" s="32"/>
    </row>
    <row r="513">
      <c r="A513" s="32"/>
      <c r="B513" s="35" t="str">
        <f>IFERROR(__xludf.DUMMYFUNCTION("""COMPUTED_VALUE"""),"1-5")</f>
        <v>1-5</v>
      </c>
      <c r="C513" s="32"/>
      <c r="D513" s="35" t="str">
        <f>IFERROR(__xludf.DUMMYFUNCTION("""COMPUTED_VALUE"""),"6-10")</f>
        <v>6-10</v>
      </c>
      <c r="E513" s="32"/>
      <c r="F513" s="35" t="str">
        <f>IFERROR(__xludf.DUMMYFUNCTION("""COMPUTED_VALUE"""),"11-15")</f>
        <v>11-15</v>
      </c>
      <c r="G513" s="32"/>
      <c r="H513" s="35" t="str">
        <f>IFERROR(__xludf.DUMMYFUNCTION("""COMPUTED_VALUE"""),"16-20")</f>
        <v>16-20</v>
      </c>
      <c r="I513" s="32"/>
      <c r="J513" s="35" t="str">
        <f>IFERROR(__xludf.DUMMYFUNCTION("""COMPUTED_VALUE"""),"21-25")</f>
        <v>21-25</v>
      </c>
      <c r="K513" s="32"/>
      <c r="L513" s="32"/>
      <c r="M513" s="32"/>
      <c r="N513" s="32"/>
      <c r="O513" s="32"/>
      <c r="P513" s="32"/>
      <c r="Q513" s="32"/>
      <c r="R513" s="32"/>
      <c r="S513" s="32"/>
      <c r="T513" s="32"/>
      <c r="U513" s="32"/>
      <c r="V513" s="32"/>
      <c r="W513" s="32"/>
      <c r="X513" s="32"/>
    </row>
    <row r="514">
      <c r="A514" s="32"/>
      <c r="B514" s="35" t="str">
        <f>IFERROR(__xludf.DUMMYFUNCTION("""COMPUTED_VALUE"""),"1-5")</f>
        <v>1-5</v>
      </c>
      <c r="C514" s="32"/>
      <c r="D514" s="35" t="str">
        <f>IFERROR(__xludf.DUMMYFUNCTION("""COMPUTED_VALUE"""),"6-10")</f>
        <v>6-10</v>
      </c>
      <c r="E514" s="32"/>
      <c r="F514" s="35" t="str">
        <f>IFERROR(__xludf.DUMMYFUNCTION("""COMPUTED_VALUE"""),"11-15")</f>
        <v>11-15</v>
      </c>
      <c r="G514" s="32"/>
      <c r="H514" s="35" t="str">
        <f>IFERROR(__xludf.DUMMYFUNCTION("""COMPUTED_VALUE"""),"16-20")</f>
        <v>16-20</v>
      </c>
      <c r="I514" s="32"/>
      <c r="J514" s="35" t="str">
        <f>IFERROR(__xludf.DUMMYFUNCTION("""COMPUTED_VALUE"""),"21-25")</f>
        <v>21-25</v>
      </c>
      <c r="K514" s="32"/>
      <c r="L514" s="32"/>
      <c r="M514" s="32"/>
      <c r="N514" s="32"/>
      <c r="O514" s="32"/>
      <c r="P514" s="32"/>
      <c r="Q514" s="32"/>
      <c r="R514" s="32"/>
      <c r="S514" s="32"/>
      <c r="T514" s="32"/>
      <c r="U514" s="32"/>
      <c r="V514" s="32"/>
      <c r="W514" s="32"/>
      <c r="X514" s="32"/>
    </row>
    <row r="515">
      <c r="A515" s="32"/>
      <c r="B515" s="35" t="str">
        <f>IFERROR(__xludf.DUMMYFUNCTION("""COMPUTED_VALUE"""),"1-5")</f>
        <v>1-5</v>
      </c>
      <c r="C515" s="32"/>
      <c r="D515" s="35" t="str">
        <f>IFERROR(__xludf.DUMMYFUNCTION("""COMPUTED_VALUE"""),"6-10")</f>
        <v>6-10</v>
      </c>
      <c r="E515" s="32"/>
      <c r="F515" s="35" t="str">
        <f>IFERROR(__xludf.DUMMYFUNCTION("""COMPUTED_VALUE"""),"11-15")</f>
        <v>11-15</v>
      </c>
      <c r="G515" s="32"/>
      <c r="H515" s="35" t="str">
        <f>IFERROR(__xludf.DUMMYFUNCTION("""COMPUTED_VALUE"""),"16-20")</f>
        <v>16-20</v>
      </c>
      <c r="I515" s="32"/>
      <c r="J515" s="35" t="str">
        <f>IFERROR(__xludf.DUMMYFUNCTION("""COMPUTED_VALUE"""),"21-25")</f>
        <v>21-25</v>
      </c>
      <c r="K515" s="32"/>
      <c r="L515" s="32"/>
      <c r="M515" s="32"/>
      <c r="N515" s="32"/>
      <c r="O515" s="32"/>
      <c r="P515" s="32"/>
      <c r="Q515" s="32"/>
      <c r="R515" s="32"/>
      <c r="S515" s="32"/>
      <c r="T515" s="32"/>
      <c r="U515" s="32"/>
      <c r="V515" s="32"/>
      <c r="W515" s="32"/>
      <c r="X515" s="32"/>
    </row>
    <row r="516">
      <c r="A516" s="32"/>
      <c r="B516" s="35" t="str">
        <f>IFERROR(__xludf.DUMMYFUNCTION("""COMPUTED_VALUE"""),"1-5")</f>
        <v>1-5</v>
      </c>
      <c r="C516" s="32"/>
      <c r="D516" s="35" t="str">
        <f>IFERROR(__xludf.DUMMYFUNCTION("""COMPUTED_VALUE"""),"6-10")</f>
        <v>6-10</v>
      </c>
      <c r="E516" s="32"/>
      <c r="F516" s="35" t="str">
        <f>IFERROR(__xludf.DUMMYFUNCTION("""COMPUTED_VALUE"""),"11-15")</f>
        <v>11-15</v>
      </c>
      <c r="G516" s="32"/>
      <c r="H516" s="35" t="str">
        <f>IFERROR(__xludf.DUMMYFUNCTION("""COMPUTED_VALUE"""),"16-20")</f>
        <v>16-20</v>
      </c>
      <c r="I516" s="32"/>
      <c r="J516" s="35" t="str">
        <f>IFERROR(__xludf.DUMMYFUNCTION("""COMPUTED_VALUE"""),"21-25")</f>
        <v>21-25</v>
      </c>
      <c r="K516" s="32"/>
      <c r="L516" s="32"/>
      <c r="M516" s="32"/>
      <c r="N516" s="32"/>
      <c r="O516" s="32"/>
      <c r="P516" s="32"/>
      <c r="Q516" s="32"/>
      <c r="R516" s="32"/>
      <c r="S516" s="32"/>
      <c r="T516" s="32"/>
      <c r="U516" s="32"/>
      <c r="V516" s="32"/>
      <c r="W516" s="32"/>
      <c r="X516" s="32"/>
    </row>
    <row r="517">
      <c r="A517" s="32"/>
      <c r="B517" s="35" t="str">
        <f>IFERROR(__xludf.DUMMYFUNCTION("""COMPUTED_VALUE"""),"1-5")</f>
        <v>1-5</v>
      </c>
      <c r="C517" s="32"/>
      <c r="D517" s="35" t="str">
        <f>IFERROR(__xludf.DUMMYFUNCTION("""COMPUTED_VALUE"""),"6-10")</f>
        <v>6-10</v>
      </c>
      <c r="E517" s="32"/>
      <c r="F517" s="35" t="str">
        <f>IFERROR(__xludf.DUMMYFUNCTION("""COMPUTED_VALUE"""),"11-15")</f>
        <v>11-15</v>
      </c>
      <c r="G517" s="32"/>
      <c r="H517" s="35" t="str">
        <f>IFERROR(__xludf.DUMMYFUNCTION("""COMPUTED_VALUE"""),"16-20")</f>
        <v>16-20</v>
      </c>
      <c r="I517" s="32"/>
      <c r="J517" s="35" t="str">
        <f>IFERROR(__xludf.DUMMYFUNCTION("""COMPUTED_VALUE"""),"21-25")</f>
        <v>21-25</v>
      </c>
      <c r="K517" s="32"/>
      <c r="L517" s="32"/>
      <c r="M517" s="32"/>
      <c r="N517" s="32"/>
      <c r="O517" s="32"/>
      <c r="P517" s="32"/>
      <c r="Q517" s="32"/>
      <c r="R517" s="32"/>
      <c r="S517" s="32"/>
      <c r="T517" s="32"/>
      <c r="U517" s="32"/>
      <c r="V517" s="32"/>
      <c r="W517" s="32"/>
      <c r="X517" s="32"/>
    </row>
    <row r="518">
      <c r="A518" s="32"/>
      <c r="B518" s="35" t="str">
        <f>IFERROR(__xludf.DUMMYFUNCTION("""COMPUTED_VALUE"""),"1-5")</f>
        <v>1-5</v>
      </c>
      <c r="C518" s="32"/>
      <c r="D518" s="35" t="str">
        <f>IFERROR(__xludf.DUMMYFUNCTION("""COMPUTED_VALUE"""),"6-10")</f>
        <v>6-10</v>
      </c>
      <c r="E518" s="32"/>
      <c r="F518" s="35" t="str">
        <f>IFERROR(__xludf.DUMMYFUNCTION("""COMPUTED_VALUE"""),"11-15")</f>
        <v>11-15</v>
      </c>
      <c r="G518" s="32"/>
      <c r="H518" s="35" t="str">
        <f>IFERROR(__xludf.DUMMYFUNCTION("""COMPUTED_VALUE"""),"16-20")</f>
        <v>16-20</v>
      </c>
      <c r="I518" s="32"/>
      <c r="J518" s="35" t="str">
        <f>IFERROR(__xludf.DUMMYFUNCTION("""COMPUTED_VALUE"""),"21-25")</f>
        <v>21-25</v>
      </c>
      <c r="K518" s="32"/>
      <c r="L518" s="32"/>
      <c r="M518" s="32"/>
      <c r="N518" s="32"/>
      <c r="O518" s="32"/>
      <c r="P518" s="32"/>
      <c r="Q518" s="32"/>
      <c r="R518" s="32"/>
      <c r="S518" s="32"/>
      <c r="T518" s="32"/>
      <c r="U518" s="32"/>
      <c r="V518" s="32"/>
      <c r="W518" s="32"/>
      <c r="X518" s="32"/>
    </row>
    <row r="519">
      <c r="A519" s="32"/>
      <c r="B519" s="35" t="str">
        <f>IFERROR(__xludf.DUMMYFUNCTION("""COMPUTED_VALUE"""),"1-5")</f>
        <v>1-5</v>
      </c>
      <c r="C519" s="32"/>
      <c r="D519" s="35" t="str">
        <f>IFERROR(__xludf.DUMMYFUNCTION("""COMPUTED_VALUE"""),"6-10")</f>
        <v>6-10</v>
      </c>
      <c r="E519" s="32"/>
      <c r="F519" s="35" t="str">
        <f>IFERROR(__xludf.DUMMYFUNCTION("""COMPUTED_VALUE"""),"11-15")</f>
        <v>11-15</v>
      </c>
      <c r="G519" s="32"/>
      <c r="H519" s="35" t="str">
        <f>IFERROR(__xludf.DUMMYFUNCTION("""COMPUTED_VALUE"""),"16-20")</f>
        <v>16-20</v>
      </c>
      <c r="I519" s="32"/>
      <c r="J519" s="35" t="str">
        <f>IFERROR(__xludf.DUMMYFUNCTION("""COMPUTED_VALUE"""),"21-25")</f>
        <v>21-25</v>
      </c>
      <c r="K519" s="32"/>
      <c r="L519" s="32"/>
      <c r="M519" s="32"/>
      <c r="N519" s="32"/>
      <c r="O519" s="32"/>
      <c r="P519" s="32"/>
      <c r="Q519" s="32"/>
      <c r="R519" s="32"/>
      <c r="S519" s="32"/>
      <c r="T519" s="32"/>
      <c r="U519" s="32"/>
      <c r="V519" s="32"/>
      <c r="W519" s="32"/>
      <c r="X519" s="32"/>
    </row>
    <row r="520">
      <c r="A520" s="32"/>
      <c r="B520" s="35" t="str">
        <f>IFERROR(__xludf.DUMMYFUNCTION("""COMPUTED_VALUE"""),"1-5")</f>
        <v>1-5</v>
      </c>
      <c r="C520" s="32"/>
      <c r="D520" s="35" t="str">
        <f>IFERROR(__xludf.DUMMYFUNCTION("""COMPUTED_VALUE"""),"6-10")</f>
        <v>6-10</v>
      </c>
      <c r="E520" s="32"/>
      <c r="F520" s="35" t="str">
        <f>IFERROR(__xludf.DUMMYFUNCTION("""COMPUTED_VALUE"""),"11-15")</f>
        <v>11-15</v>
      </c>
      <c r="G520" s="32"/>
      <c r="H520" s="35" t="str">
        <f>IFERROR(__xludf.DUMMYFUNCTION("""COMPUTED_VALUE"""),"16-20")</f>
        <v>16-20</v>
      </c>
      <c r="I520" s="32"/>
      <c r="J520" s="35" t="str">
        <f>IFERROR(__xludf.DUMMYFUNCTION("""COMPUTED_VALUE"""),"21-25")</f>
        <v>21-25</v>
      </c>
      <c r="K520" s="32"/>
      <c r="L520" s="32"/>
      <c r="M520" s="32"/>
      <c r="N520" s="32"/>
      <c r="O520" s="32"/>
      <c r="P520" s="32"/>
      <c r="Q520" s="32"/>
      <c r="R520" s="32"/>
      <c r="S520" s="32"/>
      <c r="T520" s="32"/>
      <c r="U520" s="32"/>
      <c r="V520" s="32"/>
      <c r="W520" s="32"/>
      <c r="X520" s="32"/>
    </row>
    <row r="521">
      <c r="A521" s="32"/>
      <c r="B521" s="35" t="str">
        <f>IFERROR(__xludf.DUMMYFUNCTION("""COMPUTED_VALUE"""),"1-5")</f>
        <v>1-5</v>
      </c>
      <c r="C521" s="32"/>
      <c r="D521" s="35" t="str">
        <f>IFERROR(__xludf.DUMMYFUNCTION("""COMPUTED_VALUE"""),"6-10")</f>
        <v>6-10</v>
      </c>
      <c r="E521" s="32"/>
      <c r="F521" s="35" t="str">
        <f>IFERROR(__xludf.DUMMYFUNCTION("""COMPUTED_VALUE"""),"11-15")</f>
        <v>11-15</v>
      </c>
      <c r="G521" s="32"/>
      <c r="H521" s="35" t="str">
        <f>IFERROR(__xludf.DUMMYFUNCTION("""COMPUTED_VALUE"""),"16-20")</f>
        <v>16-20</v>
      </c>
      <c r="I521" s="32"/>
      <c r="J521" s="35" t="str">
        <f>IFERROR(__xludf.DUMMYFUNCTION("""COMPUTED_VALUE"""),"21-25")</f>
        <v>21-25</v>
      </c>
      <c r="K521" s="32"/>
      <c r="L521" s="32"/>
      <c r="M521" s="32"/>
      <c r="N521" s="32"/>
      <c r="O521" s="32"/>
      <c r="P521" s="32"/>
      <c r="Q521" s="32"/>
      <c r="R521" s="32"/>
      <c r="S521" s="32"/>
      <c r="T521" s="32"/>
      <c r="U521" s="32"/>
      <c r="V521" s="32"/>
      <c r="W521" s="32"/>
      <c r="X521" s="32"/>
    </row>
    <row r="522">
      <c r="A522" s="32"/>
      <c r="B522" s="35" t="str">
        <f>IFERROR(__xludf.DUMMYFUNCTION("""COMPUTED_VALUE"""),"1-5")</f>
        <v>1-5</v>
      </c>
      <c r="C522" s="32"/>
      <c r="D522" s="35" t="str">
        <f>IFERROR(__xludf.DUMMYFUNCTION("""COMPUTED_VALUE"""),"6-10")</f>
        <v>6-10</v>
      </c>
      <c r="E522" s="32"/>
      <c r="F522" s="35" t="str">
        <f>IFERROR(__xludf.DUMMYFUNCTION("""COMPUTED_VALUE"""),"11-15")</f>
        <v>11-15</v>
      </c>
      <c r="G522" s="32"/>
      <c r="H522" s="35" t="str">
        <f>IFERROR(__xludf.DUMMYFUNCTION("""COMPUTED_VALUE"""),"16-20")</f>
        <v>16-20</v>
      </c>
      <c r="I522" s="32"/>
      <c r="J522" s="35" t="str">
        <f>IFERROR(__xludf.DUMMYFUNCTION("""COMPUTED_VALUE"""),"21-25")</f>
        <v>21-25</v>
      </c>
      <c r="K522" s="32"/>
      <c r="L522" s="32"/>
      <c r="M522" s="32"/>
      <c r="N522" s="32"/>
      <c r="O522" s="32"/>
      <c r="P522" s="32"/>
      <c r="Q522" s="32"/>
      <c r="R522" s="32"/>
      <c r="S522" s="32"/>
      <c r="T522" s="32"/>
      <c r="U522" s="32"/>
      <c r="V522" s="32"/>
      <c r="W522" s="32"/>
      <c r="X522" s="32"/>
    </row>
    <row r="523">
      <c r="A523" s="32"/>
      <c r="B523" s="35" t="str">
        <f>IFERROR(__xludf.DUMMYFUNCTION("""COMPUTED_VALUE"""),"1-5")</f>
        <v>1-5</v>
      </c>
      <c r="C523" s="32"/>
      <c r="D523" s="35" t="str">
        <f>IFERROR(__xludf.DUMMYFUNCTION("""COMPUTED_VALUE"""),"6-10")</f>
        <v>6-10</v>
      </c>
      <c r="E523" s="32"/>
      <c r="F523" s="35" t="str">
        <f>IFERROR(__xludf.DUMMYFUNCTION("""COMPUTED_VALUE"""),"11-15")</f>
        <v>11-15</v>
      </c>
      <c r="G523" s="32"/>
      <c r="H523" s="35" t="str">
        <f>IFERROR(__xludf.DUMMYFUNCTION("""COMPUTED_VALUE"""),"16-20")</f>
        <v>16-20</v>
      </c>
      <c r="I523" s="32"/>
      <c r="J523" s="35" t="str">
        <f>IFERROR(__xludf.DUMMYFUNCTION("""COMPUTED_VALUE"""),"21-25")</f>
        <v>21-25</v>
      </c>
      <c r="K523" s="32"/>
      <c r="L523" s="32"/>
      <c r="M523" s="32"/>
      <c r="N523" s="32"/>
      <c r="O523" s="32"/>
      <c r="P523" s="32"/>
      <c r="Q523" s="32"/>
      <c r="R523" s="32"/>
      <c r="S523" s="32"/>
      <c r="T523" s="32"/>
      <c r="U523" s="32"/>
      <c r="V523" s="32"/>
      <c r="W523" s="32"/>
      <c r="X523" s="32"/>
    </row>
    <row r="524">
      <c r="A524" s="32"/>
      <c r="B524" s="35" t="str">
        <f>IFERROR(__xludf.DUMMYFUNCTION("""COMPUTED_VALUE"""),"1-5")</f>
        <v>1-5</v>
      </c>
      <c r="C524" s="32"/>
      <c r="D524" s="35" t="str">
        <f>IFERROR(__xludf.DUMMYFUNCTION("""COMPUTED_VALUE"""),"6-10")</f>
        <v>6-10</v>
      </c>
      <c r="E524" s="32"/>
      <c r="F524" s="35" t="str">
        <f>IFERROR(__xludf.DUMMYFUNCTION("""COMPUTED_VALUE"""),"11-15")</f>
        <v>11-15</v>
      </c>
      <c r="G524" s="32"/>
      <c r="H524" s="35" t="str">
        <f>IFERROR(__xludf.DUMMYFUNCTION("""COMPUTED_VALUE"""),"16-20")</f>
        <v>16-20</v>
      </c>
      <c r="I524" s="32"/>
      <c r="J524" s="35" t="str">
        <f>IFERROR(__xludf.DUMMYFUNCTION("""COMPUTED_VALUE"""),"21-25")</f>
        <v>21-25</v>
      </c>
      <c r="K524" s="32"/>
      <c r="L524" s="32"/>
      <c r="M524" s="32"/>
      <c r="N524" s="32"/>
      <c r="O524" s="32"/>
      <c r="P524" s="32"/>
      <c r="Q524" s="32"/>
      <c r="R524" s="32"/>
      <c r="S524" s="32"/>
      <c r="T524" s="32"/>
      <c r="U524" s="32"/>
      <c r="V524" s="32"/>
      <c r="W524" s="32"/>
      <c r="X524" s="32"/>
    </row>
    <row r="525">
      <c r="A525" s="32"/>
      <c r="B525" s="35" t="str">
        <f>IFERROR(__xludf.DUMMYFUNCTION("""COMPUTED_VALUE"""),"1-5")</f>
        <v>1-5</v>
      </c>
      <c r="C525" s="32"/>
      <c r="D525" s="35" t="str">
        <f>IFERROR(__xludf.DUMMYFUNCTION("""COMPUTED_VALUE"""),"6-10")</f>
        <v>6-10</v>
      </c>
      <c r="E525" s="32"/>
      <c r="F525" s="35" t="str">
        <f>IFERROR(__xludf.DUMMYFUNCTION("""COMPUTED_VALUE"""),"11-15")</f>
        <v>11-15</v>
      </c>
      <c r="G525" s="32"/>
      <c r="H525" s="35" t="str">
        <f>IFERROR(__xludf.DUMMYFUNCTION("""COMPUTED_VALUE"""),"16-20")</f>
        <v>16-20</v>
      </c>
      <c r="I525" s="32"/>
      <c r="J525" s="35" t="str">
        <f>IFERROR(__xludf.DUMMYFUNCTION("""COMPUTED_VALUE"""),"21-25")</f>
        <v>21-25</v>
      </c>
      <c r="K525" s="32"/>
      <c r="L525" s="32"/>
      <c r="M525" s="32"/>
      <c r="N525" s="32"/>
      <c r="O525" s="32"/>
      <c r="P525" s="32"/>
      <c r="Q525" s="32"/>
      <c r="R525" s="32"/>
      <c r="S525" s="32"/>
      <c r="T525" s="32"/>
      <c r="U525" s="32"/>
      <c r="V525" s="32"/>
      <c r="W525" s="32"/>
      <c r="X525" s="32"/>
    </row>
    <row r="526">
      <c r="A526" s="32"/>
      <c r="B526" s="35" t="str">
        <f>IFERROR(__xludf.DUMMYFUNCTION("""COMPUTED_VALUE"""),"1-5")</f>
        <v>1-5</v>
      </c>
      <c r="C526" s="32"/>
      <c r="D526" s="35" t="str">
        <f>IFERROR(__xludf.DUMMYFUNCTION("""COMPUTED_VALUE"""),"6-10")</f>
        <v>6-10</v>
      </c>
      <c r="E526" s="32"/>
      <c r="F526" s="35" t="str">
        <f>IFERROR(__xludf.DUMMYFUNCTION("""COMPUTED_VALUE"""),"11-15")</f>
        <v>11-15</v>
      </c>
      <c r="G526" s="32"/>
      <c r="H526" s="35" t="str">
        <f>IFERROR(__xludf.DUMMYFUNCTION("""COMPUTED_VALUE"""),"16-20")</f>
        <v>16-20</v>
      </c>
      <c r="I526" s="32"/>
      <c r="J526" s="35" t="str">
        <f>IFERROR(__xludf.DUMMYFUNCTION("""COMPUTED_VALUE"""),"21-25")</f>
        <v>21-25</v>
      </c>
      <c r="K526" s="32"/>
      <c r="L526" s="32"/>
      <c r="M526" s="32"/>
      <c r="N526" s="32"/>
      <c r="O526" s="32"/>
      <c r="P526" s="32"/>
      <c r="Q526" s="32"/>
      <c r="R526" s="32"/>
      <c r="S526" s="32"/>
      <c r="T526" s="32"/>
      <c r="U526" s="32"/>
      <c r="V526" s="32"/>
      <c r="W526" s="32"/>
      <c r="X526" s="32"/>
    </row>
    <row r="527">
      <c r="A527" s="32"/>
      <c r="B527" s="35" t="str">
        <f>IFERROR(__xludf.DUMMYFUNCTION("""COMPUTED_VALUE"""),"1-5")</f>
        <v>1-5</v>
      </c>
      <c r="C527" s="32"/>
      <c r="D527" s="35" t="str">
        <f>IFERROR(__xludf.DUMMYFUNCTION("""COMPUTED_VALUE"""),"6-10")</f>
        <v>6-10</v>
      </c>
      <c r="E527" s="32"/>
      <c r="F527" s="35" t="str">
        <f>IFERROR(__xludf.DUMMYFUNCTION("""COMPUTED_VALUE"""),"11-15")</f>
        <v>11-15</v>
      </c>
      <c r="G527" s="32"/>
      <c r="H527" s="35" t="str">
        <f>IFERROR(__xludf.DUMMYFUNCTION("""COMPUTED_VALUE"""),"16-20")</f>
        <v>16-20</v>
      </c>
      <c r="I527" s="32"/>
      <c r="J527" s="35" t="str">
        <f>IFERROR(__xludf.DUMMYFUNCTION("""COMPUTED_VALUE"""),"21-25")</f>
        <v>21-25</v>
      </c>
      <c r="K527" s="32"/>
      <c r="L527" s="32"/>
      <c r="M527" s="32"/>
      <c r="N527" s="32"/>
      <c r="O527" s="32"/>
      <c r="P527" s="32"/>
      <c r="Q527" s="32"/>
      <c r="R527" s="32"/>
      <c r="S527" s="32"/>
      <c r="T527" s="32"/>
      <c r="U527" s="32"/>
      <c r="V527" s="32"/>
      <c r="W527" s="32"/>
      <c r="X527" s="32"/>
    </row>
    <row r="528">
      <c r="A528" s="32"/>
      <c r="B528" s="35" t="str">
        <f>IFERROR(__xludf.DUMMYFUNCTION("""COMPUTED_VALUE"""),"1-5")</f>
        <v>1-5</v>
      </c>
      <c r="C528" s="32"/>
      <c r="D528" s="35" t="str">
        <f>IFERROR(__xludf.DUMMYFUNCTION("""COMPUTED_VALUE"""),"6-10")</f>
        <v>6-10</v>
      </c>
      <c r="E528" s="32"/>
      <c r="F528" s="35" t="str">
        <f>IFERROR(__xludf.DUMMYFUNCTION("""COMPUTED_VALUE"""),"11-15")</f>
        <v>11-15</v>
      </c>
      <c r="G528" s="32"/>
      <c r="H528" s="35" t="str">
        <f>IFERROR(__xludf.DUMMYFUNCTION("""COMPUTED_VALUE"""),"16-20")</f>
        <v>16-20</v>
      </c>
      <c r="I528" s="32"/>
      <c r="J528" s="35" t="str">
        <f>IFERROR(__xludf.DUMMYFUNCTION("""COMPUTED_VALUE"""),"21-25")</f>
        <v>21-25</v>
      </c>
      <c r="K528" s="32"/>
      <c r="L528" s="32"/>
      <c r="M528" s="32"/>
      <c r="N528" s="32"/>
      <c r="O528" s="32"/>
      <c r="P528" s="32"/>
      <c r="Q528" s="32"/>
      <c r="R528" s="32"/>
      <c r="S528" s="32"/>
      <c r="T528" s="32"/>
      <c r="U528" s="32"/>
      <c r="V528" s="32"/>
      <c r="W528" s="32"/>
      <c r="X528" s="32"/>
    </row>
    <row r="529">
      <c r="A529" s="32"/>
      <c r="B529" s="35" t="str">
        <f>IFERROR(__xludf.DUMMYFUNCTION("""COMPUTED_VALUE"""),"1-5")</f>
        <v>1-5</v>
      </c>
      <c r="C529" s="32"/>
      <c r="D529" s="35" t="str">
        <f>IFERROR(__xludf.DUMMYFUNCTION("""COMPUTED_VALUE"""),"6-10")</f>
        <v>6-10</v>
      </c>
      <c r="E529" s="32"/>
      <c r="F529" s="35" t="str">
        <f>IFERROR(__xludf.DUMMYFUNCTION("""COMPUTED_VALUE"""),"11-15")</f>
        <v>11-15</v>
      </c>
      <c r="G529" s="32"/>
      <c r="H529" s="35" t="str">
        <f>IFERROR(__xludf.DUMMYFUNCTION("""COMPUTED_VALUE"""),"16-20")</f>
        <v>16-20</v>
      </c>
      <c r="I529" s="32"/>
      <c r="J529" s="35" t="str">
        <f>IFERROR(__xludf.DUMMYFUNCTION("""COMPUTED_VALUE"""),"21-25")</f>
        <v>21-25</v>
      </c>
      <c r="K529" s="32"/>
      <c r="L529" s="32"/>
      <c r="M529" s="32"/>
      <c r="N529" s="32"/>
      <c r="O529" s="32"/>
      <c r="P529" s="32"/>
      <c r="Q529" s="32"/>
      <c r="R529" s="32"/>
      <c r="S529" s="32"/>
      <c r="T529" s="32"/>
      <c r="U529" s="32"/>
      <c r="V529" s="32"/>
      <c r="W529" s="32"/>
      <c r="X529" s="32"/>
    </row>
    <row r="530">
      <c r="A530" s="32"/>
      <c r="B530" s="35" t="str">
        <f>IFERROR(__xludf.DUMMYFUNCTION("""COMPUTED_VALUE"""),"1-5")</f>
        <v>1-5</v>
      </c>
      <c r="C530" s="32"/>
      <c r="D530" s="35" t="str">
        <f>IFERROR(__xludf.DUMMYFUNCTION("""COMPUTED_VALUE"""),"6-10")</f>
        <v>6-10</v>
      </c>
      <c r="E530" s="32"/>
      <c r="F530" s="35" t="str">
        <f>IFERROR(__xludf.DUMMYFUNCTION("""COMPUTED_VALUE"""),"11-15")</f>
        <v>11-15</v>
      </c>
      <c r="G530" s="32"/>
      <c r="H530" s="35" t="str">
        <f>IFERROR(__xludf.DUMMYFUNCTION("""COMPUTED_VALUE"""),"16-20")</f>
        <v>16-20</v>
      </c>
      <c r="I530" s="32"/>
      <c r="J530" s="35" t="str">
        <f>IFERROR(__xludf.DUMMYFUNCTION("""COMPUTED_VALUE"""),"21-25")</f>
        <v>21-25</v>
      </c>
      <c r="K530" s="32"/>
      <c r="L530" s="32"/>
      <c r="M530" s="32"/>
      <c r="N530" s="32"/>
      <c r="O530" s="32"/>
      <c r="P530" s="32"/>
      <c r="Q530" s="32"/>
      <c r="R530" s="32"/>
      <c r="S530" s="32"/>
      <c r="T530" s="32"/>
      <c r="U530" s="32"/>
      <c r="V530" s="32"/>
      <c r="W530" s="32"/>
      <c r="X530" s="32"/>
    </row>
    <row r="531">
      <c r="A531" s="32"/>
      <c r="B531" s="35" t="str">
        <f>IFERROR(__xludf.DUMMYFUNCTION("""COMPUTED_VALUE"""),"1-5")</f>
        <v>1-5</v>
      </c>
      <c r="C531" s="32"/>
      <c r="D531" s="35" t="str">
        <f>IFERROR(__xludf.DUMMYFUNCTION("""COMPUTED_VALUE"""),"6-10")</f>
        <v>6-10</v>
      </c>
      <c r="E531" s="32"/>
      <c r="F531" s="35" t="str">
        <f>IFERROR(__xludf.DUMMYFUNCTION("""COMPUTED_VALUE"""),"11-15")</f>
        <v>11-15</v>
      </c>
      <c r="G531" s="32"/>
      <c r="H531" s="35" t="str">
        <f>IFERROR(__xludf.DUMMYFUNCTION("""COMPUTED_VALUE"""),"16-20")</f>
        <v>16-20</v>
      </c>
      <c r="I531" s="32"/>
      <c r="J531" s="35" t="str">
        <f>IFERROR(__xludf.DUMMYFUNCTION("""COMPUTED_VALUE"""),"21-25")</f>
        <v>21-25</v>
      </c>
      <c r="K531" s="32"/>
      <c r="L531" s="32"/>
      <c r="M531" s="32"/>
      <c r="N531" s="32"/>
      <c r="O531" s="32"/>
      <c r="P531" s="32"/>
      <c r="Q531" s="32"/>
      <c r="R531" s="32"/>
      <c r="S531" s="32"/>
      <c r="T531" s="32"/>
      <c r="U531" s="32"/>
      <c r="V531" s="32"/>
      <c r="W531" s="32"/>
      <c r="X531" s="32"/>
    </row>
    <row r="532">
      <c r="A532" s="32"/>
      <c r="B532" s="35" t="str">
        <f>IFERROR(__xludf.DUMMYFUNCTION("""COMPUTED_VALUE"""),"1-5")</f>
        <v>1-5</v>
      </c>
      <c r="C532" s="32"/>
      <c r="D532" s="35" t="str">
        <f>IFERROR(__xludf.DUMMYFUNCTION("""COMPUTED_VALUE"""),"6-10")</f>
        <v>6-10</v>
      </c>
      <c r="E532" s="32"/>
      <c r="F532" s="35" t="str">
        <f>IFERROR(__xludf.DUMMYFUNCTION("""COMPUTED_VALUE"""),"11-15")</f>
        <v>11-15</v>
      </c>
      <c r="G532" s="32"/>
      <c r="H532" s="35" t="str">
        <f>IFERROR(__xludf.DUMMYFUNCTION("""COMPUTED_VALUE"""),"16-20")</f>
        <v>16-20</v>
      </c>
      <c r="I532" s="32"/>
      <c r="J532" s="35" t="str">
        <f>IFERROR(__xludf.DUMMYFUNCTION("""COMPUTED_VALUE"""),"21-25")</f>
        <v>21-25</v>
      </c>
      <c r="K532" s="32"/>
      <c r="L532" s="32"/>
      <c r="M532" s="32"/>
      <c r="N532" s="32"/>
      <c r="O532" s="32"/>
      <c r="P532" s="32"/>
      <c r="Q532" s="32"/>
      <c r="R532" s="32"/>
      <c r="S532" s="32"/>
      <c r="T532" s="32"/>
      <c r="U532" s="32"/>
      <c r="V532" s="32"/>
      <c r="W532" s="32"/>
      <c r="X532" s="32"/>
    </row>
    <row r="533">
      <c r="A533" s="32"/>
      <c r="B533" s="35" t="str">
        <f>IFERROR(__xludf.DUMMYFUNCTION("""COMPUTED_VALUE"""),"1-5")</f>
        <v>1-5</v>
      </c>
      <c r="C533" s="32"/>
      <c r="D533" s="35" t="str">
        <f>IFERROR(__xludf.DUMMYFUNCTION("""COMPUTED_VALUE"""),"6-10")</f>
        <v>6-10</v>
      </c>
      <c r="E533" s="32"/>
      <c r="F533" s="35" t="str">
        <f>IFERROR(__xludf.DUMMYFUNCTION("""COMPUTED_VALUE"""),"11-15")</f>
        <v>11-15</v>
      </c>
      <c r="G533" s="32"/>
      <c r="H533" s="35" t="str">
        <f>IFERROR(__xludf.DUMMYFUNCTION("""COMPUTED_VALUE"""),"16-20")</f>
        <v>16-20</v>
      </c>
      <c r="I533" s="32"/>
      <c r="J533" s="35" t="str">
        <f>IFERROR(__xludf.DUMMYFUNCTION("""COMPUTED_VALUE"""),"21-25")</f>
        <v>21-25</v>
      </c>
      <c r="K533" s="32"/>
      <c r="L533" s="32"/>
      <c r="M533" s="32"/>
      <c r="N533" s="32"/>
      <c r="O533" s="32"/>
      <c r="P533" s="32"/>
      <c r="Q533" s="32"/>
      <c r="R533" s="32"/>
      <c r="S533" s="32"/>
      <c r="T533" s="32"/>
      <c r="U533" s="32"/>
      <c r="V533" s="32"/>
      <c r="W533" s="32"/>
      <c r="X533" s="32"/>
    </row>
    <row r="534">
      <c r="A534" s="32"/>
      <c r="B534" s="35" t="str">
        <f>IFERROR(__xludf.DUMMYFUNCTION("""COMPUTED_VALUE"""),"1-5")</f>
        <v>1-5</v>
      </c>
      <c r="C534" s="32"/>
      <c r="D534" s="35" t="str">
        <f>IFERROR(__xludf.DUMMYFUNCTION("""COMPUTED_VALUE"""),"6-10")</f>
        <v>6-10</v>
      </c>
      <c r="E534" s="32"/>
      <c r="F534" s="35" t="str">
        <f>IFERROR(__xludf.DUMMYFUNCTION("""COMPUTED_VALUE"""),"11-15")</f>
        <v>11-15</v>
      </c>
      <c r="G534" s="32"/>
      <c r="H534" s="35" t="str">
        <f>IFERROR(__xludf.DUMMYFUNCTION("""COMPUTED_VALUE"""),"16-20")</f>
        <v>16-20</v>
      </c>
      <c r="I534" s="32"/>
      <c r="J534" s="35" t="str">
        <f>IFERROR(__xludf.DUMMYFUNCTION("""COMPUTED_VALUE"""),"21-25")</f>
        <v>21-25</v>
      </c>
      <c r="K534" s="32"/>
      <c r="L534" s="32"/>
      <c r="M534" s="32"/>
      <c r="N534" s="32"/>
      <c r="O534" s="32"/>
      <c r="P534" s="32"/>
      <c r="Q534" s="32"/>
      <c r="R534" s="32"/>
      <c r="S534" s="32"/>
      <c r="T534" s="32"/>
      <c r="U534" s="32"/>
      <c r="V534" s="32"/>
      <c r="W534" s="32"/>
      <c r="X534" s="32"/>
    </row>
    <row r="535">
      <c r="A535" s="32"/>
      <c r="B535" s="35" t="str">
        <f>IFERROR(__xludf.DUMMYFUNCTION("""COMPUTED_VALUE"""),"1-5")</f>
        <v>1-5</v>
      </c>
      <c r="C535" s="32"/>
      <c r="D535" s="35" t="str">
        <f>IFERROR(__xludf.DUMMYFUNCTION("""COMPUTED_VALUE"""),"6-10")</f>
        <v>6-10</v>
      </c>
      <c r="E535" s="32"/>
      <c r="F535" s="35" t="str">
        <f>IFERROR(__xludf.DUMMYFUNCTION("""COMPUTED_VALUE"""),"11-15")</f>
        <v>11-15</v>
      </c>
      <c r="G535" s="32"/>
      <c r="H535" s="35" t="str">
        <f>IFERROR(__xludf.DUMMYFUNCTION("""COMPUTED_VALUE"""),"16-20")</f>
        <v>16-20</v>
      </c>
      <c r="I535" s="32"/>
      <c r="J535" s="35" t="str">
        <f>IFERROR(__xludf.DUMMYFUNCTION("""COMPUTED_VALUE"""),"21-25")</f>
        <v>21-25</v>
      </c>
      <c r="K535" s="32"/>
      <c r="L535" s="32"/>
      <c r="M535" s="32"/>
      <c r="N535" s="32"/>
      <c r="O535" s="32"/>
      <c r="P535" s="32"/>
      <c r="Q535" s="32"/>
      <c r="R535" s="32"/>
      <c r="S535" s="32"/>
      <c r="T535" s="32"/>
      <c r="U535" s="32"/>
      <c r="V535" s="32"/>
      <c r="W535" s="32"/>
      <c r="X535" s="32"/>
    </row>
    <row r="536">
      <c r="A536" s="32"/>
      <c r="B536" s="35" t="str">
        <f>IFERROR(__xludf.DUMMYFUNCTION("""COMPUTED_VALUE"""),"1-5")</f>
        <v>1-5</v>
      </c>
      <c r="C536" s="32"/>
      <c r="D536" s="35" t="str">
        <f>IFERROR(__xludf.DUMMYFUNCTION("""COMPUTED_VALUE"""),"6-10")</f>
        <v>6-10</v>
      </c>
      <c r="E536" s="32"/>
      <c r="F536" s="35" t="str">
        <f>IFERROR(__xludf.DUMMYFUNCTION("""COMPUTED_VALUE"""),"11-15")</f>
        <v>11-15</v>
      </c>
      <c r="G536" s="32"/>
      <c r="H536" s="35" t="str">
        <f>IFERROR(__xludf.DUMMYFUNCTION("""COMPUTED_VALUE"""),"16-20")</f>
        <v>16-20</v>
      </c>
      <c r="I536" s="32"/>
      <c r="J536" s="35" t="str">
        <f>IFERROR(__xludf.DUMMYFUNCTION("""COMPUTED_VALUE"""),"21-25")</f>
        <v>21-25</v>
      </c>
      <c r="K536" s="32"/>
      <c r="L536" s="32"/>
      <c r="M536" s="32"/>
      <c r="N536" s="32"/>
      <c r="O536" s="32"/>
      <c r="P536" s="32"/>
      <c r="Q536" s="32"/>
      <c r="R536" s="32"/>
      <c r="S536" s="32"/>
      <c r="T536" s="32"/>
      <c r="U536" s="32"/>
      <c r="V536" s="32"/>
      <c r="W536" s="32"/>
      <c r="X536" s="32"/>
    </row>
    <row r="537">
      <c r="A537" s="32"/>
      <c r="B537" s="35" t="str">
        <f>IFERROR(__xludf.DUMMYFUNCTION("""COMPUTED_VALUE"""),"1-5")</f>
        <v>1-5</v>
      </c>
      <c r="C537" s="32"/>
      <c r="D537" s="35" t="str">
        <f>IFERROR(__xludf.DUMMYFUNCTION("""COMPUTED_VALUE"""),"6-10")</f>
        <v>6-10</v>
      </c>
      <c r="E537" s="32"/>
      <c r="F537" s="35" t="str">
        <f>IFERROR(__xludf.DUMMYFUNCTION("""COMPUTED_VALUE"""),"11-15")</f>
        <v>11-15</v>
      </c>
      <c r="G537" s="32"/>
      <c r="H537" s="35" t="str">
        <f>IFERROR(__xludf.DUMMYFUNCTION("""COMPUTED_VALUE"""),"16-20")</f>
        <v>16-20</v>
      </c>
      <c r="I537" s="32"/>
      <c r="J537" s="35" t="str">
        <f>IFERROR(__xludf.DUMMYFUNCTION("""COMPUTED_VALUE"""),"21-25")</f>
        <v>21-25</v>
      </c>
      <c r="K537" s="32"/>
      <c r="L537" s="32"/>
      <c r="M537" s="32"/>
      <c r="N537" s="32"/>
      <c r="O537" s="32"/>
      <c r="P537" s="32"/>
      <c r="Q537" s="32"/>
      <c r="R537" s="32"/>
      <c r="S537" s="32"/>
      <c r="T537" s="32"/>
      <c r="U537" s="32"/>
      <c r="V537" s="32"/>
      <c r="W537" s="32"/>
      <c r="X537" s="32"/>
    </row>
    <row r="538">
      <c r="A538" s="32"/>
      <c r="B538" s="35" t="str">
        <f>IFERROR(__xludf.DUMMYFUNCTION("""COMPUTED_VALUE"""),"1-5")</f>
        <v>1-5</v>
      </c>
      <c r="C538" s="32"/>
      <c r="D538" s="35" t="str">
        <f>IFERROR(__xludf.DUMMYFUNCTION("""COMPUTED_VALUE"""),"6-10")</f>
        <v>6-10</v>
      </c>
      <c r="E538" s="32"/>
      <c r="F538" s="35" t="str">
        <f>IFERROR(__xludf.DUMMYFUNCTION("""COMPUTED_VALUE"""),"11-15")</f>
        <v>11-15</v>
      </c>
      <c r="G538" s="32"/>
      <c r="H538" s="35" t="str">
        <f>IFERROR(__xludf.DUMMYFUNCTION("""COMPUTED_VALUE"""),"16-20")</f>
        <v>16-20</v>
      </c>
      <c r="I538" s="32"/>
      <c r="J538" s="35" t="str">
        <f>IFERROR(__xludf.DUMMYFUNCTION("""COMPUTED_VALUE"""),"21-25")</f>
        <v>21-25</v>
      </c>
      <c r="K538" s="32"/>
      <c r="L538" s="32"/>
      <c r="M538" s="32"/>
      <c r="N538" s="32"/>
      <c r="O538" s="32"/>
      <c r="P538" s="32"/>
      <c r="Q538" s="32"/>
      <c r="R538" s="32"/>
      <c r="S538" s="32"/>
      <c r="T538" s="32"/>
      <c r="U538" s="32"/>
      <c r="V538" s="32"/>
      <c r="W538" s="32"/>
      <c r="X538" s="32"/>
    </row>
    <row r="539">
      <c r="A539" s="32"/>
      <c r="B539" s="35" t="str">
        <f>IFERROR(__xludf.DUMMYFUNCTION("""COMPUTED_VALUE"""),"1-5")</f>
        <v>1-5</v>
      </c>
      <c r="C539" s="32"/>
      <c r="D539" s="35" t="str">
        <f>IFERROR(__xludf.DUMMYFUNCTION("""COMPUTED_VALUE"""),"6-10")</f>
        <v>6-10</v>
      </c>
      <c r="E539" s="32"/>
      <c r="F539" s="35" t="str">
        <f>IFERROR(__xludf.DUMMYFUNCTION("""COMPUTED_VALUE"""),"11-15")</f>
        <v>11-15</v>
      </c>
      <c r="G539" s="32"/>
      <c r="H539" s="35" t="str">
        <f>IFERROR(__xludf.DUMMYFUNCTION("""COMPUTED_VALUE"""),"16-20")</f>
        <v>16-20</v>
      </c>
      <c r="I539" s="32"/>
      <c r="J539" s="35" t="str">
        <f>IFERROR(__xludf.DUMMYFUNCTION("""COMPUTED_VALUE"""),"21-25")</f>
        <v>21-25</v>
      </c>
      <c r="K539" s="32"/>
      <c r="L539" s="32"/>
      <c r="M539" s="32"/>
      <c r="N539" s="32"/>
      <c r="O539" s="32"/>
      <c r="P539" s="32"/>
      <c r="Q539" s="32"/>
      <c r="R539" s="32"/>
      <c r="S539" s="32"/>
      <c r="T539" s="32"/>
      <c r="U539" s="32"/>
      <c r="V539" s="32"/>
      <c r="W539" s="32"/>
      <c r="X539" s="32"/>
    </row>
    <row r="540">
      <c r="A540" s="32"/>
      <c r="B540" s="35" t="str">
        <f>IFERROR(__xludf.DUMMYFUNCTION("""COMPUTED_VALUE"""),"1-5")</f>
        <v>1-5</v>
      </c>
      <c r="C540" s="32"/>
      <c r="D540" s="35" t="str">
        <f>IFERROR(__xludf.DUMMYFUNCTION("""COMPUTED_VALUE"""),"6-10")</f>
        <v>6-10</v>
      </c>
      <c r="E540" s="32"/>
      <c r="F540" s="35" t="str">
        <f>IFERROR(__xludf.DUMMYFUNCTION("""COMPUTED_VALUE"""),"11-15")</f>
        <v>11-15</v>
      </c>
      <c r="G540" s="32"/>
      <c r="H540" s="35" t="str">
        <f>IFERROR(__xludf.DUMMYFUNCTION("""COMPUTED_VALUE"""),"16-20")</f>
        <v>16-20</v>
      </c>
      <c r="I540" s="32"/>
      <c r="J540" s="35" t="str">
        <f>IFERROR(__xludf.DUMMYFUNCTION("""COMPUTED_VALUE"""),"21-25")</f>
        <v>21-25</v>
      </c>
      <c r="K540" s="32"/>
      <c r="L540" s="32"/>
      <c r="M540" s="32"/>
      <c r="N540" s="32"/>
      <c r="O540" s="32"/>
      <c r="P540" s="32"/>
      <c r="Q540" s="32"/>
      <c r="R540" s="32"/>
      <c r="S540" s="32"/>
      <c r="T540" s="32"/>
      <c r="U540" s="32"/>
      <c r="V540" s="32"/>
      <c r="W540" s="32"/>
      <c r="X540" s="32"/>
    </row>
    <row r="541">
      <c r="A541" s="32"/>
      <c r="B541" s="35" t="str">
        <f>IFERROR(__xludf.DUMMYFUNCTION("""COMPUTED_VALUE"""),"1-5")</f>
        <v>1-5</v>
      </c>
      <c r="C541" s="32"/>
      <c r="D541" s="35" t="str">
        <f>IFERROR(__xludf.DUMMYFUNCTION("""COMPUTED_VALUE"""),"6-10")</f>
        <v>6-10</v>
      </c>
      <c r="E541" s="32"/>
      <c r="F541" s="35" t="str">
        <f>IFERROR(__xludf.DUMMYFUNCTION("""COMPUTED_VALUE"""),"11-15")</f>
        <v>11-15</v>
      </c>
      <c r="G541" s="32"/>
      <c r="H541" s="35" t="str">
        <f>IFERROR(__xludf.DUMMYFUNCTION("""COMPUTED_VALUE"""),"16-20")</f>
        <v>16-20</v>
      </c>
      <c r="I541" s="32"/>
      <c r="J541" s="35" t="str">
        <f>IFERROR(__xludf.DUMMYFUNCTION("""COMPUTED_VALUE"""),"21-25")</f>
        <v>21-25</v>
      </c>
      <c r="K541" s="32"/>
      <c r="L541" s="32"/>
      <c r="M541" s="32"/>
      <c r="N541" s="32"/>
      <c r="O541" s="32"/>
      <c r="P541" s="32"/>
      <c r="Q541" s="32"/>
      <c r="R541" s="32"/>
      <c r="S541" s="32"/>
      <c r="T541" s="32"/>
      <c r="U541" s="32"/>
      <c r="V541" s="32"/>
      <c r="W541" s="32"/>
      <c r="X541" s="32"/>
    </row>
    <row r="542">
      <c r="A542" s="32"/>
      <c r="B542" s="35" t="str">
        <f>IFERROR(__xludf.DUMMYFUNCTION("""COMPUTED_VALUE"""),"1-5")</f>
        <v>1-5</v>
      </c>
      <c r="C542" s="32"/>
      <c r="D542" s="35" t="str">
        <f>IFERROR(__xludf.DUMMYFUNCTION("""COMPUTED_VALUE"""),"6-10")</f>
        <v>6-10</v>
      </c>
      <c r="E542" s="32"/>
      <c r="F542" s="35" t="str">
        <f>IFERROR(__xludf.DUMMYFUNCTION("""COMPUTED_VALUE"""),"11-15")</f>
        <v>11-15</v>
      </c>
      <c r="G542" s="32"/>
      <c r="H542" s="35" t="str">
        <f>IFERROR(__xludf.DUMMYFUNCTION("""COMPUTED_VALUE"""),"16-20")</f>
        <v>16-20</v>
      </c>
      <c r="I542" s="32"/>
      <c r="J542" s="35" t="str">
        <f>IFERROR(__xludf.DUMMYFUNCTION("""COMPUTED_VALUE"""),"21-25")</f>
        <v>21-25</v>
      </c>
      <c r="K542" s="32"/>
      <c r="L542" s="32"/>
      <c r="M542" s="32"/>
      <c r="N542" s="32"/>
      <c r="O542" s="32"/>
      <c r="P542" s="32"/>
      <c r="Q542" s="32"/>
      <c r="R542" s="32"/>
      <c r="S542" s="32"/>
      <c r="T542" s="32"/>
      <c r="U542" s="32"/>
      <c r="V542" s="32"/>
      <c r="W542" s="32"/>
      <c r="X542" s="32"/>
    </row>
    <row r="543">
      <c r="A543" s="32"/>
      <c r="B543" s="35" t="str">
        <f>IFERROR(__xludf.DUMMYFUNCTION("""COMPUTED_VALUE"""),"1-5")</f>
        <v>1-5</v>
      </c>
      <c r="C543" s="32"/>
      <c r="D543" s="35" t="str">
        <f>IFERROR(__xludf.DUMMYFUNCTION("""COMPUTED_VALUE"""),"6-10")</f>
        <v>6-10</v>
      </c>
      <c r="E543" s="32"/>
      <c r="F543" s="35" t="str">
        <f>IFERROR(__xludf.DUMMYFUNCTION("""COMPUTED_VALUE"""),"11-15")</f>
        <v>11-15</v>
      </c>
      <c r="G543" s="32"/>
      <c r="H543" s="35" t="str">
        <f>IFERROR(__xludf.DUMMYFUNCTION("""COMPUTED_VALUE"""),"16-20")</f>
        <v>16-20</v>
      </c>
      <c r="I543" s="32"/>
      <c r="J543" s="35" t="str">
        <f>IFERROR(__xludf.DUMMYFUNCTION("""COMPUTED_VALUE"""),"21-25")</f>
        <v>21-25</v>
      </c>
      <c r="K543" s="32"/>
      <c r="L543" s="32"/>
      <c r="M543" s="32"/>
      <c r="N543" s="32"/>
      <c r="O543" s="32"/>
      <c r="P543" s="32"/>
      <c r="Q543" s="32"/>
      <c r="R543" s="32"/>
      <c r="S543" s="32"/>
      <c r="T543" s="32"/>
      <c r="U543" s="32"/>
      <c r="V543" s="32"/>
      <c r="W543" s="32"/>
      <c r="X543" s="32"/>
    </row>
    <row r="544">
      <c r="A544" s="32"/>
      <c r="B544" s="35" t="str">
        <f>IFERROR(__xludf.DUMMYFUNCTION("""COMPUTED_VALUE"""),"1-5")</f>
        <v>1-5</v>
      </c>
      <c r="C544" s="32"/>
      <c r="D544" s="35" t="str">
        <f>IFERROR(__xludf.DUMMYFUNCTION("""COMPUTED_VALUE"""),"6-10")</f>
        <v>6-10</v>
      </c>
      <c r="E544" s="32"/>
      <c r="F544" s="35" t="str">
        <f>IFERROR(__xludf.DUMMYFUNCTION("""COMPUTED_VALUE"""),"11-15")</f>
        <v>11-15</v>
      </c>
      <c r="G544" s="32"/>
      <c r="H544" s="35" t="str">
        <f>IFERROR(__xludf.DUMMYFUNCTION("""COMPUTED_VALUE"""),"16-20")</f>
        <v>16-20</v>
      </c>
      <c r="I544" s="32"/>
      <c r="J544" s="35" t="str">
        <f>IFERROR(__xludf.DUMMYFUNCTION("""COMPUTED_VALUE"""),"21-25")</f>
        <v>21-25</v>
      </c>
      <c r="K544" s="32"/>
      <c r="L544" s="32"/>
      <c r="M544" s="32"/>
      <c r="N544" s="32"/>
      <c r="O544" s="32"/>
      <c r="P544" s="32"/>
      <c r="Q544" s="32"/>
      <c r="R544" s="32"/>
      <c r="S544" s="32"/>
      <c r="T544" s="32"/>
      <c r="U544" s="32"/>
      <c r="V544" s="32"/>
      <c r="W544" s="32"/>
      <c r="X544" s="32"/>
    </row>
    <row r="545">
      <c r="A545" s="32"/>
      <c r="B545" s="35" t="str">
        <f>IFERROR(__xludf.DUMMYFUNCTION("""COMPUTED_VALUE"""),"1-5")</f>
        <v>1-5</v>
      </c>
      <c r="C545" s="32"/>
      <c r="D545" s="35" t="str">
        <f>IFERROR(__xludf.DUMMYFUNCTION("""COMPUTED_VALUE"""),"6-10")</f>
        <v>6-10</v>
      </c>
      <c r="E545" s="32"/>
      <c r="F545" s="35" t="str">
        <f>IFERROR(__xludf.DUMMYFUNCTION("""COMPUTED_VALUE"""),"11-15")</f>
        <v>11-15</v>
      </c>
      <c r="G545" s="32"/>
      <c r="H545" s="35" t="str">
        <f>IFERROR(__xludf.DUMMYFUNCTION("""COMPUTED_VALUE"""),"16-20")</f>
        <v>16-20</v>
      </c>
      <c r="I545" s="32"/>
      <c r="J545" s="35" t="str">
        <f>IFERROR(__xludf.DUMMYFUNCTION("""COMPUTED_VALUE"""),"21-25")</f>
        <v>21-25</v>
      </c>
      <c r="K545" s="32"/>
      <c r="L545" s="32"/>
      <c r="M545" s="32"/>
      <c r="N545" s="32"/>
      <c r="O545" s="32"/>
      <c r="P545" s="32"/>
      <c r="Q545" s="32"/>
      <c r="R545" s="32"/>
      <c r="S545" s="32"/>
      <c r="T545" s="32"/>
      <c r="U545" s="32"/>
      <c r="V545" s="32"/>
      <c r="W545" s="32"/>
      <c r="X545" s="32"/>
    </row>
    <row r="546">
      <c r="A546" s="32"/>
      <c r="B546" s="35" t="str">
        <f>IFERROR(__xludf.DUMMYFUNCTION("""COMPUTED_VALUE"""),"1-5")</f>
        <v>1-5</v>
      </c>
      <c r="C546" s="32"/>
      <c r="D546" s="35" t="str">
        <f>IFERROR(__xludf.DUMMYFUNCTION("""COMPUTED_VALUE"""),"6-10")</f>
        <v>6-10</v>
      </c>
      <c r="E546" s="32"/>
      <c r="F546" s="35" t="str">
        <f>IFERROR(__xludf.DUMMYFUNCTION("""COMPUTED_VALUE"""),"11-15")</f>
        <v>11-15</v>
      </c>
      <c r="G546" s="32"/>
      <c r="H546" s="35" t="str">
        <f>IFERROR(__xludf.DUMMYFUNCTION("""COMPUTED_VALUE"""),"16-20")</f>
        <v>16-20</v>
      </c>
      <c r="I546" s="32"/>
      <c r="J546" s="35" t="str">
        <f>IFERROR(__xludf.DUMMYFUNCTION("""COMPUTED_VALUE"""),"21-25")</f>
        <v>21-25</v>
      </c>
      <c r="K546" s="32"/>
      <c r="L546" s="32"/>
      <c r="M546" s="32"/>
      <c r="N546" s="32"/>
      <c r="O546" s="32"/>
      <c r="P546" s="32"/>
      <c r="Q546" s="32"/>
      <c r="R546" s="32"/>
      <c r="S546" s="32"/>
      <c r="T546" s="32"/>
      <c r="U546" s="32"/>
      <c r="V546" s="32"/>
      <c r="W546" s="32"/>
      <c r="X546" s="32"/>
    </row>
    <row r="547">
      <c r="A547" s="32"/>
      <c r="B547" s="35" t="str">
        <f>IFERROR(__xludf.DUMMYFUNCTION("""COMPUTED_VALUE"""),"1-5")</f>
        <v>1-5</v>
      </c>
      <c r="C547" s="32"/>
      <c r="D547" s="35" t="str">
        <f>IFERROR(__xludf.DUMMYFUNCTION("""COMPUTED_VALUE"""),"6-10")</f>
        <v>6-10</v>
      </c>
      <c r="E547" s="32"/>
      <c r="F547" s="35" t="str">
        <f>IFERROR(__xludf.DUMMYFUNCTION("""COMPUTED_VALUE"""),"11-15")</f>
        <v>11-15</v>
      </c>
      <c r="G547" s="32"/>
      <c r="H547" s="35" t="str">
        <f>IFERROR(__xludf.DUMMYFUNCTION("""COMPUTED_VALUE"""),"16-20")</f>
        <v>16-20</v>
      </c>
      <c r="I547" s="32"/>
      <c r="J547" s="35" t="str">
        <f>IFERROR(__xludf.DUMMYFUNCTION("""COMPUTED_VALUE"""),"21-25")</f>
        <v>21-25</v>
      </c>
      <c r="K547" s="32"/>
      <c r="L547" s="32"/>
      <c r="M547" s="32"/>
      <c r="N547" s="32"/>
      <c r="O547" s="32"/>
      <c r="P547" s="32"/>
      <c r="Q547" s="32"/>
      <c r="R547" s="32"/>
      <c r="S547" s="32"/>
      <c r="T547" s="32"/>
      <c r="U547" s="32"/>
      <c r="V547" s="32"/>
      <c r="W547" s="32"/>
      <c r="X547" s="32"/>
    </row>
    <row r="548">
      <c r="A548" s="32"/>
      <c r="B548" s="35" t="str">
        <f>IFERROR(__xludf.DUMMYFUNCTION("""COMPUTED_VALUE"""),"1-5")</f>
        <v>1-5</v>
      </c>
      <c r="C548" s="32"/>
      <c r="D548" s="35" t="str">
        <f>IFERROR(__xludf.DUMMYFUNCTION("""COMPUTED_VALUE"""),"6-10")</f>
        <v>6-10</v>
      </c>
      <c r="E548" s="32"/>
      <c r="F548" s="35" t="str">
        <f>IFERROR(__xludf.DUMMYFUNCTION("""COMPUTED_VALUE"""),"11-15")</f>
        <v>11-15</v>
      </c>
      <c r="G548" s="32"/>
      <c r="H548" s="35" t="str">
        <f>IFERROR(__xludf.DUMMYFUNCTION("""COMPUTED_VALUE"""),"16-20")</f>
        <v>16-20</v>
      </c>
      <c r="I548" s="32"/>
      <c r="J548" s="35" t="str">
        <f>IFERROR(__xludf.DUMMYFUNCTION("""COMPUTED_VALUE"""),"21-25")</f>
        <v>21-25</v>
      </c>
      <c r="K548" s="32"/>
      <c r="L548" s="32"/>
      <c r="M548" s="32"/>
      <c r="N548" s="32"/>
      <c r="O548" s="32"/>
      <c r="P548" s="32"/>
      <c r="Q548" s="32"/>
      <c r="R548" s="32"/>
      <c r="S548" s="32"/>
      <c r="T548" s="32"/>
      <c r="U548" s="32"/>
      <c r="V548" s="32"/>
      <c r="W548" s="32"/>
      <c r="X548" s="32"/>
    </row>
    <row r="549">
      <c r="A549" s="32"/>
      <c r="B549" s="35" t="str">
        <f>IFERROR(__xludf.DUMMYFUNCTION("""COMPUTED_VALUE"""),"1-5")</f>
        <v>1-5</v>
      </c>
      <c r="C549" s="32"/>
      <c r="D549" s="35" t="str">
        <f>IFERROR(__xludf.DUMMYFUNCTION("""COMPUTED_VALUE"""),"6-10")</f>
        <v>6-10</v>
      </c>
      <c r="E549" s="32"/>
      <c r="F549" s="35" t="str">
        <f>IFERROR(__xludf.DUMMYFUNCTION("""COMPUTED_VALUE"""),"11-15")</f>
        <v>11-15</v>
      </c>
      <c r="G549" s="32"/>
      <c r="H549" s="35" t="str">
        <f>IFERROR(__xludf.DUMMYFUNCTION("""COMPUTED_VALUE"""),"16-20")</f>
        <v>16-20</v>
      </c>
      <c r="I549" s="32"/>
      <c r="J549" s="35" t="str">
        <f>IFERROR(__xludf.DUMMYFUNCTION("""COMPUTED_VALUE"""),"21-25")</f>
        <v>21-25</v>
      </c>
      <c r="K549" s="32"/>
      <c r="L549" s="32"/>
      <c r="M549" s="32"/>
      <c r="N549" s="32"/>
      <c r="O549" s="32"/>
      <c r="P549" s="32"/>
      <c r="Q549" s="32"/>
      <c r="R549" s="32"/>
      <c r="S549" s="32"/>
      <c r="T549" s="32"/>
      <c r="U549" s="32"/>
      <c r="V549" s="32"/>
      <c r="W549" s="32"/>
      <c r="X549" s="32"/>
    </row>
    <row r="550">
      <c r="A550" s="32"/>
      <c r="B550" s="35" t="str">
        <f>IFERROR(__xludf.DUMMYFUNCTION("""COMPUTED_VALUE"""),"1-5")</f>
        <v>1-5</v>
      </c>
      <c r="C550" s="32"/>
      <c r="D550" s="35" t="str">
        <f>IFERROR(__xludf.DUMMYFUNCTION("""COMPUTED_VALUE"""),"6-10")</f>
        <v>6-10</v>
      </c>
      <c r="E550" s="32"/>
      <c r="F550" s="35" t="str">
        <f>IFERROR(__xludf.DUMMYFUNCTION("""COMPUTED_VALUE"""),"11-15")</f>
        <v>11-15</v>
      </c>
      <c r="G550" s="32"/>
      <c r="H550" s="35" t="str">
        <f>IFERROR(__xludf.DUMMYFUNCTION("""COMPUTED_VALUE"""),"16-20")</f>
        <v>16-20</v>
      </c>
      <c r="I550" s="32"/>
      <c r="J550" s="35" t="str">
        <f>IFERROR(__xludf.DUMMYFUNCTION("""COMPUTED_VALUE"""),"21-25")</f>
        <v>21-25</v>
      </c>
      <c r="K550" s="32"/>
      <c r="L550" s="32"/>
      <c r="M550" s="32"/>
      <c r="N550" s="32"/>
      <c r="O550" s="32"/>
      <c r="P550" s="32"/>
      <c r="Q550" s="32"/>
      <c r="R550" s="32"/>
      <c r="S550" s="32"/>
      <c r="T550" s="32"/>
      <c r="U550" s="32"/>
      <c r="V550" s="32"/>
      <c r="W550" s="32"/>
      <c r="X550" s="32"/>
    </row>
    <row r="551">
      <c r="A551" s="32"/>
      <c r="B551" s="35" t="str">
        <f>IFERROR(__xludf.DUMMYFUNCTION("""COMPUTED_VALUE"""),"1-5")</f>
        <v>1-5</v>
      </c>
      <c r="C551" s="32"/>
      <c r="D551" s="35" t="str">
        <f>IFERROR(__xludf.DUMMYFUNCTION("""COMPUTED_VALUE"""),"6-10")</f>
        <v>6-10</v>
      </c>
      <c r="E551" s="32"/>
      <c r="F551" s="35" t="str">
        <f>IFERROR(__xludf.DUMMYFUNCTION("""COMPUTED_VALUE"""),"11-15")</f>
        <v>11-15</v>
      </c>
      <c r="G551" s="32"/>
      <c r="H551" s="35" t="str">
        <f>IFERROR(__xludf.DUMMYFUNCTION("""COMPUTED_VALUE"""),"16-20")</f>
        <v>16-20</v>
      </c>
      <c r="I551" s="32"/>
      <c r="J551" s="35" t="str">
        <f>IFERROR(__xludf.DUMMYFUNCTION("""COMPUTED_VALUE"""),"21-25")</f>
        <v>21-25</v>
      </c>
      <c r="K551" s="32"/>
      <c r="L551" s="32"/>
      <c r="M551" s="32"/>
      <c r="N551" s="32"/>
      <c r="O551" s="32"/>
      <c r="P551" s="32"/>
      <c r="Q551" s="32"/>
      <c r="R551" s="32"/>
      <c r="S551" s="32"/>
      <c r="T551" s="32"/>
      <c r="U551" s="32"/>
      <c r="V551" s="32"/>
      <c r="W551" s="32"/>
      <c r="X551" s="32"/>
    </row>
    <row r="552">
      <c r="A552" s="32"/>
      <c r="B552" s="35" t="str">
        <f>IFERROR(__xludf.DUMMYFUNCTION("""COMPUTED_VALUE"""),"1-5")</f>
        <v>1-5</v>
      </c>
      <c r="C552" s="32"/>
      <c r="D552" s="35" t="str">
        <f>IFERROR(__xludf.DUMMYFUNCTION("""COMPUTED_VALUE"""),"6-10")</f>
        <v>6-10</v>
      </c>
      <c r="E552" s="32"/>
      <c r="F552" s="35" t="str">
        <f>IFERROR(__xludf.DUMMYFUNCTION("""COMPUTED_VALUE"""),"11-15")</f>
        <v>11-15</v>
      </c>
      <c r="G552" s="32"/>
      <c r="H552" s="35" t="str">
        <f>IFERROR(__xludf.DUMMYFUNCTION("""COMPUTED_VALUE"""),"16-20")</f>
        <v>16-20</v>
      </c>
      <c r="I552" s="32"/>
      <c r="J552" s="35" t="str">
        <f>IFERROR(__xludf.DUMMYFUNCTION("""COMPUTED_VALUE"""),"21-25")</f>
        <v>21-25</v>
      </c>
      <c r="K552" s="32"/>
      <c r="L552" s="32"/>
      <c r="M552" s="32"/>
      <c r="N552" s="32"/>
      <c r="O552" s="32"/>
      <c r="P552" s="32"/>
      <c r="Q552" s="32"/>
      <c r="R552" s="32"/>
      <c r="S552" s="32"/>
      <c r="T552" s="32"/>
      <c r="U552" s="32"/>
      <c r="V552" s="32"/>
      <c r="W552" s="32"/>
      <c r="X552" s="32"/>
    </row>
    <row r="553">
      <c r="A553" s="32"/>
      <c r="B553" s="35" t="str">
        <f>IFERROR(__xludf.DUMMYFUNCTION("""COMPUTED_VALUE"""),"1-5")</f>
        <v>1-5</v>
      </c>
      <c r="C553" s="32"/>
      <c r="D553" s="35" t="str">
        <f>IFERROR(__xludf.DUMMYFUNCTION("""COMPUTED_VALUE"""),"6-10")</f>
        <v>6-10</v>
      </c>
      <c r="E553" s="32"/>
      <c r="F553" s="35" t="str">
        <f>IFERROR(__xludf.DUMMYFUNCTION("""COMPUTED_VALUE"""),"11-15")</f>
        <v>11-15</v>
      </c>
      <c r="G553" s="32"/>
      <c r="H553" s="35" t="str">
        <f>IFERROR(__xludf.DUMMYFUNCTION("""COMPUTED_VALUE"""),"16-20")</f>
        <v>16-20</v>
      </c>
      <c r="I553" s="32"/>
      <c r="J553" s="35" t="str">
        <f>IFERROR(__xludf.DUMMYFUNCTION("""COMPUTED_VALUE"""),"21-25")</f>
        <v>21-25</v>
      </c>
      <c r="K553" s="32"/>
      <c r="L553" s="32"/>
      <c r="M553" s="32"/>
      <c r="N553" s="32"/>
      <c r="O553" s="32"/>
      <c r="P553" s="32"/>
      <c r="Q553" s="32"/>
      <c r="R553" s="32"/>
      <c r="S553" s="32"/>
      <c r="T553" s="32"/>
      <c r="U553" s="32"/>
      <c r="V553" s="32"/>
      <c r="W553" s="32"/>
      <c r="X553" s="32"/>
    </row>
    <row r="554">
      <c r="A554" s="32"/>
      <c r="B554" s="35" t="str">
        <f>IFERROR(__xludf.DUMMYFUNCTION("""COMPUTED_VALUE"""),"1-5")</f>
        <v>1-5</v>
      </c>
      <c r="C554" s="32"/>
      <c r="D554" s="35" t="str">
        <f>IFERROR(__xludf.DUMMYFUNCTION("""COMPUTED_VALUE"""),"6-10")</f>
        <v>6-10</v>
      </c>
      <c r="E554" s="32"/>
      <c r="F554" s="35" t="str">
        <f>IFERROR(__xludf.DUMMYFUNCTION("""COMPUTED_VALUE"""),"11-15")</f>
        <v>11-15</v>
      </c>
      <c r="G554" s="32"/>
      <c r="H554" s="35" t="str">
        <f>IFERROR(__xludf.DUMMYFUNCTION("""COMPUTED_VALUE"""),"16-20")</f>
        <v>16-20</v>
      </c>
      <c r="I554" s="32"/>
      <c r="J554" s="35" t="str">
        <f>IFERROR(__xludf.DUMMYFUNCTION("""COMPUTED_VALUE"""),"21-25")</f>
        <v>21-25</v>
      </c>
      <c r="K554" s="32"/>
      <c r="L554" s="32"/>
      <c r="M554" s="32"/>
      <c r="N554" s="32"/>
      <c r="O554" s="32"/>
      <c r="P554" s="32"/>
      <c r="Q554" s="32"/>
      <c r="R554" s="32"/>
      <c r="S554" s="32"/>
      <c r="T554" s="32"/>
      <c r="U554" s="32"/>
      <c r="V554" s="32"/>
      <c r="W554" s="32"/>
      <c r="X554" s="32"/>
    </row>
    <row r="555">
      <c r="A555" s="32"/>
      <c r="B555" s="35" t="str">
        <f>IFERROR(__xludf.DUMMYFUNCTION("""COMPUTED_VALUE"""),"1-5")</f>
        <v>1-5</v>
      </c>
      <c r="C555" s="32"/>
      <c r="D555" s="35" t="str">
        <f>IFERROR(__xludf.DUMMYFUNCTION("""COMPUTED_VALUE"""),"6-10")</f>
        <v>6-10</v>
      </c>
      <c r="E555" s="32"/>
      <c r="F555" s="35" t="str">
        <f>IFERROR(__xludf.DUMMYFUNCTION("""COMPUTED_VALUE"""),"11-15")</f>
        <v>11-15</v>
      </c>
      <c r="G555" s="32"/>
      <c r="H555" s="35" t="str">
        <f>IFERROR(__xludf.DUMMYFUNCTION("""COMPUTED_VALUE"""),"16-20")</f>
        <v>16-20</v>
      </c>
      <c r="I555" s="32"/>
      <c r="J555" s="35" t="str">
        <f>IFERROR(__xludf.DUMMYFUNCTION("""COMPUTED_VALUE"""),"21-25")</f>
        <v>21-25</v>
      </c>
      <c r="K555" s="32"/>
      <c r="L555" s="32"/>
      <c r="M555" s="32"/>
      <c r="N555" s="32"/>
      <c r="O555" s="32"/>
      <c r="P555" s="32"/>
      <c r="Q555" s="32"/>
      <c r="R555" s="32"/>
      <c r="S555" s="32"/>
      <c r="T555" s="32"/>
      <c r="U555" s="32"/>
      <c r="V555" s="32"/>
      <c r="W555" s="32"/>
      <c r="X555" s="32"/>
    </row>
    <row r="556">
      <c r="A556" s="32"/>
      <c r="B556" s="35" t="str">
        <f>IFERROR(__xludf.DUMMYFUNCTION("""COMPUTED_VALUE"""),"1-5")</f>
        <v>1-5</v>
      </c>
      <c r="C556" s="32"/>
      <c r="D556" s="35" t="str">
        <f>IFERROR(__xludf.DUMMYFUNCTION("""COMPUTED_VALUE"""),"6-10")</f>
        <v>6-10</v>
      </c>
      <c r="E556" s="32"/>
      <c r="F556" s="35" t="str">
        <f>IFERROR(__xludf.DUMMYFUNCTION("""COMPUTED_VALUE"""),"11-15")</f>
        <v>11-15</v>
      </c>
      <c r="G556" s="32"/>
      <c r="H556" s="35" t="str">
        <f>IFERROR(__xludf.DUMMYFUNCTION("""COMPUTED_VALUE"""),"16-20")</f>
        <v>16-20</v>
      </c>
      <c r="I556" s="32"/>
      <c r="J556" s="35" t="str">
        <f>IFERROR(__xludf.DUMMYFUNCTION("""COMPUTED_VALUE"""),"21-25")</f>
        <v>21-25</v>
      </c>
      <c r="K556" s="32"/>
      <c r="L556" s="32"/>
      <c r="M556" s="32"/>
      <c r="N556" s="32"/>
      <c r="O556" s="32"/>
      <c r="P556" s="32"/>
      <c r="Q556" s="32"/>
      <c r="R556" s="32"/>
      <c r="S556" s="32"/>
      <c r="T556" s="32"/>
      <c r="U556" s="32"/>
      <c r="V556" s="32"/>
      <c r="W556" s="32"/>
      <c r="X556" s="32"/>
    </row>
    <row r="557">
      <c r="A557" s="32"/>
      <c r="B557" s="35" t="str">
        <f>IFERROR(__xludf.DUMMYFUNCTION("""COMPUTED_VALUE"""),"1-5")</f>
        <v>1-5</v>
      </c>
      <c r="C557" s="32"/>
      <c r="D557" s="35" t="str">
        <f>IFERROR(__xludf.DUMMYFUNCTION("""COMPUTED_VALUE"""),"6-10")</f>
        <v>6-10</v>
      </c>
      <c r="E557" s="32"/>
      <c r="F557" s="35" t="str">
        <f>IFERROR(__xludf.DUMMYFUNCTION("""COMPUTED_VALUE"""),"11-15")</f>
        <v>11-15</v>
      </c>
      <c r="G557" s="32"/>
      <c r="H557" s="35" t="str">
        <f>IFERROR(__xludf.DUMMYFUNCTION("""COMPUTED_VALUE"""),"16-20")</f>
        <v>16-20</v>
      </c>
      <c r="I557" s="32"/>
      <c r="J557" s="35" t="str">
        <f>IFERROR(__xludf.DUMMYFUNCTION("""COMPUTED_VALUE"""),"21-25")</f>
        <v>21-25</v>
      </c>
      <c r="K557" s="32"/>
      <c r="L557" s="32"/>
      <c r="M557" s="32"/>
      <c r="N557" s="32"/>
      <c r="O557" s="32"/>
      <c r="P557" s="32"/>
      <c r="Q557" s="32"/>
      <c r="R557" s="32"/>
      <c r="S557" s="32"/>
      <c r="T557" s="32"/>
      <c r="U557" s="32"/>
      <c r="V557" s="32"/>
      <c r="W557" s="32"/>
      <c r="X557" s="32"/>
    </row>
    <row r="558">
      <c r="A558" s="32"/>
      <c r="B558" s="35" t="str">
        <f>IFERROR(__xludf.DUMMYFUNCTION("""COMPUTED_VALUE"""),"1-5")</f>
        <v>1-5</v>
      </c>
      <c r="C558" s="32"/>
      <c r="D558" s="35" t="str">
        <f>IFERROR(__xludf.DUMMYFUNCTION("""COMPUTED_VALUE"""),"6-10")</f>
        <v>6-10</v>
      </c>
      <c r="E558" s="32"/>
      <c r="F558" s="35" t="str">
        <f>IFERROR(__xludf.DUMMYFUNCTION("""COMPUTED_VALUE"""),"11-15")</f>
        <v>11-15</v>
      </c>
      <c r="G558" s="32"/>
      <c r="H558" s="35" t="str">
        <f>IFERROR(__xludf.DUMMYFUNCTION("""COMPUTED_VALUE"""),"16-20")</f>
        <v>16-20</v>
      </c>
      <c r="I558" s="32"/>
      <c r="J558" s="35" t="str">
        <f>IFERROR(__xludf.DUMMYFUNCTION("""COMPUTED_VALUE"""),"21-25")</f>
        <v>21-25</v>
      </c>
      <c r="K558" s="32"/>
      <c r="L558" s="32"/>
      <c r="M558" s="32"/>
      <c r="N558" s="32"/>
      <c r="O558" s="32"/>
      <c r="P558" s="32"/>
      <c r="Q558" s="32"/>
      <c r="R558" s="32"/>
      <c r="S558" s="32"/>
      <c r="T558" s="32"/>
      <c r="U558" s="32"/>
      <c r="V558" s="32"/>
      <c r="W558" s="32"/>
      <c r="X558" s="32"/>
    </row>
    <row r="559">
      <c r="A559" s="32"/>
      <c r="B559" s="35" t="str">
        <f>IFERROR(__xludf.DUMMYFUNCTION("""COMPUTED_VALUE"""),"1-5")</f>
        <v>1-5</v>
      </c>
      <c r="C559" s="32"/>
      <c r="D559" s="35" t="str">
        <f>IFERROR(__xludf.DUMMYFUNCTION("""COMPUTED_VALUE"""),"6-10")</f>
        <v>6-10</v>
      </c>
      <c r="E559" s="32"/>
      <c r="F559" s="35" t="str">
        <f>IFERROR(__xludf.DUMMYFUNCTION("""COMPUTED_VALUE"""),"11-15")</f>
        <v>11-15</v>
      </c>
      <c r="G559" s="32"/>
      <c r="H559" s="35" t="str">
        <f>IFERROR(__xludf.DUMMYFUNCTION("""COMPUTED_VALUE"""),"16-20")</f>
        <v>16-20</v>
      </c>
      <c r="I559" s="32"/>
      <c r="J559" s="35" t="str">
        <f>IFERROR(__xludf.DUMMYFUNCTION("""COMPUTED_VALUE"""),"21-25")</f>
        <v>21-25</v>
      </c>
      <c r="K559" s="32"/>
      <c r="L559" s="32"/>
      <c r="M559" s="32"/>
      <c r="N559" s="32"/>
      <c r="O559" s="32"/>
      <c r="P559" s="32"/>
      <c r="Q559" s="32"/>
      <c r="R559" s="32"/>
      <c r="S559" s="32"/>
      <c r="T559" s="32"/>
      <c r="U559" s="32"/>
      <c r="V559" s="32"/>
      <c r="W559" s="32"/>
      <c r="X559" s="32"/>
    </row>
    <row r="560">
      <c r="A560" s="32"/>
      <c r="B560" s="35" t="str">
        <f>IFERROR(__xludf.DUMMYFUNCTION("""COMPUTED_VALUE"""),"1-5")</f>
        <v>1-5</v>
      </c>
      <c r="C560" s="32"/>
      <c r="D560" s="35" t="str">
        <f>IFERROR(__xludf.DUMMYFUNCTION("""COMPUTED_VALUE"""),"6-10")</f>
        <v>6-10</v>
      </c>
      <c r="E560" s="32"/>
      <c r="F560" s="35" t="str">
        <f>IFERROR(__xludf.DUMMYFUNCTION("""COMPUTED_VALUE"""),"11-15")</f>
        <v>11-15</v>
      </c>
      <c r="G560" s="32"/>
      <c r="H560" s="35" t="str">
        <f>IFERROR(__xludf.DUMMYFUNCTION("""COMPUTED_VALUE"""),"16-20")</f>
        <v>16-20</v>
      </c>
      <c r="I560" s="32"/>
      <c r="J560" s="35" t="str">
        <f>IFERROR(__xludf.DUMMYFUNCTION("""COMPUTED_VALUE"""),"21-25")</f>
        <v>21-25</v>
      </c>
      <c r="K560" s="32"/>
      <c r="L560" s="32"/>
      <c r="M560" s="32"/>
      <c r="N560" s="32"/>
      <c r="O560" s="32"/>
      <c r="P560" s="32"/>
      <c r="Q560" s="32"/>
      <c r="R560" s="32"/>
      <c r="S560" s="32"/>
      <c r="T560" s="32"/>
      <c r="U560" s="32"/>
      <c r="V560" s="32"/>
      <c r="W560" s="32"/>
      <c r="X560" s="32"/>
    </row>
    <row r="561">
      <c r="A561" s="32"/>
      <c r="B561" s="35" t="str">
        <f>IFERROR(__xludf.DUMMYFUNCTION("""COMPUTED_VALUE"""),"1-5")</f>
        <v>1-5</v>
      </c>
      <c r="C561" s="32"/>
      <c r="D561" s="35" t="str">
        <f>IFERROR(__xludf.DUMMYFUNCTION("""COMPUTED_VALUE"""),"6-10")</f>
        <v>6-10</v>
      </c>
      <c r="E561" s="32"/>
      <c r="F561" s="35" t="str">
        <f>IFERROR(__xludf.DUMMYFUNCTION("""COMPUTED_VALUE"""),"11-15")</f>
        <v>11-15</v>
      </c>
      <c r="G561" s="32"/>
      <c r="H561" s="35" t="str">
        <f>IFERROR(__xludf.DUMMYFUNCTION("""COMPUTED_VALUE"""),"16-20")</f>
        <v>16-20</v>
      </c>
      <c r="I561" s="32"/>
      <c r="J561" s="35" t="str">
        <f>IFERROR(__xludf.DUMMYFUNCTION("""COMPUTED_VALUE"""),"21-25")</f>
        <v>21-25</v>
      </c>
      <c r="K561" s="32"/>
      <c r="L561" s="32"/>
      <c r="M561" s="32"/>
      <c r="N561" s="32"/>
      <c r="O561" s="32"/>
      <c r="P561" s="32"/>
      <c r="Q561" s="32"/>
      <c r="R561" s="32"/>
      <c r="S561" s="32"/>
      <c r="T561" s="32"/>
      <c r="U561" s="32"/>
      <c r="V561" s="32"/>
      <c r="W561" s="32"/>
      <c r="X561" s="32"/>
    </row>
    <row r="562">
      <c r="A562" s="32"/>
      <c r="B562" s="35" t="str">
        <f>IFERROR(__xludf.DUMMYFUNCTION("""COMPUTED_VALUE"""),"1-5")</f>
        <v>1-5</v>
      </c>
      <c r="C562" s="32"/>
      <c r="D562" s="35" t="str">
        <f>IFERROR(__xludf.DUMMYFUNCTION("""COMPUTED_VALUE"""),"6-10")</f>
        <v>6-10</v>
      </c>
      <c r="E562" s="32"/>
      <c r="F562" s="35" t="str">
        <f>IFERROR(__xludf.DUMMYFUNCTION("""COMPUTED_VALUE"""),"11-15")</f>
        <v>11-15</v>
      </c>
      <c r="G562" s="32"/>
      <c r="H562" s="35" t="str">
        <f>IFERROR(__xludf.DUMMYFUNCTION("""COMPUTED_VALUE"""),"16-20")</f>
        <v>16-20</v>
      </c>
      <c r="I562" s="32"/>
      <c r="J562" s="35" t="str">
        <f>IFERROR(__xludf.DUMMYFUNCTION("""COMPUTED_VALUE"""),"21-25")</f>
        <v>21-25</v>
      </c>
      <c r="K562" s="32"/>
      <c r="L562" s="32"/>
      <c r="M562" s="32"/>
      <c r="N562" s="32"/>
      <c r="O562" s="32"/>
      <c r="P562" s="32"/>
      <c r="Q562" s="32"/>
      <c r="R562" s="32"/>
      <c r="S562" s="32"/>
      <c r="T562" s="32"/>
      <c r="U562" s="32"/>
      <c r="V562" s="32"/>
      <c r="W562" s="32"/>
      <c r="X562" s="32"/>
    </row>
    <row r="563">
      <c r="A563" s="32"/>
      <c r="B563" s="35" t="str">
        <f>IFERROR(__xludf.DUMMYFUNCTION("""COMPUTED_VALUE"""),"1-5")</f>
        <v>1-5</v>
      </c>
      <c r="C563" s="32"/>
      <c r="D563" s="35" t="str">
        <f>IFERROR(__xludf.DUMMYFUNCTION("""COMPUTED_VALUE"""),"6-10")</f>
        <v>6-10</v>
      </c>
      <c r="E563" s="32"/>
      <c r="F563" s="35" t="str">
        <f>IFERROR(__xludf.DUMMYFUNCTION("""COMPUTED_VALUE"""),"11-15")</f>
        <v>11-15</v>
      </c>
      <c r="G563" s="32"/>
      <c r="H563" s="35" t="str">
        <f>IFERROR(__xludf.DUMMYFUNCTION("""COMPUTED_VALUE"""),"16-20")</f>
        <v>16-20</v>
      </c>
      <c r="I563" s="32"/>
      <c r="J563" s="35" t="str">
        <f>IFERROR(__xludf.DUMMYFUNCTION("""COMPUTED_VALUE"""),"21-25")</f>
        <v>21-25</v>
      </c>
      <c r="K563" s="32"/>
      <c r="L563" s="32"/>
      <c r="M563" s="32"/>
      <c r="N563" s="32"/>
      <c r="O563" s="32"/>
      <c r="P563" s="32"/>
      <c r="Q563" s="32"/>
      <c r="R563" s="32"/>
      <c r="S563" s="32"/>
      <c r="T563" s="32"/>
      <c r="U563" s="32"/>
      <c r="V563" s="32"/>
      <c r="W563" s="32"/>
      <c r="X563" s="32"/>
    </row>
    <row r="564">
      <c r="A564" s="32"/>
      <c r="B564" s="35" t="str">
        <f>IFERROR(__xludf.DUMMYFUNCTION("""COMPUTED_VALUE"""),"1-5")</f>
        <v>1-5</v>
      </c>
      <c r="C564" s="32"/>
      <c r="D564" s="35" t="str">
        <f>IFERROR(__xludf.DUMMYFUNCTION("""COMPUTED_VALUE"""),"6-10")</f>
        <v>6-10</v>
      </c>
      <c r="E564" s="32"/>
      <c r="F564" s="35" t="str">
        <f>IFERROR(__xludf.DUMMYFUNCTION("""COMPUTED_VALUE"""),"11-15")</f>
        <v>11-15</v>
      </c>
      <c r="G564" s="32"/>
      <c r="H564" s="35" t="str">
        <f>IFERROR(__xludf.DUMMYFUNCTION("""COMPUTED_VALUE"""),"16-20")</f>
        <v>16-20</v>
      </c>
      <c r="I564" s="32"/>
      <c r="J564" s="35" t="str">
        <f>IFERROR(__xludf.DUMMYFUNCTION("""COMPUTED_VALUE"""),"21-25")</f>
        <v>21-25</v>
      </c>
      <c r="K564" s="32"/>
      <c r="L564" s="32"/>
      <c r="M564" s="32"/>
      <c r="N564" s="32"/>
      <c r="O564" s="32"/>
      <c r="P564" s="32"/>
      <c r="Q564" s="32"/>
      <c r="R564" s="32"/>
      <c r="S564" s="32"/>
      <c r="T564" s="32"/>
      <c r="U564" s="32"/>
      <c r="V564" s="32"/>
      <c r="W564" s="32"/>
      <c r="X564" s="32"/>
    </row>
    <row r="565">
      <c r="A565" s="32"/>
      <c r="B565" s="35" t="str">
        <f>IFERROR(__xludf.DUMMYFUNCTION("""COMPUTED_VALUE"""),"1-5")</f>
        <v>1-5</v>
      </c>
      <c r="C565" s="32"/>
      <c r="D565" s="35" t="str">
        <f>IFERROR(__xludf.DUMMYFUNCTION("""COMPUTED_VALUE"""),"6-10")</f>
        <v>6-10</v>
      </c>
      <c r="E565" s="32"/>
      <c r="F565" s="35" t="str">
        <f>IFERROR(__xludf.DUMMYFUNCTION("""COMPUTED_VALUE"""),"11-15")</f>
        <v>11-15</v>
      </c>
      <c r="G565" s="32"/>
      <c r="H565" s="35" t="str">
        <f>IFERROR(__xludf.DUMMYFUNCTION("""COMPUTED_VALUE"""),"16-20")</f>
        <v>16-20</v>
      </c>
      <c r="I565" s="32"/>
      <c r="J565" s="35" t="str">
        <f>IFERROR(__xludf.DUMMYFUNCTION("""COMPUTED_VALUE"""),"21-25")</f>
        <v>21-25</v>
      </c>
      <c r="K565" s="32"/>
      <c r="L565" s="32"/>
      <c r="M565" s="32"/>
      <c r="N565" s="32"/>
      <c r="O565" s="32"/>
      <c r="P565" s="32"/>
      <c r="Q565" s="32"/>
      <c r="R565" s="32"/>
      <c r="S565" s="32"/>
      <c r="T565" s="32"/>
      <c r="U565" s="32"/>
      <c r="V565" s="32"/>
      <c r="W565" s="32"/>
      <c r="X565" s="32"/>
    </row>
    <row r="566">
      <c r="A566" s="32"/>
      <c r="B566" s="35" t="str">
        <f>IFERROR(__xludf.DUMMYFUNCTION("""COMPUTED_VALUE"""),"1-5")</f>
        <v>1-5</v>
      </c>
      <c r="C566" s="32"/>
      <c r="D566" s="35" t="str">
        <f>IFERROR(__xludf.DUMMYFUNCTION("""COMPUTED_VALUE"""),"6-10")</f>
        <v>6-10</v>
      </c>
      <c r="E566" s="32"/>
      <c r="F566" s="35" t="str">
        <f>IFERROR(__xludf.DUMMYFUNCTION("""COMPUTED_VALUE"""),"11-15")</f>
        <v>11-15</v>
      </c>
      <c r="G566" s="32"/>
      <c r="H566" s="35" t="str">
        <f>IFERROR(__xludf.DUMMYFUNCTION("""COMPUTED_VALUE"""),"16-20")</f>
        <v>16-20</v>
      </c>
      <c r="I566" s="32"/>
      <c r="J566" s="35" t="str">
        <f>IFERROR(__xludf.DUMMYFUNCTION("""COMPUTED_VALUE"""),"21-25")</f>
        <v>21-25</v>
      </c>
      <c r="K566" s="32"/>
      <c r="L566" s="32"/>
      <c r="M566" s="32"/>
      <c r="N566" s="32"/>
      <c r="O566" s="32"/>
      <c r="P566" s="32"/>
      <c r="Q566" s="32"/>
      <c r="R566" s="32"/>
      <c r="S566" s="32"/>
      <c r="T566" s="32"/>
      <c r="U566" s="32"/>
      <c r="V566" s="32"/>
      <c r="W566" s="32"/>
      <c r="X566" s="32"/>
    </row>
    <row r="567">
      <c r="A567" s="32"/>
      <c r="B567" s="35" t="str">
        <f>IFERROR(__xludf.DUMMYFUNCTION("""COMPUTED_VALUE"""),"1-5")</f>
        <v>1-5</v>
      </c>
      <c r="C567" s="32"/>
      <c r="D567" s="35" t="str">
        <f>IFERROR(__xludf.DUMMYFUNCTION("""COMPUTED_VALUE"""),"6-10")</f>
        <v>6-10</v>
      </c>
      <c r="E567" s="32"/>
      <c r="F567" s="35" t="str">
        <f>IFERROR(__xludf.DUMMYFUNCTION("""COMPUTED_VALUE"""),"11-15")</f>
        <v>11-15</v>
      </c>
      <c r="G567" s="32"/>
      <c r="H567" s="35" t="str">
        <f>IFERROR(__xludf.DUMMYFUNCTION("""COMPUTED_VALUE"""),"16-20")</f>
        <v>16-20</v>
      </c>
      <c r="I567" s="32"/>
      <c r="J567" s="35" t="str">
        <f>IFERROR(__xludf.DUMMYFUNCTION("""COMPUTED_VALUE"""),"21-25")</f>
        <v>21-25</v>
      </c>
      <c r="K567" s="32"/>
      <c r="L567" s="32"/>
      <c r="M567" s="32"/>
      <c r="N567" s="32"/>
      <c r="O567" s="32"/>
      <c r="P567" s="32"/>
      <c r="Q567" s="32"/>
      <c r="R567" s="32"/>
      <c r="S567" s="32"/>
      <c r="T567" s="32"/>
      <c r="U567" s="32"/>
      <c r="V567" s="32"/>
      <c r="W567" s="32"/>
      <c r="X567" s="32"/>
    </row>
    <row r="568">
      <c r="A568" s="32"/>
      <c r="B568" s="35" t="str">
        <f>IFERROR(__xludf.DUMMYFUNCTION("""COMPUTED_VALUE"""),"1-5")</f>
        <v>1-5</v>
      </c>
      <c r="C568" s="32"/>
      <c r="D568" s="35" t="str">
        <f>IFERROR(__xludf.DUMMYFUNCTION("""COMPUTED_VALUE"""),"6-10")</f>
        <v>6-10</v>
      </c>
      <c r="E568" s="32"/>
      <c r="F568" s="35" t="str">
        <f>IFERROR(__xludf.DUMMYFUNCTION("""COMPUTED_VALUE"""),"11-15")</f>
        <v>11-15</v>
      </c>
      <c r="G568" s="32"/>
      <c r="H568" s="35" t="str">
        <f>IFERROR(__xludf.DUMMYFUNCTION("""COMPUTED_VALUE"""),"16-20")</f>
        <v>16-20</v>
      </c>
      <c r="I568" s="32"/>
      <c r="J568" s="35" t="str">
        <f>IFERROR(__xludf.DUMMYFUNCTION("""COMPUTED_VALUE"""),"21-25")</f>
        <v>21-25</v>
      </c>
      <c r="K568" s="32"/>
      <c r="L568" s="32"/>
      <c r="M568" s="32"/>
      <c r="N568" s="32"/>
      <c r="O568" s="32"/>
      <c r="P568" s="32"/>
      <c r="Q568" s="32"/>
      <c r="R568" s="32"/>
      <c r="S568" s="32"/>
      <c r="T568" s="32"/>
      <c r="U568" s="32"/>
      <c r="V568" s="32"/>
      <c r="W568" s="32"/>
      <c r="X568" s="32"/>
    </row>
    <row r="569">
      <c r="A569" s="32"/>
      <c r="B569" s="35" t="str">
        <f>IFERROR(__xludf.DUMMYFUNCTION("""COMPUTED_VALUE"""),"1-5")</f>
        <v>1-5</v>
      </c>
      <c r="C569" s="32"/>
      <c r="D569" s="35" t="str">
        <f>IFERROR(__xludf.DUMMYFUNCTION("""COMPUTED_VALUE"""),"6-10")</f>
        <v>6-10</v>
      </c>
      <c r="E569" s="32"/>
      <c r="F569" s="35" t="str">
        <f>IFERROR(__xludf.DUMMYFUNCTION("""COMPUTED_VALUE"""),"11-15")</f>
        <v>11-15</v>
      </c>
      <c r="G569" s="32"/>
      <c r="H569" s="35" t="str">
        <f>IFERROR(__xludf.DUMMYFUNCTION("""COMPUTED_VALUE"""),"16-20")</f>
        <v>16-20</v>
      </c>
      <c r="I569" s="32"/>
      <c r="J569" s="35" t="str">
        <f>IFERROR(__xludf.DUMMYFUNCTION("""COMPUTED_VALUE"""),"21-25")</f>
        <v>21-25</v>
      </c>
      <c r="K569" s="32"/>
      <c r="L569" s="32"/>
      <c r="M569" s="32"/>
      <c r="N569" s="32"/>
      <c r="O569" s="32"/>
      <c r="P569" s="32"/>
      <c r="Q569" s="32"/>
      <c r="R569" s="32"/>
      <c r="S569" s="32"/>
      <c r="T569" s="32"/>
      <c r="U569" s="32"/>
      <c r="V569" s="32"/>
      <c r="W569" s="32"/>
      <c r="X569" s="32"/>
    </row>
    <row r="570">
      <c r="A570" s="32"/>
      <c r="B570" s="35" t="str">
        <f>IFERROR(__xludf.DUMMYFUNCTION("""COMPUTED_VALUE"""),"1-5")</f>
        <v>1-5</v>
      </c>
      <c r="C570" s="32"/>
      <c r="D570" s="35" t="str">
        <f>IFERROR(__xludf.DUMMYFUNCTION("""COMPUTED_VALUE"""),"6-10")</f>
        <v>6-10</v>
      </c>
      <c r="E570" s="32"/>
      <c r="F570" s="35" t="str">
        <f>IFERROR(__xludf.DUMMYFUNCTION("""COMPUTED_VALUE"""),"11-15")</f>
        <v>11-15</v>
      </c>
      <c r="G570" s="32"/>
      <c r="H570" s="35" t="str">
        <f>IFERROR(__xludf.DUMMYFUNCTION("""COMPUTED_VALUE"""),"16-20")</f>
        <v>16-20</v>
      </c>
      <c r="I570" s="32"/>
      <c r="J570" s="35" t="str">
        <f>IFERROR(__xludf.DUMMYFUNCTION("""COMPUTED_VALUE"""),"21-25")</f>
        <v>21-25</v>
      </c>
      <c r="K570" s="32"/>
      <c r="L570" s="32"/>
      <c r="M570" s="32"/>
      <c r="N570" s="32"/>
      <c r="O570" s="32"/>
      <c r="P570" s="32"/>
      <c r="Q570" s="32"/>
      <c r="R570" s="32"/>
      <c r="S570" s="32"/>
      <c r="T570" s="32"/>
      <c r="U570" s="32"/>
      <c r="V570" s="32"/>
      <c r="W570" s="32"/>
      <c r="X570" s="32"/>
    </row>
    <row r="571">
      <c r="A571" s="32"/>
      <c r="B571" s="35" t="str">
        <f>IFERROR(__xludf.DUMMYFUNCTION("""COMPUTED_VALUE"""),"1-5")</f>
        <v>1-5</v>
      </c>
      <c r="C571" s="32"/>
      <c r="D571" s="35" t="str">
        <f>IFERROR(__xludf.DUMMYFUNCTION("""COMPUTED_VALUE"""),"6-10")</f>
        <v>6-10</v>
      </c>
      <c r="E571" s="32"/>
      <c r="F571" s="35" t="str">
        <f>IFERROR(__xludf.DUMMYFUNCTION("""COMPUTED_VALUE"""),"11-15")</f>
        <v>11-15</v>
      </c>
      <c r="G571" s="32"/>
      <c r="H571" s="35" t="str">
        <f>IFERROR(__xludf.DUMMYFUNCTION("""COMPUTED_VALUE"""),"16-20")</f>
        <v>16-20</v>
      </c>
      <c r="I571" s="32"/>
      <c r="J571" s="35" t="str">
        <f>IFERROR(__xludf.DUMMYFUNCTION("""COMPUTED_VALUE"""),"21-25")</f>
        <v>21-25</v>
      </c>
      <c r="K571" s="32"/>
      <c r="L571" s="32"/>
      <c r="M571" s="32"/>
      <c r="N571" s="32"/>
      <c r="O571" s="32"/>
      <c r="P571" s="32"/>
      <c r="Q571" s="32"/>
      <c r="R571" s="32"/>
      <c r="S571" s="32"/>
      <c r="T571" s="32"/>
      <c r="U571" s="32"/>
      <c r="V571" s="32"/>
      <c r="W571" s="32"/>
      <c r="X571" s="32"/>
    </row>
    <row r="572">
      <c r="A572" s="32"/>
      <c r="B572" s="35" t="str">
        <f>IFERROR(__xludf.DUMMYFUNCTION("""COMPUTED_VALUE"""),"1-5")</f>
        <v>1-5</v>
      </c>
      <c r="C572" s="32"/>
      <c r="D572" s="35" t="str">
        <f>IFERROR(__xludf.DUMMYFUNCTION("""COMPUTED_VALUE"""),"6-10")</f>
        <v>6-10</v>
      </c>
      <c r="E572" s="32"/>
      <c r="F572" s="35" t="str">
        <f>IFERROR(__xludf.DUMMYFUNCTION("""COMPUTED_VALUE"""),"11-15")</f>
        <v>11-15</v>
      </c>
      <c r="G572" s="32"/>
      <c r="H572" s="35" t="str">
        <f>IFERROR(__xludf.DUMMYFUNCTION("""COMPUTED_VALUE"""),"16-20")</f>
        <v>16-20</v>
      </c>
      <c r="I572" s="32"/>
      <c r="J572" s="35" t="str">
        <f>IFERROR(__xludf.DUMMYFUNCTION("""COMPUTED_VALUE"""),"21-25")</f>
        <v>21-25</v>
      </c>
      <c r="K572" s="32"/>
      <c r="L572" s="32"/>
      <c r="M572" s="32"/>
      <c r="N572" s="32"/>
      <c r="O572" s="32"/>
      <c r="P572" s="32"/>
      <c r="Q572" s="32"/>
      <c r="R572" s="32"/>
      <c r="S572" s="32"/>
      <c r="T572" s="32"/>
      <c r="U572" s="32"/>
      <c r="V572" s="32"/>
      <c r="W572" s="32"/>
      <c r="X572" s="32"/>
    </row>
    <row r="573">
      <c r="A573" s="32"/>
      <c r="B573" s="35" t="str">
        <f>IFERROR(__xludf.DUMMYFUNCTION("""COMPUTED_VALUE"""),"1-5")</f>
        <v>1-5</v>
      </c>
      <c r="C573" s="32"/>
      <c r="D573" s="35" t="str">
        <f>IFERROR(__xludf.DUMMYFUNCTION("""COMPUTED_VALUE"""),"6-10")</f>
        <v>6-10</v>
      </c>
      <c r="E573" s="32"/>
      <c r="F573" s="35" t="str">
        <f>IFERROR(__xludf.DUMMYFUNCTION("""COMPUTED_VALUE"""),"11-15")</f>
        <v>11-15</v>
      </c>
      <c r="G573" s="32"/>
      <c r="H573" s="35" t="str">
        <f>IFERROR(__xludf.DUMMYFUNCTION("""COMPUTED_VALUE"""),"16-20")</f>
        <v>16-20</v>
      </c>
      <c r="I573" s="32"/>
      <c r="J573" s="35" t="str">
        <f>IFERROR(__xludf.DUMMYFUNCTION("""COMPUTED_VALUE"""),"21-25")</f>
        <v>21-25</v>
      </c>
      <c r="K573" s="32"/>
      <c r="L573" s="32"/>
      <c r="M573" s="32"/>
      <c r="N573" s="32"/>
      <c r="O573" s="32"/>
      <c r="P573" s="32"/>
      <c r="Q573" s="32"/>
      <c r="R573" s="32"/>
      <c r="S573" s="32"/>
      <c r="T573" s="32"/>
      <c r="U573" s="32"/>
      <c r="V573" s="32"/>
      <c r="W573" s="32"/>
      <c r="X573" s="32"/>
    </row>
    <row r="574">
      <c r="A574" s="32"/>
      <c r="B574" s="35" t="str">
        <f>IFERROR(__xludf.DUMMYFUNCTION("""COMPUTED_VALUE"""),"1-5")</f>
        <v>1-5</v>
      </c>
      <c r="C574" s="32"/>
      <c r="D574" s="35" t="str">
        <f>IFERROR(__xludf.DUMMYFUNCTION("""COMPUTED_VALUE"""),"6-10")</f>
        <v>6-10</v>
      </c>
      <c r="E574" s="32"/>
      <c r="F574" s="35" t="str">
        <f>IFERROR(__xludf.DUMMYFUNCTION("""COMPUTED_VALUE"""),"11-15")</f>
        <v>11-15</v>
      </c>
      <c r="G574" s="32"/>
      <c r="H574" s="35" t="str">
        <f>IFERROR(__xludf.DUMMYFUNCTION("""COMPUTED_VALUE"""),"16-20")</f>
        <v>16-20</v>
      </c>
      <c r="I574" s="32"/>
      <c r="J574" s="35" t="str">
        <f>IFERROR(__xludf.DUMMYFUNCTION("""COMPUTED_VALUE"""),"21-25")</f>
        <v>21-25</v>
      </c>
      <c r="K574" s="32"/>
      <c r="L574" s="32"/>
      <c r="M574" s="32"/>
      <c r="N574" s="32"/>
      <c r="O574" s="32"/>
      <c r="P574" s="32"/>
      <c r="Q574" s="32"/>
      <c r="R574" s="32"/>
      <c r="S574" s="32"/>
      <c r="T574" s="32"/>
      <c r="U574" s="32"/>
      <c r="V574" s="32"/>
      <c r="W574" s="32"/>
      <c r="X574" s="32"/>
    </row>
    <row r="575">
      <c r="A575" s="32"/>
      <c r="B575" s="35" t="str">
        <f>IFERROR(__xludf.DUMMYFUNCTION("""COMPUTED_VALUE"""),"1-5")</f>
        <v>1-5</v>
      </c>
      <c r="C575" s="32"/>
      <c r="D575" s="35" t="str">
        <f>IFERROR(__xludf.DUMMYFUNCTION("""COMPUTED_VALUE"""),"6-10")</f>
        <v>6-10</v>
      </c>
      <c r="E575" s="32"/>
      <c r="F575" s="35" t="str">
        <f>IFERROR(__xludf.DUMMYFUNCTION("""COMPUTED_VALUE"""),"11-15")</f>
        <v>11-15</v>
      </c>
      <c r="G575" s="32"/>
      <c r="H575" s="35" t="str">
        <f>IFERROR(__xludf.DUMMYFUNCTION("""COMPUTED_VALUE"""),"16-20")</f>
        <v>16-20</v>
      </c>
      <c r="I575" s="32"/>
      <c r="J575" s="35" t="str">
        <f>IFERROR(__xludf.DUMMYFUNCTION("""COMPUTED_VALUE"""),"21-25")</f>
        <v>21-25</v>
      </c>
      <c r="K575" s="32"/>
      <c r="L575" s="32"/>
      <c r="M575" s="32"/>
      <c r="N575" s="32"/>
      <c r="O575" s="32"/>
      <c r="P575" s="32"/>
      <c r="Q575" s="32"/>
      <c r="R575" s="32"/>
      <c r="S575" s="32"/>
      <c r="T575" s="32"/>
      <c r="U575" s="32"/>
      <c r="V575" s="32"/>
      <c r="W575" s="32"/>
      <c r="X575" s="32"/>
    </row>
    <row r="576">
      <c r="A576" s="32"/>
      <c r="B576" s="35" t="str">
        <f>IFERROR(__xludf.DUMMYFUNCTION("""COMPUTED_VALUE"""),"1-5")</f>
        <v>1-5</v>
      </c>
      <c r="C576" s="32"/>
      <c r="D576" s="35" t="str">
        <f>IFERROR(__xludf.DUMMYFUNCTION("""COMPUTED_VALUE"""),"6-10")</f>
        <v>6-10</v>
      </c>
      <c r="E576" s="32"/>
      <c r="F576" s="35" t="str">
        <f>IFERROR(__xludf.DUMMYFUNCTION("""COMPUTED_VALUE"""),"11-15")</f>
        <v>11-15</v>
      </c>
      <c r="G576" s="32"/>
      <c r="H576" s="35" t="str">
        <f>IFERROR(__xludf.DUMMYFUNCTION("""COMPUTED_VALUE"""),"16-20")</f>
        <v>16-20</v>
      </c>
      <c r="I576" s="32"/>
      <c r="J576" s="35" t="str">
        <f>IFERROR(__xludf.DUMMYFUNCTION("""COMPUTED_VALUE"""),"21-25")</f>
        <v>21-25</v>
      </c>
      <c r="K576" s="32"/>
      <c r="L576" s="32"/>
      <c r="M576" s="32"/>
      <c r="N576" s="32"/>
      <c r="O576" s="32"/>
      <c r="P576" s="32"/>
      <c r="Q576" s="32"/>
      <c r="R576" s="32"/>
      <c r="S576" s="32"/>
      <c r="T576" s="32"/>
      <c r="U576" s="32"/>
      <c r="V576" s="32"/>
      <c r="W576" s="32"/>
      <c r="X576" s="32"/>
    </row>
    <row r="577">
      <c r="A577" s="32"/>
      <c r="B577" s="35" t="str">
        <f>IFERROR(__xludf.DUMMYFUNCTION("""COMPUTED_VALUE"""),"1-5")</f>
        <v>1-5</v>
      </c>
      <c r="C577" s="32"/>
      <c r="D577" s="35" t="str">
        <f>IFERROR(__xludf.DUMMYFUNCTION("""COMPUTED_VALUE"""),"6-10")</f>
        <v>6-10</v>
      </c>
      <c r="E577" s="32"/>
      <c r="F577" s="35" t="str">
        <f>IFERROR(__xludf.DUMMYFUNCTION("""COMPUTED_VALUE"""),"11-15")</f>
        <v>11-15</v>
      </c>
      <c r="G577" s="32"/>
      <c r="H577" s="35" t="str">
        <f>IFERROR(__xludf.DUMMYFUNCTION("""COMPUTED_VALUE"""),"16-20")</f>
        <v>16-20</v>
      </c>
      <c r="I577" s="32"/>
      <c r="J577" s="35" t="str">
        <f>IFERROR(__xludf.DUMMYFUNCTION("""COMPUTED_VALUE"""),"21-25")</f>
        <v>21-25</v>
      </c>
      <c r="K577" s="32"/>
      <c r="L577" s="32"/>
      <c r="M577" s="32"/>
      <c r="N577" s="32"/>
      <c r="O577" s="32"/>
      <c r="P577" s="32"/>
      <c r="Q577" s="32"/>
      <c r="R577" s="32"/>
      <c r="S577" s="32"/>
      <c r="T577" s="32"/>
      <c r="U577" s="32"/>
      <c r="V577" s="32"/>
      <c r="W577" s="32"/>
      <c r="X577" s="32"/>
    </row>
    <row r="578">
      <c r="A578" s="32"/>
      <c r="B578" s="35" t="str">
        <f>IFERROR(__xludf.DUMMYFUNCTION("""COMPUTED_VALUE"""),"1-5")</f>
        <v>1-5</v>
      </c>
      <c r="C578" s="32"/>
      <c r="D578" s="35" t="str">
        <f>IFERROR(__xludf.DUMMYFUNCTION("""COMPUTED_VALUE"""),"6-10")</f>
        <v>6-10</v>
      </c>
      <c r="E578" s="32"/>
      <c r="F578" s="35" t="str">
        <f>IFERROR(__xludf.DUMMYFUNCTION("""COMPUTED_VALUE"""),"11-15")</f>
        <v>11-15</v>
      </c>
      <c r="G578" s="32"/>
      <c r="H578" s="35" t="str">
        <f>IFERROR(__xludf.DUMMYFUNCTION("""COMPUTED_VALUE"""),"16-20")</f>
        <v>16-20</v>
      </c>
      <c r="I578" s="32"/>
      <c r="J578" s="35" t="str">
        <f>IFERROR(__xludf.DUMMYFUNCTION("""COMPUTED_VALUE"""),"21-25")</f>
        <v>21-25</v>
      </c>
      <c r="K578" s="32"/>
      <c r="L578" s="32"/>
      <c r="M578" s="32"/>
      <c r="N578" s="32"/>
      <c r="O578" s="32"/>
      <c r="P578" s="32"/>
      <c r="Q578" s="32"/>
      <c r="R578" s="32"/>
      <c r="S578" s="32"/>
      <c r="T578" s="32"/>
      <c r="U578" s="32"/>
      <c r="V578" s="32"/>
      <c r="W578" s="32"/>
      <c r="X578" s="32"/>
    </row>
    <row r="579">
      <c r="A579" s="32"/>
      <c r="B579" s="35" t="str">
        <f>IFERROR(__xludf.DUMMYFUNCTION("""COMPUTED_VALUE"""),"1-5")</f>
        <v>1-5</v>
      </c>
      <c r="C579" s="32"/>
      <c r="D579" s="35" t="str">
        <f>IFERROR(__xludf.DUMMYFUNCTION("""COMPUTED_VALUE"""),"6-10")</f>
        <v>6-10</v>
      </c>
      <c r="E579" s="32"/>
      <c r="F579" s="35" t="str">
        <f>IFERROR(__xludf.DUMMYFUNCTION("""COMPUTED_VALUE"""),"11-15")</f>
        <v>11-15</v>
      </c>
      <c r="G579" s="32"/>
      <c r="H579" s="35" t="str">
        <f>IFERROR(__xludf.DUMMYFUNCTION("""COMPUTED_VALUE"""),"16-20")</f>
        <v>16-20</v>
      </c>
      <c r="I579" s="32"/>
      <c r="J579" s="35" t="str">
        <f>IFERROR(__xludf.DUMMYFUNCTION("""COMPUTED_VALUE"""),"21-25")</f>
        <v>21-25</v>
      </c>
      <c r="K579" s="32"/>
      <c r="L579" s="32"/>
      <c r="M579" s="32"/>
      <c r="N579" s="32"/>
      <c r="O579" s="32"/>
      <c r="P579" s="32"/>
      <c r="Q579" s="32"/>
      <c r="R579" s="32"/>
      <c r="S579" s="32"/>
      <c r="T579" s="32"/>
      <c r="U579" s="32"/>
      <c r="V579" s="32"/>
      <c r="W579" s="32"/>
      <c r="X579" s="32"/>
    </row>
    <row r="580">
      <c r="A580" s="32"/>
      <c r="B580" s="35" t="str">
        <f>IFERROR(__xludf.DUMMYFUNCTION("""COMPUTED_VALUE"""),"1-5")</f>
        <v>1-5</v>
      </c>
      <c r="C580" s="32"/>
      <c r="D580" s="35" t="str">
        <f>IFERROR(__xludf.DUMMYFUNCTION("""COMPUTED_VALUE"""),"6-10")</f>
        <v>6-10</v>
      </c>
      <c r="E580" s="32"/>
      <c r="F580" s="35" t="str">
        <f>IFERROR(__xludf.DUMMYFUNCTION("""COMPUTED_VALUE"""),"11-15")</f>
        <v>11-15</v>
      </c>
      <c r="G580" s="32"/>
      <c r="H580" s="35" t="str">
        <f>IFERROR(__xludf.DUMMYFUNCTION("""COMPUTED_VALUE"""),"16-20")</f>
        <v>16-20</v>
      </c>
      <c r="I580" s="32"/>
      <c r="J580" s="35" t="str">
        <f>IFERROR(__xludf.DUMMYFUNCTION("""COMPUTED_VALUE"""),"21-25")</f>
        <v>21-25</v>
      </c>
      <c r="K580" s="32"/>
      <c r="L580" s="32"/>
      <c r="M580" s="32"/>
      <c r="N580" s="32"/>
      <c r="O580" s="32"/>
      <c r="P580" s="32"/>
      <c r="Q580" s="32"/>
      <c r="R580" s="32"/>
      <c r="S580" s="32"/>
      <c r="T580" s="32"/>
      <c r="U580" s="32"/>
      <c r="V580" s="32"/>
      <c r="W580" s="32"/>
      <c r="X580" s="32"/>
    </row>
    <row r="581">
      <c r="A581" s="32"/>
      <c r="B581" s="35" t="str">
        <f>IFERROR(__xludf.DUMMYFUNCTION("""COMPUTED_VALUE"""),"1-5")</f>
        <v>1-5</v>
      </c>
      <c r="C581" s="32"/>
      <c r="D581" s="35" t="str">
        <f>IFERROR(__xludf.DUMMYFUNCTION("""COMPUTED_VALUE"""),"6-10")</f>
        <v>6-10</v>
      </c>
      <c r="E581" s="32"/>
      <c r="F581" s="35" t="str">
        <f>IFERROR(__xludf.DUMMYFUNCTION("""COMPUTED_VALUE"""),"11-15")</f>
        <v>11-15</v>
      </c>
      <c r="G581" s="32"/>
      <c r="H581" s="35" t="str">
        <f>IFERROR(__xludf.DUMMYFUNCTION("""COMPUTED_VALUE"""),"16-20")</f>
        <v>16-20</v>
      </c>
      <c r="I581" s="32"/>
      <c r="J581" s="35" t="str">
        <f>IFERROR(__xludf.DUMMYFUNCTION("""COMPUTED_VALUE"""),"21-25")</f>
        <v>21-25</v>
      </c>
      <c r="K581" s="32"/>
      <c r="L581" s="32"/>
      <c r="M581" s="32"/>
      <c r="N581" s="32"/>
      <c r="O581" s="32"/>
      <c r="P581" s="32"/>
      <c r="Q581" s="32"/>
      <c r="R581" s="32"/>
      <c r="S581" s="32"/>
      <c r="T581" s="32"/>
      <c r="U581" s="32"/>
      <c r="V581" s="32"/>
      <c r="W581" s="32"/>
      <c r="X581" s="32"/>
    </row>
    <row r="582">
      <c r="A582" s="32"/>
      <c r="B582" s="35" t="str">
        <f>IFERROR(__xludf.DUMMYFUNCTION("""COMPUTED_VALUE"""),"1-5")</f>
        <v>1-5</v>
      </c>
      <c r="C582" s="32"/>
      <c r="D582" s="35" t="str">
        <f>IFERROR(__xludf.DUMMYFUNCTION("""COMPUTED_VALUE"""),"6-10")</f>
        <v>6-10</v>
      </c>
      <c r="E582" s="32"/>
      <c r="F582" s="35" t="str">
        <f>IFERROR(__xludf.DUMMYFUNCTION("""COMPUTED_VALUE"""),"11-15")</f>
        <v>11-15</v>
      </c>
      <c r="G582" s="32"/>
      <c r="H582" s="35" t="str">
        <f>IFERROR(__xludf.DUMMYFUNCTION("""COMPUTED_VALUE"""),"16-20")</f>
        <v>16-20</v>
      </c>
      <c r="I582" s="32"/>
      <c r="J582" s="35" t="str">
        <f>IFERROR(__xludf.DUMMYFUNCTION("""COMPUTED_VALUE"""),"21-25")</f>
        <v>21-25</v>
      </c>
      <c r="K582" s="32"/>
      <c r="L582" s="32"/>
      <c r="M582" s="32"/>
      <c r="N582" s="32"/>
      <c r="O582" s="32"/>
      <c r="P582" s="32"/>
      <c r="Q582" s="32"/>
      <c r="R582" s="32"/>
      <c r="S582" s="32"/>
      <c r="T582" s="32"/>
      <c r="U582" s="32"/>
      <c r="V582" s="32"/>
      <c r="W582" s="32"/>
      <c r="X582" s="32"/>
    </row>
    <row r="583">
      <c r="A583" s="32"/>
      <c r="B583" s="35" t="str">
        <f>IFERROR(__xludf.DUMMYFUNCTION("""COMPUTED_VALUE"""),"1-5")</f>
        <v>1-5</v>
      </c>
      <c r="C583" s="32"/>
      <c r="D583" s="35" t="str">
        <f>IFERROR(__xludf.DUMMYFUNCTION("""COMPUTED_VALUE"""),"6-10")</f>
        <v>6-10</v>
      </c>
      <c r="E583" s="32"/>
      <c r="F583" s="35" t="str">
        <f>IFERROR(__xludf.DUMMYFUNCTION("""COMPUTED_VALUE"""),"11-15")</f>
        <v>11-15</v>
      </c>
      <c r="G583" s="32"/>
      <c r="H583" s="35" t="str">
        <f>IFERROR(__xludf.DUMMYFUNCTION("""COMPUTED_VALUE"""),"16-20")</f>
        <v>16-20</v>
      </c>
      <c r="I583" s="32"/>
      <c r="J583" s="35" t="str">
        <f>IFERROR(__xludf.DUMMYFUNCTION("""COMPUTED_VALUE"""),"21-25")</f>
        <v>21-25</v>
      </c>
      <c r="K583" s="32"/>
      <c r="L583" s="32"/>
      <c r="M583" s="32"/>
      <c r="N583" s="32"/>
      <c r="O583" s="32"/>
      <c r="P583" s="32"/>
      <c r="Q583" s="32"/>
      <c r="R583" s="32"/>
      <c r="S583" s="32"/>
      <c r="T583" s="32"/>
      <c r="U583" s="32"/>
      <c r="V583" s="32"/>
      <c r="W583" s="32"/>
      <c r="X583" s="32"/>
    </row>
    <row r="584">
      <c r="A584" s="32"/>
      <c r="B584" s="35" t="str">
        <f>IFERROR(__xludf.DUMMYFUNCTION("""COMPUTED_VALUE"""),"1-5")</f>
        <v>1-5</v>
      </c>
      <c r="C584" s="32"/>
      <c r="D584" s="35" t="str">
        <f>IFERROR(__xludf.DUMMYFUNCTION("""COMPUTED_VALUE"""),"6-10")</f>
        <v>6-10</v>
      </c>
      <c r="E584" s="32"/>
      <c r="F584" s="35" t="str">
        <f>IFERROR(__xludf.DUMMYFUNCTION("""COMPUTED_VALUE"""),"11-15")</f>
        <v>11-15</v>
      </c>
      <c r="G584" s="32"/>
      <c r="H584" s="35" t="str">
        <f>IFERROR(__xludf.DUMMYFUNCTION("""COMPUTED_VALUE"""),"16-20")</f>
        <v>16-20</v>
      </c>
      <c r="I584" s="32"/>
      <c r="J584" s="35" t="str">
        <f>IFERROR(__xludf.DUMMYFUNCTION("""COMPUTED_VALUE"""),"21-25")</f>
        <v>21-25</v>
      </c>
      <c r="K584" s="32"/>
      <c r="L584" s="32"/>
      <c r="M584" s="32"/>
      <c r="N584" s="32"/>
      <c r="O584" s="32"/>
      <c r="P584" s="32"/>
      <c r="Q584" s="32"/>
      <c r="R584" s="32"/>
      <c r="S584" s="32"/>
      <c r="T584" s="32"/>
      <c r="U584" s="32"/>
      <c r="V584" s="32"/>
      <c r="W584" s="32"/>
      <c r="X584" s="32"/>
    </row>
    <row r="585">
      <c r="A585" s="32"/>
      <c r="B585" s="35" t="str">
        <f>IFERROR(__xludf.DUMMYFUNCTION("""COMPUTED_VALUE"""),"1-5")</f>
        <v>1-5</v>
      </c>
      <c r="C585" s="32"/>
      <c r="D585" s="35" t="str">
        <f>IFERROR(__xludf.DUMMYFUNCTION("""COMPUTED_VALUE"""),"6-10")</f>
        <v>6-10</v>
      </c>
      <c r="E585" s="32"/>
      <c r="F585" s="35" t="str">
        <f>IFERROR(__xludf.DUMMYFUNCTION("""COMPUTED_VALUE"""),"11-15")</f>
        <v>11-15</v>
      </c>
      <c r="G585" s="32"/>
      <c r="H585" s="35" t="str">
        <f>IFERROR(__xludf.DUMMYFUNCTION("""COMPUTED_VALUE"""),"16-20")</f>
        <v>16-20</v>
      </c>
      <c r="I585" s="32"/>
      <c r="J585" s="35" t="str">
        <f>IFERROR(__xludf.DUMMYFUNCTION("""COMPUTED_VALUE"""),"21-25")</f>
        <v>21-25</v>
      </c>
      <c r="K585" s="32"/>
      <c r="L585" s="32"/>
      <c r="M585" s="32"/>
      <c r="N585" s="32"/>
      <c r="O585" s="32"/>
      <c r="P585" s="32"/>
      <c r="Q585" s="32"/>
      <c r="R585" s="32"/>
      <c r="S585" s="32"/>
      <c r="T585" s="32"/>
      <c r="U585" s="32"/>
      <c r="V585" s="32"/>
      <c r="W585" s="32"/>
      <c r="X585" s="32"/>
    </row>
    <row r="586">
      <c r="A586" s="32"/>
      <c r="B586" s="35" t="str">
        <f>IFERROR(__xludf.DUMMYFUNCTION("""COMPUTED_VALUE"""),"1-5")</f>
        <v>1-5</v>
      </c>
      <c r="C586" s="32"/>
      <c r="D586" s="35" t="str">
        <f>IFERROR(__xludf.DUMMYFUNCTION("""COMPUTED_VALUE"""),"6-10")</f>
        <v>6-10</v>
      </c>
      <c r="E586" s="32"/>
      <c r="F586" s="35" t="str">
        <f>IFERROR(__xludf.DUMMYFUNCTION("""COMPUTED_VALUE"""),"11-15")</f>
        <v>11-15</v>
      </c>
      <c r="G586" s="32"/>
      <c r="H586" s="35" t="str">
        <f>IFERROR(__xludf.DUMMYFUNCTION("""COMPUTED_VALUE"""),"16-20")</f>
        <v>16-20</v>
      </c>
      <c r="I586" s="32"/>
      <c r="J586" s="35" t="str">
        <f>IFERROR(__xludf.DUMMYFUNCTION("""COMPUTED_VALUE"""),"21-25")</f>
        <v>21-25</v>
      </c>
      <c r="K586" s="32"/>
      <c r="L586" s="32"/>
      <c r="M586" s="32"/>
      <c r="N586" s="32"/>
      <c r="O586" s="32"/>
      <c r="P586" s="32"/>
      <c r="Q586" s="32"/>
      <c r="R586" s="32"/>
      <c r="S586" s="32"/>
      <c r="T586" s="32"/>
      <c r="U586" s="32"/>
      <c r="V586" s="32"/>
      <c r="W586" s="32"/>
      <c r="X586" s="32"/>
    </row>
    <row r="587">
      <c r="A587" s="32"/>
      <c r="B587" s="35" t="str">
        <f>IFERROR(__xludf.DUMMYFUNCTION("""COMPUTED_VALUE"""),"1-5")</f>
        <v>1-5</v>
      </c>
      <c r="C587" s="32"/>
      <c r="D587" s="35" t="str">
        <f>IFERROR(__xludf.DUMMYFUNCTION("""COMPUTED_VALUE"""),"6-10")</f>
        <v>6-10</v>
      </c>
      <c r="E587" s="32"/>
      <c r="F587" s="35" t="str">
        <f>IFERROR(__xludf.DUMMYFUNCTION("""COMPUTED_VALUE"""),"11-15")</f>
        <v>11-15</v>
      </c>
      <c r="G587" s="32"/>
      <c r="H587" s="35" t="str">
        <f>IFERROR(__xludf.DUMMYFUNCTION("""COMPUTED_VALUE"""),"16-20")</f>
        <v>16-20</v>
      </c>
      <c r="I587" s="32"/>
      <c r="J587" s="35" t="str">
        <f>IFERROR(__xludf.DUMMYFUNCTION("""COMPUTED_VALUE"""),"21-25")</f>
        <v>21-25</v>
      </c>
      <c r="K587" s="32"/>
      <c r="L587" s="32"/>
      <c r="M587" s="32"/>
      <c r="N587" s="32"/>
      <c r="O587" s="32"/>
      <c r="P587" s="32"/>
      <c r="Q587" s="32"/>
      <c r="R587" s="32"/>
      <c r="S587" s="32"/>
      <c r="T587" s="32"/>
      <c r="U587" s="32"/>
      <c r="V587" s="32"/>
      <c r="W587" s="32"/>
      <c r="X587" s="32"/>
    </row>
    <row r="588">
      <c r="A588" s="32"/>
      <c r="B588" s="35" t="str">
        <f>IFERROR(__xludf.DUMMYFUNCTION("""COMPUTED_VALUE"""),"1-5")</f>
        <v>1-5</v>
      </c>
      <c r="C588" s="32"/>
      <c r="D588" s="35" t="str">
        <f>IFERROR(__xludf.DUMMYFUNCTION("""COMPUTED_VALUE"""),"6-10")</f>
        <v>6-10</v>
      </c>
      <c r="E588" s="32"/>
      <c r="F588" s="35" t="str">
        <f>IFERROR(__xludf.DUMMYFUNCTION("""COMPUTED_VALUE"""),"11-15")</f>
        <v>11-15</v>
      </c>
      <c r="G588" s="32"/>
      <c r="H588" s="35" t="str">
        <f>IFERROR(__xludf.DUMMYFUNCTION("""COMPUTED_VALUE"""),"16-20")</f>
        <v>16-20</v>
      </c>
      <c r="I588" s="32"/>
      <c r="J588" s="35" t="str">
        <f>IFERROR(__xludf.DUMMYFUNCTION("""COMPUTED_VALUE"""),"21-25")</f>
        <v>21-25</v>
      </c>
      <c r="K588" s="32"/>
      <c r="L588" s="32"/>
      <c r="M588" s="32"/>
      <c r="N588" s="32"/>
      <c r="O588" s="32"/>
      <c r="P588" s="32"/>
      <c r="Q588" s="32"/>
      <c r="R588" s="32"/>
      <c r="S588" s="32"/>
      <c r="T588" s="32"/>
      <c r="U588" s="32"/>
      <c r="V588" s="32"/>
      <c r="W588" s="32"/>
      <c r="X588" s="32"/>
    </row>
    <row r="589">
      <c r="A589" s="32"/>
      <c r="B589" s="35" t="str">
        <f>IFERROR(__xludf.DUMMYFUNCTION("""COMPUTED_VALUE"""),"1-5")</f>
        <v>1-5</v>
      </c>
      <c r="C589" s="32"/>
      <c r="D589" s="35" t="str">
        <f>IFERROR(__xludf.DUMMYFUNCTION("""COMPUTED_VALUE"""),"6-10")</f>
        <v>6-10</v>
      </c>
      <c r="E589" s="32"/>
      <c r="F589" s="35" t="str">
        <f>IFERROR(__xludf.DUMMYFUNCTION("""COMPUTED_VALUE"""),"11-15")</f>
        <v>11-15</v>
      </c>
      <c r="G589" s="32"/>
      <c r="H589" s="35" t="str">
        <f>IFERROR(__xludf.DUMMYFUNCTION("""COMPUTED_VALUE"""),"16-20")</f>
        <v>16-20</v>
      </c>
      <c r="I589" s="32"/>
      <c r="J589" s="35" t="str">
        <f>IFERROR(__xludf.DUMMYFUNCTION("""COMPUTED_VALUE"""),"21-25")</f>
        <v>21-25</v>
      </c>
      <c r="K589" s="32"/>
      <c r="L589" s="32"/>
      <c r="M589" s="32"/>
      <c r="N589" s="32"/>
      <c r="O589" s="32"/>
      <c r="P589" s="32"/>
      <c r="Q589" s="32"/>
      <c r="R589" s="32"/>
      <c r="S589" s="32"/>
      <c r="T589" s="32"/>
      <c r="U589" s="32"/>
      <c r="V589" s="32"/>
      <c r="W589" s="32"/>
      <c r="X589" s="32"/>
    </row>
    <row r="590">
      <c r="A590" s="32"/>
      <c r="B590" s="35" t="str">
        <f>IFERROR(__xludf.DUMMYFUNCTION("""COMPUTED_VALUE"""),"1-5")</f>
        <v>1-5</v>
      </c>
      <c r="C590" s="32"/>
      <c r="D590" s="35" t="str">
        <f>IFERROR(__xludf.DUMMYFUNCTION("""COMPUTED_VALUE"""),"6-10")</f>
        <v>6-10</v>
      </c>
      <c r="E590" s="32"/>
      <c r="F590" s="35" t="str">
        <f>IFERROR(__xludf.DUMMYFUNCTION("""COMPUTED_VALUE"""),"11-15")</f>
        <v>11-15</v>
      </c>
      <c r="G590" s="32"/>
      <c r="H590" s="35" t="str">
        <f>IFERROR(__xludf.DUMMYFUNCTION("""COMPUTED_VALUE"""),"16-20")</f>
        <v>16-20</v>
      </c>
      <c r="I590" s="32"/>
      <c r="J590" s="35" t="str">
        <f>IFERROR(__xludf.DUMMYFUNCTION("""COMPUTED_VALUE"""),"21-25")</f>
        <v>21-25</v>
      </c>
      <c r="K590" s="32"/>
      <c r="L590" s="32"/>
      <c r="M590" s="32"/>
      <c r="N590" s="32"/>
      <c r="O590" s="32"/>
      <c r="P590" s="32"/>
      <c r="Q590" s="32"/>
      <c r="R590" s="32"/>
      <c r="S590" s="32"/>
      <c r="T590" s="32"/>
      <c r="U590" s="32"/>
      <c r="V590" s="32"/>
      <c r="W590" s="32"/>
      <c r="X590" s="32"/>
    </row>
    <row r="591">
      <c r="A591" s="32"/>
      <c r="B591" s="35" t="str">
        <f>IFERROR(__xludf.DUMMYFUNCTION("""COMPUTED_VALUE"""),"1-5")</f>
        <v>1-5</v>
      </c>
      <c r="C591" s="32"/>
      <c r="D591" s="35" t="str">
        <f>IFERROR(__xludf.DUMMYFUNCTION("""COMPUTED_VALUE"""),"6-10")</f>
        <v>6-10</v>
      </c>
      <c r="E591" s="32"/>
      <c r="F591" s="35" t="str">
        <f>IFERROR(__xludf.DUMMYFUNCTION("""COMPUTED_VALUE"""),"11-15")</f>
        <v>11-15</v>
      </c>
      <c r="G591" s="32"/>
      <c r="H591" s="35" t="str">
        <f>IFERROR(__xludf.DUMMYFUNCTION("""COMPUTED_VALUE"""),"16-20")</f>
        <v>16-20</v>
      </c>
      <c r="I591" s="32"/>
      <c r="J591" s="35" t="str">
        <f>IFERROR(__xludf.DUMMYFUNCTION("""COMPUTED_VALUE"""),"21-25")</f>
        <v>21-25</v>
      </c>
      <c r="K591" s="32"/>
      <c r="L591" s="32"/>
      <c r="M591" s="32"/>
      <c r="N591" s="32"/>
      <c r="O591" s="32"/>
      <c r="P591" s="32"/>
      <c r="Q591" s="32"/>
      <c r="R591" s="32"/>
      <c r="S591" s="32"/>
      <c r="T591" s="32"/>
      <c r="U591" s="32"/>
      <c r="V591" s="32"/>
      <c r="W591" s="32"/>
      <c r="X591" s="32"/>
    </row>
    <row r="592">
      <c r="A592" s="32"/>
      <c r="B592" s="35" t="str">
        <f>IFERROR(__xludf.DUMMYFUNCTION("""COMPUTED_VALUE"""),"1-5")</f>
        <v>1-5</v>
      </c>
      <c r="C592" s="32"/>
      <c r="D592" s="35" t="str">
        <f>IFERROR(__xludf.DUMMYFUNCTION("""COMPUTED_VALUE"""),"6-10")</f>
        <v>6-10</v>
      </c>
      <c r="E592" s="32"/>
      <c r="F592" s="35" t="str">
        <f>IFERROR(__xludf.DUMMYFUNCTION("""COMPUTED_VALUE"""),"11-15")</f>
        <v>11-15</v>
      </c>
      <c r="G592" s="32"/>
      <c r="H592" s="35" t="str">
        <f>IFERROR(__xludf.DUMMYFUNCTION("""COMPUTED_VALUE"""),"16-20")</f>
        <v>16-20</v>
      </c>
      <c r="I592" s="32"/>
      <c r="J592" s="35" t="str">
        <f>IFERROR(__xludf.DUMMYFUNCTION("""COMPUTED_VALUE"""),"21-25")</f>
        <v>21-25</v>
      </c>
      <c r="K592" s="32"/>
      <c r="L592" s="32"/>
      <c r="M592" s="32"/>
      <c r="N592" s="32"/>
      <c r="O592" s="32"/>
      <c r="P592" s="32"/>
      <c r="Q592" s="32"/>
      <c r="R592" s="32"/>
      <c r="S592" s="32"/>
      <c r="T592" s="32"/>
      <c r="U592" s="32"/>
      <c r="V592" s="32"/>
      <c r="W592" s="32"/>
      <c r="X592" s="32"/>
    </row>
    <row r="593">
      <c r="A593" s="32"/>
      <c r="B593" s="35" t="str">
        <f>IFERROR(__xludf.DUMMYFUNCTION("""COMPUTED_VALUE"""),"1-5")</f>
        <v>1-5</v>
      </c>
      <c r="C593" s="32"/>
      <c r="D593" s="35" t="str">
        <f>IFERROR(__xludf.DUMMYFUNCTION("""COMPUTED_VALUE"""),"6-10")</f>
        <v>6-10</v>
      </c>
      <c r="E593" s="32"/>
      <c r="F593" s="35" t="str">
        <f>IFERROR(__xludf.DUMMYFUNCTION("""COMPUTED_VALUE"""),"11-15")</f>
        <v>11-15</v>
      </c>
      <c r="G593" s="32"/>
      <c r="H593" s="35" t="str">
        <f>IFERROR(__xludf.DUMMYFUNCTION("""COMPUTED_VALUE"""),"16-20")</f>
        <v>16-20</v>
      </c>
      <c r="I593" s="32"/>
      <c r="J593" s="35" t="str">
        <f>IFERROR(__xludf.DUMMYFUNCTION("""COMPUTED_VALUE"""),"21-25")</f>
        <v>21-25</v>
      </c>
      <c r="K593" s="32"/>
      <c r="L593" s="32"/>
      <c r="M593" s="32"/>
      <c r="N593" s="32"/>
      <c r="O593" s="32"/>
      <c r="P593" s="32"/>
      <c r="Q593" s="32"/>
      <c r="R593" s="32"/>
      <c r="S593" s="32"/>
      <c r="T593" s="32"/>
      <c r="U593" s="32"/>
      <c r="V593" s="32"/>
      <c r="W593" s="32"/>
      <c r="X593" s="32"/>
    </row>
    <row r="594">
      <c r="A594" s="32"/>
      <c r="B594" s="35" t="str">
        <f>IFERROR(__xludf.DUMMYFUNCTION("""COMPUTED_VALUE"""),"1-5")</f>
        <v>1-5</v>
      </c>
      <c r="C594" s="32"/>
      <c r="D594" s="35" t="str">
        <f>IFERROR(__xludf.DUMMYFUNCTION("""COMPUTED_VALUE"""),"6-10")</f>
        <v>6-10</v>
      </c>
      <c r="E594" s="32"/>
      <c r="F594" s="35" t="str">
        <f>IFERROR(__xludf.DUMMYFUNCTION("""COMPUTED_VALUE"""),"11-15")</f>
        <v>11-15</v>
      </c>
      <c r="G594" s="32"/>
      <c r="H594" s="35" t="str">
        <f>IFERROR(__xludf.DUMMYFUNCTION("""COMPUTED_VALUE"""),"16-20")</f>
        <v>16-20</v>
      </c>
      <c r="I594" s="32"/>
      <c r="J594" s="35" t="str">
        <f>IFERROR(__xludf.DUMMYFUNCTION("""COMPUTED_VALUE"""),"21-25")</f>
        <v>21-25</v>
      </c>
      <c r="K594" s="32"/>
      <c r="L594" s="32"/>
      <c r="M594" s="32"/>
      <c r="N594" s="32"/>
      <c r="O594" s="32"/>
      <c r="P594" s="32"/>
      <c r="Q594" s="32"/>
      <c r="R594" s="32"/>
      <c r="S594" s="32"/>
      <c r="T594" s="32"/>
      <c r="U594" s="32"/>
      <c r="V594" s="32"/>
      <c r="W594" s="32"/>
      <c r="X594" s="32"/>
    </row>
    <row r="595">
      <c r="A595" s="32"/>
      <c r="B595" s="35" t="str">
        <f>IFERROR(__xludf.DUMMYFUNCTION("""COMPUTED_VALUE"""),"1-5")</f>
        <v>1-5</v>
      </c>
      <c r="C595" s="32"/>
      <c r="D595" s="35" t="str">
        <f>IFERROR(__xludf.DUMMYFUNCTION("""COMPUTED_VALUE"""),"6-10")</f>
        <v>6-10</v>
      </c>
      <c r="E595" s="32"/>
      <c r="F595" s="35" t="str">
        <f>IFERROR(__xludf.DUMMYFUNCTION("""COMPUTED_VALUE"""),"11-15")</f>
        <v>11-15</v>
      </c>
      <c r="G595" s="32"/>
      <c r="H595" s="35" t="str">
        <f>IFERROR(__xludf.DUMMYFUNCTION("""COMPUTED_VALUE"""),"16-20")</f>
        <v>16-20</v>
      </c>
      <c r="I595" s="32"/>
      <c r="J595" s="35" t="str">
        <f>IFERROR(__xludf.DUMMYFUNCTION("""COMPUTED_VALUE"""),"21-25")</f>
        <v>21-25</v>
      </c>
      <c r="K595" s="32"/>
      <c r="L595" s="32"/>
      <c r="M595" s="32"/>
      <c r="N595" s="32"/>
      <c r="O595" s="32"/>
      <c r="P595" s="32"/>
      <c r="Q595" s="32"/>
      <c r="R595" s="32"/>
      <c r="S595" s="32"/>
      <c r="T595" s="32"/>
      <c r="U595" s="32"/>
      <c r="V595" s="32"/>
      <c r="W595" s="32"/>
      <c r="X595" s="32"/>
    </row>
    <row r="596">
      <c r="A596" s="32"/>
      <c r="B596" s="35" t="str">
        <f>IFERROR(__xludf.DUMMYFUNCTION("""COMPUTED_VALUE"""),"1-5")</f>
        <v>1-5</v>
      </c>
      <c r="C596" s="32"/>
      <c r="D596" s="35" t="str">
        <f>IFERROR(__xludf.DUMMYFUNCTION("""COMPUTED_VALUE"""),"6-10")</f>
        <v>6-10</v>
      </c>
      <c r="E596" s="32"/>
      <c r="F596" s="35" t="str">
        <f>IFERROR(__xludf.DUMMYFUNCTION("""COMPUTED_VALUE"""),"11-15")</f>
        <v>11-15</v>
      </c>
      <c r="G596" s="32"/>
      <c r="H596" s="35" t="str">
        <f>IFERROR(__xludf.DUMMYFUNCTION("""COMPUTED_VALUE"""),"16-20")</f>
        <v>16-20</v>
      </c>
      <c r="I596" s="32"/>
      <c r="J596" s="35" t="str">
        <f>IFERROR(__xludf.DUMMYFUNCTION("""COMPUTED_VALUE"""),"21-25")</f>
        <v>21-25</v>
      </c>
      <c r="K596" s="32"/>
      <c r="L596" s="32"/>
      <c r="M596" s="32"/>
      <c r="N596" s="32"/>
      <c r="O596" s="32"/>
      <c r="P596" s="32"/>
      <c r="Q596" s="32"/>
      <c r="R596" s="32"/>
      <c r="S596" s="32"/>
      <c r="T596" s="32"/>
      <c r="U596" s="32"/>
      <c r="V596" s="32"/>
      <c r="W596" s="32"/>
      <c r="X596" s="32"/>
    </row>
    <row r="597">
      <c r="A597" s="32"/>
      <c r="B597" s="35" t="str">
        <f>IFERROR(__xludf.DUMMYFUNCTION("""COMPUTED_VALUE"""),"1-5")</f>
        <v>1-5</v>
      </c>
      <c r="C597" s="32"/>
      <c r="D597" s="35" t="str">
        <f>IFERROR(__xludf.DUMMYFUNCTION("""COMPUTED_VALUE"""),"6-10")</f>
        <v>6-10</v>
      </c>
      <c r="E597" s="32"/>
      <c r="F597" s="35" t="str">
        <f>IFERROR(__xludf.DUMMYFUNCTION("""COMPUTED_VALUE"""),"11-15")</f>
        <v>11-15</v>
      </c>
      <c r="G597" s="32"/>
      <c r="H597" s="35" t="str">
        <f>IFERROR(__xludf.DUMMYFUNCTION("""COMPUTED_VALUE"""),"16-20")</f>
        <v>16-20</v>
      </c>
      <c r="I597" s="32"/>
      <c r="J597" s="35" t="str">
        <f>IFERROR(__xludf.DUMMYFUNCTION("""COMPUTED_VALUE"""),"21-25")</f>
        <v>21-25</v>
      </c>
      <c r="K597" s="32"/>
      <c r="L597" s="32"/>
      <c r="M597" s="32"/>
      <c r="N597" s="32"/>
      <c r="O597" s="32"/>
      <c r="P597" s="32"/>
      <c r="Q597" s="32"/>
      <c r="R597" s="32"/>
      <c r="S597" s="32"/>
      <c r="T597" s="32"/>
      <c r="U597" s="32"/>
      <c r="V597" s="32"/>
      <c r="W597" s="32"/>
      <c r="X597" s="32"/>
    </row>
    <row r="598">
      <c r="A598" s="32"/>
      <c r="B598" s="35" t="str">
        <f>IFERROR(__xludf.DUMMYFUNCTION("""COMPUTED_VALUE"""),"1-5")</f>
        <v>1-5</v>
      </c>
      <c r="C598" s="32"/>
      <c r="D598" s="35" t="str">
        <f>IFERROR(__xludf.DUMMYFUNCTION("""COMPUTED_VALUE"""),"6-10")</f>
        <v>6-10</v>
      </c>
      <c r="E598" s="32"/>
      <c r="F598" s="35" t="str">
        <f>IFERROR(__xludf.DUMMYFUNCTION("""COMPUTED_VALUE"""),"11-15")</f>
        <v>11-15</v>
      </c>
      <c r="G598" s="32"/>
      <c r="H598" s="35" t="str">
        <f>IFERROR(__xludf.DUMMYFUNCTION("""COMPUTED_VALUE"""),"16-20")</f>
        <v>16-20</v>
      </c>
      <c r="I598" s="32"/>
      <c r="J598" s="35" t="str">
        <f>IFERROR(__xludf.DUMMYFUNCTION("""COMPUTED_VALUE"""),"21-25")</f>
        <v>21-25</v>
      </c>
      <c r="K598" s="32"/>
      <c r="L598" s="32"/>
      <c r="M598" s="32"/>
      <c r="N598" s="32"/>
      <c r="O598" s="32"/>
      <c r="P598" s="32"/>
      <c r="Q598" s="32"/>
      <c r="R598" s="32"/>
      <c r="S598" s="32"/>
      <c r="T598" s="32"/>
      <c r="U598" s="32"/>
      <c r="V598" s="32"/>
      <c r="W598" s="32"/>
      <c r="X598" s="32"/>
    </row>
    <row r="599">
      <c r="A599" s="32"/>
      <c r="B599" s="35" t="str">
        <f>IFERROR(__xludf.DUMMYFUNCTION("""COMPUTED_VALUE"""),"1-5")</f>
        <v>1-5</v>
      </c>
      <c r="C599" s="32"/>
      <c r="D599" s="35" t="str">
        <f>IFERROR(__xludf.DUMMYFUNCTION("""COMPUTED_VALUE"""),"6-10")</f>
        <v>6-10</v>
      </c>
      <c r="E599" s="32"/>
      <c r="F599" s="35" t="str">
        <f>IFERROR(__xludf.DUMMYFUNCTION("""COMPUTED_VALUE"""),"11-15")</f>
        <v>11-15</v>
      </c>
      <c r="G599" s="32"/>
      <c r="H599" s="35" t="str">
        <f>IFERROR(__xludf.DUMMYFUNCTION("""COMPUTED_VALUE"""),"16-20")</f>
        <v>16-20</v>
      </c>
      <c r="I599" s="32"/>
      <c r="J599" s="35" t="str">
        <f>IFERROR(__xludf.DUMMYFUNCTION("""COMPUTED_VALUE"""),"21-25")</f>
        <v>21-25</v>
      </c>
      <c r="K599" s="32"/>
      <c r="L599" s="32"/>
      <c r="M599" s="32"/>
      <c r="N599" s="32"/>
      <c r="O599" s="32"/>
      <c r="P599" s="32"/>
      <c r="Q599" s="32"/>
      <c r="R599" s="32"/>
      <c r="S599" s="32"/>
      <c r="T599" s="32"/>
      <c r="U599" s="32"/>
      <c r="V599" s="32"/>
      <c r="W599" s="32"/>
      <c r="X599" s="32"/>
    </row>
    <row r="600">
      <c r="A600" s="32"/>
      <c r="B600" s="35" t="str">
        <f>IFERROR(__xludf.DUMMYFUNCTION("""COMPUTED_VALUE"""),"1-5")</f>
        <v>1-5</v>
      </c>
      <c r="C600" s="32"/>
      <c r="D600" s="35" t="str">
        <f>IFERROR(__xludf.DUMMYFUNCTION("""COMPUTED_VALUE"""),"6-10")</f>
        <v>6-10</v>
      </c>
      <c r="E600" s="32"/>
      <c r="F600" s="35" t="str">
        <f>IFERROR(__xludf.DUMMYFUNCTION("""COMPUTED_VALUE"""),"11-15")</f>
        <v>11-15</v>
      </c>
      <c r="G600" s="32"/>
      <c r="H600" s="35" t="str">
        <f>IFERROR(__xludf.DUMMYFUNCTION("""COMPUTED_VALUE"""),"16-20")</f>
        <v>16-20</v>
      </c>
      <c r="I600" s="32"/>
      <c r="J600" s="35" t="str">
        <f>IFERROR(__xludf.DUMMYFUNCTION("""COMPUTED_VALUE"""),"21-25")</f>
        <v>21-25</v>
      </c>
      <c r="K600" s="32"/>
      <c r="L600" s="32"/>
      <c r="M600" s="32"/>
      <c r="N600" s="32"/>
      <c r="O600" s="32"/>
      <c r="P600" s="32"/>
      <c r="Q600" s="32"/>
      <c r="R600" s="32"/>
      <c r="S600" s="32"/>
      <c r="T600" s="32"/>
      <c r="U600" s="32"/>
      <c r="V600" s="32"/>
      <c r="W600" s="32"/>
      <c r="X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row>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dataValidations>
    <dataValidation type="list" allowBlank="1" sqref="C2:C209 E2:E209 G2:G209 I2:I209 K2:K209">
      <formula1>Items!$A:$A</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tr">
        <f>IFERROR(__xludf.DUMMYFUNCTION("IMPORTRANGE(""https://docs.google.com/spreadsheets/d/1HXoAI5UG3zq1UHqU5n7fPdbQk93qOha2VQb1r7iRi1o"",""LootTable!A:BJ"")"),"Name")</f>
        <v>Name</v>
      </c>
      <c r="B1" s="32" t="str">
        <f>IFERROR(__xludf.DUMMYFUNCTION("""COMPUTED_VALUE"""),"Description")</f>
        <v>Description</v>
      </c>
      <c r="C1" s="32" t="str">
        <f>IFERROR(__xludf.DUMMYFUNCTION("""COMPUTED_VALUE"""),"Add manual loot entrys above the line. If you need more rows rightclick insert 1 row above")</f>
        <v>Add manual loot entrys above the line. If you need more rows rightclick insert 1 row above</v>
      </c>
      <c r="D1" s="32"/>
      <c r="E1" s="32"/>
      <c r="F1" s="32"/>
      <c r="G1" s="32"/>
      <c r="H1" s="32"/>
      <c r="I1" s="32"/>
      <c r="J1" s="32"/>
      <c r="K1" s="32"/>
      <c r="L1" s="32"/>
      <c r="M1" s="32"/>
      <c r="N1" s="32"/>
      <c r="O1" s="32"/>
      <c r="P1" s="32"/>
      <c r="Q1" s="32"/>
      <c r="R1" s="32"/>
      <c r="S1" s="32"/>
      <c r="T1" s="32"/>
      <c r="U1" s="32"/>
      <c r="V1" s="32"/>
      <c r="W1" s="32"/>
      <c r="X1" s="32"/>
      <c r="Y1" s="32"/>
      <c r="Z1" s="32"/>
    </row>
    <row r="2">
      <c r="A2" s="32" t="str">
        <f>IFERROR(__xludf.DUMMYFUNCTION("""COMPUTED_VALUE"""),"1,000G-20,000G")</f>
        <v>1,000G-20,000G</v>
      </c>
      <c r="B2" s="32" t="str">
        <f>IFERROR(__xludf.DUMMYFUNCTION("""COMPUTED_VALUE"""),"roll a d20 to determine amount")</f>
        <v>roll a d20 to determine amount</v>
      </c>
      <c r="C2" s="32"/>
      <c r="D2" s="32"/>
      <c r="E2" s="32"/>
      <c r="F2" s="32"/>
      <c r="G2" s="32"/>
      <c r="H2" s="32"/>
      <c r="I2" s="32"/>
      <c r="J2" s="32"/>
      <c r="K2" s="32"/>
      <c r="L2" s="32"/>
      <c r="M2" s="32"/>
      <c r="N2" s="32"/>
      <c r="O2" s="32"/>
      <c r="P2" s="32"/>
      <c r="Q2" s="32"/>
      <c r="R2" s="32"/>
      <c r="S2" s="32"/>
      <c r="T2" s="32"/>
      <c r="U2" s="32"/>
      <c r="V2" s="32"/>
      <c r="W2" s="32"/>
      <c r="X2" s="32"/>
      <c r="Y2" s="32"/>
      <c r="Z2" s="32"/>
    </row>
    <row r="3">
      <c r="A3" s="32" t="str">
        <f>IFERROR(__xludf.DUMMYFUNCTION("""COMPUTED_VALUE"""),"20,000G-40,000G")</f>
        <v>20,000G-40,000G</v>
      </c>
      <c r="B3" s="32" t="str">
        <f>IFERROR(__xludf.DUMMYFUNCTION("""COMPUTED_VALUE"""),"roll a d20 to determine amount")</f>
        <v>roll a d20 to determine amount</v>
      </c>
      <c r="C3" s="32"/>
      <c r="D3" s="32"/>
      <c r="E3" s="32"/>
      <c r="F3" s="32"/>
      <c r="G3" s="32"/>
      <c r="H3" s="32"/>
      <c r="I3" s="32"/>
      <c r="J3" s="32"/>
      <c r="K3" s="32"/>
      <c r="L3" s="32"/>
      <c r="M3" s="32"/>
      <c r="N3" s="32"/>
      <c r="O3" s="32"/>
      <c r="P3" s="32"/>
      <c r="Q3" s="32"/>
      <c r="R3" s="32"/>
      <c r="S3" s="32"/>
      <c r="T3" s="32"/>
      <c r="U3" s="32"/>
      <c r="V3" s="32"/>
      <c r="W3" s="32"/>
      <c r="X3" s="32"/>
      <c r="Y3" s="32"/>
      <c r="Z3" s="32"/>
    </row>
    <row r="4">
      <c r="A4" s="32" t="str">
        <f>IFERROR(__xludf.DUMMYFUNCTION("""COMPUTED_VALUE"""),"40,000G-60,000G")</f>
        <v>40,000G-60,000G</v>
      </c>
      <c r="B4" s="32" t="str">
        <f>IFERROR(__xludf.DUMMYFUNCTION("""COMPUTED_VALUE"""),"roll a d20 to determine amount")</f>
        <v>roll a d20 to determine amount</v>
      </c>
      <c r="C4" s="32"/>
      <c r="D4" s="32"/>
      <c r="E4" s="32"/>
      <c r="F4" s="32"/>
      <c r="G4" s="32"/>
      <c r="H4" s="32"/>
      <c r="I4" s="32"/>
      <c r="J4" s="32"/>
      <c r="K4" s="32"/>
      <c r="L4" s="32"/>
      <c r="M4" s="32"/>
      <c r="N4" s="32"/>
      <c r="O4" s="32"/>
      <c r="P4" s="32"/>
      <c r="Q4" s="32"/>
      <c r="R4" s="32"/>
      <c r="S4" s="32"/>
      <c r="T4" s="32"/>
      <c r="U4" s="32"/>
      <c r="V4" s="32"/>
      <c r="W4" s="32"/>
      <c r="X4" s="32"/>
      <c r="Y4" s="32"/>
      <c r="Z4" s="32"/>
    </row>
    <row r="5">
      <c r="A5" s="32" t="str">
        <f>IFERROR(__xludf.DUMMYFUNCTION("""COMPUTED_VALUE"""),"60,000G-80,000G")</f>
        <v>60,000G-80,000G</v>
      </c>
      <c r="B5" s="32" t="str">
        <f>IFERROR(__xludf.DUMMYFUNCTION("""COMPUTED_VALUE"""),"roll a d20 to determine amount")</f>
        <v>roll a d20 to determine amount</v>
      </c>
      <c r="C5" s="32"/>
      <c r="D5" s="32"/>
      <c r="E5" s="32"/>
      <c r="F5" s="32"/>
      <c r="G5" s="32"/>
      <c r="H5" s="32"/>
      <c r="I5" s="32"/>
      <c r="J5" s="32"/>
      <c r="K5" s="32"/>
      <c r="L5" s="32"/>
      <c r="M5" s="32"/>
      <c r="N5" s="32"/>
      <c r="O5" s="32"/>
      <c r="P5" s="32"/>
      <c r="Q5" s="32"/>
      <c r="R5" s="32"/>
      <c r="S5" s="32"/>
      <c r="T5" s="32"/>
      <c r="U5" s="32"/>
      <c r="V5" s="32"/>
      <c r="W5" s="32"/>
      <c r="X5" s="32"/>
      <c r="Y5" s="32"/>
      <c r="Z5" s="32"/>
    </row>
    <row r="6">
      <c r="A6" s="32" t="str">
        <f>IFERROR(__xludf.DUMMYFUNCTION("""COMPUTED_VALUE"""),"80,000G-100,000G")</f>
        <v>80,000G-100,000G</v>
      </c>
      <c r="B6" s="32" t="str">
        <f>IFERROR(__xludf.DUMMYFUNCTION("""COMPUTED_VALUE"""),"roll a d20 to determine amount")</f>
        <v>roll a d20 to determine amount</v>
      </c>
      <c r="C6" s="32"/>
      <c r="D6" s="32"/>
      <c r="E6" s="32"/>
      <c r="F6" s="32"/>
      <c r="G6" s="32"/>
      <c r="H6" s="32"/>
      <c r="I6" s="32"/>
      <c r="J6" s="32"/>
      <c r="K6" s="32"/>
      <c r="L6" s="32"/>
      <c r="M6" s="32"/>
      <c r="N6" s="32"/>
      <c r="O6" s="32"/>
      <c r="P6" s="32"/>
      <c r="Q6" s="32"/>
      <c r="R6" s="32"/>
      <c r="S6" s="32"/>
      <c r="T6" s="32"/>
      <c r="U6" s="32"/>
      <c r="V6" s="32"/>
      <c r="W6" s="32"/>
      <c r="X6" s="32"/>
      <c r="Y6" s="32"/>
      <c r="Z6" s="32"/>
    </row>
    <row r="7">
      <c r="A7" s="32" t="str">
        <f>IFERROR(__xludf.DUMMYFUNCTION("""COMPUTED_VALUE"""),"500,000G-1,000,000G")</f>
        <v>500,000G-1,000,000G</v>
      </c>
      <c r="B7" s="32" t="str">
        <f>IFERROR(__xludf.DUMMYFUNCTION("""COMPUTED_VALUE"""),"roll a d5 to determine amount")</f>
        <v>roll a d5 to determine amount</v>
      </c>
      <c r="C7" s="32"/>
      <c r="D7" s="32"/>
      <c r="E7" s="32"/>
      <c r="F7" s="32"/>
      <c r="G7" s="32"/>
      <c r="H7" s="32"/>
      <c r="I7" s="32"/>
      <c r="J7" s="32"/>
      <c r="K7" s="32"/>
      <c r="L7" s="32"/>
      <c r="M7" s="32"/>
      <c r="N7" s="32"/>
      <c r="O7" s="32"/>
      <c r="P7" s="32"/>
      <c r="Q7" s="32"/>
      <c r="R7" s="32"/>
      <c r="S7" s="32"/>
      <c r="T7" s="32"/>
      <c r="U7" s="32"/>
      <c r="V7" s="32"/>
      <c r="W7" s="32"/>
      <c r="X7" s="32"/>
      <c r="Y7" s="32"/>
      <c r="Z7" s="32"/>
    </row>
    <row r="8">
      <c r="A8" s="32" t="str">
        <f>IFERROR(__xludf.DUMMYFUNCTION("""COMPUTED_VALUE"""),"1,000,000G-20,000,000G")</f>
        <v>1,000,000G-20,000,000G</v>
      </c>
      <c r="B8" s="32" t="str">
        <f>IFERROR(__xludf.DUMMYFUNCTION("""COMPUTED_VALUE"""),"roll a d20 to determine amount")</f>
        <v>roll a d20 to determine amount</v>
      </c>
      <c r="C8" s="32"/>
      <c r="D8" s="32"/>
      <c r="E8" s="32"/>
      <c r="F8" s="32"/>
      <c r="G8" s="32"/>
      <c r="H8" s="32"/>
      <c r="I8" s="32"/>
      <c r="J8" s="32"/>
      <c r="K8" s="32"/>
      <c r="L8" s="32"/>
      <c r="M8" s="32"/>
      <c r="N8" s="32"/>
      <c r="O8" s="32"/>
      <c r="P8" s="32"/>
      <c r="Q8" s="32"/>
      <c r="R8" s="32"/>
      <c r="S8" s="32"/>
      <c r="T8" s="32"/>
      <c r="U8" s="32"/>
      <c r="V8" s="32"/>
      <c r="W8" s="32"/>
      <c r="X8" s="32"/>
      <c r="Y8" s="32"/>
      <c r="Z8" s="32"/>
    </row>
    <row r="9">
      <c r="A9" s="32" t="str">
        <f>IFERROR(__xludf.DUMMYFUNCTION("""COMPUTED_VALUE"""),"20,000,000G-40,000,000G")</f>
        <v>20,000,000G-40,000,000G</v>
      </c>
      <c r="B9" s="32" t="str">
        <f>IFERROR(__xludf.DUMMYFUNCTION("""COMPUTED_VALUE"""),"roll a d20 to determine amount")</f>
        <v>roll a d20 to determine amount</v>
      </c>
      <c r="C9" s="32"/>
      <c r="D9" s="32"/>
      <c r="E9" s="32"/>
      <c r="F9" s="32"/>
      <c r="G9" s="32"/>
      <c r="H9" s="32"/>
      <c r="I9" s="32"/>
      <c r="J9" s="32"/>
      <c r="K9" s="32"/>
      <c r="L9" s="32"/>
      <c r="M9" s="32"/>
      <c r="N9" s="32"/>
      <c r="O9" s="32"/>
      <c r="P9" s="32"/>
      <c r="Q9" s="32"/>
      <c r="R9" s="32"/>
      <c r="S9" s="32"/>
      <c r="T9" s="32"/>
      <c r="U9" s="32"/>
      <c r="V9" s="32"/>
      <c r="W9" s="32"/>
      <c r="X9" s="32"/>
      <c r="Y9" s="32"/>
      <c r="Z9" s="32"/>
    </row>
    <row r="10">
      <c r="A10" s="32" t="str">
        <f>IFERROR(__xludf.DUMMYFUNCTION("""COMPUTED_VALUE"""),"40,000,000G-60,000,000G")</f>
        <v>40,000,000G-60,000,000G</v>
      </c>
      <c r="B10" s="32" t="str">
        <f>IFERROR(__xludf.DUMMYFUNCTION("""COMPUTED_VALUE"""),"roll a d20 to determine amount")</f>
        <v>roll a d20 to determine amount</v>
      </c>
      <c r="C10" s="32"/>
      <c r="D10" s="32"/>
      <c r="E10" s="32"/>
      <c r="F10" s="32"/>
      <c r="G10" s="32"/>
      <c r="H10" s="32"/>
      <c r="I10" s="32"/>
      <c r="J10" s="32"/>
      <c r="K10" s="32"/>
      <c r="L10" s="32"/>
      <c r="M10" s="32"/>
      <c r="N10" s="32"/>
      <c r="O10" s="32"/>
      <c r="P10" s="32"/>
      <c r="Q10" s="32"/>
      <c r="R10" s="32"/>
      <c r="S10" s="32"/>
      <c r="T10" s="32"/>
      <c r="U10" s="32"/>
      <c r="V10" s="32"/>
      <c r="W10" s="32"/>
      <c r="X10" s="32"/>
      <c r="Y10" s="32"/>
      <c r="Z10" s="32"/>
    </row>
    <row r="11">
      <c r="A11" s="32" t="str">
        <f>IFERROR(__xludf.DUMMYFUNCTION("""COMPUTED_VALUE"""),"60,000,000G-80,000,000G")</f>
        <v>60,000,000G-80,000,000G</v>
      </c>
      <c r="B11" s="32" t="str">
        <f>IFERROR(__xludf.DUMMYFUNCTION("""COMPUTED_VALUE"""),"roll a d20 to determine amount")</f>
        <v>roll a d20 to determine amount</v>
      </c>
      <c r="C11" s="32"/>
      <c r="D11" s="32"/>
      <c r="E11" s="32"/>
      <c r="F11" s="32"/>
      <c r="G11" s="32"/>
      <c r="H11" s="32"/>
      <c r="I11" s="32"/>
      <c r="J11" s="32"/>
      <c r="K11" s="32"/>
      <c r="L11" s="32"/>
      <c r="M11" s="32"/>
      <c r="N11" s="32"/>
      <c r="O11" s="32"/>
      <c r="P11" s="32"/>
      <c r="Q11" s="32"/>
      <c r="R11" s="32"/>
      <c r="S11" s="32"/>
      <c r="T11" s="32"/>
      <c r="U11" s="32"/>
      <c r="V11" s="32"/>
      <c r="W11" s="32"/>
      <c r="X11" s="32"/>
      <c r="Y11" s="32"/>
      <c r="Z11" s="32"/>
    </row>
    <row r="12">
      <c r="A12" s="32" t="str">
        <f>IFERROR(__xludf.DUMMYFUNCTION("""COMPUTED_VALUE"""),"80,000,000G-100,000,000G")</f>
        <v>80,000,000G-100,000,000G</v>
      </c>
      <c r="B12" s="32" t="str">
        <f>IFERROR(__xludf.DUMMYFUNCTION("""COMPUTED_VALUE"""),"roll a d20 to determine amount")</f>
        <v>roll a d20 to determine amount</v>
      </c>
      <c r="C12" s="32"/>
      <c r="D12" s="32"/>
      <c r="E12" s="32"/>
      <c r="F12" s="32"/>
      <c r="G12" s="32"/>
      <c r="H12" s="32"/>
      <c r="I12" s="32"/>
      <c r="J12" s="32"/>
      <c r="K12" s="32"/>
      <c r="L12" s="32"/>
      <c r="M12" s="32"/>
      <c r="N12" s="32"/>
      <c r="O12" s="32"/>
      <c r="P12" s="32"/>
      <c r="Q12" s="32"/>
      <c r="R12" s="32"/>
      <c r="S12" s="32"/>
      <c r="T12" s="32"/>
      <c r="U12" s="32"/>
      <c r="V12" s="32"/>
      <c r="W12" s="32"/>
      <c r="X12" s="32"/>
      <c r="Y12" s="32"/>
      <c r="Z12" s="32"/>
    </row>
    <row r="13">
      <c r="A13" s="32" t="str">
        <f>IFERROR(__xludf.DUMMYFUNCTION("""COMPUTED_VALUE"""),"100,000,000G-500,000,000G")</f>
        <v>100,000,000G-500,000,000G</v>
      </c>
      <c r="B13" s="32" t="str">
        <f>IFERROR(__xludf.DUMMYFUNCTION("""COMPUTED_VALUE"""),"roll a d20 to determine amount")</f>
        <v>roll a d20 to determine amount</v>
      </c>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t="str">
        <f>IFERROR(__xludf.DUMMYFUNCTION("""COMPUTED_VALUE"""),"500,000,000G-1,000,000,000G")</f>
        <v>500,000,000G-1,000,000,000G</v>
      </c>
      <c r="B14" s="32" t="str">
        <f>IFERROR(__xludf.DUMMYFUNCTION("""COMPUTED_VALUE"""),"roll a d5 to determine amount")</f>
        <v>roll a d5 to determine amount</v>
      </c>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t="str">
        <f>IFERROR(__xludf.DUMMYFUNCTION("""COMPUTED_VALUE"""),"1,000UC-20,000UC")</f>
        <v>1,000UC-20,000UC</v>
      </c>
      <c r="B15" s="32" t="str">
        <f>IFERROR(__xludf.DUMMYFUNCTION("""COMPUTED_VALUE"""),"roll a d20 to determine amount")</f>
        <v>roll a d20 to determine amount</v>
      </c>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t="str">
        <f>IFERROR(__xludf.DUMMYFUNCTION("""COMPUTED_VALUE"""),"20,000UC-40,000UC")</f>
        <v>20,000UC-40,000UC</v>
      </c>
      <c r="B16" s="32" t="str">
        <f>IFERROR(__xludf.DUMMYFUNCTION("""COMPUTED_VALUE"""),"roll a d20 to determine amount")</f>
        <v>roll a d20 to determine amount</v>
      </c>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t="str">
        <f>IFERROR(__xludf.DUMMYFUNCTION("""COMPUTED_VALUE"""),"40,000UC-60,000UC")</f>
        <v>40,000UC-60,000UC</v>
      </c>
      <c r="B17" s="32" t="str">
        <f>IFERROR(__xludf.DUMMYFUNCTION("""COMPUTED_VALUE"""),"roll a d20 to determine amount")</f>
        <v>roll a d20 to determine amount</v>
      </c>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t="str">
        <f>IFERROR(__xludf.DUMMYFUNCTION("""COMPUTED_VALUE"""),"60,000UC-80,000UC")</f>
        <v>60,000UC-80,000UC</v>
      </c>
      <c r="B18" s="32" t="str">
        <f>IFERROR(__xludf.DUMMYFUNCTION("""COMPUTED_VALUE"""),"roll a d20 to determine amount")</f>
        <v>roll a d20 to determine amount</v>
      </c>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t="str">
        <f>IFERROR(__xludf.DUMMYFUNCTION("""COMPUTED_VALUE"""),"80,000G-100,000UC")</f>
        <v>80,000G-100,000UC</v>
      </c>
      <c r="B19" s="32" t="str">
        <f>IFERROR(__xludf.DUMMYFUNCTION("""COMPUTED_VALUE"""),"roll a d20 to determine amount")</f>
        <v>roll a d20 to determine amount</v>
      </c>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t="str">
        <f>IFERROR(__xludf.DUMMYFUNCTION("""COMPUTED_VALUE"""),"500,000G-1,000,000UC")</f>
        <v>500,000G-1,000,000UC</v>
      </c>
      <c r="B20" s="32" t="str">
        <f>IFERROR(__xludf.DUMMYFUNCTION("""COMPUTED_VALUE"""),"roll a d6 to determine amount")</f>
        <v>roll a d6 to determine amount</v>
      </c>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t="str">
        <f>IFERROR(__xludf.DUMMYFUNCTION("""COMPUTED_VALUE"""),"1,000,000UC-20,000,000UC")</f>
        <v>1,000,000UC-20,000,000UC</v>
      </c>
      <c r="B21" s="32" t="str">
        <f>IFERROR(__xludf.DUMMYFUNCTION("""COMPUTED_VALUE"""),"roll a d20 to determine amount")</f>
        <v>roll a d20 to determine amount</v>
      </c>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t="str">
        <f>IFERROR(__xludf.DUMMYFUNCTION("""COMPUTED_VALUE"""),"20,000,000UC-40,000,000UC")</f>
        <v>20,000,000UC-40,000,000UC</v>
      </c>
      <c r="B22" s="32" t="str">
        <f>IFERROR(__xludf.DUMMYFUNCTION("""COMPUTED_VALUE"""),"roll a d20 to determine amount")</f>
        <v>roll a d20 to determine amount</v>
      </c>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t="str">
        <f>IFERROR(__xludf.DUMMYFUNCTION("""COMPUTED_VALUE"""),"40,000,000UC-60,000,000UC")</f>
        <v>40,000,000UC-60,000,000UC</v>
      </c>
      <c r="B23" s="32" t="str">
        <f>IFERROR(__xludf.DUMMYFUNCTION("""COMPUTED_VALUE"""),"roll a d20 to determine amount")</f>
        <v>roll a d20 to determine amount</v>
      </c>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t="str">
        <f>IFERROR(__xludf.DUMMYFUNCTION("""COMPUTED_VALUE"""),"60,000,000UC-80,000,000UC")</f>
        <v>60,000,000UC-80,000,000UC</v>
      </c>
      <c r="B24" s="32" t="str">
        <f>IFERROR(__xludf.DUMMYFUNCTION("""COMPUTED_VALUE"""),"roll a d20 to determine amount")</f>
        <v>roll a d20 to determine amount</v>
      </c>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t="str">
        <f>IFERROR(__xludf.DUMMYFUNCTION("""COMPUTED_VALUE"""),"80,000,000UC-100,000,000UC")</f>
        <v>80,000,000UC-100,000,000UC</v>
      </c>
      <c r="B25" s="32" t="str">
        <f>IFERROR(__xludf.DUMMYFUNCTION("""COMPUTED_VALUE"""),"roll a d20 to determine amount")</f>
        <v>roll a d20 to determine amount</v>
      </c>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t="str">
        <f>IFERROR(__xludf.DUMMYFUNCTION("""COMPUTED_VALUE"""),"100,000,000UC-500,000,000UC")</f>
        <v>100,000,000UC-500,000,000UC</v>
      </c>
      <c r="B26" s="32" t="str">
        <f>IFERROR(__xludf.DUMMYFUNCTION("""COMPUTED_VALUE"""),"roll a d6 to determine amount")</f>
        <v>roll a d6 to determine amount</v>
      </c>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t="str">
        <f>IFERROR(__xludf.DUMMYFUNCTION("""COMPUTED_VALUE"""),"500,000,000UC-1,000,000,000UC")</f>
        <v>500,000,000UC-1,000,000,000UC</v>
      </c>
      <c r="B27" s="32" t="str">
        <f>IFERROR(__xludf.DUMMYFUNCTION("""COMPUTED_VALUE"""),"roll a d6 to determine amount")</f>
        <v>roll a d6 to determine amount</v>
      </c>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t="str">
        <f>IFERROR(__xludf.DUMMYFUNCTION("""COMPUTED_VALUE"""),"Egg")</f>
        <v>Egg</v>
      </c>
      <c r="B28" s="32" t="str">
        <f>IFERROR(__xludf.DUMMYFUNCTION("""COMPUTED_VALUE"""),"Will hatch in X/X days.")</f>
        <v>Will hatch in X/X days.</v>
      </c>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t="str">
        <f>IFERROR(__xludf.DUMMYFUNCTION("""COMPUTED_VALUE"""),"1,000SC-20,000SC")</f>
        <v>1,000SC-20,000SC</v>
      </c>
      <c r="B29" s="32" t="str">
        <f>IFERROR(__xludf.DUMMYFUNCTION("""COMPUTED_VALUE"""),"roll a d20 to determine amount")</f>
        <v>roll a d20 to determine amount</v>
      </c>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t="str">
        <f>IFERROR(__xludf.DUMMYFUNCTION("""COMPUTED_VALUE"""),"20,000GSC-40,000SC")</f>
        <v>20,000GSC-40,000SC</v>
      </c>
      <c r="B30" s="32" t="str">
        <f>IFERROR(__xludf.DUMMYFUNCTION("""COMPUTED_VALUE"""),"roll a d20 to determine amount")</f>
        <v>roll a d20 to determine amount</v>
      </c>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t="str">
        <f>IFERROR(__xludf.DUMMYFUNCTION("""COMPUTED_VALUE"""),"40,000SC-60,000SC")</f>
        <v>40,000SC-60,000SC</v>
      </c>
      <c r="B31" s="32" t="str">
        <f>IFERROR(__xludf.DUMMYFUNCTION("""COMPUTED_VALUE"""),"roll a d20 to determine amount")</f>
        <v>roll a d20 to determine amount</v>
      </c>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t="str">
        <f>IFERROR(__xludf.DUMMYFUNCTION("""COMPUTED_VALUE"""),"60,000SC-80,000SC")</f>
        <v>60,000SC-80,000SC</v>
      </c>
      <c r="B32" s="32" t="str">
        <f>IFERROR(__xludf.DUMMYFUNCTION("""COMPUTED_VALUE"""),"roll a d20 to determine amount")</f>
        <v>roll a d20 to determine amount</v>
      </c>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t="str">
        <f>IFERROR(__xludf.DUMMYFUNCTION("""COMPUTED_VALUE"""),"80,000SC-100,000SC")</f>
        <v>80,000SC-100,000SC</v>
      </c>
      <c r="B33" s="32" t="str">
        <f>IFERROR(__xludf.DUMMYFUNCTION("""COMPUTED_VALUE"""),"roll a d20 to determine amount")</f>
        <v>roll a d20 to determine amount</v>
      </c>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t="str">
        <f>IFERROR(__xludf.DUMMYFUNCTION("""COMPUTED_VALUE"""),"500,000SC-1,000,000SC")</f>
        <v>500,000SC-1,000,000SC</v>
      </c>
      <c r="B34" s="32" t="str">
        <f>IFERROR(__xludf.DUMMYFUNCTION("""COMPUTED_VALUE"""),"roll a d5 to determine amount")</f>
        <v>roll a d5 to determine amount</v>
      </c>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t="str">
        <f>IFERROR(__xludf.DUMMYFUNCTION("""COMPUTED_VALUE"""),"""Hellfire Club"" Vest of Metal Harmony's")</f>
        <v>"Hellfire Club" Vest of Metal Harmony's</v>
      </c>
      <c r="B37" s="32" t="str">
        <f>IFERROR(__xludf.DUMMYFUNCTION("""COMPUTED_VALUE""")," () lvl:200, DEF: +10000 ++When dealing damage with an instrument you will regain sp equal to the damage you caused.")</f>
        <v> () lvl:200, DEF: +10000 ++When dealing damage with an instrument you will regain sp equal to the damage you caused.</v>
      </c>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t="str">
        <f>IFERROR(__xludf.DUMMYFUNCTION("""COMPUTED_VALUE"""),"""Sweetheart"" Guitar of The Upside Down")</f>
        <v>"Sweetheart" Guitar of The Upside Down</v>
      </c>
      <c r="B38" s="32" t="str">
        <f>IFERROR(__xludf.DUMMYFUNCTION("""COMPUTED_VALUE""")," (Instrument) lvl:200, DMG: +2500, Fire DMG: +2500, Dark DMG: +2500, Chaos DMG: +2500 ++This instrument will deal X2 damage while it's equipped. ++Any spells that deal damage for the user will now do an additional X2. ++25% chance to port the target you h"&amp;"it to a random location.")</f>
        <v> (Instrument) lvl:200, DMG: +2500, Fire DMG: +2500, Dark DMG: +2500, Chaos DMG: +2500 ++This instrument will deal X2 damage while it's equipped. ++Any spells that deal damage for the user will now do an additional X2. ++25% chance to port the target you hit to a random location.</v>
      </c>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t="str">
        <f>IFERROR(__xludf.DUMMYFUNCTION("""COMPUTED_VALUE"""),"Alpha Sword")</f>
        <v>Alpha Sword</v>
      </c>
      <c r="B39" s="32" t="str">
        <f>IFERROR(__xludf.DUMMYFUNCTION("""COMPUTED_VALUE""")," (Sword) lvl:4000, DMG: +100000, Dark DMG: +100000 ++If you kill an enemy using this weapon you may attack another enemy once more using this weapon on the same turn but this can only be done once per turn.")</f>
        <v> (Sword) lvl:4000, DMG: +100000, Dark DMG: +100000 ++If you kill an enemy using this weapon you may attack another enemy once more using this weapon on the same turn but this can only be done once per turn.</v>
      </c>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t="str">
        <f>IFERROR(__xludf.DUMMYFUNCTION("""COMPUTED_VALUE"""),"Ancient Colossus Forest Hammer")</f>
        <v>Ancient Colossus Forest Hammer</v>
      </c>
      <c r="B40" s="32" t="str">
        <f>IFERROR(__xludf.DUMMYFUNCTION("""COMPUTED_VALUE""")," (Club) lvl:700, DMG: +25000, Nature DMG: +10000 ++When in a Natural environment all attacks with this weapon will roll twice and take the higher number")</f>
        <v> (Club) lvl:700, DMG: +25000, Nature DMG: +10000 ++When in a Natural environment all attacks with this weapon will roll twice and take the higher number</v>
      </c>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t="str">
        <f>IFERROR(__xludf.DUMMYFUNCTION("""COMPUTED_VALUE"""),"Ancient Samurai Sword")</f>
        <v>Ancient Samurai Sword</v>
      </c>
      <c r="B41" s="32" t="str">
        <f>IFERROR(__xludf.DUMMYFUNCTION("""COMPUTED_VALUE""")," (Sword) lvl:800, DMG: +10000, Fire DMG: +10000, Light DMG: +10000, Order DMG: +10000 ++Doubles the chance for the Sword ability to activate")</f>
        <v> (Sword) lvl:800, DMG: +10000, Fire DMG: +10000, Light DMG: +10000, Order DMG: +10000 ++Doubles the chance for the Sword ability to activate</v>
      </c>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t="str">
        <f>IFERROR(__xludf.DUMMYFUNCTION("""COMPUTED_VALUE"""),"Ancient Stone Guardians Sword")</f>
        <v>Ancient Stone Guardians Sword</v>
      </c>
      <c r="B42" s="32" t="str">
        <f>IFERROR(__xludf.DUMMYFUNCTION("""COMPUTED_VALUE""")," (Sword) lvl:1200, DMG: +20000, Earth DMG: +20000, Light DMG: +20000 ++X2 Defense for all allies")</f>
        <v> (Sword) lvl:1200, DMG: +20000, Earth DMG: +20000, Light DMG: +20000 ++X2 Defense for all allies</v>
      </c>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t="str">
        <f>IFERROR(__xludf.DUMMYFUNCTION("""COMPUTED_VALUE"""),"Aqua Robe")</f>
        <v>Aqua Robe</v>
      </c>
      <c r="B43" s="32" t="str">
        <f>IFERROR(__xludf.DUMMYFUNCTION("""COMPUTED_VALUE""")," () lvl:40, DEF: +1000, Water DEF: +1000 ++X4 damage additional water damage for the user.")</f>
        <v> () lvl:40, DEF: +1000, Water DEF: +1000 ++X4 damage additional water damage for the user.</v>
      </c>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t="str">
        <f>IFERROR(__xludf.DUMMYFUNCTION("""COMPUTED_VALUE"""),"Aquatic Boots of Atlantis")</f>
        <v>Aquatic Boots of Atlantis</v>
      </c>
      <c r="B44" s="32" t="str">
        <f>IFERROR(__xludf.DUMMYFUNCTION("""COMPUTED_VALUE""")," () lvl:300, DEF: +7500, Water DEF: +7500 ++X6 additional water damage for self.")</f>
        <v> () lvl:300, DEF: +7500, Water DEF: +7500 ++X6 additional water damage for self.</v>
      </c>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t="str">
        <f>IFERROR(__xludf.DUMMYFUNCTION("""COMPUTED_VALUE"""),"Aquatic Chestplate of Atlantis")</f>
        <v>Aquatic Chestplate of Atlantis</v>
      </c>
      <c r="B45" s="32" t="str">
        <f>IFERROR(__xludf.DUMMYFUNCTION("""COMPUTED_VALUE""")," () lvl:600, DEF: +15000, Water DEF: +15000 ++X6 additional water damage for self.  ++X8 Defense for self and allies if you have all Aquatic Atlantis Equipment Equipped.")</f>
        <v> () lvl:600, DEF: +15000, Water DEF: +15000 ++X6 additional water damage for self.  ++X8 Defense for self and allies if you have all Aquatic Atlantis Equipment Equipped.</v>
      </c>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t="str">
        <f>IFERROR(__xludf.DUMMYFUNCTION("""COMPUTED_VALUE"""),"Aquatic Greaves of Atlantis")</f>
        <v>Aquatic Greaves of Atlantis</v>
      </c>
      <c r="B46" s="32" t="str">
        <f>IFERROR(__xludf.DUMMYFUNCTION("""COMPUTED_VALUE""")," () lvl:300, DEF: +7500, Water DEF: +7500 ++X6 additional water damage for self.")</f>
        <v> () lvl:300, DEF: +7500, Water DEF: +7500 ++X6 additional water damage for self.</v>
      </c>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t="str">
        <f>IFERROR(__xludf.DUMMYFUNCTION("""COMPUTED_VALUE"""),"Aquatic Helmet of Atlantis")</f>
        <v>Aquatic Helmet of Atlantis</v>
      </c>
      <c r="B47" s="32" t="str">
        <f>IFERROR(__xludf.DUMMYFUNCTION("""COMPUTED_VALUE""")," () lvl:300, DEF: +7500, Water DEF: +7500 ++X6 additional water damage for self.")</f>
        <v> () lvl:300, DEF: +7500, Water DEF: +7500 ++X6 additional water damage for self.</v>
      </c>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t="str">
        <f>IFERROR(__xludf.DUMMYFUNCTION("""COMPUTED_VALUE"""),"Aquatic Pauldrons of Atlantis")</f>
        <v>Aquatic Pauldrons of Atlantis</v>
      </c>
      <c r="B48" s="32" t="str">
        <f>IFERROR(__xludf.DUMMYFUNCTION("""COMPUTED_VALUE""")," () lvl:300, DEF: +7500, Water DEF: +7500 ++X6 additional water damage for self.")</f>
        <v> () lvl:300, DEF: +7500, Water DEF: +7500 ++X6 additional water damage for self.</v>
      </c>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t="str">
        <f>IFERROR(__xludf.DUMMYFUNCTION("""COMPUTED_VALUE"""),"Aquatic Sword of Atlantis")</f>
        <v>Aquatic Sword of Atlantis</v>
      </c>
      <c r="B49" s="32" t="str">
        <f>IFERROR(__xludf.DUMMYFUNCTION("""COMPUTED_VALUE""")," (Sword) lvl:1200, DMG: +30000, Water DMG: +30000 ++X6 additional water damage for self, ++Tides of Atlantis: Upon a successful hit this weapon has a 50% chance to cast Tsunami for no sp cost. Cannot be duplicated.")</f>
        <v> (Sword) lvl:1200, DMG: +30000, Water DMG: +30000 ++X6 additional water damage for self, ++Tides of Atlantis: Upon a successful hit this weapon has a 50% chance to cast Tsunami for no sp cost. Cannot be duplicated.</v>
      </c>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t="str">
        <f>IFERROR(__xludf.DUMMYFUNCTION("""COMPUTED_VALUE"""),"Aquatic Vambraces of Atlantis")</f>
        <v>Aquatic Vambraces of Atlantis</v>
      </c>
      <c r="B50" s="32" t="str">
        <f>IFERROR(__xludf.DUMMYFUNCTION("""COMPUTED_VALUE""")," () lvl:300, DEF: +7500, Water DEF: +7500 X6 additional water damage for self.")</f>
        <v> () lvl:300, DEF: +7500, Water DEF: +7500 X6 additional water damage for self.</v>
      </c>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t="str">
        <f>IFERROR(__xludf.DUMMYFUNCTION("""COMPUTED_VALUE"""),"Archer’s Cloaked Vest")</f>
        <v>Archer’s Cloaked Vest</v>
      </c>
      <c r="B51" s="32" t="str">
        <f>IFERROR(__xludf.DUMMYFUNCTION("""COMPUTED_VALUE""")," () lvl:20, DEF: +800 (Ranger Set) ++Half the Arrow - Range Spells cost half the sp cost, ++Ranger Enrage - All Ranged Spells do double in damage ++only archers can equip")</f>
        <v> () lvl:20, DEF: +800 (Ranger Set) ++Half the Arrow - Range Spells cost half the sp cost, ++Ranger Enrage - All Ranged Spells do double in damage ++only archers can equip</v>
      </c>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t="str">
        <f>IFERROR(__xludf.DUMMYFUNCTION("""COMPUTED_VALUE"""),"Archers Boots")</f>
        <v>Archers Boots</v>
      </c>
      <c r="B52" s="32" t="str">
        <f>IFERROR(__xludf.DUMMYFUNCTION("""COMPUTED_VALUE""")," () lvl:1, : + (Ranger Set) ++5 evasion ++Only archers can equip, +-Cannot be duplicated or forged.")</f>
        <v> () lvl:1, : + (Ranger Set) ++5 evasion ++Only archers can equip, +-Cannot be duplicated or forged.</v>
      </c>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t="str">
        <f>IFERROR(__xludf.DUMMYFUNCTION("""COMPUTED_VALUE"""),"Archers Cloak")</f>
        <v>Archers Cloak</v>
      </c>
      <c r="B53" s="32" t="str">
        <f>IFERROR(__xludf.DUMMYFUNCTION("""COMPUTED_VALUE""")," () lvl:1, : + (Ranger Set) ++Ranged Spells cost half the sp cost ++Only archers can equip")</f>
        <v> () lvl:1, : + (Ranger Set) ++Ranged Spells cost half the sp cost ++Only archers can equip</v>
      </c>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t="str">
        <f>IFERROR(__xludf.DUMMYFUNCTION("""COMPUTED_VALUE"""),"Armor Of Cthulhu")</f>
        <v>Armor Of Cthulhu</v>
      </c>
      <c r="B54" s="32" t="str">
        <f>IFERROR(__xludf.DUMMYFUNCTION("""COMPUTED_VALUE""")," () lvl:400, DEF: +20000 (Cthulhu Set) ++Curse of Cthulhu - When the wearer takes damage the wearer will gain half the damage back as HP and SP.")</f>
        <v> () lvl:400, DEF: +20000 (Cthulhu Set) ++Curse of Cthulhu - When the wearer takes damage the wearer will gain half the damage back as HP and SP.</v>
      </c>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t="str">
        <f>IFERROR(__xludf.DUMMYFUNCTION("""COMPUTED_VALUE"""),"Armor Of Zeldron")</f>
        <v>Armor Of Zeldron</v>
      </c>
      <c r="B55" s="32" t="str">
        <f>IFERROR(__xludf.DUMMYFUNCTION("""COMPUTED_VALUE"""),"Made of gold () lvl:400, DEF: +10000, Order DEF: +10000")</f>
        <v>Made of gold () lvl:400, DEF: +10000, Order DEF: +10000</v>
      </c>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t="str">
        <f>IFERROR(__xludf.DUMMYFUNCTION("""COMPUTED_VALUE"""),"Ashen Pole Axe")</f>
        <v>Ashen Pole Axe</v>
      </c>
      <c r="B56" s="32" t="str">
        <f>IFERROR(__xludf.DUMMYFUNCTION("""COMPUTED_VALUE""")," (Axe) lvl:20, DMG: +500, Fire DMG: +500 ++Inflicts Burn 500")</f>
        <v> (Axe) lvl:20, DMG: +500, Fire DMG: +500 ++Inflicts Burn 500</v>
      </c>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t="str">
        <f>IFERROR(__xludf.DUMMYFUNCTION("""COMPUTED_VALUE"""),"Bamboo Spear")</f>
        <v>Bamboo Spear</v>
      </c>
      <c r="B57" s="32" t="str">
        <f>IFERROR(__xludf.DUMMYFUNCTION("""COMPUTED_VALUE""")," (Spear) lvl:60, DMG: +1000, Nature DMG: +1000, Blood DMG: +1000 ++When striking an enemy with this weapon, they X2 additional Nature damage.")</f>
        <v> (Spear) lvl:60, DMG: +1000, Nature DMG: +1000, Blood DMG: +1000 ++When striking an enemy with this weapon, they X2 additional Nature damage.</v>
      </c>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t="str">
        <f>IFERROR(__xludf.DUMMYFUNCTION("""COMPUTED_VALUE"""),"Baosheng’s Restore Pendant")</f>
        <v>Baosheng’s Restore Pendant</v>
      </c>
      <c r="B58" s="32" t="str">
        <f>IFERROR(__xludf.DUMMYFUNCTION("""COMPUTED_VALUE""")," () lvl:1, : + ++Restores 100 HP and SP per round during battle.")</f>
        <v> () lvl:1, : + ++Restores 100 HP and SP per round during battle.</v>
      </c>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t="str">
        <f>IFERROR(__xludf.DUMMYFUNCTION("""COMPUTED_VALUE"""),"Basic Cannon")</f>
        <v>Basic Cannon</v>
      </c>
      <c r="B59" s="32" t="str">
        <f>IFERROR(__xludf.DUMMYFUNCTION("""COMPUTED_VALUE""")," (Firearm) lvl:400, DMG: +20000")</f>
        <v> (Firearm) lvl:400, DMG: +20000</v>
      </c>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t="str">
        <f>IFERROR(__xludf.DUMMYFUNCTION("""COMPUTED_VALUE"""),"Beltane Floral crown")</f>
        <v>Beltane Floral crown</v>
      </c>
      <c r="B60" s="32" t="str">
        <f>IFERROR(__xludf.DUMMYFUNCTION("""COMPUTED_VALUE""")," () lvl:1, : + ++Grants immunity to Nature.")</f>
        <v> () lvl:1, : + ++Grants immunity to Nature.</v>
      </c>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t="str">
        <f>IFERROR(__xludf.DUMMYFUNCTION("""COMPUTED_VALUE"""),"Beta Sword")</f>
        <v>Beta Sword</v>
      </c>
      <c r="B61" s="32" t="str">
        <f>IFERROR(__xludf.DUMMYFUNCTION("""COMPUTED_VALUE""")," () lvl:3000, DMG: +125000, Dark DMG: +25000 ++Allows you to use another party members companion on your turn as a second action.")</f>
        <v> () lvl:3000, DMG: +125000, Dark DMG: +25000 ++Allows you to use another party members companion on your turn as a second action.</v>
      </c>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t="str">
        <f>IFERROR(__xludf.DUMMYFUNCTION("""COMPUTED_VALUE"""),"Black Crystal Necklace of Luck")</f>
        <v>Black Crystal Necklace of Luck</v>
      </c>
      <c r="B62" s="32" t="str">
        <f>IFERROR(__xludf.DUMMYFUNCTION("""COMPUTED_VALUE""")," () lvl:1, : + ++Plus 2 is added to whatever number you roll on a d20 ++can only wear one, +-Cannot be forged or duplicated.")</f>
        <v> () lvl:1, : + ++Plus 2 is added to whatever number you roll on a d20 ++can only wear one, +-Cannot be forged or duplicated.</v>
      </c>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t="str">
        <f>IFERROR(__xludf.DUMMYFUNCTION("""COMPUTED_VALUE"""),"Black Serpent Dragon Pendant")</f>
        <v>Black Serpent Dragon Pendant</v>
      </c>
      <c r="B63" s="32" t="str">
        <f>IFERROR(__xludf.DUMMYFUNCTION("""COMPUTED_VALUE""")," () lvl:1, : + ++Immunity to dark and water damage. ++X2 additional dark and water damage for the wearer.")</f>
        <v> () lvl:1, : + ++Immunity to dark and water damage. ++X2 additional dark and water damage for the wearer.</v>
      </c>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t="str">
        <f>IFERROR(__xludf.DUMMYFUNCTION("""COMPUTED_VALUE"""),"Blade of Burning Energy")</f>
        <v>Blade of Burning Energy</v>
      </c>
      <c r="B64" s="32" t="str">
        <f>IFERROR(__xludf.DUMMYFUNCTION("""COMPUTED_VALUE""")," (Sword) lvl:400, DMG: +10000, Fire DMG: +10000 ++Burn 5000")</f>
        <v> (Sword) lvl:400, DMG: +10000, Fire DMG: +10000 ++Burn 5000</v>
      </c>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t="str">
        <f>IFERROR(__xludf.DUMMYFUNCTION("""COMPUTED_VALUE"""),"Blood Katana")</f>
        <v>Blood Katana</v>
      </c>
      <c r="B65" s="32" t="str">
        <f>IFERROR(__xludf.DUMMYFUNCTION("""COMPUTED_VALUE""")," (Sword) lvl:400, DMG: +10000, Blood DMG: +10000 ++X2 blood damage for spells and weapons. +-Cannot be duplicated.")</f>
        <v> (Sword) lvl:400, DMG: +10000, Blood DMG: +10000 ++X2 blood damage for spells and weapons. +-Cannot be duplicated.</v>
      </c>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t="str">
        <f>IFERROR(__xludf.DUMMYFUNCTION("""COMPUTED_VALUE"""),"Blue Steel Sword")</f>
        <v>Blue Steel Sword</v>
      </c>
      <c r="B66" s="32" t="str">
        <f>IFERROR(__xludf.DUMMYFUNCTION("""COMPUTED_VALUE""")," (Sword) lvl:40, DMG: +1000, Water DMG: +1000")</f>
        <v> (Sword) lvl:40, DMG: +1000, Water DMG: +1000</v>
      </c>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t="str">
        <f>IFERROR(__xludf.DUMMYFUNCTION("""COMPUTED_VALUE"""),"Blunderbuss (Exclusive)")</f>
        <v>Blunderbuss (Exclusive)</v>
      </c>
      <c r="B67" s="32" t="str">
        <f>IFERROR(__xludf.DUMMYFUNCTION("""COMPUTED_VALUE"""),"The feast enjoyed on the first Thanksgiving didn’t hunt itself! The Pilgrims had to forage and hunt before setting the table. You can count on the Blunderbuss to help you when times are rough. (Firearm) lvl:200, : +50000, Celestial : +50000 ++This weapon "&amp;"will deal x4 damage if you are using the turkey hydra companion. +-You must take a turn to reload this weapon after using it.")</f>
        <v>The feast enjoyed on the first Thanksgiving didn’t hunt itself! The Pilgrims had to forage and hunt before setting the table. You can count on the Blunderbuss to help you when times are rough. (Firearm) lvl:200, : +50000, Celestial : +50000 ++This weapon will deal x4 damage if you are using the turkey hydra companion. +-You must take a turn to reload this weapon after using it.</v>
      </c>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t="str">
        <f>IFERROR(__xludf.DUMMYFUNCTION("""COMPUTED_VALUE"""),"Bone Sword ")</f>
        <v>Bone Sword </v>
      </c>
      <c r="B68" s="32" t="str">
        <f>IFERROR(__xludf.DUMMYFUNCTION("""COMPUTED_VALUE""")," (Sword) lvl:300, DMG: +5000, Earth DMG: +5000, Dark DMG: +5000 ++X2 Earth damage. ")</f>
        <v> (Sword) lvl:300, DMG: +5000, Earth DMG: +5000, Dark DMG: +5000 ++X2 Earth damage. </v>
      </c>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t="str">
        <f>IFERROR(__xludf.DUMMYFUNCTION("""COMPUTED_VALUE"""),"Boots of Waking Waters")</f>
        <v>Boots of Waking Waters</v>
      </c>
      <c r="B69" s="32" t="str">
        <f>IFERROR(__xludf.DUMMYFUNCTION("""COMPUTED_VALUE""")," () lvl:200, DEF: +5000, Water DEF: +5000 ++X4 additional water damage for self.")</f>
        <v> () lvl:200, DEF: +5000, Water DEF: +5000 ++X4 additional water damage for self.</v>
      </c>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t="str">
        <f>IFERROR(__xludf.DUMMYFUNCTION("""COMPUTED_VALUE"""),"Bow of Chaotic Darkness")</f>
        <v>Bow of Chaotic Darkness</v>
      </c>
      <c r="B70" s="32" t="str">
        <f>IFERROR(__xludf.DUMMYFUNCTION("""COMPUTED_VALUE""")," (Bow) lvl:4400, DMG: +140000, Dark DMG: +40000, Chaos DMG: +40000 ++You may use up to 4 arrows with this bow.")</f>
        <v> (Bow) lvl:4400, DMG: +140000, Dark DMG: +40000, Chaos DMG: +40000 ++You may use up to 4 arrows with this bow.</v>
      </c>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t="str">
        <f>IFERROR(__xludf.DUMMYFUNCTION("""COMPUTED_VALUE"""),"Bow of Luck")</f>
        <v>Bow of Luck</v>
      </c>
      <c r="B71" s="32" t="str">
        <f>IFERROR(__xludf.DUMMYFUNCTION("""COMPUTED_VALUE""")," (Bow) lvl:3000, DMG: +150000 ++You may add mobility to your attack rolls as long as you are attacking with a bow. +-Cannot be forged")</f>
        <v> (Bow) lvl:3000, DMG: +150000 ++You may add mobility to your attack rolls as long as you are attacking with a bow. +-Cannot be forged</v>
      </c>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t="str">
        <f>IFERROR(__xludf.DUMMYFUNCTION("""COMPUTED_VALUE"""),"Bow of The Sacred Druids")</f>
        <v>Bow of The Sacred Druids</v>
      </c>
      <c r="B72" s="32" t="str">
        <f>IFERROR(__xludf.DUMMYFUNCTION("""COMPUTED_VALUE""")," (Bow) lvl:200, DMG: +5000, Nature DMG: +5000 ++Druids Call - X4 additional damage for ranged weapons.")</f>
        <v> (Bow) lvl:200, DMG: +5000, Nature DMG: +5000 ++Druids Call - X4 additional damage for ranged weapons.</v>
      </c>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t="str">
        <f>IFERROR(__xludf.DUMMYFUNCTION("""COMPUTED_VALUE"""),"Bo Staff Of Zhenmay")</f>
        <v>Bo Staff Of Zhenmay</v>
      </c>
      <c r="B73" s="32" t="str">
        <f>IFERROR(__xludf.DUMMYFUNCTION("""COMPUTED_VALUE""")," (Club) lvl:3000, DMG: +100000, Zen DMG: +50000 ++Blindness 2. ")</f>
        <v> (Club) lvl:3000, DMG: +100000, Zen DMG: +50000 ++Blindness 2. </v>
      </c>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t="str">
        <f>IFERROR(__xludf.DUMMYFUNCTION("""COMPUTED_VALUE"""),"Breezy Clothes")</f>
        <v>Breezy Clothes</v>
      </c>
      <c r="B74" s="32" t="str">
        <f>IFERROR(__xludf.DUMMYFUNCTION("""COMPUTED_VALUE""")," () lvl:1, : + ++While equipped, Take half damage from fire damage, But decrease water damage you deal by half. ")</f>
        <v> () lvl:1, : + ++While equipped, Take half damage from fire damage, But decrease water damage you deal by half. </v>
      </c>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t="str">
        <f>IFERROR(__xludf.DUMMYFUNCTION("""COMPUTED_VALUE"""),"Bright Flame Sword")</f>
        <v>Bright Flame Sword</v>
      </c>
      <c r="B75" s="32" t="str">
        <f>IFERROR(__xludf.DUMMYFUNCTION("""COMPUTED_VALUE""")," (Sword) lvl:300, DMG: +10000, Fire DMG: +5000")</f>
        <v> (Sword) lvl:300, DMG: +10000, Fire DMG: +5000</v>
      </c>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t="str">
        <f>IFERROR(__xludf.DUMMYFUNCTION("""COMPUTED_VALUE"""),"Broken Sword")</f>
        <v>Broken Sword</v>
      </c>
      <c r="B76" s="32" t="str">
        <f>IFERROR(__xludf.DUMMYFUNCTION("""COMPUTED_VALUE""")," (Knife) lvl:1, DMG: +1 ++ -1 evasion")</f>
        <v> (Knife) lvl:1, DMG: +1 ++ -1 evasion</v>
      </c>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t="str">
        <f>IFERROR(__xludf.DUMMYFUNCTION("""COMPUTED_VALUE"""),"Burning Broadsword")</f>
        <v>Burning Broadsword</v>
      </c>
      <c r="B77" s="32" t="str">
        <f>IFERROR(__xludf.DUMMYFUNCTION("""COMPUTED_VALUE""")," (Sword) lvl:200, DMG: +5000, Fire DMG: +5000 ++10,000 fire damage per round for 3 rounds.")</f>
        <v> (Sword) lvl:200, DMG: +5000, Fire DMG: +5000 ++10,000 fire damage per round for 3 rounds.</v>
      </c>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t="str">
        <f>IFERROR(__xludf.DUMMYFUNCTION("""COMPUTED_VALUE"""),"Candy Corn Necklace")</f>
        <v>Candy Corn Necklace</v>
      </c>
      <c r="B78" s="32" t="str">
        <f>IFERROR(__xludf.DUMMYFUNCTION("""COMPUTED_VALUE"""),"Halloween Exclusive () lvl:1, : + ++Gives Immunity to Dark and Chaos Damage, ++ +2 Intimidation.")</f>
        <v>Halloween Exclusive () lvl:1, : + ++Gives Immunity to Dark and Chaos Damage, ++ +2 Intimidation.</v>
      </c>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t="str">
        <f>IFERROR(__xludf.DUMMYFUNCTION("""COMPUTED_VALUE"""),"Candy Corn Rifle")</f>
        <v>Candy Corn Rifle</v>
      </c>
      <c r="B79" s="32" t="str">
        <f>IFERROR(__xludf.DUMMYFUNCTION("""COMPUTED_VALUE"""),"Halloween Exclusive (Firearm) lvl:200, DMG: +10000, Fire DMG: +10000, Dark DMG: +10000, Spirit DMG: +10000, Chaos DMG: +10000, Voodoo DMG: +10000, Blood DMG: +10000, Celestial DMG: +10000 ++Uses Candy Corn as Ammunition. ++Can use mobility when attacking "&amp;"with this weapon. +-Cannot be forged or duplicated. ")</f>
        <v>Halloween Exclusive (Firearm) lvl:200, DMG: +10000, Fire DMG: +10000, Dark DMG: +10000, Spirit DMG: +10000, Chaos DMG: +10000, Voodoo DMG: +10000, Blood DMG: +10000, Celestial DMG: +10000 ++Uses Candy Corn as Ammunition. ++Can use mobility when attacking with this weapon. +-Cannot be forged or duplicated. </v>
      </c>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t="str">
        <f>IFERROR(__xludf.DUMMYFUNCTION("""COMPUTED_VALUE"""),"Cap of Metal Harmony's")</f>
        <v>Cap of Metal Harmony's</v>
      </c>
      <c r="B80" s="32" t="str">
        <f>IFERROR(__xludf.DUMMYFUNCTION("""COMPUTED_VALUE""")," () lvl:200, DEF: +10000 ++Half the SP cost for Fire, Water, Storm, Earth, and Nature spells.")</f>
        <v> () lvl:200, DEF: +10000 ++Half the SP cost for Fire, Water, Storm, Earth, and Nature spells.</v>
      </c>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t="str">
        <f>IFERROR(__xludf.DUMMYFUNCTION("""COMPUTED_VALUE"""),"Celestian Royal Shield")</f>
        <v>Celestian Royal Shield</v>
      </c>
      <c r="B81" s="32" t="str">
        <f>IFERROR(__xludf.DUMMYFUNCTION("""COMPUTED_VALUE"""),"Quest Item (Towershield) lvl:200, DEF: +100000, Light DEF: +100000, Dark DEF: +100000, Celestial DEF: +100000 ++Royal Protection: Immunity to Celestial. +-Cannot be forged or duplicated.")</f>
        <v>Quest Item (Towershield) lvl:200, DEF: +100000, Light DEF: +100000, Dark DEF: +100000, Celestial DEF: +100000 ++Royal Protection: Immunity to Celestial. +-Cannot be forged or duplicated.</v>
      </c>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t="str">
        <f>IFERROR(__xludf.DUMMYFUNCTION("""COMPUTED_VALUE"""),"Celestian Royal Sword")</f>
        <v>Celestian Royal Sword</v>
      </c>
      <c r="B82" s="32" t="str">
        <f>IFERROR(__xludf.DUMMYFUNCTION("""COMPUTED_VALUE"""),"Quest Item (Sword) lvl:200, DMG: +100000, Light DMG: +100000, Dark DMG: +100000, Celestial DMG: +100000 ++X8 Celestial Damage. +-Cannot be forged or duplicated.")</f>
        <v>Quest Item (Sword) lvl:200, DMG: +100000, Light DMG: +100000, Dark DMG: +100000, Celestial DMG: +100000 ++X8 Celestial Damage. +-Cannot be forged or duplicated.</v>
      </c>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t="str">
        <f>IFERROR(__xludf.DUMMYFUNCTION("""COMPUTED_VALUE"""),"Chain Link Armor")</f>
        <v>Chain Link Armor</v>
      </c>
      <c r="B83" s="32" t="str">
        <f>IFERROR(__xludf.DUMMYFUNCTION("""COMPUTED_VALUE""")," () lvl:40, DEF: +2000 ++Wrapped in Chains - When the wearer is attacked with a weapon; 25% chance to make the attacker drop it's weapon.")</f>
        <v> () lvl:40, DEF: +2000 ++Wrapped in Chains - When the wearer is attacked with a weapon; 25% chance to make the attacker drop it's weapon.</v>
      </c>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t="str">
        <f>IFERROR(__xludf.DUMMYFUNCTION("""COMPUTED_VALUE"""),"Chaos Sword")</f>
        <v>Chaos Sword</v>
      </c>
      <c r="B84" s="32" t="str">
        <f>IFERROR(__xludf.DUMMYFUNCTION("""COMPUTED_VALUE""")," (Sword) lvl:90, DMG: +2500, Chaos DMG: +2000 ++ +2 Intimidation. +-Cannot be duplicated. +-Can only equip one.")</f>
        <v> (Sword) lvl:90, DMG: +2500, Chaos DMG: +2000 ++ +2 Intimidation. +-Cannot be duplicated. +-Can only equip one.</v>
      </c>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t="str">
        <f>IFERROR(__xludf.DUMMYFUNCTION("""COMPUTED_VALUE"""),"Chaotic Amulet")</f>
        <v>Chaotic Amulet</v>
      </c>
      <c r="B85" s="32" t="str">
        <f>IFERROR(__xludf.DUMMYFUNCTION("""COMPUTED_VALUE""")," () lvl:1, : + ++Immunity to all Chaos Dmg, ++Deal 2x more Chaos Dmg.")</f>
        <v> () lvl:1, : + ++Immunity to all Chaos Dmg, ++Deal 2x more Chaos Dmg.</v>
      </c>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t="str">
        <f>IFERROR(__xludf.DUMMYFUNCTION("""COMPUTED_VALUE"""),"Ring")</f>
        <v>Ring</v>
      </c>
      <c r="B86" s="32" t="str">
        <f>IFERROR(__xludf.DUMMYFUNCTION("""COMPUTED_VALUE""")," () lvl:1, DMG: + ++X2 additional Chaos and Blood damage")</f>
        <v> () lvl:1, DMG: + ++X2 additional Chaos and Blood damage</v>
      </c>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t="str">
        <f>IFERROR(__xludf.DUMMYFUNCTION("""COMPUTED_VALUE"""),"Chaotic Shadow Life Orb")</f>
        <v>Chaotic Shadow Life Orb</v>
      </c>
      <c r="B87" s="32" t="str">
        <f>IFERROR(__xludf.DUMMYFUNCTION("""COMPUTED_VALUE""")," () lvl:1, : + ++Last Chance - Protected from death once per battle, can only use the effect of ""Last Chance"" once per battle.  +-Can only have one equipped. +- Cannot be duplicated.")</f>
        <v> () lvl:1, : + ++Last Chance - Protected from death once per battle, can only use the effect of "Last Chance" once per battle.  +-Can only have one equipped. +- Cannot be duplicated.</v>
      </c>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t="str">
        <f>IFERROR(__xludf.DUMMYFUNCTION("""COMPUTED_VALUE"""),"Charm of Awaken")</f>
        <v>Charm of Awaken</v>
      </c>
      <c r="B88" s="32" t="str">
        <f>IFERROR(__xludf.DUMMYFUNCTION("""COMPUTED_VALUE""")," () lvl:1, DMG: + ++Immunity to sleep.")</f>
        <v> () lvl:1, DMG: + ++Immunity to sleep.</v>
      </c>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t="str">
        <f>IFERROR(__xludf.DUMMYFUNCTION("""COMPUTED_VALUE"""),"Chestplate of Foul Night")</f>
        <v>Chestplate of Foul Night</v>
      </c>
      <c r="B89" s="32" t="str">
        <f>IFERROR(__xludf.DUMMYFUNCTION("""COMPUTED_VALUE""")," () lvl:200, DEF: +5000, Nature DEF: +5000 (Foul Night Set) ++X2 Nature and Poison damage, ++Poison Immunity.")</f>
        <v> () lvl:200, DEF: +5000, Nature DEF: +5000 (Foul Night Set) ++X2 Nature and Poison damage, ++Poison Immunity.</v>
      </c>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t="str">
        <f>IFERROR(__xludf.DUMMYFUNCTION("""COMPUTED_VALUE"""),"Chestplate of Waking Waters")</f>
        <v>Chestplate of Waking Waters</v>
      </c>
      <c r="B90" s="32" t="str">
        <f>IFERROR(__xludf.DUMMYFUNCTION("""COMPUTED_VALUE""")," () lvl:400, DEF: +10000, Water DEF: +10000 ++X4 additional water damage for self.")</f>
        <v> () lvl:400, DEF: +10000, Water DEF: +10000 ++X4 additional water damage for self.</v>
      </c>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t="str">
        <f>IFERROR(__xludf.DUMMYFUNCTION("""COMPUTED_VALUE"""),"Cloth Cap")</f>
        <v>Cloth Cap</v>
      </c>
      <c r="B91" s="32" t="str">
        <f>IFERROR(__xludf.DUMMYFUNCTION("""COMPUTED_VALUE""")," () lvl:50, DEF: +2500")</f>
        <v> () lvl:50, DEF: +2500</v>
      </c>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t="str">
        <f>IFERROR(__xludf.DUMMYFUNCTION("""COMPUTED_VALUE"""),"Colossus Bone Sword")</f>
        <v>Colossus Bone Sword</v>
      </c>
      <c r="B92" s="32" t="str">
        <f>IFERROR(__xludf.DUMMYFUNCTION("""COMPUTED_VALUE"""),"Mob Exclusive (Sword) lvl:1500, DMG: +25000, Earth DMG: +25000, Dark DMG: +25000 ++X2 additional damage for the user.")</f>
        <v>Mob Exclusive (Sword) lvl:1500, DMG: +25000, Earth DMG: +25000, Dark DMG: +25000 ++X2 additional damage for the user.</v>
      </c>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t="str">
        <f>IFERROR(__xludf.DUMMYFUNCTION("""COMPUTED_VALUE"""),"Coral Hat")</f>
        <v>Coral Hat</v>
      </c>
      <c r="B93" s="32" t="str">
        <f>IFERROR(__xludf.DUMMYFUNCTION("""COMPUTED_VALUE""")," () lvl:20, DEF: +800 ++Immunity to water damage.")</f>
        <v> () lvl:20, DEF: +800 ++Immunity to water damage.</v>
      </c>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t="str">
        <f>IFERROR(__xludf.DUMMYFUNCTION("""COMPUTED_VALUE"""),"Critical Vanish Armor")</f>
        <v>Critical Vanish Armor</v>
      </c>
      <c r="B94" s="32" t="str">
        <f>IFERROR(__xludf.DUMMYFUNCTION("""COMPUTED_VALUE""")," () lvl:10, DEF: +500 ++will negate a critical hit to the wearer")</f>
        <v> () lvl:10, DEF: +500 ++will negate a critical hit to the wearer</v>
      </c>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t="str">
        <f>IFERROR(__xludf.DUMMYFUNCTION("""COMPUTED_VALUE"""),"Crow Staff")</f>
        <v>Crow Staff</v>
      </c>
      <c r="B95" s="32" t="str">
        <f>IFERROR(__xludf.DUMMYFUNCTION("""COMPUTED_VALUE""")," (Staff) lvl:400, DMG: +10000, Dark DMG: +10000 ++Swarm: inflicts 10000 bleed to all enemies. +- 300SP")</f>
        <v> (Staff) lvl:400, DMG: +10000, Dark DMG: +10000 ++Swarm: inflicts 10000 bleed to all enemies. +- 300SP</v>
      </c>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t="str">
        <f>IFERROR(__xludf.DUMMYFUNCTION("""COMPUTED_VALUE"""),"Crown of Control")</f>
        <v>Crown of Control</v>
      </c>
      <c r="B96" s="32" t="str">
        <f>IFERROR(__xludf.DUMMYFUNCTION("""COMPUTED_VALUE""")," () lvl:300, DEF: +15000 ++Select one target and choose an action for them during your turn (This counts as a form of possession) Fail/Succeed. +-Cannot be duplicated. ")</f>
        <v> () lvl:300, DEF: +15000 ++Select one target and choose an action for them during your turn (This counts as a form of possession) Fail/Succeed. +-Cannot be duplicated. </v>
      </c>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t="str">
        <f>IFERROR(__xludf.DUMMYFUNCTION("""COMPUTED_VALUE"""),"Crown of Ice Spears")</f>
        <v>Crown of Ice Spears</v>
      </c>
      <c r="B97" s="32" t="str">
        <f>IFERROR(__xludf.DUMMYFUNCTION("""COMPUTED_VALUE""")," () lvl:200, DEF: +10000 (The Frozen Spear Master Set) ++Frost Boost- X2 Storm damage. ++All weapon attacks have a 25% chance to freeze whoever you hit")</f>
        <v> () lvl:200, DEF: +10000 (The Frozen Spear Master Set) ++Frost Boost- X2 Storm damage. ++All weapon attacks have a 25% chance to freeze whoever you hit</v>
      </c>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t="str">
        <f>IFERROR(__xludf.DUMMYFUNCTION("""COMPUTED_VALUE"""),"Crown of the Forgotten")</f>
        <v>Crown of the Forgotten</v>
      </c>
      <c r="B98" s="32" t="str">
        <f>IFERROR(__xludf.DUMMYFUNCTION("""COMPUTED_VALUE""")," () lvl:20, DEF: +1000 ++Immunity to Dark, Chaos, Fire, and Nature damage. ++Only Undead can equip. ++This item effect bypasses the Undead race ability. +-Cannot be duplicated.")</f>
        <v> () lvl:20, DEF: +1000 ++Immunity to Dark, Chaos, Fire, and Nature damage. ++Only Undead can equip. ++This item effect bypasses the Undead race ability. +-Cannot be duplicated.</v>
      </c>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t="str">
        <f>IFERROR(__xludf.DUMMYFUNCTION("""COMPUTED_VALUE"""),"Crown Of The Sea Serpent")</f>
        <v>Crown Of The Sea Serpent</v>
      </c>
      <c r="B99" s="32" t="str">
        <f>IFERROR(__xludf.DUMMYFUNCTION("""COMPUTED_VALUE""")," () lvl:1, : + ++X4 additional water damage for the user, ++Water spells cost half sp, +-Cannot be duplicated.")</f>
        <v> () lvl:1, : + ++X4 additional water damage for the user, ++Water spells cost half sp, +-Cannot be duplicated.</v>
      </c>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t="str">
        <f>IFERROR(__xludf.DUMMYFUNCTION("""COMPUTED_VALUE"""),"Crown Of Tritonoch")</f>
        <v>Crown Of Tritonoch</v>
      </c>
      <c r="B100" s="32" t="str">
        <f>IFERROR(__xludf.DUMMYFUNCTION("""COMPUTED_VALUE""")," () lvl:400, DEF: +20000 ++Waves of Entitlement - x5 additional Water damage")</f>
        <v> () lvl:400, DEF: +20000 ++Waves of Entitlement - x5 additional Water damage</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t="str">
        <f>IFERROR(__xludf.DUMMYFUNCTION("""COMPUTED_VALUE"""),"Cryogenic Claymore")</f>
        <v>Cryogenic Claymore</v>
      </c>
      <c r="B101" s="32" t="str">
        <f>IFERROR(__xludf.DUMMYFUNCTION("""COMPUTED_VALUE"""),"(The Frozen Blade Master Set) (Sword) lvl:400, DMG: +10000, Water DMG: +10000 ++10% chance to freeze all enemies.")</f>
        <v>(The Frozen Blade Master Set) (Sword) lvl:400, DMG: +10000, Water DMG: +10000 ++10% chance to freeze all enemies.</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t="str">
        <f>IFERROR(__xludf.DUMMYFUNCTION("""COMPUTED_VALUE"""),"Crystal Forged Helmet")</f>
        <v>Crystal Forged Helmet</v>
      </c>
      <c r="B102" s="32" t="str">
        <f>IFERROR(__xludf.DUMMYFUNCTION("""COMPUTED_VALUE""")," () lvl:200, DEF: +10000 ++When equipped, Gem and Crystal related weapons deal an additional X2 damage for the user.")</f>
        <v> () lvl:200, DEF: +10000 ++When equipped, Gem and Crystal related weapons deal an additional X2 damage for the user.</v>
      </c>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t="str">
        <f>IFERROR(__xludf.DUMMYFUNCTION("""COMPUTED_VALUE"""),"Crystal Forged Axe")</f>
        <v>Crystal Forged Axe</v>
      </c>
      <c r="B103" s="32" t="str">
        <f>IFERROR(__xludf.DUMMYFUNCTION("""COMPUTED_VALUE""")," () lvl:400, DMG: +10000, Earth DMG: +10000 ++When equipped, Gem and Crystal related weapons deal an additional X6 damage for the user.")</f>
        <v> () lvl:400, DMG: +10000, Earth DMG: +10000 ++When equipped, Gem and Crystal related weapons deal an additional X6 damage for the user.</v>
      </c>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t="str">
        <f>IFERROR(__xludf.DUMMYFUNCTION("""COMPUTED_VALUE"""),"Crystal Forged Chestplate")</f>
        <v>Crystal Forged Chestplate</v>
      </c>
      <c r="B104" s="32"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t="str">
        <f>IFERROR(__xludf.DUMMYFUNCTION("""COMPUTED_VALUE"""),"Crystal Healing Amulet")</f>
        <v>Crystal Healing Amulet</v>
      </c>
      <c r="B105" s="32" t="str">
        <f>IFERROR(__xludf.DUMMYFUNCTION("""COMPUTED_VALUE""")," () lvl:1, : + ++Crystal Aura - Protected from death once per battle, can only use the effect of ""Crystal Aura"" once per battle. +-Can only have one equipped.    +-Cannot be duplicated.")</f>
        <v> () lvl:1, : + ++Crystal Aura - Protected from death once per battle, can only use the effect of "Crystal Aura" once per battle. +-Can only have one equipped.    +-Cannot be duplicated.</v>
      </c>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t="str">
        <f>IFERROR(__xludf.DUMMYFUNCTION("""COMPUTED_VALUE"""),"Crystal Longsword")</f>
        <v>Crystal Longsword</v>
      </c>
      <c r="B106" s="32" t="str">
        <f>IFERROR(__xludf.DUMMYFUNCTION("""COMPUTED_VALUE""")," (Sword) lvl:200, DMG: +5000, Earth DMG: +5000 ++When equipped, Gem and Crystal related weapons deal an additional X4 damage for the user.")</f>
        <v> (Sword) lvl:200, DMG: +5000, Earth DMG: +5000 ++When equipped, Gem and Crystal related weapons deal an additional X4 damage for the user.</v>
      </c>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t="str">
        <f>IFERROR(__xludf.DUMMYFUNCTION("""COMPUTED_VALUE"""),"Crystal Ring")</f>
        <v>Crystal Ring</v>
      </c>
      <c r="B107" s="32" t="str">
        <f>IFERROR(__xludf.DUMMYFUNCTION("""COMPUTED_VALUE""")," () lvl:1, : + ++When equipped, Gem and Crystal related weapons deal an additional X2 damage for the user.")</f>
        <v> () lvl:1, : + ++When equipped, Gem and Crystal related weapons deal an additional X2 damage for the user.</v>
      </c>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t="str">
        <f>IFERROR(__xludf.DUMMYFUNCTION("""COMPUTED_VALUE"""),"Crystal Shield")</f>
        <v>Crystal Shield</v>
      </c>
      <c r="B108" s="32" t="str">
        <f>IFERROR(__xludf.DUMMYFUNCTION("""COMPUTED_VALUE""")," (Buckler) lvl:200, DEF: +10000 ++Take half damage from Gem and Crystal related weapons.")</f>
        <v> (Buckler) lvl:200, DEF: +10000 ++Take half damage from Gem and Crystal related weapons.</v>
      </c>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t="str">
        <f>IFERROR(__xludf.DUMMYFUNCTION("""COMPUTED_VALUE"""),"Crystal Staff")</f>
        <v>Crystal Staff</v>
      </c>
      <c r="B109" s="32" t="str">
        <f>IFERROR(__xludf.DUMMYFUNCTION("""COMPUTED_VALUE""")," (Staff) lvl:1, : + ++Creates a Crystal like barrier around you making it so weapons deal no damage to you for 3 rounds, 500SP. ++1000 Additional HP and SP while equipped.")</f>
        <v> (Staff) lvl:1, : + ++Creates a Crystal like barrier around you making it so weapons deal no damage to you for 3 rounds, 500SP. ++1000 Additional HP and SP while equipped.</v>
      </c>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t="str">
        <f>IFERROR(__xludf.DUMMYFUNCTION("""COMPUTED_VALUE"""),"Crystal Sword")</f>
        <v>Crystal Sword</v>
      </c>
      <c r="B110" s="32" t="str">
        <f>IFERROR(__xludf.DUMMYFUNCTION("""COMPUTED_VALUE""")," (Sword) lvl:80, DMG: +2000, Earth DMG: +2000 ++When equipped, Gem and Crystal related weapons deal an additional X2 damage for the user.")</f>
        <v> (Sword) lvl:80, DMG: +2000, Earth DMG: +2000 ++When equipped, Gem and Crystal related weapons deal an additional X2 damage for the user.</v>
      </c>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t="str">
        <f>IFERROR(__xludf.DUMMYFUNCTION("""COMPUTED_VALUE"""),"Cursed Blade")</f>
        <v>Cursed Blade</v>
      </c>
      <c r="B111" s="32" t="str">
        <f>IFERROR(__xludf.DUMMYFUNCTION("""COMPUTED_VALUE""")," (Sword) lvl:620, DMG: +30000, Dark DMG: +1000 +- -5 evasion and mobility while equipped.")</f>
        <v> (Sword) lvl:620, DMG: +30000, Dark DMG: +1000 +- -5 evasion and mobility while equipped.</v>
      </c>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t="str">
        <f>IFERROR(__xludf.DUMMYFUNCTION("""COMPUTED_VALUE"""),"Cursed Blade of The Void Realm")</f>
        <v>Cursed Blade of The Void Realm</v>
      </c>
      <c r="B112" s="32" t="str">
        <f>IFERROR(__xludf.DUMMYFUNCTION("""COMPUTED_VALUE""")," (Sword) lvl:1, : + +-When equipped this item cannot be unequipped for 3 rounds, +-Depletes 1000 SP per round.")</f>
        <v> (Sword) lvl:1, : + +-When equipped this item cannot be unequipped for 3 rounds, +-Depletes 1000 SP per round.</v>
      </c>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t="str">
        <f>IFERROR(__xludf.DUMMYFUNCTION("""COMPUTED_VALUE"""),"Dagger")</f>
        <v>Dagger</v>
      </c>
      <c r="B113" s="32" t="str">
        <f>IFERROR(__xludf.DUMMYFUNCTION("""COMPUTED_VALUE"""),"The first weapon  (Knife) lvl:20, DMG: +1000")</f>
        <v>The first weapon  (Knife) lvl:20, DMG: +1000</v>
      </c>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t="str">
        <f>IFERROR(__xludf.DUMMYFUNCTION("""COMPUTED_VALUE"""),"Dagger of Flowers")</f>
        <v>Dagger of Flowers</v>
      </c>
      <c r="B114" s="32" t="str">
        <f>IFERROR(__xludf.DUMMYFUNCTION("""COMPUTED_VALUE"""),"(Event Exclusive) (Knife) lvl:90, DMG: +3000, Nature DMG: +1500")</f>
        <v>(Event Exclusive) (Knife) lvl:90, DMG: +3000, Nature DMG: +1500</v>
      </c>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t="str">
        <f>IFERROR(__xludf.DUMMYFUNCTION("""COMPUTED_VALUE"""),"Dagger of The Cultist")</f>
        <v>Dagger of The Cultist</v>
      </c>
      <c r="B115" s="32" t="str">
        <f>IFERROR(__xludf.DUMMYFUNCTION("""COMPUTED_VALUE""")," (Knife) lvl:120, DMG: +2000, Dark DMG: +2000, Chaos DMG: +2000 (Cultist Set) ++25% chance of instant death to the target.")</f>
        <v> (Knife) lvl:120, DMG: +2000, Dark DMG: +2000, Chaos DMG: +2000 (Cultist Set) ++25% chance of instant death to the target.</v>
      </c>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t="str">
        <f>IFERROR(__xludf.DUMMYFUNCTION("""COMPUTED_VALUE"""),"Dark Ice Sword")</f>
        <v>Dark Ice Sword</v>
      </c>
      <c r="B116" s="32" t="str">
        <f>IFERROR(__xludf.DUMMYFUNCTION("""COMPUTED_VALUE""")," (Sword) lvl:20, DMG: +600 ++25% Chance to freeze target.")</f>
        <v> (Sword) lvl:20, DMG: +600 ++25% Chance to freeze target.</v>
      </c>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t="str">
        <f>IFERROR(__xludf.DUMMYFUNCTION("""COMPUTED_VALUE"""),"Dark Knight Helm")</f>
        <v>Dark Knight Helm</v>
      </c>
      <c r="B117" s="32" t="str">
        <f>IFERROR(__xludf.DUMMYFUNCTION("""COMPUTED_VALUE""")," () lvl:10, DEF: +500 ++Immune to dark damage")</f>
        <v> () lvl:10, DEF: +500 ++Immune to dark damage</v>
      </c>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t="str">
        <f>IFERROR(__xludf.DUMMYFUNCTION("""COMPUTED_VALUE"""),"Dark Wand")</f>
        <v>Dark Wand</v>
      </c>
      <c r="B118" s="32" t="str">
        <f>IFERROR(__xludf.DUMMYFUNCTION("""COMPUTED_VALUE""")," (Wand) lvl:1, : + ++Half the SP cost of dark spells")</f>
        <v> (Wand) lvl:1, : + ++Half the SP cost of dark spells</v>
      </c>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t="str">
        <f>IFERROR(__xludf.DUMMYFUNCTION("""COMPUTED_VALUE"""),"Dead Forest Blade")</f>
        <v>Dead Forest Blade</v>
      </c>
      <c r="B119" s="32" t="str">
        <f>IFERROR(__xludf.DUMMYFUNCTION("""COMPUTED_VALUE""")," (Sword) lvl:180, DMG: +5000, Dark DMG: +4000 ++Darkness Embodiment - When Equipped Any dark and chaos weapons and dark and chaos spells will deal an additional X2 damage.")</f>
        <v> (Sword) lvl:180, DMG: +5000, Dark DMG: +4000 ++Darkness Embodiment - When Equipped Any dark and chaos weapons and dark and chaos spells will deal an additional X2 damage.</v>
      </c>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t="str">
        <f>IFERROR(__xludf.DUMMYFUNCTION("""COMPUTED_VALUE"""),"Dead Forest Branch")</f>
        <v>Dead Forest Branch</v>
      </c>
      <c r="B120" s="32" t="str">
        <f>IFERROR(__xludf.DUMMYFUNCTION("""COMPUTED_VALUE""")," (Club) lvl:200, DMG: +, Celestial DMG: +10000000 ++This Branch will deal 10,000,000 celestial damage but it has a 95% chance to break")</f>
        <v> (Club) lvl:200, DMG: +, Celestial DMG: +10000000 ++This Branch will deal 10,000,000 celestial damage but it has a 95% chance to break</v>
      </c>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t="str">
        <f>IFERROR(__xludf.DUMMYFUNCTION("""COMPUTED_VALUE"""),"Death's Scythe")</f>
        <v>Death's Scythe</v>
      </c>
      <c r="B121" s="32" t="str">
        <f>IFERROR(__xludf.DUMMYFUNCTION("""COMPUTED_VALUE""")," (Scythe) lvl:600, DMG: +10000, Dark DMG: +10000, Chaos DMG: +10000 ++ +2 Intimidation, ++ +2 Wisdom when rolling a wisdom check for traps. +-Cannot be duplicated, +-Can only equip one.")</f>
        <v> (Scythe) lvl:600, DMG: +10000, Dark DMG: +10000, Chaos DMG: +10000 ++ +2 Intimidation, ++ +2 Wisdom when rolling a wisdom check for traps. +-Cannot be duplicated, +-Can only equip one.</v>
      </c>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t="str">
        <f>IFERROR(__xludf.DUMMYFUNCTION("""COMPUTED_VALUE"""),"Demonic Scythe of Chaos ")</f>
        <v>Demonic Scythe of Chaos </v>
      </c>
      <c r="B122" s="32" t="str">
        <f>IFERROR(__xludf.DUMMYFUNCTION("""COMPUTED_VALUE""")," (Scythe) lvl:3000, DMG: +50000, Fire DMG: +50000, Chaos DMG: +50000 ++X2  Additional Fire and Chaos damage. +-Cannot be duplicated.")</f>
        <v> (Scythe) lvl:3000, DMG: +50000, Fire DMG: +50000, Chaos DMG: +50000 ++X2  Additional Fire and Chaos damage. +-Cannot be duplicated.</v>
      </c>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t="str">
        <f>IFERROR(__xludf.DUMMYFUNCTION("""COMPUTED_VALUE"""),"Demonic Sword of The King")</f>
        <v>Demonic Sword of The King</v>
      </c>
      <c r="B123" s="32" t="str">
        <f>IFERROR(__xludf.DUMMYFUNCTION("""COMPUTED_VALUE""")," (Sword) lvl:200, DMG: +100000, Fire DMG: +100000, Dark DMG: +50000, Chaos DMG: +50000, Blood DMG: +50000, Celestial DMG: +50000 ++When targeted for an attack you can choose a party member to take the damage instead. +-Cannot be duplicated.")</f>
        <v> (Sword) lvl:200, DMG: +100000, Fire DMG: +100000, Dark DMG: +50000, Chaos DMG: +50000, Blood DMG: +50000, Celestial DMG: +50000 ++When targeted for an attack you can choose a party member to take the damage instead. +-Cannot be duplicated.</v>
      </c>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t="str">
        <f>IFERROR(__xludf.DUMMYFUNCTION("""COMPUTED_VALUE"""),"Dimensional Dagger")</f>
        <v>Dimensional Dagger</v>
      </c>
      <c r="B124" s="32" t="str">
        <f>IFERROR(__xludf.DUMMYFUNCTION("""COMPUTED_VALUE""")," (Knife) lvl:200, DMG: +5000, Chaos DMG: +5000 ++25% chance to teleport the target being attacked to a random location.")</f>
        <v> (Knife) lvl:200, DMG: +5000, Chaos DMG: +5000 ++25% chance to teleport the target being attacked to a random location.</v>
      </c>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t="str">
        <f>IFERROR(__xludf.DUMMYFUNCTION("""COMPUTED_VALUE"""),"Draconic Shield")</f>
        <v>Draconic Shield</v>
      </c>
      <c r="B125" s="32" t="str">
        <f>IFERROR(__xludf.DUMMYFUNCTION("""COMPUTED_VALUE""")," (Towershield) lvl:5000, DEF: +50000, Fire DEF: +50000, Dark DEF: +50000, Chaos DEF: +50000, Blood DEF: +50000 ++Draconic Block - Any damage you take in battle is now reduced to 1 for for the first round of battle.")</f>
        <v> (Towershield) lvl:5000, DEF: +50000, Fire DEF: +50000, Dark DEF: +50000, Chaos DEF: +50000, Blood DEF: +50000 ++Draconic Block - Any damage you take in battle is now reduced to 1 for for the first round of battle.</v>
      </c>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t="str">
        <f>IFERROR(__xludf.DUMMYFUNCTION("""COMPUTED_VALUE"""),"Dragon's Skull")</f>
        <v>Dragon's Skull</v>
      </c>
      <c r="B126" s="32" t="str">
        <f>IFERROR(__xludf.DUMMYFUNCTION("""COMPUTED_VALUE""")," () lvl:200, DEF: +10000 ++Any damage that is dealt to the wearer by a dragon is negated. ++(Dragon Tamers Cannot Wear This)")</f>
        <v> () lvl:200, DEF: +10000 ++Any damage that is dealt to the wearer by a dragon is negated. ++(Dragon Tamers Cannot Wear This)</v>
      </c>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t="str">
        <f>IFERROR(__xludf.DUMMYFUNCTION("""COMPUTED_VALUE"""),"Dragonbone Greatsword")</f>
        <v>Dragonbone Greatsword</v>
      </c>
      <c r="B127" s="32" t="str">
        <f>IFERROR(__xludf.DUMMYFUNCTION("""COMPUTED_VALUE""")," (Sword) lvl:200, DMG: +100000, Fire DMG: +100000, Earth DMG: +100000, Dark DMG: +100000, Blood DMG: +100000, Celestial DMG: +100000 ++If you have a dragon as a companion in the current battle this sword will deal x4 additional fire, earth, dark, blood, a"&amp;"nd celestial damage.")</f>
        <v> (Sword) lvl:200, DMG: +100000, Fire DMG: +100000, Earth DMG: +100000, Dark DMG: +100000, Blood DMG: +100000, Celestial DMG: +100000 ++If you have a dragon as a companion in the current battle this sword will deal x4 additional fire, earth, dark, blood, and celestial damage.</v>
      </c>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t="str">
        <f>IFERROR(__xludf.DUMMYFUNCTION("""COMPUTED_VALUE"""),"Dreading Wand Of Fire")</f>
        <v>Dreading Wand Of Fire</v>
      </c>
      <c r="B128" s="32" t="str">
        <f>IFERROR(__xludf.DUMMYFUNCTION("""COMPUTED_VALUE""")," (Wand) lvl:1, : + ++Half SP costs for fire spells")</f>
        <v> (Wand) lvl:1, : + ++Half SP costs for fire spells</v>
      </c>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t="str">
        <f>IFERROR(__xludf.DUMMYFUNCTION("""COMPUTED_VALUE"""),"Dy Yu’s Plated Armor")</f>
        <v>Dy Yu’s Plated Armor</v>
      </c>
      <c r="B129" s="32" t="str">
        <f>IFERROR(__xludf.DUMMYFUNCTION("""COMPUTED_VALUE""")," () lvl:4000, DEF: +50000, Fire DEF: +50000, Earth DEF: +50000, Spirit DEF: +50000 ++Roll a d20 at the beginning of battle, 11 or higher = half the damage taken from the first attack, 10 or lower = take double the damage from the first attack.")</f>
        <v> () lvl:4000, DEF: +50000, Fire DEF: +50000, Earth DEF: +50000, Spirit DEF: +50000 ++Roll a d20 at the beginning of battle, 11 or higher = half the damage taken from the first attack, 10 or lower = take double the damage from the first attack.</v>
      </c>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t="str">
        <f>IFERROR(__xludf.DUMMYFUNCTION("""COMPUTED_VALUE"""),"Easters Ring (Exclusive)")</f>
        <v>Easters Ring (Exclusive)</v>
      </c>
      <c r="B130" s="32" t="str">
        <f>IFERROR(__xludf.DUMMYFUNCTION("""COMPUTED_VALUE""")," () lvl:1, : + ++Can turn one bad day of travel into a good day of travel. +-Cannot be forged")</f>
        <v> () lvl:1, : + ++Can turn one bad day of travel into a good day of travel. +-Cannot be forged</v>
      </c>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t="str">
        <f>IFERROR(__xludf.DUMMYFUNCTION("""COMPUTED_VALUE"""),"Enchanted Chestplate of Defense")</f>
        <v>Enchanted Chestplate of Defense</v>
      </c>
      <c r="B131" s="32" t="str">
        <f>IFERROR(__xludf.DUMMYFUNCTION("""COMPUTED_VALUE""")," () lvl:100, DEF: +5000 ++Damage received by Spells and Weapons are reduced to half when wearing this.")</f>
        <v> () lvl:100, DEF: +5000 ++Damage received by Spells and Weapons are reduced to half when wearing this.</v>
      </c>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t="str">
        <f>IFERROR(__xludf.DUMMYFUNCTION("""COMPUTED_VALUE"""),"Enchanted Dagger")</f>
        <v>Enchanted Dagger</v>
      </c>
      <c r="B132" s="32" t="str">
        <f>IFERROR(__xludf.DUMMYFUNCTION("""COMPUTED_VALUE""")," (Knife) lvl:1, : +1 ++100% of instantly killing the target.")</f>
        <v> (Knife) lvl:1, : +1 ++100% of instantly killing the target.</v>
      </c>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t="str">
        <f>IFERROR(__xludf.DUMMYFUNCTION("""COMPUTED_VALUE"""),"Enchanted Falcon Blade")</f>
        <v>Enchanted Falcon Blade</v>
      </c>
      <c r="B133" s="32" t="str">
        <f>IFERROR(__xludf.DUMMYFUNCTION("""COMPUTED_VALUE""")," (Sword) lvl:60, DMG: +2000, Order DMG: +600 ++Falcon’s Power - All attacks dealt by your weapons will deal double in damage for 3 of your turns when equipped.")</f>
        <v> (Sword) lvl:60, DMG: +2000, Order DMG: +600 ++Falcon’s Power - All attacks dealt by your weapons will deal double in damage for 3 of your turns when equipped.</v>
      </c>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t="str">
        <f>IFERROR(__xludf.DUMMYFUNCTION("""COMPUTED_VALUE"""),"Energy Prong")</f>
        <v>Energy Prong</v>
      </c>
      <c r="B134" s="32" t="str">
        <f>IFERROR(__xludf.DUMMYFUNCTION("""COMPUTED_VALUE""")," (Spear) lvl:10, DMG: +500 ++50% chance of stun 3.")</f>
        <v> (Spear) lvl:10, DMG: +500 ++50% chance of stun 3.</v>
      </c>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t="str">
        <f>IFERROR(__xludf.DUMMYFUNCTION("""COMPUTED_VALUE"""),"Faery Kings Sword")</f>
        <v>Faery Kings Sword</v>
      </c>
      <c r="B135" s="32" t="str">
        <f>IFERROR(__xludf.DUMMYFUNCTION("""COMPUTED_VALUE""")," (Sword) lvl:200, DMG: +500000, Nature DMG: +25000, Celestial DMG: +25000")</f>
        <v> (Sword) lvl:200, DMG: +500000, Nature DMG: +25000, Celestial DMG: +25000</v>
      </c>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t="str">
        <f>IFERROR(__xludf.DUMMYFUNCTION("""COMPUTED_VALUE"""),"False Helmet")</f>
        <v>False Helmet</v>
      </c>
      <c r="B136" s="32" t="str">
        <f>IFERROR(__xludf.DUMMYFUNCTION("""COMPUTED_VALUE""")," () lvl:1, : + ++ ++5 Intimidation, ++ - 2 Charisma. +-Cannot be forged +-Cannot be duplicated.")</f>
        <v> () lvl:1, : + ++ ++5 Intimidation, ++ - 2 Charisma. +-Cannot be forged +-Cannot be duplicated.</v>
      </c>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t="str">
        <f>IFERROR(__xludf.DUMMYFUNCTION("""COMPUTED_VALUE"""),"Felt Cap")</f>
        <v>Felt Cap</v>
      </c>
      <c r="B137" s="32" t="str">
        <f>IFERROR(__xludf.DUMMYFUNCTION("""COMPUTED_VALUE""")," () lvl:1, : + ++ -1 Evasion ++ +2 Intimidation, +-Can only wear one, +-Cannot be duplicated.")</f>
        <v> () lvl:1, : + ++ -1 Evasion ++ +2 Intimidation, +-Can only wear one, +-Cannot be duplicated.</v>
      </c>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t="str">
        <f>IFERROR(__xludf.DUMMYFUNCTION("""COMPUTED_VALUE"""),"Fire Resistant Boots")</f>
        <v>Fire Resistant Boots</v>
      </c>
      <c r="B138" s="32" t="str">
        <f>IFERROR(__xludf.DUMMYFUNCTION("""COMPUTED_VALUE""")," () lvl:200, DEF: +, Fire DEF: +10000 ++Fire Immune, ++X2 Additional fire damage. +-Cannot be duplicated.")</f>
        <v> () lvl:200, DEF: +, Fire DEF: +10000 ++Fire Immune, ++X2 Additional fire damage. +-Cannot be duplicated.</v>
      </c>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t="str">
        <f>IFERROR(__xludf.DUMMYFUNCTION("""COMPUTED_VALUE"""),"Fire Ring")</f>
        <v>Fire Ring</v>
      </c>
      <c r="B139" s="32" t="str">
        <f>IFERROR(__xludf.DUMMYFUNCTION("""COMPUTED_VALUE""")," () lvl:1, : + ++Fire Immune, ++X2 Additional fire damage. +-Cannot be duplicated.")</f>
        <v> () lvl:1, : + ++Fire Immune, ++X2 Additional fire damage. +-Cannot be duplicated.</v>
      </c>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t="str">
        <f>IFERROR(__xludf.DUMMYFUNCTION("""COMPUTED_VALUE"""),"Fire Shield")</f>
        <v>Fire Shield</v>
      </c>
      <c r="B140" s="32" t="str">
        <f>IFERROR(__xludf.DUMMYFUNCTION("""COMPUTED_VALUE""")," (Towershield) lvl:200, DEF: +5000, Fire DEF: +5000 ++ Immunity to Fire, ++X2 Additional fire resistance. +-Cannot be duplicated.")</f>
        <v> (Towershield) lvl:200, DEF: +5000, Fire DEF: +5000 ++ Immunity to Fire, ++X2 Additional fire resistance. +-Cannot be duplicated.</v>
      </c>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t="str">
        <f>IFERROR(__xludf.DUMMYFUNCTION("""COMPUTED_VALUE"""),"Fire Sword")</f>
        <v>Fire Sword</v>
      </c>
      <c r="B141" s="32" t="str">
        <f>IFERROR(__xludf.DUMMYFUNCTION("""COMPUTED_VALUE""")," (Sword) lvl:200, DMG: +5000, Fire DMG: +5000 ++X2 Additional Fire damage. Burn 2500. Cannot be duplicated.")</f>
        <v> (Sword) lvl:200, DMG: +5000, Fire DMG: +5000 ++X2 Additional Fire damage. Burn 2500. Cannot be duplicated.</v>
      </c>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t="str">
        <f>IFERROR(__xludf.DUMMYFUNCTION("""COMPUTED_VALUE"""),"Fireproof Suit")</f>
        <v>Fireproof Suit</v>
      </c>
      <c r="B142" s="32" t="str">
        <f>IFERROR(__xludf.DUMMYFUNCTION("""COMPUTED_VALUE""")," () lvl:400, DEF: +5000, Fire DEF: +15000 Fire Immune, X2 Additional fire resistance. Cannot be duplicated.")</f>
        <v> () lvl:400, DEF: +5000, Fire DEF: +15000 Fire Immune, X2 Additional fire resistance. Cannot be duplicated.</v>
      </c>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t="str">
        <f>IFERROR(__xludf.DUMMYFUNCTION("""COMPUTED_VALUE"""),"Fish Pendant")</f>
        <v>Fish Pendant</v>
      </c>
      <c r="B143" s="32" t="str">
        <f>IFERROR(__xludf.DUMMYFUNCTION("""COMPUTED_VALUE""")," () lvl:1, : + ++Choose the rarity of the fish when fishing +-Cannot be forged +-Cannot be duplicated +-Can only equip one")</f>
        <v> () lvl:1, : + ++Choose the rarity of the fish when fishing +-Cannot be forged +-Cannot be duplicated +-Can only equip one</v>
      </c>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t="str">
        <f>IFERROR(__xludf.DUMMYFUNCTION("""COMPUTED_VALUE"""),"Flame Band")</f>
        <v>Flame Band</v>
      </c>
      <c r="B144" s="32" t="str">
        <f>IFERROR(__xludf.DUMMYFUNCTION("""COMPUTED_VALUE""")," () lvl:1, DMG: + Fire Immune, X2 Additional fire damage. +-Cannot be duplicated")</f>
        <v> () lvl:1, DMG: + Fire Immune, X2 Additional fire damage. +-Cannot be duplicated</v>
      </c>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t="str">
        <f>IFERROR(__xludf.DUMMYFUNCTION("""COMPUTED_VALUE"""),"Flame Mask")</f>
        <v>Flame Mask</v>
      </c>
      <c r="B145" s="32" t="str">
        <f>IFERROR(__xludf.DUMMYFUNCTION("""COMPUTED_VALUE""")," () lvl:130, DEF: +5000, Fire DEF: +1500 ++Fire Immunity, ++X2 Additional fire resistance. +-Cannot be duplicated.")</f>
        <v> () lvl:130, DEF: +5000, Fire DEF: +1500 ++Fire Immunity, ++X2 Additional fire resistance. +-Cannot be duplicated.</v>
      </c>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t="str">
        <f>IFERROR(__xludf.DUMMYFUNCTION("""COMPUTED_VALUE"""),"Flamethrower")</f>
        <v>Flamethrower</v>
      </c>
      <c r="B146" s="32" t="str">
        <f>IFERROR(__xludf.DUMMYFUNCTION("""COMPUTED_VALUE""")," (Firearm) lvl:700, DMG: +, Fire DMG: +35000 ++20% chance of hitting all enemies")</f>
        <v> (Firearm) lvl:700, DMG: +, Fire DMG: +35000 ++20% chance of hitting all enemies</v>
      </c>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t="str">
        <f>IFERROR(__xludf.DUMMYFUNCTION("""COMPUTED_VALUE"""),"Flaming Sword")</f>
        <v>Flaming Sword</v>
      </c>
      <c r="B147" s="32" t="str">
        <f>IFERROR(__xludf.DUMMYFUNCTION("""COMPUTED_VALUE""")," (Sword) lvl:300, DMG: +5000, Fire DMG: +5000, Nature DMG: +5000 ++Burn 1000")</f>
        <v> (Sword) lvl:300, DMG: +5000, Fire DMG: +5000, Nature DMG: +5000 ++Burn 1000</v>
      </c>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t="str">
        <f>IFERROR(__xludf.DUMMYFUNCTION("""COMPUTED_VALUE"""),"Foul Night Blade")</f>
        <v>Foul Night Blade</v>
      </c>
      <c r="B148" s="32" t="str">
        <f>IFERROR(__xludf.DUMMYFUNCTION("""COMPUTED_VALUE""")," (Sword) lvl:200, DMG: +5000, Nature DMG: +5000 (Foul Night Set) ++Poison 5000 for 3 rounds. ++Foul Night Embodiment - When Equipped  Any Dark, Nature or Poison damage is X4.")</f>
        <v> (Sword) lvl:200, DMG: +5000, Nature DMG: +5000 (Foul Night Set) ++Poison 5000 for 3 rounds. ++Foul Night Embodiment - When Equipped  Any Dark, Nature or Poison damage is X4.</v>
      </c>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t="str">
        <f>IFERROR(__xludf.DUMMYFUNCTION("""COMPUTED_VALUE"""),"Freezing Chains")</f>
        <v>Freezing Chains</v>
      </c>
      <c r="B149" s="32" t="str">
        <f>IFERROR(__xludf.DUMMYFUNCTION("""COMPUTED_VALUE""")," (Club) lvl:200, DMG: +5000, Water DMG: +5000 ++Frost Bind- binds the target freezing them until the end of their next turn")</f>
        <v> (Club) lvl:200, DMG: +5000, Water DMG: +5000 ++Frost Bind- binds the target freezing them until the end of their next turn</v>
      </c>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t="str">
        <f>IFERROR(__xludf.DUMMYFUNCTION("""COMPUTED_VALUE"""),"Frost Bow")</f>
        <v>Frost Bow</v>
      </c>
      <c r="B150" s="32" t="str">
        <f>IFERROR(__xludf.DUMMYFUNCTION("""COMPUTED_VALUE""")," (Bow) lvl:180, DMG: +5000, Water DMG: +4000 ++Arrows Used with this bow have a 50% chance to freeze the target(s)")</f>
        <v> (Bow) lvl:180, DMG: +5000, Water DMG: +4000 ++Arrows Used with this bow have a 50% chance to freeze the target(s)</v>
      </c>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t="str">
        <f>IFERROR(__xludf.DUMMYFUNCTION("""COMPUTED_VALUE"""),"Frost Cloak")</f>
        <v>Frost Cloak</v>
      </c>
      <c r="B151" s="32" t="str">
        <f>IFERROR(__xludf.DUMMYFUNCTION("""COMPUTED_VALUE""")," () lvl:1, : + (Frost Mage Set) ++When caster is hit by an enemy,the enemy is frozen for 5r/s caster,s cloak last for 3 r/s 90 sp")</f>
        <v> () lvl:1, : + (Frost Mage Set) ++When caster is hit by an enemy,the enemy is frozen for 5r/s caster,s cloak last for 3 r/s 90 sp</v>
      </c>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t="str">
        <f>IFERROR(__xludf.DUMMYFUNCTION("""COMPUTED_VALUE"""),"Frost Spear")</f>
        <v>Frost Spear</v>
      </c>
      <c r="B152" s="32" t="str">
        <f>IFERROR(__xludf.DUMMYFUNCTION("""COMPUTED_VALUE"""),"Event Exclusive (Spear) lvl:1000, DMG: +25000, Storm DMG: +25000 (The Frozen Spear Master Set) ++50% chance to freeze any enemies hit with this weapon")</f>
        <v>Event Exclusive (Spear) lvl:1000, DMG: +25000, Storm DMG: +25000 (The Frozen Spear Master Set) ++50% chance to freeze any enemies hit with this weapon</v>
      </c>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t="str">
        <f>IFERROR(__xludf.DUMMYFUNCTION("""COMPUTED_VALUE"""),"Frozen Carrot Dagger")</f>
        <v>Frozen Carrot Dagger</v>
      </c>
      <c r="B153" s="32" t="str">
        <f>IFERROR(__xludf.DUMMYFUNCTION("""COMPUTED_VALUE"""),"Event Exclusive (Knife) lvl:200, DMG: +5000, Water DMG: +5000")</f>
        <v>Event Exclusive (Knife) lvl:200, DMG: +5000, Water DMG: +5000</v>
      </c>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t="str">
        <f>IFERROR(__xludf.DUMMYFUNCTION("""COMPUTED_VALUE"""),"Frozen Falchion")</f>
        <v>Frozen Falchion</v>
      </c>
      <c r="B154" s="32" t="str">
        <f>IFERROR(__xludf.DUMMYFUNCTION("""COMPUTED_VALUE""")," (Sword) lvl:400, DMG: +10000, Water DMG: +10000 ++40% chance to freeze the target. ++While enemies are frozen in battle they will take 20,000 Water damage per round. +-Cannot be duplicated.")</f>
        <v> (Sword) lvl:400, DMG: +10000, Water DMG: +10000 ++40% chance to freeze the target. ++While enemies are frozen in battle they will take 20,000 Water damage per round. +-Cannot be duplicated.</v>
      </c>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t="str">
        <f>IFERROR(__xludf.DUMMYFUNCTION("""COMPUTED_VALUE"""),"Frozen Soul Lantern")</f>
        <v>Frozen Soul Lantern</v>
      </c>
      <c r="B155" s="32" t="str">
        <f>IFERROR(__xludf.DUMMYFUNCTION("""COMPUTED_VALUE""")," (Wand) lvl:1, : + ++When a spell that deals damage is casted by an enemy this item will inflict the effect Frostburn. ++Frostburn - The Targets spell damage is halved.")</f>
        <v> (Wand) lvl:1, : + ++When a spell that deals damage is casted by an enemy this item will inflict the effect Frostburn. ++Frostburn - The Targets spell damage is halved.</v>
      </c>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t="str">
        <f>IFERROR(__xludf.DUMMYFUNCTION("""COMPUTED_VALUE"""),"Gargoyle War Horn")</f>
        <v>Gargoyle War Horn</v>
      </c>
      <c r="B156" s="32" t="str">
        <f>IFERROR(__xludf.DUMMYFUNCTION("""COMPUTED_VALUE""")," (Wand) lvl:1, : + ++Summons a d2 of Gargoyles to help you in battle. +-Can only be used once per battle.")</f>
        <v> (Wand) lvl:1, : + ++Summons a d2 of Gargoyles to help you in battle. +-Can only be used once per battle.</v>
      </c>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t="str">
        <f>IFERROR(__xludf.DUMMYFUNCTION("""COMPUTED_VALUE"""),"Gargoyle’s Heavy Enchanted Bow")</f>
        <v>Gargoyle’s Heavy Enchanted Bow</v>
      </c>
      <c r="B157" s="32" t="str">
        <f>IFERROR(__xludf.DUMMYFUNCTION("""COMPUTED_VALUE""")," (Bow) lvl:3000, DMG: +100000, Earth DMG: +50000 ++Damage dealt with this bow gives you hp back equal to the damage you dealt. ")</f>
        <v> (Bow) lvl:3000, DMG: +100000, Earth DMG: +50000 ++Damage dealt with this bow gives you hp back equal to the damage you dealt. </v>
      </c>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t="str">
        <f>IFERROR(__xludf.DUMMYFUNCTION("""COMPUTED_VALUE"""),"Gargoyle’s Necklace of Luck ")</f>
        <v>Gargoyle’s Necklace of Luck </v>
      </c>
      <c r="B158" s="32" t="str">
        <f>IFERROR(__xludf.DUMMYFUNCTION("""COMPUTED_VALUE""")," () lvl:1, : + ++Allows 1 d20 roll to be a 20 once per battle or 1 rp action per day of travel. +-Cannot be forged +-Cannot be duplicated +-Can only equip one")</f>
        <v> () lvl:1, : + ++Allows 1 d20 roll to be a 20 once per battle or 1 rp action per day of travel. +-Cannot be forged +-Cannot be duplicated +-Can only equip one</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t="str">
        <f>IFERROR(__xludf.DUMMYFUNCTION("""COMPUTED_VALUE"""),"Gargoyle’s Ring")</f>
        <v>Gargoyle’s Ring</v>
      </c>
      <c r="B159" s="32" t="str">
        <f>IFERROR(__xludf.DUMMYFUNCTION("""COMPUTED_VALUE""")," () lvl:1, : + ++If you chose the gargoyle race as your main starting race this ring will make it so you will not become hardened.")</f>
        <v> () lvl:1, : + ++If you chose the gargoyle race as your main starting race this ring will make it so you will not become hardened.</v>
      </c>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t="str">
        <f>IFERROR(__xludf.DUMMYFUNCTION("""COMPUTED_VALUE"""),"Giant Spider Leg")</f>
        <v>Giant Spider Leg</v>
      </c>
      <c r="B160" s="32" t="str">
        <f>IFERROR(__xludf.DUMMYFUNCTION("""COMPUTED_VALUE""")," (Knife) lvl:200, ATK: +10000 ++When hitting an enemy inflict them with poison 500")</f>
        <v> (Knife) lvl:200, ATK: +10000 ++When hitting an enemy inflict them with poison 500</v>
      </c>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t="str">
        <f>IFERROR(__xludf.DUMMYFUNCTION("""COMPUTED_VALUE"""),"Glass Shield")</f>
        <v>Glass Shield</v>
      </c>
      <c r="B161" s="32" t="str">
        <f>IFERROR(__xludf.DUMMYFUNCTION("""COMPUTED_VALUE""")," (Towershield) lvl:1000, DEF: +50000 +-has a 50% chance of breaking upon taking damage")</f>
        <v> (Towershield) lvl:1000, DEF: +50000 +-has a 50% chance of breaking upon taking damage</v>
      </c>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t="str">
        <f>IFERROR(__xludf.DUMMYFUNCTION("""COMPUTED_VALUE"""),"Goose Staff")</f>
        <v>Goose Staff</v>
      </c>
      <c r="B162" s="32" t="str">
        <f>IFERROR(__xludf.DUMMYFUNCTION("""COMPUTED_VALUE""")," (Staff) lvl:1, : + ++Summons Lord Goose to aid you in battle, 1000 SP.")</f>
        <v> (Staff) lvl:1, : + ++Summons Lord Goose to aid you in battle, 1000 SP.</v>
      </c>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t="str">
        <f>IFERROR(__xludf.DUMMYFUNCTION("""COMPUTED_VALUE"""),"Grand Hellfire Sword")</f>
        <v>Grand Hellfire Sword</v>
      </c>
      <c r="B163" s="32" t="str">
        <f>IFERROR(__xludf.DUMMYFUNCTION("""COMPUTED_VALUE""")," (Sword) lvl:200, DMG: +50000, Fire DMG: +100000, Dark DMG: +50000, Chaos DMG: +50000, Celestial DMG: +50000 ++Upon a successful hit this weapon will have a 20% chance to summon a Grand Dark and Fire Mage, Level is determined by DM/GM. +-Cannot be Duplica"&amp;"ted.")</f>
        <v> (Sword) lvl:200, DMG: +50000, Fire DMG: +100000, Dark DMG: +50000, Chaos DMG: +50000, Celestial DMG: +50000 ++Upon a successful hit this weapon will have a 20% chance to summon a Grand Dark and Fire Mage, Level is determined by DM/GM. +-Cannot be Duplicated.</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t="str">
        <f>IFERROR(__xludf.DUMMYFUNCTION("""COMPUTED_VALUE"""),"Grand Master Bow")</f>
        <v>Grand Master Bow</v>
      </c>
      <c r="B164" s="32" t="str">
        <f>IFERROR(__xludf.DUMMYFUNCTION("""COMPUTED_VALUE""")," (Bow) lvl:20, DMG: +1000 ++X4 additional damage towards ranged attacks. +-Only Archers can equip. +-Cannot be duplicated. ")</f>
        <v> (Bow) lvl:20, DMG: +1000 ++X4 additional damage towards ranged attacks. +-Only Archers can equip. +-Cannot be duplicated. </v>
      </c>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t="str">
        <f>IFERROR(__xludf.DUMMYFUNCTION("""COMPUTED_VALUE"""),"Grass Sword")</f>
        <v>Grass Sword</v>
      </c>
      <c r="B165" s="32" t="str">
        <f>IFERROR(__xludf.DUMMYFUNCTION("""COMPUTED_VALUE"""),"A strong grass entity in the form of a sword (Sword) lvl:1, DMG: +250")</f>
        <v>A strong grass entity in the form of a sword (Sword) lvl:1, DMG: +250</v>
      </c>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t="str">
        <f>IFERROR(__xludf.DUMMYFUNCTION("""COMPUTED_VALUE"""),"Great Stone Gargoyle Sword")</f>
        <v>Great Stone Gargoyle Sword</v>
      </c>
      <c r="B166" s="32" t="str">
        <f>IFERROR(__xludf.DUMMYFUNCTION("""COMPUTED_VALUE""")," (Sword) lvl:4000, DMG: +100000, Earth DMG: +100000 ++When this weapon is equipped the wielder gets X2 Attack and Defence, +-Cannot be duplicated.")</f>
        <v> (Sword) lvl:4000, DMG: +100000, Earth DMG: +100000 ++When this weapon is equipped the wielder gets X2 Attack and Defence, +-Cannot be duplicated.</v>
      </c>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t="str">
        <f>IFERROR(__xludf.DUMMYFUNCTION("""COMPUTED_VALUE"""),"Greaves of The Sea Serpent")</f>
        <v>Greaves of The Sea Serpent</v>
      </c>
      <c r="B167" s="32" t="str">
        <f>IFERROR(__xludf.DUMMYFUNCTION("""COMPUTED_VALUE""")," () lvl:100, DEF: +2500, Water DEF: +2500 ++X2 additional water damage for self.")</f>
        <v> () lvl:100, DEF: +2500, Water DEF: +2500 ++X2 additional water damage for self.</v>
      </c>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t="str">
        <f>IFERROR(__xludf.DUMMYFUNCTION("""COMPUTED_VALUE"""),"Greaves of Waking Waters")</f>
        <v>Greaves of Waking Waters</v>
      </c>
      <c r="B168" s="32" t="str">
        <f>IFERROR(__xludf.DUMMYFUNCTION("""COMPUTED_VALUE""")," () lvl:200, DEF: +5000, Water DEF: +5000 ++X4 additional water damage for self.")</f>
        <v> () lvl:200, DEF: +5000, Water DEF: +5000 ++X4 additional water damage for self.</v>
      </c>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t="str">
        <f>IFERROR(__xludf.DUMMYFUNCTION("""COMPUTED_VALUE"""),"Halloween Staff")</f>
        <v>Halloween Staff</v>
      </c>
      <c r="B169" s="32" t="str">
        <f>IFERROR(__xludf.DUMMYFUNCTION("""COMPUTED_VALUE"""),"Halloween exclusive (Staff) lvl:1, : + ++Transform into the Headless Horseman for 3 rounds.")</f>
        <v>Halloween exclusive (Staff) lvl:1, : + ++Transform into the Headless Horseman for 3 rounds.</v>
      </c>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t="str">
        <f>IFERROR(__xludf.DUMMYFUNCTION("""COMPUTED_VALUE"""),"Hammer of Chaotic Shadows")</f>
        <v>Hammer of Chaotic Shadows</v>
      </c>
      <c r="B170" s="32" t="str">
        <f>IFERROR(__xludf.DUMMYFUNCTION("""COMPUTED_VALUE""")," (Club) lvl:300, DMG: +5000, Dark DMG: +5000, Chaos DMG: +5000 ++X2 Additional Dark and Chaos Damage. ")</f>
        <v> (Club) lvl:300, DMG: +5000, Dark DMG: +5000, Chaos DMG: +5000 ++X2 Additional Dark and Chaos Damage. </v>
      </c>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t="str">
        <f>IFERROR(__xludf.DUMMYFUNCTION("""COMPUTED_VALUE"""),"Hardened Ice Sickle")</f>
        <v>Hardened Ice Sickle</v>
      </c>
      <c r="B171" s="32" t="str">
        <f>IFERROR(__xludf.DUMMYFUNCTION("""COMPUTED_VALUE"""),"Event Exclusive (Knife) lvl:200, DMG: +5000, Water DMG: +5000 ++75% chance to freeze the target.")</f>
        <v>Event Exclusive (Knife) lvl:200, DMG: +5000, Water DMG: +5000 ++75% chance to freeze the target.</v>
      </c>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t="str">
        <f>IFERROR(__xludf.DUMMYFUNCTION("""COMPUTED_VALUE"""),"Haunted Katana")</f>
        <v>Haunted Katana</v>
      </c>
      <c r="B172" s="32" t="str">
        <f>IFERROR(__xludf.DUMMYFUNCTION("""COMPUTED_VALUE""")," (Sword) lvl:600, DMG: +10000, Dark DMG: +10000, Spirit DMG: +10000 +-You go last during the turn order in battle.. ")</f>
        <v> (Sword) lvl:600, DMG: +10000, Dark DMG: +10000, Spirit DMG: +10000 +-You go last during the turn order in battle.. </v>
      </c>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t="str">
        <f>IFERROR(__xludf.DUMMYFUNCTION("""COMPUTED_VALUE"""),"Haunted King's Favorite Shield")</f>
        <v>Haunted King's Favorite Shield</v>
      </c>
      <c r="B173" s="32" t="str">
        <f>IFERROR(__xludf.DUMMYFUNCTION("""COMPUTED_VALUE"""),"Halloween exclusive (Towershield) lvl:20, DEF: +1000 ++Great Block - When attacked you will take no damage until your next turn, Costs All SP and sets Users HP to 1.")</f>
        <v>Halloween exclusive (Towershield) lvl:20, DEF: +1000 ++Great Block - When attacked you will take no damage until your next turn, Costs All SP and sets Users HP to 1.</v>
      </c>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t="str">
        <f>IFERROR(__xludf.DUMMYFUNCTION("""COMPUTED_VALUE"""),"Haunted King's Favorite Sword")</f>
        <v>Haunted King's Favorite Sword</v>
      </c>
      <c r="B174" s="32" t="str">
        <f>IFERROR(__xludf.DUMMYFUNCTION("""COMPUTED_VALUE"""),"Halloween exclusive (Sword) lvl:60, DMG: +3000 ++Piercing Strike - Ignores all Def when attacking with this weapon ++gain 1000 SP upon a successful hit. +-Cannot be duplicated")</f>
        <v>Halloween exclusive (Sword) lvl:60, DMG: +3000 ++Piercing Strike - Ignores all Def when attacking with this weapon ++gain 1000 SP upon a successful hit. +-Cannot be duplicated</v>
      </c>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t="str">
        <f>IFERROR(__xludf.DUMMYFUNCTION("""COMPUTED_VALUE"""),"Heatmore Flame Golem Head")</f>
        <v>Heatmore Flame Golem Head</v>
      </c>
      <c r="B175" s="32" t="str">
        <f>IFERROR(__xludf.DUMMYFUNCTION("""COMPUTED_VALUE""")," () lvl:300, DEF: +5000, Fire DEF: +5000, Earth DEF: +5000 ++X2 additional Earth and Fire Resistance.")</f>
        <v> () lvl:300, DEF: +5000, Fire DEF: +5000, Earth DEF: +5000 ++X2 additional Earth and Fire Resistance.</v>
      </c>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t="str">
        <f>IFERROR(__xludf.DUMMYFUNCTION("""COMPUTED_VALUE"""),"Helmet of Darkness")</f>
        <v>Helmet of Darkness</v>
      </c>
      <c r="B176" s="32" t="str">
        <f>IFERROR(__xludf.DUMMYFUNCTION("""COMPUTED_VALUE""")," () lvl:400, DEF: +10000, Dark DEF: +10000 ++Immunity to Dark damage.")</f>
        <v> () lvl:400, DEF: +10000, Dark DEF: +10000 ++Immunity to Dark damage.</v>
      </c>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t="str">
        <f>IFERROR(__xludf.DUMMYFUNCTION("""COMPUTED_VALUE"""),"Helmet of Waking Waters")</f>
        <v>Helmet of Waking Waters</v>
      </c>
      <c r="B177" s="32" t="str">
        <f>IFERROR(__xludf.DUMMYFUNCTION("""COMPUTED_VALUE""")," () lvl:200, DEF: +5000, Water DEF: +5000 ++X4 additional water damage.")</f>
        <v> () lvl:200, DEF: +5000, Water DEF: +5000 ++X4 additional water damage.</v>
      </c>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t="str">
        <f>IFERROR(__xludf.DUMMYFUNCTION("""COMPUTED_VALUE"""),"High Range Bow")</f>
        <v>High Range Bow</v>
      </c>
      <c r="B178" s="32" t="str">
        <f>IFERROR(__xludf.DUMMYFUNCTION("""COMPUTED_VALUE""")," (Bow) lvl:10, DMG: +500 ++Hawkeye: X2 more arrow damage and ranged attacks deal half damage that are dealt to the wearer. ")</f>
        <v> (Bow) lvl:10, DMG: +500 ++Hawkeye: X2 more arrow damage and ranged attacks deal half damage that are dealt to the wearer. </v>
      </c>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t="str">
        <f>IFERROR(__xludf.DUMMYFUNCTION("""COMPUTED_VALUE"""),"Horn of The Forgotten")</f>
        <v>Horn of The Forgotten</v>
      </c>
      <c r="B179" s="32" t="str">
        <f>IFERROR(__xludf.DUMMYFUNCTION("""COMPUTED_VALUE""")," (Wand) lvl:1, : + ++Calls upon a lost soul to aid you in battle. The lost soul increases your max health defence and attack by double its original for the rest of battle. +-Can only be used once per battle. +-Cannot be duplicated")</f>
        <v> (Wand) lvl:1, : + ++Calls upon a lost soul to aid you in battle. The lost soul increases your max health defence and attack by double its original for the rest of battle. +-Can only be used once per battle. +-Cannot be duplicated</v>
      </c>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t="str">
        <f>IFERROR(__xludf.DUMMYFUNCTION("""COMPUTED_VALUE"""),"Houyi's Bow")</f>
        <v>Houyi's Bow</v>
      </c>
      <c r="B180" s="32" t="str">
        <f>IFERROR(__xludf.DUMMYFUNCTION("""COMPUTED_VALUE""")," (Bow) lvl:400, DMG: +20000 ++Skill Shot - gives the wielder X2 accuracy and X2 damage for bows.")</f>
        <v> (Bow) lvl:400, DMG: +20000 ++Skill Shot - gives the wielder X2 accuracy and X2 damage for bows.</v>
      </c>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t="str">
        <f>IFERROR(__xludf.DUMMYFUNCTION("""COMPUTED_VALUE"""),"Ice Blade")</f>
        <v>Ice Blade</v>
      </c>
      <c r="B181" s="32" t="str">
        <f>IFERROR(__xludf.DUMMYFUNCTION("""COMPUTED_VALUE""")," (Sword) lvl:100, DMG: +2000, Water DMG: +3000 ++50% chance to freeze the target.")</f>
        <v> (Sword) lvl:100, DMG: +2000, Water DMG: +3000 ++50% chance to freeze the target.</v>
      </c>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t="str">
        <f>IFERROR(__xludf.DUMMYFUNCTION("""COMPUTED_VALUE"""),"Inferno Staff")</f>
        <v>Inferno Staff</v>
      </c>
      <c r="B182" s="32" t="str">
        <f>IFERROR(__xludf.DUMMYFUNCTION("""COMPUTED_VALUE""")," (Staff) lvl:200, : +, Fire : +10000 ++Burn 10,000 to 1 target for 3 rounds. 100sp.")</f>
        <v> (Staff) lvl:200, : +, Fire : +10000 ++Burn 10,000 to 1 target for 3 rounds. 100sp.</v>
      </c>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t="str">
        <f>IFERROR(__xludf.DUMMYFUNCTION("""COMPUTED_VALUE"""),"Jack's Special Archer Robe")</f>
        <v>Jack's Special Archer Robe</v>
      </c>
      <c r="B183" s="32" t="str">
        <f>IFERROR(__xludf.DUMMYFUNCTION("""COMPUTED_VALUE"""),"Halloween exclusive () lvl:20, DEF: +900 ++Range Spells cost half the SP cost and all damage is doubled for ranged spells +-Archer Class Only")</f>
        <v>Halloween exclusive () lvl:20, DEF: +900 ++Range Spells cost half the SP cost and all damage is doubled for ranged spells +-Archer Class Only</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t="str">
        <f>IFERROR(__xludf.DUMMYFUNCTION("""COMPUTED_VALUE"""),"Jack's Special Ring")</f>
        <v>Jack's Special Ring</v>
      </c>
      <c r="B184" s="32" t="str">
        <f>IFERROR(__xludf.DUMMYFUNCTION("""COMPUTED_VALUE"""),"Halloween exclusive () lvl:1, : + ++Increase all types of damage by X2. +-Cannot be forged +-Cannot be duplicated")</f>
        <v>Halloween exclusive () lvl:1, : + ++Increase all types of damage by X2. +-Cannot be forged +-Cannot be duplicated</v>
      </c>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t="str">
        <f>IFERROR(__xludf.DUMMYFUNCTION("""COMPUTED_VALUE"""),"Jack's Special Sword")</f>
        <v>Jack's Special Sword</v>
      </c>
      <c r="B185" s="32" t="str">
        <f>IFERROR(__xludf.DUMMYFUNCTION("""COMPUTED_VALUE"""),"Halloween exclusive (Sword) lvl:60, DMG: +1500, Dark DMG: +600, Chaos DMG: +900 ++Vampires Lust II - Any damage dealt by this sword will give you HP and SP equal to the damage dealt. +-Cannot be duplicated")</f>
        <v>Halloween exclusive (Sword) lvl:60, DMG: +1500, Dark DMG: +600, Chaos DMG: +900 ++Vampires Lust II - Any damage dealt by this sword will give you HP and SP equal to the damage dealt. +-Cannot be duplicated</v>
      </c>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t="str">
        <f>IFERROR(__xludf.DUMMYFUNCTION("""COMPUTED_VALUE"""),"Jack’o Lantern Helmet of Swampy Hallow")</f>
        <v>Jack’o Lantern Helmet of Swampy Hallow</v>
      </c>
      <c r="B186" s="32" t="str">
        <f>IFERROR(__xludf.DUMMYFUNCTION("""COMPUTED_VALUE"""),"Halloween exclusive () lvl:600, DEF: +5000, Fire DEF: +5000, Dark DEF: +5000, Spirit DEF: +5000, Chaos DEF: +5000, Nature DEF: +5000 ++Allows you to use up to Rank 9 Nature, Fire, Dark, Chaos, and Spirit Spells, ++X2 additional Nature, Fire, Dark, Chaos, "&amp;"and Spirit damage.")</f>
        <v>Halloween exclusive () lvl:600, DEF: +5000, Fire DEF: +5000, Dark DEF: +5000, Spirit DEF: +5000, Chaos DEF: +5000, Nature DEF: +5000 ++Allows you to use up to Rank 9 Nature, Fire, Dark, Chaos, and Spirit Spells, ++X2 additional Nature, Fire, Dark, Chaos, and Spirit damage.</v>
      </c>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t="str">
        <f>IFERROR(__xludf.DUMMYFUNCTION("""COMPUTED_VALUE"""),"Katana")</f>
        <v>Katana</v>
      </c>
      <c r="B187" s="32" t="str">
        <f>IFERROR(__xludf.DUMMYFUNCTION("""COMPUTED_VALUE""")," (Sword) lvl:10, DMG: +500 ++ +10% chance of the sword ability activating.")</f>
        <v> (Sword) lvl:10, DMG: +500 ++ +10% chance of the sword ability activating.</v>
      </c>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t="str">
        <f>IFERROR(__xludf.DUMMYFUNCTION("""COMPUTED_VALUE"""),"King Of Mekanas Sword")</f>
        <v>King Of Mekanas Sword</v>
      </c>
      <c r="B188" s="32" t="str">
        <f>IFERROR(__xludf.DUMMYFUNCTION("""COMPUTED_VALUE"""),"Mob Exclusive (Sword) lvl:3000, DMG: +50000, Fire DMG: +50000, Storm DMG: +50000 ++X8 additional Fire and Storm damage. ")</f>
        <v>Mob Exclusive (Sword) lvl:3000, DMG: +50000, Fire DMG: +50000, Storm DMG: +50000 ++X8 additional Fire and Storm damage. </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t="str">
        <f>IFERROR(__xludf.DUMMYFUNCTION("""COMPUTED_VALUE"""),"King's Royal Sword")</f>
        <v>King's Royal Sword</v>
      </c>
      <c r="B189" s="32" t="str">
        <f>IFERROR(__xludf.DUMMYFUNCTION("""COMPUTED_VALUE"""),"Quest Item (Sword) lvl:200, DMG: +100000, Celestial DMG: +100000 ++ +5 can be added to your d20 rolls. X12 additional Celestial damage. +-Cannot be duplicated")</f>
        <v>Quest Item (Sword) lvl:200, DMG: +100000, Celestial DMG: +100000 ++ +5 can be added to your d20 rolls. X12 additional Celestial damage. +-Cannot be duplicated</v>
      </c>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t="str">
        <f>IFERROR(__xludf.DUMMYFUNCTION("""COMPUTED_VALUE"""),"Knife")</f>
        <v>Knife</v>
      </c>
      <c r="B190" s="32" t="str">
        <f>IFERROR(__xludf.DUMMYFUNCTION("""COMPUTED_VALUE""")," (Knife) lvl:20, DMG: +1000")</f>
        <v> (Knife) lvl:20, DMG: +1000</v>
      </c>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t="str">
        <f>IFERROR(__xludf.DUMMYFUNCTION("""COMPUTED_VALUE"""),"Knife of Jinx")</f>
        <v>Knife of Jinx</v>
      </c>
      <c r="B191" s="32" t="str">
        <f>IFERROR(__xludf.DUMMYFUNCTION("""COMPUTED_VALUE""")," (Knife) lvl:1, DMG: +10 ++ If this weapon is used against a character owned by James, This will instantly kill that character even if they are immune to instant death, otherwise this will deal 10 damage")</f>
        <v> (Knife) lvl:1, DMG: +10 ++ If this weapon is used against a character owned by James, This will instantly kill that character even if they are immune to instant death, otherwise this will deal 10 damage</v>
      </c>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t="str">
        <f>IFERROR(__xludf.DUMMYFUNCTION("""COMPUTED_VALUE"""),"kraken's power ring")</f>
        <v>kraken's power ring</v>
      </c>
      <c r="B192" s="32" t="str">
        <f>IFERROR(__xludf.DUMMYFUNCTION("""COMPUTED_VALUE""")," () lvl:1, : + ++water based attacks double in damage. ++sp cost is halved for water spells only")</f>
        <v> () lvl:1, : + ++water based attacks double in damage. ++sp cost is halved for water spells only</v>
      </c>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t="str">
        <f>IFERROR(__xludf.DUMMYFUNCTION("""COMPUTED_VALUE"""),"Krakens Power Ring")</f>
        <v>Krakens Power Ring</v>
      </c>
      <c r="B193" s="32" t="str">
        <f>IFERROR(__xludf.DUMMYFUNCTION("""COMPUTED_VALUE""")," () lvl:1, : + ++water based attacks deal x2 damage, ++sp is halved for water spells only. +-(one use per battle)")</f>
        <v> () lvl:1, : + ++water based attacks deal x2 damage, ++sp is halved for water spells only. +-(one use per battle)</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t="str">
        <f>IFERROR(__xludf.DUMMYFUNCTION("""COMPUTED_VALUE"""),"Lava Longsword")</f>
        <v>Lava Longsword</v>
      </c>
      <c r="B194" s="32" t="str">
        <f>IFERROR(__xludf.DUMMYFUNCTION("""COMPUTED_VALUE""")," (Sword) lvl:800, DMG: +20000, Fire DMG: +20000 ++Burn 10,000 for 3 rounds.")</f>
        <v> (Sword) lvl:800, DMG: +20000, Fire DMG: +20000 ++Burn 10,000 for 3 rounds.</v>
      </c>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t="str">
        <f>IFERROR(__xludf.DUMMYFUNCTION("""COMPUTED_VALUE"""),"Lazer Infused Sword")</f>
        <v>Lazer Infused Sword</v>
      </c>
      <c r="B195" s="32" t="str">
        <f>IFERROR(__xludf.DUMMYFUNCTION("""COMPUTED_VALUE""")," (Sword) lvl:600, DMG: +10000, Fire DMG: +10000, Blood DMG: +10000 ++Ignores Defense. +-Cannot be duplicated.")</f>
        <v> (Sword) lvl:600, DMG: +10000, Fire DMG: +10000, Blood DMG: +10000 ++Ignores Defense. +-Cannot be duplicated.</v>
      </c>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t="str">
        <f>IFERROR(__xludf.DUMMYFUNCTION("""COMPUTED_VALUE"""),"Legendary Sword of Heatmore")</f>
        <v>Legendary Sword of Heatmore</v>
      </c>
      <c r="B196" s="32" t="str">
        <f>IFERROR(__xludf.DUMMYFUNCTION("""COMPUTED_VALUE""")," (Sword) lvl:200, DMG: +20000, Fire DMG: +20000, Water DMG: +20000, Celestial DMG: +20000 ++75% chance of instant death. ++X6 additional Fire damage. ++Burn 10,000. +-Cannot be duplicated")</f>
        <v> (Sword) lvl:200, DMG: +20000, Fire DMG: +20000, Water DMG: +20000, Celestial DMG: +20000 ++75% chance of instant death. ++X6 additional Fire damage. ++Burn 10,000. +-Cannot be duplicated</v>
      </c>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t="str">
        <f>IFERROR(__xludf.DUMMYFUNCTION("""COMPUTED_VALUE"""),"Legendary Tree Sword")</f>
        <v>Legendary Tree Sword</v>
      </c>
      <c r="B197" s="32" t="str">
        <f>IFERROR(__xludf.DUMMYFUNCTION("""COMPUTED_VALUE""")," (Sword) lvl:200, DMG: +50000, Nature DMG: +50000, Celestial DMG: +50000 ++X6 Additional Nature damage. ++20% chance of Incorporeal 2. +-Cannot be duplicated.")</f>
        <v> (Sword) lvl:200, DMG: +50000, Nature DMG: +50000, Celestial DMG: +50000 ++X6 Additional Nature damage. ++20% chance of Incorporeal 2. +-Cannot be duplicated.</v>
      </c>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t="str">
        <f>IFERROR(__xludf.DUMMYFUNCTION("""COMPUTED_VALUE"""),"Leggings Of Tritonoch")</f>
        <v>Leggings Of Tritonoch</v>
      </c>
      <c r="B198" s="32" t="str">
        <f>IFERROR(__xludf.DUMMYFUNCTION("""COMPUTED_VALUE""")," () lvl:400, DEF: +20000 ++Waves of Entitlement - x5 additional Water damage")</f>
        <v> () lvl:400, DEF: +20000 ++Waves of Entitlement - x5 additional Water damage</v>
      </c>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t="str">
        <f>IFERROR(__xludf.DUMMYFUNCTION("""COMPUTED_VALUE"""),"Lightning Lance")</f>
        <v>Lightning Lance</v>
      </c>
      <c r="B199" s="32" t="str">
        <f>IFERROR(__xludf.DUMMYFUNCTION("""COMPUTED_VALUE""")," (Spear) lvl:500, DMG: +10000, Storm DMG: +15000 ++Stun 2")</f>
        <v> (Spear) lvl:500, DMG: +10000, Storm DMG: +15000 ++Stun 2</v>
      </c>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t="str">
        <f>IFERROR(__xludf.DUMMYFUNCTION("""COMPUTED_VALUE"""),"Long Spear")</f>
        <v>Long Spear</v>
      </c>
      <c r="B200" s="32" t="str">
        <f>IFERROR(__xludf.DUMMYFUNCTION("""COMPUTED_VALUE""")," (Spear) lvl:10, DMG: +500 ++25% chance of instant death. ")</f>
        <v> (Spear) lvl:10, DMG: +500 ++25% chance of instant death. </v>
      </c>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t="str">
        <f>IFERROR(__xludf.DUMMYFUNCTION("""COMPUTED_VALUE"""),"Lord Dreadfuls Sword")</f>
        <v>Lord Dreadfuls Sword</v>
      </c>
      <c r="B201" s="32" t="str">
        <f>IFERROR(__xludf.DUMMYFUNCTION("""COMPUTED_VALUE""")," (Sword) lvl:800, DMG: +20000, Dark DMG: +10000, Chaos DMG: +10000")</f>
        <v> (Sword) lvl:800, DMG: +20000, Dark DMG: +10000, Chaos DMG: +10000</v>
      </c>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t="str">
        <f>IFERROR(__xludf.DUMMYFUNCTION("""COMPUTED_VALUE"""),"Magma Morningstar")</f>
        <v>Magma Morningstar</v>
      </c>
      <c r="B202" s="32" t="str">
        <f>IFERROR(__xludf.DUMMYFUNCTION("""COMPUTED_VALUE""")," (Club) lvl:20, DMG: +500, Fire DMG: +400 ++Will return to you each round when thrown")</f>
        <v> (Club) lvl:20, DMG: +500, Fire DMG: +400 ++Will return to you each round when thrown</v>
      </c>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t="str">
        <f>IFERROR(__xludf.DUMMYFUNCTION("""COMPUTED_VALUE"""),"Magma Sword")</f>
        <v>Magma Sword</v>
      </c>
      <c r="B203" s="32" t="str">
        <f>IFERROR(__xludf.DUMMYFUNCTION("""COMPUTED_VALUE"""),"A sword that turned Forest View into Ash View. (Sword) lvl:200, DMG: +50000, Fire DMG: +50000, Celestial DMG: +50000 ++X6 additional Fire damage. ++Burn 20,000 for 3 rounds. +-Cannot be duplicated")</f>
        <v>A sword that turned Forest View into Ash View. (Sword) lvl:200, DMG: +50000, Fire DMG: +50000, Celestial DMG: +50000 ++X6 additional Fire damage. ++Burn 20,000 for 3 rounds. +-Cannot be duplicated</v>
      </c>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t="str">
        <f>IFERROR(__xludf.DUMMYFUNCTION("""COMPUTED_VALUE"""),"Masking Cloak")</f>
        <v>Masking Cloak</v>
      </c>
      <c r="B204" s="32" t="str">
        <f>IFERROR(__xludf.DUMMYFUNCTION("""COMPUTED_VALUE""")," () lvl:1, : + ++5 Evasion +-(Cannot be duplicated)")</f>
        <v> () lvl:1, : + ++5 Evasion +-(Cannot be duplicated)</v>
      </c>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t="str">
        <f>IFERROR(__xludf.DUMMYFUNCTION("""COMPUTED_VALUE"""),"Mini Lucky Fish in a Bottle")</f>
        <v>Mini Lucky Fish in a Bottle</v>
      </c>
      <c r="B205" s="32" t="str">
        <f>IFERROR(__xludf.DUMMYFUNCTION("""COMPUTED_VALUE""")," (Wand) lvl:1, : + ++Percentage rolls are now increased by 10% for caster that holds this item. +-Can only equip one")</f>
        <v> (Wand) lvl:1, : + ++Percentage rolls are now increased by 10% for caster that holds this item. +-Can only equip one</v>
      </c>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t="str">
        <f>IFERROR(__xludf.DUMMYFUNCTION("""COMPUTED_VALUE"""),"Nature Faery Wand")</f>
        <v>Nature Faery Wand</v>
      </c>
      <c r="B206" s="32" t="str">
        <f>IFERROR(__xludf.DUMMYFUNCTION("""COMPUTED_VALUE""")," (Wand) lvl:1, : + ++half the sp cost of nature spells")</f>
        <v> (Wand) lvl:1, : + ++half the sp cost of nature spells</v>
      </c>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t="str">
        <f>IFERROR(__xludf.DUMMYFUNCTION("""COMPUTED_VALUE"""),"Nature's Sword")</f>
        <v>Nature's Sword</v>
      </c>
      <c r="B207" s="32" t="str">
        <f>IFERROR(__xludf.DUMMYFUNCTION("""COMPUTED_VALUE""")," (Sword) lvl:40, DMG: +800, Nature DMG: +800 ++Upon a successful hit, the next turn you will automatically use the spell Tree Stance.")</f>
        <v> (Sword) lvl:40, DMG: +800, Nature DMG: +800 ++Upon a successful hit, the next turn you will automatically use the spell Tree Stance.</v>
      </c>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t="str">
        <f>IFERROR(__xludf.DUMMYFUNCTION("""COMPUTED_VALUE"""),"Necklace o' Lending")</f>
        <v>Necklace o' Lending</v>
      </c>
      <c r="B208" s="32" t="str">
        <f>IFERROR(__xludf.DUMMYFUNCTION("""COMPUTED_VALUE""")," () lvl:1, : + ++Decrease XHP and XSP from your character sheet and add that amount to another target.")</f>
        <v> () lvl:1, : + ++Decrease XHP and XSP from your character sheet and add that amount to another target.</v>
      </c>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t="str">
        <f>IFERROR(__xludf.DUMMYFUNCTION("""COMPUTED_VALUE"""),"Necklace Of Ancient Mountains")</f>
        <v>Necklace Of Ancient Mountains</v>
      </c>
      <c r="B209" s="32" t="str">
        <f>IFERROR(__xludf.DUMMYFUNCTION("""COMPUTED_VALUE""")," () lvl:1, : + ++Forged items now deal double in damage for the wearer, ++Forging rolls cannot fail, +-Cannot be forged +-Cannot be duplicated")</f>
        <v> () lvl:1, : + ++Forged items now deal double in damage for the wearer, ++Forging rolls cannot fail, +-Cannot be forged +-Cannot be duplicated</v>
      </c>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t="str">
        <f>IFERROR(__xludf.DUMMYFUNCTION("""COMPUTED_VALUE"""),"Necklace Of Heatmore")</f>
        <v>Necklace Of Heatmore</v>
      </c>
      <c r="B210" s="32" t="str">
        <f>IFERROR(__xludf.DUMMYFUNCTION("""COMPUTED_VALUE""")," () lvl:1, : + ++ +2 is added to your d20 roll.")</f>
        <v> () lvl:1, : + ++ +2 is added to your d20 roll.</v>
      </c>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t="str">
        <f>IFERROR(__xludf.DUMMYFUNCTION("""COMPUTED_VALUE"""),"Necklace of Shards")</f>
        <v>Necklace of Shards</v>
      </c>
      <c r="B211" s="32" t="str">
        <f>IFERROR(__xludf.DUMMYFUNCTION("""COMPUTED_VALUE""")," () lvl:1, : + ++X6 Chaos and Dark Damage. +-Cannot be duplicated.")</f>
        <v> () lvl:1, : + ++X6 Chaos and Dark Damage. +-Cannot be duplicated.</v>
      </c>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t="str">
        <f>IFERROR(__xludf.DUMMYFUNCTION("""COMPUTED_VALUE"""),"Necklace of The Lost Soul")</f>
        <v>Necklace of The Lost Soul</v>
      </c>
      <c r="B212" s="32" t="str">
        <f>IFERROR(__xludf.DUMMYFUNCTION("""COMPUTED_VALUE""")," () lvl:1, DEF: +100 ++X2 Spirit Damage, ++Soul Enhanced II - Each soul you put into this item will increase its base defense by 100 up to 200,000.")</f>
        <v> () lvl:1, DEF: +100 ++X2 Spirit Damage, ++Soul Enhanced II - Each soul you put into this item will increase its base defense by 100 up to 200,000.</v>
      </c>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t="str">
        <f>IFERROR(__xludf.DUMMYFUNCTION("""COMPUTED_VALUE"""),"Necklace of the Pumpkin")</f>
        <v>Necklace of the Pumpkin</v>
      </c>
      <c r="B213" s="32" t="str">
        <f>IFERROR(__xludf.DUMMYFUNCTION("""COMPUTED_VALUE""")," () lvl:1, : + ++Gives Immunity to Fire, Dark, and Nature damage")</f>
        <v> () lvl:1, : + ++Gives Immunity to Fire, Dark, and Nature damage</v>
      </c>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t="str">
        <f>IFERROR(__xludf.DUMMYFUNCTION("""COMPUTED_VALUE"""),"Necklace Of Tritonoch")</f>
        <v>Necklace Of Tritonoch</v>
      </c>
      <c r="B214" s="32" t="str">
        <f>IFERROR(__xludf.DUMMYFUNCTION("""COMPUTED_VALUE""")," () lvl:1, DEF: + ++Any water attack dealt by the wearer has a 50% chance to freeze the targets it hits, ++Waves of Entitlement - x5 additional Water damage")</f>
        <v> () lvl:1, DEF: + ++Any water attack dealt by the wearer has a 50% chance to freeze the targets it hits, ++Waves of Entitlement - x5 additional Water damage</v>
      </c>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t="str">
        <f>IFERROR(__xludf.DUMMYFUNCTION("""COMPUTED_VALUE"""),"Necklace of Waking Waters")</f>
        <v>Necklace of Waking Waters</v>
      </c>
      <c r="B215" s="32" t="str">
        <f>IFERROR(__xludf.DUMMYFUNCTION("""COMPUTED_VALUE""")," () lvl:1, DEF: + ++Immunity to sleep. ++X4 Water damage.")</f>
        <v> () lvl:1, DEF: + ++Immunity to sleep. ++X4 Water damage.</v>
      </c>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t="str">
        <f>IFERROR(__xludf.DUMMYFUNCTION("""COMPUTED_VALUE"""),"Necklace of Water Breathing")</f>
        <v>Necklace of Water Breathing</v>
      </c>
      <c r="B216" s="32" t="str">
        <f>IFERROR(__xludf.DUMMYFUNCTION("""COMPUTED_VALUE""")," () lvl:1, : + ++Allows you to breath underwater.")</f>
        <v> () lvl:1, : + ++Allows you to breath underwater.</v>
      </c>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t="str">
        <f>IFERROR(__xludf.DUMMYFUNCTION("""COMPUTED_VALUE"""),"Obsidian Chestplate")</f>
        <v>Obsidian Chestplate</v>
      </c>
      <c r="B217" s="32" t="str">
        <f>IFERROR(__xludf.DUMMYFUNCTION("""COMPUTED_VALUE"""),"Quest Item () lvl:4000, DEF: +100000, Fire DEF: +100000 ++Fire Immunity. +-Cannot be duplicated.")</f>
        <v>Quest Item () lvl:4000, DEF: +100000, Fire DEF: +100000 ++Fire Immunity. +-Cannot be duplicated.</v>
      </c>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t="str">
        <f>IFERROR(__xludf.DUMMYFUNCTION("""COMPUTED_VALUE"""),"Ancient Oni Mask")</f>
        <v>Ancient Oni Mask</v>
      </c>
      <c r="B218" s="32"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t="str">
        <f>IFERROR(__xludf.DUMMYFUNCTION("""COMPUTED_VALUE"""),"Pauldrons of Waking Waters")</f>
        <v>Pauldrons of Waking Waters</v>
      </c>
      <c r="B219" s="32" t="str">
        <f>IFERROR(__xludf.DUMMYFUNCTION("""COMPUTED_VALUE""")," () lvl:200, DEF: +5000, Water DEF: +5000 ++X4 additional water damage for self.")</f>
        <v> () lvl:200, DEF: +5000, Water DEF: +5000 ++X4 additional water damage for self.</v>
      </c>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t="str">
        <f>IFERROR(__xludf.DUMMYFUNCTION("""COMPUTED_VALUE"""),"Pendent of the Sea Serpent")</f>
        <v>Pendent of the Sea Serpent</v>
      </c>
      <c r="B220" s="32" t="str">
        <f>IFERROR(__xludf.DUMMYFUNCTION("""COMPUTED_VALUE""")," () lvl:1, : + ++X2 Water Resistance.")</f>
        <v> () lvl:1, : + ++X2 Water Resistance.</v>
      </c>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t="str">
        <f>IFERROR(__xludf.DUMMYFUNCTION("""COMPUTED_VALUE"""),"Pendent of Confusion")</f>
        <v>Pendent of Confusion</v>
      </c>
      <c r="B221" s="32" t="str">
        <f>IFERROR(__xludf.DUMMYFUNCTION("""COMPUTED_VALUE""")," () lvl:1, : + ++At the beginning of battle choose a target and choose two numbers between 1-40 whenever the target rolls the numbers you chose while they are attacking they attack themself (1 use per battle)")</f>
        <v> () lvl:1, : + ++At the beginning of battle choose a target and choose two numbers between 1-40 whenever the target rolls the numbers you chose while they are attacking they attack themself (1 use per battle)</v>
      </c>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t="str">
        <f>IFERROR(__xludf.DUMMYFUNCTION("""COMPUTED_VALUE"""),"Pendent of Luck")</f>
        <v>Pendent of Luck</v>
      </c>
      <c r="B222" s="32" t="str">
        <f>IFERROR(__xludf.DUMMYFUNCTION("""COMPUTED_VALUE""")," () lvl:1, : + ++Plus 100 to each base Stat.")</f>
        <v> () lvl:1, : + ++Plus 100 to each base Stat.</v>
      </c>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t="str">
        <f>IFERROR(__xludf.DUMMYFUNCTION("""COMPUTED_VALUE"""),"Pillow of Dreams")</f>
        <v>Pillow of Dreams</v>
      </c>
      <c r="B223" s="32" t="str">
        <f>IFERROR(__xludf.DUMMYFUNCTION("""COMPUTED_VALUE""")," (Towershield) lvl:200, DEF: +100000, Astral DEF: +100000, Celestial DEF: +50000 ++When you sleep in a INN your dreams become reality. Roll a d20 to see what your dreams awaken. This item must be equipped for the effect to be applied. Can only be used onc"&amp;"e before each journey. Must have lower then half your max hp, sp, hunger, thirst, or energy to use.")</f>
        <v> (Towershield) lvl:200, 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t="str">
        <f>IFERROR(__xludf.DUMMYFUNCTION("""COMPUTED_VALUE"""),"Poison Vine Sword")</f>
        <v>Poison Vine Sword</v>
      </c>
      <c r="B224" s="32" t="str">
        <f>IFERROR(__xludf.DUMMYFUNCTION("""COMPUTED_VALUE""")," (Sword) lvl:2000, DMG: +50000, Nature DMG: +50000 ++Poison 25,000")</f>
        <v> (Sword) lvl:2000, DMG: +50000, Nature DMG: +50000 ++Poison 25,000</v>
      </c>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t="str">
        <f>IFERROR(__xludf.DUMMYFUNCTION("""COMPUTED_VALUE"""),"Poseidon's Boots")</f>
        <v>Poseidon's Boots</v>
      </c>
      <c r="B225" s="32" t="str">
        <f>IFERROR(__xludf.DUMMYFUNCTION("""COMPUTED_VALUE""")," () lvl:400, DEF: +10000, Water DEF: +10000 ++X8 additional water damage for self.")</f>
        <v> () lvl:400, DEF: +10000, Water DEF: +10000 ++X8 additional water damage for self.</v>
      </c>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t="str">
        <f>IFERROR(__xludf.DUMMYFUNCTION("""COMPUTED_VALUE"""),"Poseidon's Chestplate")</f>
        <v>Poseidon's Chestplate</v>
      </c>
      <c r="B226" s="32" t="str">
        <f>IFERROR(__xludf.DUMMYFUNCTION("""COMPUTED_VALUE""")," () lvl:800, DEF: +20000, Water DEF: +20000 ++X8 additional water damage for self. ++X10 additional water resistance and Natural Defense for self and allies if you have all Poseidon Equipment Equipped.")</f>
        <v> () lvl:800, DEF: +20000, Water DEF: +20000 ++X8 additional water damage for self. ++X10 additional water resistance and Natural Defense for self and allies if you have all Poseidon Equipment Equipped.</v>
      </c>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t="str">
        <f>IFERROR(__xludf.DUMMYFUNCTION("""COMPUTED_VALUE"""),"Poseidon's Greaves")</f>
        <v>Poseidon's Greaves</v>
      </c>
      <c r="B227" s="32" t="str">
        <f>IFERROR(__xludf.DUMMYFUNCTION("""COMPUTED_VALUE""")," () lvl:400, DEF: +10000, Water DEF: +10000 ++X8 additional water damage for self.")</f>
        <v> () lvl:400, DEF: +10000, Water DEF: +10000 ++X8 additional water damage for self.</v>
      </c>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t="str">
        <f>IFERROR(__xludf.DUMMYFUNCTION("""COMPUTED_VALUE"""),"Poseidon's Helmet")</f>
        <v>Poseidon's Helmet</v>
      </c>
      <c r="B228" s="32" t="str">
        <f>IFERROR(__xludf.DUMMYFUNCTION("""COMPUTED_VALUE""")," () lvl:400, DEF: +10000, Water DEF: +10000 ++X8 additional water damage for self.")</f>
        <v> () lvl:400, DEF: +10000, Water DEF: +10000 ++X8 additional water damage for self.</v>
      </c>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t="str">
        <f>IFERROR(__xludf.DUMMYFUNCTION("""COMPUTED_VALUE"""),"Poseidon's Pauldrons")</f>
        <v>Poseidon's Pauldrons</v>
      </c>
      <c r="B229" s="32" t="str">
        <f>IFERROR(__xludf.DUMMYFUNCTION("""COMPUTED_VALUE""")," () lvl:400, DEF: +10000, Water DEF: +10000 ++X8 additional water damage for self.")</f>
        <v> () lvl:400, DEF: +10000, Water DEF: +10000 ++X8 additional water damage for self.</v>
      </c>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t="str">
        <f>IFERROR(__xludf.DUMMYFUNCTION("""COMPUTED_VALUE"""),"Poseidon's Ring")</f>
        <v>Poseidon's Ring</v>
      </c>
      <c r="B230" s="32" t="str">
        <f>IFERROR(__xludf.DUMMYFUNCTION("""COMPUTED_VALUE""")," () lvl:20, DEF: +1000 ++X8 additional water damage for self. ")</f>
        <v> () lvl:20, DEF: +1000 ++X8 additional water damage for self. </v>
      </c>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t="str">
        <f>IFERROR(__xludf.DUMMYFUNCTION("""COMPUTED_VALUE"""),"Poseidon's Sword")</f>
        <v>Poseidon's Sword</v>
      </c>
      <c r="B231" s="32" t="str">
        <f>IFERROR(__xludf.DUMMYFUNCTION("""COMPUTED_VALUE""")," (Sword) lvl:200, DMG: +40000, Water DMG: +40000, Celestial DMG: +20000 ++X10 additional water damage for self. ++X12 additional water damage and Natural Defense for self and allies if you have all Poseidon Equipment Equipped. +-Cannot be forged +-Cannot "&amp;"be duplicated")</f>
        <v> (Sword) lvl:200, DMG: +40000, Water DMG: +40000, Celestial DMG: +20000 ++X10 additional water damage for self. ++X12 additional water damage and Natural Defense for self and allies if you have all Poseidon Equipment Equipped. +-Cannot be forged +-Cannot be duplicated</v>
      </c>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t="str">
        <f>IFERROR(__xludf.DUMMYFUNCTION("""COMPUTED_VALUE"""),"Poseidon's Trident")</f>
        <v>Poseidon's Trident</v>
      </c>
      <c r="B232" s="32" t="str">
        <f>IFERROR(__xludf.DUMMYFUNCTION("""COMPUTED_VALUE""")," (Spear) lvl:200, DMG: +50000, Water DMG: +50000, Celestial DMG: +25000 ++The user is Immune to the first attack of each battle, Ignores Defense and Water Immunity when attacking a target. +-Cannot be forged +-Cannot be duplicated")</f>
        <v> (Spear) lvl:200, DMG: +50000, Water DMG: +50000, Celestial DMG: +25000 ++The user is Immune to the first attack of each battle, Ignores Defense and Water Immunity when attacking a target. +-Cannot be forged +-Cannot be duplicated</v>
      </c>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t="str">
        <f>IFERROR(__xludf.DUMMYFUNCTION("""COMPUTED_VALUE"""),"Poseidon's Vambraces")</f>
        <v>Poseidon's Vambraces</v>
      </c>
      <c r="B233" s="32" t="str">
        <f>IFERROR(__xludf.DUMMYFUNCTION("""COMPUTED_VALUE""")," () lvl:400, DEF: +10000, Water DEF: +10000 ++X8 additional water damage for self.")</f>
        <v> () lvl:400, DEF: +10000, Water DEF: +10000 ++X8 additional water damage for self.</v>
      </c>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t="str">
        <f>IFERROR(__xludf.DUMMYFUNCTION("""COMPUTED_VALUE"""),"Riftblade")</f>
        <v>Riftblade</v>
      </c>
      <c r="B234" s="32" t="str">
        <f>IFERROR(__xludf.DUMMYFUNCTION("""COMPUTED_VALUE"""),"An ancient blade from a forgotten time (Sword) lvl:600, DMG: +10000, Chaos DMG: +10000, Nature DMG: +10000")</f>
        <v>An ancient blade from a forgotten time (Sword) lvl:600, DMG: +10000, Chaos DMG: +10000, Nature DMG: +10000</v>
      </c>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t="str">
        <f>IFERROR(__xludf.DUMMYFUNCTION("""COMPUTED_VALUE"""),"Ring o’ Luck and Nature")</f>
        <v>Ring o’ Luck and Nature</v>
      </c>
      <c r="B235" s="32" t="str">
        <f>IFERROR(__xludf.DUMMYFUNCTION("""COMPUTED_VALUE""")," () lvl:1, : + ++Immunity to nature damage, ++increases the roll of a d20 by 2. +-Can only equip one")</f>
        <v> () lvl:1, : + ++Immunity to nature damage, ++increases the roll of a d20 by 2. +-Can only equip one</v>
      </c>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t="str">
        <f>IFERROR(__xludf.DUMMYFUNCTION("""COMPUTED_VALUE"""),"Ring of Darkness")</f>
        <v>Ring of Darkness</v>
      </c>
      <c r="B236" s="32" t="str">
        <f>IFERROR(__xludf.DUMMYFUNCTION("""COMPUTED_VALUE""")," () lvl:1, : + ++Shadow Cloud - Cloaks you in a cloud darkness - causes all enemies to miss you with any attack, including cannot avoid attacks for the rest of the round, Fail/Succeed, -200 sp.")</f>
        <v> () lvl:1, : + ++Shadow Cloud - Cloaks you in a cloud darkness - causes all enemies to miss you with any attack, including cannot avoid attacks for the rest of the round, Fail/Succeed, -200 sp.</v>
      </c>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t="str">
        <f>IFERROR(__xludf.DUMMYFUNCTION("""COMPUTED_VALUE"""),"Ring of Death")</f>
        <v>Ring of Death</v>
      </c>
      <c r="B237" s="32" t="str">
        <f>IFERROR(__xludf.DUMMYFUNCTION("""COMPUTED_VALUE""")," () lvl:1, : + ++Causes instant death with a fail/succeed roll.")</f>
        <v> () lvl:1, : + ++Causes instant death with a fail/succeed roll.</v>
      </c>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t="str">
        <f>IFERROR(__xludf.DUMMYFUNCTION("""COMPUTED_VALUE"""),"Ring Of Dwelling Waters")</f>
        <v>Ring Of Dwelling Waters</v>
      </c>
      <c r="B238" s="32" t="str">
        <f>IFERROR(__xludf.DUMMYFUNCTION("""COMPUTED_VALUE""")," () lvl:1, : +, Fire : +  ++X2 Water and Dark damage.")</f>
        <v> () lvl:1, : +, Fire : +  ++X2 Water and Dark damage.</v>
      </c>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t="str">
        <f>IFERROR(__xludf.DUMMYFUNCTION("""COMPUTED_VALUE"""),"Ring of Endless Souls")</f>
        <v>Ring of Endless Souls</v>
      </c>
      <c r="B239" s="32" t="str">
        <f>IFERROR(__xludf.DUMMYFUNCTION("""COMPUTED_VALUE""")," () lvl:1, : + ++0 Def ++Soul Enchanted - Every time you enchant a soul into this item increase the Def of this item by 10. ")</f>
        <v> () lvl:1, : + ++0 Def ++Soul Enchanted - Every time you enchant a soul into this item increase the Def of this item by 10. </v>
      </c>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t="str">
        <f>IFERROR(__xludf.DUMMYFUNCTION("""COMPUTED_VALUE"""),"Ring of Healing")</f>
        <v>Ring of Healing</v>
      </c>
      <c r="B240" s="32" t="str">
        <f>IFERROR(__xludf.DUMMYFUNCTION("""COMPUTED_VALUE""")," () lvl:1, : + ++500 hp per round.")</f>
        <v> () lvl:1, : + ++500 hp per round.</v>
      </c>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t="str">
        <f>IFERROR(__xludf.DUMMYFUNCTION("""COMPUTED_VALUE"""),"Ring of Invulnerability ")</f>
        <v>Ring of Invulnerability </v>
      </c>
      <c r="B241" s="32" t="str">
        <f>IFERROR(__xludf.DUMMYFUNCTION("""COMPUTED_VALUE""")," () lvl:1, : + ++Gain invulnerability to damage for the first round of battle, you are unable to inflict any non-magic damage for the first round of battle. +-Cannot be duplicated. +-Cannot be forged. ")</f>
        <v> () lvl:1, : + ++Gain invulnerability to damage for the first round of battle, you are unable to inflict any non-magic damage for the first round of battle. +-Cannot be duplicated. +-Cannot be forged. </v>
      </c>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t="str">
        <f>IFERROR(__xludf.DUMMYFUNCTION("""COMPUTED_VALUE"""),"Ring of Pure Chaos")</f>
        <v>Ring of Pure Chaos</v>
      </c>
      <c r="B242" s="32" t="str">
        <f>IFERROR(__xludf.DUMMYFUNCTION("""COMPUTED_VALUE""")," () lvl:1, : + ++X2 Chaos damage, ++ +5 Charisma and Intimidation. +-Cannot be forged +-Cannot be duplicated +-Can only equip one")</f>
        <v> () lvl:1, : + ++X2 Chaos damage, ++ +5 Charisma and Intimidation. +-Cannot be forged +-Cannot be duplicated +-Can only equip one</v>
      </c>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t="str">
        <f>IFERROR(__xludf.DUMMYFUNCTION("""COMPUTED_VALUE"""),"Ring of Pure Defense")</f>
        <v>Ring of Pure Defense</v>
      </c>
      <c r="B243" s="32" t="str">
        <f>IFERROR(__xludf.DUMMYFUNCTION("""COMPUTED_VALUE""")," () lvl:1, : + ++Half the damage taken from the next attack 100SP Will Succeed.")</f>
        <v> () lvl:1, : + ++Half the damage taken from the next attack 100SP Will Succeed.</v>
      </c>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t="str">
        <f>IFERROR(__xludf.DUMMYFUNCTION("""COMPUTED_VALUE"""),"Ring of Reflect")</f>
        <v>Ring of Reflect</v>
      </c>
      <c r="B244" s="32" t="str">
        <f>IFERROR(__xludf.DUMMYFUNCTION("""COMPUTED_VALUE""")," () lvl:1, : + ++Inflict half the damage you take back to the enemy that dealt it. +-Can only have one equipped. +-Cannot be duplicated.")</f>
        <v> () lvl:1, : + ++Inflict half the damage you take back to the enemy that dealt it. +-Can only have one equipped. +-Cannot be duplicated.</v>
      </c>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t="str">
        <f>IFERROR(__xludf.DUMMYFUNCTION("""COMPUTED_VALUE"""),"Ring of the Bonded Undead")</f>
        <v>Ring of the Bonded Undead</v>
      </c>
      <c r="B245" s="32" t="str">
        <f>IFERROR(__xludf.DUMMYFUNCTION("""COMPUTED_VALUE""")," () lvl:1, : + ++When you battle with any Undead target you can deal X2 more damage.")</f>
        <v> () lvl:1, : + ++When you battle with any Undead target you can deal X2 more damage.</v>
      </c>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t="str">
        <f>IFERROR(__xludf.DUMMYFUNCTION("""COMPUTED_VALUE"""),"Ring of the Forgotten")</f>
        <v>Ring of the Forgotten</v>
      </c>
      <c r="B246" s="32" t="str">
        <f>IFERROR(__xludf.DUMMYFUNCTION("""COMPUTED_VALUE""")," () lvl:1, : + ++Make a fail/succeed roll to make a target forget they were fighting you. +-Cannot be duplicated")</f>
        <v> () lvl:1, : + ++Make a fail/succeed roll to make a target forget they were fighting you. +-Cannot be duplicated</v>
      </c>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t="str">
        <f>IFERROR(__xludf.DUMMYFUNCTION("""COMPUTED_VALUE"""),"Ring Of Tritonoch")</f>
        <v>Ring Of Tritonoch</v>
      </c>
      <c r="B247" s="32" t="str">
        <f>IFERROR(__xludf.DUMMYFUNCTION("""COMPUTED_VALUE""")," () lvl:1, : + ++Waves of Entitlement - x5 additional Water damage")</f>
        <v> () lvl:1, : + ++Waves of Entitlement - x5 additional Water damage</v>
      </c>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t="str">
        <f>IFERROR(__xludf.DUMMYFUNCTION("""COMPUTED_VALUE"""),"Ring of Waking Waters")</f>
        <v>Ring of Waking Waters</v>
      </c>
      <c r="B248" s="32" t="str">
        <f>IFERROR(__xludf.DUMMYFUNCTION("""COMPUTED_VALUE""")," () lvl:100, DEF: +, Water DEF: +5000 ++X4 additional water damage for self.")</f>
        <v> () lvl:100, DEF: +, Water DEF: +5000 ++X4 additional water damage for self.</v>
      </c>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t="str">
        <f>IFERROR(__xludf.DUMMYFUNCTION("""COMPUTED_VALUE"""),"Robe of The Cultist")</f>
        <v>Robe of The Cultist</v>
      </c>
      <c r="B249" s="32" t="str">
        <f>IFERROR(__xludf.DUMMYFUNCTION("""COMPUTED_VALUE""")," () lvl:80, DEF: +2000, Dark DEF: +2000 ++Instant Death Immunity. ++500HP +-Cannot be forged +-Cannot be duplicated")</f>
        <v> () lvl:80, DEF: +2000, Dark DEF: +2000 ++Instant Death Immunity. ++500HP +-Cannot be forged +-Cannot be duplicated</v>
      </c>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t="str">
        <f>IFERROR(__xludf.DUMMYFUNCTION("""COMPUTED_VALUE"""),"Robe of Vanish")</f>
        <v>Robe of Vanish</v>
      </c>
      <c r="B250" s="32" t="str">
        <f>IFERROR(__xludf.DUMMYFUNCTION("""COMPUTED_VALUE""")," () lvl:20, DEF: +900 ++Shadow Disappear - When Equipped you are invulnerable to all damage for the first round of battle. ")</f>
        <v> () lvl:20, DEF: +900 ++Shadow Disappear - When Equipped you are invulnerable to all damage for the first round of battle. </v>
      </c>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t="str">
        <f>IFERROR(__xludf.DUMMYFUNCTION("""COMPUTED_VALUE"""),"Robes of a Peaceful Immortal")</f>
        <v>Robes of a Peaceful Immortal</v>
      </c>
      <c r="B251" s="32" t="str">
        <f>IFERROR(__xludf.DUMMYFUNCTION("""COMPUTED_VALUE""")," () lvl:1, : + ++Peaceful Blessing - Incapable of receiving or dealing damage. +-Cannot be duplicated.")</f>
        <v> () lvl:1, : + ++Peaceful Blessing - Incapable of receiving or dealing damage. +-Cannot be duplicated.</v>
      </c>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t="str">
        <f>IFERROR(__xludf.DUMMYFUNCTION("""COMPUTED_VALUE"""),"Royal Amulet Of Heatmore")</f>
        <v>Royal Amulet Of Heatmore</v>
      </c>
      <c r="B252" s="32" t="str">
        <f>IFERROR(__xludf.DUMMYFUNCTION("""COMPUTED_VALUE""")," () lvl:1, : + ++ immune to fire dmg")</f>
        <v> () lvl:1, : + ++ immune to fire dmg</v>
      </c>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t="str">
        <f>IFERROR(__xludf.DUMMYFUNCTION("""COMPUTED_VALUE"""),"Royal Guard Axe")</f>
        <v>Royal Guard Axe</v>
      </c>
      <c r="B253" s="32" t="str">
        <f>IFERROR(__xludf.DUMMYFUNCTION("""COMPUTED_VALUE"""),"Quest Item () lvl:200, DMG: +50000, Light DMG: +50000, Celestial DMG: +50000 ++X4 additional Weapon Damage. +-Cannot be duplicated.")</f>
        <v>Quest Item () lvl:200, DMG: +50000, Light DMG: +50000, Celestial DMG: +50000 ++X4 additional Weapon Damage. +-Cannot be duplicated.</v>
      </c>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t="str">
        <f>IFERROR(__xludf.DUMMYFUNCTION("""COMPUTED_VALUE"""),"Royal Guard Helmet")</f>
        <v>Royal Guard Helmet</v>
      </c>
      <c r="B254" s="32"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t="str">
        <f>IFERROR(__xludf.DUMMYFUNCTION("""COMPUTED_VALUE"""),"Royal Guard Chestplate")</f>
        <v>Royal Guard Chestplate</v>
      </c>
      <c r="B255" s="32"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t="str">
        <f>IFERROR(__xludf.DUMMYFUNCTION("""COMPUTED_VALUE"""),"Royal Guard Boots")</f>
        <v>Royal Guard Boots</v>
      </c>
      <c r="B256" s="32"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t="str">
        <f>IFERROR(__xludf.DUMMYFUNCTION("""COMPUTED_VALUE"""),"Royal Guard Greaves")</f>
        <v>Royal Guard Greaves</v>
      </c>
      <c r="B257" s="32"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t="str">
        <f>IFERROR(__xludf.DUMMYFUNCTION("""COMPUTED_VALUE"""),"Royal Keeper Shield")</f>
        <v>Royal Keeper Shield</v>
      </c>
      <c r="B258" s="32" t="str">
        <f>IFERROR(__xludf.DUMMYFUNCTION("""COMPUTED_VALUE""")," (Towershield) lvl:20, DEF: +1000 ++Royal Block - Gan invulnerability to all damage for 3 rounds of battle. 5000SP Will Succeed.")</f>
        <v> (Towershield) lvl:20, DEF: +1000 ++Royal Block - Gan invulnerability to all damage for 3 rounds of battle. 5000SP Will Succeed.</v>
      </c>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t="str">
        <f>IFERROR(__xludf.DUMMYFUNCTION("""COMPUTED_VALUE"""),"Royal Keeper Spear")</f>
        <v>Royal Keeper Spear</v>
      </c>
      <c r="B259" s="32" t="str">
        <f>IFERROR(__xludf.DUMMYFUNCTION("""COMPUTED_VALUE""")," (Spear) lvl:400, DMG: +10000, Fire DMG: +10000 ++Royal Stance -  Shuttering 1 for the first round of battle.")</f>
        <v> (Spear) lvl:400, DMG: +10000, Fire DMG: +10000 ++Royal Stance -  Shuttering 1 for the first round of battle.</v>
      </c>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t="str">
        <f>IFERROR(__xludf.DUMMYFUNCTION("""COMPUTED_VALUE"""),"Royal Sword of Chaotic Shadows")</f>
        <v>Royal Sword of Chaotic Shadows</v>
      </c>
      <c r="B260" s="32" t="str">
        <f>IFERROR(__xludf.DUMMYFUNCTION("""COMPUTED_VALUE""")," (Sword) lvl:900, DMG: +15000, Dark DMG: +15000, Chaos DMG: +15000 ++Dark and Chaos Weapons and Spells deal an additional X2 damage while this item is equipped.. +-Cannot be duplicated.")</f>
        <v> (Sword) lvl:900, DMG: +15000, Dark DMG: +15000, Chaos DMG: +15000 ++Dark and Chaos Weapons and Spells deal an additional X2 damage while this item is equipped.. +-Cannot be duplicated.</v>
      </c>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t="str">
        <f>IFERROR(__xludf.DUMMYFUNCTION("""COMPUTED_VALUE"""),"Rusty sword")</f>
        <v>Rusty sword</v>
      </c>
      <c r="B261" s="32" t="str">
        <f>IFERROR(__xludf.DUMMYFUNCTION("""COMPUTED_VALUE""")," (Sword) lvl:1, DMG: +60 ++25% chance to break with each use")</f>
        <v> (Sword) lvl:1, DMG: +60 ++25% chance to break with each use</v>
      </c>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t="str">
        <f>IFERROR(__xludf.DUMMYFUNCTION("""COMPUTED_VALUE"""),"Saber Toothed Sword")</f>
        <v>Saber Toothed Sword</v>
      </c>
      <c r="B262" s="32" t="str">
        <f>IFERROR(__xludf.DUMMYFUNCTION("""COMPUTED_VALUE"""),"A sword crafted from the teeth of a saber toothed cat. (Sword) lvl:2200, DMG: +60000, Blood DMG: +50000 ++X2 additional blood damage.")</f>
        <v>A sword crafted from the teeth of a saber toothed cat. (Sword) lvl:2200, DMG: +60000, Blood DMG: +50000 ++X2 additional blood damage.</v>
      </c>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t="str">
        <f>IFERROR(__xludf.DUMMYFUNCTION("""COMPUTED_VALUE"""),"Ancient Oni Chestplate")</f>
        <v>Ancient Oni Chestplate</v>
      </c>
      <c r="B263" s="32"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duplicated or forged.")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t="str">
        <f>IFERROR(__xludf.DUMMYFUNCTION("""COMPUTED_VALUE"""),"Scythe of Mischief ")</f>
        <v>Scythe of Mischief </v>
      </c>
      <c r="B264" s="32" t="str">
        <f>IFERROR(__xludf.DUMMYFUNCTION("""COMPUTED_VALUE""")," (Scythe) lvl:200, DMG: +5000, Fire DMG: +5000, Dark DMG: +5000, Spirit DMG: +5000, Chaos DMG: +5000, Stasis DMG: +5000, Twilight DMG: +5000, Voodoo DMG: +5000, Blood DMG: +5000, Celestial DMG: +10000 ++Enemies deduct 2 from their rolls when targeting you"&amp;". +-Cannot be duplicated")</f>
        <v> (Scythe) lvl:200, DMG: +5000, Fire DMG: +5000, Dark DMG: +5000, Spirit DMG: +5000, Chaos DMG: +5000, Stasis DMG: +5000, Twilight DMG: +5000, Voodoo DMG: +5000, Blood DMG: +5000, Celestial DMG: +10000 ++Enemies deduct 2 from their rolls when targeting you. +-Cannot be duplicated</v>
      </c>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t="str">
        <f>IFERROR(__xludf.DUMMYFUNCTION("""COMPUTED_VALUE"""),"Sea Serpent Boots")</f>
        <v>Sea Serpent Boots</v>
      </c>
      <c r="B265" s="32" t="str">
        <f>IFERROR(__xludf.DUMMYFUNCTION("""COMPUTED_VALUE""")," () lvl:100, DEF: +2500, Water DEF: +2500 ++X2 additional water damage for self.")</f>
        <v> () lvl:100, DEF: +2500, Water DEF: +2500 ++X2 additional water damage for self.</v>
      </c>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t="str">
        <f>IFERROR(__xludf.DUMMYFUNCTION("""COMPUTED_VALUE"""),"Sea Serpent Pauldrons")</f>
        <v>Sea Serpent Pauldrons</v>
      </c>
      <c r="B266" s="32" t="str">
        <f>IFERROR(__xludf.DUMMYFUNCTION("""COMPUTED_VALUE""")," () lvl:100, DEF: +2500, Water DEF: +2500 ++X2 additional water damage for self.")</f>
        <v> () lvl:100, DEF: +2500, Water DEF: +2500 ++X2 additional water damage for self.</v>
      </c>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t="str">
        <f>IFERROR(__xludf.DUMMYFUNCTION("""COMPUTED_VALUE"""),"Sea Serpent Vambrace")</f>
        <v>Sea Serpent Vambrace</v>
      </c>
      <c r="B267" s="32" t="str">
        <f>IFERROR(__xludf.DUMMYFUNCTION("""COMPUTED_VALUE""")," () lvl:100, DEF: +2500, Water DEF: +2500 ++X2 additional water damage for self.")</f>
        <v> () lvl:100, DEF: +2500, Water DEF: +2500 ++X2 additional water damage for self.</v>
      </c>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t="str">
        <f>IFERROR(__xludf.DUMMYFUNCTION("""COMPUTED_VALUE"""),"Sea Serpents Mythical Chestplate")</f>
        <v>Sea Serpents Mythical Chestplate</v>
      </c>
      <c r="B268" s="32" t="str">
        <f>IFERROR(__xludf.DUMMYFUNCTION("""COMPUTED_VALUE""")," () lvl:200, DEF: +5000, Water DEF: +5000 ++X2 additional water damage for self. ++X4 Water damage for self and allies if you have all Sea Serpent Equipment Equipped.")</f>
        <v> () lvl:200, DEF: +5000, Water DEF: +5000 ++X2 additional water damage for self. ++X4 Water damage for self and allies if you have all Sea Serpent Equipment Equipped.</v>
      </c>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t="str">
        <f>IFERROR(__xludf.DUMMYFUNCTION("""COMPUTED_VALUE"""),"Shadow Flute")</f>
        <v>Shadow Flute</v>
      </c>
      <c r="B269" s="32" t="str">
        <f>IFERROR(__xludf.DUMMYFUNCTION("""COMPUTED_VALUE""")," () lvl:1, : + ++Can summon a chaotic shadow gnome to battle.")</f>
        <v> () lvl:1, : + ++Can summon a chaotic shadow gnome to battle.</v>
      </c>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t="str">
        <f>IFERROR(__xludf.DUMMYFUNCTION("""COMPUTED_VALUE"""),"Shadow Kings Sword")</f>
        <v>Shadow Kings Sword</v>
      </c>
      <c r="B270" s="32" t="str">
        <f>IFERROR(__xludf.DUMMYFUNCTION("""COMPUTED_VALUE""")," (Sword) lvl:400, DMG: +10000, Dark DMG: +5000, Chaos DMG: +5000")</f>
        <v> (Sword) lvl:400, DMG: +10000, Dark DMG: +5000, Chaos DMG: +5000</v>
      </c>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t="str">
        <f>IFERROR(__xludf.DUMMYFUNCTION("""COMPUTED_VALUE"""),"Shield of Guarding Smite")</f>
        <v>Shield of Guarding Smite</v>
      </c>
      <c r="B271" s="32" t="str">
        <f>IFERROR(__xludf.DUMMYFUNCTION("""COMPUTED_VALUE""")," (Towershield) lvl:2000, DEF: +100000 ++75% chance to melt an enemies weapon that dealt damage to you. +-Cannot be duplicated")</f>
        <v> (Towershield) lvl:2000, DEF: +100000 ++75% chance to melt an enemies weapon that dealt damage to you. +-Cannot be duplicated</v>
      </c>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t="str">
        <f>IFERROR(__xludf.DUMMYFUNCTION("""COMPUTED_VALUE"""),"Shield of Targeting")</f>
        <v>Shield of Targeting</v>
      </c>
      <c r="B272" s="32" t="str">
        <f>IFERROR(__xludf.DUMMYFUNCTION("""COMPUTED_VALUE""")," (Buckler) lvl:20, DEF: +1000 ++Target me you B**** - enemies will automatically target you no matter, Use intimidation for this item effect.")</f>
        <v> (Buckler) lvl:20, DEF: +1000 ++Target me you B**** - enemies will automatically target you no matter, Use intimidation for this item effect.</v>
      </c>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t="str">
        <f>IFERROR(__xludf.DUMMYFUNCTION("""COMPUTED_VALUE"""),"Shining Katana")</f>
        <v>Shining Katana</v>
      </c>
      <c r="B273" s="32" t="str">
        <f>IFERROR(__xludf.DUMMYFUNCTION("""COMPUTED_VALUE""")," () lvl:200, DMG: +10000 ++++500 bleeding damage p/r.")</f>
        <v> () lvl:200, DMG: +10000 ++++500 bleeding damage p/r.</v>
      </c>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t="str">
        <f>IFERROR(__xludf.DUMMYFUNCTION("""COMPUTED_VALUE"""),"Shoes of Metal Harmony's")</f>
        <v>Shoes of Metal Harmony's</v>
      </c>
      <c r="B274" s="32" t="str">
        <f>IFERROR(__xludf.DUMMYFUNCTION("""COMPUTED_VALUE""")," () lvl:200, DEF: +10000 ++When dealing damage with an instrument you will regain hp equal to the damage you caused.")</f>
        <v> () lvl:200, DEF: +10000 ++When dealing damage with an instrument you will regain hp equal to the damage you caused.</v>
      </c>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t="str">
        <f>IFERROR(__xludf.DUMMYFUNCTION("""COMPUTED_VALUE"""),"Shoes of Water Walking")</f>
        <v>Shoes of Water Walking</v>
      </c>
      <c r="B275" s="32" t="str">
        <f>IFERROR(__xludf.DUMMYFUNCTION("""COMPUTED_VALUE""")," () lvl:200, DEF: +5000, Water DEF: +5000 ++All water damage can now be any Element of choosing (this will still be counted as water damage for additional buffs).")</f>
        <v> () lvl:200, DEF: +5000, Water DEF: +5000 ++All water damage can now be any Element of choosing (this will still be counted as water damage for additional buffs).</v>
      </c>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t="str">
        <f>IFERROR(__xludf.DUMMYFUNCTION("""COMPUTED_VALUE"""),"Short Spear")</f>
        <v>Short Spear</v>
      </c>
      <c r="B276" s="32" t="str">
        <f>IFERROR(__xludf.DUMMYFUNCTION("""COMPUTED_VALUE""")," (Spear) lvl:1, DMG: +250")</f>
        <v> (Spear) lvl:1, DMG: +250</v>
      </c>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t="str">
        <f>IFERROR(__xludf.DUMMYFUNCTION("""COMPUTED_VALUE"""),"Shuriken")</f>
        <v>Shuriken</v>
      </c>
      <c r="B277" s="32" t="str">
        <f>IFERROR(__xludf.DUMMYFUNCTION("""COMPUTED_VALUE""")," (Boomerang) lvl:200, DMG: +5000, Blood DMG: +5000 ++Will return to you when thrown.")</f>
        <v> (Boomerang) lvl:200, DMG: +5000, Blood DMG: +5000 ++Will return to you when thrown.</v>
      </c>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t="str">
        <f>IFERROR(__xludf.DUMMYFUNCTION("""COMPUTED_VALUE"""),"Shuttering Cloak")</f>
        <v>Shuttering Cloak</v>
      </c>
      <c r="B278" s="32" t="str">
        <f>IFERROR(__xludf.DUMMYFUNCTION("""COMPUTED_VALUE""")," () lvl:1, : + ++Plus 10 Evasion and Mobility, +-You Cannot be unaffected by spells or attacks. +-Can only equip one")</f>
        <v> () lvl:1, : + ++Plus 10 Evasion and Mobility, +-You Cannot be unaffected by spells or attacks. +-Can only equip one</v>
      </c>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t="str">
        <f>IFERROR(__xludf.DUMMYFUNCTION("""COMPUTED_VALUE"""),"Silver Armor")</f>
        <v>Silver Armor</v>
      </c>
      <c r="B279" s="32" t="str">
        <f>IFERROR(__xludf.DUMMYFUNCTION("""COMPUTED_VALUE""")," () lvl:1, DEF: +30")</f>
        <v> () lvl:1, DEF: +30</v>
      </c>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t="str">
        <f>IFERROR(__xludf.DUMMYFUNCTION("""COMPUTED_VALUE"""),"Silver Katana")</f>
        <v>Silver Katana</v>
      </c>
      <c r="B280" s="32" t="str">
        <f>IFERROR(__xludf.DUMMYFUNCTION("""COMPUTED_VALUE""")," (Sword) lvl:200, DMG: +10000 ++Causes Blindness 3")</f>
        <v> (Sword) lvl:200, DMG: +10000 ++Causes Blindness 3</v>
      </c>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t="str">
        <f>IFERROR(__xludf.DUMMYFUNCTION("""COMPUTED_VALUE"""),"Silver Knife")</f>
        <v>Silver Knife</v>
      </c>
      <c r="B281" s="32" t="str">
        <f>IFERROR(__xludf.DUMMYFUNCTION("""COMPUTED_VALUE""")," (Knife) lvl:200, DMG: +10000")</f>
        <v> (Knife) lvl:200, DMG: +10000</v>
      </c>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t="str">
        <f>IFERROR(__xludf.DUMMYFUNCTION("""COMPUTED_VALUE"""),"Skull Cleaver")</f>
        <v>Skull Cleaver</v>
      </c>
      <c r="B282" s="32" t="str">
        <f>IFERROR(__xludf.DUMMYFUNCTION("""COMPUTED_VALUE""")," (Sword) lvl:1000, DMG: +30000, Dark DMG: +20000 ++75% Chance of instant death.")</f>
        <v> (Sword) lvl:1000, DMG: +30000, Dark DMG: +20000 ++75% Chance of instant death.</v>
      </c>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t="str">
        <f>IFERROR(__xludf.DUMMYFUNCTION("""COMPUTED_VALUE"""),"Skull of the many Kings")</f>
        <v>Skull of the many Kings</v>
      </c>
      <c r="B283" s="32" t="str">
        <f>IFERROR(__xludf.DUMMYFUNCTION("""COMPUTED_VALUE""")," () lvl:1, DEF: +300 ++Immunity to all dark damage")</f>
        <v> () lvl:1, DEF: +300 ++Immunity to all dark damage</v>
      </c>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t="str">
        <f>IFERROR(__xludf.DUMMYFUNCTION("""COMPUTED_VALUE"""),"Skull Ring")</f>
        <v>Skull Ring</v>
      </c>
      <c r="B284" s="32" t="str">
        <f>IFERROR(__xludf.DUMMYFUNCTION("""COMPUTED_VALUE""")," () lvl:1, : + ++Increase damage of all dark spells and weapons by X2")</f>
        <v> () lvl:1, : + ++Increase damage of all dark spells and weapons by X2</v>
      </c>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t="str">
        <f>IFERROR(__xludf.DUMMYFUNCTION("""COMPUTED_VALUE"""),"Spear")</f>
        <v>Spear</v>
      </c>
      <c r="B285" s="32" t="str">
        <f>IFERROR(__xludf.DUMMYFUNCTION("""COMPUTED_VALUE""")," (Spear) lvl:1, DMG: +100")</f>
        <v> (Spear) lvl:1, DMG: +100</v>
      </c>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t="str">
        <f>IFERROR(__xludf.DUMMYFUNCTION("""COMPUTED_VALUE"""),"Spear Of Assal ")</f>
        <v>Spear Of Assal </v>
      </c>
      <c r="B286" s="32" t="str">
        <f>IFERROR(__xludf.DUMMYFUNCTION("""COMPUTED_VALUE"""),"(Event Exclusive) Lugh's Spear he weilded in battle. The spear will always find its mark when the incantation Ibar is spoken by the user.  (Spear) lvl:200, DMG: +50000, Fire DMG: +50000, Celestial DMG: +50000 ++12,000 celestial and fire damage for 3 round"&amp;"s. +-Cannot be forged +-Cannot be duplicated +-Cannot be confiscated. ++Ignores evasion, ++Will always return when thrown.")</f>
        <v>(Event Exclusive) Lugh's Spear he weilded in battle. The spear will always find its mark when the incantation Ibar is spoken by the user.  (Spear) lvl:200, DMG: +50000, Fire DMG: +50000, Celestial DMG: +50000 ++12,000 celestial and fire damage for 3 rounds. +-Cannot be forged +-Cannot be duplicated +-Cannot be confiscated. ++Ignores evasion, ++Will always return when thrown.</v>
      </c>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t="str">
        <f>IFERROR(__xludf.DUMMYFUNCTION("""COMPUTED_VALUE"""),"Spiked Armor")</f>
        <v>Spiked Armor</v>
      </c>
      <c r="B287" s="32" t="str">
        <f>IFERROR(__xludf.DUMMYFUNCTION("""COMPUTED_VALUE""")," () lvl:1, DEF: +100 ++Used for both offense and defense. ++Enemies take half the damage they caused, when they attack you.")</f>
        <v> () lvl:1, DEF: +100 ++Used for both offense and defense. ++Enemies take half the damage they caused, when they attack you.</v>
      </c>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t="str">
        <f>IFERROR(__xludf.DUMMYFUNCTION("""COMPUTED_VALUE"""),"Spiny Shield")</f>
        <v>Spiny Shield</v>
      </c>
      <c r="B288" s="32" t="str">
        <f>IFERROR(__xludf.DUMMYFUNCTION("""COMPUTED_VALUE""")," (Buckler) lvl:1, DEF: +170")</f>
        <v> (Buckler) lvl:1, DEF: +170</v>
      </c>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t="str">
        <f>IFERROR(__xludf.DUMMYFUNCTION("""COMPUTED_VALUE"""),"Spooky Branch Ring")</f>
        <v>Spooky Branch Ring</v>
      </c>
      <c r="B289" s="32" t="str">
        <f>IFERROR(__xludf.DUMMYFUNCTION("""COMPUTED_VALUE"""),"Halloween Exclusive () lvl:1, : + ++Increase fire and dark damage by X2.")</f>
        <v>Halloween Exclusive () lvl:1, : + ++Increase fire and dark damage by X2.</v>
      </c>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t="str">
        <f>IFERROR(__xludf.DUMMYFUNCTION("""COMPUTED_VALUE"""),"Staff of Chaotic Shadows")</f>
        <v>Staff of Chaotic Shadows</v>
      </c>
      <c r="B290" s="32" t="str">
        <f>IFERROR(__xludf.DUMMYFUNCTION("""COMPUTED_VALUE""")," (Staff) lvl:1200, DMG: +, Fire DMG: +20000, Dark DMG: +20000, Chaos DMG: +20000 ++damages all enemies. +-Cannot be forged.")</f>
        <v> (Staff) lvl:1200, DMG: +, Fire DMG: +20000, Dark DMG: +20000, Chaos DMG: +20000 ++damages all enemies. +-Cannot be forged.</v>
      </c>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t="str">
        <f>IFERROR(__xludf.DUMMYFUNCTION("""COMPUTED_VALUE"""),"Staff of Crystals")</f>
        <v>Staff of Crystals</v>
      </c>
      <c r="B291" s="32" t="str">
        <f>IFERROR(__xludf.DUMMYFUNCTION("""COMPUTED_VALUE""")," (Staff) lvl:400, DMG: +, Earth DMG: +20000 ++When Equipped any damage dealt by a Crystal or Gem related weapon is X4. +-Cannot be duplicated.")</f>
        <v> (Staff) lvl:400, DMG: +, Earth DMG: +20000 ++When Equipped any damage dealt by a Crystal or Gem related weapon is X4. +-Cannot be duplicated.</v>
      </c>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t="str">
        <f>IFERROR(__xludf.DUMMYFUNCTION("""COMPUTED_VALUE"""),"Staff Of Heatmore")</f>
        <v>Staff Of Heatmore</v>
      </c>
      <c r="B292" s="32" t="str">
        <f>IFERROR(__xludf.DUMMYFUNCTION("""COMPUTED_VALUE""")," (Staff) lvl:1, DMG: + ++20,000 fire damage to all enemies, cannot avoid. 10,000sp")</f>
        <v> (Staff) lvl:1, DMG: + ++20,000 fire damage to all enemies, cannot avoid. 10,000sp</v>
      </c>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t="str">
        <f>IFERROR(__xludf.DUMMYFUNCTION("""COMPUTED_VALUE"""),"Staff of Shadows")</f>
        <v>Staff of Shadows</v>
      </c>
      <c r="B293" s="32" t="str">
        <f>IFERROR(__xludf.DUMMYFUNCTION("""COMPUTED_VALUE""")," (Staff) lvl:1, DMG: + ++You are invisible and silent so long as you don't attack. You cannot be attacked while invisible. 200SP")</f>
        <v> (Staff) lvl:1, DMG: + ++You are invisible and silent so long as you don't attack. You cannot be attacked while invisible. 200SP</v>
      </c>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t="str">
        <f>IFERROR(__xludf.DUMMYFUNCTION("""COMPUTED_VALUE"""),"Staff Of Suffering")</f>
        <v>Staff Of Suffering</v>
      </c>
      <c r="B294" s="32" t="str">
        <f>IFERROR(__xludf.DUMMYFUNCTION("""COMPUTED_VALUE""")," (Staff) lvl:1, DMG: + ++Casts a chaotic aura around 1 target dealing 1000 unblockable damage to them each time they cast a spell.")</f>
        <v> (Staff) lvl:1, DMG: + ++Casts a chaotic aura around 1 target dealing 1000 unblockable damage to them each time they cast a spell.</v>
      </c>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t="str">
        <f>IFERROR(__xludf.DUMMYFUNCTION("""COMPUTED_VALUE"""),"Staff of Targeting")</f>
        <v>Staff of Targeting</v>
      </c>
      <c r="B295" s="32" t="str">
        <f>IFERROR(__xludf.DUMMYFUNCTION("""COMPUTED_VALUE""")," (Staff) lvl:1, DMG: + ++When you complain about getting targeted this staff will deal Unblockable 1,000,000 dmg to every player in the battle. +-Cannot resist or be immune to.")</f>
        <v> (Staff) lvl:1, DMG: + ++When you complain about getting targeted this staff will deal Unblockable 1,000,000 dmg to every player in the battle. +-Cannot resist or be immune to.</v>
      </c>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t="str">
        <f>IFERROR(__xludf.DUMMYFUNCTION("""COMPUTED_VALUE"""),"Staff of Waves")</f>
        <v>Staff of Waves</v>
      </c>
      <c r="B296" s="32" t="str">
        <f>IFERROR(__xludf.DUMMYFUNCTION("""COMPUTED_VALUE""")," (Staff) lvl:1, DMG: + ++Casts the Spell Tsunami as if you would know it.")</f>
        <v> (Staff) lvl:1, DMG: + ++Casts the Spell Tsunami as if you would know it.</v>
      </c>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t="str">
        <f>IFERROR(__xludf.DUMMYFUNCTION("""COMPUTED_VALUE"""),"Guard Helmet")</f>
        <v>Guard Helmet</v>
      </c>
      <c r="B297" s="32" t="str">
        <f>IFERROR(__xludf.DUMMYFUNCTION("""COMPUTED_VALUE"""),"Quest Item () lvl:200, DEF: +25000, Light DEF: +25000, Celestial DEF: +25000")</f>
        <v>Quest Item () lvl:200, DEF: +25000, Light DEF: +25000, Celestial DEF: +25000</v>
      </c>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t="str">
        <f>IFERROR(__xludf.DUMMYFUNCTION("""COMPUTED_VALUE"""),"Guard Shield")</f>
        <v>Guard Shield</v>
      </c>
      <c r="B298" s="32" t="str">
        <f>IFERROR(__xludf.DUMMYFUNCTION("""COMPUTED_VALUE"""),"Quest Item (Towershield) lvl:200, DEF: +25000, Light DEF: +25000, Celestial DEF: +25000")</f>
        <v>Quest Item (Towershield) lvl:200, DEF: +25000, Light DEF: +25000, Celestial DEF: +25000</v>
      </c>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t="str">
        <f>IFERROR(__xludf.DUMMYFUNCTION("""COMPUTED_VALUE"""),"Guard Sword")</f>
        <v>Guard Sword</v>
      </c>
      <c r="B299" s="32" t="str">
        <f>IFERROR(__xludf.DUMMYFUNCTION("""COMPUTED_VALUE"""),"Quest Item (Sword) lvl:200, DMG: +25000, Light DMG: +25000, Celestial DMG: +25000")</f>
        <v>Quest Item (Sword) lvl:200, DMG: +25000, Light DMG: +25000, Celestial DMG: +25000</v>
      </c>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t="str">
        <f>IFERROR(__xludf.DUMMYFUNCTION("""COMPUTED_VALUE"""),"Steel Armor")</f>
        <v>Steel Armor</v>
      </c>
      <c r="B300" s="32" t="str">
        <f>IFERROR(__xludf.DUMMYFUNCTION("""COMPUTED_VALUE""")," () lvl:1, DEF: +20")</f>
        <v> () lvl:1, DEF: +20</v>
      </c>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t="str">
        <f>IFERROR(__xludf.DUMMYFUNCTION("""COMPUTED_VALUE"""),"Steel Broadsword")</f>
        <v>Steel Broadsword</v>
      </c>
      <c r="B301" s="32" t="str">
        <f>IFERROR(__xludf.DUMMYFUNCTION("""COMPUTED_VALUE""")," (Sword) lvl:40, DMG: +2000")</f>
        <v> (Sword) lvl:40, DMG: +2000</v>
      </c>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t="str">
        <f>IFERROR(__xludf.DUMMYFUNCTION("""COMPUTED_VALUE"""),"Steel Sword")</f>
        <v>Steel Sword</v>
      </c>
      <c r="B302" s="32" t="str">
        <f>IFERROR(__xludf.DUMMYFUNCTION("""COMPUTED_VALUE""")," (Sword) lvl:10, DMG: +500")</f>
        <v> (Sword) lvl:10, DMG: +500</v>
      </c>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t="str">
        <f>IFERROR(__xludf.DUMMYFUNCTION("""COMPUTED_VALUE"""),"Stick of Mystery ")</f>
        <v>Stick of Mystery </v>
      </c>
      <c r="B303" s="32" t="str">
        <f>IFERROR(__xludf.DUMMYFUNCTION("""COMPUTED_VALUE"""),"Those who doubt the stick's power will suffer the stick's wrath (Wand) lvl:1, : + ++roll a d20 to see what it does :)")</f>
        <v>Those who doubt the stick's power will suffer the stick's wrath (Wand) lvl:1, : + ++roll a d20 to see what it does :)</v>
      </c>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t="str">
        <f>IFERROR(__xludf.DUMMYFUNCTION("""COMPUTED_VALUE"""),"Stone Arming Sword")</f>
        <v>Stone Arming Sword</v>
      </c>
      <c r="B304" s="32" t="str">
        <f>IFERROR(__xludf.DUMMYFUNCTION("""COMPUTED_VALUE""")," (Sword) lvl:20, DMG: +500, Dark DMG: +200")</f>
        <v> (Sword) lvl:20, DMG: +500, Dark DMG: +200</v>
      </c>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t="str">
        <f>IFERROR(__xludf.DUMMYFUNCTION("""COMPUTED_VALUE"""),"Stone Sledgehammer")</f>
        <v>Stone Sledgehammer</v>
      </c>
      <c r="B305" s="32" t="str">
        <f>IFERROR(__xludf.DUMMYFUNCTION("""COMPUTED_VALUE""")," (Club) lvl:20, DMG: +400, Earth DMG: +200")</f>
        <v> (Club) lvl:20, DMG: +400, Earth DMG: +200</v>
      </c>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t="str">
        <f>IFERROR(__xludf.DUMMYFUNCTION("""COMPUTED_VALUE"""),"Stone Small Shield")</f>
        <v>Stone Small Shield</v>
      </c>
      <c r="B306" s="32" t="str">
        <f>IFERROR(__xludf.DUMMYFUNCTION("""COMPUTED_VALUE""")," (Buckler) lvl:1, DEF: +100")</f>
        <v> (Buckler) lvl:1, DEF: +100</v>
      </c>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t="str">
        <f>IFERROR(__xludf.DUMMYFUNCTION("""COMPUTED_VALUE"""),"Stonewall Shield")</f>
        <v>Stonewall Shield</v>
      </c>
      <c r="B307" s="32" t="str">
        <f>IFERROR(__xludf.DUMMYFUNCTION("""COMPUTED_VALUE""")," (Towershield) lvl:10, DEF: +500 ++Immunity to earth")</f>
        <v> (Towershield) lvl:10, DEF: +500 ++Immunity to earth</v>
      </c>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t="str">
        <f>IFERROR(__xludf.DUMMYFUNCTION("""COMPUTED_VALUE"""),"Sturdy Wooden Shield")</f>
        <v>Sturdy Wooden Shield</v>
      </c>
      <c r="B308" s="32" t="str">
        <f>IFERROR(__xludf.DUMMYFUNCTION("""COMPUTED_VALUE"""),"A wooden shield (Towershield) lvl:1, DEF: +50")</f>
        <v>A wooden shield (Towershield) lvl:1, DEF: +50</v>
      </c>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t="str">
        <f>IFERROR(__xludf.DUMMYFUNCTION("""COMPUTED_VALUE"""),"Swampville Dagger")</f>
        <v>Swampville Dagger</v>
      </c>
      <c r="B309" s="32" t="str">
        <f>IFERROR(__xludf.DUMMYFUNCTION("""COMPUTED_VALUE""")," (Knife) lvl:400, DMG: +10000, Nature DMG: +10000 ++Poison 5000 for 3 rounds.")</f>
        <v> (Knife) lvl:400, DMG: +10000, Nature DMG: +10000 ++Poison 5000 for 3 rounds.</v>
      </c>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t="str">
        <f>IFERROR(__xludf.DUMMYFUNCTION("""COMPUTED_VALUE"""),"Sword of Bad Luck")</f>
        <v>Sword of Bad Luck</v>
      </c>
      <c r="B310" s="32" t="str">
        <f>IFERROR(__xludf.DUMMYFUNCTION("""COMPUTED_VALUE""")," (Sword) lvl:600, DMG: +30000 ++GSteal - Steal X amount of gilders equal to the amount of damage caused with this weapon.")</f>
        <v> (Sword) lvl:600, DMG: +30000 ++GSteal - Steal X amount of gilders equal to the amount of damage caused with this weapon.</v>
      </c>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t="str">
        <f>IFERROR(__xludf.DUMMYFUNCTION("""COMPUTED_VALUE"""),"Sword of Chaotic Shadows")</f>
        <v>Sword of Chaotic Shadows</v>
      </c>
      <c r="B311" s="32" t="str">
        <f>IFERROR(__xludf.DUMMYFUNCTION("""COMPUTED_VALUE""")," (Sword) lvl:600, DMG: +10000, Dark DMG: +10000, Chaos DMG: +10000")</f>
        <v> (Sword) lvl:600, DMG: +10000, Dark DMG: +10000, Chaos DMG: +10000</v>
      </c>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t="str">
        <f>IFERROR(__xludf.DUMMYFUNCTION("""COMPUTED_VALUE"""),"Sword Of Darkness")</f>
        <v>Sword Of Darkness</v>
      </c>
      <c r="B312" s="32" t="str">
        <f>IFERROR(__xludf.DUMMYFUNCTION("""COMPUTED_VALUE""")," (Sword) lvl:20, DMG: +500, Dark DMG: +200")</f>
        <v> (Sword) lvl:20, DMG: +500, Dark DMG: +200</v>
      </c>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t="str">
        <f>IFERROR(__xludf.DUMMYFUNCTION("""COMPUTED_VALUE"""),"Sword of Disorder")</f>
        <v>Sword of Disorder</v>
      </c>
      <c r="B313" s="32" t="str">
        <f>IFERROR(__xludf.DUMMYFUNCTION("""COMPUTED_VALUE""")," (Sword) lvl:1, : + ++Make a fail or succeed roll while attacking to determine the effect. Fail = 1 damage. Succeed = 50,000 Chaos damage.
")</f>
        <v> (Sword) lvl:1, : + ++Make a fail or succeed roll while attacking to determine the effect. Fail = 1 damage. Succeed = 50,000 Chaos damage.
</v>
      </c>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t="str">
        <f>IFERROR(__xludf.DUMMYFUNCTION("""COMPUTED_VALUE"""),"Sword Of Divine Flames")</f>
        <v>Sword Of Divine Flames</v>
      </c>
      <c r="B314" s="32" t="str">
        <f>IFERROR(__xludf.DUMMYFUNCTION("""COMPUTED_VALUE""")," (Sword) lvl:300, DMG: +10000, Fire DMG: +5000 ++Divine Flame - Fire spells and weapons will deal an additional X2 damage while this weapon is equipped")</f>
        <v> (Sword) lvl:300, DMG: +10000, Fire DMG: +5000 ++Divine Flame - Fire spells and weapons will deal an additional X2 damage while this weapon is equipped</v>
      </c>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t="str">
        <f>IFERROR(__xludf.DUMMYFUNCTION("""COMPUTED_VALUE"""),"Sword of Eternal darkness")</f>
        <v>Sword of Eternal darkness</v>
      </c>
      <c r="B315" s="32" t="str">
        <f>IFERROR(__xludf.DUMMYFUNCTION("""COMPUTED_VALUE""")," (Sword) lvl:30, DMG: +500, Dark DMG: +600")</f>
        <v> (Sword) lvl:30, DMG: +500, Dark DMG: +600</v>
      </c>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t="str">
        <f>IFERROR(__xludf.DUMMYFUNCTION("""COMPUTED_VALUE"""),"Hela's Death Scythe")</f>
        <v>Hela's Death Scythe</v>
      </c>
      <c r="B316" s="32" t="str">
        <f>IFERROR(__xludf.DUMMYFUNCTION("""COMPUTED_VALUE""")," (Scythe) lvl:1, DMG: +0, Spirit DMG: +0 ++Soul Enhanced - This sword can be enchanted with any soul to increase its Natural and Spirit damage, Each soul enchanted into this sword gives it an additional 200 natural and spirit damage. +-Cannot be forged +-"&amp;"Cannot be duplicated
Souls 0/3000")</f>
        <v> (Scythe) lvl:1, DMG: +0, Spirit DMG: +0 ++Soul Enhanced - This sword can be enchanted with any soul to increase its Natural and Spirit damage, Each soul enchanted into this sword gives it an additional 200 natural and spirit damage. +-Cannot be forged +-Cannot be duplicated
Souls 0/3000</v>
      </c>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t="str">
        <f>IFERROR(__xludf.DUMMYFUNCTION("""COMPUTED_VALUE"""),"Sword of Nature’s Love")</f>
        <v>Sword of Nature’s Love</v>
      </c>
      <c r="B317" s="32" t="str">
        <f>IFERROR(__xludf.DUMMYFUNCTION("""COMPUTED_VALUE""")," (Sword) lvl:160, DMG: +4000, Nature DMG: +4000 ++Nature's Power - any damage dealt by this weapon gives HP back to the user equal to the damage dealt.")</f>
        <v> (Sword) lvl:160, DMG: +4000, Nature DMG: +4000 ++Nature's Power - any damage dealt by this weapon gives HP back to the user equal to the damage dealt.</v>
      </c>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t="str">
        <f>IFERROR(__xludf.DUMMYFUNCTION("""COMPUTED_VALUE"""),"Sword of Shadows")</f>
        <v>Sword of Shadows</v>
      </c>
      <c r="B318" s="32" t="str">
        <f>IFERROR(__xludf.DUMMYFUNCTION("""COMPUTED_VALUE""")," (Sword) lvl:30, DMG: +1000, Dark DMG: +500")</f>
        <v> (Sword) lvl:30, DMG: +1000, Dark DMG: +500</v>
      </c>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t="str">
        <f>IFERROR(__xludf.DUMMYFUNCTION("""COMPUTED_VALUE"""),"Sword of Steel")</f>
        <v>Sword of Steel</v>
      </c>
      <c r="B319" s="32" t="str">
        <f>IFERROR(__xludf.DUMMYFUNCTION("""COMPUTED_VALUE""")," (Sword) lvl:1, DMG: +300")</f>
        <v> (Sword) lvl:1, DMG: +300</v>
      </c>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t="str">
        <f>IFERROR(__xludf.DUMMYFUNCTION("""COMPUTED_VALUE"""),"Sword of The Abyss")</f>
        <v>Sword of The Abyss</v>
      </c>
      <c r="B320" s="32" t="str">
        <f>IFERROR(__xludf.DUMMYFUNCTION("""COMPUTED_VALUE""")," (Sword) lvl:260, DMG: +8000, Dark DMG: +5000 ++Abyss Embodiment - dark damage is increased by X2 for the user.")</f>
        <v> (Sword) lvl:260, DMG: +8000, Dark DMG: +5000 ++Abyss Embodiment - dark damage is increased by X2 for the user.</v>
      </c>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t="str">
        <f>IFERROR(__xludf.DUMMYFUNCTION("""COMPUTED_VALUE"""),"Sword of The Ancient Fire Serpent")</f>
        <v>Sword of The Ancient Fire Serpent</v>
      </c>
      <c r="B321" s="32" t="str">
        <f>IFERROR(__xludf.DUMMYFUNCTION("""COMPUTED_VALUE""")," (Sword) lvl:2000, DMG: +50000, Fire DMG: +50000 ++ Burn 50,000. ++Serpents Luck - +5 can be added to the users d20 rolls. +-Cannot be duplicated.")</f>
        <v> (Sword) lvl:2000, DMG: +50000, Fire DMG: +50000 ++ Burn 50,000. ++Serpents Luck - +5 can be added to the users d20 rolls. +-Cannot be duplicated.</v>
      </c>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t="str">
        <f>IFERROR(__xludf.DUMMYFUNCTION("""COMPUTED_VALUE"""),"Sword of The Burning Forest")</f>
        <v>Sword of The Burning Forest</v>
      </c>
      <c r="B322" s="32" t="str">
        <f>IFERROR(__xludf.DUMMYFUNCTION("""COMPUTED_VALUE"""),"A sword forged by mekana to obliterate natural environments. (Sword) lvl:600, DMG: +20000, Fire DMG: +10000 ++Forest Fire- Burn 10,000, x4 fire damage while in a natural environment.")</f>
        <v>A sword forged by mekana to obliterate natural environments. (Sword) lvl:600, DMG: +20000, Fire DMG: +10000 ++Forest Fire- Burn 10,000, x4 fire damage while in a natural environment.</v>
      </c>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t="str">
        <f>IFERROR(__xludf.DUMMYFUNCTION("""COMPUTED_VALUE"""),"Sword of The Crystal Chosen")</f>
        <v>Sword of The Crystal Chosen</v>
      </c>
      <c r="B323" s="32" t="str">
        <f>IFERROR(__xludf.DUMMYFUNCTION("""COMPUTED_VALUE""")," (Sword) lvl:400, DMG: +10000, Earth DMG: +10000 ++The Chosen Crystal - When Equipped any damage dealt by a Crystal or Gem related weapon is X4. +-Cannot be duplicated.")</f>
        <v> (Sword) lvl:400, DMG: +10000, Earth DMG: +10000 ++The Chosen Crystal - When Equipped any damage dealt by a Crystal or Gem related weapon is X4. +-Cannot be duplicated.</v>
      </c>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t="str">
        <f>IFERROR(__xludf.DUMMYFUNCTION("""COMPUTED_VALUE"""),"Sword Of The Cursed Naga")</f>
        <v>Sword Of The Cursed Naga</v>
      </c>
      <c r="B324" s="32" t="str">
        <f>IFERROR(__xludf.DUMMYFUNCTION("""COMPUTED_VALUE""")," (Sword) lvl:200, DMG: +10000, Earth DMG: +50000, Blood DMG: +50000, Celestial DMG: +10000 ++Earth Charmer - Earth attacks will deal an additional X4 damage while this weapon is equipped.
++Poison Charmer - Poison 50,000 p/r.")</f>
        <v> (Sword) lvl:200, DMG: +10000, Earth DMG: +50000, Blood DMG: +50000, Celestial DMG: +10000 ++Earth Charmer - Earth attacks will deal an additional X4 damage while this weapon is equipped.
++Poison Charmer - Poison 50,000 p/r.</v>
      </c>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t="str">
        <f>IFERROR(__xludf.DUMMYFUNCTION("""COMPUTED_VALUE"""),"Sword Of The Dragons Blood")</f>
        <v>Sword Of The Dragons Blood</v>
      </c>
      <c r="B325" s="32" t="str">
        <f>IFERROR(__xludf.DUMMYFUNCTION("""COMPUTED_VALUE""")," (Sword) lvl:1500, DMG: +50000, Blood DMG: +25000 ++Burning Blood: Upon a successful hit; 5000 bleed and burn until the enemy dies.")</f>
        <v> (Sword) lvl:1500, DMG: +50000, Blood DMG: +25000 ++Burning Blood: Upon a successful hit; 5000 bleed and burn until the enemy dies.</v>
      </c>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t="str">
        <f>IFERROR(__xludf.DUMMYFUNCTION("""COMPUTED_VALUE"""),"Sword of The Haunted Mansion")</f>
        <v>Sword of The Haunted Mansion</v>
      </c>
      <c r="B326" s="32" t="str">
        <f>IFERROR(__xludf.DUMMYFUNCTION("""COMPUTED_VALUE"""),"Halloween exclusive (Sword) lvl:200, DMG: +20000, Fire DMG: +20000, Dark DMG: +20000, Chaos DMG: +20000, Celestial DMG: +20000 ++Hallows Welcome: All enemies roll a d20 at the beginning of battle; All enemies that roll a 10 or lower start with 0 base defe"&amp;"nse and 0 evasion, All enemies that roll a 11 or higher start with X2 defense and ++5 additional evasion. +-Cannot be forged +-Cannot be duplicated")</f>
        <v>Halloween exclusive (Sword) lvl:200, 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t="str">
        <f>IFERROR(__xludf.DUMMYFUNCTION("""COMPUTED_VALUE"""),"Sword Of The Honorable Samurai")</f>
        <v>Sword Of The Honorable Samurai</v>
      </c>
      <c r="B327" s="32" t="str">
        <f>IFERROR(__xludf.DUMMYFUNCTION("""COMPUTED_VALUE""")," (Sword) lvl:400, DMG: +10000, Light DMG: +5000, Order DMG: +5000")</f>
        <v> (Sword) lvl:400, DMG: +10000, Light DMG: +5000, Order DMG: +5000</v>
      </c>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t="str">
        <f>IFERROR(__xludf.DUMMYFUNCTION("""COMPUTED_VALUE"""),"Sword of The Crystal King")</f>
        <v>Sword of The Crystal King</v>
      </c>
      <c r="B328" s="32" t="str">
        <f>IFERROR(__xludf.DUMMYFUNCTION("""COMPUTED_VALUE""")," (Sword) lvl:200, DMG: +20000, Earth DMG: +20000, Celestial DMG: +10000 ++Crystal Kings Power - Damage dealt by this weapon gives you SP back equal to the damage you deal. ++ Crystal Embodyment - When Equipped any damage dealt by a Crystal or Gem related "&amp;"weapon is X8 for the user. +-Cannot be duplicated.")</f>
        <v> (Sword) lvl:200, DMG: +20000, Earth DMG: +20000, Celestial DMG: +10000 ++Crystal Kings Power - Damage dealt by this weapon gives you SP back equal to the damage you deal. ++ Crystal Embodyment - When Equipped any damage dealt by a Crystal or Gem related weapon is X8 for the user. +-Cannot be duplicated.</v>
      </c>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t="str">
        <f>IFERROR(__xludf.DUMMYFUNCTION("""COMPUTED_VALUE"""),"Sword of The Many Heroes")</f>
        <v>Sword of The Many Heroes</v>
      </c>
      <c r="B329" s="32" t="str">
        <f>IFERROR(__xludf.DUMMYFUNCTION("""COMPUTED_VALUE""")," (Sword) lvl:200, DMG: +100000, Celestial DMG: +500000 ++While you have this sword equipped and you have 4+ party members among your party, You and your allies deal X4 additional damage with weapons only. +-Cannot be duplicated")</f>
        <v> (Sword) lvl:200, DMG: +100000, Celestial DMG: +500000 ++While you have this sword equipped and you have 4+ party members among your party, You and your allies deal X4 additional damage with weapons only. +-Cannot be duplicated</v>
      </c>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t="str">
        <f>IFERROR(__xludf.DUMMYFUNCTION("""COMPUTED_VALUE"""),"Sword Of The Reaper")</f>
        <v>Sword Of The Reaper</v>
      </c>
      <c r="B330" s="32" t="str">
        <f>IFERROR(__xludf.DUMMYFUNCTION("""COMPUTED_VALUE""")," (Sword) lvl:200, DMG: +5000, Celestial DMG: +1000 ++Stop Targeting Me! - When targeted for an attack the base damage of this weapon will be increased by 1000 damage for the battle only.")</f>
        <v> (Sword) lvl:200, DMG: +5000, Celestial DMG: +1000 ++Stop Targeting Me! - When targeted for an attack the base damage of this weapon will be increased by 1000 damage for the battle only.</v>
      </c>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t="str">
        <f>IFERROR(__xludf.DUMMYFUNCTION("""COMPUTED_VALUE"""),"Sword of The Sea Serpent")</f>
        <v>Sword of The Sea Serpent</v>
      </c>
      <c r="B331" s="32" t="str">
        <f>IFERROR(__xludf.DUMMYFUNCTION("""COMPUTED_VALUE""")," (Sword) lvl:400, DMG: +10000, Water DMG: +10000 ++X2 Additional water damage for self, ++Sea Serpents Call: Upon a succesful hit there will be a 50% chance of summoning a sea serpent to aid you in battle if the battle is in water.")</f>
        <v> (Sword) lvl:400, DMG: +10000, Water DMG: +10000 ++X2 Additional water damage for self, ++Sea Serpents Call: Upon a succesful hit there will be a 50% chance of summoning a sea serpent to aid you in battle if the battle is in water.</v>
      </c>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t="str">
        <f>IFERROR(__xludf.DUMMYFUNCTION("""COMPUTED_VALUE"""),"Sword of the Vampire’s Lust")</f>
        <v>Sword of the Vampire’s Lust</v>
      </c>
      <c r="B332" s="32" t="str">
        <f>IFERROR(__xludf.DUMMYFUNCTION("""COMPUTED_VALUE""")," (Sword) lvl:800, DMG: +10000, Fire DMG: +10000, Dark DMG: +10000, Spirit DMG: +5000, Chaos DMG: +5000 ++Damage dealt by this weapon gives you hp back equal to the damage you deal")</f>
        <v> (Sword) lvl:800, DMG: +10000, Fire DMG: +10000, Dark DMG: +10000, Spirit DMG: +5000, Chaos DMG: +5000 ++Damage dealt by this weapon gives you hp back equal to the damage you deal</v>
      </c>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t="str">
        <f>IFERROR(__xludf.DUMMYFUNCTION("""COMPUTED_VALUE"""),"Sword of The Waking Waters")</f>
        <v>Sword of The Waking Waters</v>
      </c>
      <c r="B333" s="32" t="str">
        <f>IFERROR(__xludf.DUMMYFUNCTION("""COMPUTED_VALUE""")," (Sword) lvl:800, DMG: +20000, Water DMG: +20000 ++X4 additional Water damage for this weapon only. ++Waking Waters: When the battle is in water and you are attacking with this weapon your d20 roll becomes double. +-Cannot be duplicated")</f>
        <v> (Sword) lvl:800, DMG: +20000, Water DMG: +20000 ++X4 additional Water damage for this weapon only. ++Waking Waters: When the battle is in water and you are attacking with this weapon your d20 roll becomes double. +-Cannot be duplicated</v>
      </c>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t="str">
        <f>IFERROR(__xludf.DUMMYFUNCTION("""COMPUTED_VALUE"""),"Sword of the Wicked")</f>
        <v>Sword of the Wicked</v>
      </c>
      <c r="B334" s="32" t="str">
        <f>IFERROR(__xludf.DUMMYFUNCTION("""COMPUTED_VALUE""")," (Sword) lvl:50, DMG: +700, Dark DMG: +900, Chaos DMG: +900")</f>
        <v> (Sword) lvl:50, DMG: +700, Dark DMG: +900, Chaos DMG: +900</v>
      </c>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t="str">
        <f>IFERROR(__xludf.DUMMYFUNCTION("""COMPUTED_VALUE"""),"Sword Of Tritonoch")</f>
        <v>Sword Of Tritonoch</v>
      </c>
      <c r="B335" s="32" t="str">
        <f>IFERROR(__xludf.DUMMYFUNCTION("""COMPUTED_VALUE""")," (Sword) lvl:800, DMG: +20000, Water DMG: +20000 ++Order of Atlanteans - +2 to your d20 roll, +5 charisma, ++Waves of Entitlement - x5 additional Water damage. +-Cannot be duplicated.")</f>
        <v> (Sword) lvl:800, DMG: +20000, Water DMG: +20000 ++Order of Atlanteans - +2 to your d20 roll, +5 charisma, ++Waves of Entitlement - x5 additional Water damage. +-Cannot be duplicated.</v>
      </c>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t="str">
        <f>IFERROR(__xludf.DUMMYFUNCTION("""COMPUTED_VALUE"""),"Tentacle")</f>
        <v>Tentacle</v>
      </c>
      <c r="B336" s="32" t="str">
        <f>IFERROR(__xludf.DUMMYFUNCTION("""COMPUTED_VALUE""")," (Claw) lvl:30, DMG: +1000, Water DMG: +500 ++10% chance to remove target from battle")</f>
        <v> (Claw) lvl:30, DMG: +1000, Water DMG: +500 ++10% chance to remove target from battle</v>
      </c>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t="str">
        <f>IFERROR(__xludf.DUMMYFUNCTION("""COMPUTED_VALUE"""),"The Black Hook")</f>
        <v>The Black Hook</v>
      </c>
      <c r="B337" s="32" t="str">
        <f>IFERROR(__xludf.DUMMYFUNCTION("""COMPUTED_VALUE""")," (Claw) lvl:2500, DMG: +50000, Dark DMG: +50000, Blood DMG: +25000 ++Increases blood and dark damage by X4 for the wielder of this claw, ++Decreases the HP cost of spells by half. ++35% chance to remove an enemy from battle")</f>
        <v> (Claw) lvl:2500, DMG: +50000, Dark DMG: +50000, Blood DMG: +25000 ++Increases blood and dark damage by X4 for the wielder of this claw, ++Decreases the HP cost of spells by half. ++35% chance to remove an enemy from battle</v>
      </c>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t="str">
        <f>IFERROR(__xludf.DUMMYFUNCTION("""COMPUTED_VALUE"""),"The Blade of the Chosen")</f>
        <v>The Blade of the Chosen</v>
      </c>
      <c r="B338" s="32" t="str">
        <f>IFERROR(__xludf.DUMMYFUNCTION("""COMPUTED_VALUE""")," (Sword) lvl:1000, DMG: +10000, Fire DMG: +10000, Order DMG: +10000, Nature DMG: +10000, Blood DMG: +10000 ++Roll a d20 at the beginning of battle, 11 or higher = double the users defense and damage dealt for the current battle, 10 or lower = half the use"&amp;"rs defense and damage dealt for the current battle.")</f>
        <v> (Sword) lvl:1000, DMG: +10000, Fire DMG: +10000, Order DMG: +10000, Nature DMG: +10000, Blood DMG: +10000 ++Roll a d20 at the beginning of battle, 11 or higher = double the users defense and damage dealt for the current battle, 10 or lower = half the users defense and damage dealt for the current battle.</v>
      </c>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t="str">
        <f>IFERROR(__xludf.DUMMYFUNCTION("""COMPUTED_VALUE"""),"The Bow of the Fallen Hero")</f>
        <v>The Bow of the Fallen Hero</v>
      </c>
      <c r="B339" s="32" t="str">
        <f>IFERROR(__xludf.DUMMYFUNCTION("""COMPUTED_VALUE""")," (Bow) lvl:100, DMG: +5000 ++Dashing Arrows - You can use up to 6 arrows when attacking with this bow. ")</f>
        <v> (Bow) lvl:100, DMG: +5000 ++Dashing Arrows - You can use up to 6 arrows when attacking with this bow. </v>
      </c>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t="str">
        <f>IFERROR(__xludf.DUMMYFUNCTION("""COMPUTED_VALUE"""),"The Bow of the Haunted")</f>
        <v>The Bow of the Haunted</v>
      </c>
      <c r="B340" s="32" t="str">
        <f>IFERROR(__xludf.DUMMYFUNCTION("""COMPUTED_VALUE"""),"Halloween exclusive (Bow) lvl:620, DMG: +1000, Fire DMG: +10000, Dark DMG: +10000, Chaos DMG: +10000 ++You can use d20 arrows when attacking with this bow, rolls to see how many. Dark and Chaos damage is doubled when attacking with this bow.")</f>
        <v>Halloween exclusive (Bow) lvl:620, DMG: +1000, Fire DMG: +10000, Dark DMG: +10000, Chaos DMG: +10000 ++You can use d20 arrows when attacking with this bow, rolls to see how many. Dark and Chaos damage is doubled when attacking with this bow.</v>
      </c>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t="str">
        <f>IFERROR(__xludf.DUMMYFUNCTION("""COMPUTED_VALUE"""),"The Bow of the Pandarian")</f>
        <v>The Bow of the Pandarian</v>
      </c>
      <c r="B341" s="32" t="str">
        <f>IFERROR(__xludf.DUMMYFUNCTION("""COMPUTED_VALUE""")," (Bow) lvl:40, DMG: +2000 ++Half the Arrow - Ranged Spells cost half the sp cost, Ranger Enrage - All Ranged Attacks. do double in damage. ")</f>
        <v> (Bow) lvl:40, DMG: +2000 ++Half the Arrow - Ranged Spells cost half the sp cost, Ranger Enrage - All Ranged Attacks. do double in damage. </v>
      </c>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t="str">
        <f>IFERROR(__xludf.DUMMYFUNCTION("""COMPUTED_VALUE"""),"The Buster")</f>
        <v>The Buster</v>
      </c>
      <c r="B342" s="32" t="str">
        <f>IFERROR(__xludf.DUMMYFUNCTION("""COMPUTED_VALUE""")," (Sword) lvl:400, DMG: +20000")</f>
        <v> (Sword) lvl:400, DMG: +20000</v>
      </c>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t="str">
        <f>IFERROR(__xludf.DUMMYFUNCTION("""COMPUTED_VALUE"""),"The Dawn Splitter")</f>
        <v>The Dawn Splitter</v>
      </c>
      <c r="B343" s="32" t="str">
        <f>IFERROR(__xludf.DUMMYFUNCTION("""COMPUTED_VALUE""")," (Sword) lvl:200, DMG: +50000, Fire DMG: +50000, Dark DMG: +50000, Celestial DMG: +50000 ++50% Chance to put the target to sleep.")</f>
        <v> (Sword) lvl:200, DMG: +50000, Fire DMG: +50000, Dark DMG: +50000, Celestial DMG: +50000 ++50% Chance to put the target to sleep.</v>
      </c>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t="str">
        <f>IFERROR(__xludf.DUMMYFUNCTION("""COMPUTED_VALUE"""),"The Dragon King's Crown")</f>
        <v>The Dragon King's Crown</v>
      </c>
      <c r="B344" s="32" t="str">
        <f>IFERROR(__xludf.DUMMYFUNCTION("""COMPUTED_VALUE""")," () lvl:400, DEF: +20000 ++Immunity to damage from Natural Attacks...")</f>
        <v> () lvl:400, DEF: +20000 ++Immunity to damage from Natural Attacks...</v>
      </c>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t="str">
        <f>IFERROR(__xludf.DUMMYFUNCTION("""COMPUTED_VALUE"""),"The Guardian Of Death's Sword")</f>
        <v>The Guardian Of Death's Sword</v>
      </c>
      <c r="B345" s="32" t="str">
        <f>IFERROR(__xludf.DUMMYFUNCTION("""COMPUTED_VALUE""")," (Sword) lvl:600, DMG: +15000, Dark DMG: +5000, Spirit DMG: +5000, Chaos DMG: +5000")</f>
        <v> (Sword) lvl:600, DMG: +15000, Dark DMG: +5000, Spirit DMG: +5000, Chaos DMG: +5000</v>
      </c>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t="str">
        <f>IFERROR(__xludf.DUMMYFUNCTION("""COMPUTED_VALUE"""),"The Helm of Foul Night")</f>
        <v>The Helm of Foul Night</v>
      </c>
      <c r="B346" s="32" t="str">
        <f>IFERROR(__xludf.DUMMYFUNCTION("""COMPUTED_VALUE""")," () lvl:200, DEF: +5000, Nature DEF: +5000 (Foul Night Set) ++X2 Nature and Poison damage. ++Poison Immunity. ")</f>
        <v> () lvl:200, DEF: +5000, Nature DEF: +5000 (Foul Night Set) ++X2 Nature and Poison damage. ++Poison Immunity. </v>
      </c>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t="str">
        <f>IFERROR(__xludf.DUMMYFUNCTION("""COMPUTED_VALUE"""),"The Invisible Spear")</f>
        <v>The Invisible Spear</v>
      </c>
      <c r="B347" s="32" t="str">
        <f>IFERROR(__xludf.DUMMYFUNCTION("""COMPUTED_VALUE""")," (Spear) lvl:1, DMG: +200 ++ignores evasion")</f>
        <v> (Spear) lvl:1, DMG: +200 ++ignores evasion</v>
      </c>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t="str">
        <f>IFERROR(__xludf.DUMMYFUNCTION("""COMPUTED_VALUE"""),"The Mysterious Mirror")</f>
        <v>The Mysterious Mirror</v>
      </c>
      <c r="B348" s="32" t="str">
        <f>IFERROR(__xludf.DUMMYFUNCTION("""COMPUTED_VALUE""")," (Towershield) lvl:1, : + ++When the user would take damage from an enemy the damage is reflected back at all enemies instead, or you can choose to have the mirror absorb all damage taken from the first 2 attacks to add that damage on to your next attack,"&amp;" you may only choose up to 5 targets for the damage to be reflected back at. The mirrors effect only lasts for your first 2 turns. +-Cannot be forged +-Cannot be duplicated")</f>
        <v> (Towershield) lvl:1, : +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t="str">
        <f>IFERROR(__xludf.DUMMYFUNCTION("""COMPUTED_VALUE"""),"The Puppet Masters Amulet")</f>
        <v>The Puppet Masters Amulet</v>
      </c>
      <c r="B349" s="32" t="str">
        <f>IFERROR(__xludf.DUMMYFUNCTION("""COMPUTED_VALUE""")," () lvl:1, : + ++Immune to possession.  +-Cannot be duplicated.")</f>
        <v> () lvl:1, : + ++Immune to possession.  +-Cannot be duplicated.</v>
      </c>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t="str">
        <f>IFERROR(__xludf.DUMMYFUNCTION("""COMPUTED_VALUE"""),"The Puppet Masters Cloak")</f>
        <v>The Puppet Masters Cloak</v>
      </c>
      <c r="B350" s="32" t="str">
        <f>IFERROR(__xludf.DUMMYFUNCTION("""COMPUTED_VALUE""")," () lvl:1, : + ++User and allies gain immunity to chaos and dark damage while in the party. +-Cannot be duplicated")</f>
        <v> () lvl:1, : + ++User and allies gain immunity to chaos and dark damage while in the party. +-Cannot be duplicated</v>
      </c>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t="str">
        <f>IFERROR(__xludf.DUMMYFUNCTION("""COMPUTED_VALUE"""),"The Puppet Masters Ring")</f>
        <v>The Puppet Masters Ring</v>
      </c>
      <c r="B351" s="32" t="str">
        <f>IFERROR(__xludf.DUMMYFUNCTION("""COMPUTED_VALUE""")," () lvl:1, : + ++Take control of a target of choice. Fail/Succeed roll, (This effect counts as a possession)  +-Cannot be duplicated.")</f>
        <v> () lvl:1, : + ++Take control of a target of choice. Fail/Succeed roll, (This effect counts as a possession)  +-Cannot be duplicated.</v>
      </c>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t="str">
        <f>IFERROR(__xludf.DUMMYFUNCTION("""COMPUTED_VALUE"""),"The Red Sword")</f>
        <v>The Red Sword</v>
      </c>
      <c r="B352" s="32" t="str">
        <f>IFERROR(__xludf.DUMMYFUNCTION("""COMPUTED_VALUE"""),"A Sword that was made of Vampire’s Blood (Sword) lvl:1, DMG: +300")</f>
        <v>A Sword that was made of Vampire’s Blood (Sword) lvl:1, DMG: +300</v>
      </c>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t="str">
        <f>IFERROR(__xludf.DUMMYFUNCTION("""COMPUTED_VALUE"""),"The Servants Sword")</f>
        <v>The Servants Sword</v>
      </c>
      <c r="B353" s="32" t="str">
        <f>IFERROR(__xludf.DUMMYFUNCTION("""COMPUTED_VALUE""")," (Sword) lvl:600, DMG: +20000, Chaos DMG: +10000")</f>
        <v> (Sword) lvl:600, DMG: +20000, Chaos DMG: +10000</v>
      </c>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t="str">
        <f>IFERROR(__xludf.DUMMYFUNCTION("""COMPUTED_VALUE"""),"The Shield of Foul Night")</f>
        <v>The Shield of Foul Night</v>
      </c>
      <c r="B354" s="32" t="str">
        <f>IFERROR(__xludf.DUMMYFUNCTION("""COMPUTED_VALUE""")," (Buckler) lvl:200, DEF: +5000, Nature DEF: +5000 (Foul Night Set) ++Nature Immunity, Poison Immunity")</f>
        <v> (Buckler) lvl:200, DEF: +5000, Nature DEF: +5000 (Foul Night Set) ++Nature Immunity, Poison Immunity</v>
      </c>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t="str">
        <f>IFERROR(__xludf.DUMMYFUNCTION("""COMPUTED_VALUE"""),"The Staff of  Haunted Bones")</f>
        <v>The Staff of  Haunted Bones</v>
      </c>
      <c r="B355" s="32" t="str">
        <f>IFERROR(__xludf.DUMMYFUNCTION("""COMPUTED_VALUE"""),"Halloween exclusive (Staff) lvl:1, DMG: + X2 additional Dark, Chaos, and Spirit damage.")</f>
        <v>Halloween exclusive (Staff) lvl:1, DMG: + X2 additional Dark, Chaos, and Spirit damage.</v>
      </c>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t="str">
        <f>IFERROR(__xludf.DUMMYFUNCTION("""COMPUTED_VALUE"""),"The Staff of the Aquas")</f>
        <v>The Staff of the Aquas</v>
      </c>
      <c r="B356" s="32" t="str">
        <f>IFERROR(__xludf.DUMMYFUNCTION("""COMPUTED_VALUE""")," (Staff) lvl:1, DMG: + ++All Water Spells Deal x3 damage and cost half sp to use.")</f>
        <v> (Staff) lvl:1, DMG: + ++All Water Spells Deal x3 damage and cost half sp to use.</v>
      </c>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t="str">
        <f>IFERROR(__xludf.DUMMYFUNCTION("""COMPUTED_VALUE"""),"The Staff of The Pumpkin’s Curse")</f>
        <v>The Staff of The Pumpkin’s Curse</v>
      </c>
      <c r="B357" s="32" t="str">
        <f>IFERROR(__xludf.DUMMYFUNCTION("""COMPUTED_VALUE""")," (Staff) lvl:1, DMG: + ++ Select a target, Any Fire Nature and Dark damage the target deals halved, Fail/Succeed.")</f>
        <v> (Staff) lvl:1, DMG: + ++ Select a target, Any Fire Nature and Dark damage the target deals halved, Fail/Succeed.</v>
      </c>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t="str">
        <f>IFERROR(__xludf.DUMMYFUNCTION("""COMPUTED_VALUE"""),"The Stick of the Panda")</f>
        <v>The Stick of the Panda</v>
      </c>
      <c r="B358" s="32" t="str">
        <f>IFERROR(__xludf.DUMMYFUNCTION("""COMPUTED_VALUE""")," (Club) lvl:400, DMG: +10000, Nature DMG: +10000 ++When you find an herb you get 2 of the herb found instead of 1. +-Cannot be duplicated")</f>
        <v> (Club) lvl:400, DMG: +10000, Nature DMG: +10000 ++When you find an herb you get 2 of the herb found instead of 1. +-Cannot be duplicated</v>
      </c>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t="str">
        <f>IFERROR(__xludf.DUMMYFUNCTION("""COMPUTED_VALUE"""),"The Sword Of Death")</f>
        <v>The Sword Of Death</v>
      </c>
      <c r="B359" s="32" t="str">
        <f>IFERROR(__xludf.DUMMYFUNCTION("""COMPUTED_VALUE""")," (Sword) lvl:1, DMG: +250")</f>
        <v> (Sword) lvl:1, DMG: +250</v>
      </c>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t="str">
        <f>IFERROR(__xludf.DUMMYFUNCTION("""COMPUTED_VALUE"""),"The Sword Of Easter's Gathering (Exclusive)")</f>
        <v>The Sword Of Easter's Gathering (Exclusive)</v>
      </c>
      <c r="B360" s="32" t="str">
        <f>IFERROR(__xludf.DUMMYFUNCTION("""COMPUTED_VALUE""")," (Sword) lvl:200, DMG: +, Nature DMG: +10000, Celestial DMG: +10000 ++Doubles all elemental damage when held, ++2 on all rolls while in battle, +-Cannot be forged +-Cannot be duplicated")</f>
        <v> (Sword) lvl:200, DMG: +, Nature DMG: +10000, Celestial DMG: +10000 ++Doubles all elemental damage when held, ++2 on all rolls while in battle, +-Cannot be forged +-Cannot be duplicated</v>
      </c>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t="str">
        <f>IFERROR(__xludf.DUMMYFUNCTION("""COMPUTED_VALUE"""),"The Sword of Manannán (Exclusive)")</f>
        <v>The Sword of Manannán (Exclusive)</v>
      </c>
      <c r="B361" s="32" t="str">
        <f>IFERROR(__xludf.DUMMYFUNCTION("""COMPUTED_VALUE"""),"Lugh's Sword he wielded in battle (Sword) lvl:200, DMG: +75000, Celestial DMG: +75000 ++Intimidation and Charisma stat is double while equipped")</f>
        <v>Lugh's Sword he wielded in battle (Sword) lvl:200, DMG: +75000, Celestial DMG: +75000 ++Intimidation and Charisma stat is double while equipped</v>
      </c>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t="str">
        <f>IFERROR(__xludf.DUMMYFUNCTION("""COMPUTED_VALUE"""),"The Waking Ash of the Serpent’s Pendent")</f>
        <v>The Waking Ash of the Serpent’s Pendent</v>
      </c>
      <c r="B362" s="32" t="str">
        <f>IFERROR(__xludf.DUMMYFUNCTION("""COMPUTED_VALUE""")," () lvl:1, : + ++When attacked with a fire spell or fire weapon you may absorb the damage you take from that 1 attack and add the damage you would have taken to your next attack as additional fire damage, This effect can only be used once per battle. +-Ca"&amp;"nnot be duplicated.")</f>
        <v> () lvl:1, : + ++When attacked with a fire spell or fire weapon you may absorb the damage you take from that 1 attack and add the damage you would have taken to your next attack as additional fire damage, This effect can only be used once per battle. +-Cannot be duplicated.</v>
      </c>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t="str">
        <f>IFERROR(__xludf.DUMMYFUNCTION("""COMPUTED_VALUE"""),"The Wand of Aquatic Beasts")</f>
        <v>The Wand of Aquatic Beasts</v>
      </c>
      <c r="B363" s="32" t="str">
        <f>IFERROR(__xludf.DUMMYFUNCTION("""COMPUTED_VALUE""")," (Wand) lvl:1, : + ++All water and storm spells are decreased by half sp.")</f>
        <v> (Wand) lvl:1, : + ++All water and storm spells are decreased by half sp.</v>
      </c>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t="str">
        <f>IFERROR(__xludf.DUMMYFUNCTION("""COMPUTED_VALUE"""),"Titanic Two Hander")</f>
        <v>Titanic Two Hander</v>
      </c>
      <c r="B364" s="32" t="str">
        <f>IFERROR(__xludf.DUMMYFUNCTION("""COMPUTED_VALUE""")," (Sword) lvl:200, DMG: +10000")</f>
        <v> (Sword) lvl:200, DMG: +10000</v>
      </c>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t="str">
        <f>IFERROR(__xludf.DUMMYFUNCTION("""COMPUTED_VALUE"""),"Top Hat")</f>
        <v>Top Hat</v>
      </c>
      <c r="B365" s="32" t="str">
        <f>IFERROR(__xludf.DUMMYFUNCTION("""COMPUTED_VALUE"""),"nothing like good ol abraham () lvl:1, DEF: +1")</f>
        <v>nothing like good ol abraham () lvl:1, DEF: +1</v>
      </c>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t="str">
        <f>IFERROR(__xludf.DUMMYFUNCTION("""COMPUTED_VALUE"""),"Trident")</f>
        <v>Trident</v>
      </c>
      <c r="B366" s="32" t="str">
        <f>IFERROR(__xludf.DUMMYFUNCTION("""COMPUTED_VALUE""")," (Spear) lvl:20, DMG: +600")</f>
        <v> (Spear) lvl:20, DMG: +600</v>
      </c>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t="str">
        <f>IFERROR(__xludf.DUMMYFUNCTION("""COMPUTED_VALUE"""),"Tundra Staff")</f>
        <v>Tundra Staff</v>
      </c>
      <c r="B367" s="32" t="str">
        <f>IFERROR(__xludf.DUMMYFUNCTION("""COMPUTED_VALUE""")," (Staff) lvl:200, : +, Earth : +10000 ++X2 Earth damage. +-Cannot be duplicated")</f>
        <v> (Staff) lvl:200, : +, Earth : +10000 ++X2 Earth damage. +-Cannot be duplicated</v>
      </c>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t="str">
        <f>IFERROR(__xludf.DUMMYFUNCTION("""COMPUTED_VALUE"""),"Twilight Bow")</f>
        <v>Twilight Bow</v>
      </c>
      <c r="B368" s="32" t="str">
        <f>IFERROR(__xludf.DUMMYFUNCTION("""COMPUTED_VALUE""")," (Bow) lvl:400, DMG: +10000, Twilight DMG: +10000")</f>
        <v> (Bow) lvl:400, DMG: +10000, Twilight DMG: +10000</v>
      </c>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t="str">
        <f>IFERROR(__xludf.DUMMYFUNCTION("""COMPUTED_VALUE"""),"Twilight Crystal Sword of Evil's Bane")</f>
        <v>Twilight Crystal Sword of Evil's Bane</v>
      </c>
      <c r="B369" s="32" t="str">
        <f>IFERROR(__xludf.DUMMYFUNCTION("""COMPUTED_VALUE"""),"Halloween Event Exclusive Item (Sword) lvl:200, DMG: +20000, Twilight DMG: +20000, Celestial DMG: +10000 ++X4 Order, Light, Chaos, and Dark damage for the user and party. +-Cannot be forged +-Cannot be duplicated")</f>
        <v>Halloween Event Exclusive Item (Sword) lvl:200, DMG: +20000, Twilight DMG: +20000, Celestial DMG: +10000 ++X4 Order, Light, Chaos, and Dark damage for the user and party. +-Cannot be forged +-Cannot be duplicated</v>
      </c>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t="str">
        <f>IFERROR(__xludf.DUMMYFUNCTION("""COMPUTED_VALUE"""),"Twilight Sword")</f>
        <v>Twilight Sword</v>
      </c>
      <c r="B370" s="32" t="str">
        <f>IFERROR(__xludf.DUMMYFUNCTION("""COMPUTED_VALUE""")," (Sword) lvl:20, DMG: +500, Twilight DMG: +200")</f>
        <v> (Sword) lvl:20, DMG: +500, Twilight DMG: +200</v>
      </c>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t="str">
        <f>IFERROR(__xludf.DUMMYFUNCTION("""COMPUTED_VALUE"""),"Unknown Amulet")</f>
        <v>Unknown Amulet</v>
      </c>
      <c r="B371" s="32" t="str">
        <f>IFERROR(__xludf.DUMMYFUNCTION("""COMPUTED_VALUE""")," () lvl:1, : + ++At the beginning of battle, roll a d20. If the number is 1-5, everyone in the battle loses 1 HP. If the number is 6-10, all enemies lose 25% of their current HP. If the number is 11-19, the wearer loses 40% current HP. If the number is 20"&amp;", the battle is instantly won. (If you roll above a 20 , double your loot amount of each item)")</f>
        <v> () lvl:1, : +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t="str">
        <f>IFERROR(__xludf.DUMMYFUNCTION("""COMPUTED_VALUE"""),"Vambraces of Waking Waters")</f>
        <v>Vambraces of Waking Waters</v>
      </c>
      <c r="B372" s="32" t="str">
        <f>IFERROR(__xludf.DUMMYFUNCTION("""COMPUTED_VALUE""")," () lvl:200, DEF: +5000, Water DEF: +5000 ++X4 additional Water damage.")</f>
        <v> () lvl:200, DEF: +5000, Water DEF: +5000 ++X4 additional Water damage.</v>
      </c>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t="str">
        <f>IFERROR(__xludf.DUMMYFUNCTION("""COMPUTED_VALUE"""),"Viking Helm")</f>
        <v>Viking Helm</v>
      </c>
      <c r="B373" s="32" t="str">
        <f>IFERROR(__xludf.DUMMYFUNCTION("""COMPUTED_VALUE""")," () lvl:1, DEF: +200 (Viking Set)")</f>
        <v> () lvl:1, DEF: +200 (Viking Set)</v>
      </c>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t="str">
        <f>IFERROR(__xludf.DUMMYFUNCTION("""COMPUTED_VALUE"""),"Void sword")</f>
        <v>Void sword</v>
      </c>
      <c r="B374" s="32" t="str">
        <f>IFERROR(__xludf.DUMMYFUNCTION("""COMPUTED_VALUE""")," (Sword) lvl:200, : +, Celestial : +1 ++100% chance of instant death. Breaks upon instant death and causes a giant explosion causing 10,000,000 Celestial damage to all enemies..")</f>
        <v> (Sword) lvl:200, : +, Celestial : +1 ++100% chance of instant death. Breaks upon instant death and causes a giant explosion causing 10,000,000 Celestial damage to all enemies..</v>
      </c>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t="str">
        <f>IFERROR(__xludf.DUMMYFUNCTION("""COMPUTED_VALUE"""),"Volcanic Sword of Destruction")</f>
        <v>Volcanic Sword of Destruction</v>
      </c>
      <c r="B375" s="32" t="str">
        <f>IFERROR(__xludf.DUMMYFUNCTION("""COMPUTED_VALUE""")," (Sword) lvl:200, DMG: +100000, Fire DMG: +300000, Celestial DMG: +100000 ++Volcanic Valves - Increase the damage of fire weapons and fire spells by x3, When you attack and miss the target with this sword the damage this sword deals will double each time "&amp;"you miss. +-Cannot be forged +-Cannot be duplicated")</f>
        <v> (Sword) lvl:200, DMG: +100000, Fire DMG: +300000, Celestial DMG: +100000 ++Volcanic Valves - Increase the damage of fire weapons and fire spells by x3, When you attack and miss the target with this sword the damage this sword deals will double each time you miss. +-Cannot be forged +-Cannot be duplicated</v>
      </c>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t="str">
        <f>IFERROR(__xludf.DUMMYFUNCTION("""COMPUTED_VALUE"""),"Wand of Grey")</f>
        <v>Wand of Grey</v>
      </c>
      <c r="B376" s="32" t="str">
        <f>IFERROR(__xludf.DUMMYFUNCTION("""COMPUTED_VALUE""")," (Wand) lvl:1, : + ++X2 more damage to all spells. +-Cannot be duplicated.")</f>
        <v> (Wand) lvl:1, : + ++X2 more damage to all spells. +-Cannot be duplicated.</v>
      </c>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t="str">
        <f>IFERROR(__xludf.DUMMYFUNCTION("""COMPUTED_VALUE"""),"Wand of Multi-Color")</f>
        <v>Wand of Multi-Color</v>
      </c>
      <c r="B377" s="32" t="str">
        <f>IFERROR(__xludf.DUMMYFUNCTION("""COMPUTED_VALUE""")," (Wand) lvl:1, : + ++All types of spells are reduced by half sp. +-Cannot be duplicated. +-Can only equip one")</f>
        <v> (Wand) lvl:1, : + ++All types of spells are reduced by half sp. +-Cannot be duplicated. +-Can only equip one</v>
      </c>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t="str">
        <f>IFERROR(__xludf.DUMMYFUNCTION("""COMPUTED_VALUE"""),"Warlock’s Armored Chestplate")</f>
        <v>Warlock’s Armored Chestplate</v>
      </c>
      <c r="B378" s="32" t="str">
        <f>IFERROR(__xludf.DUMMYFUNCTION("""COMPUTED_VALUE""")," () lvl:100, DEF: +5000 ++All Dark, and Weapon attacks deal X2 more damage, All SP costs for Melee, Dark, and Physical Spells are reduced to half. ++Immunity to Dark and Chaos Damage.")</f>
        <v> () lvl:100, DEF: +5000 ++All Dark, and Weapon attacks deal X2 more damage, All SP costs for Melee, Dark, and Physical Spells are reduced to half. ++Immunity to Dark and Chaos Damage.</v>
      </c>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t="str">
        <f>IFERROR(__xludf.DUMMYFUNCTION("""COMPUTED_VALUE"""),"Water Warhammer")</f>
        <v>Water Warhammer</v>
      </c>
      <c r="B379" s="32" t="str">
        <f>IFERROR(__xludf.DUMMYFUNCTION("""COMPUTED_VALUE""")," (Club) lvl:200, DMG: +5000, Water DMG: +5000")</f>
        <v> (Club) lvl:200, DMG: +5000, Water DMG: +5000</v>
      </c>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t="str">
        <f>IFERROR(__xludf.DUMMYFUNCTION("""COMPUTED_VALUE"""),"Weaponized Bamboo Hat")</f>
        <v>Weaponized Bamboo Hat</v>
      </c>
      <c r="B380" s="32" t="str">
        <f>IFERROR(__xludf.DUMMYFUNCTION("""COMPUTED_VALUE""")," (Knife) lvl:40, DEF: +1000, Nature DEF: +1000 ++10,000 damage when thrown, this item will return to you after thrown.")</f>
        <v> (Knife) lvl:40, DEF: +1000, Nature DEF: +1000 ++10,000 damage when thrown, this item will return to you after thrown.</v>
      </c>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t="str">
        <f>IFERROR(__xludf.DUMMYFUNCTION("""COMPUTED_VALUE"""),"Wig of Temper Fire")</f>
        <v>Wig of Temper Fire</v>
      </c>
      <c r="B381" s="32" t="str">
        <f>IFERROR(__xludf.DUMMYFUNCTION("""COMPUTED_VALUE""")," () lvl:1, : + ++reduces any fire damage to 1 +-Cannot be duplicated")</f>
        <v> () lvl:1, : + ++reduces any fire damage to 1 +-Cannot be duplicated</v>
      </c>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t="str">
        <f>IFERROR(__xludf.DUMMYFUNCTION("""COMPUTED_VALUE"""),"Woodsman’s Hacker")</f>
        <v>Woodsman’s Hacker</v>
      </c>
      <c r="B382" s="32" t="str">
        <f>IFERROR(__xludf.DUMMYFUNCTION("""COMPUTED_VALUE""")," (Axe) lvl:10, DMG: +500")</f>
        <v> (Axe) lvl:10, DMG: +500</v>
      </c>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t="str">
        <f>IFERROR(__xludf.DUMMYFUNCTION("""COMPUTED_VALUE"""),"World Tree Sword")</f>
        <v>World Tree Sword</v>
      </c>
      <c r="B383" s="32" t="str">
        <f>IFERROR(__xludf.DUMMYFUNCTION("""COMPUTED_VALUE""")," () lvl:200, DMG: +100000, Earth DMG: +50000, Light DMG: +50000, Spirit DMG: +50000, Order DMG: +50000, Nature DMG: +50000, Celestial DMG: +50000 ++If you kill an enemy with this weapon your HP and SP will fully be restored. +-Cannot be forged +-Cannot be"&amp;" duplicated")</f>
        <v> () lvl:200, DMG: +100000, Earth DMG: +50000, Light DMG: +50000, Spirit DMG: +50000, Order DMG: +50000, Nature DMG: +50000, Celestial DMG: +50000 ++If you kill an enemy with this weapon your HP and SP will fully be restored. +-Cannot be forged +-Cannot be duplicated</v>
      </c>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t="str">
        <f>IFERROR(__xludf.DUMMYFUNCTION("""COMPUTED_VALUE"""),"Tear of the Dragon Pendant")</f>
        <v>Tear of the Dragon Pendant</v>
      </c>
      <c r="B384" s="32" t="str">
        <f>IFERROR(__xludf.DUMMYFUNCTION("""COMPUTED_VALUE""")," () lvl:1, : + ++Plus 5 or Minus 5 on your attack and percentage rolls, Users choice. +-Cannot be duplicated.")</f>
        <v> () lvl:1, : + ++Plus 5 or Minus 5 on your attack and percentage rolls, Users choice. +-Cannot be duplicated.</v>
      </c>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t="str">
        <f>IFERROR(__xludf.DUMMYFUNCTION("""COMPUTED_VALUE"""),"Luck of the Dragon Pendant")</f>
        <v>Luck of the Dragon Pendant</v>
      </c>
      <c r="B385" s="32" t="str">
        <f>IFERROR(__xludf.DUMMYFUNCTION("""COMPUTED_VALUE""")," () lvl:1, : + ++Plus 5 or Minus 5 on your Loot and Fail/Succeed rolls, Users choice. +-Cannot be duplicated.")</f>
        <v> () lvl:1, : + ++Plus 5 or Minus 5 on your Loot and Fail/Succeed rolls, Users choice. +-Cannot be duplicated.</v>
      </c>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t="str">
        <f>IFERROR(__xludf.DUMMYFUNCTION("""COMPUTED_VALUE"""),"Scale of the Dragon Pendant")</f>
        <v>Scale of the Dragon Pendant</v>
      </c>
      <c r="B386" s="32" t="str">
        <f>IFERROR(__xludf.DUMMYFUNCTION("""COMPUTED_VALUE""")," () lvl:1, : + ++Allows you to use a companions SP as your own if the companion is a dragon. +-Cannot be duplicated.")</f>
        <v> () lvl:1, : + ++Allows you to use a companions SP as your own if the companion is a dragon. +-Cannot be duplicated.</v>
      </c>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t="str">
        <f>IFERROR(__xludf.DUMMYFUNCTION("""COMPUTED_VALUE"""),"Guard Pauldrons")</f>
        <v>Guard Pauldrons</v>
      </c>
      <c r="B387" s="32" t="str">
        <f>IFERROR(__xludf.DUMMYFUNCTION("""COMPUTED_VALUE"""),"Quest Item () lvl:200, DEF: +25000, Light DEF: +25000, Celestial DEF: +25000 +-Cannot be duplicated")</f>
        <v>Quest Item () lvl:200, DEF: +25000, Light DEF: +25000, Celestial DEF: +25000 +-Cannot be duplicated</v>
      </c>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t="str">
        <f>IFERROR(__xludf.DUMMYFUNCTION("""COMPUTED_VALUE"""),"Guard Vambraces")</f>
        <v>Guard Vambraces</v>
      </c>
      <c r="B388" s="32" t="str">
        <f>IFERROR(__xludf.DUMMYFUNCTION("""COMPUTED_VALUE"""),"Quest Item () lvl:200, DEF: +25000, Light DEF: +25000, Celestial DEF: +25000 +-Cannot be duplicated")</f>
        <v>Quest Item () lvl:200, DEF: +25000, Light DEF: +25000, Celestial DEF: +25000 +-Cannot be duplicated</v>
      </c>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t="str">
        <f>IFERROR(__xludf.DUMMYFUNCTION("""COMPUTED_VALUE"""),"Royal Guard Pauldrons")</f>
        <v>Royal Guard Pauldrons</v>
      </c>
      <c r="B389" s="32" t="str">
        <f>IFERROR(__xludf.DUMMYFUNCTION("""COMPUTED_VALUE"""),"Quest Item () lvl:200, DEF: +50000, Light DEF: +50000, Celestial DEF: +50000 +-Cannot be duplicated")</f>
        <v>Quest Item () lvl:200, DEF: +50000, Light DEF: +50000, Celestial DEF: +50000 +-Cannot be duplicated</v>
      </c>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t="str">
        <f>IFERROR(__xludf.DUMMYFUNCTION("""COMPUTED_VALUE"""),"Royal Guard Vambraces")</f>
        <v>Royal Guard Vambraces</v>
      </c>
      <c r="B390" s="32" t="str">
        <f>IFERROR(__xludf.DUMMYFUNCTION("""COMPUTED_VALUE"""),"Quest Item () lvl:200, DEF: +50000, Light DEF: +50000, Celestial DEF: +50000 +-Cannot be duplicated")</f>
        <v>Quest Item () lvl:200, DEF: +50000, Light DEF: +50000, Celestial DEF: +50000 +-Cannot be duplicated</v>
      </c>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t="str">
        <f>IFERROR(__xludf.DUMMYFUNCTION("""COMPUTED_VALUE"""),"Celestian Royal Pauldrons")</f>
        <v>Celestian Royal Pauldrons</v>
      </c>
      <c r="B391" s="32"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t="str">
        <f>IFERROR(__xludf.DUMMYFUNCTION("""COMPUTED_VALUE"""),"Celestian Royal Vambraces")</f>
        <v>Celestian Royal Vambraces</v>
      </c>
      <c r="B392" s="32"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t="str">
        <f>IFERROR(__xludf.DUMMYFUNCTION("""COMPUTED_VALUE"""),"Royal Guard Shield")</f>
        <v>Royal Guard Shield</v>
      </c>
      <c r="B393" s="32" t="str">
        <f>IFERROR(__xludf.DUMMYFUNCTION("""COMPUTED_VALUE"""),"Quest Item (Towershield) lvl:200, DEF: +50000, Light DEF: +50000, Dark DEF: +50000, Celestial DEF: +50000 ++X2 Celestial Defense. +-Cannot be duplicated.")</f>
        <v>Quest Item (Towershield) lvl:200, DEF: +50000, Light DEF: +50000, Dark DEF: +50000, Celestial DEF: +50000 ++X2 Celestial Defense. +-Cannot be duplicated.</v>
      </c>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t="str">
        <f>IFERROR(__xludf.DUMMYFUNCTION("""COMPUTED_VALUE"""),"Guard Leggings")</f>
        <v>Guard Leggings</v>
      </c>
      <c r="B394" s="32" t="str">
        <f>IFERROR(__xludf.DUMMYFUNCTION("""COMPUTED_VALUE"""),"Quest Item () lvl:200, DEF: +25000, Light DEF: +25000, Celestial DEF: +25000 +-Cannot be duplicated")</f>
        <v>Quest Item () lvl:200, DEF: +25000, Light DEF: +25000, Celestial DEF: +25000 +-Cannot be duplicated</v>
      </c>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t="str">
        <f>IFERROR(__xludf.DUMMYFUNCTION("""COMPUTED_VALUE"""),"Guard Boots")</f>
        <v>Guard Boots</v>
      </c>
      <c r="B395" s="32" t="str">
        <f>IFERROR(__xludf.DUMMYFUNCTION("""COMPUTED_VALUE"""),"Quest Item () lvl:200, DEF: +25000, Light DEF: +25000, Celestial DEF: +25000 +-Cannot be duplicated")</f>
        <v>Quest Item () lvl:200, DEF: +25000, Light DEF: +25000, Celestial DEF: +25000 +-Cannot be duplicated</v>
      </c>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t="str">
        <f>IFERROR(__xludf.DUMMYFUNCTION("""COMPUTED_VALUE"""),"Celestian Royal Boots")</f>
        <v>Celestian Royal Boots</v>
      </c>
      <c r="B396" s="32"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t="str">
        <f>IFERROR(__xludf.DUMMYFUNCTION("""COMPUTED_VALUE"""),"Celestian Royal Leggings")</f>
        <v>Celestian Royal Leggings</v>
      </c>
      <c r="B397" s="32"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t="str">
        <f>IFERROR(__xludf.DUMMYFUNCTION("""COMPUTED_VALUE"""),"Celestian Royal Helmet")</f>
        <v>Celestian Royal Helmet</v>
      </c>
      <c r="B398" s="32"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t="str">
        <f>IFERROR(__xludf.DUMMYFUNCTION("""COMPUTED_VALUE"""),"Celestian Royal Chestplate")</f>
        <v>Celestian Royal Chestplate</v>
      </c>
      <c r="B399" s="32"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t="str">
        <f>IFERROR(__xludf.DUMMYFUNCTION("""COMPUTED_VALUE"""),"Guard Chestplate")</f>
        <v>Guard Chestplate</v>
      </c>
      <c r="B400" s="32" t="str">
        <f>IFERROR(__xludf.DUMMYFUNCTION("""COMPUTED_VALUE"""),"Quest Item () lvl:200, DEF: +25000, Light DEF: +25000, Celestial DEF: +25000 +-Cannot be duplicated.")</f>
        <v>Quest Item () lvl:200, DEF: +25000, Light DEF: +25000, Celestial DEF: +25000 +-Cannot be duplicated.</v>
      </c>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t="str">
        <f>IFERROR(__xludf.DUMMYFUNCTION("""COMPUTED_VALUE"""),"Revolver")</f>
        <v>Revolver</v>
      </c>
      <c r="B401" s="32" t="str">
        <f>IFERROR(__xludf.DUMMYFUNCTION("""COMPUTED_VALUE""")," (Firearm) lvl:200, DMG: +5000, Blood DMG: +5000")</f>
        <v> (Firearm) lvl:200, DMG: +5000, Blood DMG: +5000</v>
      </c>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t="str">
        <f>IFERROR(__xludf.DUMMYFUNCTION("""COMPUTED_VALUE"""),"Musket")</f>
        <v>Musket</v>
      </c>
      <c r="B402" s="32" t="str">
        <f>IFERROR(__xludf.DUMMYFUNCTION("""COMPUTED_VALUE""")," (Firearm) lvl:400, DMG: +10000, Blood DMG: +10000")</f>
        <v> (Firearm) lvl:400, DMG: +10000, Blood DMG: +10000</v>
      </c>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t="str">
        <f>IFERROR(__xludf.DUMMYFUNCTION("""COMPUTED_VALUE"""),"Lazer Infused Railgun")</f>
        <v>Lazer Infused Railgun</v>
      </c>
      <c r="B403" s="32" t="str">
        <f>IFERROR(__xludf.DUMMYFUNCTION("""COMPUTED_VALUE""")," (Firearm) lvl:1600, DMG: +40000, Blood DMG: +40000 ++Damages all enemies, Cannot Avoid. ++Ignores defense, ++Does not need ammunition. +-Cannot be forged. ")</f>
        <v> (Firearm) lvl:1600, DMG: +40000, Blood DMG: +40000 ++Damages all enemies, Cannot Avoid. ++Ignores defense, ++Does not need ammunition. +-Cannot be forged. </v>
      </c>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t="str">
        <f>IFERROR(__xludf.DUMMYFUNCTION("""COMPUTED_VALUE"""),"Minigun")</f>
        <v>Minigun</v>
      </c>
      <c r="B404" s="32" t="str">
        <f>IFERROR(__xludf.DUMMYFUNCTION("""COMPUTED_VALUE""")," (Firearm) lvl:1200, DMG: +30000, Blood DMG: +30000 ++Damages all enemies, Cannot Avoid, Roll a d100 the turn you use this weapon to see how many bullets it shoots.")</f>
        <v> (Firearm) lvl:1200, DMG: +30000, Blood DMG: +30000 ++Damages all enemies, Cannot Avoid, Roll a d100 the turn you use this weapon to see how many bullets it shoots.</v>
      </c>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t="str">
        <f>IFERROR(__xludf.DUMMYFUNCTION("""COMPUTED_VALUE"""),"Seahorse’s Ring")</f>
        <v>Seahorse’s Ring</v>
      </c>
      <c r="B405" s="32" t="str">
        <f>IFERROR(__xludf.DUMMYFUNCTION("""COMPUTED_VALUE""")," () lvl:20, : +, Nature : +1000 ++When fishing you have a 5% chance to encounter a rare seahorse, and he will give you a unique item (Chosen by a DM/GM)")</f>
        <v> () lvl:20, : +, Nature : +1000 ++When fishing you have a 5% chance to encounter a rare seahorse, and he will give you a unique item (Chosen by a DM/GM)</v>
      </c>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t="str">
        <f>IFERROR(__xludf.DUMMYFUNCTION("""COMPUTED_VALUE"""),"Bamboo Vambraces")</f>
        <v>Bamboo Vambraces</v>
      </c>
      <c r="B406" s="32" t="str">
        <f>IFERROR(__xludf.DUMMYFUNCTION("""COMPUTED_VALUE""")," () lvl:40, DEF: +1000, Nature DEF: +1000")</f>
        <v> () lvl:40, DEF: +1000, Nature DEF: +1000</v>
      </c>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t="str">
        <f>IFERROR(__xludf.DUMMYFUNCTION("""COMPUTED_VALUE"""),"Bamboo Pauldrons")</f>
        <v>Bamboo Pauldrons</v>
      </c>
      <c r="B407" s="32" t="str">
        <f>IFERROR(__xludf.DUMMYFUNCTION("""COMPUTED_VALUE""")," () lvl:40, DEF: +1000, Nature DEF: +1000")</f>
        <v> () lvl:40, DEF: +1000, Nature DEF: +1000</v>
      </c>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t="str">
        <f>IFERROR(__xludf.DUMMYFUNCTION("""COMPUTED_VALUE"""),"Bamboo Chestplate")</f>
        <v>Bamboo Chestplate</v>
      </c>
      <c r="B408" s="32" t="str">
        <f>IFERROR(__xludf.DUMMYFUNCTION("""COMPUTED_VALUE""")," () lvl:40, DEF: +1000, Nature DEF: +1000")</f>
        <v> () lvl:40, DEF: +1000, Nature DEF: +1000</v>
      </c>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t="str">
        <f>IFERROR(__xludf.DUMMYFUNCTION("""COMPUTED_VALUE"""),"Bamboo Greaves")</f>
        <v>Bamboo Greaves</v>
      </c>
      <c r="B409" s="32" t="str">
        <f>IFERROR(__xludf.DUMMYFUNCTION("""COMPUTED_VALUE""")," () lvl:40, DEF: +1000, Nature DEF: +1000")</f>
        <v> () lvl:40, DEF: +1000, Nature DEF: +1000</v>
      </c>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t="str">
        <f>IFERROR(__xludf.DUMMYFUNCTION("""COMPUTED_VALUE"""),"Strengthened Bamboo Sword")</f>
        <v>Strengthened Bamboo Sword</v>
      </c>
      <c r="B410" s="32" t="str">
        <f>IFERROR(__xludf.DUMMYFUNCTION("""COMPUTED_VALUE""")," (Sword) lvl:40, DMG: +1000, Nature DMG: +1000 ++X4 damage for this weapon if the battle is in a Forest or Jungle.")</f>
        <v> (Sword) lvl:40, DMG: +1000, Nature DMG: +1000 ++X4 damage for this weapon if the battle is in a Forest or Jungle.</v>
      </c>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t="str">
        <f>IFERROR(__xludf.DUMMYFUNCTION("""COMPUTED_VALUE"""),"Bamboo Sandals")</f>
        <v>Bamboo Sandals</v>
      </c>
      <c r="B411" s="32" t="str">
        <f>IFERROR(__xludf.DUMMYFUNCTION("""COMPUTED_VALUE""")," () lvl:40, DEF: +1000, Nature DEF: +1000")</f>
        <v> () lvl:40, DEF: +1000, Nature DEF: +1000</v>
      </c>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t="str">
        <f>IFERROR(__xludf.DUMMYFUNCTION("""COMPUTED_VALUE"""),"Greaves of Foul Night")</f>
        <v>Greaves of Foul Night</v>
      </c>
      <c r="B412" s="32" t="str">
        <f>IFERROR(__xludf.DUMMYFUNCTION("""COMPUTED_VALUE""")," () lvl:200, DEF: +5000, Nature DEF: +5000 (Foul Night Set) ++X2 Nature and Poison damage, Poison Immunity.")</f>
        <v> () lvl:200, DEF: +5000, Nature DEF: +5000 (Foul Night Set) ++X2 Nature and Poison damage, Poison Immunity.</v>
      </c>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t="str">
        <f>IFERROR(__xludf.DUMMYFUNCTION("""COMPUTED_VALUE"""),"Vambraces of Foul Night")</f>
        <v>Vambraces of Foul Night</v>
      </c>
      <c r="B413" s="32" t="str">
        <f>IFERROR(__xludf.DUMMYFUNCTION("""COMPUTED_VALUE""")," () lvl:200, DEF: +5000, Dark DEF: +5000 (Foul Night Set) ++X2 Dark and Poison damage, Poison Immunity.")</f>
        <v> () lvl:200, DEF: +5000, Dark DEF: +5000 (Foul Night Set) ++X2 Dark and Poison damage, Poison Immunity.</v>
      </c>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t="str">
        <f>IFERROR(__xludf.DUMMYFUNCTION("""COMPUTED_VALUE"""),"Boots of Foul Night")</f>
        <v>Boots of Foul Night</v>
      </c>
      <c r="B414" s="32" t="str">
        <f>IFERROR(__xludf.DUMMYFUNCTION("""COMPUTED_VALUE""")," () lvl:200, DEF: +5000, Dark DEF: +5000 (Foul Night Set) ++X2 Dark and Poison damage, Poison Immunity.")</f>
        <v> () lvl:200, DEF: +5000, Dark DEF: +5000 (Foul Night Set) ++X2 Dark and Poison damage, Poison Immunity.</v>
      </c>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t="str">
        <f>IFERROR(__xludf.DUMMYFUNCTION("""COMPUTED_VALUE"""),"Pauldrons of Foul Night")</f>
        <v>Pauldrons of Foul Night</v>
      </c>
      <c r="B415" s="32" t="str">
        <f>IFERROR(__xludf.DUMMYFUNCTION("""COMPUTED_VALUE""")," () lvl:200, DEF: +5000, Dark DEF: +5000 (Foul Night Set) ++X2 Dark and Poison damage, Poison Immunity.")</f>
        <v> () lvl:200, DEF: +5000, Dark DEF: +5000 (Foul Night Set) ++X2 Dark and Poison damage, Poison Immunity.</v>
      </c>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t="str">
        <f>IFERROR(__xludf.DUMMYFUNCTION("""COMPUTED_VALUE"""),"Crystal Forged Pauldrons")</f>
        <v>Crystal Forged Pauldrons</v>
      </c>
      <c r="B416" s="32"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t="str">
        <f>IFERROR(__xludf.DUMMYFUNCTION("""COMPUTED_VALUE"""),"Crystal Forged Greaves")</f>
        <v>Crystal Forged Greaves</v>
      </c>
      <c r="B417" s="32"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t="str">
        <f>IFERROR(__xludf.DUMMYFUNCTION("""COMPUTED_VALUE"""),"Crystal Forged Boots")</f>
        <v>Crystal Forged Boots</v>
      </c>
      <c r="B418" s="32"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t="str">
        <f>IFERROR(__xludf.DUMMYFUNCTION("""COMPUTED_VALUE"""),"Crystal Forged Vambraces")</f>
        <v>Crystal Forged Vambraces</v>
      </c>
      <c r="B419" s="32"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t="str">
        <f>IFERROR(__xludf.DUMMYFUNCTION("""COMPUTED_VALUE"""),"Fiddle")</f>
        <v>Fiddle</v>
      </c>
      <c r="B420" s="32" t="str">
        <f>IFERROR(__xludf.DUMMYFUNCTION("""COMPUTED_VALUE""")," (Instrument) lvl:40, DMG: +2000")</f>
        <v> (Instrument) lvl:40, DMG: +2000</v>
      </c>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t="str">
        <f>IFERROR(__xludf.DUMMYFUNCTION("""COMPUTED_VALUE"""),"WyvernTail Blade")</f>
        <v>WyvernTail Blade</v>
      </c>
      <c r="B421" s="32" t="str">
        <f>IFERROR(__xludf.DUMMYFUNCTION("""COMPUTED_VALUE""")," (Sword) lvl:200, DMG: +5000, Water DMG: +5000 (Wyverntail Set) ++50% Chance to freeze the target being attacked by this weapon.")</f>
        <v> (Sword) lvl:200, DMG: +5000, Water DMG: +5000 (Wyverntail Set) ++50% Chance to freeze the target being attacked by this weapon.</v>
      </c>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t="str">
        <f>IFERROR(__xludf.DUMMYFUNCTION("""COMPUTED_VALUE"""),"WyvernTail Helm")</f>
        <v>WyvernTail Helm</v>
      </c>
      <c r="B422" s="32" t="str">
        <f>IFERROR(__xludf.DUMMYFUNCTION("""COMPUTED_VALUE""")," () lvl:200, DEF: +10000 (Wyverntail Set) ++Freeze Immunity")</f>
        <v> () lvl:200, DEF: +10000 (Wyverntail Set) ++Freeze Immunity</v>
      </c>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t="str">
        <f>IFERROR(__xludf.DUMMYFUNCTION("""COMPUTED_VALUE"""),"WyvernTail Pauldrons")</f>
        <v>WyvernTail Pauldrons</v>
      </c>
      <c r="B423" s="32" t="str">
        <f>IFERROR(__xludf.DUMMYFUNCTION("""COMPUTED_VALUE""")," () lvl:200, DEF: +10000 (Wyverntail Set) ++Freeze Immunity")</f>
        <v> () lvl:200, DEF: +10000 (Wyverntail Set) ++Freeze Immunity</v>
      </c>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t="str">
        <f>IFERROR(__xludf.DUMMYFUNCTION("""COMPUTED_VALUE"""),"WyvernTail Chestplate")</f>
        <v>WyvernTail Chestplate</v>
      </c>
      <c r="B424" s="32" t="str">
        <f>IFERROR(__xludf.DUMMYFUNCTION("""COMPUTED_VALUE""")," () lvl:200, DEF: +10000 (Wyverntail Set) ++Freeze Immunity")</f>
        <v> () lvl:200, DEF: +10000 (Wyverntail Set) ++Freeze Immunity</v>
      </c>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t="str">
        <f>IFERROR(__xludf.DUMMYFUNCTION("""COMPUTED_VALUE"""),"WyvernTail Vambraces")</f>
        <v>WyvernTail Vambraces</v>
      </c>
      <c r="B425" s="32" t="str">
        <f>IFERROR(__xludf.DUMMYFUNCTION("""COMPUTED_VALUE""")," () lvl:200, DEF: +10000 (Wyverntail Set) ++Freeze Immunity")</f>
        <v> () lvl:200, DEF: +10000 (Wyverntail Set) ++Freeze Immunity</v>
      </c>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t="str">
        <f>IFERROR(__xludf.DUMMYFUNCTION("""COMPUTED_VALUE"""),"WyvernTail Greaves")</f>
        <v>WyvernTail Greaves</v>
      </c>
      <c r="B426" s="32" t="str">
        <f>IFERROR(__xludf.DUMMYFUNCTION("""COMPUTED_VALUE""")," () lvl:200, DEF: +10000 (Wyverntail Set) ++Freeze Immunity")</f>
        <v> () lvl:200, DEF: +10000 (Wyverntail Set) ++Freeze Immunity</v>
      </c>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t="str">
        <f>IFERROR(__xludf.DUMMYFUNCTION("""COMPUTED_VALUE"""),"WyvernTail Boots")</f>
        <v>WyvernTail Boots</v>
      </c>
      <c r="B427" s="32" t="str">
        <f>IFERROR(__xludf.DUMMYFUNCTION("""COMPUTED_VALUE""")," () lvl:200, DEF: +10000 (Wyverntail Set) ++Freeze Immunity")</f>
        <v> () lvl:200, DEF: +10000 (Wyverntail Set) ++Freeze Immunity</v>
      </c>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t="str">
        <f>IFERROR(__xludf.DUMMYFUNCTION("""COMPUTED_VALUE"""),"WyvernTail Pendent")</f>
        <v>WyvernTail Pendent</v>
      </c>
      <c r="B428" s="32" t="str">
        <f>IFERROR(__xludf.DUMMYFUNCTION("""COMPUTED_VALUE""")," () lvl:1, : + (Wyverntail Set) ++When you are attacked, the enemy that attacked you has a 25% Chance to Freeze.")</f>
        <v> () lvl:1, : + (Wyverntail Set) ++When you are attacked, the enemy that attacked you has a 25% Chance to Freeze.</v>
      </c>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t="str">
        <f>IFERROR(__xludf.DUMMYFUNCTION("""COMPUTED_VALUE"""),"WyvernTail Ring")</f>
        <v>WyvernTail Ring</v>
      </c>
      <c r="B429" s="32" t="str">
        <f>IFERROR(__xludf.DUMMYFUNCTION("""COMPUTED_VALUE""")," () lvl:1, : + (Wyverntail Set) ++When you are attacked, the enemy that attacked you has a 25% Chance to Freeze. ")</f>
        <v> () lvl:1, : + (Wyverntail Set) ++When you are attacked, the enemy that attacked you has a 25% Chance to Freeze. </v>
      </c>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t="str">
        <f>IFERROR(__xludf.DUMMYFUNCTION("""COMPUTED_VALUE"""),"Sweltering Blade")</f>
        <v>Sweltering Blade</v>
      </c>
      <c r="B430" s="32" t="str">
        <f>IFERROR(__xludf.DUMMYFUNCTION("""COMPUTED_VALUE""")," (Sword) lvl:400, DMG: +5000, Fire DMG: +5000, Water DMG: +5000, Nature DMG: +5000 (Sweltering Set) ++X2 Nature, Water, and Fire Damage.")</f>
        <v> (Sword) lvl:400, DMG: +5000, Fire DMG: +5000, Water DMG: +5000, Nature DMG: +5000 (Sweltering Set) ++X2 Nature, Water, and Fire Damage.</v>
      </c>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t="str">
        <f>IFERROR(__xludf.DUMMYFUNCTION("""COMPUTED_VALUE"""),"Sweltering Helm")</f>
        <v>Sweltering Helm</v>
      </c>
      <c r="B431" s="32" t="str">
        <f>IFERROR(__xludf.DUMMYFUNCTION("""COMPUTED_VALUE""")," () lvl:400, DEF: +5000, Fire DEF: +5000, Water DEF: +5000, Nature DEF: +5000 (Sweltering Set) ++X2 Nature, Water, and Fire Damage.")</f>
        <v> () lvl:400, DEF: +5000, Fire DEF: +5000, Water DEF: +5000, Nature DEF: +5000 (Sweltering Set) ++X2 Nature, Water, and Fire Damage.</v>
      </c>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t="str">
        <f>IFERROR(__xludf.DUMMYFUNCTION("""COMPUTED_VALUE"""),"Sweltering Pauldrons")</f>
        <v>Sweltering Pauldrons</v>
      </c>
      <c r="B432" s="32" t="str">
        <f>IFERROR(__xludf.DUMMYFUNCTION("""COMPUTED_VALUE""")," () lvl:400, DEF: +5000, Fire DEF: +5000, Water DEF: +5000, Nature DEF: +5000 (Sweltering Set) ++X2 Nature, Water, and Fire Damage.")</f>
        <v> () lvl:400, DEF: +5000, Fire DEF: +5000, Water DEF: +5000, Nature DEF: +5000 (Sweltering Set) ++X2 Nature, Water, and Fire Damage.</v>
      </c>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t="str">
        <f>IFERROR(__xludf.DUMMYFUNCTION("""COMPUTED_VALUE"""),"Sweltering Chestplate")</f>
        <v>Sweltering Chestplate</v>
      </c>
      <c r="B433" s="32" t="str">
        <f>IFERROR(__xludf.DUMMYFUNCTION("""COMPUTED_VALUE""")," () lvl:400, DEF: +5000, Fire DEF: +5000, Water DEF: +5000, Nature DEF: +5000 (Sweltering Set) ++X2 Nature, Water, and Fire Damage.")</f>
        <v> () lvl:400, DEF: +5000, Fire DEF: +5000, Water DEF: +5000, Nature DEF: +5000 (Sweltering Set) ++X2 Nature, Water, and Fire Damage.</v>
      </c>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t="str">
        <f>IFERROR(__xludf.DUMMYFUNCTION("""COMPUTED_VALUE"""),"Sweltering Vambraces")</f>
        <v>Sweltering Vambraces</v>
      </c>
      <c r="B434" s="32" t="str">
        <f>IFERROR(__xludf.DUMMYFUNCTION("""COMPUTED_VALUE""")," () lvl:400, DEF: +5000, Fire DEF: +5000, Water DEF: +5000, Nature DEF: +5000 (Sweltering Set) ++X2 Nature, Water, and Fire Damage.")</f>
        <v> () lvl:400, DEF: +5000, Fire DEF: +5000, Water DEF: +5000, Nature DEF: +5000 (Sweltering Set) ++X2 Nature, Water, and Fire Damage.</v>
      </c>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t="str">
        <f>IFERROR(__xludf.DUMMYFUNCTION("""COMPUTED_VALUE"""),"Sweltering Greaves")</f>
        <v>Sweltering Greaves</v>
      </c>
      <c r="B435" s="32" t="str">
        <f>IFERROR(__xludf.DUMMYFUNCTION("""COMPUTED_VALUE""")," () lvl:400, DEF: +5000, Fire DEF: +5000, Water DEF: +5000, Nature DEF: +5000 (Sweltering Set) ++X2 Nature, Water, and Fire Damage.")</f>
        <v> () lvl:400, DEF: +5000, Fire DEF: +5000, Water DEF: +5000, Nature DEF: +5000 (Sweltering Set) ++X2 Nature, Water, and Fire Damage.</v>
      </c>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t="str">
        <f>IFERROR(__xludf.DUMMYFUNCTION("""COMPUTED_VALUE"""),"Sweltering Boots")</f>
        <v>Sweltering Boots</v>
      </c>
      <c r="B436" s="32" t="str">
        <f>IFERROR(__xludf.DUMMYFUNCTION("""COMPUTED_VALUE""")," () lvl:400, DEF: +5000, Fire DEF: +5000, Water DEF: +5000, Nature DEF: +5000 (Sweltering Set) ++X2 Nature, Water, and Fire Damage.")</f>
        <v> () lvl:400, DEF: +5000, Fire DEF: +5000, Water DEF: +5000, Nature DEF: +5000 (Sweltering Set) ++X2 Nature, Water, and Fire Damage.</v>
      </c>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t="str">
        <f>IFERROR(__xludf.DUMMYFUNCTION("""COMPUTED_VALUE"""),"Sweltering Pendent")</f>
        <v>Sweltering Pendent</v>
      </c>
      <c r="B437" s="32" t="str">
        <f>IFERROR(__xludf.DUMMYFUNCTION("""COMPUTED_VALUE""")," () lvl:1, : + (Sweltering Set) ++Fire, Nature, and Water immunity.")</f>
        <v> () lvl:1, : + (Sweltering Set) ++Fire, Nature, and Water immunity.</v>
      </c>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t="str">
        <f>IFERROR(__xludf.DUMMYFUNCTION("""COMPUTED_VALUE"""),"Sweltering Ring")</f>
        <v>Sweltering Ring</v>
      </c>
      <c r="B438" s="32" t="str">
        <f>IFERROR(__xludf.DUMMYFUNCTION("""COMPUTED_VALUE""")," () lvl:1, : + (Sweltering Set) ++Fire, Nature, and Water immunity.")</f>
        <v> () lvl:1, : + (Sweltering Set) ++Fire, Nature, and Water immunity.</v>
      </c>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t="str">
        <f>IFERROR(__xludf.DUMMYFUNCTION("""COMPUTED_VALUE"""),"Reinforced Tortoise Shell")</f>
        <v>Reinforced Tortoise Shell</v>
      </c>
      <c r="B439" s="32" t="str">
        <f>IFERROR(__xludf.DUMMYFUNCTION("""COMPUTED_VALUE""")," () lvl:400, DEF: +10000, Water DEF: +5000, Light DEF: +5000 ++X2 Defense for the wearer. +-Cannot be Duplicated.")</f>
        <v> () lvl:400, DEF: +10000, Water DEF: +5000, Light DEF: +5000 ++X2 Defense for the wearer. +-Cannot be Duplicated.</v>
      </c>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t="str">
        <f>IFERROR(__xludf.DUMMYFUNCTION("""COMPUTED_VALUE"""),"Tortoise Shell Shield")</f>
        <v>Tortoise Shell Shield</v>
      </c>
      <c r="B440" s="32" t="str">
        <f>IFERROR(__xludf.DUMMYFUNCTION("""COMPUTED_VALUE""")," (Towershield) lvl:400, DEF: +20000 ++X2 Defense for the wearer. +-Cannot be Duplicated.")</f>
        <v> (Towershield) lvl:400, DEF: +20000 ++X2 Defense for the wearer. +-Cannot be Duplicated.</v>
      </c>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t="str">
        <f>IFERROR(__xludf.DUMMYFUNCTION("""COMPUTED_VALUE"""),"Stone of the Summit")</f>
        <v>Stone of the Summit</v>
      </c>
      <c r="B441" s="32" t="str">
        <f>IFERROR(__xludf.DUMMYFUNCTION("""COMPUTED_VALUE""")," () lvl:1, : + ++X2 additional damage towards weapons for the user.")</f>
        <v> () lvl:1, : + ++X2 additional damage towards weapons for the user.</v>
      </c>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t="str">
        <f>IFERROR(__xludf.DUMMYFUNCTION("""COMPUTED_VALUE"""),"Deep Blue Pearl")</f>
        <v>Deep Blue Pearl</v>
      </c>
      <c r="B442" s="32" t="str">
        <f>IFERROR(__xludf.DUMMYFUNCTION("""COMPUTED_VALUE"""),"A rare pearl found deep within the ocean of Dragonscale Island. () lvl:200, DEF: +10000 ++Water Immunity. ++Water damage dealt by you gives you sp back equal half the damage caused.")</f>
        <v>A rare pearl found deep within the ocean of Dragonscale Island. () lvl:200, DEF: +10000 ++Water Immunity. ++Water damage dealt by you gives you sp back equal half the damage caused.</v>
      </c>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t="str">
        <f>IFERROR(__xludf.DUMMYFUNCTION("""COMPUTED_VALUE"""),"Tempests Lightning Rod")</f>
        <v>Tempests Lightning Rod</v>
      </c>
      <c r="B443" s="32" t="str">
        <f>IFERROR(__xludf.DUMMYFUNCTION("""COMPUTED_VALUE""")," (Spear) lvl:600, DMG: +10000, Water DMG: +10000, Storm DMG: +10000 ++X4 additional Storm Damage for the user, ++You may attack up to 3 times with this weapon in 1 turn, Roll a d3 to determine how many attacks this weapon does.")</f>
        <v> (Spear) lvl:600, DMG: +10000, Water DMG: +10000, Storm DMG: +10000 ++X4 additional Storm Damage for the user, ++You may attack up to 3 times with this weapon in 1 turn, Roll a d3 to determine how many attacks this weapon does.</v>
      </c>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t="str">
        <f>IFERROR(__xludf.DUMMYFUNCTION("""COMPUTED_VALUE"""),"Sword of Mystic Vagility")</f>
        <v>Sword of Mystic Vagility</v>
      </c>
      <c r="B444" s="32" t="str">
        <f>IFERROR(__xludf.DUMMYFUNCTION("""COMPUTED_VALUE""")," (Sword) lvl:200, DMG: +50000, Celestial DMG: +50000 ++5 to d20 rolls, ++2 Evasion, ++2 Mobility. +-Cannot be duplicated.")</f>
        <v> (Sword) lvl:200, DMG: +50000, Celestial DMG: +50000 ++5 to d20 rolls, ++2 Evasion, ++2 Mobility. +-Cannot be duplicated.</v>
      </c>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t="str">
        <f>IFERROR(__xludf.DUMMYFUNCTION("""COMPUTED_VALUE"""),".50 Caliber Machine Gun (car)")</f>
        <v>.50 Caliber Machine Gun (car)</v>
      </c>
      <c r="B445" s="32" t="str">
        <f>IFERROR(__xludf.DUMMYFUNCTION("""COMPUTED_VALUE""")," (Firearm) lvl:400, DMG: +20000 ++Roll a d500 to see how many bullets are used when you attack with this weapon. +-Uses bullets. ++Damages 2 targets. ++Cannot Avoid.")</f>
        <v> (Firearm) lvl:400, DMG: +20000 ++Roll a d500 to see how many bullets are used when you attack with this weapon. +-Uses bullets. ++Damages 2 targets. ++Cannot Avoid.</v>
      </c>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t="str">
        <f>IFERROR(__xludf.DUMMYFUNCTION("""COMPUTED_VALUE"""),"Auto Turret")</f>
        <v>Auto Turret</v>
      </c>
      <c r="B446" s="32" t="str">
        <f>IFERROR(__xludf.DUMMYFUNCTION("""COMPUTED_VALUE""")," (Firearm) lvl:800, DMG: +40000 ++Does not take an action to use, Acts as if it has a turn order of its own. ++Has unlimited bullets. +-Uses bullets ++Roll a d1000 to see how many bullets are used. ++Damages all targets. ++Cannot avoid.")</f>
        <v> (Firearm) lvl:800, DMG: +40000 ++Does not take an action to use, Acts as if it has a turn order of its own. ++Has unlimited bullets. +-Uses bullets ++Roll a d1000 to see how many bullets are used. ++Damages all targets. ++Cannot avoid.</v>
      </c>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t="str">
        <f>IFERROR(__xludf.DUMMYFUNCTION("""COMPUTED_VALUE"""),"Lazer Infused Cannon")</f>
        <v>Lazer Infused Cannon</v>
      </c>
      <c r="B447" s="32" t="str">
        <f>IFERROR(__xludf.DUMMYFUNCTION("""COMPUTED_VALUE""")," (Firearm) lvl:5000, DMG: +, Fire DMG: +250000 ++Does not use Ammunition. ++Cannot avoid, ++Damages all enemies.")</f>
        <v> (Firearm) lvl:5000, DMG: +, Fire DMG: +250000 ++Does not use Ammunition. ++Cannot avoid, ++Damages all enemies.</v>
      </c>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t="str">
        <f>IFERROR(__xludf.DUMMYFUNCTION("""COMPUTED_VALUE"""),"Roof Mounted Turret")</f>
        <v>Roof Mounted Turret</v>
      </c>
      <c r="B448" s="32" t="str">
        <f>IFERROR(__xludf.DUMMYFUNCTION("""COMPUTED_VALUE""")," (Firearm) lvl:500, DMG: +25000 ++Roll a d500 to see how many bullets are used when you attack with this weapon. +-Uses bullets ++Damages up to 2 targets.")</f>
        <v> (Firearm) lvl:500, DMG: +25000 ++Roll a d500 to see how many bullets are used when you attack with this weapon. +-Uses bullets ++Damages up to 2 targets.</v>
      </c>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t="str">
        <f>IFERROR(__xludf.DUMMYFUNCTION("""COMPUTED_VALUE"""),".50 Caliber Machine Gun (boat)")</f>
        <v>.50 Caliber Machine Gun (boat)</v>
      </c>
      <c r="B449" s="32" t="str">
        <f>IFERROR(__xludf.DUMMYFUNCTION("""COMPUTED_VALUE""")," (Firearm) lvl:500, DMG: +25000 ++Roll a d500 to see how many bullets are used when you attack with this weapon. +-Uses bullets")</f>
        <v> (Firearm) lvl:500, DMG: +25000 ++Roll a d500 to see how many bullets are used when you attack with this weapon. +-Uses bullets</v>
      </c>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t="str">
        <f>IFERROR(__xludf.DUMMYFUNCTION("""COMPUTED_VALUE"""),"Missile Turret (car)")</f>
        <v>Missile Turret (car)</v>
      </c>
      <c r="B450" s="32" t="str">
        <f>IFERROR(__xludf.DUMMYFUNCTION("""COMPUTED_VALUE""")," (Firearm) lvl:2000, DMG: +50000, Fire DMG: +50000 ++Damages all enemies. +-Uses Missiles.")</f>
        <v> (Firearm) lvl:2000, DMG: +50000, Fire DMG: +50000 ++Damages all enemies. +-Uses Missiles.</v>
      </c>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t="str">
        <f>IFERROR(__xludf.DUMMYFUNCTION("""COMPUTED_VALUE"""),"Missile Turret (boat)")</f>
        <v>Missile Turret (boat)</v>
      </c>
      <c r="B451" s="32" t="str">
        <f>IFERROR(__xludf.DUMMYFUNCTION("""COMPUTED_VALUE""")," (Firearm) lvl:2000, DMG: +50000, Fire DMG: +50000 ++Damages all enemies. +-Uses Missiles.")</f>
        <v> (Firearm) lvl:2000, DMG: +50000, Fire DMG: +50000 ++Damages all enemies. +-Uses Missiles.</v>
      </c>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t="str">
        <f>IFERROR(__xludf.DUMMYFUNCTION("""COMPUTED_VALUE"""),"Royal Sword of Dragonia")</f>
        <v>Royal Sword of Dragonia</v>
      </c>
      <c r="B452" s="32" t="str">
        <f>IFERROR(__xludf.DUMMYFUNCTION("""COMPUTED_VALUE""")," (Sword) lvl:200, DMG: +50000, Fire DMG: +50000, Order DMG: +50000, Blood DMG: +25000, Celestial DMG: +25000 ++Dragons Luck II: If you have a dragon companion with you during the current battle add ++5 to your turn order roll. +-Cannot be forged +-Cannot "&amp;"be duplicated")</f>
        <v> (Sword) lvl:200, DMG: +50000, Fire DMG: +50000, Order DMG: +50000, Blood DMG: +25000, Celestial DMG: +25000 ++Dragons Luck II: If you have a dragon companion with you during the current battle add ++5 to your turn order roll. +-Cannot be forged +-Cannot be duplicated</v>
      </c>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t="str">
        <f>IFERROR(__xludf.DUMMYFUNCTION("""COMPUTED_VALUE"""),"Dragonian Helm")</f>
        <v>Dragonian Helm</v>
      </c>
      <c r="B453" s="32" t="str">
        <f>IFERROR(__xludf.DUMMYFUNCTION("""COMPUTED_VALUE""")," (Sword) lvl:200, DEF: +50000, Fire DEF: +50000, Order DEF: +50000, Blood DEF: +25000, Celestial DEF: +25000 ++Dragons Armor: Damage dealt to the wearer by a dragon becomes halved. +-Cannot be forged +-Cannot be duplicated")</f>
        <v> (Sword) lvl:200, DEF: +50000, Fire DEF: +50000, Order DEF: +50000, Blood DEF: +25000, Celestial DEF: +25000 ++Dragons Armor: Damage dealt to the wearer by a dragon becomes halved. +-Cannot be forged +-Cannot be duplicated</v>
      </c>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t="str">
        <f>IFERROR(__xludf.DUMMYFUNCTION("""COMPUTED_VALUE"""),"Dragonian Pauldrons")</f>
        <v>Dragonian Pauldrons</v>
      </c>
      <c r="B454" s="32"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t="str">
        <f>IFERROR(__xludf.DUMMYFUNCTION("""COMPUTED_VALUE"""),"Dragonian Chestplate")</f>
        <v>Dragonian Chestplate</v>
      </c>
      <c r="B455" s="32"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t="str">
        <f>IFERROR(__xludf.DUMMYFUNCTION("""COMPUTED_VALUE"""),"Dragonian Vambraces")</f>
        <v>Dragonian Vambraces</v>
      </c>
      <c r="B456" s="32"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t="str">
        <f>IFERROR(__xludf.DUMMYFUNCTION("""COMPUTED_VALUE"""),"Dragonian Greaves")</f>
        <v>Dragonian Greaves</v>
      </c>
      <c r="B457" s="32"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t="str">
        <f>IFERROR(__xludf.DUMMYFUNCTION("""COMPUTED_VALUE"""),"Dragonian Boots")</f>
        <v>Dragonian Boots</v>
      </c>
      <c r="B458" s="32"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t="str">
        <f>IFERROR(__xludf.DUMMYFUNCTION("""COMPUTED_VALUE"""),"Dragonian Pendent")</f>
        <v>Dragonian Pendent</v>
      </c>
      <c r="B459" s="32"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t="str">
        <f>IFERROR(__xludf.DUMMYFUNCTION("""COMPUTED_VALUE"""),"Dragonian Ring")</f>
        <v>Dragonian Ring</v>
      </c>
      <c r="B460" s="32"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t="str">
        <f>IFERROR(__xludf.DUMMYFUNCTION("""COMPUTED_VALUE"""),"Fishing Pole of Luck and Power")</f>
        <v>Fishing Pole of Luck and Power</v>
      </c>
      <c r="B461" s="32" t="str">
        <f>IFERROR(__xludf.DUMMYFUNCTION("""COMPUTED_VALUE""")," (Club) lvl:1600, DMG: +20000, Fire DMG: +20000, Water DMG: +20000, Storm DMG: +20000 ++Can be used as a weapon or to fish, Will cook fish that are caught. ++When you deal damage to a target with this item it will have a 50% chance to remove them from bat"&amp;"tle.")</f>
        <v> (Club) lvl:1600, DMG: +20000, Fire DMG: +20000, Water DMG: +20000, Storm DMG: +20000 ++Can be used as a weapon or to fish, Will cook fish that are caught. ++When you deal damage to a target with this item it will have a 50% chance to remove them from battle.</v>
      </c>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t="str">
        <f>IFERROR(__xludf.DUMMYFUNCTION("""COMPUTED_VALUE"""),"Ancient Oni Pauldrons")</f>
        <v>Ancient Oni Pauldrons</v>
      </c>
      <c r="B462" s="32"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t="str">
        <f>IFERROR(__xludf.DUMMYFUNCTION("""COMPUTED_VALUE"""),"Ancient Oni Vambraces")</f>
        <v>Ancient Oni Vambraces</v>
      </c>
      <c r="B463" s="32"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t="str">
        <f>IFERROR(__xludf.DUMMYFUNCTION("""COMPUTED_VALUE"""),"Ancient Oni Greaves")</f>
        <v>Ancient Oni Greaves</v>
      </c>
      <c r="B464" s="32"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t="str">
        <f>IFERROR(__xludf.DUMMYFUNCTION("""COMPUTED_VALUE"""),"Ancient Oni Boots")</f>
        <v>Ancient Oni Boots</v>
      </c>
      <c r="B465" s="32"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t="str">
        <f>IFERROR(__xludf.DUMMYFUNCTION("""COMPUTED_VALUE"""),"Ancient Oni Katana")</f>
        <v>Ancient Oni Katana</v>
      </c>
      <c r="B466" s="32" t="str">
        <f>IFERROR(__xludf.DUMMYFUNCTION("""COMPUTED_VALUE"""),"An ancient relic to Zhenmay (Sword) lvl:200, DMG: +10000, Fire DMG: +10000, Physical DMG: +10000, Water DMG: +10000, Storm DMG: +10000, Earth DMG: +10000, Light DMG: +10000, Dark DMG: +10000, Spirit DMG: +10000, Order DMG: +10000, Chaos DMG: +10000, Natur"&amp;"e DMG: +10000, Voodoo DMG: +10000, Blood DMG: +10000, Astral DMG: +10000, Celestial DMG: +10000 ++X2 additional damage for all elements. +-Only Samurai's, Monks, and Ninjas can equip. +-Cannot be forged +-Cannot be duplicated")</f>
        <v>An ancient relic to Zhenmay (Sword) lvl:200, 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t="str">
        <f>IFERROR(__xludf.DUMMYFUNCTION("""COMPUTED_VALUE"""),"The Grand Staff of Evil Flames")</f>
        <v>The Grand Staff of Evil Flames</v>
      </c>
      <c r="B467" s="32" t="str">
        <f>IFERROR(__xludf.DUMMYFUNCTION("""COMPUTED_VALUE""")," (Staff) lvl:1200, DMG: +, Fire DMG: +20000, Dark DMG: +20000, Chaos DMG: +20000 ++X4 additional Dark, Fire, and Chaos damage for the user while equipped. +-Cannot be duplicated")</f>
        <v> (Staff) lvl:1200, DMG: +, Fire DMG: +20000, Dark DMG: +20000, Chaos DMG: +20000 ++X4 additional Dark, Fire, and Chaos damage for the user while equipped. +-Cannot be duplicated</v>
      </c>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t="str">
        <f>IFERROR(__xludf.DUMMYFUNCTION("""COMPUTED_VALUE"""),"Soul Sword of The Endless Realm")</f>
        <v>Soul Sword of The Endless Realm</v>
      </c>
      <c r="B468" s="32" t="str">
        <f>IFERROR(__xludf.DUMMYFUNCTION("""COMPUTED_VALUE""")," (Sword) lvl:200, DMG: +150000, Dark DMG: +150000, Celestial DMG: +150000 ++While equipped if you have other soul related items equipped this sword will deal X8 additional damage, ++SP Steal: Gain SP back equal to the damage caused with this weapon. +-Can"&amp;"not be duplicated.")</f>
        <v> (Sword) lvl:200, DMG: +150000, Dark DMG: +150000, Celestial DMG: +150000 ++While equipped if you have other soul related items equipped this sword will deal X8 additional damage, ++SP Steal: Gain SP back equal to the damage caused with this weapon. +-Cannot be duplicated.</v>
      </c>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t="str">
        <f>IFERROR(__xludf.DUMMYFUNCTION("""COMPUTED_VALUE"""),"Rat King's Crown")</f>
        <v>Rat King's Crown</v>
      </c>
      <c r="B469" s="32" t="str">
        <f>IFERROR(__xludf.DUMMYFUNCTION("""COMPUTED_VALUE""")," () lvl:1000, DEF: +50000 ++If you or a party member dies this crown will summon a d2 of Lava Rats, Level determined by DM/GM, This effect can only be applied once per battle. +-Cannot be duplicated.")</f>
        <v> () lvl:1000, DEF: +50000 ++If you or a party member dies this crown will summon a d2 of Lava Rats, Level determined by DM/GM, This effect can only be applied once per battle. +-Cannot be duplicated.</v>
      </c>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t="str">
        <f>IFERROR(__xludf.DUMMYFUNCTION("""COMPUTED_VALUE"""),"Vermouth's Crown of Tides")</f>
        <v>Vermouth's Crown of Tides</v>
      </c>
      <c r="B470" s="32" t="str">
        <f>IFERROR(__xludf.DUMMYFUNCTION("""COMPUTED_VALUE"""),"A magical artifact that grants control over water and weather, allowing the wearer to manipulate aquatic elements. () lvl:700, DEF: +25000, Water DEF: +10000 ++Immunity to Water damage. ++X2 Additional Water damage for the user.")</f>
        <v>A magical artifact that grants control over water and weather, allowing the wearer to manipulate aquatic elements. () lvl:700, DEF: +25000, Water DEF: +10000 ++Immunity to Water damage. ++X2 Additional Water damage for the user.</v>
      </c>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t="str">
        <f>IFERROR(__xludf.DUMMYFUNCTION("""COMPUTED_VALUE"""),"ChronoMech Enigma")</f>
        <v>ChronoMech Enigma</v>
      </c>
      <c r="B471" s="32" t="str">
        <f>IFERROR(__xludf.DUMMYFUNCTION("""COMPUTED_VALUE"""),"A clockwork device that grants unique abilities. () lvl:200, DEF: +10000 ++Allows you to change the time of day to day or night. Can only be used once per journey while traveling. ++Fail/Succeed. +-Cannot be duplicated.")</f>
        <v>A clockwork device that grants unique abilities. () lvl:200, DEF: +10000 ++Allows you to change the time of day to day or night. Can only be used once per journey while traveling. ++Fail/Succeed. +-Cannot be duplicated.</v>
      </c>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t="str">
        <f>IFERROR(__xludf.DUMMYFUNCTION("""COMPUTED_VALUE"""),"Royal Sword of The Halloween Kingdom")</f>
        <v>Royal Sword of The Halloween Kingdom</v>
      </c>
      <c r="B472" s="32" t="str">
        <f>IFERROR(__xludf.DUMMYFUNCTION("""COMPUTED_VALUE"""),"Halloween Exclusive (Sword) lvl:200, DMG: +50000, Fire DMG: +20000, Dark DMG: +20000, Spirit DMG: +20000, Chaos DMG: +20000, Stasis DMG: +20000, Twilight DMG: +20000, Voodoo DMG: +20000, Blood DMG: +20000, Celestial DMG: +20000 ++Hallows Guidance: +5 can "&amp;"be added to your d20 rolls, ++Royal Shadows of the Halloween Kingdom: 25% chance to cast conceal for no sp cost after successfully attacking an enemy with this weapon. +-Cannot be forged +-Cannot be duplicated")</f>
        <v>Halloween Exclusive (Sword) lvl:200, 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t="str">
        <f>IFERROR(__xludf.DUMMYFUNCTION("""COMPUTED_VALUE"""),"Royal Shield of The Halloween Kingdom")</f>
        <v>Royal Shield of The Halloween Kingdom</v>
      </c>
      <c r="B473" s="32" t="str">
        <f>IFERROR(__xludf.DUMMYFUNCTION("""COMPUTED_VALUE"""),"Halloween Exclusive (Towershield) lvl:200, DEF: +50000, Fire DEF: +20000, Dark DEF: +20000, Spirit DEF: +20000, Chaos DEF: +20000, Stasis DEF: +20000, Twilight DEF: +20000, Voodoo DEF: +20000, Blood DEF: +20000, Celestial DEF: +20000 ++Royal Ward of The H"&amp;"alloween Kingdom: 25% chance to be unaffected by a weapon attack. ++Pumpkin Thorns: 25% chance to inflict half the damage dealt to you back to the enemy. +-Cannot be forged +-Cannot be duplicated")</f>
        <v>Halloween Exclusive (Towershield) lvl:200, 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t="str">
        <f>IFERROR(__xludf.DUMMYFUNCTION("""COMPUTED_VALUE"""),"Sacred Flaming Pearl")</f>
        <v>Sacred Flaming Pearl</v>
      </c>
      <c r="B474" s="32" t="str">
        <f>IFERROR(__xludf.DUMMYFUNCTION("""COMPUTED_VALUE"""),"Quest item. () lvl:1, : + ++X4 additional fire damage for the user. +-Cannot be duplicated.")</f>
        <v>Quest item. () lvl:1, : + ++X4 additional fire damage for the user. +-Cannot be duplicated.</v>
      </c>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t="str">
        <f>IFERROR(__xludf.DUMMYFUNCTION("""COMPUTED_VALUE"""),"DragonScale Royal Helm")</f>
        <v>DragonScale Royal Helm</v>
      </c>
      <c r="B475" s="32" t="str">
        <f>IFERROR(__xludf.DUMMYFUNCTION("""COMPUTED_VALUE""")," () lvl:200, DEF: +40000, Dark DEF: +10000, Chaos DEF: +10000, Celestial DEF: +10000 ++X2 Defense for the Wearer. ++Light Embodiment - When Equipped deal X2 Order and Light DMG ")</f>
        <v> () lvl:200, DEF: +40000, Dark DEF: +10000, Chaos DEF: +10000, Celestial DEF: +10000 ++X2 Defense for the Wearer. ++Light Embodiment - When Equipped deal X2 Order and Light DMG </v>
      </c>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t="str">
        <f>IFERROR(__xludf.DUMMYFUNCTION("""COMPUTED_VALUE"""),"DragonScale Royal Chestplate")</f>
        <v>DragonScale Royal Chestplate</v>
      </c>
      <c r="B476" s="32" t="str">
        <f>IFERROR(__xludf.DUMMYFUNCTION("""COMPUTED_VALUE""")," () lvl:200, DEF: +20000, Water DEF: +5000, Dark DEF: +10000, Chaos DEF: +10000, Celestial DEF: +10000 ++X4 Defense for the Wearer. ++Light Embodiment II - When Equipped deal X4 Order and Light DMG ")</f>
        <v> () lvl:200, DEF: +20000, Water DEF: +5000, Dark DEF: +10000, Chaos DEF: +10000, Celestial DEF: +10000 ++X4 Defense for the Wearer. ++Light Embodiment II - When Equipped deal X4 Order and Light DMG </v>
      </c>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t="str">
        <f>IFERROR(__xludf.DUMMYFUNCTION("""COMPUTED_VALUE"""),"DragonScale Royal Vambraces")</f>
        <v>DragonScale Royal Vambraces</v>
      </c>
      <c r="B477" s="32"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t="str">
        <f>IFERROR(__xludf.DUMMYFUNCTION("""COMPUTED_VALUE"""),"DragonScale Royal Greaves")</f>
        <v>DragonScale Royal Greaves</v>
      </c>
      <c r="B478" s="32"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t="str">
        <f>IFERROR(__xludf.DUMMYFUNCTION("""COMPUTED_VALUE"""),"DragonScale Royal Shield")</f>
        <v>DragonScale Royal Shield</v>
      </c>
      <c r="B479" s="32" t="str">
        <f>IFERROR(__xludf.DUMMYFUNCTION("""COMPUTED_VALUE""")," (Towershield) lvl:200, DEF: +55000, Dark DEF: +20000, Chaos DEF: +20000, Celestial DEF: +10000 ++X2 Defense for the Wearer. ++Light Embodiment - When Equipped deal X2 Order and Light DMG ")</f>
        <v> (Towershield) lvl:200, DEF: +55000, Dark DEF: +20000, Chaos DEF: +20000, Celestial DEF: +10000 ++X2 Defense for the Wearer. ++Light Embodiment - When Equipped deal X2 Order and Light DMG </v>
      </c>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t="str">
        <f>IFERROR(__xludf.DUMMYFUNCTION("""COMPUTED_VALUE"""),"DragonScale Royal Boots")</f>
        <v>DragonScale Royal Boots</v>
      </c>
      <c r="B480" s="32" t="str">
        <f>IFERROR(__xludf.DUMMYFUNCTION("""COMPUTED_VALUE""")," () lvl:200, DEF: +22000, Dark DEF: +10000, Chaos DEF: +10000, Celestial DEF: +10000 ++X2 Defense for the Wearer. ++Light Embodiment - When Equipped deal X2 Order and Light DMG ")</f>
        <v> () lvl:200, DEF: +22000, Dark DEF: +10000, Chaos DEF: +10000, Celestial DEF: +10000 ++X2 Defense for the Wearer. ++Light Embodiment - When Equipped deal X2 Order and Light DMG </v>
      </c>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t="str">
        <f>IFERROR(__xludf.DUMMYFUNCTION("""COMPUTED_VALUE"""),"DragonScale Royal Pauldrons")</f>
        <v>DragonScale Royal Pauldrons</v>
      </c>
      <c r="B481" s="32" t="str">
        <f>IFERROR(__xludf.DUMMYFUNCTION("""COMPUTED_VALUE""")," () lvl:200, DEF: +20000, Dark DEF: +10000, Chaos DEF: +10000, Celestial DEF: +10000 ++X2 Defense for the Wearer. ++Light Embodiment - When Equipped deal X2 Order and Light DMG ")</f>
        <v> () lvl:200, DEF: +20000, Dark DEF: +10000, Chaos DEF: +10000, Celestial DEF: +10000 ++X2 Defense for the Wearer. ++Light Embodiment - When Equipped deal X2 Order and Light DMG </v>
      </c>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t="str">
        <f>IFERROR(__xludf.DUMMYFUNCTION("""COMPUTED_VALUE"""),"BLADE! OF! JUSTICE!!!!")</f>
        <v>BLADE! OF! JUSTICE!!!!</v>
      </c>
      <c r="B482" s="32" t="str">
        <f>IFERROR(__xludf.DUMMYFUNCTION("""COMPUTED_VALUE""")," (Sword) lvl:200, DMG: +100000, Light DMG: +10000, Order DMG: +10000, Celestial DMG: +10000 ++This Weapon will deal X4 damage while equipped against Criminals. ++Light Embodiment II - When Equipped deal X4 Order and Light DMG ")</f>
        <v> (Sword) lvl:200, DMG: +100000, Light DMG: +10000, Order DMG: +10000, Celestial DMG: +10000 ++This Weapon will deal X4 damage while equipped against Criminals. ++Light Embodiment II - When Equipped deal X4 Order and Light DMG </v>
      </c>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t="str">
        <f>IFERROR(__xludf.DUMMYFUNCTION("""COMPUTED_VALUE"""),"Abstara Royal Helm")</f>
        <v>Abstara Royal Helm</v>
      </c>
      <c r="B483" s="32"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t="str">
        <f>IFERROR(__xludf.DUMMYFUNCTION("""COMPUTED_VALUE"""),"Abstara Royal Chestplate")</f>
        <v>Abstara Royal Chestplate</v>
      </c>
      <c r="B484" s="32"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t="str">
        <f>IFERROR(__xludf.DUMMYFUNCTION("""COMPUTED_VALUE"""),"Abstara Royal Vambraces")</f>
        <v>Abstara Royal Vambraces</v>
      </c>
      <c r="B485" s="32"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t="str">
        <f>IFERROR(__xludf.DUMMYFUNCTION("""COMPUTED_VALUE"""),"Abstara Royal Greaves")</f>
        <v>Abstara Royal Greaves</v>
      </c>
      <c r="B486" s="32"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t="str">
        <f>IFERROR(__xludf.DUMMYFUNCTION("""COMPUTED_VALUE"""),"Abstara Royal Shield")</f>
        <v>Abstara Royal Shield</v>
      </c>
      <c r="B487" s="32" t="str">
        <f>IFERROR(__xludf.DUMMYFUNCTION("""COMPUTED_VALUE""")," (Towershield) lvl:200, DEF: +50000, Celestial DEF: +50000 ++X4 Defense for the Wearer. ++Underworldly Embodiment - When Equipped deal X4 Dark, Chaos, Fire, and Celestial DMG ")</f>
        <v> (Towershield) lvl:200, DEF: +50000, Celestial DEF: +50000 ++X4 Defense for the Wearer. ++Underworldly Embodiment - When Equipped deal X4 Dark, Chaos, Fire, and Celestial DMG </v>
      </c>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t="str">
        <f>IFERROR(__xludf.DUMMYFUNCTION("""COMPUTED_VALUE"""),"Abstara Royal Boots")</f>
        <v>Abstara Royal Boots</v>
      </c>
      <c r="B488" s="32"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t="str">
        <f>IFERROR(__xludf.DUMMYFUNCTION("""COMPUTED_VALUE"""),"Abstara Royal Pauldrons")</f>
        <v>Abstara Royal Pauldrons</v>
      </c>
      <c r="B489" s="32"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t="str">
        <f>IFERROR(__xludf.DUMMYFUNCTION("""COMPUTED_VALUE"""),"Feathered Hat of Roguish ""Justice""")</f>
        <v>Feathered Hat of Roguish "Justice"</v>
      </c>
      <c r="B490" s="32"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t="str">
        <f>IFERROR(__xludf.DUMMYFUNCTION("""COMPUTED_VALUE"""),"Cape of Misdeed")</f>
        <v>Cape of Misdeed</v>
      </c>
      <c r="B491" s="32" t="str">
        <f>IFERROR(__xludf.DUMMYFUNCTION("""COMPUTED_VALUE"""),"Quest Item () lvl:200, DEF: +1000, Light DEF: +10000, Order DEF: +10000, Celestial DEF: +1000 (Roguish Guise Set) ++X2 Money Stolen Via the Sword of Bad Luck. +1 Evasion When Fighting Guards. +-Cannot be duplicated +-Pirate/Marauder Only")</f>
        <v>Quest Item () lvl:200, DEF: +1000, Light DEF: +10000, Order DEF: +10000, Celestial DEF: +1000 (Roguish Guise Set) ++X2 Money Stolen Via the Sword of Bad Luck. +1 Evasion When Fighting Guards. +-Cannot be duplicated +-Pirate/Marauder Only</v>
      </c>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t="str">
        <f>IFERROR(__xludf.DUMMYFUNCTION("""COMPUTED_VALUE"""),"Doublet of Debauchery")</f>
        <v>Doublet of Debauchery</v>
      </c>
      <c r="B492" s="32" t="str">
        <f>IFERROR(__xludf.DUMMYFUNCTION("""COMPUTED_VALUE"""),"Quest Item () lvl:200, DEF: +20000, Light DEF: +20000, Order DEF: +20000, Celestial DEF: +10000 (Roguish Guise Set) ++X2 Money Stolen Via the Sword of Bad Luck. +1 Evasion When Fighting Guards. +-Cannot be duplicated +-Pirate/Marauder Only")</f>
        <v>Quest Item () lvl:200, DEF: +20000, Light DEF: +20000, Order DEF: +20000, Celestial DEF: +10000 (Roguish Guise Set) ++X2 Money Stolen Via the Sword of Bad Luck. +1 Evasion When Fighting Guards. +-Cannot be duplicated +-Pirate/Marauder Only</v>
      </c>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t="str">
        <f>IFERROR(__xludf.DUMMYFUNCTION("""COMPUTED_VALUE"""),"Leather Boots of Softstep")</f>
        <v>Leather Boots of Softstep</v>
      </c>
      <c r="B493" s="32"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t="str">
        <f>IFERROR(__xludf.DUMMYFUNCTION("""COMPUTED_VALUE"""),"Tights of Fabulous Thievery")</f>
        <v>Tights of Fabulous Thievery</v>
      </c>
      <c r="B494" s="32"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t="str">
        <f>IFERROR(__xludf.DUMMYFUNCTION("""COMPUTED_VALUE"""),"Fingerless Glove of Anonymity")</f>
        <v>Fingerless Glove of Anonymity</v>
      </c>
      <c r="B495" s="32" t="str">
        <f>IFERROR(__xludf.DUMMYFUNCTION("""COMPUTED_VALUE"""),"Quest Item (Claw) lvl:200, DMG: +10000, Light DMG: +10000, Order DMG: +10000, Celestial DMG: +10000 (Roguish Guise Set) ++X2 Money Stolen Via the Sword of Bad Luck. +1 Evasion When Fighting Guards. ++5% Chance to not gain a bounty when committing a crime "&amp;"(Cannot be Increased) ++20% chance to remove enemy from battle +-Cannot be duplicated +-Pirate/Marauder Only")</f>
        <v>Quest Item (Claw) lvl:200, 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t="str">
        <f>IFERROR(__xludf.DUMMYFUNCTION("""COMPUTED_VALUE"""),"Bracers of Dastardly Deflection")</f>
        <v>Bracers of Dastardly Deflection</v>
      </c>
      <c r="B496" s="32"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t="str">
        <f>IFERROR(__xludf.DUMMYFUNCTION("""COMPUTED_VALUE"""),"Amulet of the Goddess of Theft")</f>
        <v>Amulet of the Goddess of Theft</v>
      </c>
      <c r="B497" s="32" t="str">
        <f>IFERROR(__xludf.DUMMYFUNCTION("""COMPUTED_VALUE"""),"Quest Item () lvl:1, : + (Roguish Guise Set) ++X2 Money Stolen Via the Sword of Bad Luck. +5 Evasion +-Cannot be forged +-Cannot be duplicated +-Pirate/Marauder Only")</f>
        <v>Quest Item () lvl:1, : + (Roguish Guise Set) ++X2 Money Stolen Via the Sword of Bad Luck. +5 Evasion +-Cannot be forged +-Cannot be duplicated +-Pirate/Marauder Only</v>
      </c>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t="str">
        <f>IFERROR(__xludf.DUMMYFUNCTION("""COMPUTED_VALUE"""),"Flute of The Majestic Forest")</f>
        <v>Flute of The Majestic Forest</v>
      </c>
      <c r="B498" s="32" t="str">
        <f>IFERROR(__xludf.DUMMYFUNCTION("""COMPUTED_VALUE""")," (Instrument) lvl:300, DMG: +5000, Nature DMG: +5000, Acoustic DMG: +5000 ++X2 Additional Nature damage while equipped. ++Song of The Forest - Summons a nature mob determined by the DM/GM to assist you in battle. +-Cannot be duplicated. +-Only Bards can e"&amp;"quip.")</f>
        <v> (Instrument) lvl:300, DMG: +5000, Nature DMG: +5000, Acoustic DMG: +5000 ++X2 Additional Nature damage while equipped. ++Song of The Forest - Summons a nature mob determined by the DM/GM to assist you in battle. +-Cannot be duplicated. +-Only Bards can equip.</v>
      </c>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t="str">
        <f>IFERROR(__xludf.DUMMYFUNCTION("""COMPUTED_VALUE"""),"Heatmore Tribal Drums")</f>
        <v>Heatmore Tribal Drums</v>
      </c>
      <c r="B499" s="32" t="str">
        <f>IFERROR(__xludf.DUMMYFUNCTION("""COMPUTED_VALUE""")," (Instrument) lvl:600, DMG: +10000, Fire DMG: +10000, Acoustic DMG: +10000 ++X2 Additional Fire damage while equipped. ++Tribal Chant 25% chance to call Master Sawoogo to aid you in battle. +-Cannot be duplicated. +-Only Bards can equip.")</f>
        <v> (Instrument) lvl:600, DMG: +10000, Fire DMG: +10000, Acoustic DMG: +10000 ++X2 Additional Fire damage while equipped. ++Tribal Chant 25% chance to call Master Sawoogo to aid you in battle. +-Cannot be duplicated. +-Only Bards can equip.</v>
      </c>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t="str">
        <f>IFERROR(__xludf.DUMMYFUNCTION("""COMPUTED_VALUE"""),"Heatmore Tribal Maracas")</f>
        <v>Heatmore Tribal Maracas</v>
      </c>
      <c r="B500" s="32" t="str">
        <f>IFERROR(__xludf.DUMMYFUNCTION("""COMPUTED_VALUE""")," (Instrument) lvl:900, DMG: +15000, Fire DMG: +15000, Acoustic DMG: +15000 ++X4 additional Fire and Acoustic damage while equipped. +-Cannot be duplicated. +-Only Bards can equip.")</f>
        <v> (Instrument) lvl:900, DMG: +15000, Fire DMG: +15000, Acoustic DMG: +15000 ++X4 additional Fire and Acoustic damage while equipped. +-Cannot be duplicated. +-Only Bards can equip.</v>
      </c>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t="str">
        <f>IFERROR(__xludf.DUMMYFUNCTION("""COMPUTED_VALUE"""),"Mask of Creeping Darkness")</f>
        <v>Mask of Creeping Darkness</v>
      </c>
      <c r="B501" s="32" t="str">
        <f>IFERROR(__xludf.DUMMYFUNCTION("""COMPUTED_VALUE"""),"Quest Item () lvl:200, DEF: +25000, Light DEF: +25000, Order DEF: +25000, Celestial DEF: +20000 ++X2 Damage whilst invulnerable breaking invulnerability upon being used. +-Cannot be Duplicated. +-Ninja Only")</f>
        <v>Quest Item () lvl:200, DEF: +25000, Light DEF: +25000, Order DEF: +25000, Celestial DEF: +20000 ++X2 Damage whilst invulnerable breaking invulnerability upon being used. +-Cannot be Duplicated. +-Ninja Only</v>
      </c>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t="str">
        <f>IFERROR(__xludf.DUMMYFUNCTION("""COMPUTED_VALUE"""),"Chest of Evershifting Darkness")</f>
        <v>Chest of Evershifting Darkness</v>
      </c>
      <c r="B502" s="32" t="str">
        <f>IFERROR(__xludf.DUMMYFUNCTION("""COMPUTED_VALUE"""),"Quest Item () lvl:200, DEF: +25000, Light DEF: +25000, Order DEF: +25000, Celestial DEF: +30000 (Shuttering Shadows Set) ++X4 Damage whilst invulnerable breaking invulnerability upon being used. +-Cannot be Duplicated. +-Ninja Only")</f>
        <v>Quest Item () lvl:200, DEF: +25000, Light DEF: +25000, Order DEF: +25000, Celestial DEF: +30000 (Shuttering Shadows Set) ++X4 Damage whilst invulnerable breaking invulnerability upon being used. +-Cannot be Duplicated. +-Ninja Only</v>
      </c>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t="str">
        <f>IFERROR(__xludf.DUMMYFUNCTION("""COMPUTED_VALUE"""),"Leather Boots of EDGINESS")</f>
        <v>Leather Boots of EDGINESS</v>
      </c>
      <c r="B503" s="32"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t="str">
        <f>IFERROR(__xludf.DUMMYFUNCTION("""COMPUTED_VALUE"""),"Silken Gloves of Dexterity")</f>
        <v>Silken Gloves of Dexterity</v>
      </c>
      <c r="B504" s="32" t="str">
        <f>IFERROR(__xludf.DUMMYFUNCTION("""COMPUTED_VALUE"""),"Quest Item () lvl:200, DEF: +25000, Light DEF: +25000, Order DEF: +25000, Celestial DEF: +20000 (Shuttering Shadows Set) ++gain +5 to attack rolls whilst invulnerable. ++the Knife attribute is 3X as likely to activate. +-Cannot be forged +-Cannot be dupli"&amp;"cated +-Ninja Only")</f>
        <v>Quest Item () lvl:200, DEF: +25000, Light DEF: +25000, Order DEF: +25000, Celestial DEF: +20000 (Shuttering Shadows Set) ++gain +5 to attack rolls whilst invulnerable. ++the Knife attribute is 3X as likely to activate. +-Cannot be forged +-Cannot be duplicated +-Ninja Only</v>
      </c>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t="str">
        <f>IFERROR(__xludf.DUMMYFUNCTION("""COMPUTED_VALUE"""),"Leggings of Swift Death")</f>
        <v>Leggings of Swift Death</v>
      </c>
      <c r="B505" s="32"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t="str">
        <f>IFERROR(__xludf.DUMMYFUNCTION("""COMPUTED_VALUE"""),"Cape of Illusion")</f>
        <v>Cape of Illusion</v>
      </c>
      <c r="B506" s="32" t="str">
        <f>IFERROR(__xludf.DUMMYFUNCTION("""COMPUTED_VALUE"""),"Quest Item () lvl:200, DEF: +25000, Light DEF: +25000, Order DEF: +25000, Celestial DEF: +20000 (Shuttering Shadows Set) ++X2 Damage whilst invulnerable breaking invulnerability upon being used, 50% chance to become unaffected by an Instant death effect. "&amp;"++Conceal: upon entering combat you are invulnerable for 1 round or until you attack +-Cannot be forged +-Cannot be duplicated +-Ninja Only")</f>
        <v>Quest Item () lvl:200, 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t="str">
        <f>IFERROR(__xludf.DUMMYFUNCTION("""COMPUTED_VALUE"""),"Assassin's Kiss")</f>
        <v>Assassin's Kiss</v>
      </c>
      <c r="B507" s="32" t="str">
        <f>IFERROR(__xludf.DUMMYFUNCTION("""COMPUTED_VALUE"""),"Quest Item (Knife) lvl:200, DMG: +50000, Dark DMG: +25000, Chaos DMG: +25000, Celestial DMG: +10000 (Shuttering Shadows Set) ++X4 Damage whilst invulnerable breaking invulnerability upon being used. ++When equipped with the Night's Edge attack with both w"&amp;"eapons at the same time. +-Cannot be Duplicated Must be used in conjunction with the Night's Edge or any weapon the Night's Edge is forged into, +-Ninja Only")</f>
        <v>Quest Item (Knife) lvl:200, 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t="str">
        <f>IFERROR(__xludf.DUMMYFUNCTION("""COMPUTED_VALUE"""),"Night's Edge")</f>
        <v>Night's Edge</v>
      </c>
      <c r="B508" s="32" t="str">
        <f>IFERROR(__xludf.DUMMYFUNCTION("""COMPUTED_VALUE"""),"Quest Item (Knife) lvl:200, DMG: +50000, Dark DMG: +25000, Chaos DMG: +25000, Celestial DMG: +10000 (Shuttering Shadows Set) ++X4 Damage whilst invulnerable breaking invulnerability upon being used, When equipped with the Assassin's Kiss, attack with both"&amp;" weapons at the same time. +-Cannot be Duplicated, +-Must be Equipped with the Assassin's Kiss +-Ninja Only")</f>
        <v>Quest Item (Knife) lvl:200, 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t="str">
        <f>IFERROR(__xludf.DUMMYFUNCTION("""COMPUTED_VALUE"""),"Ancient Draconian Deity Necklace")</f>
        <v>Ancient Draconian Deity Necklace</v>
      </c>
      <c r="B509" s="32" t="str">
        <f>IFERROR(__xludf.DUMMYFUNCTION("""COMPUTED_VALUE""")," () lvl:1, DMG: + ++5 to all d20 rolls, +-Cannot be duplicated.")</f>
        <v> () lvl:1, DMG: + ++5 to all d20 rolls, +-Cannot be duplicated.</v>
      </c>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t="str">
        <f>IFERROR(__xludf.DUMMYFUNCTION("""COMPUTED_VALUE"""),"Gungnir")</f>
        <v>Gungnir</v>
      </c>
      <c r="B510" s="32" t="str">
        <f>IFERROR(__xludf.DUMMYFUNCTION("""COMPUTED_VALUE""")," (Spear) lvl:1, DMG: +")</f>
        <v> (Spear) lvl:1, DMG: +</v>
      </c>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t="str">
        <f>IFERROR(__xludf.DUMMYFUNCTION("""COMPUTED_VALUE"""),"Gaia's Rock Hammer")</f>
        <v>Gaia's Rock Hammer</v>
      </c>
      <c r="B511" s="32" t="str">
        <f>IFERROR(__xludf.DUMMYFUNCTION("""COMPUTED_VALUE"""),"Quest Item (Club) lvl:200, DMG: +25000, Earth DMG: +100000, Nature DMG: +15000, Celestial DMG: +25000 ++X4 Earth damage. Gaia's Slumber: ++50% chance to put target to sleep. +-Cannot be duplicated, +-You can only acquire one of these")</f>
        <v>Quest Item (Club) lvl:200, DMG: +25000, Earth DMG: +100000, Nature DMG: +15000, Celestial DMG: +25000 ++X4 Earth damage. Gaia's Slumber: ++50% chance to put target to sleep. +-Cannot be duplicated, +-You can only acquire one of these</v>
      </c>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t="str">
        <f>IFERROR(__xludf.DUMMYFUNCTION("""COMPUTED_VALUE"""),"Bahamut's Claw")</f>
        <v>Bahamut's Claw</v>
      </c>
      <c r="B512" s="32" t="str">
        <f>IFERROR(__xludf.DUMMYFUNCTION("""COMPUTED_VALUE"""),"Mob Exclusive (Claw) lvl:200, DMG: +250000, Delta DMG: +250000, Celestial DMG: +250000 +-Cannot resist or be immune to this attack. ++Bahamut's Bloodlust: Heals Bahamut by 2X damage dealt with this weapon. 50% chance to remove any hit enemy from battle")</f>
        <v>Mob Exclusive (Claw) lvl:200, DMG: +250000, Delta DMG: +250000, Celestial DMG: +250000 +-Cannot resist or be immune to this attack. ++Bahamut's Bloodlust: Heals Bahamut by 2X damage dealt with this weapon. 50% chance to remove any hit enemy from battle</v>
      </c>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t="str">
        <f>IFERROR(__xludf.DUMMYFUNCTION("""COMPUTED_VALUE"""),"Chronos' Staff of Time")</f>
        <v>Chronos' Staff of Time</v>
      </c>
      <c r="B513" s="32" t="str">
        <f>IFERROR(__xludf.DUMMYFUNCTION("""COMPUTED_VALUE""")," (Staff) lvl:1, DMG: +")</f>
        <v> (Staff) lvl:1, DMG: +</v>
      </c>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t="str">
        <f>IFERROR(__xludf.DUMMYFUNCTION("""COMPUTED_VALUE"""),"Scimitar")</f>
        <v>Scimitar</v>
      </c>
      <c r="B514" s="32" t="str">
        <f>IFERROR(__xludf.DUMMYFUNCTION("""COMPUTED_VALUE""")," (Sword) lvl:300, DMG: +10000, Fire DMG: +5000")</f>
        <v> (Sword) lvl:300, DMG: +10000, Fire DMG: +5000</v>
      </c>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t="str">
        <f>IFERROR(__xludf.DUMMYFUNCTION("""COMPUTED_VALUE"""),"Gaia's Helmet of Earthen Fortitude")</f>
        <v>Gaia's Helmet of Earthen Fortitude</v>
      </c>
      <c r="B515" s="32" t="str">
        <f>IFERROR(__xludf.DUMMYFUNCTION("""COMPUTED_VALUE"""),"Mob Exclusive () lvl:200, DEF: +50000, Fire DEF: +35000, Celestial DEF: +50000 ++X2 Earth Damage for self. ++X2 Defense for self. ++Godly Authority: 50% chance to possess one enemy once per battle.")</f>
        <v>Mob Exclusive () lvl:200, DEF: +50000, Fire DEF: +35000, Celestial DEF: +50000 ++X2 Earth Damage for self. ++X2 Defense for self. ++Godly Authority: 50% chance to possess one enemy once per battle.</v>
      </c>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t="str">
        <f>IFERROR(__xludf.DUMMYFUNCTION("""COMPUTED_VALUE"""),"Gaia's Pendant")</f>
        <v>Gaia's Pendant</v>
      </c>
      <c r="B516" s="32" t="str">
        <f>IFERROR(__xludf.DUMMYFUNCTION("""COMPUTED_VALUE"""),"Mob Exclusive () lvl:1, : + ++Revives entire party upon death of the wearer. +-one use per battle")</f>
        <v>Mob Exclusive () lvl:1, : + ++Revives entire party upon death of the wearer. +-one use per battle</v>
      </c>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t="str">
        <f>IFERROR(__xludf.DUMMYFUNCTION("""COMPUTED_VALUE"""),"Gaia's Sandals of Earthen Fortitude")</f>
        <v>Gaia's Sandals of Earthen Fortitude</v>
      </c>
      <c r="B517" s="32"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t="str">
        <f>IFERROR(__xludf.DUMMYFUNCTION("""COMPUTED_VALUE"""),"Gaia's Gloves")</f>
        <v>Gaia's Gloves</v>
      </c>
      <c r="B518" s="32"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t="str">
        <f>IFERROR(__xludf.DUMMYFUNCTION("""COMPUTED_VALUE"""),"Gaia's Gaiters")</f>
        <v>Gaia's Gaiters</v>
      </c>
      <c r="B519" s="32"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t="str">
        <f>IFERROR(__xludf.DUMMYFUNCTION("""COMPUTED_VALUE"""),"Gaia's Pauldrons")</f>
        <v>Gaia's Pauldrons</v>
      </c>
      <c r="B520" s="32"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t="str">
        <f>IFERROR(__xludf.DUMMYFUNCTION("""COMPUTED_VALUE"""),"Gaia's Chestpiece")</f>
        <v>Gaia's Chestpiece</v>
      </c>
      <c r="B521" s="32" t="str">
        <f>IFERROR(__xludf.DUMMYFUNCTION("""COMPUTED_VALUE"""),"Mob Exclusive () lvl:200, DEF: +100000, Fire DEF: +70000, Celestial DEF: +100000 ++X2 Earth Damage for self. ++X2 Defense for self")</f>
        <v>Mob Exclusive () lvl:200, DEF: +100000, Fire DEF: +70000, Celestial DEF: +100000 ++X2 Earth Damage for self. ++X2 Defense for self</v>
      </c>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t="str">
        <f>IFERROR(__xludf.DUMMYFUNCTION("""COMPUTED_VALUE"""),"Gaia's Ring")</f>
        <v>Gaia's Ring</v>
      </c>
      <c r="B522" s="32" t="str">
        <f>IFERROR(__xludf.DUMMYFUNCTION("""COMPUTED_VALUE"""),"Mob Exclusive () lvl:1, : + ++X4 defense for self and allies, 50 sp")</f>
        <v>Mob Exclusive () lvl:1, : + ++X4 defense for self and allies, 50 sp</v>
      </c>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t="str">
        <f>IFERROR(__xludf.DUMMYFUNCTION("""COMPUTED_VALUE"""),"Paladin of Gaia's Bucket helm of Tenacity")</f>
        <v>Paladin of Gaia's Bucket helm of Tenacity</v>
      </c>
      <c r="B523" s="32" t="str">
        <f>IFERROR(__xludf.DUMMYFUNCTION("""COMPUTED_VALUE"""),"Quest Item () lvl:200, DEF: +20000, Fire DEF: +5000, Earth DEF: +35000, Celestial DEF: +20000 ++Gaia's Tenacity II: 10% Chance to revive after death +-Cannot be forged +-Cannot be duplicated +-(Paladin or Knight Class Only)")</f>
        <v>Quest Item () lvl:200, DEF: +20000, Fire DEF: +5000, Earth DEF: +35000, Celestial DEF: +20000 ++Gaia's Tenacity II: 10% Chance to revive after death +-Cannot be forged +-Cannot be duplicated +-(Paladin or Knight Class Only)</v>
      </c>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t="str">
        <f>IFERROR(__xludf.DUMMYFUNCTION("""COMPUTED_VALUE"""),"Paladin of Gaia's Stone Pauldrons")</f>
        <v>Paladin of Gaia's Stone Pauldrons</v>
      </c>
      <c r="B524" s="32" t="str">
        <f>IFERROR(__xludf.DUMMYFUNCTION("""COMPUTED_VALUE"""),"Quest Item () lvl:200, DEF: +20000, Fire DEF: +5000, Earth DEF: +35000, Celestial DEF: +20000 ++Blessing of Stone I: 2X Earth Damage +-(Paladin or Knight Class Only)")</f>
        <v>Quest Item () lvl:200, DEF: +20000, Fire DEF: +5000, Earth DEF: +35000, Celestial DEF: +20000 ++Blessing of Stone I: 2X Earth Damage +-(Paladin or Knight Class Only)</v>
      </c>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t="str">
        <f>IFERROR(__xludf.DUMMYFUNCTION("""COMPUTED_VALUE"""),"Paladin of Gaia's Emblazoned Chestpiece")</f>
        <v>Paladin of Gaia's Emblazoned Chestpiece</v>
      </c>
      <c r="B525" s="32" t="str">
        <f>IFERROR(__xludf.DUMMYFUNCTION("""COMPUTED_VALUE"""),"Quest Item () lvl:200, DEF: +50000, Fire DEF: +20000, Earth DEF: +70000, Celestial DEF: +50000 ++X2 defense for self and allies +-Paladin or Knight Class Only +-Can only equip one")</f>
        <v>Quest Item () lvl:200, DEF: +50000, Fire DEF: +20000, Earth DEF: +70000, Celestial DEF: +50000 ++X2 defense for self and allies +-Paladin or Knight Class Only +-Can only equip one</v>
      </c>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t="str">
        <f>IFERROR(__xludf.DUMMYFUNCTION("""COMPUTED_VALUE"""),"Paladin of Gaia's Vambraces")</f>
        <v>Paladin of Gaia's Vambraces</v>
      </c>
      <c r="B526" s="32" t="str">
        <f>IFERROR(__xludf.DUMMYFUNCTION("""COMPUTED_VALUE"""),"Quest Item () lvl:200, DEF: +20000, Fire DEF: +5000, Earth DEF: +35000, Celestial DEF: +20000 ++X2 defense for self and allies +-Paladin or Knight Class Only +-Can only equip one")</f>
        <v>Quest Item () lvl:200, DEF: +20000, Fire DEF: +5000, Earth DEF: +35000, Celestial DEF: +20000 ++X2 defense for self and allies +-Paladin or Knight Class Only +-Can only equip one</v>
      </c>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t="str">
        <f>IFERROR(__xludf.DUMMYFUNCTION("""COMPUTED_VALUE"""),"Paladin of Gaia's Plate Chausses")</f>
        <v>Paladin of Gaia's Plate Chausses</v>
      </c>
      <c r="B527" s="32"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t="str">
        <f>IFERROR(__xludf.DUMMYFUNCTION("""COMPUTED_VALUE"""),"Paladin of Gaia's Sabatons")</f>
        <v>Paladin of Gaia's Sabatons</v>
      </c>
      <c r="B528" s="32"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t="str">
        <f>IFERROR(__xludf.DUMMYFUNCTION("""COMPUTED_VALUE"""),"Paladin of Gaia's Ruby Ring")</f>
        <v>Paladin of Gaia's Ruby Ring</v>
      </c>
      <c r="B529" s="32" t="str">
        <f>IFERROR(__xludf.DUMMYFUNCTION("""COMPUTED_VALUE"""),"Quest Item () lvl:1, : + ++Blessing of Stone II: 4X Earth Damage 
++Gaia's Tenacity I: 5% chance to revive after death +-Paladin or Knight Class Only +-Cannot be forged +-Cannot be duplicated +-Can only equip one")</f>
        <v>Quest Item () lvl:1, : + ++Blessing of Stone II: 4X Earth Damage 
++Gaia's Tenacity I: 5% chance to revive after death +-Paladin or Knight Class Only +-Cannot be forged +-Cannot be duplicated +-Can only equip one</v>
      </c>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t="str">
        <f>IFERROR(__xludf.DUMMYFUNCTION("""COMPUTED_VALUE"""),"Paladin of Gaia's Emerald Pendant")</f>
        <v>Paladin of Gaia's Emerald Pendant</v>
      </c>
      <c r="B530" s="32" t="str">
        <f>IFERROR(__xludf.DUMMYFUNCTION("""COMPUTED_VALUE"""),"Quest Item () lvl:1, : + ++Blessing of Stone II: 4X Earth Damage 
++Gaia's Blessing I: 4X defense for self and allies 100 sp (Once per battle) +-(Paladin or Knight Class Only)")</f>
        <v>Quest Item () lvl:1, : + ++Blessing of Stone II: 4X Earth Damage 
++Gaia's Blessing I: 4X defense for self and allies 100 sp (Once per battle) +-(Paladin or Knight Class Only)</v>
      </c>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t="str">
        <f>IFERROR(__xludf.DUMMYFUNCTION("""COMPUTED_VALUE"""),"The Blacksmith's Forged Battleaxe ")</f>
        <v>The Blacksmith's Forged Battleaxe </v>
      </c>
      <c r="B531" s="32" t="str">
        <f>IFERROR(__xludf.DUMMYFUNCTION("""COMPUTED_VALUE"""),"Mob Exclusive (Axe) lvl:200, DMG: +100000, Fire DMG: +100000, Celestial DMG: +50000 (Hephaestus' Set) ++Forged Fury: Attacks with this weapon hit all enemies (all enemies can roll to evade). ++X2 Weapon damage")</f>
        <v>Mob Exclusive (Axe) lvl:200, DMG: +100000, Fire DMG: +100000, Celestial DMG: +50000 (Hephaestus' Set) ++Forged Fury: Attacks with this weapon hit all enemies (all enemies can roll to evade). ++X2 Weapon damage</v>
      </c>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t="str">
        <f>IFERROR(__xludf.DUMMYFUNCTION("""COMPUTED_VALUE"""),"The Blacksmith's Forged Sword")</f>
        <v>The Blacksmith's Forged Sword</v>
      </c>
      <c r="B532" s="32" t="str">
        <f>IFERROR(__xludf.DUMMYFUNCTION("""COMPUTED_VALUE"""),"Mob Exclusive (Sword) lvl:200, DMG: +100000, Fire DMG: +100000, Celestial DMG: +50000 (Hephaestus' Set) ++Elemental Gem Slash: This weapon will have a 25% chance each to cast the following powers when attacking with this weapon; Molten Ruby Spikes, Searin"&amp;"g Sapphire Strike, Energizing Emerald Pulse.")</f>
        <v>Mob Exclusive (Sword) lvl:200, DMG: +100000, Fire DMG: +100000, Celestial DMG: +50000 (Hephaestus' Set) ++Elemental Gem Slash: This weapon will have a 25% chance each to cast the following powers when attacking with this weapon; Molten Ruby Spikes, Searing Sapphire Strike, Energizing Emerald Pulse.</v>
      </c>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t="str">
        <f>IFERROR(__xludf.DUMMYFUNCTION("""COMPUTED_VALUE"""),"The Blacksmith's Forged Helmet")</f>
        <v>The Blacksmith's Forged Helmet</v>
      </c>
      <c r="B533" s="32" t="str">
        <f>IFERROR(__xludf.DUMMYFUNCTION("""COMPUTED_VALUE"""),"Mob Exclusive () lvl:4000, DEF: +200000 (Hephaestus' Set) ++Immune to freezing. ++Hephaestus' Fury: shoot an eye ray causing 10,000 damage (you cannot dodge this). ++X2 defense for self")</f>
        <v>Mob Exclusive () lvl:4000, DEF: +200000 (Hephaestus' Set) ++Immune to freezing. ++Hephaestus' Fury: shoot an eye ray causing 10,000 damage (you cannot dodge this). ++X2 defense for self</v>
      </c>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t="str">
        <f>IFERROR(__xludf.DUMMYFUNCTION("""COMPUTED_VALUE"""),"The Blacksmith's Forged Pauldrons")</f>
        <v>The Blacksmith's Forged Pauldrons</v>
      </c>
      <c r="B534" s="32" t="str">
        <f>IFERROR(__xludf.DUMMYFUNCTION("""COMPUTED_VALUE"""),"Mob Exclusive () lvl:4000, DEF: +200000 (Hephaestus' Set) ++Immune to Celestial. ++When Equipped you are invulnerable to damage unless you attack. ++When you battle with any undead you can deal X2 damage")</f>
        <v>Mob Exclusive () lvl:4000, DEF: +200000 (Hephaestus' Set) ++Immune to Celestial. ++When Equipped you are invulnerable to damage unless you attack. ++When you battle with any undead you can deal X2 damage</v>
      </c>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t="str">
        <f>IFERROR(__xludf.DUMMYFUNCTION("""COMPUTED_VALUE"""),"The Blacksmith's Forged Vambraces")</f>
        <v>The Blacksmith's Forged Vambraces</v>
      </c>
      <c r="B535" s="32" t="str">
        <f>IFERROR(__xludf.DUMMYFUNCTION("""COMPUTED_VALUE"""),"Mob Exclusive () lvl:4000, DEF: +200000 (Hephaestus' Set) ++Immune to Chaos and Dark. ++Upon taking fire damage instead heal by 5X that fire damage. ++Take 2X water Damage")</f>
        <v>Mob Exclusive () lvl:4000, DEF: +200000 (Hephaestus' Set) ++Immune to Chaos and Dark. ++Upon taking fire damage instead heal by 5X that fire damage. ++Take 2X water Damage</v>
      </c>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t="str">
        <f>IFERROR(__xludf.DUMMYFUNCTION("""COMPUTED_VALUE"""),"The Blacksmith's Forged Greaves")</f>
        <v>The Blacksmith's Forged Greaves</v>
      </c>
      <c r="B536" s="32" t="str">
        <f>IFERROR(__xludf.DUMMYFUNCTION("""COMPUTED_VALUE"""),"Mob Exclusive () lvl:4000, DEF: +200000 (Hephaestus' Set) ++When attacking with a weapon you have a 25% chance of attacking again with the same weapon. ++Increases all types of Damage by X2. ++Hephaetus's Undying Rage: Upon being killed or removed from ba"&amp;"ttle revive with full health (once per battle)")</f>
        <v>Mob Exclusive () lvl:4000, DEF: +200000 (Hephaestus' Set) ++When attacking with a weapon you have a 25% chance of attacking again with the same weapon. ++Increases all types of Damage by X2. ++Hephaetus's Undying Rage: Upon being killed or removed from battle revive with full health (once per battle)</v>
      </c>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t="str">
        <f>IFERROR(__xludf.DUMMYFUNCTION("""COMPUTED_VALUE"""),"The Blacksmith's Forged Sabatons")</f>
        <v>The Blacksmith's Forged Sabatons</v>
      </c>
      <c r="B537" s="32" t="str">
        <f>IFERROR(__xludf.DUMMYFUNCTION("""COMPUTED_VALUE"""),"Mob Exclusive () lvl:4000, DEF: +200000 (Hephaestus' Set) ++At the start of your turn roll a d20 unaffected by roll bonuses 1-10 no effect 11-20 you act twice on your turn (does not stack with chaincast). ++Heavy Stomp: Causes enemies to be stunned for 1 "&amp;"round with a fail/succeed roll (cooldown: 3 rounds). ++all weapons deal X2 Damage")</f>
        <v>Mob Exclusive () lvl:4000, 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t="str">
        <f>IFERROR(__xludf.DUMMYFUNCTION("""COMPUTED_VALUE"""),"The Blacksmith's Forged Cuirasses")</f>
        <v>The Blacksmith's Forged Cuirasses</v>
      </c>
      <c r="B538" s="32" t="str">
        <f>IFERROR(__xludf.DUMMYFUNCTION("""COMPUTED_VALUE"""),"Mob Exclusive () lvl:4000, DEF: +200000 (Hephaestus' Set) ++10 to all d20 rolls. ++50% to all percentage based abilities. ++Upon taking damage 25% chance to blind the one that hits you giving them blindness 3")</f>
        <v>Mob Exclusive () lvl:4000, DEF: +200000 (Hephaestus' Set) ++10 to all d20 rolls. ++50% to all percentage based abilities. ++Upon taking damage 25% chance to blind the one that hits you giving them blindness 3</v>
      </c>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t="str">
        <f>IFERROR(__xludf.DUMMYFUNCTION("""COMPUTED_VALUE"""),"The Blacksmith's Forged Ring")</f>
        <v>The Blacksmith's Forged Ring</v>
      </c>
      <c r="B539" s="32" t="str">
        <f>IFERROR(__xludf.DUMMYFUNCTION("""COMPUTED_VALUE"""),"Mob Exclusive () lvl:1, : + (Hephaestus' Set) ++Increase all types of damage by X2. ++Causes instant death with a fail/succeed roll. ++Inflict half the damage you take back to the enemy that dealt it for the first 3 rounds of battle.")</f>
        <v>Mob Exclusive () lvl:1, : + (Hephaestus' Set) ++Increase all types of damage by X2. ++Causes instant death with a fail/succeed roll. ++Inflict half the damage you take back to the enemy that dealt it for the first 3 rounds of battle.</v>
      </c>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t="str">
        <f>IFERROR(__xludf.DUMMYFUNCTION("""COMPUTED_VALUE"""),"The Blacksmith's Forged Pendant")</f>
        <v>The Blacksmith's Forged Pendant</v>
      </c>
      <c r="B540" s="32" t="str">
        <f>IFERROR(__xludf.DUMMYFUNCTION("""COMPUTED_VALUE"""),"Mob Exclusive () lvl:1, : + (Hephaestus' Set) ++Forged items now deal double in damage for the wearer. ++If you kill an enemy with a weapon your HP and SP will fully be restored. ++Enemies deduct 2 from their rolls when targeting you")</f>
        <v>Mob Exclusive () lvl:1, : + (Hephaestus' Set) ++Forged items now deal double in damage for the wearer. ++If you kill an enemy with a weapon your HP and SP will fully be restored. ++Enemies deduct 2 from their rolls when targeting you</v>
      </c>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t="str">
        <f>IFERROR(__xludf.DUMMYFUNCTION("""COMPUTED_VALUE"""),"The Blacksmith's Ring of Green Hatred")</f>
        <v>The Blacksmith's Ring of Green Hatred</v>
      </c>
      <c r="B541" s="32" t="str">
        <f>IFERROR(__xludf.DUMMYFUNCTION("""COMPUTED_VALUE"""),"Mob Exclusive () lvl:1, : + (Hephaestus' Set) ++All attacks deal X10 damage against any enemies with the starting town of Forest View.")</f>
        <v>Mob Exclusive () lvl:1, : + (Hephaestus' Set) ++All attacks deal X10 damage against any enemies with the starting town of Forest View.</v>
      </c>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t="str">
        <f>IFERROR(__xludf.DUMMYFUNCTION("""COMPUTED_VALUE"""),"Ring o' Strength and Fire")</f>
        <v>Ring o' Strength and Fire</v>
      </c>
      <c r="B542" s="32" t="str">
        <f>IFERROR(__xludf.DUMMYFUNCTION("""COMPUTED_VALUE""")," () lvl:1, : + ++Grants immunity to fire. ++Grants X2 damage. +-Can only equip one +-Cannot be duplicated")</f>
        <v> () lvl:1, : + ++Grants immunity to fire. ++Grants X2 damage. +-Can only equip one +-Cannot be duplicated</v>
      </c>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t="str">
        <f>IFERROR(__xludf.DUMMYFUNCTION("""COMPUTED_VALUE"""),"Ring o' Fortitude and Earth")</f>
        <v>Ring o' Fortitude and Earth</v>
      </c>
      <c r="B543" s="32" t="str">
        <f>IFERROR(__xludf.DUMMYFUNCTION("""COMPUTED_VALUE""")," () lvl:1, : + ++Grants immunity to Earth. ++Grants X2 Defense. +-Can only equip one +-Cannot be duplicated")</f>
        <v> () lvl:1, : + ++Grants immunity to Earth. ++Grants X2 Defense. +-Can only equip one +-Cannot be duplicated</v>
      </c>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t="str">
        <f>IFERROR(__xludf.DUMMYFUNCTION("""COMPUTED_VALUE"""),"Ring o' Agility and Water")</f>
        <v>Ring o' Agility and Water</v>
      </c>
      <c r="B544" s="32" t="str">
        <f>IFERROR(__xludf.DUMMYFUNCTION("""COMPUTED_VALUE""")," () lvl:1, : + ++Grants Immunity to Water. ++Grants +5 to evasion. +-Can only equip one +-Cannot be duplicated")</f>
        <v> () lvl:1, : + ++Grants Immunity to Water. ++Grants +5 to evasion. +-Can only equip one +-Cannot be duplicated</v>
      </c>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t="str">
        <f>IFERROR(__xludf.DUMMYFUNCTION("""COMPUTED_VALUE"""),"Ring o' Power and Delta")</f>
        <v>Ring o' Power and Delta</v>
      </c>
      <c r="B545" s="32" t="str">
        <f>IFERROR(__xludf.DUMMYFUNCTION("""COMPUTED_VALUE""")," () lvl:1, : + ++Grants X4 Delta damage. ++Take Half delta damage. +-Can only equip one +-Cannot be duplicated")</f>
        <v> () lvl:1, : + ++Grants X4 Delta damage. ++Take Half delta damage. +-Can only equip one +-Cannot be duplicated</v>
      </c>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t="str">
        <f>IFERROR(__xludf.DUMMYFUNCTION("""COMPUTED_VALUE"""),"Ring o' Courage and Order")</f>
        <v>Ring o' Courage and Order</v>
      </c>
      <c r="B546" s="32" t="str">
        <f>IFERROR(__xludf.DUMMYFUNCTION("""COMPUTED_VALUE""")," () lvl:1, : + ++Grants Immunity to Order. ++Enemies halve their rolls when fleeing. +-Can only equip one +-Cannot be duplicated")</f>
        <v> () lvl:1, : + ++Grants Immunity to Order. ++Enemies halve their rolls when fleeing. +-Can only equip one +-Cannot be duplicated</v>
      </c>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t="str">
        <f>IFERROR(__xludf.DUMMYFUNCTION("""COMPUTED_VALUE"""),"Ring o' Resilience and Physicality")</f>
        <v>Ring o' Resilience and Physicality</v>
      </c>
      <c r="B547" s="32" t="str">
        <f>IFERROR(__xludf.DUMMYFUNCTION("""COMPUTED_VALUE""")," () lvl:1, : + ++Grants Immunity to Natural attacks. ++Grants +5 Mobility. +-Can only equip one +-Cannot be duplicated")</f>
        <v> () lvl:1, : + ++Grants Immunity to Natural attacks. ++Grants +5 Mobility. +-Can only equip one +-Cannot be duplicated</v>
      </c>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t="str">
        <f>IFERROR(__xludf.DUMMYFUNCTION("""COMPUTED_VALUE"""),"Ring o' Insanity and Chaos")</f>
        <v>Ring o' Insanity and Chaos</v>
      </c>
      <c r="B548" s="32" t="str">
        <f>IFERROR(__xludf.DUMMYFUNCTION("""COMPUTED_VALUE""")," () lvl:1, : + ++Grants Immunity to Chaos. +5 to Intimidation. +-Can only equip one +-Cannot be duplicated")</f>
        <v> () lvl:1, : + ++Grants Immunity to Chaos. +5 to Intimidation. +-Can only equip one +-Cannot be duplicated</v>
      </c>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t="str">
        <f>IFERROR(__xludf.DUMMYFUNCTION("""COMPUTED_VALUE"""),"Ring o' Debonair and Light")</f>
        <v>Ring o' Debonair and Light</v>
      </c>
      <c r="B549" s="32" t="str">
        <f>IFERROR(__xludf.DUMMYFUNCTION("""COMPUTED_VALUE""")," () lvl:1, : + ++Grants Immunity to Light. +5 to Charisma. +-Can only equip one +-Cannot be duplicated")</f>
        <v> () lvl:1, : + ++Grants Immunity to Light. +5 to Charisma. +-Can only equip one +-Cannot be duplicated</v>
      </c>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t="str">
        <f>IFERROR(__xludf.DUMMYFUNCTION("""COMPUTED_VALUE"""),"Ring o' Spite and Blood")</f>
        <v>Ring o' Spite and Blood</v>
      </c>
      <c r="B550" s="32" t="str">
        <f>IFERROR(__xludf.DUMMYFUNCTION("""COMPUTED_VALUE""")," () lvl:1, : + ++Grants Immunity to Blood. ++X4 Blood damage, ++Deal X4 damage to any enemy who attempted to attack you. +-Can only equip one +-Cannot be duplicated")</f>
        <v> () lvl:1, : + ++Grants Immunity to Blood. ++X4 Blood damage, ++Deal X4 damage to any enemy who attempted to attack you. +-Can only equip one +-Cannot be duplicated</v>
      </c>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t="str">
        <f>IFERROR(__xludf.DUMMYFUNCTION("""COMPUTED_VALUE"""),"Ring o' Neurodivergence and Spirit")</f>
        <v>Ring o' Neurodivergence and Spirit</v>
      </c>
      <c r="B551" s="32" t="str">
        <f>IFERROR(__xludf.DUMMYFUNCTION("""COMPUTED_VALUE""")," () lvl:1, : + ++Grants Immunity to Spirit. ++As an action you can Create a clone of yourself who has the same stats as yourself once per battle, 200 sp. +-Can only equip one +-Cannot be duplicated")</f>
        <v> () lvl:1, : + ++Grants Immunity to Spirit. ++As an action you can Create a clone of yourself who has the same stats as yourself once per battle, 200 sp. +-Can only equip one +-Cannot be duplicated</v>
      </c>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t="str">
        <f>IFERROR(__xludf.DUMMYFUNCTION("""COMPUTED_VALUE"""),"Ring o' Impassivity and Storm")</f>
        <v>Ring o' Impassivity and Storm</v>
      </c>
      <c r="B552" s="32" t="str">
        <f>IFERROR(__xludf.DUMMYFUNCTION("""COMPUTED_VALUE""")," () lvl:1, : + ++Grants Immunity to Storm. ++20% chance to be unaffected by magic that affects you including your own. +-Can only equip one +-Cannot be duplicated")</f>
        <v> () lvl:1, : + ++Grants Immunity to Storm. ++20% chance to be unaffected by magic that affects you including your own. +-Can only equip one +-Cannot be duplicated</v>
      </c>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t="str">
        <f>IFERROR(__xludf.DUMMYFUNCTION("""COMPUTED_VALUE"""),"Ring o' Rigidity and Stasis")</f>
        <v>Ring o' Rigidity and Stasis</v>
      </c>
      <c r="B553" s="32" t="str">
        <f>IFERROR(__xludf.DUMMYFUNCTION("""COMPUTED_VALUE""")," () lvl:1, : + ++You take half Damage from both Chaos and Light. ++Grants a 30% chance to be unaffected by status affects. +-Can only equip one +-Cannot be duplicated")</f>
        <v> () lvl:1, : + ++You take half Damage from both Chaos and Light. ++Grants a 30% chance to be unaffected by status affects. +-Can only equip one +-Cannot be duplicated</v>
      </c>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t="str">
        <f>IFERROR(__xludf.DUMMYFUNCTION("""COMPUTED_VALUE"""),"Ring o' Loyalty and Celestial")</f>
        <v>Ring o' Loyalty and Celestial</v>
      </c>
      <c r="B554" s="32" t="str">
        <f>IFERROR(__xludf.DUMMYFUNCTION("""COMPUTED_VALUE""")," () lvl:1, : + ++Grants X6 Celestial damage. Take half damage from celestial. +-Can only equip one +-Cannot be duplicated")</f>
        <v> () lvl:1, : + ++Grants X6 Celestial damage. Take half damage from celestial. +-Can only equip one +-Cannot be duplicated</v>
      </c>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t="str">
        <f>IFERROR(__xludf.DUMMYFUNCTION("""COMPUTED_VALUE"""),"Ring o' Arrogance and Twilight")</f>
        <v>Ring o' Arrogance and Twilight</v>
      </c>
      <c r="B555" s="32" t="str">
        <f>IFERROR(__xludf.DUMMYFUNCTION("""COMPUTED_VALUE""")," () lvl:1, : + ++You take Half Damage from both Light and Dark. Grants immunity to Instant Death. +-Can only equip one +-Cannot be duplicated")</f>
        <v> () lvl:1, : + ++You take Half Damage from both Light and Dark. Grants immunity to Instant Death. +-Can only equip one +-Cannot be duplicated</v>
      </c>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t="str">
        <f>IFERROR(__xludf.DUMMYFUNCTION("""COMPUTED_VALUE"""),"Ring o' Grace and Astral")</f>
        <v>Ring o' Grace and Astral</v>
      </c>
      <c r="B556" s="32" t="str">
        <f>IFERROR(__xludf.DUMMYFUNCTION("""COMPUTED_VALUE""")," () lvl:1, : + ++Grants Immunity to Astral. ++You roll twice when rolling to evade and take the higher result. +-Can only equip one +-Cannot be duplicated")</f>
        <v> () lvl:1, : + ++Grants Immunity to Astral. ++You roll twice when rolling to evade and take the higher result. +-Can only equip one +-Cannot be duplicated</v>
      </c>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t="str">
        <f>IFERROR(__xludf.DUMMYFUNCTION("""COMPUTED_VALUE"""),"Ring o' Villainy and Voodoo")</f>
        <v>Ring o' Villainy and Voodoo</v>
      </c>
      <c r="B557" s="32" t="str">
        <f>IFERROR(__xludf.DUMMYFUNCTION("""COMPUTED_VALUE""")," () lvl:1, : + ++Grants Immunity to Voodoo. ++You automatically succeed at using confiscate and get a ++2 to any roll related to committing a crime. X4 Voodoo damage. +-Can only equip one +-Cannot be duplicated. +-Cannot become a Spira guard if you wear t"&amp;"his.")</f>
        <v> () lvl:1, : + ++Grants Immunity to Voodoo. ++You automatically succeed at using confiscate and get a ++2 to any roll related to committing a crime. X4 Voodoo damage. +-Can only equip one +-Cannot be duplicated. +-Cannot become a Spira guard if you wear this.</v>
      </c>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t="str">
        <f>IFERROR(__xludf.DUMMYFUNCTION("""COMPUTED_VALUE"""),"The Bow of The Verdant Forest")</f>
        <v>The Bow of The Verdant Forest</v>
      </c>
      <c r="B558" s="32" t="str">
        <f>IFERROR(__xludf.DUMMYFUNCTION("""COMPUTED_VALUE"""),"Quest Item () lvl:200, DMG: +20000, Chaos DMG: +20000, Nature DMG: +20000, Celestial DMG: +5000 (Forest Paladin Set) ++X2 Nature damage. ++Verdant Shot: Fire a shot dealing your total defense as Nature damage 1000sp. +-Archer, Hunter, and Paladin of The F"&amp;"orest Class only.")</f>
        <v>Quest Item () lvl:200, DMG: +20000, Chaos DMG: +20000, Nature DMG: +20000, Celestial DMG: +5000 (Forest Paladin Set) ++X2 Nature damage. ++Verdant Shot: Fire a shot dealing your total defense as Nature damage 1000sp. +-Archer, Hunter, and Paladin of The Forest Class only.</v>
      </c>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t="str">
        <f>IFERROR(__xludf.DUMMYFUNCTION("""COMPUTED_VALUE"""),"Enchanted Wooden Buckler of The Verdant Forest")</f>
        <v>Enchanted Wooden Buckler of The Verdant Forest</v>
      </c>
      <c r="B559" s="32" t="str">
        <f>IFERROR(__xludf.DUMMYFUNCTION("""COMPUTED_VALUE"""),"Quest Item () lvl:200, DEF: +50000, Water DEF: +25000, Order DEF: +25000, Celestial DEF: +25000 (Forest Paladin Set) ++Counted as a weapon for the purpose of the parry ability. ++Nature's Law: When Fighting in a Natural Environment your total defense is d"&amp;"oubled. +-Archer, Hunter, and Paladin of The Forest Class only.")</f>
        <v>Quest Item () lvl:200, DEF: +50000, Water DEF: +25000, Order DEF: +25000, Celestial DEF: +25000 (Forest Paladin Set) ++Counted as a weapon for the purpose of the parry ability. ++Nature's Law: When Fighting in a Natural Environment your total defense is doubled. +-Archer, Hunter, and Paladin of The Forest Class only.</v>
      </c>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t="str">
        <f>IFERROR(__xludf.DUMMYFUNCTION("""COMPUTED_VALUE"""),"Cowl of the Eagle's Sight")</f>
        <v>Cowl of the Eagle's Sight</v>
      </c>
      <c r="B560" s="32" t="str">
        <f>IFERROR(__xludf.DUMMYFUNCTION("""COMPUTED_VALUE"""),"Quest Item () lvl:200, DEF: +20000, Water DEF: +10000, Order DEF: +10000, Celestial DEF: +10000 (Forest Paladin Set) ++Blessing of The Greens I: X2 Nature damage. ++Eagle Eyed: When in a forest you gain Truesight for the first round of battle. +-Archer, H"&amp;"unter, and Paladin of The Forest Class only.")</f>
        <v>Quest Item () lvl:200, DEF: +20000, Water DEF: +10000, Order DEF: +10000, Celestial DEF: +10000 (Forest Paladin Set) ++Blessing of The Greens I: X2 Nature damage. ++Eagle Eyed: When in a forest you gain Truesight for the first round of battle. +-Archer, Hunter, and Paladin of The Forest Class only.</v>
      </c>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t="str">
        <f>IFERROR(__xludf.DUMMYFUNCTION("""COMPUTED_VALUE"""),"Ailettes of the Forest's Splendor")</f>
        <v>Ailettes of the Forest's Splendor</v>
      </c>
      <c r="B561" s="32"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t="str">
        <f>IFERROR(__xludf.DUMMYFUNCTION("""COMPUTED_VALUE"""),"Bracer of Trueshot")</f>
        <v>Bracer of Trueshot</v>
      </c>
      <c r="B562" s="32" t="str">
        <f>IFERROR(__xludf.DUMMYFUNCTION("""COMPUTED_VALUE"""),"Quest Item () lvl:200, DEF: +20000, Water DEF: +10000, Order DEF: +10000, Celestial DEF: +10000 (Forest Paladin Set) ++Blessing of The Forest's Quiver: X2 Nature and Bow damage. ++Deadly Aim: Upon killing an enemy with a bow you double your next attack ro"&amp;"ll with a bow. +-Archer, Hunter, and Paladin of The Forest Class only.")</f>
        <v>Quest Item () lvl:200, 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t="str">
        <f>IFERROR(__xludf.DUMMYFUNCTION("""COMPUTED_VALUE"""),"Leather Cuirass of Barkskin")</f>
        <v>Leather Cuirass of Barkskin</v>
      </c>
      <c r="B563" s="32" t="str">
        <f>IFERROR(__xludf.DUMMYFUNCTION("""COMPUTED_VALUE"""),"Quest Item () lvl:200, DEF: +30000, Water DEF: +15000, Order DEF: +15000, Celestial DEF: +15000 (Forest Paladin Set) ++Blessing of The Greens I: X2 Nature damage. ++Barkskin: X2 defense for self. 50 sp. +-Archer, Hunter, and Paladin of The Forest Class on"&amp;"ly.")</f>
        <v>Quest Item () lvl:200, DEF: +30000, Water DEF: +15000, Order DEF: +15000, Celestial DEF: +15000 (Forest Paladin Set) ++Blessing of The Greens I: X2 Nature damage. ++Barkskin: X2 defense for self. 50 sp. +-Archer, Hunter, and Paladin of The Forest Class only.</v>
      </c>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t="str">
        <f>IFERROR(__xludf.DUMMYFUNCTION("""COMPUTED_VALUE"""),"Greaves of The Verdant Forest")</f>
        <v>Greaves of The Verdant Forest</v>
      </c>
      <c r="B564" s="32"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t="str">
        <f>IFERROR(__xludf.DUMMYFUNCTION("""COMPUTED_VALUE"""),"Boots of The Verdant Forest")</f>
        <v>Boots of The Verdant Forest</v>
      </c>
      <c r="B565" s="32" t="str">
        <f>IFERROR(__xludf.DUMMYFUNCTION("""COMPUTED_VALUE"""),"Quest Item () lvl:200, DEF: +20000, Water DEF: +10000, Order DEF: +10000, Celestial DEF: +10000 (Forest Paladin Set) Blessing of The Greens I: X2 Nature damage. Deal X4 Nature damage for the first bow attack you make under the effect of haste +-Archer, Hu"&amp;"nter, and Paladin of The Forest Class only.")</f>
        <v>Quest Item () lvl:200, DEF: +20000, Water DEF: +10000, Order DEF: +10000, Celestial DEF: +10000 (Forest Paladin Set) Blessing of The Greens I: X2 Nature damage. Deal X4 Nature damage for the first bow attack you make under the effect of haste +-Archer, Hunter, and Paladin of The Forest Class only.</v>
      </c>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t="str">
        <f>IFERROR(__xludf.DUMMYFUNCTION("""COMPUTED_VALUE"""),"Emerald Ring of The Forest")</f>
        <v>Emerald Ring of The Forest</v>
      </c>
      <c r="B566" s="32" t="str">
        <f>IFERROR(__xludf.DUMMYFUNCTION("""COMPUTED_VALUE"""),"Quest Item () lvl:1, : + (Forest Paladin Set) ++Regrowth: Heals target by 5000 and grants them Invigorated 5, 75sp. ++X4 outgoing healing +-Archer, Hunter, and Paladin of The Forest Class only.")</f>
        <v>Quest Item () lvl:1, : + (Forest Paladin Set) ++Regrowth: Heals target by 5000 and grants them Invigorated 5, 75sp. ++X4 outgoing healing +-Archer, Hunter, and Paladin of The Forest Class only.</v>
      </c>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t="str">
        <f>IFERROR(__xludf.DUMMYFUNCTION("""COMPUTED_VALUE"""),"Emerald Amulet of The Forest")</f>
        <v>Emerald Amulet of The Forest</v>
      </c>
      <c r="B567" s="32" t="str">
        <f>IFERROR(__xludf.DUMMYFUNCTION("""COMPUTED_VALUE"""),"Quest Item () lvl:1, : + (Forest Paladin Set) ++Artemis' Godly Grace: Grants all allies Invigorated 5, Haste 3, Truesight 3, and 4X defense and Nature Damage, can only be casted once per battle, 500 sp +-Archer, Hunter, and Paladin of The Forest Class onl"&amp;"y.")</f>
        <v>Quest Item () lvl:1, : + (Forest Paladin Set) ++Artemis' Godly Grace: Grants all allies Invigorated 5, Haste 3, Truesight 3, and 4X defense and Nature Damage, can only be casted once per battle, 500 sp +-Archer, Hunter, and Paladin of The Forest Class only.</v>
      </c>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t="str">
        <f>IFERROR(__xludf.DUMMYFUNCTION("""COMPUTED_VALUE"""),"Artemis' Crown of The Forest")</f>
        <v>Artemis' Crown of The Forest</v>
      </c>
      <c r="B568" s="32" t="str">
        <f>IFERROR(__xludf.DUMMYFUNCTION("""COMPUTED_VALUE"""),"Mob Exclusive. The crown that was gifted to Aranyani upon her ascension to godhood () lvl:2000, DEF: +50000, Water DEF: +25000, Order DEF: +25000 ++Blessing of the Forest's Quiver II: X4 Nature and Bow damage. ++Eagle Eyed: When in a forest you gain Trues"&amp;"ight for the first round of battle. ++Goddess's Cold Stare: 15% chance to Freeze all enemies (not affected by modifiers) 1000SP. +-can only be equipped by Artemis.")</f>
        <v>Mob Exclusive. The crown that was gifted to Aranyani upon her ascension to godhood () lvl:2000, 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t="str">
        <f>IFERROR(__xludf.DUMMYFUNCTION("""COMPUTED_VALUE"""),"Artemis' Bow of Divine Wrath")</f>
        <v>Artemis' Bow of Divine Wrath</v>
      </c>
      <c r="B569" s="32" t="str">
        <f>IFERROR(__xludf.DUMMYFUNCTION("""COMPUTED_VALUE"""),"Mob Exclusive. (Bow) lvl:12000, DMG: +200000, Chaos DMG: +200000, Nature DMG: +200000 ++Marked: When affected by Truesight you can mark a single target as per the effect ""Marked"" for 1 round. 20 sp. ++The target cannot resist or be immune to this weapon"&amp;" attack  +-can only be equipped by Artemis")</f>
        <v>Mob Exclusive. (Bow) lvl:12000, DMG: +200000, Chaos DMG: +200000, Nature DMG: +200000 ++Marked: When affected by Truesight you can mark a single target as per the effect "Marked" for 1 round. 20 sp. ++The target cannot resist or be immune to this weapon attack  +-can only be equipped by Artemis</v>
      </c>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t="str">
        <f>IFERROR(__xludf.DUMMYFUNCTION("""COMPUTED_VALUE"""),"Artemis' Shield of Divine Grace")</f>
        <v>Artemis' Shield of Divine Grace</v>
      </c>
      <c r="B570" s="32" t="str">
        <f>IFERROR(__xludf.DUMMYFUNCTION("""COMPUTED_VALUE"""),"Mob Exclusive (Buckler) lvl:6000, DEF: +150000, Water DEF: +75000, Order DEF: +75000 ++Living Shield: When hit by a weapon attack 50% chance to inflict slowness 3 and disarm 3, +-can only be equipped by Artemis.")</f>
        <v>Mob Exclusive (Buckler) lvl:6000, DEF: +150000, Water DEF: +75000, Order DEF: +75000 ++Living Shield: When hit by a weapon attack 50% chance to inflict slowness 3 and disarm 3, +-can only be equipped by Artemis.</v>
      </c>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t="str">
        <f>IFERROR(__xludf.DUMMYFUNCTION("""COMPUTED_VALUE"""),"Artemis' Divine Quiver")</f>
        <v>Artemis' Divine Quiver</v>
      </c>
      <c r="B571" s="32" t="str">
        <f>IFERROR(__xludf.DUMMYFUNCTION("""COMPUTED_VALUE"""),"Mob Exclusive () lvl:1, : + ++Blessing of the Forest's Quiver II: X4 Nature and Bow damage. ++Godspeed: Wearer Gets 2 actions every round. ++Quick Shot: Attack twice with your bow 10000 sp. +-can only be equipped by Artemis.")</f>
        <v>Mob Exclusive () lvl:1, : + ++Blessing of the Forest's Quiver II: X4 Nature and Bow damage. ++Godspeed: Wearer Gets 2 actions every round. ++Quick Shot: Attack twice with your bow 10000 sp. +-can only be equipped by Artemis.</v>
      </c>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t="str">
        <f>IFERROR(__xludf.DUMMYFUNCTION("""COMPUTED_VALUE"""),"Artemis' Toga of Divine Beauty")</f>
        <v>Artemis' Toga of Divine Beauty</v>
      </c>
      <c r="B572" s="32" t="str">
        <f>IFERROR(__xludf.DUMMYFUNCTION("""COMPUTED_VALUE"""),"Mob Exclusive () lvl:4000, DEF: +100000, Water DEF: +50000, Order DEF: +50000 ++Blessing of the Forest's Quiver II: X4 Nature and Bow damage. ++Godly Charm: 10% chance at the start of battle to force an enemy to fight for you +-can only be equipped by Art"&amp;"emis.")</f>
        <v>Mob Exclusive () lvl:4000, DEF: +100000, Water DEF: +50000, Order DEF: +50000 ++Blessing of the Forest's Quiver II: X4 Nature and Bow damage. ++Godly Charm: 10% chance at the start of battle to force an enemy to fight for you +-can only be equipped by Artemis.</v>
      </c>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t="str">
        <f>IFERROR(__xludf.DUMMYFUNCTION("""COMPUTED_VALUE"""),"Artemis' Bracer of The Archer Goddess")</f>
        <v>Artemis' Bracer of The Archer Goddess</v>
      </c>
      <c r="B573" s="32" t="str">
        <f>IFERROR(__xludf.DUMMYFUNCTION("""COMPUTED_VALUE"""),"Mob Exclusive () lvl:2000, DEF: +50000, Water DEF: +25000, Order DEF: +25000 ++Blessing of the Forest's Quiver II: X4 Nature and Bow damage. ++Godly Archery: When you hit an enemy with your bow you gain the effects of Haste +-can only be equipped by Artem"&amp;"is.")</f>
        <v>Mob Exclusive () lvl:2000, DEF: +50000, Water DEF: +25000, Order DEF: +25000 ++Blessing of the Forest's Quiver II: X4 Nature and Bow damage. ++Godly Archery: When you hit an enemy with your bow you gain the effects of Haste +-can only be equipped by Artemis.</v>
      </c>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t="str">
        <f>IFERROR(__xludf.DUMMYFUNCTION("""COMPUTED_VALUE"""),"Artemis' Leggings of Divine Agility")</f>
        <v>Artemis' Leggings of Divine Agility</v>
      </c>
      <c r="B574" s="32" t="str">
        <f>IFERROR(__xludf.DUMMYFUNCTION("""COMPUTED_VALUE"""),"Mob Exclusive () lvl:2000, DEF: +50000, Water DEF: +25000, Order DEF: +25000 ++Blessing of The Greens II: X4 Nature Damage +-can only be equipped by Artemis")</f>
        <v>Mob Exclusive () lvl:2000, DEF: +50000, Water DEF: +25000, Order DEF: +25000 ++Blessing of The Greens II: X4 Nature Damage +-can only be equipped by Artemis</v>
      </c>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t="str">
        <f>IFERROR(__xludf.DUMMYFUNCTION("""COMPUTED_VALUE"""),"Artemis' Sandals of Divine Speed")</f>
        <v>Artemis' Sandals of Divine Speed</v>
      </c>
      <c r="B575" s="32" t="str">
        <f>IFERROR(__xludf.DUMMYFUNCTION("""COMPUTED_VALUE"""),"Mob Exclusive () lvl:2000, DEF: +50000, Water DEF: +25000, Order DEF: +25000 ++Blessing of Speed: when affected by haste you gain an extra action. +-can only be equipped by Artemis.")</f>
        <v>Mob Exclusive () lvl:2000, DEF: +50000, Water DEF: +25000, Order DEF: +25000 ++Blessing of Speed: when affected by haste you gain an extra action. +-can only be equipped by Artemis.</v>
      </c>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t="str">
        <f>IFERROR(__xludf.DUMMYFUNCTION("""COMPUTED_VALUE"""),"Artemis' Ring")</f>
        <v>Artemis' Ring</v>
      </c>
      <c r="B576" s="32" t="str">
        <f>IFERROR(__xludf.DUMMYFUNCTION("""COMPUTED_VALUE"""),"Mob Exclusive () lvl:1, : + ++10% chance to revive after dying once. +-can only be equipped by Artemis.")</f>
        <v>Mob Exclusive () lvl:1, : + ++10% chance to revive after dying once. +-can only be equipped by Artemis.</v>
      </c>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t="str">
        <f>IFERROR(__xludf.DUMMYFUNCTION("""COMPUTED_VALUE"""),"Artemis' Fang Necklace")</f>
        <v>Artemis' Fang Necklace</v>
      </c>
      <c r="B577" s="32" t="str">
        <f>IFERROR(__xludf.DUMMYFUNCTION("""COMPUTED_VALUE"""),"Mob Exclusive () lvl:1, : + Upon killing an enemy you emit a sharp aura with a 10% chance of instant death to all enemies. +-can only be equipped by Artemis.")</f>
        <v>Mob Exclusive () lvl:1, : + Upon killing an enemy you emit a sharp aura with a 10% chance of instant death to all enemies. +-can only be equipped by Artemis.</v>
      </c>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t="str">
        <f>IFERROR(__xludf.DUMMYFUNCTION("""COMPUTED_VALUE"""),"Forged Paladin's Helm")</f>
        <v>Forged Paladin's Helm</v>
      </c>
      <c r="B578" s="32" t="str">
        <f>IFERROR(__xludf.DUMMYFUNCTION("""COMPUTED_VALUE"""),"Quest Item () lvl:200, DEF: +25000, Fire DEF: +10000, Water DEF: +5000, Nature DEF: +25000, Celestial DEF: +10000 ++X2 Firearm damage. ++Weakness Detection: When attacking an enemy with fire vulnerability roll twice and take the higher roll for all attack"&amp;"s against that enemy. +-Forged Paladin Class Only.")</f>
        <v>Quest Item () lvl:200, DEF: +25000, Fire DEF: +10000, Water DEF: +5000, Nature DEF: +25000, Celestial DEF: +10000 ++X2 Firearm damage. ++Weakness Detection: When attacking an enemy with fire vulnerability roll twice and take the higher roll for all attacks against that enemy. +-Forged Paladin Class Only.</v>
      </c>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t="str">
        <f>IFERROR(__xludf.DUMMYFUNCTION("""COMPUTED_VALUE"""),"Forged Paladin's Pauldrons")</f>
        <v>Forged Paladin's Pauldrons</v>
      </c>
      <c r="B579" s="32" t="str">
        <f>IFERROR(__xludf.DUMMYFUNCTION("""COMPUTED_VALUE"""),"Quest Item () lvl:200, DEF: +25000, Fire DEF: +10000, Water DEF: +5000, Nature DEF: +25000, Celestial DEF: +10000 ++When hit with a non-natural attack inflict the attacker with Burn 1000 for 3 rounds +-Forged Paladin Class Only.")</f>
        <v>Quest Item () lvl:200, DEF: +25000, Fire DEF: +10000, Water DEF: +5000, Nature DEF: +25000, Celestial DEF: +10000 ++When hit with a non-natural attack inflict the attacker with Burn 1000 for 3 rounds +-Forged Paladin Class Only.</v>
      </c>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t="str">
        <f>IFERROR(__xludf.DUMMYFUNCTION("""COMPUTED_VALUE"""),"Forged Paladin's Plate")</f>
        <v>Forged Paladin's Plate</v>
      </c>
      <c r="B580" s="32" t="str">
        <f>IFERROR(__xludf.DUMMYFUNCTION("""COMPUTED_VALUE"""),"Quest Item () lvl:200, DEF: +35000, Fire DEF: +15000, Water DEF: +5000, Nature DEF: +30000, Celestial DEF: +15000 ++X4 Fire damage. ++fire immunity +-Forged Paladin Class Only.")</f>
        <v>Quest Item () lvl:200, DEF: +35000, Fire DEF: +15000, Water DEF: +5000, Nature DEF: +30000, Celestial DEF: +15000 ++X4 Fire damage. ++fire immunity +-Forged Paladin Class Only.</v>
      </c>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t="str">
        <f>IFERROR(__xludf.DUMMYFUNCTION("""COMPUTED_VALUE"""),"Forged Paladin's Vambraces")</f>
        <v>Forged Paladin's Vambraces</v>
      </c>
      <c r="B581" s="32" t="str">
        <f>IFERROR(__xludf.DUMMYFUNCTION("""COMPUTED_VALUE"""),"Quest Item () lvl:200, DEF: +25000, Fire DEF: +10000, Water DEF: +5000, Nature DEF: +25000, Celestial DEF: +10000 ++When attacking with a firearm deal X4 damage. ++The target cannot resist or be immune to fire damage dealt by firearms. +-Forged Paladin Cl"&amp;"ass Only.")</f>
        <v>Quest Item () lvl:200, DEF: +25000, Fire DEF: +10000, Water DEF: +5000, Nature DEF: +25000, Celestial DEF: +10000 ++When attacking with a firearm deal X4 damage. ++The target cannot resist or be immune to fire damage dealt by firearms. +-Forged Paladin Class Only.</v>
      </c>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t="str">
        <f>IFERROR(__xludf.DUMMYFUNCTION("""COMPUTED_VALUE"""),"Forged Firearm")</f>
        <v>Forged Firearm</v>
      </c>
      <c r="B582" s="32" t="str">
        <f>IFERROR(__xludf.DUMMYFUNCTION("""COMPUTED_VALUE"""),"Quest Item (Firearm) lvl:200, DMG: +50000, Fire DMG: +25000, Celestial DMG: +25000 ++X2 Firearm Damage. ++When equipped with the rest of the Forged Paladin gear deal X6 damage with this weapon. +-Forged Paladin Class Only.")</f>
        <v>Quest Item (Firearm) lvl:200, DMG: +50000, Fire DMG: +25000, Celestial DMG: +25000 ++X2 Firearm Damage. ++When equipped with the rest of the Forged Paladin gear deal X6 damage with this weapon. +-Forged Paladin Class Only.</v>
      </c>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t="str">
        <f>IFERROR(__xludf.DUMMYFUNCTION("""COMPUTED_VALUE"""),"Forged Towershield")</f>
        <v>Forged Towershield</v>
      </c>
      <c r="B583" s="32" t="str">
        <f>IFERROR(__xludf.DUMMYFUNCTION("""COMPUTED_VALUE"""),"Quest Item (Towershield) lvl:200, DEF: +50000, Fire DEF: +25000, Water DEF: +15000, Nature DEF: +50000, Celestial DEF: +25000 ++X2 defense. ++When equipped with the rest of the Forged Paladin gear gain X6 defense. +-Forged Paladin Class Only.")</f>
        <v>Quest Item (Towershield) lvl:200, DEF: +50000, Fire DEF: +25000, Water DEF: +15000, Nature DEF: +50000, Celestial DEF: +25000 ++X2 defense. ++When equipped with the rest of the Forged Paladin gear gain X6 defense. +-Forged Paladin Class Only.</v>
      </c>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t="str">
        <f>IFERROR(__xludf.DUMMYFUNCTION("""COMPUTED_VALUE"""),"Forged Leg guard")</f>
        <v>Forged Leg guard</v>
      </c>
      <c r="B584" s="32" t="str">
        <f>IFERROR(__xludf.DUMMYFUNCTION("""COMPUTED_VALUE"""),"Quest Item () lvl:200, DEF: +25000, Fire DEF: +10000, Water DEF: +5000, Nature DEF: +25000, Celestial DEF: +10000 ++When affected by Burn, Heal by the damage instead. +-Forged Paladin Class Only.")</f>
        <v>Quest Item () lvl:200, DEF: +25000, Fire DEF: +10000, Water DEF: +5000, Nature DEF: +25000, Celestial DEF: +10000 ++When affected by Burn, Heal by the damage instead. +-Forged Paladin Class Only.</v>
      </c>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t="str">
        <f>IFERROR(__xludf.DUMMYFUNCTION("""COMPUTED_VALUE"""),"Forged Sabatons")</f>
        <v>Forged Sabatons</v>
      </c>
      <c r="B585" s="32" t="str">
        <f>IFERROR(__xludf.DUMMYFUNCTION("""COMPUTED_VALUE"""),"Quest Item () lvl:200, DEF: +25000, Fire DEF: +10000, Water DEF: +5000, Nature DEF: +25000, Celestial DEF: +10000 ++When attacking with a fire spell add ++5 to roll. +-Forged Paladin Class Only.")</f>
        <v>Quest Item () lvl:200, DEF: +25000, Fire DEF: +10000, Water DEF: +5000, Nature DEF: +25000, Celestial DEF: +10000 ++When attacking with a fire spell add ++5 to roll. +-Forged Paladin Class Only.</v>
      </c>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t="str">
        <f>IFERROR(__xludf.DUMMYFUNCTION("""COMPUTED_VALUE"""),"Scrap Ring")</f>
        <v>Scrap Ring</v>
      </c>
      <c r="B586" s="32" t="str">
        <f>IFERROR(__xludf.DUMMYFUNCTION("""COMPUTED_VALUE"""),"Quest Item () lvl:1, : + ++When you attack an enemy with a firearm, inflict Marked 3. +-Forged Paladin Class Only.")</f>
        <v>Quest Item () lvl:1, : + ++When you attack an enemy with a firearm, inflict Marked 3. +-Forged Paladin Class Only.</v>
      </c>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t="str">
        <f>IFERROR(__xludf.DUMMYFUNCTION("""COMPUTED_VALUE"""),"Scrap Gorget")</f>
        <v>Scrap Gorget</v>
      </c>
      <c r="B587" s="32" t="str">
        <f>IFERROR(__xludf.DUMMYFUNCTION("""COMPUTED_VALUE"""),"Quest Item () lvl:1, : + ++When being attacked with any form of firearm deal half damage back to the enemy that attacked you. +-Forged Paladin Class Only.")</f>
        <v>Quest Item () lvl:1, : + ++When being attacked with any form of firearm deal half damage back to the enemy that attacked you. +-Forged Paladin Class Only.</v>
      </c>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t="str">
        <f>IFERROR(__xludf.DUMMYFUNCTION("""COMPUTED_VALUE"""),"Minstrel's Cap")</f>
        <v>Minstrel's Cap</v>
      </c>
      <c r="B588" s="32" t="str">
        <f>IFERROR(__xludf.DUMMYFUNCTION("""COMPUTED_VALUE"""),"Quest Item () lvl:400, DEF: +20000 ++20,000 ACC and ATK. ++Upon reaching 5 stacks of Disoriented inflict Marked 3 on all enemies. +-Paladin of The Party and Bard Class only.")</f>
        <v>Quest Item () lvl:400, DEF: +20000 ++20,000 ACC and ATK. ++Upon reaching 5 stacks of Disoriented inflict Marked 3 on all enemies. +-Paladin of The Party and Bard Class only.</v>
      </c>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t="str">
        <f>IFERROR(__xludf.DUMMYFUNCTION("""COMPUTED_VALUE"""),"Minstrel's Cape")</f>
        <v>Minstrel's Cape</v>
      </c>
      <c r="B589" s="32" t="str">
        <f>IFERROR(__xludf.DUMMYFUNCTION("""COMPUTED_VALUE"""),"Quest Item () lvl:400, DEF: +20000 ++ 20,000 ACC and ATK. ++When casting any form of buffing spell, double the effects for the rest of the round. +-Paladin of The Party and Bard Class only.")</f>
        <v>Quest Item () lvl:400, DEF: +20000 ++ 20,000 ACC and ATK. ++When casting any form of buffing spell, double the effects for the rest of the round. +-Paladin of The Party and Bard Class only.</v>
      </c>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t="str">
        <f>IFERROR(__xludf.DUMMYFUNCTION("""COMPUTED_VALUE"""),"Minstrel's Doublet")</f>
        <v>Minstrel's Doublet</v>
      </c>
      <c r="B590" s="32" t="str">
        <f>IFERROR(__xludf.DUMMYFUNCTION("""COMPUTED_VALUE"""),"Quest Item () lvl:800, DEF: +40000 ++20,000 ACC and ATK. ++Upon surpassing 3 stacks of Disoriented you gain Invigorated until you drop below 3 stacks of Disoriented. +-Paladin of The Party and Bard Class only.")</f>
        <v>Quest Item () lvl:800, DEF: +40000 ++20,000 ACC and ATK. ++Upon surpassing 3 stacks of Disoriented you gain Invigorated until you drop below 3 stacks of Disoriented. +-Paladin of The Party and Bard Class only.</v>
      </c>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t="str">
        <f>IFERROR(__xludf.DUMMYFUNCTION("""COMPUTED_VALUE"""),"Minstrel's Cuffs")</f>
        <v>Minstrel's Cuffs</v>
      </c>
      <c r="B591" s="32" t="str">
        <f>IFERROR(__xludf.DUMMYFUNCTION("""COMPUTED_VALUE"""),"Quest Item () lvl:400, DEF: +20000 ++20,000 ACC and ATK. ++When using the entire Minstrel set you Double the DEF, ACC, and ATK of all allies. +-Paladin of The Party and Bard Class only.")</f>
        <v>Quest Item () lvl:400, DEF: +20000 ++20,000 ACC and ATK. ++When using the entire Minstrel set you Double the DEF, ACC, and ATK of all allies. +-Paladin of The Party and Bard Class only.</v>
      </c>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t="str">
        <f>IFERROR(__xludf.DUMMYFUNCTION("""COMPUTED_VALUE"""),"Heavenly Lute")</f>
        <v>Heavenly Lute</v>
      </c>
      <c r="B592" s="32" t="str">
        <f>IFERROR(__xludf.DUMMYFUNCTION("""COMPUTED_VALUE"""),"Quest Item (Instrument) lvl:900, DMG: +20000, Acoustic DMG: +25000 ++When attacking an enemy with this weapon gain 1 stack of Disoriented. ++May The Show Go On!: Expend all stacks of Disoriented dealing X*15000 Acoustic Damage for every stack of Disorient"&amp;"ed expended,100 sp. +-Paladin of The Party and Bard Class only.")</f>
        <v>Quest Item (Instrument) lvl:900, DMG: +20000, Acoustic DMG: +25000 ++When attacking an enemy with this weapon gain 1 stack of Disoriented. ++May The Show Go On!: Expend all stacks of Disoriented dealing X*15000 Acoustic Damage for every stack of Disoriented expended,100 sp. +-Paladin of The Party and Bard Class only.</v>
      </c>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t="str">
        <f>IFERROR(__xludf.DUMMYFUNCTION("""COMPUTED_VALUE"""),"Wine Stained Buckler With Portable Alcoholism")</f>
        <v>Wine Stained Buckler With Portable Alcoholism</v>
      </c>
      <c r="B593" s="32" t="str">
        <f>IFERROR(__xludf.DUMMYFUNCTION("""COMPUTED_VALUE"""),"Quest Item (Buckler) lvl:1500, DEF: +50000, Acoustic DEF: +25000 ++Free Wine for All!: When hitting an enemy with this Buckler inflict 3 stacks of Disoriented on that enemy. +-That all you got?: When hit by any attack take 2 stacks of Disoriented. +-Palad"&amp;"in of The Party and Bard Class only.")</f>
        <v>Quest Item (Buckler) lvl:1500, DEF: +50000, Acoustic DEF: +25000 ++Free Wine for All!: When hitting an enemy with this Buckler inflict 3 stacks of Disoriented on that enemy. +-That all you got?: When hit by any attack take 2 stacks of Disoriented. +-Paladin of The Party and Bard Class only.</v>
      </c>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t="str">
        <f>IFERROR(__xludf.DUMMYFUNCTION("""COMPUTED_VALUE"""),"Minstrel's Tights")</f>
        <v>Minstrel's Tights</v>
      </c>
      <c r="B594" s="32" t="str">
        <f>IFERROR(__xludf.DUMMYFUNCTION("""COMPUTED_VALUE"""),"Quest Item () lvl:400, DEF: +20000 ++20,000 ACC and ATK. ++X2 Acoustic Damage +-Paladin of The Party and Bard Class only.")</f>
        <v>Quest Item () lvl:400, DEF: +20000 ++20,000 ACC and ATK. ++X2 Acoustic Damage +-Paladin of The Party and Bard Class only.</v>
      </c>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t="str">
        <f>IFERROR(__xludf.DUMMYFUNCTION("""COMPUTED_VALUE"""),"Minstrel's Boots")</f>
        <v>Minstrel's Boots</v>
      </c>
      <c r="B595" s="32" t="str">
        <f>IFERROR(__xludf.DUMMYFUNCTION("""COMPUTED_VALUE"""),"Quest Item () lvl:400, DEF: +20000 ++20,000 ACC and ATK. ++Never Ending Dance of The Divine: Upon reaching 5 stacks of Disoriented inflict Haste 3 to all allies +-Paladin of The Party and Bard Class only.")</f>
        <v>Quest Item () lvl:400, DEF: +20000 ++20,000 ACC and ATK. ++Never Ending Dance of The Divine: Upon reaching 5 stacks of Disoriented inflict Haste 3 to all allies +-Paladin of The Party and Bard Class only.</v>
      </c>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t="str">
        <f>IFERROR(__xludf.DUMMYFUNCTION("""COMPUTED_VALUE"""),"Brass Ring of Blackout Drunkenness")</f>
        <v>Brass Ring of Blackout Drunkenness</v>
      </c>
      <c r="B596" s="32" t="str">
        <f>IFERROR(__xludf.DUMMYFUNCTION("""COMPUTED_VALUE"""),"Quest Item () lvl:1, : + ++Upon Reaching 10 stacks of Disoriented remove a random enemy from battle whilst also being removed from battle yourself. +-Paladin of The Party and Bard Class only.")</f>
        <v>Quest Item () lvl:1, : + ++Upon Reaching 10 stacks of Disoriented remove a random enemy from battle whilst also being removed from battle yourself. +-Paladin of The Party and Bard Class only.</v>
      </c>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t="str">
        <f>IFERROR(__xludf.DUMMYFUNCTION("""COMPUTED_VALUE"""),"Wreath of The Party's Fervor")</f>
        <v>Wreath of The Party's Fervor</v>
      </c>
      <c r="B597" s="32" t="str">
        <f>IFERROR(__xludf.DUMMYFUNCTION("""COMPUTED_VALUE"""),"Quest Item () lvl:1, : + ++When dealing Acoustic damage to any enemy there is a 5% chance for that enemy to be pacified for 3 rounds +-Paladin of The Party and Bard Class only.")</f>
        <v>Quest Item () lvl:1, : + ++When dealing Acoustic damage to any enemy there is a 5% chance for that enemy to be pacified for 3 rounds +-Paladin of The Party and Bard Class only.</v>
      </c>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t="str">
        <f>IFERROR(__xludf.DUMMYFUNCTION("""COMPUTED_VALUE"""),"Pauldrons of Tritonoch")</f>
        <v>Pauldrons of Tritonoch</v>
      </c>
      <c r="B598" s="32" t="str">
        <f>IFERROR(__xludf.DUMMYFUNCTION("""COMPUTED_VALUE""")," () lvl:800, DEF: +20000, Water DEF: +20000 ++Waves of Entitlement - x5 additional Water damage")</f>
        <v> () lvl:800, DEF: +20000, Water DEF: +20000 ++Waves of Entitlement - x5 additional Water damage</v>
      </c>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t="str">
        <f>IFERROR(__xludf.DUMMYFUNCTION("""COMPUTED_VALUE"""),"Chestplate of Tritonoch")</f>
        <v>Chestplate of Tritonoch</v>
      </c>
      <c r="B599" s="32" t="str">
        <f>IFERROR(__xludf.DUMMYFUNCTION("""COMPUTED_VALUE""")," () lvl:800, DEF: +20000, Water DEF: +20000 ++Waves of Entitlement - x5 additional Water damage")</f>
        <v> () lvl:800, DEF: +20000, Water DEF: +20000 ++Waves of Entitlement - x5 additional Water damage</v>
      </c>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t="str">
        <f>IFERROR(__xludf.DUMMYFUNCTION("""COMPUTED_VALUE"""),"Vambraces of Tritonoch")</f>
        <v>Vambraces of Tritonoch</v>
      </c>
      <c r="B600" s="32" t="str">
        <f>IFERROR(__xludf.DUMMYFUNCTION("""COMPUTED_VALUE""")," () lvl:800, DEF: +20000, Water DEF: +20000 ++Waves of Entitlement - x5 additional Water damage")</f>
        <v> () lvl:800, DEF: +20000, Water DEF: +20000 ++Waves of Entitlement - x5 additional Water damage</v>
      </c>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t="str">
        <f>IFERROR(__xludf.DUMMYFUNCTION("""COMPUTED_VALUE"""),"Trident of Tritonoch")</f>
        <v>Trident of Tritonoch</v>
      </c>
      <c r="B601" s="32" t="str">
        <f>IFERROR(__xludf.DUMMYFUNCTION("""COMPUTED_VALUE""")," (Spear) lvl:200, DMG: +20000, Water DMG: +20000, Celestial DMG: +20000 ++Waves of Entitlement II - x10 additional Water damage. 20% chance of Slowness 3 to the target. +-Cannot be duplicated")</f>
        <v> (Spear) lvl:200, DMG: +20000, Water DMG: +20000, Celestial DMG: +20000 ++Waves of Entitlement II - x10 additional Water damage. 20% chance of Slowness 3 to the target. +-Cannot be duplicated</v>
      </c>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t="str">
        <f>IFERROR(__xludf.DUMMYFUNCTION("""COMPUTED_VALUE"""),"Boots of Tritonoch")</f>
        <v>Boots of Tritonoch</v>
      </c>
      <c r="B602" s="32" t="str">
        <f>IFERROR(__xludf.DUMMYFUNCTION("""COMPUTED_VALUE""")," () lvl:800, DEF: +20000, Water DEF: +20000 ++Waves of Entitlement - x5 additional Water damage")</f>
        <v> () lvl:800, DEF: +20000, Water DEF: +20000 ++Waves of Entitlement - x5 additional Water damage</v>
      </c>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t="str">
        <f>IFERROR(__xludf.DUMMYFUNCTION("""COMPUTED_VALUE"""),"Steel Bandit Dagger")</f>
        <v>Steel Bandit Dagger</v>
      </c>
      <c r="B603" s="32" t="str">
        <f>IFERROR(__xludf.DUMMYFUNCTION("""COMPUTED_VALUE""")," (Knife) lvl:1000, DMG: +50000 ++10% chance to steal gilders upon hitting an enemy guilders stolen are equivalent to 1,000*d20")</f>
        <v> (Knife) lvl:1000, DMG: +50000 ++10% chance to steal gilders upon hitting an enemy guilders stolen are equivalent to 1,000*d20</v>
      </c>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t="str">
        <f>IFERROR(__xludf.DUMMYFUNCTION("""COMPUTED_VALUE"""),"Bandit Hide Helm")</f>
        <v>Bandit Hide Helm</v>
      </c>
      <c r="B604" s="32" t="str">
        <f>IFERROR(__xludf.DUMMYFUNCTION("""COMPUTED_VALUE""")," () lvl:1000, DEF: +50000")</f>
        <v> () lvl:1000, DEF: +50000</v>
      </c>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t="str">
        <f>IFERROR(__xludf.DUMMYFUNCTION("""COMPUTED_VALUE"""),"Bandit Hide Padding")</f>
        <v>Bandit Hide Padding</v>
      </c>
      <c r="B605" s="32" t="str">
        <f>IFERROR(__xludf.DUMMYFUNCTION("""COMPUTED_VALUE""")," () lvl:1000, DEF: +50000")</f>
        <v> () lvl:1000, DEF: +50000</v>
      </c>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t="str">
        <f>IFERROR(__xludf.DUMMYFUNCTION("""COMPUTED_VALUE"""),"Bandit Hide Chestplate")</f>
        <v>Bandit Hide Chestplate</v>
      </c>
      <c r="B606" s="32" t="str">
        <f>IFERROR(__xludf.DUMMYFUNCTION("""COMPUTED_VALUE""")," () lvl:1000, DEF: +50000 ++X2 damage with Knives")</f>
        <v> () lvl:1000, DEF: +50000 ++X2 damage with Knives</v>
      </c>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t="str">
        <f>IFERROR(__xludf.DUMMYFUNCTION("""COMPUTED_VALUE"""),"Bandit Hide Vambraces")</f>
        <v>Bandit Hide Vambraces</v>
      </c>
      <c r="B607" s="32" t="str">
        <f>IFERROR(__xludf.DUMMYFUNCTION("""COMPUTED_VALUE""")," () lvl:1000, DEF: +50000")</f>
        <v> () lvl:1000, DEF: +50000</v>
      </c>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t="str">
        <f>IFERROR(__xludf.DUMMYFUNCTION("""COMPUTED_VALUE"""),"Bandit Hide Greaves")</f>
        <v>Bandit Hide Greaves</v>
      </c>
      <c r="B608" s="32" t="str">
        <f>IFERROR(__xludf.DUMMYFUNCTION("""COMPUTED_VALUE""")," () lvl:1000, DEF: +50000")</f>
        <v> () lvl:1000, DEF: +50000</v>
      </c>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t="str">
        <f>IFERROR(__xludf.DUMMYFUNCTION("""COMPUTED_VALUE"""),"Bandit Hide Boots")</f>
        <v>Bandit Hide Boots</v>
      </c>
      <c r="B609" s="32" t="str">
        <f>IFERROR(__xludf.DUMMYFUNCTION("""COMPUTED_VALUE""")," () lvl:1000, DEF: +50000  ++5 to all confiscate, pickpocket, or take rolls")</f>
        <v> () lvl:1000, DEF: +50000  ++5 to all confiscate, pickpocket, or take rolls</v>
      </c>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t="str">
        <f>IFERROR(__xludf.DUMMYFUNCTION("""COMPUTED_VALUE"""),"Nunchucks")</f>
        <v>Nunchucks</v>
      </c>
      <c r="B610" s="32" t="str">
        <f>IFERROR(__xludf.DUMMYFUNCTION("""COMPUTED_VALUE""")," (Club) lvl:3000, DMG: +150000 ++10% chance to disarm your enemy when hitting them")</f>
        <v> (Club) lvl:3000, DMG: +150000 ++10% chance to disarm your enemy when hitting them</v>
      </c>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t="str">
        <f>IFERROR(__xludf.DUMMYFUNCTION("""COMPUTED_VALUE"""),"Shuriken (Enhanced)")</f>
        <v>Shuriken (Enhanced)</v>
      </c>
      <c r="B611" s="32" t="str">
        <f>IFERROR(__xludf.DUMMYFUNCTION("""COMPUTED_VALUE"""),"the tantamount Ninja weapon, requires a level of dexterity you probably don't possess (Boomerang) lvl:1500, DMG: +50000, Blood DMG: +25000 ++Returns when thrown, can throw up to 4 in one attack (roll 1d4 to determine)")</f>
        <v>the tantamount Ninja weapon, requires a level of dexterity you probably don't possess (Boomerang) lvl:1500, DMG: +50000, Blood DMG: +25000 ++Returns when thrown, can throw up to 4 in one attack (roll 1d4 to determine)</v>
      </c>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t="str">
        <f>IFERROR(__xludf.DUMMYFUNCTION("""COMPUTED_VALUE"""),"Poison Dart Gun")</f>
        <v>Poison Dart Gun</v>
      </c>
      <c r="B612" s="32" t="str">
        <f>IFERROR(__xludf.DUMMYFUNCTION("""COMPUTED_VALUE"""),"Poisoners first, and most trusty weapon. Nearly as old as the poison masters themselves these weapons have been part of the  (Firearm) lvl:2000, DMG: +75000, Voodoo DMG: +25000 ++Inflicts Poison 2500 for 2 rounds. ++Uses darts as ammo")</f>
        <v>Poisoners first, and most trusty weapon. Nearly as old as the poison masters themselves these weapons have been part of the  (Firearm) lvl:2000, DMG: +75000, Voodoo DMG: +25000 ++Inflicts Poison 2500 for 2 rounds. ++Uses darts as ammo</v>
      </c>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t="str">
        <f>IFERROR(__xludf.DUMMYFUNCTION("""COMPUTED_VALUE"""),"Poison Tipped Needle")</f>
        <v>Poison Tipped Needle</v>
      </c>
      <c r="B613" s="32" t="str">
        <f>IFERROR(__xludf.DUMMYFUNCTION("""COMPUTED_VALUE"""),"A needle dipped in master Wushang's thousand poisons or some other Wuxia novel esque bullshit (Knife) lvl:2000, DMG: +75000, Voodoo DMG: +25000 ++When rolling a Natural 19 or 20 deals X3 Damage. ++Inflicts Poison 100")</f>
        <v>A needle dipped in master Wushang's thousand poisons or some other Wuxia novel esque bullshit (Knife) lvl:2000, DMG: +75000, Voodoo DMG: +25000 ++When rolling a Natural 19 or 20 deals X3 Damage. ++Inflicts Poison 100</v>
      </c>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t="str">
        <f>IFERROR(__xludf.DUMMYFUNCTION("""COMPUTED_VALUE"""),"Katana (Enhanced)")</f>
        <v>Katana (Enhanced)</v>
      </c>
      <c r="B614" s="32" t="str">
        <f>IFERROR(__xludf.DUMMYFUNCTION("""COMPUTED_VALUE"""),"The sword of weebs and actual samurai alike, surprisingly yes, weebs do exist in Spira (Sword) lvl:2500, DMG: +125000 ++Triples the chance for the sword ability to activate, +-Cannot be Forged")</f>
        <v>The sword of weebs and actual samurai alike, surprisingly yes, weebs do exist in Spira (Sword) lvl:2500, DMG: +125000 ++Triples the chance for the sword ability to activate, +-Cannot be Forged</v>
      </c>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t="str">
        <f>IFERROR(__xludf.DUMMYFUNCTION("""COMPUTED_VALUE"""),"Ninja Initiate's Cowl")</f>
        <v>Ninja Initiate's Cowl</v>
      </c>
      <c r="B615" s="32" t="str">
        <f>IFERROR(__xludf.DUMMYFUNCTION("""COMPUTED_VALUE"""),"Armor given to newbie Ninja's who have yet to choose a master () lvl:2500, DEF: +125000 ++X2 damage with Knives")</f>
        <v>Armor given to newbie Ninja's who have yet to choose a master () lvl:2500, DEF: +125000 ++X2 damage with Knives</v>
      </c>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t="str">
        <f>IFERROR(__xludf.DUMMYFUNCTION("""COMPUTED_VALUE"""),"Ninja Initiate's Cape")</f>
        <v>Ninja Initiate's Cape</v>
      </c>
      <c r="B616" s="32" t="str">
        <f>IFERROR(__xludf.DUMMYFUNCTION("""COMPUTED_VALUE"""),"Armor given to newbie Ninja's who have yet to choose a master () lvl:2500, DEF: +125000 ++X2 damage with Knives")</f>
        <v>Armor given to newbie Ninja's who have yet to choose a master () lvl:2500, DEF: +125000 ++X2 damage with Knives</v>
      </c>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t="str">
        <f>IFERROR(__xludf.DUMMYFUNCTION("""COMPUTED_VALUE"""),"Ninja Initiate's Vest")</f>
        <v>Ninja Initiate's Vest</v>
      </c>
      <c r="B617" s="32" t="str">
        <f>IFERROR(__xludf.DUMMYFUNCTION("""COMPUTED_VALUE"""),"Armor given to newbie Ninja's who have yet to choose a master () lvl:2500, DEF: +125000 ++X2 damage with Knives")</f>
        <v>Armor given to newbie Ninja's who have yet to choose a master () lvl:2500, DEF: +125000 ++X2 damage with Knives</v>
      </c>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t="str">
        <f>IFERROR(__xludf.DUMMYFUNCTION("""COMPUTED_VALUE"""),"Ninja Initiate's Gloves")</f>
        <v>Ninja Initiate's Gloves</v>
      </c>
      <c r="B618" s="32" t="str">
        <f>IFERROR(__xludf.DUMMYFUNCTION("""COMPUTED_VALUE"""),"Armor given to newbie Ninja's who have yet to choose a master () lvl:2500, DEF: +125000 ++X2 damage with Knives")</f>
        <v>Armor given to newbie Ninja's who have yet to choose a master () lvl:2500, DEF: +125000 ++X2 damage with Knives</v>
      </c>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t="str">
        <f>IFERROR(__xludf.DUMMYFUNCTION("""COMPUTED_VALUE"""),"Ninja Initiate's Sarouel")</f>
        <v>Ninja Initiate's Sarouel</v>
      </c>
      <c r="B619" s="32" t="str">
        <f>IFERROR(__xludf.DUMMYFUNCTION("""COMPUTED_VALUE"""),"Armor given to newbie Ninja's who have yet to choose a master () lvl:2500, DEF: +125000 ++X2 damage with Knives")</f>
        <v>Armor given to newbie Ninja's who have yet to choose a master () lvl:2500, DEF: +125000 ++X2 damage with Knives</v>
      </c>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t="str">
        <f>IFERROR(__xludf.DUMMYFUNCTION("""COMPUTED_VALUE"""),"Ninja Initiate's Sandals")</f>
        <v>Ninja Initiate's Sandals</v>
      </c>
      <c r="B620" s="32" t="str">
        <f>IFERROR(__xludf.DUMMYFUNCTION("""COMPUTED_VALUE"""),"Armor given to newbie Ninja's who have yet to choose a master () lvl:2500, DEF: +125000 ++X2 damage with Knives")</f>
        <v>Armor given to newbie Ninja's who have yet to choose a master () lvl:2500, DEF: +125000 ++X2 damage with Knives</v>
      </c>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t="str">
        <f>IFERROR(__xludf.DUMMYFUNCTION("""COMPUTED_VALUE"""),"Sai")</f>
        <v>Sai</v>
      </c>
      <c r="B621" s="32" t="str">
        <f>IFERROR(__xludf.DUMMYFUNCTION("""COMPUTED_VALUE"""),"A weapon designed for redirecting an enemies blade and then striking for their vitals (Knife) lvl:2500, DEF: +125000 ++Defensive Fighting: This weapon uses it's DEF as damage for attacks made with the weapon. ++Dastardly Deflection: 25% chance to parry an"&amp;"y weapon attacks targeting the user.")</f>
        <v>A weapon designed for redirecting an enemies blade and then striking for their vitals (Knife) lvl:2500, DEF: +125000 ++Defensive Fighting: This weapon uses it's DEF as damage for attacks made with the weapon. ++Dastardly Deflection: 25% chance to parry any weapon attacks targeting the user.</v>
      </c>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t="str">
        <f>IFERROR(__xludf.DUMMYFUNCTION("""COMPUTED_VALUE"""),"Poison Master's Mask")</f>
        <v>Poison Master's Mask</v>
      </c>
      <c r="B622" s="32"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t="str">
        <f>IFERROR(__xludf.DUMMYFUNCTION("""COMPUTED_VALUE"""),"Poison Master's Cape")</f>
        <v>Poison Master's Cape</v>
      </c>
      <c r="B623" s="32"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t="str">
        <f>IFERROR(__xludf.DUMMYFUNCTION("""COMPUTED_VALUE"""),"Poison Master's Robe")</f>
        <v>Poison Master's Robe</v>
      </c>
      <c r="B624" s="32"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t="str">
        <f>IFERROR(__xludf.DUMMYFUNCTION("""COMPUTED_VALUE"""),"Poison Master's Heavy Duty Gloves")</f>
        <v>Poison Master's Heavy Duty Gloves</v>
      </c>
      <c r="B625" s="32" t="str">
        <f>IFERROR(__xludf.DUMMYFUNCTION("""COMPUTED_VALUE"""),"The Armor of the Poison masters. Completely covers the bodies of the Poison master which has decayed beyond recognition from their continued usage of poison. () lvl:2500, DEF: +125000 ++Poison Immunity")</f>
        <v>The Armor of the Poison masters. Completely covers the bodies of the Poison master which has decayed beyond recognition from their continued usage of poison. () lvl:2500, DEF: +125000 ++Poison Immunity</v>
      </c>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t="str">
        <f>IFERROR(__xludf.DUMMYFUNCTION("""COMPUTED_VALUE"""),"Poison Master's Sarouel")</f>
        <v>Poison Master's Sarouel</v>
      </c>
      <c r="B626" s="32"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t="str">
        <f>IFERROR(__xludf.DUMMYFUNCTION("""COMPUTED_VALUE"""),"Poison Master's Boots")</f>
        <v>Poison Master's Boots</v>
      </c>
      <c r="B627" s="32" t="str">
        <f>IFERROR(__xludf.DUMMYFUNCTION("""COMPUTED_VALUE"""),"The Armor of the Poison masters. Completely covers the bodies of the Poison master which has decayed beyond recognition from their continued usage of poison. () lvl:2500, DEF: +125000 ++When an enemy is Poisoned gain Haste 3")</f>
        <v>The Armor of the Poison masters. Completely covers the bodies of the Poison master which has decayed beyond recognition from their continued usage of poison. () lvl:2500, DEF: +125000 ++When an enemy is Poisoned gain Haste 3</v>
      </c>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t="str">
        <f>IFERROR(__xludf.DUMMYFUNCTION("""COMPUTED_VALUE"""),"Ambusher's Cowl")</f>
        <v>Ambusher's Cowl</v>
      </c>
      <c r="B628" s="32" t="str">
        <f>IFERROR(__xludf.DUMMYFUNCTION("""COMPUTED_VALUE"""),"The armor of intermediate ninja's who have decided to pursue the art of the ambush to the extreme () lvl:2500, DEF: +125000 ++Conceal is Guaranteed to cast if the last action you took was a weapon attack")</f>
        <v>The armor of intermediate ninja's who have decided to pursue the art of the ambush to the extreme () lvl:2500, DEF: +125000 ++Conceal is Guaranteed to cast if the last action you took was a weapon attack</v>
      </c>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t="str">
        <f>IFERROR(__xludf.DUMMYFUNCTION("""COMPUTED_VALUE"""),"Ambusher's Cape")</f>
        <v>Ambusher's Cape</v>
      </c>
      <c r="B629" s="32" t="str">
        <f>IFERROR(__xludf.DUMMYFUNCTION("""COMPUTED_VALUE"""),"The armor of intermediate ninja's who have decided to pursue the art of the ambush to the extreme () lvl:2500, DEF: +125000 ++Conceal: upon entering combat you are invulnerable for 1 round or until you attack")</f>
        <v>The armor of intermediate ninja's who have decided to pursue the art of the ambush to the extreme () lvl:2500, DEF: +125000 ++Conceal: upon entering combat you are invulnerable for 1 round or until you attack</v>
      </c>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t="str">
        <f>IFERROR(__xludf.DUMMYFUNCTION("""COMPUTED_VALUE"""),"Ambusher's Vest")</f>
        <v>Ambusher's Vest</v>
      </c>
      <c r="B630" s="32" t="str">
        <f>IFERROR(__xludf.DUMMYFUNCTION("""COMPUTED_VALUE"""),"The armor of intermediate ninja's who have decided to pursue the art of the ambush to the extreme () lvl:2500, DEF: +125000 ++When breaking concealment deal X2 damage")</f>
        <v>The armor of intermediate ninja's who have decided to pursue the art of the ambush to the extreme () lvl:2500, DEF: +125000 ++When breaking concealment deal X2 damage</v>
      </c>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t="str">
        <f>IFERROR(__xludf.DUMMYFUNCTION("""COMPUTED_VALUE"""),"Ambusher's Gloves")</f>
        <v>Ambusher's Gloves</v>
      </c>
      <c r="B631" s="32" t="str">
        <f>IFERROR(__xludf.DUMMYFUNCTION("""COMPUTED_VALUE"""),"The armor of intermediate ninja's who have decided to pursue the art of the ambush to the extreme () lvl:2500, DEF: +125000 ++X2 damage with knives, ++Knife ability is 3 times as likely to activate. +-Cannot be forged +-Cannot be duplicated")</f>
        <v>The armor of intermediate ninja's who have decided to pursue the art of the ambush to the extreme () lvl:2500, DEF: +125000 ++X2 damage with knives, ++Knife ability is 3 times as likely to activate. +-Cannot be forged +-Cannot be duplicated</v>
      </c>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t="str">
        <f>IFERROR(__xludf.DUMMYFUNCTION("""COMPUTED_VALUE"""),"Ambusher's Sarouel")</f>
        <v>Ambusher's Sarouel</v>
      </c>
      <c r="B632" s="32" t="str">
        <f>IFERROR(__xludf.DUMMYFUNCTION("""COMPUTED_VALUE"""),"The armor of intermediate ninja's who have decided to pursue the art of the ambush to the extreme () lvl:2500, DEF: +125000 ++X2 damage with knives")</f>
        <v>The armor of intermediate ninja's who have decided to pursue the art of the ambush to the extreme () lvl:2500, DEF: +125000 ++X2 damage with knives</v>
      </c>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t="str">
        <f>IFERROR(__xludf.DUMMYFUNCTION("""COMPUTED_VALUE"""),"Ambusher's Sandals")</f>
        <v>Ambusher's Sandals</v>
      </c>
      <c r="B633" s="32" t="str">
        <f>IFERROR(__xludf.DUMMYFUNCTION("""COMPUTED_VALUE"""),"The armor of intermediate ninja's who have decided to pursue the art of the ambush to the extreme () lvl:2500, DEF: +125000 ++When breaking concealment gain invigorate 5")</f>
        <v>The armor of intermediate ninja's who have decided to pursue the art of the ambush to the extreme () lvl:2500, DEF: +125000 ++When breaking concealment gain invigorate 5</v>
      </c>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t="str">
        <f>IFERROR(__xludf.DUMMYFUNCTION("""COMPUTED_VALUE"""),"Blade of Ancestral Blood")</f>
        <v>Blade of Ancestral Blood</v>
      </c>
      <c r="B634" s="3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 (Knife) lvl:200, DMG: +50000, Chaos DMG: +50000, Voodoo DMG: +50000, Blood DMG: +100000, Celestial DMG: +50000 (Knife) ++The Cursed Knife Forged in Blood: X4 blood da"&amp;"mage. ++The Blood of the Backstabbed: When hitting an enemy from concealment you gain a further X4 blood damage for the rest of battle and Invigorated 3. ++Repentance: Stab yourself and use your blood to attack you enemy dealing 100000 blood damage and 10"&amp;"00 bleed on hit 5000 hp +-Cannot be Duplicated")</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 (Knife) lvl:200, 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t="str">
        <f>IFERROR(__xludf.DUMMYFUNCTION("""COMPUTED_VALUE"""),"Lunaris, Sword of The Moon")</f>
        <v>Lunaris, Sword of The Moon</v>
      </c>
      <c r="B635" s="3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 (Sword) lvl:200, DEF: +200000, Light DEF: +100000, Astral DEF: +200000, Celestial DEF: +100000 (Sword) ++Th"&amp;"e Blade Blessed By The Stars Above: X6 Astral Damage and this blade uses it's defense as damage. ++To Protect Those You Love: When fighting with at least 2 allies deal X6 further damage with this weapon. ++Forgiveness: Raise your sword into the sky drowni"&amp;"ng the battlefield in the light of the moon no matter what time it is or where you are. This moonlight protects you and your allies granting you all X2 Defense and Nullifies all Dark and Chaos spells cast on the battlefield regardless of who casts them. +"&amp;"-Cannot be Duplicated")</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 (Sword) lvl:200, 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t="str">
        <f>IFERROR(__xludf.DUMMYFUNCTION("""COMPUTED_VALUE"""),"Master Inugima's Cowl")</f>
        <v>Master Inugima's Cowl</v>
      </c>
      <c r="B636" s="32" t="str">
        <f>IFERROR(__xludf.DUMMYFUNCTION("""COMPUTED_VALUE"""),"Mob Exclusive () lvl:1, : +")</f>
        <v>Mob Exclusive () lvl:1, : +</v>
      </c>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t="str">
        <f>IFERROR(__xludf.DUMMYFUNCTION("""COMPUTED_VALUE"""),"Master Inugima's Cape")</f>
        <v>Master Inugima's Cape</v>
      </c>
      <c r="B637" s="32" t="str">
        <f>IFERROR(__xludf.DUMMYFUNCTION("""COMPUTED_VALUE"""),"Mob Exclusive () lvl:1, : +")</f>
        <v>Mob Exclusive () lvl:1, : +</v>
      </c>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t="str">
        <f>IFERROR(__xludf.DUMMYFUNCTION("""COMPUTED_VALUE"""),"Master Inugima's Cloak")</f>
        <v>Master Inugima's Cloak</v>
      </c>
      <c r="B638" s="32" t="str">
        <f>IFERROR(__xludf.DUMMYFUNCTION("""COMPUTED_VALUE"""),"Mob Exclusive () lvl:1, : +")</f>
        <v>Mob Exclusive () lvl:1, : +</v>
      </c>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t="str">
        <f>IFERROR(__xludf.DUMMYFUNCTION("""COMPUTED_VALUE"""),"Master Inugima's Gloves")</f>
        <v>Master Inugima's Gloves</v>
      </c>
      <c r="B639" s="32" t="str">
        <f>IFERROR(__xludf.DUMMYFUNCTION("""COMPUTED_VALUE"""),"Mob Exclusive () lvl:1, : +")</f>
        <v>Mob Exclusive () lvl:1, : +</v>
      </c>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t="str">
        <f>IFERROR(__xludf.DUMMYFUNCTION("""COMPUTED_VALUE"""),"Master Inugima's Sarouel")</f>
        <v>Master Inugima's Sarouel</v>
      </c>
      <c r="B640" s="32" t="str">
        <f>IFERROR(__xludf.DUMMYFUNCTION("""COMPUTED_VALUE"""),"Mob Exclusive () lvl:1, : +")</f>
        <v>Mob Exclusive () lvl:1, : +</v>
      </c>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t="str">
        <f>IFERROR(__xludf.DUMMYFUNCTION("""COMPUTED_VALUE"""),"Master Inugima's Boots")</f>
        <v>Master Inugima's Boots</v>
      </c>
      <c r="B641" s="32" t="str">
        <f>IFERROR(__xludf.DUMMYFUNCTION("""COMPUTED_VALUE"""),"Mob Exclusive () lvl:1, : +")</f>
        <v>Mob Exclusive () lvl:1, : +</v>
      </c>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t="str">
        <f>IFERROR(__xludf.DUMMYFUNCTION("""COMPUTED_VALUE"""),"Master Inugima's Ring")</f>
        <v>Master Inugima's Ring</v>
      </c>
      <c r="B642" s="32" t="str">
        <f>IFERROR(__xludf.DUMMYFUNCTION("""COMPUTED_VALUE"""),"Mob Exclusive () lvl:1, : + ++Grants Immunity being unable to act from any sources including sleep, stun, frozen, etc. +-Can only be equipped by Master Inugima Equipping this ring will devour the soul of he who equips it killing them permanently")</f>
        <v>Mob Exclusive () lvl:1, : + ++Grants Immunity being unable to act from any sources including sleep, stun, frozen, etc. +-Can only be equipped by Master Inugima Equipping this ring will devour the soul of he who equips it killing them permanently</v>
      </c>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t="str">
        <f>IFERROR(__xludf.DUMMYFUNCTION("""COMPUTED_VALUE"""),"Master Inugima's Pendant")</f>
        <v>Master Inugima's Pendant</v>
      </c>
      <c r="B643" s="32" t="str">
        <f>IFERROR(__xludf.DUMMYFUNCTION("""COMPUTED_VALUE"""),"Mob Exclusive () lvl:1, : +")</f>
        <v>Mob Exclusive () lvl:1, : +</v>
      </c>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t="str">
        <f>IFERROR(__xludf.DUMMYFUNCTION("""COMPUTED_VALUE"""),"Amulet of Giving")</f>
        <v>Amulet of Giving</v>
      </c>
      <c r="B644" s="32" t="str">
        <f>IFERROR(__xludf.DUMMYFUNCTION("""COMPUTED_VALUE"""),"Thanksgiving Event Item () lvl:1, : + ++Allows you to give up your next turn turn to give a party member a second turn. +-one use per battle +-Cannot be duplicated.")</f>
        <v>Thanksgiving Event Item () lvl:1, : + ++Allows you to give up your next turn turn to give a party member a second turn. +-one use per battle +-Cannot be duplicated.</v>
      </c>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t="str">
        <f>IFERROR(__xludf.DUMMYFUNCTION("""COMPUTED_VALUE"""),"Pilgrim's Hat")</f>
        <v>Pilgrim's Hat</v>
      </c>
      <c r="B645" s="32" t="str">
        <f>IFERROR(__xludf.DUMMYFUNCTION("""COMPUTED_VALUE"""),"Thanksgiving Event Item () lvl:1, DEF: + ++Double the hunger, thirst, and energy you receive when consuming a consumable. +-Cannot be duplicated.")</f>
        <v>Thanksgiving Event Item () lvl:1, DEF: + ++Double the hunger, thirst, and energy you receive when consuming a consumable. +-Cannot be duplicated.</v>
      </c>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t="str">
        <f>IFERROR(__xludf.DUMMYFUNCTION("""COMPUTED_VALUE"""),"Dragon Flute")</f>
        <v>Dragon Flute</v>
      </c>
      <c r="B646" s="32" t="str">
        <f>IFERROR(__xludf.DUMMYFUNCTION("""COMPUTED_VALUE"""),"A flute carved from dragon bone that exudes an enchanting aura when played. It is said that this flute was given as a gift to the dragonoids to signal peace between them and the dragons. (Instrument) lvl:100, DMG: +, Acoustic DMG: +5000 ++Summons 1 of the"&amp;" following dragons with a d4 roll: Fire Dragon, Poison Dragon, Storm Dragon, Ancient Water Dragon, Level determined by dm/gm. +-one use per battle")</f>
        <v>A flute carved from dragon bone that exudes an enchanting aura when played. It is said that this flute was given as a gift to the dragonoids to signal peace between them and the dragons. (Instrument) lvl:100, DMG: +, Acoustic DMG: +5000 ++Summons 1 of the following dragons with a d4 roll: Fire Dragon, Poison Dragon, Storm Dragon, Ancient Water Dragon, Level determined by dm/gm. +-one use per battle</v>
      </c>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t="str">
        <f>IFERROR(__xludf.DUMMYFUNCTION("""COMPUTED_VALUE"""),"Harbingers' Helm of the Unrestrained (Spira)")</f>
        <v>Harbingers' Helm of the Unrestrained (Spira)</v>
      </c>
      <c r="B647" s="3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 () lvl:200, DE"&amp;"F: +50000, Fire DEF: +10000, Water DEF: +10000, Storm DEF: +10000, Earth DEF: +10000, Light DEF: +10000, Dark DEF: +10000, Spirit DEF: +10000, Order DEF: +10000, Chaos DEF: +10000, Nature DEF: +10000, Voodoo DEF: +10000, Blood DEF: +10000, Zen DEF: +10000"&amp;", Astral DEF: +10000, Celestial DEF: +10000 ++Unbroken will - You become immune to all effects that would prevent you from taking your turn.")</f>
        <v>The helmet is made of a dark steel which invades the weares mind, originally takes the appearance of a hood but becomes covers more of the wearers face and becomes more bestial looking as the wearer gives in to their insanity more and more. () lvl:200, 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t="str">
        <f>IFERROR(__xludf.DUMMYFUNCTION("""COMPUTED_VALUE"""),"Harbingers' Shifting Pauldrons (Spira)")</f>
        <v>Harbingers' Shifting Pauldrons (Spira)</v>
      </c>
      <c r="B648" s="3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 () lvl:200, DEF: +50000, Fire DEF: +10000, Water DEF: +10000, Storm DEF: +10000, Earth DEF: +10000, Light DEF: +10000, Dark DEF: +10000, Spirit DEF: +10000, Order DE"&amp;"F: +10000, Chaos DEF: +10000, Nature DEF: +10000, Voodoo DEF: +10000, Blood DEF: +10000, Zen DEF: +10000, Astral DEF: +10000, Celestial DEF: +10000 ++Adrenaline - Upon being hit with any attack gain 1 stack of Insanity.")</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 () lvl:200, 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t="str">
        <f>IFERROR(__xludf.DUMMYFUNCTION("""COMPUTED_VALUE"""),"Harbingers' Emblazoned Chest of The Encroaching Void (Spira)")</f>
        <v>Harbingers' Emblazoned Chest of The Encroaching Void (Spira)</v>
      </c>
      <c r="B649" s="3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 () lvl:200,"&amp;" DEF: +50000, Fire DEF: +10000, Water DEF: +10000, Storm DEF: +10000, Earth DEF: +10000, Light DEF: +10000, Dark DEF: +10000, Spirit DEF: +10000, Order DEF: +10000, Chaos DEF: +10000, Nature DEF: +10000, Voodoo DEF: +10000, Blood DEF: +10000, Zen DEF: +10"&amp;"000, Astral DEF: +10000, Celestial DEF: +10000 ++Bloodlust - Upon targeting any enemy with an attack gain 2 stacks of insanity")</f>
        <v>The Harbinger's armor is made of a dark steel which drives its wearer progressively further whilst in combat. The armor takes the rage of its wearer and multiplies it tenfold whilst breaking off the subconscious limiters on a wearers strength. () lvl:200, 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t="str">
        <f>IFERROR(__xludf.DUMMYFUNCTION("""COMPUTED_VALUE"""),"Harbingers' Broken Fettering (Spira)")</f>
        <v>Harbingers' Broken Fettering (Spira)</v>
      </c>
      <c r="B650" s="32" t="str">
        <f>IFERROR(__xludf.DUMMYFUNCTION("""COMPUTED_VALUE"""),"Some have witnessed how the wearers of this mythical armor seem completely unreactive to the pain and it is speculated that the armor itself temporarily cuts off all feelings of pain to keep the wearer fighting. () lvl:200, DEF: +50000, Fire DEF: +10000, "&amp;"Water DEF: +10000, Storm DEF: +10000, Earth DEF: +10000, Light DEF: +10000, Dark DEF: +10000, Spirit DEF: +10000, Order DEF: +10000, Chaos DEF: +10000, Nature DEF: +10000, Voodoo DEF: +10000, Blood DEF: +10000, Zen DEF: +10000, Astral DEF: +10000, Celesti"&amp;"al DEF: +10000 ++To Break From Your Shackles - You lash out cleaving your way through reality creating a small distortion dealing 500,000 delta damage to all enemies and allies and inflict Shuttering 5, requiring everyone to roll a fail or succeed roll to"&amp;" bind themselves to this plane or have a party member who succeeded use an action to help them, or if they fail 5 times they will be lost to the void forever, consumes 10 stacks of insanity to cast (Permadeath)(considered an instant death effect for purpo"&amp;"ses of immunity)")</f>
        <v>Some have witnessed how the wearers of this mythical armor seem completely unreactive to the pain and it is speculated that the armor itself temporarily cuts off all feelings of pain to keep the wearer fighting. () lvl:200, 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t="str">
        <f>IFERROR(__xludf.DUMMYFUNCTION("""COMPUTED_VALUE"""),"Harbingers' Ethereal Chausses (Spira)")</f>
        <v>Harbingers' Ethereal Chausses (Spira)</v>
      </c>
      <c r="B651" s="32" t="str">
        <f>IFERROR(__xludf.DUMMYFUNCTION("""COMPUTED_VALUE"""),"Even with broken bones the armor will not allow the wearer to stop fighting, spikes will form from the armor piercing into the damaged limbs and letting the wearer continue controller these destroyed limbs via the armor itself. () lvl:200, DEF: +50000, Fi"&amp;"re DEF: +10000, Water DEF: +10000, Storm DEF: +10000, Earth DEF: +10000, Light DEF: +10000, Dark DEF: +10000, Spirit DEF: +10000, Order DEF: +10000, Chaos DEF: +10000, Nature DEF: +10000, Voodoo DEF: +10000, Blood DEF: +10000, Zen DEF: +10000, Astral DEF:"&amp;" +10000, Celestial DEF: +10000 ++Voidal Instinct - 50% chance to avoid all delta attacks and instant death effects
++To the Last Drop of Blood - Grants immunity to slowness.")</f>
        <v>Even with broken bones the armor will not allow the wearer to stop fighting, spikes will form from the armor piercing into the damaged limbs and letting the wearer continue controller these destroyed limbs via the armor itself. () lvl:200, 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t="str">
        <f>IFERROR(__xludf.DUMMYFUNCTION("""COMPUTED_VALUE"""),"Harbingers' Spiked Sabatons (Spira)")</f>
        <v>Harbingers' Spiked Sabatons (Spira)</v>
      </c>
      <c r="B652" s="32" t="str">
        <f>IFERROR(__xludf.DUMMYFUNCTION("""COMPUTED_VALUE""")," () lvl:200, DEF: +50000, Fire DEF: +10000, Water DEF: +10000, Storm DEF: +10000, Earth DEF: +10000, Light DEF: +10000, Dark DEF: +10000, Spirit DEF: +10000, Order DEF: +10000, Chaos DEF: +10000, Nature DEF: +10000, Voodoo DEF: +10000, Blood DEF: +10000, "&amp;"Zen DEF: +10000, Astral DEF: +10000, Celestial DEF: +10000 ++Leg Sweep - Strike at an opponent's legs making a hit or miss attack (adding mobility) on hit you knock the opponent to the ground inflicting them with slowness 3")</f>
        <v> () lvl:200, 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t="str">
        <f>IFERROR(__xludf.DUMMYFUNCTION("""COMPUTED_VALUE"""),"Harbingers' Vow (Spira)")</f>
        <v>Harbingers' Vow (Spira)</v>
      </c>
      <c r="B653" s="32" t="str">
        <f>IFERROR(__xludf.DUMMYFUNCTION("""COMPUTED_VALUE""")," () lvl:1, : + ++Pervading Madness - at the start of each of your turns flip a coin with heads being 1 and tails being 2 or roll a d2, gain that many stacks of insanity")</f>
        <v> () lvl:1, : + ++Pervading Madness - at the start of each of your turns flip a coin with heads being 1 and tails being 2 or roll a d2, gain that many stacks of insanity</v>
      </c>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t="str">
        <f>IFERROR(__xludf.DUMMYFUNCTION("""COMPUTED_VALUE"""),"Harbingers' Resolve (Spira)")</f>
        <v>Harbingers' Resolve (Spira)</v>
      </c>
      <c r="B654" s="32" t="str">
        <f>IFERROR(__xludf.DUMMYFUNCTION("""COMPUTED_VALUE""")," () lvl:1, : + ++To the Death! - Upon taking lethal damage resist it with 1 hp and gain 10 stacks of insanity (once per battle)")</f>
        <v> () lvl:1, : + ++To the Death! - Upon taking lethal damage resist it with 1 hp and gain 10 stacks of insanity (once per battle)</v>
      </c>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t="str">
        <f>IFERROR(__xludf.DUMMYFUNCTION("""COMPUTED_VALUE"""),"Harbingers' Fist of Iron (Spira)")</f>
        <v>Harbingers' Fist of Iron (Spira)</v>
      </c>
      <c r="B655" s="32" t="str">
        <f>IFERROR(__xludf.DUMMYFUNCTION("""COMPUTED_VALUE""")," (Gauntlet) lvl:200, DEF: +50000, Celestial DEF: +50000 ++One fist of Iron -  When attacking with this weapon you can choose to attack with the Harbingers' Claw of Steel in the same action. ++Throat Grab - make a hit or miss attack to prevent an enemy fro"&amp;"m acting on their turn as long as they remain grappled. To break free from the grapple the enemy must roll evasion to attempt to break free from your grasp at the end of each of your turns. ++20% chance to remove enemy from battle")</f>
        <v> (Gauntlet) lvl:200, 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t="str">
        <f>IFERROR(__xludf.DUMMYFUNCTION("""COMPUTED_VALUE"""),"Harbingers' Claw of Steel (Spira)")</f>
        <v>Harbingers' Claw of Steel (Spira)</v>
      </c>
      <c r="B656" s="32" t="str">
        <f>IFERROR(__xludf.DUMMYFUNCTION("""COMPUTED_VALUE""")," (Claw) lvl:200, DMG: +50000, Delta DMG: +25000, Celestial DMG: +25000 ++And Another of Steel - When attacking with this weapon you can choose to attack with the Harbingers' Fist of Iron in the same action. ++Elemental Rend - inflicts 1000 damage per roun"&amp;"d of each element (Excluding Acoustic, Zen, Time, Physical, Melee, and Ranged) when attacking an enemy ++Maddening Blows - targeting an enemy with this weapon inflicts you with 1 stack of insanity")</f>
        <v> (Claw) lvl:200, 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t="str">
        <f>IFERROR(__xludf.DUMMYFUNCTION("""COMPUTED_VALUE"""),"Eagles Claw")</f>
        <v>Eagles Claw</v>
      </c>
      <c r="B657" s="32" t="str">
        <f>IFERROR(__xludf.DUMMYFUNCTION("""COMPUTED_VALUE""")," (Claw) lvl:200, DMG: +10000 ++Eagles Removal - 20% Chance to remove the target from battle. ")</f>
        <v> (Claw) lvl:200, DMG: +10000 ++Eagles Removal - 20% Chance to remove the target from battle. </v>
      </c>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t="str">
        <f>IFERROR(__xludf.DUMMYFUNCTION("""COMPUTED_VALUE"""),"Golden Gauntlet")</f>
        <v>Golden Gauntlet</v>
      </c>
      <c r="B658" s="32" t="str">
        <f>IFERROR(__xludf.DUMMYFUNCTION("""COMPUTED_VALUE""")," (Gauntlet) lvl:200, DMG: +5000, Light DMG: +2500, Order DMG: +2500")</f>
        <v> (Gauntlet) lvl:200, DMG: +5000, Light DMG: +2500, Order DMG: +2500</v>
      </c>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t="str">
        <f>IFERROR(__xludf.DUMMYFUNCTION("""COMPUTED_VALUE"""),"Hand Crossbow")</f>
        <v>Hand Crossbow</v>
      </c>
      <c r="B659" s="32" t="str">
        <f>IFERROR(__xludf.DUMMYFUNCTION("""COMPUTED_VALUE""")," (Bow) lvl:200, DMG: +10000")</f>
        <v> (Bow) lvl:200, DMG: +10000</v>
      </c>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t="str">
        <f>IFERROR(__xludf.DUMMYFUNCTION("""COMPUTED_VALUE"""),"Flintlock Pistol")</f>
        <v>Flintlock Pistol</v>
      </c>
      <c r="B660" s="32" t="str">
        <f>IFERROR(__xludf.DUMMYFUNCTION("""COMPUTED_VALUE""")," (Firearm) lvl:200, DMG: +10000")</f>
        <v> (Firearm) lvl:200, DMG: +10000</v>
      </c>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t="str">
        <f>IFERROR(__xludf.DUMMYFUNCTION("""COMPUTED_VALUE"""),"Head of Gévaudan")</f>
        <v>Head of Gévaudan</v>
      </c>
      <c r="B661" s="32" t="str">
        <f>IFERROR(__xludf.DUMMYFUNCTION("""COMPUTED_VALUE""")," () lvl:200, DEF: +10000 ++ +5 to intimidation, ++Soul Shake: Allows to cast ""Shaken Soul""")</f>
        <v> () lvl:200, DEF: +10000 ++ +5 to intimidation, ++Soul Shake: Allows to cast "Shaken Soul"</v>
      </c>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t="str">
        <f>IFERROR(__xludf.DUMMYFUNCTION("""COMPUTED_VALUE"""),"Phantasmal Scythe")</f>
        <v>Phantasmal Scythe</v>
      </c>
      <c r="B662" s="32" t="str">
        <f>IFERROR(__xludf.DUMMYFUNCTION("""COMPUTED_VALUE""")," (Scythe) lvl:1000, DMG: +, Spirit DMG: +50000")</f>
        <v> (Scythe) lvl:1000, DMG: +, Spirit DMG: +50000</v>
      </c>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t="str">
        <f>IFERROR(__xludf.DUMMYFUNCTION("""COMPUTED_VALUE"""),"Piranha Tooth Dagger")</f>
        <v>Piranha Tooth Dagger</v>
      </c>
      <c r="B663" s="32" t="str">
        <f>IFERROR(__xludf.DUMMYFUNCTION("""COMPUTED_VALUE""")," (Knife) lvl:10, DMG: +500 ++Increases damage by X2 for every time you hit an enemy with this weapon during a single battle (Goes back to normal damage after battle)")</f>
        <v> (Knife) lvl:10, DMG: +500 ++Increases damage by X2 for every time you hit an enemy with this weapon during a single battle (Goes back to normal damage after battle)</v>
      </c>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t="str">
        <f>IFERROR(__xludf.DUMMYFUNCTION("""COMPUTED_VALUE"""),"Rhino Horn Spear")</f>
        <v>Rhino Horn Spear</v>
      </c>
      <c r="B664" s="32" t="str">
        <f>IFERROR(__xludf.DUMMYFUNCTION("""COMPUTED_VALUE""")," (Spear) lvl:200, DMG: +10000 ++Charge - The first attack made with this weapon deals X2 damage")</f>
        <v> (Spear) lvl:200, DMG: +10000 ++Charge - The first attack made with this weapon deals X2 damage</v>
      </c>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t="str">
        <f>IFERROR(__xludf.DUMMYFUNCTION("""COMPUTED_VALUE"""),"Rock Axe")</f>
        <v>Rock Axe</v>
      </c>
      <c r="B665" s="32" t="str">
        <f>IFERROR(__xludf.DUMMYFUNCTION("""COMPUTED_VALUE""")," (Axe) lvl:40, DMG: +1000, Earth DMG: +1000")</f>
        <v> (Axe) lvl:40, DMG: +1000, Earth DMG: +1000</v>
      </c>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t="str">
        <f>IFERROR(__xludf.DUMMYFUNCTION("""COMPUTED_VALUE"""),"Saber Tooth")</f>
        <v>Saber Tooth</v>
      </c>
      <c r="B666" s="32" t="str">
        <f>IFERROR(__xludf.DUMMYFUNCTION("""COMPUTED_VALUE""")," (Knife) lvl:200, DMG: +10000")</f>
        <v> (Knife) lvl:200, DMG: +10000</v>
      </c>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t="str">
        <f>IFERROR(__xludf.DUMMYFUNCTION("""COMPUTED_VALUE"""),"Worm Tooth Chainsaw")</f>
        <v>Worm Tooth Chainsaw</v>
      </c>
      <c r="B667" s="32" t="str">
        <f>IFERROR(__xludf.DUMMYFUNCTION("""COMPUTED_VALUE""")," (Axe) lvl:1200, DMG: +50000, Blood DMG: +10000 ++Spinning Chain - Make a hit or miss attack (Adding Mobility) on hit set an enemies defense to 0 for 1 round 500 sp")</f>
        <v> (Axe) lvl:1200, DMG: +50000, Blood DMG: +10000 ++Spinning Chain - Make a hit or miss attack (Adding Mobility) on hit set an enemies defense to 0 for 1 round 500 sp</v>
      </c>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t="str">
        <f>IFERROR(__xludf.DUMMYFUNCTION("""COMPUTED_VALUE"""),"Shark Tooth Greatclub")</f>
        <v>Shark Tooth Greatclub</v>
      </c>
      <c r="B668" s="32" t="str">
        <f>IFERROR(__xludf.DUMMYFUNCTION("""COMPUTED_VALUE""")," (Club) lvl:500, DMG: +25000 ++Abrasive Blow - hitting an enemy with this weapon causes them to be Injured graveky inflicting them with slowness until healed by any means.")</f>
        <v> (Club) lvl:500, DMG: +25000 ++Abrasive Blow - hitting an enemy with this weapon causes them to be Injured graveky inflicting them with slowness until healed by any means.</v>
      </c>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t="str">
        <f>IFERROR(__xludf.DUMMYFUNCTION("""COMPUTED_VALUE"""),"Sticky Slime Guantlets")</f>
        <v>Sticky Slime Guantlets</v>
      </c>
      <c r="B669" s="32" t="str">
        <f>IFERROR(__xludf.DUMMYFUNCTION("""COMPUTED_VALUE""")," (Gauntlet) lvl:400, DEF: +20000 ++Slimey Grasp - When these gloves are equipped the natural power ""take"" Is guaranteed to succeed.")</f>
        <v> (Gauntlet) lvl:400, DEF: +20000 ++Slimey Grasp - When these gloves are equipped the natural power "take" Is guaranteed to succeed.</v>
      </c>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t="str">
        <f>IFERROR(__xludf.DUMMYFUNCTION("""COMPUTED_VALUE"""),"Draconic Scythe")</f>
        <v>Draconic Scythe</v>
      </c>
      <c r="B670" s="32" t="str">
        <f>IFERROR(__xludf.DUMMYFUNCTION("""COMPUTED_VALUE""")," (Scythe) lvl:2000, DMG: +, Spirit DMG: +100000 ++Draconic Soul - When Fighting alongside any draconic allies (including Dragon companions or Dragonians) or if the wielder itself is draconic this weapon deals an additional X5 damage")</f>
        <v> (Scythe) lvl:2000, DMG: +, Spirit DMG: +100000 ++Draconic Soul - When Fighting alongside any draconic allies (including Dragon companions or Dragonians) or if the wielder itself is draconic this weapon deals an additional X5 damage</v>
      </c>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t="str">
        <f>IFERROR(__xludf.DUMMYFUNCTION("""COMPUTED_VALUE"""),"Elemental Scythe")</f>
        <v>Elemental Scythe</v>
      </c>
      <c r="B671" s="32" t="str">
        <f>IFERROR(__xludf.DUMMYFUNCTION("""COMPUTED_VALUE""")," (Scythe) lvl:2000, DMG: +, Fire DMG: +20000, Physical DMG: +20000, Water DMG: +20000, Storm DMG: +20000, Earth DMG: +20000 ++This scythe is unnaffected by Immunities to fire, earth, nature, water, or storm.")</f>
        <v> (Scythe) lvl:2000, DMG: +, Fire DMG: +20000, Physical DMG: +20000, Water DMG: +20000, Storm DMG: +20000, Earth DMG: +20000 ++This scythe is unnaffected by Immunities to fire, earth, nature, water, or storm.</v>
      </c>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t="str">
        <f>IFERROR(__xludf.DUMMYFUNCTION("""COMPUTED_VALUE"""),"Staff of the Elemental King of Water")</f>
        <v>Staff of the Elemental King of Water</v>
      </c>
      <c r="B672" s="32" t="str">
        <f>IFERROR(__xludf.DUMMYFUNCTION("""COMPUTED_VALUE""")," (Staff) lvl:1000, DMG: +, Water DMG: +50000 ++Summoned Water Elementals deal 5X water damage")</f>
        <v> (Staff) lvl:1000, DMG: +, Water DMG: +50000 ++Summoned Water Elementals deal 5X water damage</v>
      </c>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t="str">
        <f>IFERROR(__xludf.DUMMYFUNCTION("""COMPUTED_VALUE"""),"Bashe's Tail")</f>
        <v>Bashe's Tail</v>
      </c>
      <c r="B673" s="32" t="str">
        <f>IFERROR(__xludf.DUMMYFUNCTION("""COMPUTED_VALUE""")," () lvl:800, DEF: +40000 ++Smash - Allows you to attack with the tail as if it were a club weapon")</f>
        <v> () lvl:800, DEF: +40000 ++Smash - Allows you to attack with the tail as if it were a club weapon</v>
      </c>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t="str">
        <f>IFERROR(__xludf.DUMMYFUNCTION("""COMPUTED_VALUE"""),"Bashe's Flute")</f>
        <v>Bashe's Flute</v>
      </c>
      <c r="B674" s="32" t="str">
        <f>IFERROR(__xludf.DUMMYFUNCTION("""COMPUTED_VALUE""")," (Instrument) lvl:1000, DMG: +, Acoustic DMG: +50000 ++When Equipped with Bashe's Tail Deal 5X damage and cast 2 acoustic powers in an action instead of one for your first turn")</f>
        <v> (Instrument) lvl:1000, DMG: +, Acoustic DMG: +50000 ++When Equipped with Bashe's Tail Deal 5X damage and cast 2 acoustic powers in an action instead of one for your first turn</v>
      </c>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t="str">
        <f>IFERROR(__xludf.DUMMYFUNCTION("""COMPUTED_VALUE"""),"Grash's Favorite Length Of Iron")</f>
        <v>Grash's Favorite Length Of Iron</v>
      </c>
      <c r="B675" s="32" t="str">
        <f>IFERROR(__xludf.DUMMYFUNCTION("""COMPUTED_VALUE""")," (Club) lvl:2000, DMG: +100000 ++When a Samurai Wields this weapon they get access to the ""Grash's Smashing Success"" Natural Power")</f>
        <v> (Club) lvl:2000, DMG: +100000 ++When a Samurai Wields this weapon they get access to the "Grash's Smashing Success" Natural Power</v>
      </c>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t="str">
        <f>IFERROR(__xludf.DUMMYFUNCTION("""COMPUTED_VALUE"""),"Wolf Tooth Neclace")</f>
        <v>Wolf Tooth Neclace</v>
      </c>
      <c r="B676" s="32" t="str">
        <f>IFERROR(__xludf.DUMMYFUNCTION("""COMPUTED_VALUE""")," () lvl:1, : + ++When fighting alongside a Beast Companion you get +5 to all weapon attacks (Wearing multiple does not cause this effect to stack)")</f>
        <v> () lvl:1, : + ++When fighting alongside a Beast Companion you get +5 to all weapon attacks (Wearing multiple does not cause this effect to stack)</v>
      </c>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t="str">
        <f>IFERROR(__xludf.DUMMYFUNCTION("""COMPUTED_VALUE"""),"Dragon Scale Necklace")</f>
        <v>Dragon Scale Necklace</v>
      </c>
      <c r="B677" s="32" t="str">
        <f>IFERROR(__xludf.DUMMYFUNCTION("""COMPUTED_VALUE""")," () lvl:1, : + ++When fighting alongside a Draconic Companion you get +5 to all weapon attacks (Wearing multiple does not cause this effect to stack)")</f>
        <v> () lvl:1, : + ++When fighting alongside a Draconic Companion you get +5 to all weapon attacks (Wearing multiple does not cause this effect to stack)</v>
      </c>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t="str">
        <f>IFERROR(__xludf.DUMMYFUNCTION("""COMPUTED_VALUE"""),"Heavenly Necklace")</f>
        <v>Heavenly Necklace</v>
      </c>
      <c r="B678" s="32" t="str">
        <f>IFERROR(__xludf.DUMMYFUNCTION("""COMPUTED_VALUE""")," () lvl:1, : + ++When fighting alongside a Heavenly Companion you get +5 to all weapon attacks (Wearing multiple does not cause this effect to stack)")</f>
        <v> () lvl:1, : + ++When fighting alongside a Heavenly Companion you get +5 to all weapon attacks (Wearing multiple does not cause this effect to stack)</v>
      </c>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t="str">
        <f>IFERROR(__xludf.DUMMYFUNCTION("""COMPUTED_VALUE"""),"Demonic Necklace")</f>
        <v>Demonic Necklace</v>
      </c>
      <c r="B679" s="32" t="str">
        <f>IFERROR(__xludf.DUMMYFUNCTION("""COMPUTED_VALUE""")," () lvl:1, : + ++When fighting alongside a Demonic Companion you get +5 to all weapon attacks (Wearing multiple does not cause this effect to stack)")</f>
        <v> () lvl:1, : + ++When fighting alongside a Demonic Companion you get +5 to all weapon attacks (Wearing multiple does not cause this effect to stack)</v>
      </c>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t="str">
        <f>IFERROR(__xludf.DUMMYFUNCTION("""COMPUTED_VALUE"""),"The Cloak of Gévaudan")</f>
        <v>The Cloak of Gévaudan</v>
      </c>
      <c r="B680" s="32" t="str">
        <f>IFERROR(__xludf.DUMMYFUNCTION("""COMPUTED_VALUE""")," () lvl:800, DEF: +25000, Fire DEF: +15000 ++The warm coat grants you immunity to freezing.")</f>
        <v> () lvl:800, DEF: +25000, Fire DEF: +15000 ++The warm coat grants you immunity to freezing.</v>
      </c>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t="str">
        <f>IFERROR(__xludf.DUMMYFUNCTION("""COMPUTED_VALUE"""),"Spirit Glyph")</f>
        <v>Spirit Glyph</v>
      </c>
      <c r="B681" s="32" t="str">
        <f>IFERROR(__xludf.DUMMYFUNCTION("""COMPUTED_VALUE""")," () lvl:1, : + ++When Fighting alongside a spirit companion you get ++5 to all weapon attacks. ++You get access to the ""Spiritual Meld"" Spell (Wearing multiple does not cause this effect to stack)")</f>
        <v> () lvl:1, : + ++When Fighting alongside a spirit companion you get ++5 to all weapon attacks. ++You get access to the "Spiritual Meld" Spell (Wearing multiple does not cause this effect to stack)</v>
      </c>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t="str">
        <f>IFERROR(__xludf.DUMMYFUNCTION("""COMPUTED_VALUE"""),"Necromantic Sigil")</f>
        <v>Necromantic Sigil</v>
      </c>
      <c r="B682" s="32" t="str">
        <f>IFERROR(__xludf.DUMMYFUNCTION("""COMPUTED_VALUE""")," () lvl:1, : + ++When Fighting alongside an undead companion you get +5 to all weapon attacks (Wearing multiple does not cause this effect to stack)")</f>
        <v> () lvl:1, : + ++When Fighting alongside an undead companion you get +5 to all weapon attacks (Wearing multiple does not cause this effect to stack)</v>
      </c>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t="str">
        <f>IFERROR(__xludf.DUMMYFUNCTION("""COMPUTED_VALUE"""),"Dragonslayer")</f>
        <v>Dragonslayer</v>
      </c>
      <c r="B683" s="32" t="str">
        <f>IFERROR(__xludf.DUMMYFUNCTION("""COMPUTED_VALUE"""),"It was too big to be called a sword. Massive, thick, heavy, and far too rough. Indeed, it was a heap of raw iron. (Sword) lvl:2000, DMG: +100000 ++Deals X10 damage when fighting a Dragon or Monstrosity")</f>
        <v>It was too big to be called a sword. Massive, thick, heavy, and far too rough. Indeed, it was a heap of raw iron. (Sword) lvl:2000, DMG: +100000 ++Deals X10 damage when fighting a Dragon or Monstrosity</v>
      </c>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t="str">
        <f>IFERROR(__xludf.DUMMYFUNCTION("""COMPUTED_VALUE"""),"Rusted Halberd")</f>
        <v>Rusted Halberd</v>
      </c>
      <c r="B684" s="32" t="str">
        <f>IFERROR(__xludf.DUMMYFUNCTION("""COMPUTED_VALUE""")," (Spear) lvl:100, DMG: +5000")</f>
        <v> (Spear) lvl:100, DMG: +5000</v>
      </c>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t="str">
        <f>IFERROR(__xludf.DUMMYFUNCTION("""COMPUTED_VALUE"""),"Diseased Rapier")</f>
        <v>Diseased Rapier</v>
      </c>
      <c r="B685" s="32" t="str">
        <f>IFERROR(__xludf.DUMMYFUNCTION("""COMPUTED_VALUE""")," (Sword) lvl:50, DMG: +2500 ++15% chance to inflict the target with a random non-pemanent disease")</f>
        <v> (Sword) lvl:50, DMG: +2500 ++15% chance to inflict the target with a random non-pemanent disease</v>
      </c>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t="str">
        <f>IFERROR(__xludf.DUMMYFUNCTION("""COMPUTED_VALUE"""),"Symbol of Greed")</f>
        <v>Symbol of Greed</v>
      </c>
      <c r="B686" s="32" t="str">
        <f>IFERROR(__xludf.DUMMYFUNCTION("""COMPUTED_VALUE""")," () lvl:1, : + ++Great Deal - When determining the difficulty to haggle with a shopkeeper, the shopkeeper rolls the difficulty twice and takes the lower number +-(merchant class only)")</f>
        <v> () lvl:1, : + ++Great Deal - When determining the difficulty to haggle with a shopkeeper, the shopkeeper rolls the difficulty twice and takes the lower number +-(merchant class only)</v>
      </c>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t="str">
        <f>IFERROR(__xludf.DUMMYFUNCTION("""COMPUTED_VALUE"""),"Enchanted Quiver")</f>
        <v>Enchanted Quiver</v>
      </c>
      <c r="B687" s="32" t="str">
        <f>IFERROR(__xludf.DUMMYFUNCTION("""COMPUTED_VALUE""")," () lvl:1, : + ++Magic Arrow - ++5 to all attack rolls with a bow +-(Archer Class Only)")</f>
        <v> () lvl:1, : + ++Magic Arrow - ++5 to all attack rolls with a bow +-(Archer Class Only)</v>
      </c>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t="str">
        <f>IFERROR(__xludf.DUMMYFUNCTION("""COMPUTED_VALUE"""),"Ring of the Siren")</f>
        <v>Ring of the Siren</v>
      </c>
      <c r="B688" s="32" t="str">
        <f>IFERROR(__xludf.DUMMYFUNCTION("""COMPUTED_VALUE""")," () lvl:1, : + ++X2 acoustic damage ++Song of the Siren - At the start of battle you may roll a fail or Succeed roll to enchant an enemy, causing them to join your side, (for the sake of immunities this counts as possession) +-(Bard Class Only)")</f>
        <v> () lvl:1, : + ++X2 acoustic damage ++Song of the Siren - At the start of battle you may roll a fail or Succeed roll to enchant an enemy, causing them to join your side, (for the sake of immunities this counts as possession) +-(Bard Class Only)</v>
      </c>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t="str">
        <f>IFERROR(__xludf.DUMMYFUNCTION("""COMPUTED_VALUE"""),"Amulet of The Berserker")</f>
        <v>Amulet of The Berserker</v>
      </c>
      <c r="B689" s="32" t="str">
        <f>IFERROR(__xludf.DUMMYFUNCTION("""COMPUTED_VALUE""")," () lvl:1, : + ++Berserk - When attacking or being attacked gain 1 stack of Insanity +-(Brawler Class Only)")</f>
        <v> () lvl:1, : + ++Berserk - When attacking or being attacked gain 1 stack of Insanity +-(Brawler Class Only)</v>
      </c>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t="str">
        <f>IFERROR(__xludf.DUMMYFUNCTION("""COMPUTED_VALUE"""),"Mask of the Cultist")</f>
        <v>Mask of the Cultist</v>
      </c>
      <c r="B690" s="32" t="str">
        <f>IFERROR(__xludf.DUMMYFUNCTION("""COMPUTED_VALUE""")," () lvl:1, : + ++One of Us - when fighting alongside another party member with an evil alignment you gain +5 to your attack rolls. +-(Cultist Class Only)")</f>
        <v> () lvl:1, : + ++One of Us - when fighting alongside another party member with an evil alignment you gain +5 to your attack rolls. +-(Cultist Class Only)</v>
      </c>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t="str">
        <f>IFERROR(__xludf.DUMMYFUNCTION("""COMPUTED_VALUE"""),"""Natural"" Cologne")</f>
        <v>"Natural" Cologne</v>
      </c>
      <c r="B691" s="32" t="str">
        <f>IFERROR(__xludf.DUMMYFUNCTION("""COMPUTED_VALUE""")," () lvl:1, : + ++Animal Friend - When trying to tame a creature you only have to succeed on a charisma roll twice instead of thrice +-(Druid Class Only)")</f>
        <v> () lvl:1, : + ++Animal Friend - When trying to tame a creature you only have to succeed on a charisma roll twice instead of thrice +-(Druid Class Only)</v>
      </c>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t="str">
        <f>IFERROR(__xludf.DUMMYFUNCTION("""COMPUTED_VALUE"""),"Bonded Ring")</f>
        <v>Bonded Ring</v>
      </c>
      <c r="B692" s="32" t="str">
        <f>IFERROR(__xludf.DUMMYFUNCTION("""COMPUTED_VALUE""")," () lvl:1, : + ++A Bond Stronger Than Iron - When with a hatched companion you gain a 10% chance to be unnaffected by an attack +-one use per battle +-(Cavalier Class Only)")</f>
        <v> () lvl:1, : + ++A Bond Stronger Than Iron - When with a hatched companion you gain a 10% chance to be unnaffected by an attack +-one use per battle +-(Cavalier Class Only)</v>
      </c>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t="str">
        <f>IFERROR(__xludf.DUMMYFUNCTION("""COMPUTED_VALUE"""),"Deadeye Brooch")</f>
        <v>Deadeye Brooch</v>
      </c>
      <c r="B693" s="32" t="str">
        <f>IFERROR(__xludf.DUMMYFUNCTION("""COMPUTED_VALUE""")," () lvl:1, : + ++One Shot, One Kill - If you kill an enemy with one shot using a firearm you can attack again with the firearm +-(Gunslinger Class Only)")</f>
        <v> () lvl:1, : + ++One Shot, One Kill - If you kill an enemy with one shot using a firearm you can attack again with the firearm +-(Gunslinger Class Only)</v>
      </c>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t="str">
        <f>IFERROR(__xludf.DUMMYFUNCTION("""COMPUTED_VALUE"""),"Tool Kit")</f>
        <v>Tool Kit</v>
      </c>
      <c r="B694" s="32" t="str">
        <f>IFERROR(__xludf.DUMMYFUNCTION("""COMPUTED_VALUE""")," () lvl:1, : + ++The Right Tool For The Job - once per dungeon you are guaranteed to disable a trap +-(Hunter Class Only)")</f>
        <v> () lvl:1, : + ++The Right Tool For The Job - once per dungeon you are guaranteed to disable a trap +-(Hunter Class Only)</v>
      </c>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t="str">
        <f>IFERROR(__xludf.DUMMYFUNCTION("""COMPUTED_VALUE"""),"Basic Bitch Award")</f>
        <v>Basic Bitch Award</v>
      </c>
      <c r="B695" s="32" t="str">
        <f>IFERROR(__xludf.DUMMYFUNCTION("""COMPUTED_VALUE""")," () lvl:1, : + ++Joe Schmoe - +5 Charisma +-(Knight Class Only)")</f>
        <v> () lvl:1, : + ++Joe Schmoe - +5 Charisma +-(Knight Class Only)</v>
      </c>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t="str">
        <f>IFERROR(__xludf.DUMMYFUNCTION("""COMPUTED_VALUE"""),"Ring of The Frail Scholar")</f>
        <v>Ring of The Frail Scholar</v>
      </c>
      <c r="B696" s="32" t="str">
        <f>IFERROR(__xludf.DUMMYFUNCTION("""COMPUTED_VALUE""")," () lvl:1, : + ++Frail Scholar - Lowers HP by half but doubles SP +-(Mage, Wizard, and Sorcerer Class Only)")</f>
        <v> () lvl:1, : + ++Frail Scholar - Lowers HP by half but doubles SP +-(Mage, Wizard, and Sorcerer Class Only)</v>
      </c>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t="str">
        <f>IFERROR(__xludf.DUMMYFUNCTION("""COMPUTED_VALUE"""),"Ring of Sticky FIngers")</f>
        <v>Ring of Sticky FIngers</v>
      </c>
      <c r="B697" s="32" t="str">
        <f>IFERROR(__xludf.DUMMYFUNCTION("""COMPUTED_VALUE""")," () lvl:1, : + ++Sticky FIngers - Allows you to use confiscate, take, and pickpocket skills twice +-(Marauder Class Only)")</f>
        <v> () lvl:1, : + ++Sticky FIngers - Allows you to use confiscate, take, and pickpocket skills twice +-(Marauder Class Only)</v>
      </c>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t="str">
        <f>IFERROR(__xludf.DUMMYFUNCTION("""COMPUTED_VALUE"""),"Spirit Furnace")</f>
        <v>Spirit Furnace</v>
      </c>
      <c r="B698" s="32" t="str">
        <f>IFERROR(__xludf.DUMMYFUNCTION("""COMPUTED_VALUE""")," () lvl:1, : + ++Cultivation - If you have not yet attacked during the current battle you deal X4 additional damage during your next attack.. +-(Monk Class Only)")</f>
        <v> () lvl:1, : + ++Cultivation - If you have not yet attacked during the current battle you deal X4 additional damage during your next attack.. +-(Monk Class Only)</v>
      </c>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t="str">
        <f>IFERROR(__xludf.DUMMYFUNCTION("""COMPUTED_VALUE"""),"Smokebomb Pouch")</f>
        <v>Smokebomb Pouch</v>
      </c>
      <c r="B699" s="32" t="str">
        <f>IFERROR(__xludf.DUMMYFUNCTION("""COMPUTED_VALUE""")," () lvl:1, : + ++Smoke Bomb - Conceal abilities are guaranteed to succeed +-(Ninja Class Only)")</f>
        <v> () lvl:1, : + ++Smoke Bomb - Conceal abilities are guaranteed to succeed +-(Ninja Class Only)</v>
      </c>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t="str">
        <f>IFERROR(__xludf.DUMMYFUNCTION("""COMPUTED_VALUE"""),"Certificate of Shield Bashing School")</f>
        <v>Certificate of Shield Bashing School</v>
      </c>
      <c r="B700" s="32" t="str">
        <f>IFERROR(__xludf.DUMMYFUNCTION("""COMPUTED_VALUE""")," () lvl:1, : + ++Shield Bash Extraordinaire - When attacking with a shield you may add your mobility bonus to the attack roll +-(Paladin Class Only)")</f>
        <v> () lvl:1, : + ++Shield Bash Extraordinaire - When attacking with a shield you may add your mobility bonus to the attack roll +-(Paladin Class Only)</v>
      </c>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t="str">
        <f>IFERROR(__xludf.DUMMYFUNCTION("""COMPUTED_VALUE"""),"Goblet of Greed")</f>
        <v>Goblet of Greed</v>
      </c>
      <c r="B701" s="32" t="str">
        <f>IFERROR(__xludf.DUMMYFUNCTION("""COMPUTED_VALUE""")," () lvl:1, : + ++MORE!!! MOOOORE!!!!! - multiply your damage by X*2 until the end of battle where X is equal to the amount of times you stole from someone during battle. +-(Pirate Class Only)")</f>
        <v> () lvl:1, : + ++MORE!!! MOOOORE!!!!! - multiply your damage by X*2 until the end of battle where X is equal to the amount of times you stole from someone during battle. +-(Pirate Class Only)</v>
      </c>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t="str">
        <f>IFERROR(__xludf.DUMMYFUNCTION("""COMPUTED_VALUE"""),"Holy Symbol")</f>
        <v>Holy Symbol</v>
      </c>
      <c r="B702" s="32" t="str">
        <f>IFERROR(__xludf.DUMMYFUNCTION("""COMPUTED_VALUE""")," () lvl:1, : + ++Holy Prescence - You can prevent 1 curse, disease, or possesion from affecting a party member once per battle/journey. +-(Priest Class Only)")</f>
        <v> () lvl:1, : + ++Holy Prescence - You can prevent 1 curse, disease, or possesion from affecting a party member once per battle/journey. +-(Priest Class Only)</v>
      </c>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t="str">
        <f>IFERROR(__xludf.DUMMYFUNCTION("""COMPUTED_VALUE"""),"Mysterious Merchant's Scythe")</f>
        <v>Mysterious Merchant's Scythe</v>
      </c>
      <c r="B703" s="32" t="str">
        <f>IFERROR(__xludf.DUMMYFUNCTION("""COMPUTED_VALUE"""),"The scythe of the mysterious merchant himself imbued with a great power (Scythe) lvl:1000, DMG: +, Spirit DMG: +50000 ++Burning Souls - This weapon can devour up to 100 souls to increase it's damage by X*1000 with X representing the souls imbued. When at "&amp;"maximum souls Imbued you can unleash an attack dealing 500,000 Spirit damage to all enemies but stunning you until the end of battle. +-(Reaper Class Only). ++(0/100 Souls imbued)")</f>
        <v>The scythe of the mysterious merchant himself imbued with a great power (Scythe) lvl:1000, DMG: +,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t="str">
        <f>IFERROR(__xludf.DUMMYFUNCTION("""COMPUTED_VALUE"""),"Cursed Saya")</f>
        <v>Cursed Saya</v>
      </c>
      <c r="B704" s="32" t="str">
        <f>IFERROR(__xludf.DUMMYFUNCTION("""COMPUTED_VALUE"""),"A saya unearthed in an ancient temple, those wearing this saya feel an unbeleivable surge of joy and power seeing their opponents in a weakend state. () lvl:1, : + ++Debilitating Strike - When attacking an enemy with your weapon deal X2 damage for every n"&amp;"egative effect inflicted on that enemy +-(Samurai Class Only)")</f>
        <v>A saya unearthed in an ancient temple, those wearing this saya feel an unbeleivable surge of joy and power seeing their opponents in a weakend state. () lvl:1, : + ++Debilitating Strike - When attacking an enemy with your weapon deal X2 damage for every negative effect inflicted on that enemy +-(Samurai Class Only)</v>
      </c>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t="str">
        <f>IFERROR(__xludf.DUMMYFUNCTION("""COMPUTED_VALUE"""),"Shamanic Staff")</f>
        <v>Shamanic Staff</v>
      </c>
      <c r="B705" s="32" t="str">
        <f>IFERROR(__xludf.DUMMYFUNCTION("""COMPUTED_VALUE"""),"A long staff made with elder wood, the magic focus of this weapon is a piece of Hanged Man's Jasper, a rare gemstone with a high affinity for spirit magic. (Staff) lvl:1500, DMG: +, Fire DMG: +25000, Spirit DMG: +25000, Voodoo DMG: +25000 ++In Tandem - Wh"&amp;"en attacking any enemy that your spirit has previously targetted you gain a +5 to attack rolls against that enemy. Cost: 500 sp")</f>
        <v>A long staff made with elder wood, the magic focus of this weapon is a piece of Hanged Man's Jasper, a rare gemstone with a high affinity for spirit magic. (Staff) lvl:1500, DMG: +, Fire DMG: +25000, Spirit DMG: +25000, Voodoo DMG: +25000 ++In Tandem - When attacking any enemy that your spirit has previously targetted you gain a +5 to attack rolls against that enemy. Cost: 500 sp</v>
      </c>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t="str">
        <f>IFERROR(__xludf.DUMMYFUNCTION("""COMPUTED_VALUE"""),"Rune Necklace")</f>
        <v>Rune Necklace</v>
      </c>
      <c r="B706" s="32" t="str">
        <f>IFERROR(__xludf.DUMMYFUNCTION("""COMPUTED_VALUE"""),"A necklace given to Shaman's upon completeing their rite, to be a High shaman, the spirits recognize this as a sign of power and bow to those wearing this necklace. () lvl:1, : + ++Spirit's Friend - Any summoned Spirit gains +5 to all perks and X2 base st"&amp;"ats +-(Shaman Class Only)")</f>
        <v>A necklace given to Shaman's upon completeing their rite, to be a High shaman, the spirits recognize this as a sign of power and bow to those wearing this necklace. () lvl:1, : + ++Spirit's Friend - Any summoned Spirit gains +5 to all perks and X2 base stats +-(Shaman Class Only)</v>
      </c>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t="str">
        <f>IFERROR(__xludf.DUMMYFUNCTION("""COMPUTED_VALUE"""),"Spell Sponge")</f>
        <v>Spell Sponge</v>
      </c>
      <c r="B707" s="32" t="str">
        <f>IFERROR(__xludf.DUMMYFUNCTION("""COMPUTED_VALUE"""),"A mushroom found rarely in an unknown cave within Spira it has high magic absorption powers and those with magical bloodlines can weild these to great effect to reverse their enemies back upon them. () lvl:1, : + ++Spell Sponge - If you are unaffected by "&amp;"a spell casted by an enemy you can choose to immediately cast the same spell back at them even if you don't have the spell equipped or don't know the spell +-(Mage, Wizard, and Sorcerer Class Only)")</f>
        <v>A mushroom found rarely in an unknown cave within Spira it has high magic absorption powers and those with magical bloodlines can weild these to great effect to reverse their enemies back upon them. () lvl:1, : + ++Spell Sponge - If you are unaffected by a spell casted by an enemy you can choose to immediately cast the same spell back at them even if you don't have the spell equipped or don't know the spell +-(Mage, Wizard, and Sorcerer Class Only)</v>
      </c>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t="str">
        <f>IFERROR(__xludf.DUMMYFUNCTION("""COMPUTED_VALUE"""),"Viking's Warpaint")</f>
        <v>Viking's Warpaint</v>
      </c>
      <c r="B708" s="32" t="str">
        <f>IFERROR(__xludf.DUMMYFUNCTION("""COMPUTED_VALUE"""),"A set of primitive paint imported from Knappadalr, for some reason these paints fill you with rage. () lvl:1, : + ++Rage - When you either parry or are unaffected by a weapon attack your next attack deals X4 damage +-(Viking Class Only)")</f>
        <v>A set of primitive paint imported from Knappadalr, for some reason these paints fill you with rage. () lvl:1, : + ++Rage - When you either parry or are unaffected by a weapon attack your next attack deals X4 damage +-(Viking Class Only)</v>
      </c>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t="str">
        <f>IFERROR(__xludf.DUMMYFUNCTION("""COMPUTED_VALUE"""),"Speed Shoes")</f>
        <v>Speed Shoes</v>
      </c>
      <c r="B709" s="32" t="str">
        <f>IFERROR(__xludf.DUMMYFUNCTION("""COMPUTED_VALUE"""),"A pair of red shoes that make you feel like dancing. () lvl:1, : + ++Can't Touch This - When you successfully dodge an attack you can immediate attack with a weapon attack +-(Warrior Class Only)")</f>
        <v>A pair of red shoes that make you feel like dancing. () lvl:1, : + ++Can't Touch This - When you successfully dodge an attack you can immediate attack with a weapon attack +-(Warrior Class Only)</v>
      </c>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t="str">
        <f>IFERROR(__xludf.DUMMYFUNCTION("""COMPUTED_VALUE"""),"Book of Hexes")</f>
        <v>Book of Hexes</v>
      </c>
      <c r="B710" s="32" t="str">
        <f>IFERROR(__xludf.DUMMYFUNCTION("""COMPUTED_VALUE"""),"The staple item for a witch. () lvl:1, : + ++Hex - Any enemy you inflict with a debuff takes X2 additional damage from the self and all allies. +-(Witch Class Only)")</f>
        <v>The staple item for a witch. () lvl:1, : + ++Hex - Any enemy you inflict with a debuff takes X2 additional damage from the self and all allies. +-(Witch Class Only)</v>
      </c>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t="str">
        <f>IFERROR(__xludf.DUMMYFUNCTION("""COMPUTED_VALUE"""),"Ring of Boring")</f>
        <v>Ring of Boring</v>
      </c>
      <c r="B711" s="32" t="str">
        <f>IFERROR(__xludf.DUMMYFUNCTION("""COMPUTED_VALUE"""),"The item for people who made a character but decided they were ""too good"" for it's abilities. () lvl:1, : + ++Why are you so boring? - X2 additional damage.")</f>
        <v>The item for people who made a character but decided they were "too good" for it's abilities. () lvl:1, : + ++Why are you so boring? - X2 additional damage.</v>
      </c>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t="str">
        <f>IFERROR(__xludf.DUMMYFUNCTION("""COMPUTED_VALUE"""),"Frozen Spearman's High-Low Dress")</f>
        <v>Frozen Spearman's High-Low Dress</v>
      </c>
      <c r="B712" s="32" t="str">
        <f>IFERROR(__xludf.DUMMYFUNCTION("""COMPUTED_VALUE""")," () lvl:200, DEF: +25000, Earth DEF: +25000, Nature DEF: +25000, Celestial DEF: +25000 ++Regal Authority - At the start of battle there's a 25% chance of recruiting one enemy to join you (100% if they are a player with a starting town in any tundra region"&amp;") This counts as possession for the purposes of immunity")</f>
        <v> () lvl:200, 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t="str">
        <f>IFERROR(__xludf.DUMMYFUNCTION("""COMPUTED_VALUE"""),"Frozen Spearman's Jhodpur's")</f>
        <v>Frozen Spearman's Jhodpur's</v>
      </c>
      <c r="B713" s="32" t="str">
        <f>IFERROR(__xludf.DUMMYFUNCTION("""COMPUTED_VALUE""")," () lvl:200, DEF: +25000, Earth DEF: +25000, Nature DEF: +25000, Celestial DEF: +25000 ++Cavalry Charge - Summon a frosty steed to run down your enemies dealing 50,000 unavoidable Storm damage with a 15% chance of freeing all enemies - 500 sp")</f>
        <v> () lvl:200, DEF: +25000, Earth DEF: +25000, Nature DEF: +25000, Celestial DEF: +25000 ++Cavalry Charge - Summon a frosty steed to run down your enemies dealing 50,000 unavoidable Storm damage with a 15% chance of freeing all enemies - 500 sp</v>
      </c>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t="str">
        <f>IFERROR(__xludf.DUMMYFUNCTION("""COMPUTED_VALUE"""),"Frozen Spearman's Fur Boots")</f>
        <v>Frozen Spearman's Fur Boots</v>
      </c>
      <c r="B714" s="32" t="str">
        <f>IFERROR(__xludf.DUMMYFUNCTION("""COMPUTED_VALUE""")," () lvl:200, DEF: +25000, Earth DEF: +25000, Nature DEF: +25000, Celestial DEF: +25000 ++Frosty Footwork - Upon successfully hitting an enemy you can make a second attack")</f>
        <v> () lvl:200, DEF: +25000, Earth DEF: +25000, Nature DEF: +25000, Celestial DEF: +25000 ++Frosty Footwork - Upon successfully hitting an enemy you can make a second attack</v>
      </c>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t="str">
        <f>IFERROR(__xludf.DUMMYFUNCTION("""COMPUTED_VALUE"""),"Frozen Spearman's Bracers")</f>
        <v>Frozen Spearman's Bracers</v>
      </c>
      <c r="B715" s="32" t="str">
        <f>IFERROR(__xludf.DUMMYFUNCTION("""COMPUTED_VALUE""")," () lvl:200, DEF: +25000, Earth DEF: +25000, Nature DEF: +25000, Celestial DEF: +25000 ++Queen's Counter - Upon successfully evading an attack you can Immediately attack the person who attacked you.")</f>
        <v> () lvl:200, DEF: +25000, Earth DEF: +25000, Nature DEF: +25000, Celestial DEF: +25000 ++Queen's Counter - Upon successfully evading an attack you can Immediately attack the person who attacked you.</v>
      </c>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t="str">
        <f>IFERROR(__xludf.DUMMYFUNCTION("""COMPUTED_VALUE"""),"Frozen Spearman's Fur Cloak")</f>
        <v>Frozen Spearman's Fur Cloak</v>
      </c>
      <c r="B716" s="32" t="str">
        <f>IFERROR(__xludf.DUMMYFUNCTION("""COMPUTED_VALUE""")," () lvl:200, DEF: +25000, Earth DEF: +25000, Nature DEF: +25000, Celestial DEF: +25000 ++A Land of Ice and Snow - X4 Storm and Water damage")</f>
        <v> () lvl:200, DEF: +25000, Earth DEF: +25000, Nature DEF: +25000, Celestial DEF: +25000 ++A Land of Ice and Snow - X4 Storm and Water damage</v>
      </c>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t="str">
        <f>IFERROR(__xludf.DUMMYFUNCTION("""COMPUTED_VALUE"""),"Frost Mage's Cloak")</f>
        <v>Frost Mage's Cloak</v>
      </c>
      <c r="B717" s="32"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t="str">
        <f>IFERROR(__xludf.DUMMYFUNCTION("""COMPUTED_VALUE"""),"Frost Mage's Boots")</f>
        <v>Frost Mage's Boots</v>
      </c>
      <c r="B718" s="32"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t="str">
        <f>IFERROR(__xludf.DUMMYFUNCTION("""COMPUTED_VALUE"""),"Frost Mage's Hood")</f>
        <v>Frost Mage's Hood</v>
      </c>
      <c r="B719" s="32"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t="str">
        <f>IFERROR(__xludf.DUMMYFUNCTION("""COMPUTED_VALUE"""),"Crown of Frozen Swords")</f>
        <v>Crown of Frozen Swords</v>
      </c>
      <c r="B720" s="32" t="str">
        <f>IFERROR(__xludf.DUMMYFUNCTION("""COMPUTED_VALUE""")," () lvl:200, DEF: +50000, Earth DEF: +50000, Nature DEF: +50000, Celestial DEF: +50000 ++King of The Frozen Wastes - X2 Storm damage ++15% chance to hit all enemies with a weapon attack")</f>
        <v> () lvl:200, DEF: +50000, Earth DEF: +50000, Nature DEF: +50000, Celestial DEF: +50000 ++King of The Frozen Wastes - X2 Storm damage ++15% chance to hit all enemies with a weapon attack</v>
      </c>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t="str">
        <f>IFERROR(__xludf.DUMMYFUNCTION("""COMPUTED_VALUE"""),"Frost-bitten Cape")</f>
        <v>Frost-bitten Cape</v>
      </c>
      <c r="B721" s="32" t="str">
        <f>IFERROR(__xludf.DUMMYFUNCTION("""COMPUTED_VALUE""")," () lvl:200, DEF: +50000, Earth DEF: +50000, Nature DEF: +50000, Celestial DEF: +50000 ++Frostbite - Enemies hit with a weapon attack take 5000 Storm damage per round for 3 rounds")</f>
        <v> () lvl:200, DEF: +50000, Earth DEF: +50000, Nature DEF: +50000, Celestial DEF: +50000 ++Frostbite - Enemies hit with a weapon attack take 5000 Storm damage per round for 3 rounds</v>
      </c>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t="str">
        <f>IFERROR(__xludf.DUMMYFUNCTION("""COMPUTED_VALUE"""),"Ice-steel Pauldrons")</f>
        <v>Ice-steel Pauldrons</v>
      </c>
      <c r="B722" s="32" t="str">
        <f>IFERROR(__xludf.DUMMYFUNCTION("""COMPUTED_VALUE""")," () lvl:200, DEF: +50000, Earth DEF: +50000, Nature DEF: +50000, Celestial DEF: +50000 ++Cold Shoulder - Immunity to freeze")</f>
        <v> () lvl:200, DEF: +50000, Earth DEF: +50000, Nature DEF: +50000, Celestial DEF: +50000 ++Cold Shoulder - Immunity to freeze</v>
      </c>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t="str">
        <f>IFERROR(__xludf.DUMMYFUNCTION("""COMPUTED_VALUE"""),"Ice-steel Bracers")</f>
        <v>Ice-steel Bracers</v>
      </c>
      <c r="B723" s="32" t="str">
        <f>IFERROR(__xludf.DUMMYFUNCTION("""COMPUTED_VALUE""")," () lvl:200, DEF: +50000, Earth DEF: +50000, Nature DEF: +50000, Celestial DEF: +50000 ++A Moment of Weakness - (Can only target frozen enemies) Strike the enemy with your weapon dealing X3 Weapon damage and Giving the enemy disoriented 3 - 500 sp")</f>
        <v> () lvl:200, DEF: +50000, Earth DEF: +50000, Nature DEF: +50000, Celestial DEF: +50000 ++A Moment of Weakness - (Can only target frozen enemies) Strike the enemy with your weapon dealing X3 Weapon damage and Giving the enemy disoriented 3 - 500 sp</v>
      </c>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t="str">
        <f>IFERROR(__xludf.DUMMYFUNCTION("""COMPUTED_VALUE"""),"Ice-steel Chausses")</f>
        <v>Ice-steel Chausses</v>
      </c>
      <c r="B724" s="32" t="str">
        <f>IFERROR(__xludf.DUMMYFUNCTION("""COMPUTED_VALUE"""),"The chinks in the armor suggest a lack of care over the past years. () lvl:200, DEF: +50000, Earth DEF: +50000, Nature DEF: +50000, Celestial DEF: +50000 ++X2 Weapon Damage")</f>
        <v>The chinks in the armor suggest a lack of care over the past years. () lvl:200, DEF: +50000, Earth DEF: +50000, Nature DEF: +50000, Celestial DEF: +50000 ++X2 Weapon Damage</v>
      </c>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t="str">
        <f>IFERROR(__xludf.DUMMYFUNCTION("""COMPUTED_VALUE"""),"Frost Stompers")</f>
        <v>Frost Stompers</v>
      </c>
      <c r="B725" s="32" t="str">
        <f>IFERROR(__xludf.DUMMYFUNCTION("""COMPUTED_VALUE"""),"These frozen iron boots are covered in a layer of permafrost, it seems as though they'll never thaw. () lvl:200, DEF: +50000, Earth DEF: +50000, Nature DEF: +50000, Celestial DEF: +50000 ++X2 Storm Damage")</f>
        <v>These frozen iron boots are covered in a layer of permafrost, it seems as though they'll never thaw. () lvl:200, DEF: +50000, Earth DEF: +50000, Nature DEF: +50000, Celestial DEF: +50000 ++X2 Storm Damage</v>
      </c>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t="str">
        <f>IFERROR(__xludf.DUMMYFUNCTION("""COMPUTED_VALUE"""),"Plate of the Frozen Sun")</f>
        <v>Plate of the Frozen Sun</v>
      </c>
      <c r="B726" s="32" t="str">
        <f>IFERROR(__xludf.DUMMYFUNCTION("""COMPUTED_VALUE"""),"""The king was not always as he is now, but the yearly curse of the ice mage has him colder than usual"" ~old man () lvl:200, DEF: +50000, Earth DEF: +50000, Nature DEF: +50000, Celestial DEF: +50000 ++Freezing Absorption - Can absorb one summoned creatur"&amp;"e adding their stats on top of your for 3 rounds but giving you a 50% chance of attacking a random ally instead of an enemy - 500 sp")</f>
        <v>"The king was not always as he is now, but the yearly curse of the ice mage has him colder than usual" ~old man () lvl:200, DEF: +50000, Earth DEF: +50000, Nature DEF: +50000, Celestial DEF: +50000 ++Freezing Absorption - Can absorb one summoned creature adding their stats on top of your for 3 rounds but giving you a 50% chance of attacking a random ally instead of an enemy - 500 sp</v>
      </c>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t="str">
        <f>IFERROR(__xludf.DUMMYFUNCTION("""COMPUTED_VALUE"""),"Frost Mage's Staff")</f>
        <v>Frost Mage's Staff</v>
      </c>
      <c r="B727" s="32" t="str">
        <f>IFERROR(__xludf.DUMMYFUNCTION("""COMPUTED_VALUE"""),"""FREEZE"" ~Frost mage (Staff) lvl:200, DMG: +, Water DMG: +50000, Storm DMG: +50000, Celestial DMG: +50000 ++Damages all enemies, ++Cannot Avoid ++ +500SP ++X4 Water and Storm Damage ++25% chance to freeze the enemies +-Cannot be forged +-Cannot be dupli"&amp;"cated")</f>
        <v>"FREEZE" ~Frost mage (Staff) lvl:200, DMG: +, Water DMG: +50000, Storm DMG: +50000, Celestial DMG: +50000 ++Damages all enemies, ++Cannot Avoid ++ +500SP ++X4 Water and Storm Damage ++25% chance to freeze the enemies +-Cannot be forged +-Cannot be duplicated</v>
      </c>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t="str">
        <f>IFERROR(__xludf.DUMMYFUNCTION("""COMPUTED_VALUE"""),"Snowball")</f>
        <v>Snowball</v>
      </c>
      <c r="B728" s="32" t="str">
        <f>IFERROR(__xludf.DUMMYFUNCTION("""COMPUTED_VALUE"""),"""If you even think about hitting me with that I'll fill one with lead and bash your skull with it"" ~Gwennivir (Boomerang) lvl:200, DMG: +, Water DMG: +10000 ++25% Chance to freeze the target, ++25% chance to turn the target into a Demon Snowman and recr"&amp;"uit them to the users side for 2 rounds (this counts as a possession).")</f>
        <v>"If you even think about hitting me with that I'll fill one with lead and bash your skull with it" ~Gwennivir (Boomerang) lvl:200, DMG: +, Water DMG: +10000 ++25% Chance to freeze the target, ++25% chance to turn the target into a Demon Snowman and recruit them to the users side for 2 rounds (this counts as a possession).</v>
      </c>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t="str">
        <f>IFERROR(__xludf.DUMMYFUNCTION("""COMPUTED_VALUE"""),"Corvid Cloak")</f>
        <v>Corvid Cloak</v>
      </c>
      <c r="B729" s="32" t="str">
        <f>IFERROR(__xludf.DUMMYFUNCTION("""COMPUTED_VALUE"""),"Formed from the feathers of many crows and ravens, this cloak has an imposing presence. () lvl:1, DEF: + ++On WIngs of Death: When an enemy or ally dies of poison all Base stats are doubled for 3 rounds and +5 to all perks +-Cannot be Duplicated")</f>
        <v>Formed from the feathers of many crows and ravens, this cloak has an imposing presence. () lvl:1, DEF: + ++On WIngs of Death: When an enemy or ally dies of poison all Base stats are doubled for 3 rounds and +5 to all perks +-Cannot be Duplicated</v>
      </c>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t="str">
        <f>IFERROR(__xludf.DUMMYFUNCTION("""COMPUTED_VALUE"""),"Plague Doctor's Mask")</f>
        <v>Plague Doctor's Mask</v>
      </c>
      <c r="B730" s="32" t="str">
        <f>IFERROR(__xludf.DUMMYFUNCTION("""COMPUTED_VALUE"""),"""The eyes of the plague doctors can see all the impurities of not just one's body, but one's soul, it is our goal- nay, our purpose, to cure these impurities"" ~Kaillon, The Last WItch Doctor () lvl:1, DEF: + ++Plague Doctor: 25% chance to be unaffected "&amp;"by a disease +-Cannot be Duplicated")</f>
        <v>"The eyes of the plague doctors can see all the impurities of not just one's body, but one's soul, it is our goal- nay, our purpose, to cure these impurities" ~Kaillon, The Last WItch Doctor () lvl:1, DEF: + ++Plague Doctor: 25% chance to be unaffected by a disease +-Cannot be Duplicated</v>
      </c>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t="str">
        <f>IFERROR(__xludf.DUMMYFUNCTION("""COMPUTED_VALUE"""),"""The Only Cure""")</f>
        <v>"The Only Cure"</v>
      </c>
      <c r="B731" s="32" t="str">
        <f>IFERROR(__xludf.DUMMYFUNCTION("""COMPUTED_VALUE"""),"""Sometimes, there is no cure for one's disease,
in those times it is our job to be merciful,
Truly, the only cure is death"" ~Kaillon, The Last Witch Doctor () lvl:1, : + ++""Is Death"": The first time a single ally dies in a battle they survive on 1 hp "&amp;"with halved defense, atack, and accuracy for 3 rounds. +-Cannot be Duplicated")</f>
        <v>"Sometimes, there is no cure for one's disease,
in those times it is our job to be merciful,
Truly, the only cure is death" ~Kaillon, The Last Witch Doctor () lvl:1, : + ++"Is Death": The first time a single ally dies in a battle they survive on 1 hp with halved defense, atack, and accuracy for 3 rounds. +-Cannot be Duplicated</v>
      </c>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t="str">
        <f>IFERROR(__xludf.DUMMYFUNCTION("""COMPUTED_VALUE"""),"Plague Doctor's Gloves")</f>
        <v>Plague Doctor's Gloves</v>
      </c>
      <c r="B732" s="32" t="str">
        <f>IFERROR(__xludf.DUMMYFUNCTION("""COMPUTED_VALUE"""),"These gloves have been stained with blood and potions over the years. () lvl:1, DEF: + ++Poisoner I:X2 damage +-Cannot be Duplicated")</f>
        <v>These gloves have been stained with blood and potions over the years. () lvl:1, DEF: + ++Poisoner I:X2 damage +-Cannot be Duplicated</v>
      </c>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t="str">
        <f>IFERROR(__xludf.DUMMYFUNCTION("""COMPUTED_VALUE"""),"Plague Doctor's Sarouel")</f>
        <v>Plague Doctor's Sarouel</v>
      </c>
      <c r="B733" s="32" t="str">
        <f>IFERROR(__xludf.DUMMYFUNCTION("""COMPUTED_VALUE"""),"These pants serve no real purpose within the foul night swamp, but they are the traditional wear of the plague doctors. () lvl:1, DEF: + ++Poisoner I:X2 damage +-Cannot be Duplicated")</f>
        <v>These pants serve no real purpose within the foul night swamp, but they are the traditional wear of the plague doctors. () lvl:1, DEF: + ++Poisoner I:X2 damage +-Cannot be Duplicated</v>
      </c>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t="str">
        <f>IFERROR(__xludf.DUMMYFUNCTION("""COMPUTED_VALUE"""),"Plague Doctor's Boots")</f>
        <v>Plague Doctor's Boots</v>
      </c>
      <c r="B734" s="32" t="str">
        <f>IFERROR(__xludf.DUMMYFUNCTION("""COMPUTED_VALUE"""),"These boots have been designed for optimal movement through all kinds of hazards. () lvl:1, DEF: + ++Swamp Stompers: You take only half the effect of environmental hazards +-Cannot be Duplicated")</f>
        <v>These boots have been designed for optimal movement through all kinds of hazards. () lvl:1, DEF: + ++Swamp Stompers: You take only half the effect of environmental hazards +-Cannot be Duplicated</v>
      </c>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t="str">
        <f>IFERROR(__xludf.DUMMYFUNCTION("""COMPUTED_VALUE"""),"Plague Doctor's Apron")</f>
        <v>Plague Doctor's Apron</v>
      </c>
      <c r="B735" s="32" t="str">
        <f>IFERROR(__xludf.DUMMYFUNCTION("""COMPUTED_VALUE"""),"The thick leather of this apron ensures that accidents with poison are minimalized. () lvl:1, DEF: + ++Spllatter Proof: Immune to poison +-Cannot be Duplicated")</f>
        <v>The thick leather of this apron ensures that accidents with poison are minimalized. () lvl:1, DEF: + ++Spllatter Proof: Immune to poison +-Cannot be Duplicated</v>
      </c>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t="str">
        <f>IFERROR(__xludf.DUMMYFUNCTION("""COMPUTED_VALUE"""),"Poisonous Hand Crossbow")</f>
        <v>Poisonous Hand Crossbow</v>
      </c>
      <c r="B736" s="32" t="str">
        <f>IFERROR(__xludf.DUMMYFUNCTION("""COMPUTED_VALUE"""),"""Because sometimes the only viable tactic, is a dirty one"" ~Gwennivir (Bow) lvl:1000, DMG: +50000 ++Poisoned I: Hitting an enemy with this weapon inflicts 500 poison")</f>
        <v>"Because sometimes the only viable tactic, is a dirty one" ~Gwennivir (Bow) lvl:1000, DMG: +50000 ++Poisoned I: Hitting an enemy with this weapon inflicts 500 poison</v>
      </c>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t="str">
        <f>IFERROR(__xludf.DUMMYFUNCTION("""COMPUTED_VALUE"""),"Poison Tipped Knife")</f>
        <v>Poison Tipped Knife</v>
      </c>
      <c r="B737" s="32" t="str">
        <f>IFERROR(__xludf.DUMMYFUNCTION("""COMPUTED_VALUE"""),"""It isn't the most graceful end, and it isn't quick by any means... What, you thought I'd defend it?"" ~Gwennivir (Knife) lvl:1000, DMG: +50000 ++Poisoned I: Hitting an enemy with this weapon inflicts 500 poison")</f>
        <v>"It isn't the most graceful end, and it isn't quick by any means... What, you thought I'd defend it?" ~Gwennivir (Knife) lvl:1000, DMG: +50000 ++Poisoned I: Hitting an enemy with this weapon inflicts 500 poison</v>
      </c>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t="str">
        <f>IFERROR(__xludf.DUMMYFUNCTION("""COMPUTED_VALUE"""),"Frozen Head-Splitter")</f>
        <v>Frozen Head-Splitter</v>
      </c>
      <c r="B738" s="32" t="str">
        <f>IFERROR(__xludf.DUMMYFUNCTION("""COMPUTED_VALUE"""),"""Those trolls in the northern territories, who do you think taught them how to use those clubs they always carry around? It's as if they simply learned it overnight one day."" ~Mysterious Merchant (Club) lvl:1200, DMG: +50000, Storm DMG: +10000 ++Big Bas"&amp;"hin' Stick - 25% chance to stun an enemy upon hitting them for 2 rounds(percent stacks with weapon ability), ++Big Freezin' Stick - 15% chance to freeze an enemy upon hitting them")</f>
        <v>"Those trolls in the northern territories, who do you think taught them how to use those clubs they always carry around? It's as if they simply learned it overnight one day." ~Mysterious Merchant (Club) lvl:1200, DMG: +50000, Storm DMG: +10000 ++Big Bashin' Stick - 25% chance to stun an enemy upon hitting them for 2 rounds(percent stacks with weapon ability), ++Big Freezin' Stick - 15% chance to freeze an enemy upon hitting them</v>
      </c>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t="str">
        <f>IFERROR(__xludf.DUMMYFUNCTION("""COMPUTED_VALUE"""),"Fireball Cannon")</f>
        <v>Fireball Cannon</v>
      </c>
      <c r="B739" s="32" t="str">
        <f>IFERROR(__xludf.DUMMYFUNCTION("""COMPUTED_VALUE"""),"""Sometimes fire is the only answer to the question,"" ~Gwennivir (Firearm) lvl:1000, DMG: +30000, Fire DMG: +20000 ++Burn 10,000. ++Requires Fire Cannon Balls")</f>
        <v>"Sometimes fire is the only answer to the question," ~Gwennivir (Firearm) lvl:1000, DMG: +30000, Fire DMG: +20000 ++Burn 10,000. ++Requires Fire Cannon Balls</v>
      </c>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t="str">
        <f>IFERROR(__xludf.DUMMYFUNCTION("""COMPUTED_VALUE"""),"Harpoon Gun")</f>
        <v>Harpoon Gun</v>
      </c>
      <c r="B740" s="32" t="str">
        <f>IFERROR(__xludf.DUMMYFUNCTION("""COMPUTED_VALUE"""),"""You could use this for whaling and shark hunting, or you could use it to catch a few pirates, I don't judge,"" ~Gwennivir (Spear) lvl:400, DMG: +10000, Blood DMG: +10000 ++Bleed 10,000. ")</f>
        <v>"You could use this for whaling and shark hunting, or you could use it to catch a few pirates, I don't judge," ~Gwennivir (Spear) lvl:400, DMG: +10000, Blood DMG: +10000 ++Bleed 10,000. </v>
      </c>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t="str">
        <f>IFERROR(__xludf.DUMMYFUNCTION("""COMPUTED_VALUE"""),"Torpedo Launcher")</f>
        <v>Torpedo Launcher</v>
      </c>
      <c r="B741" s="32" t="str">
        <f>IFERROR(__xludf.DUMMYFUNCTION("""COMPUTED_VALUE"""),"""Sometimes you need a little more bang for your buck, in those times you need a torpedo,"" ~Gwennivir (Firearm) lvl:1000, DMG: +50000 ++ Requires Torpedos")</f>
        <v>"Sometimes you need a little more bang for your buck, in those times you need a torpedo," ~Gwennivir (Firearm) lvl:1000, DMG: +50000 ++ Requires Torpedos</v>
      </c>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t="str">
        <f>IFERROR(__xludf.DUMMYFUNCTION("""COMPUTED_VALUE"""),"Double Barrel Shotgun")</f>
        <v>Double Barrel Shotgun</v>
      </c>
      <c r="B742" s="32" t="str">
        <f>IFERROR(__xludf.DUMMYFUNCTION("""COMPUTED_VALUE"""),"""Because what's better than one barrel? Two,"" ~Gwennivir (Firearm) lvl:800, DMG: +20000, Blood DMG: +20000 ++You can use this Firearm twice on your turn during battle if you attack with it +-Cannot be forged +-Cannot be duplicated")</f>
        <v>"Because what's better than one barrel? Two," ~Gwennivir (Firearm) lvl:800, DMG: +20000, Blood DMG: +20000 ++You can use this Firearm twice on your turn during battle if you attack with it +-Cannot be forged +-Cannot be duplicated</v>
      </c>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t="str">
        <f>IFERROR(__xludf.DUMMYFUNCTION("""COMPUTED_VALUE"""),"Single Barrel Shotgun")</f>
        <v>Single Barrel Shotgun</v>
      </c>
      <c r="B743" s="32" t="str">
        <f>IFERROR(__xludf.DUMMYFUNCTION("""COMPUTED_VALUE"""),"""For when you want to put more than one hole in your enemies at a time"" ~Gwennivir (Firearm) lvl:400, DMG: +10000, Blood DMG: +10000")</f>
        <v>"For when you want to put more than one hole in your enemies at a time" ~Gwennivir (Firearm) lvl:400, DMG: +10000, Blood DMG: +10000</v>
      </c>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t="str">
        <f>IFERROR(__xludf.DUMMYFUNCTION("""COMPUTED_VALUE"""),"Poison Staff")</f>
        <v>Poison Staff</v>
      </c>
      <c r="B744" s="32" t="str">
        <f>IFERROR(__xludf.DUMMYFUNCTION("""COMPUTED_VALUE"""),"""Poison is generally looked down upon as a cowardly tactic by all but the poison master, but you must admit to it's efficieny"" ~Poison Master Hun (Staff) lvl:2000, DMG: +, Nature DMG: +100000 ++ Poison 20,000")</f>
        <v>"Poison is generally looked down upon as a cowardly tactic by all but the poison master, but you must admit to it's efficieny" ~Poison Master Hun (Staff) lvl:2000, DMG: +, Nature DMG: +100000 ++ Poison 20,000</v>
      </c>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t="str">
        <f>IFERROR(__xludf.DUMMYFUNCTION("""COMPUTED_VALUE"""),"Chameldrians Staff of Thriving Blossoms")</f>
        <v>Chameldrians Staff of Thriving Blossoms</v>
      </c>
      <c r="B745" s="32" t="str">
        <f>IFERROR(__xludf.DUMMYFUNCTION("""COMPUTED_VALUE"""),"""Truly a beatiful show of Chameldrian craftsmanship, too bad it's more often than not going to be pointed at you"" ~Poison Master Hun (Staff) lvl:2000, : +, Nature : +100000 ++Natures Shield - If you take damage that would kill you, you will live at 1hp "&amp;"once per battle. +-Cannot be forged. +-Cannot be duplicated.")</f>
        <v>"Truly a beatiful show of Chameldrian craftsmanship, too bad it's more often than not going to be pointed at you" ~Poison Master Hun (Staff) lvl:2000, : +, Nature : +100000 ++Natures Shield - If you take damage that would kill you, you will live at 1hp once per battle. +-Cannot be forged. +-Cannot be duplicated.</v>
      </c>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t="str">
        <f>IFERROR(__xludf.DUMMYFUNCTION("""COMPUTED_VALUE"""),"Cooper's Memento")</f>
        <v>Cooper's Memento</v>
      </c>
      <c r="B746" s="32" t="str">
        <f>IFERROR(__xludf.DUMMYFUNCTION("""COMPUTED_VALUE"""),"A small stopwatch, the ticking has stopped. (Item) lvl:1, : + ++15% chance to be unaffected by a curse")</f>
        <v>A small stopwatch, the ticking has stopped. (Item) lvl:1, : + ++15% chance to be unaffected by a curse</v>
      </c>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t="str">
        <f>IFERROR(__xludf.DUMMYFUNCTION("""COMPUTED_VALUE"""),"Gaian Champion's Shield")</f>
        <v>Gaian Champion's Shield</v>
      </c>
      <c r="B747" s="32" t="str">
        <f>IFERROR(__xludf.DUMMYFUNCTION("""COMPUTED_VALUE"""),"""We are born to be the shield of the people, too many paladins forget this simple fact"" ~Grisaia (Towershield) lvl:200, DEF: +50000, Fire DEF: +50000, Storm DEF: +50000, Earth DEF: +50000, Celestial DEF: +50000 ++15% chance to prevent an ally from takin"&amp;"g damage when hit by an attack. ++X6 Earth Damage +-Cannot be Duplicated")</f>
        <v>"We are born to be the shield of the people, too many paladins forget this simple fact" ~Grisaia (Towershield) lvl:200, DEF: +50000, Fire DEF: +50000, Storm DEF: +50000, Earth DEF: +50000, Celestial DEF: +50000 ++15% chance to prevent an ally from taking damage when hit by an attack. ++X6 Earth Damage +-Cannot be Duplicated</v>
      </c>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t="str">
        <f>IFERROR(__xludf.DUMMYFUNCTION("""COMPUTED_VALUE"""),"The Billowing Bludgeon")</f>
        <v>The Billowing Bludgeon</v>
      </c>
      <c r="B748" s="32" t="str">
        <f>IFERROR(__xludf.DUMMYFUNCTION("""COMPUTED_VALUE"""),"""Sure, you could use this as how a staff is supposed to be used, but hitting your enemy on the head with it is more fun"" ~Fire Tiki Mountain Shaman (Staff) lvl:200, DMG: +75000, Fire DMG: +75000, Earth DMG: +75000, Celestial DMG: +75000 ++X6 Earth and F"&amp;"ire damage. ++Additional X6 Earth and Fire damage if the enemy is Vulerable to either damage type. ++Billowing Smoke - Cover the field in smoke and flames giving enemies Blindness 3 and Burn 5000 for 3 rounds. 1000 sp")</f>
        <v>"Sure, you could use this as how a staff is supposed to be used, but hitting your enemy on the head with it is more fun" ~Fire Tiki Mountain Shaman (Staff) lvl:200, 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t="str">
        <f>IFERROR(__xludf.DUMMYFUNCTION("""COMPUTED_VALUE"""),"Home Run Bat")</f>
        <v>Home Run Bat</v>
      </c>
      <c r="B749" s="32" t="str">
        <f>IFERROR(__xludf.DUMMYFUNCTION("""COMPUTED_VALUE""")," (Club) lvl:200, DMG: +100000, Celestial DMG: +100000 ++Batter Up! - Plus 2 to turn order roll. ++Home Run - If you roll a 20 or higher while attacking with this weapon the attack roll becomes double. +-Cannot be forged. +-Cannot be duplicated.")</f>
        <v> (Club) lvl:200, DMG: +100000, Celestial DMG: +100000 ++Batter Up! - Plus 2 to turn order roll. ++Home Run - If you roll a 20 or higher while attacking with this weapon the attack roll becomes double. +-Cannot be forged. +-Cannot be duplicated.</v>
      </c>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t="str">
        <f>IFERROR(__xludf.DUMMYFUNCTION("""COMPUTED_VALUE"""),"Lunar New Year Dragon Head")</f>
        <v>Lunar New Year Dragon Head</v>
      </c>
      <c r="B750" s="32" t="str">
        <f>IFERROR(__xludf.DUMMYFUNCTION("""COMPUTED_VALUE""")," (Item) lvl:200, DEF: +25000, Fire DEF: +25000, Celestial DEF: +25000 ++Gain ""Greater Dragon's Breath"" Power. ++X2 additional Fire Damage.")</f>
        <v> (Item) lvl:200, DEF: +25000, Fire DEF: +25000, Celestial DEF: +25000 ++Gain "Greater Dragon's Breath" Power. ++X2 additional Fire Damage.</v>
      </c>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t="str">
        <f>IFERROR(__xludf.DUMMYFUNCTION("""COMPUTED_VALUE"""),"Lunar New Year Dragon Shoulders")</f>
        <v>Lunar New Year Dragon Shoulders</v>
      </c>
      <c r="B751" s="32" t="str">
        <f>IFERROR(__xludf.DUMMYFUNCTION("""COMPUTED_VALUE""")," (Item) lvl:200, DEF: +25000, Fire DEF: +25000, Celestial DEF: +25000 ++X2 additional Fire Damage.")</f>
        <v> (Item) lvl:200, DEF: +25000, Fire DEF: +25000, Celestial DEF: +25000 ++X2 additional Fire Damage.</v>
      </c>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t="str">
        <f>IFERROR(__xludf.DUMMYFUNCTION("""COMPUTED_VALUE"""),"Lunar New Year Dragon Arms")</f>
        <v>Lunar New Year Dragon Arms</v>
      </c>
      <c r="B752" s="32" t="str">
        <f>IFERROR(__xludf.DUMMYFUNCTION("""COMPUTED_VALUE""")," (Item) lvl:200, DEF: +25000, Fire DEF: +25000, Celestial DEF: +25000 ++X2 additional Fire Damage.")</f>
        <v> (Item) lvl:200, DEF: +25000, Fire DEF: +25000, Celestial DEF: +25000 ++X2 additional Fire Damage.</v>
      </c>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t="str">
        <f>IFERROR(__xludf.DUMMYFUNCTION("""COMPUTED_VALUE"""),"Lunar New Year Dragon Torso")</f>
        <v>Lunar New Year Dragon Torso</v>
      </c>
      <c r="B753" s="32" t="str">
        <f>IFERROR(__xludf.DUMMYFUNCTION("""COMPUTED_VALUE""")," (Item) lvl:200, DEF: +25000, Fire DEF: +25000, Celestial DEF: +25000 ++X2 additional Fire Damage.")</f>
        <v> (Item) lvl:200, DEF: +25000, Fire DEF: +25000, Celestial DEF: +25000 ++X2 additional Fire Damage.</v>
      </c>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t="str">
        <f>IFERROR(__xludf.DUMMYFUNCTION("""COMPUTED_VALUE"""),"Lunar New Year Dragon Legs")</f>
        <v>Lunar New Year Dragon Legs</v>
      </c>
      <c r="B754" s="32" t="str">
        <f>IFERROR(__xludf.DUMMYFUNCTION("""COMPUTED_VALUE""")," (Item) lvl:200, DEF: +25000, Fire DEF: +25000, Celestial DEF: +25000 ++X2 additional Fire Damage.")</f>
        <v> (Item) lvl:200, DEF: +25000, Fire DEF: +25000, Celestial DEF: +25000 ++X2 additional Fire Damage.</v>
      </c>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t="str">
        <f>IFERROR(__xludf.DUMMYFUNCTION("""COMPUTED_VALUE"""),"Lunar New Year Dragon Feet")</f>
        <v>Lunar New Year Dragon Feet</v>
      </c>
      <c r="B755" s="32" t="str">
        <f>IFERROR(__xludf.DUMMYFUNCTION("""COMPUTED_VALUE""")," (Item) lvl:200, DEF: +25000, Fire DEF: +25000, Celestial DEF: +25000 ++X2 additional Fire Damage.")</f>
        <v> (Item) lvl:200, DEF: +25000, Fire DEF: +25000, Celestial DEF: +25000 ++X2 additional Fire Damage.</v>
      </c>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t="str">
        <f>IFERROR(__xludf.DUMMYFUNCTION("""COMPUTED_VALUE"""),"Spirit Blade")</f>
        <v>Spirit Blade</v>
      </c>
      <c r="B756" s="32" t="str">
        <f>IFERROR(__xludf.DUMMYFUNCTION("""COMPUTED_VALUE""")," (Sword) lvl:600, DMG: +20000, Light DMG: +10000")</f>
        <v> (Sword) lvl:600, DMG: +20000, Light DMG: +10000</v>
      </c>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t="str">
        <f>IFERROR(__xludf.DUMMYFUNCTION("""COMPUTED_VALUE"""),"Spirit Shield")</f>
        <v>Spirit Shield</v>
      </c>
      <c r="B757" s="32" t="str">
        <f>IFERROR(__xludf.DUMMYFUNCTION("""COMPUTED_VALUE""")," (Buckler) lvl:600, DEF: +20000, Light DEF: +10000")</f>
        <v> (Buckler) lvl:600, DEF: +20000, Light DEF: +10000</v>
      </c>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t="str">
        <f>IFERROR(__xludf.DUMMYFUNCTION("""COMPUTED_VALUE"""),"Mage's Hood")</f>
        <v>Mage's Hood</v>
      </c>
      <c r="B758" s="32" t="str">
        <f>IFERROR(__xludf.DUMMYFUNCTION("""COMPUTED_VALUE""")," (Item) lvl:1, DEF: + ++5000 additional HP and SP. ++Plus 2 Wisdom. +-Cannot be forged. +-Cannot be duplicateed.")</f>
        <v> (Item) lvl:1, DEF: + ++5000 additional HP and SP. ++Plus 2 Wisdom. +-Cannot be forged. +-Cannot be duplicateed.</v>
      </c>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t="str">
        <f>IFERROR(__xludf.DUMMYFUNCTION("""COMPUTED_VALUE"""),"Mage's Cloak")</f>
        <v>Mage's Cloak</v>
      </c>
      <c r="B759" s="32" t="str">
        <f>IFERROR(__xludf.DUMMYFUNCTION("""COMPUTED_VALUE""")," (Item) lvl:1, DEF: + ++5000 additional HP and SP. ++Plus 2 Wisdom. +-Cannot be forged. +-Cannot be duplicateed.")</f>
        <v> (Item) lvl:1, DEF: + ++5000 additional HP and SP. ++Plus 2 Wisdom. +-Cannot be forged. +-Cannot be duplicateed.</v>
      </c>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t="str">
        <f>IFERROR(__xludf.DUMMYFUNCTION("""COMPUTED_VALUE"""),"Mage's Shoes")</f>
        <v>Mage's Shoes</v>
      </c>
      <c r="B760" s="32" t="str">
        <f>IFERROR(__xludf.DUMMYFUNCTION("""COMPUTED_VALUE""")," (Item) lvl:1, DEF: + ++5000 additional HP and SP. ++Plus 1 Wisdom. +-Cannot be forged. +-Cannot be duplicateed.")</f>
        <v> (Item) lvl:1, DEF: + ++5000 additional HP and SP. ++Plus 1 Wisdom. +-Cannot be forged. +-Cannot be duplicateed.</v>
      </c>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t="str">
        <f>IFERROR(__xludf.DUMMYFUNCTION("""COMPUTED_VALUE"""),"Sorcerer's Hood")</f>
        <v>Sorcerer's Hood</v>
      </c>
      <c r="B761" s="32" t="str">
        <f>IFERROR(__xludf.DUMMYFUNCTION("""COMPUTED_VALUE""")," (Item) lvl:1, DEF: + ++2500 additional HP and SP. ++Plus 2 Wisdom. +-Cannot be forged. +-Cannot be duplicateed.")</f>
        <v> (Item) lvl:1, DEF: + ++2500 additional HP and SP. ++Plus 2 Wisdom. +-Cannot be forged. +-Cannot be duplicateed.</v>
      </c>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t="str">
        <f>IFERROR(__xludf.DUMMYFUNCTION("""COMPUTED_VALUE"""),"Sorcerer's Cloak")</f>
        <v>Sorcerer's Cloak</v>
      </c>
      <c r="B762" s="32" t="str">
        <f>IFERROR(__xludf.DUMMYFUNCTION("""COMPUTED_VALUE""")," (Item) lvl:1, DEF: + ++2500 additional HP and SP. ++Plus 2 Wisdom. +-Cannot be forged. +-Cannot be duplicateed.")</f>
        <v> (Item) lvl:1, DEF: + ++2500 additional HP and SP. ++Plus 2 Wisdom. +-Cannot be forged. +-Cannot be duplicateed.</v>
      </c>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t="str">
        <f>IFERROR(__xludf.DUMMYFUNCTION("""COMPUTED_VALUE"""),"Sorcerer's Shoes")</f>
        <v>Sorcerer's Shoes</v>
      </c>
      <c r="B763" s="32" t="str">
        <f>IFERROR(__xludf.DUMMYFUNCTION("""COMPUTED_VALUE""")," (Item) lvl:1, DEF: + ++2500 additional HP and SP. ++Plus 1 Wisdom. +-Cannot be forged. +-Cannot be duplicateed.")</f>
        <v> (Item) lvl:1, DEF: + ++2500 additional HP and SP. ++Plus 1 Wisdom. +-Cannot be forged. +-Cannot be duplicateed.</v>
      </c>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t="str">
        <f>IFERROR(__xludf.DUMMYFUNCTION("""COMPUTED_VALUE"""),"Wizard's Hood")</f>
        <v>Wizard's Hood</v>
      </c>
      <c r="B764" s="32" t="str">
        <f>IFERROR(__xludf.DUMMYFUNCTION("""COMPUTED_VALUE""")," (Item) lvl:1, DEF: + ++1000 additional HP and SP. ++X2 Spell Damage. +-Cannot be forged. +-Cannot be duplicateed.")</f>
        <v> (Item) lvl:1, DEF: + ++1000 additional HP and SP. ++X2 Spell Damage. +-Cannot be forged. +-Cannot be duplicateed.</v>
      </c>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t="str">
        <f>IFERROR(__xludf.DUMMYFUNCTION("""COMPUTED_VALUE"""),"Wizard's Cloak")</f>
        <v>Wizard's Cloak</v>
      </c>
      <c r="B765" s="32" t="str">
        <f>IFERROR(__xludf.DUMMYFUNCTION("""COMPUTED_VALUE""")," (Item) lvl:1, DEF: + ++1000 additional HP and SP. ++X2 Spell Damage. +-Cannot be forged. +-Cannot be duplicateed.")</f>
        <v> (Item) lvl:1, DEF: + ++1000 additional HP and SP. ++X2 Spell Damage. +-Cannot be forged. +-Cannot be duplicateed.</v>
      </c>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t="str">
        <f>IFERROR(__xludf.DUMMYFUNCTION("""COMPUTED_VALUE"""),"Wizard's Shoes")</f>
        <v>Wizard's Shoes</v>
      </c>
      <c r="B766" s="32" t="str">
        <f>IFERROR(__xludf.DUMMYFUNCTION("""COMPUTED_VALUE""")," (Item) lvl:1, DEF: + ++1000 additional HP and SP. ++X2 Spell Damage. +-Cannot be forged. +-Cannot be duplicateed.")</f>
        <v> (Item) lvl:1, DEF: + ++1000 additional HP and SP. ++X2 Spell Damage. +-Cannot be forged. +-Cannot be duplicateed.</v>
      </c>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t="str">
        <f>IFERROR(__xludf.DUMMYFUNCTION("""COMPUTED_VALUE"""),"Gunslinger's Cap")</f>
        <v>Gunslinger's Cap</v>
      </c>
      <c r="B767" s="32" t="str">
        <f>IFERROR(__xludf.DUMMYFUNCTION("""COMPUTED_VALUE""")," (Item) lvl:1, DEF: + ++10,000 ACC and ATK. ++2 Mobility +-Cannot be forged or duplicated")</f>
        <v> (Item) lvl:1, DEF: + ++10,000 ACC and ATK. ++2 Mobility +-Cannot be forged or duplicated</v>
      </c>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t="str">
        <f>IFERROR(__xludf.DUMMYFUNCTION("""COMPUTED_VALUE"""),"Gunslinger's Shirt")</f>
        <v>Gunslinger's Shirt</v>
      </c>
      <c r="B768" s="32" t="str">
        <f>IFERROR(__xludf.DUMMYFUNCTION("""COMPUTED_VALUE""")," (Item) lvl:1, DEF: + ++10,000 ACC and ATK. ++2 Mobility +-Cannot be forged or duplicated")</f>
        <v> (Item) lvl:1, DEF: + ++10,000 ACC and ATK. ++2 Mobility +-Cannot be forged or duplicated</v>
      </c>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t="str">
        <f>IFERROR(__xludf.DUMMYFUNCTION("""COMPUTED_VALUE"""),"Gunslinger's Boots")</f>
        <v>Gunslinger's Boots</v>
      </c>
      <c r="B769" s="32" t="str">
        <f>IFERROR(__xludf.DUMMYFUNCTION("""COMPUTED_VALUE""")," (Item) lvl:1, DEF: + ++10,000 ACC and ATK. ++1 Mobility +-Cannot be forged or duplicated")</f>
        <v> (Item) lvl:1, DEF: + ++10,000 ACC and ATK. ++1 Mobility +-Cannot be forged or duplicated</v>
      </c>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t="str">
        <f>IFERROR(__xludf.DUMMYFUNCTION("""COMPUTED_VALUE"""),"Bard's Coif")</f>
        <v>Bard's Coif</v>
      </c>
      <c r="B770" s="32" t="str">
        <f>IFERROR(__xludf.DUMMYFUNCTION("""COMPUTED_VALUE""")," (Item) lvl:1, DEF: + ++10,000 ACC and ATK. ++2 Charisma +-Cannot be forged or duplicated")</f>
        <v> (Item) lvl:1, DEF: + ++10,000 ACC and ATK. ++2 Charisma +-Cannot be forged or duplicated</v>
      </c>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t="str">
        <f>IFERROR(__xludf.DUMMYFUNCTION("""COMPUTED_VALUE"""),"Bard's Gambeson")</f>
        <v>Bard's Gambeson</v>
      </c>
      <c r="B771" s="32" t="str">
        <f>IFERROR(__xludf.DUMMYFUNCTION("""COMPUTED_VALUE""")," (Item) lvl:1, DEF: + ++10,000 ACC and ATK. ++2 Charisma +-Cannot be forged or duplicated")</f>
        <v> (Item) lvl:1, DEF: + ++10,000 ACC and ATK. ++2 Charisma +-Cannot be forged or duplicated</v>
      </c>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t="str">
        <f>IFERROR(__xludf.DUMMYFUNCTION("""COMPUTED_VALUE"""),"Bard's Shoes")</f>
        <v>Bard's Shoes</v>
      </c>
      <c r="B772" s="32" t="str">
        <f>IFERROR(__xludf.DUMMYFUNCTION("""COMPUTED_VALUE""")," (Item) lvl:1, DEF: + ++10,000 ACC and ATK. ++1 Charisma +-Cannot be forged or duplicated")</f>
        <v> (Item) lvl:1, DEF: + ++10,000 ACC and ATK. ++1 Charisma +-Cannot be forged or duplicated</v>
      </c>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t="str">
        <f>IFERROR(__xludf.DUMMYFUNCTION("""COMPUTED_VALUE"""),"Dragonscale Skirt")</f>
        <v>Dragonscale Skirt</v>
      </c>
      <c r="B773" s="32" t="str">
        <f>IFERROR(__xludf.DUMMYFUNCTION("""COMPUTED_VALUE""")," (Item) lvl:1, DEF: + ++7,000 additional HP and SP, ++2 Mobility +-Cannot be forged or duplicated")</f>
        <v> (Item) lvl:1, DEF: + ++7,000 additional HP and SP, ++2 Mobility +-Cannot be forged or duplicated</v>
      </c>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t="str">
        <f>IFERROR(__xludf.DUMMYFUNCTION("""COMPUTED_VALUE"""),"Dragonscale Cape")</f>
        <v>Dragonscale Cape</v>
      </c>
      <c r="B774" s="32" t="str">
        <f>IFERROR(__xludf.DUMMYFUNCTION("""COMPUTED_VALUE""")," (Item) lvl:1, DEF: + ++8,300 additional HP and SP, +-Cannot be forged or duplicated")</f>
        <v> (Item) lvl:1, DEF: + ++8,300 additional HP and SP, +-Cannot be forged or duplicated</v>
      </c>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t="str">
        <f>IFERROR(__xludf.DUMMYFUNCTION("""COMPUTED_VALUE"""),"Broken Dragonscale Mail")</f>
        <v>Broken Dragonscale Mail</v>
      </c>
      <c r="B775" s="32" t="str">
        <f>IFERROR(__xludf.DUMMYFUNCTION("""COMPUTED_VALUE""")," (Item) lvl:980, DEF: +48900 +-5% chance of breaking when wearer is attacked")</f>
        <v> (Item) lvl:980, DEF: +48900 +-5% chance of breaking when wearer is attacked</v>
      </c>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t="str">
        <f>IFERROR(__xludf.DUMMYFUNCTION("""COMPUTED_VALUE"""),"Dragonscale Mail")</f>
        <v>Dragonscale Mail</v>
      </c>
      <c r="B776" s="32" t="str">
        <f>IFERROR(__xludf.DUMMYFUNCTION("""COMPUTED_VALUE""")," (Item) lvl:3000, DEF: +150000")</f>
        <v> (Item) lvl:3000, DEF: +150000</v>
      </c>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t="str">
        <f>IFERROR(__xludf.DUMMYFUNCTION("""COMPUTED_VALUE"""),"Dragonscale Charm")</f>
        <v>Dragonscale Charm</v>
      </c>
      <c r="B777" s="32" t="str">
        <f>IFERROR(__xludf.DUMMYFUNCTION("""COMPUTED_VALUE""")," (Item) lvl:1, DEF: + ++1000 additional HP and SP for every piece of Dragonscale equipment equipped +-Cannot be forged or duplicated")</f>
        <v> (Item) lvl:1, DEF: + ++1000 additional HP and SP for every piece of Dragonscale equipment equipped +-Cannot be forged or duplicated</v>
      </c>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t="str">
        <f>IFERROR(__xludf.DUMMYFUNCTION("""COMPUTED_VALUE"""),"Dragonscale Sandals")</f>
        <v>Dragonscale Sandals</v>
      </c>
      <c r="B778" s="32" t="str">
        <f>IFERROR(__xludf.DUMMYFUNCTION("""COMPUTED_VALUE""")," (Item) lvl:1, DEF: + ++2 Mobility +-Cannot be forged or duplicated")</f>
        <v> (Item) lvl:1, DEF: + ++2 Mobility +-Cannot be forged or duplicated</v>
      </c>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t="str">
        <f>IFERROR(__xludf.DUMMYFUNCTION("""COMPUTED_VALUE"""),"Dragonscale Talisman")</f>
        <v>Dragonscale Talisman</v>
      </c>
      <c r="B779" s="32" t="str">
        <f>IFERROR(__xludf.DUMMYFUNCTION("""COMPUTED_VALUE""")," (Item) lvl:1, DEF: + ++10000 additional HP and SP, +-Cannot be forged or duplicated")</f>
        <v> (Item) lvl:1, DEF: + ++10000 additional HP and SP, +-Cannot be forged or duplicated</v>
      </c>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t="str">
        <f>IFERROR(__xludf.DUMMYFUNCTION("""COMPUTED_VALUE"""),"Dragonscale Water Ring")</f>
        <v>Dragonscale Water Ring</v>
      </c>
      <c r="B780" s="32" t="str">
        <f>IFERROR(__xludf.DUMMYFUNCTION("""COMPUTED_VALUE""")," (Item) lvl:1, DEF: + ++Converts all Natural damage to Water damage +-Cannot be duplicated")</f>
        <v> (Item) lvl:1, DEF: + ++Converts all Natural damage to Water damage +-Cannot be duplicated</v>
      </c>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t="str">
        <f>IFERROR(__xludf.DUMMYFUNCTION("""COMPUTED_VALUE"""),"Dragonscale Gauntlets")</f>
        <v>Dragonscale Gauntlets</v>
      </c>
      <c r="B781" s="32" t="str">
        <f>IFERROR(__xludf.DUMMYFUNCTION("""COMPUTED_VALUE""")," (Gauntlet) lvl:2000, DEF: +100000")</f>
        <v> (Gauntlet) lvl:2000, DEF: +100000</v>
      </c>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t="str">
        <f>IFERROR(__xludf.DUMMYFUNCTION("""COMPUTED_VALUE"""),"Fire Dragonscale Bow")</f>
        <v>Fire Dragonscale Bow</v>
      </c>
      <c r="B782" s="32" t="str">
        <f>IFERROR(__xludf.DUMMYFUNCTION("""COMPUTED_VALUE""")," (Bow) lvl:3000, DMG: +20000, Fire DMG: +130000")</f>
        <v> (Bow) lvl:3000, DMG: +20000, Fire DMG: +130000</v>
      </c>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t="str">
        <f>IFERROR(__xludf.DUMMYFUNCTION("""COMPUTED_VALUE"""),"Storm Dragonscale Flail")</f>
        <v>Storm Dragonscale Flail</v>
      </c>
      <c r="B783" s="32" t="str">
        <f>IFERROR(__xludf.DUMMYFUNCTION("""COMPUTED_VALUE""")," (Club) lvl:2400, DMG: +20000, Storm DMG: +100000 ++If multiple enemies of the same type are present, attacks hit all enemies of that type. +-Cannot be forged or duplicated")</f>
        <v> (Club) lvl:2400, DMG: +20000, Storm DMG: +100000 ++If multiple enemies of the same type are present, attacks hit all enemies of that type. +-Cannot be forged or duplicated</v>
      </c>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t="str">
        <f>IFERROR(__xludf.DUMMYFUNCTION("""COMPUTED_VALUE"""),"Dragonscale Spear")</f>
        <v>Dragonscale Spear</v>
      </c>
      <c r="B784" s="32" t="str">
        <f>IFERROR(__xludf.DUMMYFUNCTION("""COMPUTED_VALUE""")," (Spear) lvl:2800, DMG: +140000")</f>
        <v> (Spear) lvl:2800, DMG: +140000</v>
      </c>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t="str">
        <f>IFERROR(__xludf.DUMMYFUNCTION("""COMPUTED_VALUE"""),"Dragonscale Scythe")</f>
        <v>Dragonscale Scythe</v>
      </c>
      <c r="B785" s="32" t="str">
        <f>IFERROR(__xludf.DUMMYFUNCTION("""COMPUTED_VALUE""")," (Scythe) lvl:2500, DMG: +125000 ++If used to kill a dragon, 100% chance to get its soul. +-Cannot be forged or duplicated")</f>
        <v> (Scythe) lvl:2500, DMG: +125000 ++If used to kill a dragon, 100% chance to get its soul. +-Cannot be forged or duplicated</v>
      </c>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t="str">
        <f>IFERROR(__xludf.DUMMYFUNCTION("""COMPUTED_VALUE"""),"Dark Dragonscale Claws")</f>
        <v>Dark Dragonscale Claws</v>
      </c>
      <c r="B786" s="32" t="str">
        <f>IFERROR(__xludf.DUMMYFUNCTION("""COMPUTED_VALUE""")," (Claw) lvl:2900, DMG: +, Dark DMG: +145000 ++ 30% chance to remove enemy from battle")</f>
        <v> (Claw) lvl:2900, DMG: +, Dark DMG: +145000 ++ 30% chance to remove enemy from battle</v>
      </c>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t="str">
        <f>IFERROR(__xludf.DUMMYFUNCTION("""COMPUTED_VALUE"""),"Chaotic Dragonscale Claw")</f>
        <v>Chaotic Dragonscale Claw</v>
      </c>
      <c r="B787" s="32" t="str">
        <f>IFERROR(__xludf.DUMMYFUNCTION("""COMPUTED_VALUE""")," (Claw) lvl:2350, DMG: +1, Chaos DMG: +117000 +-5% chance of dealing 1 damage when attacking")</f>
        <v> (Claw) lvl:2350, DMG: +1, Chaos DMG: +117000 +-5% chance of dealing 1 damage when attacking</v>
      </c>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t="str">
        <f>IFERROR(__xludf.DUMMYFUNCTION("""COMPUTED_VALUE"""),"Earthen Dragonscale Boots")</f>
        <v>Earthen Dragonscale Boots</v>
      </c>
      <c r="B788" s="32" t="str">
        <f>IFERROR(__xludf.DUMMYFUNCTION("""COMPUTED_VALUE""")," (Item) lvl:3000, DEF: +60000, Earth DEF: +90000 ++Immune to Earth spells")</f>
        <v> (Item) lvl:3000, DEF: +60000, Earth DEF: +90000 ++Immune to Earth spells</v>
      </c>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t="str">
        <f>IFERROR(__xludf.DUMMYFUNCTION("""COMPUTED_VALUE"""),"Dragonscale Harp")</f>
        <v>Dragonscale Harp</v>
      </c>
      <c r="B789" s="32" t="str">
        <f>IFERROR(__xludf.DUMMYFUNCTION("""COMPUTED_VALUE""")," (Instrument) lvl:2620, DMG: +1000, Acoustic DMG: +130000 ++Causes any dragon enemies to skip its next turn when attacked.")</f>
        <v> (Instrument) lvl:2620, DMG: +1000, Acoustic DMG: +130000 ++Causes any dragon enemies to skip its next turn when attacked.</v>
      </c>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t="str">
        <f>IFERROR(__xludf.DUMMYFUNCTION("""COMPUTED_VALUE"""),"Dragonscale Bracers")</f>
        <v>Dragonscale Bracers</v>
      </c>
      <c r="B790" s="32" t="str">
        <f>IFERROR(__xludf.DUMMYFUNCTION("""COMPUTED_VALUE""")," (Item) lvl:2000, DEF: +100000 ++X2 DEF when fighting a dragon(s).")</f>
        <v> (Item) lvl:2000, DEF: +100000 ++X2 DEF when fighting a dragon(s).</v>
      </c>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t="str">
        <f>IFERROR(__xludf.DUMMYFUNCTION("""COMPUTED_VALUE"""),"Dragonscale Crown")</f>
        <v>Dragonscale Crown</v>
      </c>
      <c r="B791" s="32" t="str">
        <f>IFERROR(__xludf.DUMMYFUNCTION("""COMPUTED_VALUE""")," (Item) lvl:1, DEF: + ++7,500 additional HP and SP, +-Cannot be forged or duplicated")</f>
        <v> (Item) lvl:1, DEF: + ++7,500 additional HP and SP, +-Cannot be forged or duplicated</v>
      </c>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t="str">
        <f>IFERROR(__xludf.DUMMYFUNCTION("""COMPUTED_VALUE"""),"Dragonscale Helm")</f>
        <v>Dragonscale Helm</v>
      </c>
      <c r="B792" s="32" t="str">
        <f>IFERROR(__xludf.DUMMYFUNCTION("""COMPUTED_VALUE""")," (Item) lvl:2600, DEF: +130000")</f>
        <v> (Item) lvl:2600, DEF: +130000</v>
      </c>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t="str">
        <f>IFERROR(__xludf.DUMMYFUNCTION("""COMPUTED_VALUE"""),"Dragonscale Rifle")</f>
        <v>Dragonscale Rifle</v>
      </c>
      <c r="B793" s="32" t="str">
        <f>IFERROR(__xludf.DUMMYFUNCTION("""COMPUTED_VALUE""")," (Firearm) lvl:3400, DMG: +170000  +-Uses bullets")</f>
        <v> (Firearm) lvl:3400, DMG: +170000  +-Uses bullets</v>
      </c>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t="str">
        <f>IFERROR(__xludf.DUMMYFUNCTION("""COMPUTED_VALUE"""),"Searing Dragonscale Staff")</f>
        <v>Searing Dragonscale Staff</v>
      </c>
      <c r="B794" s="32" t="str">
        <f>IFERROR(__xludf.DUMMYFUNCTION("""COMPUTED_VALUE""")," (Staff) lvl:3000, DMG: +, Light DMG: +150000")</f>
        <v> (Staff) lvl:3000, DMG: +, Light DMG: +150000</v>
      </c>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t="str">
        <f>IFERROR(__xludf.DUMMYFUNCTION("""COMPUTED_VALUE"""),"Forgotten Scythe")</f>
        <v>Forgotten Scythe</v>
      </c>
      <c r="B795" s="32" t="str">
        <f>IFERROR(__xludf.DUMMYFUNCTION("""COMPUTED_VALUE""")," (Scythe) lvl:5800, DMG: +, Chaos DMG: +290000")</f>
        <v> (Scythe) lvl:5800, DMG: +, Chaos DMG: +290000</v>
      </c>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t="str">
        <f>IFERROR(__xludf.DUMMYFUNCTION("""COMPUTED_VALUE"""),"Forsaken Club")</f>
        <v>Forsaken Club</v>
      </c>
      <c r="B796" s="32" t="str">
        <f>IFERROR(__xludf.DUMMYFUNCTION("""COMPUTED_VALUE""")," (Club) lvl:5000, DMG: +250000")</f>
        <v> (Club) lvl:5000, DMG: +250000</v>
      </c>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t="str">
        <f>IFERROR(__xludf.DUMMYFUNCTION("""COMPUTED_VALUE"""),"Demonic Breastplate")</f>
        <v>Demonic Breastplate</v>
      </c>
      <c r="B797" s="32" t="str">
        <f>IFERROR(__xludf.DUMMYFUNCTION("""COMPUTED_VALUE""")," (Item) lvl:4000, DEF: +50000, Fire DEF: +50000, Dark DEF: +50000, Chaos DEF: +50000")</f>
        <v> (Item) lvl:4000, DEF: +50000, Fire DEF: +50000, Dark DEF: +50000, Chaos DEF: +50000</v>
      </c>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t="str">
        <f>IFERROR(__xludf.DUMMYFUNCTION("""COMPUTED_VALUE"""),"Fallen Ruler's Crown")</f>
        <v>Fallen Ruler's Crown</v>
      </c>
      <c r="B798" s="32" t="str">
        <f>IFERROR(__xludf.DUMMYFUNCTION("""COMPUTED_VALUE""")," (Item) lvl:1, DEF: + ++5% chance undead enemies will willingly surrender +-Cannot be forged or duplicated")</f>
        <v> (Item) lvl:1, DEF: + ++5% chance undead enemies will willingly surrender +-Cannot be forged or duplicated</v>
      </c>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t="str">
        <f>IFERROR(__xludf.DUMMYFUNCTION("""COMPUTED_VALUE"""),"Old Knife")</f>
        <v>Old Knife</v>
      </c>
      <c r="B799" s="32" t="str">
        <f>IFERROR(__xludf.DUMMYFUNCTION("""COMPUTED_VALUE""")," (Knife) lvl:3640, DMG: +12000, Blood DMG: +170000")</f>
        <v> (Knife) lvl:3640, DMG: +12000, Blood DMG: +170000</v>
      </c>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t="str">
        <f>IFERROR(__xludf.DUMMYFUNCTION("""COMPUTED_VALUE"""),"Plunderbuss")</f>
        <v>Plunderbuss</v>
      </c>
      <c r="B800" s="32" t="str">
        <f>IFERROR(__xludf.DUMMYFUNCTION("""COMPUTED_VALUE""")," (Firearm) lvl:3800, DMG: +190000 +-Uses bullets, ++Get two of every loot drop you roll. +-Cannot be forged or duplicated")</f>
        <v> (Firearm) lvl:3800, DMG: +190000 +-Uses bullets, ++Get two of every loot drop you roll. +-Cannot be forged or duplicated</v>
      </c>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t="str">
        <f>IFERROR(__xludf.DUMMYFUNCTION("""COMPUTED_VALUE"""),"Dragon Destroyer")</f>
        <v>Dragon Destroyer</v>
      </c>
      <c r="B801" s="32" t="str">
        <f>IFERROR(__xludf.DUMMYFUNCTION("""COMPUTED_VALUE""")," (Axe) lvl:6000, DMG: +300000 ++deals unblockable damage to dragons +-Cannot be forged or duplicated")</f>
        <v> (Axe) lvl:6000, DMG: +300000 ++deals unblockable damage to dragons +-Cannot be forged or duplicated</v>
      </c>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t="str">
        <f>IFERROR(__xludf.DUMMYFUNCTION("""COMPUTED_VALUE"""),"Dragonscale of Returns")</f>
        <v>Dragonscale of Returns</v>
      </c>
      <c r="B802" s="32" t="str">
        <f>IFERROR(__xludf.DUMMYFUNCTION("""COMPUTED_VALUE""")," (Boomerang) lvl:1500, DMG: +75000 ++Receive a dragon scale when thrown at a dragon, +-Cannot be forged or duplicated")</f>
        <v> (Boomerang) lvl:1500, DMG: +75000 ++Receive a dragon scale when thrown at a dragon, +-Cannot be forged or duplicated</v>
      </c>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t="str">
        <f>IFERROR(__xludf.DUMMYFUNCTION("""COMPUTED_VALUE"""),"Brimstone Staff")</f>
        <v>Brimstone Staff</v>
      </c>
      <c r="B803" s="32" t="str">
        <f>IFERROR(__xludf.DUMMYFUNCTION("""COMPUTED_VALUE""")," (Staff) lvl:4600, DMG: +, Fire DMG: +230000 ++Fire spells cost half SP, +-Cannot be forged or duplicated")</f>
        <v> (Staff) lvl:4600, DMG: +, Fire DMG: +230000 ++Fire spells cost half SP, +-Cannot be forged or duplicated</v>
      </c>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t="str">
        <f>IFERROR(__xludf.DUMMYFUNCTION("""COMPUTED_VALUE"""),"Eternal Ember")</f>
        <v>Eternal Ember</v>
      </c>
      <c r="B804" s="32" t="str">
        <f>IFERROR(__xludf.DUMMYFUNCTION("""COMPUTED_VALUE""")," (Item) lvl:3000, DEF: +, Fire DEF: +150000 ++If you cast a fire spell you can cast it once more in the same turn during battle for no additional SP, +-Cannot be forged or duplicated")</f>
        <v> (Item) lvl:3000, DEF: +, Fire DEF: +150000 ++If you cast a fire spell you can cast it once more in the same turn during battle for no additional SP, +-Cannot be forged or duplicated</v>
      </c>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t="str">
        <f>IFERROR(__xludf.DUMMYFUNCTION("""COMPUTED_VALUE"""),"Crystal Blood")</f>
        <v>Crystal Blood</v>
      </c>
      <c r="B805" s="32" t="str">
        <f>IFERROR(__xludf.DUMMYFUNCTION("""COMPUTED_VALUE""")," (Item) lvl:1, DEF: + ++Wearer's first non-XHP cost blood spell of the battle has no HP cost , +-Cannot be forged or duplicated")</f>
        <v> (Item) lvl:1, DEF: + ++Wearer's first non-XHP cost blood spell of the battle has no HP cost , +-Cannot be forged or duplicated</v>
      </c>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t="str">
        <f>IFERROR(__xludf.DUMMYFUNCTION("""COMPUTED_VALUE"""),"Ultimate Gamble")</f>
        <v>Ultimate Gamble</v>
      </c>
      <c r="B806" s="32" t="str">
        <f>IFERROR(__xludf.DUMMYFUNCTION("""COMPUTED_VALUE""")," (Sword) lvl:12000, DMG: +600000 ++Make a Fail/Succeed roll while attacking with this weapon, Success = this weapon becomes unblockable this turn, +-Fail = attack yourself with this weapon.")</f>
        <v> (Sword) lvl:12000, DMG: +600000 ++Make a Fail/Succeed roll while attacking with this weapon, Success = this weapon becomes unblockable this turn, +-Fail = attack yourself with this weapon.</v>
      </c>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t="str">
        <f>IFERROR(__xludf.DUMMYFUNCTION("""COMPUTED_VALUE"""),"Awakened Evil")</f>
        <v>Awakened Evil</v>
      </c>
      <c r="B807" s="32" t="str">
        <f>IFERROR(__xludf.DUMMYFUNCTION("""COMPUTED_VALUE""")," (Claw) lvl:9000, DMG: +450000")</f>
        <v> (Claw) lvl:9000, DMG: +450000</v>
      </c>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t="str">
        <f>IFERROR(__xludf.DUMMYFUNCTION("""COMPUTED_VALUE"""),"Soldier's Charge")</f>
        <v>Soldier's Charge</v>
      </c>
      <c r="B808" s="32" t="str">
        <f>IFERROR(__xludf.DUMMYFUNCTION("""COMPUTED_VALUE""")," (Firearm) lvl:4400, DMG: +60000, Fire DMG: +60000, Spirit DMG: +100000")</f>
        <v> (Firearm) lvl:4400, DMG: +60000, Fire DMG: +60000, Spirit DMG: +100000</v>
      </c>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t="str">
        <f>IFERROR(__xludf.DUMMYFUNCTION("""COMPUTED_VALUE"""),"Weight of Sin")</f>
        <v>Weight of Sin</v>
      </c>
      <c r="B809" s="32" t="str">
        <f>IFERROR(__xludf.DUMMYFUNCTION("""COMPUTED_VALUE""")," (Item) lvl:11200, DEF: +560000 +-Always go last in turn order, +-Cannot be removed")</f>
        <v> (Item) lvl:11200, DEF: +560000 +-Always go last in turn order, +-Cannot be removed</v>
      </c>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t="str">
        <f>IFERROR(__xludf.DUMMYFUNCTION("""COMPUTED_VALUE"""),"Volcano's Summit")</f>
        <v>Volcano's Summit</v>
      </c>
      <c r="B810" s="32" t="str">
        <f>IFERROR(__xludf.DUMMYFUNCTION("""COMPUTED_VALUE""")," (Item) lvl:4000, DEF: +, Fire DEF: +200000 ++X2 Fire damage")</f>
        <v> (Item) lvl:4000, DEF: +, Fire DEF: +200000 ++X2 Fire damage</v>
      </c>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t="str">
        <f>IFERROR(__xludf.DUMMYFUNCTION("""COMPUTED_VALUE"""),"Long Distance Loveletter")</f>
        <v>Long Distance Loveletter</v>
      </c>
      <c r="B811" s="32" t="str">
        <f>IFERROR(__xludf.DUMMYFUNCTION("""COMPUTED_VALUE""")," (Firearm) lvl:12000, DMG: +600000 ++10% chance for 1 enemy to become an ally at the beginning of battle.")</f>
        <v> (Firearm) lvl:12000, DMG: +600000 ++10% chance for 1 enemy to become an ally at the beginning of battle.</v>
      </c>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t="str">
        <f>IFERROR(__xludf.DUMMYFUNCTION("""COMPUTED_VALUE"""),"Cursed Child's Hatchet")</f>
        <v>Cursed Child's Hatchet</v>
      </c>
      <c r="B812" s="32" t="str">
        <f>IFERROR(__xludf.DUMMYFUNCTION("""COMPUTED_VALUE""")," (Axe) lvl:3000, DMG: +150000 +- 15% chance of attacking a random ally")</f>
        <v> (Axe) lvl:3000, DMG: +150000 +- 15% chance of attacking a random ally</v>
      </c>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t="str">
        <f>IFERROR(__xludf.DUMMYFUNCTION("""COMPUTED_VALUE"""),"Helm of Lost Hope")</f>
        <v>Helm of Lost Hope</v>
      </c>
      <c r="B813" s="32" t="str">
        <f>IFERROR(__xludf.DUMMYFUNCTION("""COMPUTED_VALUE""")," (Item) lvl:6800, DEF: +340000")</f>
        <v> (Item) lvl:6800, DEF: +340000</v>
      </c>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t="str">
        <f>IFERROR(__xludf.DUMMYFUNCTION("""COMPUTED_VALUE"""),"Cursed Shield")</f>
        <v>Cursed Shield</v>
      </c>
      <c r="B814" s="32" t="str">
        <f>IFERROR(__xludf.DUMMYFUNCTION("""COMPUTED_VALUE""")," (Towershield) lvl:3200, DEF: +160000 +-Unequipping destroys the item")</f>
        <v> (Towershield) lvl:3200, DEF: +160000 +-Unequipping destroys the item</v>
      </c>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t="str">
        <f>IFERROR(__xludf.DUMMYFUNCTION("""COMPUTED_VALUE"""),"Dragonscale Buckler")</f>
        <v>Dragonscale Buckler</v>
      </c>
      <c r="B815" s="32" t="str">
        <f>IFERROR(__xludf.DUMMYFUNCTION("""COMPUTED_VALUE""")," (Buckler) lvl:2140, DEF: +107000")</f>
        <v> (Buckler) lvl:2140, DEF: +107000</v>
      </c>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t="str">
        <f>IFERROR(__xludf.DUMMYFUNCTION("""COMPUTED_VALUE"""),"Magma Trident")</f>
        <v>Magma Trident</v>
      </c>
      <c r="B816" s="32" t="str">
        <f>IFERROR(__xludf.DUMMYFUNCTION("""COMPUTED_VALUE""")," (Spear) lvl:4000, DMG: +100000, Fire DMG: +100000")</f>
        <v> (Spear) lvl:4000, DMG: +100000, Fire DMG: +100000</v>
      </c>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t="str">
        <f>IFERROR(__xludf.DUMMYFUNCTION("""COMPUTED_VALUE"""),"Bonemerang")</f>
        <v>Bonemerang</v>
      </c>
      <c r="B817" s="32" t="str">
        <f>IFERROR(__xludf.DUMMYFUNCTION("""COMPUTED_VALUE""")," (Boomerang) lvl:5200, DMG: +250000, Chaos DMG: +10000")</f>
        <v> (Boomerang) lvl:5200, DMG: +250000, Chaos DMG: +10000</v>
      </c>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t="str">
        <f>IFERROR(__xludf.DUMMYFUNCTION("""COMPUTED_VALUE"""),"Blamerang")</f>
        <v>Blamerang</v>
      </c>
      <c r="B818" s="32" t="str">
        <f>IFERROR(__xludf.DUMMYFUNCTION("""COMPUTED_VALUE""")," (Boomerang) lvl:4400, DMG: +20000, Fire DMG: +200000 ++Explodes when thrown at an enemy, hitting other enemies")</f>
        <v> (Boomerang) lvl:4400, DMG: +20000, Fire DMG: +200000 ++Explodes when thrown at an enemy, hitting other enemies</v>
      </c>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t="str">
        <f>IFERROR(__xludf.DUMMYFUNCTION("""COMPUTED_VALUE"""),"Condemned Bow")</f>
        <v>Condemned Bow</v>
      </c>
      <c r="B819" s="32" t="str">
        <f>IFERROR(__xludf.DUMMYFUNCTION("""COMPUTED_VALUE""")," (Bow) lvl:6000, DMG: +300000 +-5% chance for the DM to take control of your turn")</f>
        <v> (Bow) lvl:6000, DMG: +300000 +-5% chance for the DM to take control of your turn</v>
      </c>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t="str">
        <f>IFERROR(__xludf.DUMMYFUNCTION("""COMPUTED_VALUE"""),"Ancient Blacksmith's Soul In A Bottle")</f>
        <v>Ancient Blacksmith's Soul In A Bottle</v>
      </c>
      <c r="B820" s="32" t="str">
        <f>IFERROR(__xludf.DUMMYFUNCTION("""COMPUTED_VALUE""")," (Item) lvl:1, : + ++Forged Weapons deal *X damage, where X is equal to a quarter of the forge amount, if the multiplier is not a whole number, round down to the nearest whole number. X20 Max ")</f>
        <v> (Item) lvl:1, : + ++Forged Weapons deal *X damage, where X is equal to a quarter of the forge amount, if the multiplier is not a whole number, round down to the nearest whole number. X20 Max </v>
      </c>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t="str">
        <f>IFERROR(__xludf.DUMMYFUNCTION("""COMPUTED_VALUE"""),"Ancient Breeder's Soul In A Bottle")</f>
        <v>Ancient Breeder's Soul In A Bottle</v>
      </c>
      <c r="B821" s="32" t="str">
        <f>IFERROR(__xludf.DUMMYFUNCTION("""COMPUTED_VALUE""")," (Item) lvl:1, : + ++All creatures hatched from an egg deal X5 damage of all types.")</f>
        <v> (Item) lvl:1, : + ++All creatures hatched from an egg deal X5 damage of all types.</v>
      </c>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t="str">
        <f>IFERROR(__xludf.DUMMYFUNCTION("""COMPUTED_VALUE"""),"Ancient Crafter's Soul In A Bottle")</f>
        <v>Ancient Crafter's Soul In A Bottle</v>
      </c>
      <c r="B822" s="32" t="str">
        <f>IFERROR(__xludf.DUMMYFUNCTION("""COMPUTED_VALUE""")," (Item) lvl:1, : + ++Triples all crafting materials gathered")</f>
        <v> (Item) lvl:1, : + ++Triples all crafting materials gathered</v>
      </c>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t="str">
        <f>IFERROR(__xludf.DUMMYFUNCTION("""COMPUTED_VALUE"""),"Ancient Alchemist's Soul In A Bottle")</f>
        <v>Ancient Alchemist's Soul In A Bottle</v>
      </c>
      <c r="B823" s="32" t="str">
        <f>IFERROR(__xludf.DUMMYFUNCTION("""COMPUTED_VALUE""")," (Item) lvl:1, : + ++Doubles the effect of all herbs and potions")</f>
        <v> (Item) lvl:1, : + ++Doubles the effect of all herbs and potions</v>
      </c>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t="str">
        <f>IFERROR(__xludf.DUMMYFUNCTION("""COMPUTED_VALUE"""),"Ancient Farmer's Soul In A Bottle")</f>
        <v>Ancient Farmer's Soul In A Bottle</v>
      </c>
      <c r="B824" s="32" t="str">
        <f>IFERROR(__xludf.DUMMYFUNCTION("""COMPUTED_VALUE""")," (Item) lvl:1, : + ++Doubles all items harvested from your farms")</f>
        <v> (Item) lvl:1, : + ++Doubles all items harvested from your farms</v>
      </c>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t="str">
        <f>IFERROR(__xludf.DUMMYFUNCTION("""COMPUTED_VALUE"""),"Ancient Chef's Soul In A Bottle")</f>
        <v>Ancient Chef's Soul In A Bottle</v>
      </c>
      <c r="B825" s="32" t="str">
        <f>IFERROR(__xludf.DUMMYFUNCTION("""COMPUTED_VALUE""")," (Item) lvl:1, : + ++Doubles the effect of all food items cooked")</f>
        <v> (Item) lvl:1, : + ++Doubles the effect of all food items cooked</v>
      </c>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t="str">
        <f>IFERROR(__xludf.DUMMYFUNCTION("""COMPUTED_VALUE"""),"Ancient Miner's Soul In A Bottle")</f>
        <v>Ancient Miner's Soul In A Bottle</v>
      </c>
      <c r="B826" s="32" t="str">
        <f>IFERROR(__xludf.DUMMYFUNCTION("""COMPUTED_VALUE""")," (Item) lvl:1, : + ++Doubles all minerals obtained while mining")</f>
        <v> (Item) lvl:1, : + ++Doubles all minerals obtained while mining</v>
      </c>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t="str">
        <f>IFERROR(__xludf.DUMMYFUNCTION("""COMPUTED_VALUE"""),"Ancient Spira Guard's Soul In A Bottle")</f>
        <v>Ancient Spira Guard's Soul In A Bottle</v>
      </c>
      <c r="B827" s="32" t="str">
        <f>IFERROR(__xludf.DUMMYFUNCTION("""COMPUTED_VALUE""")," (Item) lvl:1, : + ++Add +5 to all rolls to arrest")</f>
        <v> (Item) lvl:1, : + ++Add +5 to all rolls to arrest</v>
      </c>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t="str">
        <f>IFERROR(__xludf.DUMMYFUNCTION("""COMPUTED_VALUE"""),"Ancient Fisherman's Soul In A Bottle")</f>
        <v>Ancient Fisherman's Soul In A Bottle</v>
      </c>
      <c r="B828" s="32" t="str">
        <f>IFERROR(__xludf.DUMMYFUNCTION("""COMPUTED_VALUE""")," (Item) lvl:1, : + ++Doubles all fish obtained while fishing")</f>
        <v> (Item) lvl:1, : + ++Doubles all fish obtained while fishing</v>
      </c>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t="str">
        <f>IFERROR(__xludf.DUMMYFUNCTION("""COMPUTED_VALUE"""),"The Thumper")</f>
        <v>The Thumper</v>
      </c>
      <c r="B829" s="32" t="str">
        <f>IFERROR(__xludf.DUMMYFUNCTION("""COMPUTED_VALUE""")," (Firearm) lvl:200, Dmg: +5000, Physical Dmg: +5000 ++Fires 3 Grenades, +-Uses Grenades as Ammo +-Cannot Be Forged or Duplicated")</f>
        <v> (Firearm) lvl:200, Dmg: +5000, Physical Dmg: +5000 ++Fires 3 Grenades, +-Uses Grenades as Ammo +-Cannot Be Forged or Duplicated</v>
      </c>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t="str">
        <f>IFERROR(__xludf.DUMMYFUNCTION("""COMPUTED_VALUE"""),"Undead King's Sword")</f>
        <v>Undead King's Sword</v>
      </c>
      <c r="B830" s="32" t="str">
        <f>IFERROR(__xludf.DUMMYFUNCTION("""COMPUTED_VALUE""")," (Sword) lvl:1, : +")</f>
        <v> (Sword) lvl:1, : +</v>
      </c>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t="str">
        <f>IFERROR(__xludf.DUMMYFUNCTION("""COMPUTED_VALUE"""),"Trapper's Monocle")</f>
        <v>Trapper's Monocle</v>
      </c>
      <c r="B831" s="32" t="str">
        <f>IFERROR(__xludf.DUMMYFUNCTION("""COMPUTED_VALUE""")," (Item) lvl:1, : + ++5 to any roll to disarm or avoid a trap.")</f>
        <v> (Item) lvl:1, : + ++5 to any roll to disarm or avoid a trap.</v>
      </c>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t="str">
        <f>IFERROR(__xludf.DUMMYFUNCTION("""COMPUTED_VALUE"""),"Dragon's Dogma")</f>
        <v>Dragon's Dogma</v>
      </c>
      <c r="B832" s="32" t="str">
        <f>IFERROR(__xludf.DUMMYFUNCTION("""COMPUTED_VALUE""")," (Sword) lvl:200, DMG: +250000, Celestial DMG: +50000 TBD")</f>
        <v> (Sword) lvl:200, DMG: +250000, Celestial DMG: +50000 TBD</v>
      </c>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t="str">
        <f>IFERROR(__xludf.DUMMYFUNCTION("""COMPUTED_VALUE"""),"Dragon's Dread")</f>
        <v>Dragon's Dread</v>
      </c>
      <c r="B833" s="32" t="str">
        <f>IFERROR(__xludf.DUMMYFUNCTION("""COMPUTED_VALUE""")," (Bow) lvl:200, DMG: +50000, Fire DMG: +50000, Water DMG: +50000, Storm DMG: +50000, Earth DMG: +50000, Light DMG: +50000, Dark DMG: +50000, Order DMG: +50000, Chaos DMG: +50000, Nature DMG: +50000, Delta DMG: +50000, Celestial DMG: +50000 TBD")</f>
        <v> (Bow) lvl:200, DMG: +50000, Fire DMG: +50000, Water DMG: +50000, Storm DMG: +50000, Earth DMG: +50000, Light DMG: +50000, Dark DMG: +50000, Order DMG: +50000, Chaos DMG: +50000, Nature DMG: +50000, Delta DMG: +50000, Celestial DMG: +50000 TBD</v>
      </c>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t="str">
        <f>IFERROR(__xludf.DUMMYFUNCTION("""COMPUTED_VALUE"""),"Dragon's Dream Breaker")</f>
        <v>Dragon's Dream Breaker</v>
      </c>
      <c r="B834" s="32" t="str">
        <f>IFERROR(__xludf.DUMMYFUNCTION("""COMPUTED_VALUE""")," (Claw) lvl:200, DMG: +600000, Celestial DMG: +600000 TBD")</f>
        <v> (Claw) lvl:200, DMG: +600000, Celestial DMG: +600000 TBD</v>
      </c>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t="str">
        <f>IFERROR(__xludf.DUMMYFUNCTION("""COMPUTED_VALUE"""),"Dragon's Draught")</f>
        <v>Dragon's Draught</v>
      </c>
      <c r="B835" s="32" t="str">
        <f>IFERROR(__xludf.DUMMYFUNCTION("""COMPUTED_VALUE""")," (Staff) lvl:1, : + TBD")</f>
        <v> (Staff) lvl:1, : + TBD</v>
      </c>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t="str">
        <f>IFERROR(__xludf.DUMMYFUNCTION("""COMPUTED_VALUE"""),"Dragon's Damnation")</f>
        <v>Dragon's Damnation</v>
      </c>
      <c r="B836" s="32" t="str">
        <f>IFERROR(__xludf.DUMMYFUNCTION("""COMPUTED_VALUE""")," (Gauntlet) lvl:200, DEF: +100000, Fire DEF: +100000, Water DEF: +100000, Storm DEF: +100000, Earth DEF: +100000, Light DEF: +100000, Dark DEF: +100000, Order DEF: +100000, Chaos DEF: +100000, Nature DEF: +100000, Delta DEF: +100000, Celestial DEF: +10000"&amp;"0 TBD")</f>
        <v> (Gauntlet) lvl:200, DEF: +100000, Fire DEF: +100000, Water DEF: +100000, Storm DEF: +100000, Earth DEF: +100000, Light DEF: +100000, Dark DEF: +100000, Order DEF: +100000, Chaos DEF: +100000, Nature DEF: +100000, Delta DEF: +100000, Celestial DEF: +100000 TBD</v>
      </c>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t="str">
        <f>IFERROR(__xludf.DUMMYFUNCTION("""COMPUTED_VALUE"""),"Dragon's Destruction")</f>
        <v>Dragon's Destruction</v>
      </c>
      <c r="B837" s="32" t="str">
        <f>IFERROR(__xludf.DUMMYFUNCTION("""COMPUTED_VALUE""")," (Spear) lvl:200, DMG: +400000, Fire DMG: +100000, Water DMG: +100000, Storm DMG: +100000, Earth DMG: +100000, Light DMG: +150000, Dark DMG: +150000, Spirit DMG: +100000, Order DMG: +150000, Chaos DMG: +150000, Nature DMG: +100000, Voodoo DMG: +100000, Bl"&amp;"ood DMG: +100000, Delta DMG: +100000, Zen DMG: +100000, Time DMG: +100000, Astral DMG: +100000, Celestial DMG: +100000, Acoustic DMG: +100000 TBD")</f>
        <v> (Spear) lvl:200, 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t="str">
        <f>IFERROR(__xludf.DUMMYFUNCTION("""COMPUTED_VALUE"""),"Confining Collar")</f>
        <v>Confining Collar</v>
      </c>
      <c r="B838" s="32" t="str">
        <f>IFERROR(__xludf.DUMMYFUNCTION("""COMPUTED_VALUE"""),"A cursed collar found around the neck of the Dragonscale dungeon inmates, it slowly stangulates the wearer until they die. (Item) lvl:100, DEF: +5000 +-5 to all rolls, +-Upon being worn can only be removed after 15 days of travel")</f>
        <v>A cursed collar found around the neck of the Dragonscale dungeon inmates, it slowly stangulates the wearer until they die. (Item) lvl:100, DEF: +5000 +-5 to all rolls, +-Upon being worn can only be removed after 15 days of travel</v>
      </c>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t="str">
        <f>IFERROR(__xludf.DUMMYFUNCTION("""COMPUTED_VALUE"""),"Shiv")</f>
        <v>Shiv</v>
      </c>
      <c r="B839" s="32" t="str">
        <f>IFERROR(__xludf.DUMMYFUNCTION("""COMPUTED_VALUE""")," (Knife) lvl:4000, DMG: +200000 ++has a 5% chance to give a random disease to any creature hit with this weapon.")</f>
        <v> (Knife) lvl:4000, DMG: +200000 ++has a 5% chance to give a random disease to any creature hit with this weapon.</v>
      </c>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t="str">
        <f>IFERROR(__xludf.DUMMYFUNCTION("""COMPUTED_VALUE"""),"Inmate's Cap")</f>
        <v>Inmate's Cap</v>
      </c>
      <c r="B840" s="32" t="str">
        <f>IFERROR(__xludf.DUMMYFUNCTION("""COMPUTED_VALUE""")," (Item) lvl:2000, DEF: +100000 ++has a 5% chance to avoid beng arrested without fail.")</f>
        <v> (Item) lvl:2000, DEF: +100000 ++has a 5% chance to avoid beng arrested without fail.</v>
      </c>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t="str">
        <f>IFERROR(__xludf.DUMMYFUNCTION("""COMPUTED_VALUE"""),"Inmate's Shirt")</f>
        <v>Inmate's Shirt</v>
      </c>
      <c r="B841" s="32" t="str">
        <f>IFERROR(__xludf.DUMMYFUNCTION("""COMPUTED_VALUE""")," (Item) lvl:2000, DEF: +100000 ++has a 5% chance to avoid beng arrested without fail.")</f>
        <v> (Item) lvl:2000, DEF: +100000 ++has a 5% chance to avoid beng arrested without fail.</v>
      </c>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t="str">
        <f>IFERROR(__xludf.DUMMYFUNCTION("""COMPUTED_VALUE"""),"Inmate's Pants")</f>
        <v>Inmate's Pants</v>
      </c>
      <c r="B842" s="32" t="str">
        <f>IFERROR(__xludf.DUMMYFUNCTION("""COMPUTED_VALUE""")," (Item) lvl:2000, DEF: +100000 ++has a 5% chance to avoid beng arrested without fail.")</f>
        <v> (Item) lvl:2000, DEF: +100000 ++has a 5% chance to avoid beng arrested without fail.</v>
      </c>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t="str">
        <f>IFERROR(__xludf.DUMMYFUNCTION("""COMPUTED_VALUE"""),"Warden's Cap")</f>
        <v>Warden's Cap</v>
      </c>
      <c r="B843" s="32" t="str">
        <f>IFERROR(__xludf.DUMMYFUNCTION("""COMPUTED_VALUE""")," (Item) lvl:2000, DEF: +100000 ++X2 Damage with Clubs")</f>
        <v> (Item) lvl:2000, DEF: +100000 ++X2 Damage with Clubs</v>
      </c>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t="str">
        <f>IFERROR(__xludf.DUMMYFUNCTION("""COMPUTED_VALUE"""),"Warden's Shirt")</f>
        <v>Warden's Shirt</v>
      </c>
      <c r="B844" s="32" t="str">
        <f>IFERROR(__xludf.DUMMYFUNCTION("""COMPUTED_VALUE""")," (Item) lvl:2000, DEF: +100000 ++X2 Damage with Clubs")</f>
        <v> (Item) lvl:2000, DEF: +100000 ++X2 Damage with Clubs</v>
      </c>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t="str">
        <f>IFERROR(__xludf.DUMMYFUNCTION("""COMPUTED_VALUE"""),"Warden's Pants")</f>
        <v>Warden's Pants</v>
      </c>
      <c r="B845" s="32" t="str">
        <f>IFERROR(__xludf.DUMMYFUNCTION("""COMPUTED_VALUE""")," (Item) lvl:2000, DEF: +100000 ++X2 Damage with Clubs")</f>
        <v> (Item) lvl:2000, DEF: +100000 ++X2 Damage with Clubs</v>
      </c>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t="str">
        <f>IFERROR(__xludf.DUMMYFUNCTION("""COMPUTED_VALUE"""),"Warden's Boots")</f>
        <v>Warden's Boots</v>
      </c>
      <c r="B846" s="32" t="str">
        <f>IFERROR(__xludf.DUMMYFUNCTION("""COMPUTED_VALUE""")," (Item) lvl:2000, DEF: +100000 ++X2 Damage with Clubs")</f>
        <v> (Item) lvl:2000, DEF: +100000 ++X2 Damage with Clubs</v>
      </c>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t="str">
        <f>IFERROR(__xludf.DUMMYFUNCTION("""COMPUTED_VALUE"""),"Warden's Baton")</f>
        <v>Warden's Baton</v>
      </c>
      <c r="B847" s="32" t="str">
        <f>IFERROR(__xludf.DUMMYFUNCTION("""COMPUTED_VALUE""")," (Club) lvl:4000, DMG: +200000 ++X20 damage to any enemy wearing a confining collar.")</f>
        <v> (Club) lvl:4000, DMG: +200000 ++X20 damage to any enemy wearing a confining collar.</v>
      </c>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t="str">
        <f>IFERROR(__xludf.DUMMYFUNCTION("""COMPUTED_VALUE"""),"Gentleman's Club")</f>
        <v>Gentleman's Club</v>
      </c>
      <c r="B848" s="32" t="str">
        <f>IFERROR(__xludf.DUMMYFUNCTION("""COMPUTED_VALUE""")," (Club) lvl:3000, DMG: +150000 ++Enemies hit with this weapon cannot cast spells for 2 rounds. +-Cannot be duplicated.")</f>
        <v> (Club) lvl:3000, DMG: +150000 ++Enemies hit with this weapon cannot cast spells for 2 rounds. +-Cannot be duplicated.</v>
      </c>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t="str">
        <f>IFERROR(__xludf.DUMMYFUNCTION("""COMPUTED_VALUE"""),"Honest Shirt")</f>
        <v>Honest Shirt</v>
      </c>
      <c r="B849" s="32" t="str">
        <f>IFERROR(__xludf.DUMMYFUNCTION("""COMPUTED_VALUE""")," (Item) lvl:2000, DEF: +100000 ++25% chance any spell targeting the wearer fails.")</f>
        <v> (Item) lvl:2000, DEF: +100000 ++25% chance any spell targeting the wearer fails.</v>
      </c>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t="str">
        <f>IFERROR(__xludf.DUMMYFUNCTION("""COMPUTED_VALUE"""),"Tinfoil Hat")</f>
        <v>Tinfoil Hat</v>
      </c>
      <c r="B850" s="32" t="str">
        <f>IFERROR(__xludf.DUMMYFUNCTION("""COMPUTED_VALUE""")," (Item) lvl:1, : + ++Immunity to Possession. +-Cannot be duplicated.")</f>
        <v> (Item) lvl:1, : + ++Immunity to Possession. +-Cannot be duplicated.</v>
      </c>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t="str">
        <f>IFERROR(__xludf.DUMMYFUNCTION("""COMPUTED_VALUE"""),"Anti-Magic Glasses")</f>
        <v>Anti-Magic Glasses</v>
      </c>
      <c r="B851" s="32" t="str">
        <f>IFERROR(__xludf.DUMMYFUNCTION("""COMPUTED_VALUE""")," (Item) lvl:1, : + ++Immunity to Blindness, Disorient, and Twilight. +-Cannot be duplicated")</f>
        <v> (Item) lvl:1, : + ++Immunity to Blindness, Disorient, and Twilight. +-Cannot be duplicated</v>
      </c>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t="str">
        <f>IFERROR(__xludf.DUMMYFUNCTION("""COMPUTED_VALUE"""),"Null Ring")</f>
        <v>Null Ring</v>
      </c>
      <c r="B852" s="32" t="str">
        <f>IFERROR(__xludf.DUMMYFUNCTION("""COMPUTED_VALUE""")," (Item) lvl:1, : + ++15% chance at start of battle to become immune to all magic casted by enemies and allies +-Wearer is incapable of casting magic +-Not able to be forged or duplicated")</f>
        <v> (Item) lvl:1, : + ++15% chance at start of battle to become immune to all magic casted by enemies and allies +-Wearer is incapable of casting magic +-Not able to be forged or duplicated</v>
      </c>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t="str">
        <f>IFERROR(__xludf.DUMMYFUNCTION("""COMPUTED_VALUE"""),"Quickdraw Bow")</f>
        <v>Quickdraw Bow</v>
      </c>
      <c r="B853" s="32" t="str">
        <f>IFERROR(__xludf.DUMMYFUNCTION("""COMPUTED_VALUE""")," (Bow) lvl:2000, DMG: +99500, Spirit DMG: +500 ++Plus 2 to turn order roll +-Cannot be forged or duplicated")</f>
        <v> (Bow) lvl:2000, DMG: +99500, Spirit DMG: +500 ++Plus 2 to turn order roll +-Cannot be forged or duplicated</v>
      </c>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t="str">
        <f>IFERROR(__xludf.DUMMYFUNCTION("""COMPUTED_VALUE"""),"Chaos Bow")</f>
        <v>Chaos Bow</v>
      </c>
      <c r="B854" s="32" t="str">
        <f>IFERROR(__xludf.DUMMYFUNCTION("""COMPUTED_VALUE""")," (Bow) lvl:2600, DMG: +50000, Chaos DMG: +80000 ++This bow targets a random enemy.")</f>
        <v> (Bow) lvl:2600, DMG: +50000, Chaos DMG: +80000 ++This bow targets a random enemy.</v>
      </c>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t="str">
        <f>IFERROR(__xludf.DUMMYFUNCTION("""COMPUTED_VALUE"""),"Crit Shot Bow")</f>
        <v>Crit Shot Bow</v>
      </c>
      <c r="B855" s="32" t="str">
        <f>IFERROR(__xludf.DUMMYFUNCTION("""COMPUTED_VALUE""")," (Bow) lvl:4000, DMG: +200000 ++Deals 3x damage +-Accuracy halved")</f>
        <v> (Bow) lvl:4000, DMG: +200000 ++Deals 3x damage +-Accuracy halved</v>
      </c>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t="str">
        <f>IFERROR(__xludf.DUMMYFUNCTION("""COMPUTED_VALUE"""),"Incinerating Bow")</f>
        <v>Incinerating Bow</v>
      </c>
      <c r="B856" s="32" t="str">
        <f>IFERROR(__xludf.DUMMYFUNCTION("""COMPUTED_VALUE""")," (Bow) lvl:3800, DMG: +90000, Fire DMG: +100000 ++Gain 1 Fire Arrow when any other arrow type is used. ++When using Fire Arrows deal 2x damage with this weapon. +-Cannot be forged or duplicated")</f>
        <v> (Bow) lvl:3800, DMG: +90000, Fire DMG: +100000 ++Gain 1 Fire Arrow when any other arrow type is used. ++When using Fire Arrows deal 2x damage with this weapon. +-Cannot be forged or duplicated</v>
      </c>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t="str">
        <f>IFERROR(__xludf.DUMMYFUNCTION("""COMPUTED_VALUE"""),"Bone Bow")</f>
        <v>Bone Bow</v>
      </c>
      <c r="B857" s="32" t="str">
        <f>IFERROR(__xludf.DUMMYFUNCTION("""COMPUTED_VALUE""")," (Bow) lvl:3400, DMG: +10000, Blood DMG: +160000 ++ 2x damage when user isundead")</f>
        <v> (Bow) lvl:3400, DMG: +10000, Blood DMG: +160000 ++ 2x damage when user isundead</v>
      </c>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t="str">
        <f>IFERROR(__xludf.DUMMYFUNCTION("""COMPUTED_VALUE"""),"Assassin's Fake Harp")</f>
        <v>Assassin's Fake Harp</v>
      </c>
      <c r="B858" s="32" t="str">
        <f>IFERROR(__xludf.DUMMYFUNCTION("""COMPUTED_VALUE""")," (Bow) lvl:3000, DMG: +50000, Acoustic DMG: +100000 ++Deals X2 additional damage for the first round of battle.")</f>
        <v> (Bow) lvl:3000, DMG: +50000, Acoustic DMG: +100000 ++Deals X2 additional damage for the first round of battle.</v>
      </c>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t="str">
        <f>IFERROR(__xludf.DUMMYFUNCTION("""COMPUTED_VALUE"""),"Broken Bow")</f>
        <v>Broken Bow</v>
      </c>
      <c r="B859" s="32" t="str">
        <f>IFERROR(__xludf.DUMMYFUNCTION("""COMPUTED_VALUE""")," (Club) lvl:20, DMG: +1000")</f>
        <v> (Club) lvl:20, DMG: +1000</v>
      </c>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t="str">
        <f>IFERROR(__xludf.DUMMYFUNCTION("""COMPUTED_VALUE"""),"Lizard Wizard Hat")</f>
        <v>Lizard Wizard Hat</v>
      </c>
      <c r="B860" s="32" t="str">
        <f>IFERROR(__xludf.DUMMYFUNCTION("""COMPUTED_VALUE""")," (Item) lvl:200, DEF: +10000 ++7500 hp and sp, X2 poison damage")</f>
        <v> (Item) lvl:200, DEF: +10000 ++7500 hp and sp, X2 poison damage</v>
      </c>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t="str">
        <f>IFERROR(__xludf.DUMMYFUNCTION("""COMPUTED_VALUE"""),"Lizard Wizard Robes")</f>
        <v>Lizard Wizard Robes</v>
      </c>
      <c r="B861" s="32" t="str">
        <f>IFERROR(__xludf.DUMMYFUNCTION("""COMPUTED_VALUE""")," (Item) lvl:200, DEF: +10000 ++7500 hp and sp, X2 poison damage")</f>
        <v> (Item) lvl:200, DEF: +10000 ++7500 hp and sp, X2 poison damage</v>
      </c>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t="str">
        <f>IFERROR(__xludf.DUMMYFUNCTION("""COMPUTED_VALUE"""),"Lizard Wizard Leggings")</f>
        <v>Lizard Wizard Leggings</v>
      </c>
      <c r="B862" s="32" t="str">
        <f>IFERROR(__xludf.DUMMYFUNCTION("""COMPUTED_VALUE""")," (Item) lvl:200, DEF: +10000 ++7500 hp and sp, X2 poison damage")</f>
        <v> (Item) lvl:200, DEF: +10000 ++7500 hp and sp, X2 poison damage</v>
      </c>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t="str">
        <f>IFERROR(__xludf.DUMMYFUNCTION("""COMPUTED_VALUE"""),"Lizard Wizard Pointed Shoes")</f>
        <v>Lizard Wizard Pointed Shoes</v>
      </c>
      <c r="B863" s="32" t="str">
        <f>IFERROR(__xludf.DUMMYFUNCTION("""COMPUTED_VALUE""")," (Item) lvl:200, DEF: +10000 ++7500 hp and sp, X2 poison damage")</f>
        <v> (Item) lvl:200, DEF: +10000 ++7500 hp and sp, X2 poison damage</v>
      </c>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t="str">
        <f>IFERROR(__xludf.DUMMYFUNCTION("""COMPUTED_VALUE"""),"Lizard Wizard Staff of Corroding Blizzard")</f>
        <v>Lizard Wizard Staff of Corroding Blizzard</v>
      </c>
      <c r="B864" s="32" t="str">
        <f>IFERROR(__xludf.DUMMYFUNCTION("""COMPUTED_VALUE""")," (Staff) lvl:3000, DMG: +, Light DMG: +50000, Nature DMG: +100000 ++Lizard Wizard's Corrosion Explosion!: Inflicts 5000XWisdom Poison on all enemies sp cost: 1000XWisdom sp. ++Lizard Wizard's Shiny: X5 to all Poison and Nature Damage ")</f>
        <v> (Staff) lvl:3000, DMG: +, Light DMG: +50000, Nature DMG: +100000 ++Lizard Wizard's Corrosion Explosion!: Inflicts 5000XWisdom Poison on all enemies sp cost: 1000XWisdom sp. ++Lizard Wizard's Shiny: X5 to all Poison and Nature Damage </v>
      </c>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t="str">
        <f>IFERROR(__xludf.DUMMYFUNCTION("""COMPUTED_VALUE"""),"Lizard Wizard's Prized Ring")</f>
        <v>Lizard Wizard's Prized Ring</v>
      </c>
      <c r="B865" s="32" t="str">
        <f>IFERROR(__xludf.DUMMYFUNCTION("""COMPUTED_VALUE"""),"""The Most Prized shiny of all lizard wizard kind!"" ~Lizard Wizzard Gizzard (Item) lvl:2000, DEF: +100000 ++X5 Poison and Nature damage, +5 Wisdom for every enemy poisoned.")</f>
        <v>"The Most Prized shiny of all lizard wizard kind!" ~Lizard Wizzard Gizzard (Item) lvl:2000, DEF: +100000 ++X5 Poison and Nature damage, +5 Wisdom for every enemy poisoned.</v>
      </c>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t="str">
        <f>IFERROR(__xludf.DUMMYFUNCTION("""COMPUTED_VALUE"""),"Lizard Thief's Bandana")</f>
        <v>Lizard Thief's Bandana</v>
      </c>
      <c r="B866" s="32" t="str">
        <f>IFERROR(__xludf.DUMMYFUNCTION("""COMPUTED_VALUE""")," (Item) lvl:2000, DEF: +100000 ++15000 ATK and ACC  ++X4 Knife Damage")</f>
        <v> (Item) lvl:2000, DEF: +100000 ++15000 ATK and ACC  ++X4 Knife Damage</v>
      </c>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t="str">
        <f>IFERROR(__xludf.DUMMYFUNCTION("""COMPUTED_VALUE"""),"Lizard Thief's Leathers")</f>
        <v>Lizard Thief's Leathers</v>
      </c>
      <c r="B867" s="32" t="str">
        <f>IFERROR(__xludf.DUMMYFUNCTION("""COMPUTED_VALUE""")," (Item) lvl:2000, DEF: +100000 ++15000 ATK and ACC ++X4 Knife Damage")</f>
        <v> (Item) lvl:2000, DEF: +100000 ++15000 ATK and ACC ++X4 Knife Damage</v>
      </c>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t="str">
        <f>IFERROR(__xludf.DUMMYFUNCTION("""COMPUTED_VALUE"""),"Lizard Thief's Pants")</f>
        <v>Lizard Thief's Pants</v>
      </c>
      <c r="B868" s="32" t="str">
        <f>IFERROR(__xludf.DUMMYFUNCTION("""COMPUTED_VALUE""")," (Item) lvl:2000, DEF: +100000 ++15000 ATK and ACC ++X4 Knife Damage")</f>
        <v> (Item) lvl:2000, DEF: +100000 ++15000 ATK and ACC ++X4 Knife Damage</v>
      </c>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t="str">
        <f>IFERROR(__xludf.DUMMYFUNCTION("""COMPUTED_VALUE"""),"Lizard Thief's Boots")</f>
        <v>Lizard Thief's Boots</v>
      </c>
      <c r="B869" s="32" t="str">
        <f>IFERROR(__xludf.DUMMYFUNCTION("""COMPUTED_VALUE""")," (Item) lvl:2000, DEF: +100000 ++15000 ATK and ACC ++X4 Knife Damage")</f>
        <v> (Item) lvl:2000, DEF: +100000 ++15000 ATK and ACC ++X4 Knife Damage</v>
      </c>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t="str">
        <f>IFERROR(__xludf.DUMMYFUNCTION("""COMPUTED_VALUE"""),"Lizard Thief's Shiny Swiper")</f>
        <v>Lizard Thief's Shiny Swiper</v>
      </c>
      <c r="B870" s="32" t="str">
        <f>IFERROR(__xludf.DUMMYFUNCTION("""COMPUTED_VALUE""")," (Knife) lvl:3000, DMG: +150000 ++Shiny Snatchery - +5 to all rolls when stealing an item. ++If the wearer successfully steals an item from an enemy +5 mobility for the next 3 rounds. +-effects do not stack")</f>
        <v> (Knife) lvl:3000, DMG: +150000 ++Shiny Snatchery - +5 to all rolls when stealing an item. ++If the wearer successfully steals an item from an enemy +5 mobility for the next 3 rounds. +-effects do not stack</v>
      </c>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t="str">
        <f>IFERROR(__xludf.DUMMYFUNCTION("""COMPUTED_VALUE"""),"Wyrmstone Club")</f>
        <v>Wyrmstone Club</v>
      </c>
      <c r="B871" s="32" t="str">
        <f>IFERROR(__xludf.DUMMYFUNCTION("""COMPUTED_VALUE""")," (Club) lvl:2000, DMG: +100000 +- Half damage against dragons")</f>
        <v> (Club) lvl:2000, DMG: +100000 +- Half damage against dragons</v>
      </c>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t="str">
        <f>IFERROR(__xludf.DUMMYFUNCTION("""COMPUTED_VALUE"""),"Wyrmstone Mail")</f>
        <v>Wyrmstone Mail</v>
      </c>
      <c r="B872" s="32" t="str">
        <f>IFERROR(__xludf.DUMMYFUNCTION("""COMPUTED_VALUE""")," (Item) lvl:2800, DEF: +140000 ++Half damage received from dragons +-Cannot be forged or duplicated")</f>
        <v> (Item) lvl:2800, DEF: +140000 ++Half damage received from dragons +-Cannot be forged or duplicated</v>
      </c>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t="str">
        <f>IFERROR(__xludf.DUMMYFUNCTION("""COMPUTED_VALUE"""),"Wyrmstone Helm")</f>
        <v>Wyrmstone Helm</v>
      </c>
      <c r="B873" s="32" t="str">
        <f>IFERROR(__xludf.DUMMYFUNCTION("""COMPUTED_VALUE""")," (Item) lvl:2400, DEF: +120000 +-Cannot be forged or duplicated")</f>
        <v> (Item) lvl:2400, DEF: +120000 +-Cannot be forged or duplicated</v>
      </c>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t="str">
        <f>IFERROR(__xludf.DUMMYFUNCTION("""COMPUTED_VALUE"""),"Wyrmstone Buckler")</f>
        <v>Wyrmstone Buckler</v>
      </c>
      <c r="B874" s="32" t="str">
        <f>IFERROR(__xludf.DUMMYFUNCTION("""COMPUTED_VALUE""")," (Buckler) lvl:3000, DEF: +150000 ++25% chance to parry dragons' attacks +-Cannot be forged or duplicated")</f>
        <v> (Buckler) lvl:3000, DEF: +150000 ++25% chance to parry dragons' attacks +-Cannot be forged or duplicated</v>
      </c>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t="str">
        <f>IFERROR(__xludf.DUMMYFUNCTION("""COMPUTED_VALUE"""),"Wyrmstone Gauntlet")</f>
        <v>Wyrmstone Gauntlet</v>
      </c>
      <c r="B875" s="32" t="str">
        <f>IFERROR(__xludf.DUMMYFUNCTION("""COMPUTED_VALUE""")," (Gauntlet) lvl:3000, DEF: +125000, Light DEF: +25000")</f>
        <v> (Gauntlet) lvl:3000, DEF: +125000, Light DEF: +25000</v>
      </c>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t="str">
        <f>IFERROR(__xludf.DUMMYFUNCTION("""COMPUTED_VALUE"""),"Wyrmstone Leggings")</f>
        <v>Wyrmstone Leggings</v>
      </c>
      <c r="B876" s="32" t="str">
        <f>IFERROR(__xludf.DUMMYFUNCTION("""COMPUTED_VALUE""")," (Item) lvl:2000, DEF: +100000")</f>
        <v> (Item) lvl:2000, DEF: +100000</v>
      </c>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t="str">
        <f>IFERROR(__xludf.DUMMYFUNCTION("""COMPUTED_VALUE"""),"Wyrmstone Lance")</f>
        <v>Wyrmstone Lance</v>
      </c>
      <c r="B877" s="32" t="str">
        <f>IFERROR(__xludf.DUMMYFUNCTION("""COMPUTED_VALUE""")," (Spear) lvl:2000, DMG: +100000 ++Damage doubles if used two turns in a row +-Cannot be forged or duplicated")</f>
        <v> (Spear) lvl:2000, DMG: +100000 ++Damage doubles if used two turns in a row +-Cannot be forged or duplicated</v>
      </c>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t="str">
        <f>IFERROR(__xludf.DUMMYFUNCTION("""COMPUTED_VALUE"""),"Wyrmstone Nails")</f>
        <v>Wyrmstone Nails</v>
      </c>
      <c r="B878" s="32" t="str">
        <f>IFERROR(__xludf.DUMMYFUNCTION("""COMPUTED_VALUE""")," (Claw) lvl:2600, DMG: +130000")</f>
        <v> (Claw) lvl:2600, DMG: +130000</v>
      </c>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t="str">
        <f>IFERROR(__xludf.DUMMYFUNCTION("""COMPUTED_VALUE"""),"Lizard Warrior's Scale Helm")</f>
        <v>Lizard Warrior's Scale Helm</v>
      </c>
      <c r="B879" s="32" t="str">
        <f>IFERROR(__xludf.DUMMYFUNCTION("""COMPUTED_VALUE""")," (Item) lvl:3000, DEF: +100000, Nature DEF: +50000")</f>
        <v> (Item) lvl:3000, DEF: +100000, Nature DEF: +50000</v>
      </c>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t="str">
        <f>IFERROR(__xludf.DUMMYFUNCTION("""COMPUTED_VALUE"""),"Lizard Warrior's Scaled Pauldrons")</f>
        <v>Lizard Warrior's Scaled Pauldrons</v>
      </c>
      <c r="B880" s="32" t="str">
        <f>IFERROR(__xludf.DUMMYFUNCTION("""COMPUTED_VALUE""")," (Item) lvl:3000, DEF: +100000, Nature DEF: +50000")</f>
        <v> (Item) lvl:3000, DEF: +100000, Nature DEF: +50000</v>
      </c>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t="str">
        <f>IFERROR(__xludf.DUMMYFUNCTION("""COMPUTED_VALUE"""),"Lizard Warrior's Scaled Chest")</f>
        <v>Lizard Warrior's Scaled Chest</v>
      </c>
      <c r="B881" s="32" t="str">
        <f>IFERROR(__xludf.DUMMYFUNCTION("""COMPUTED_VALUE""")," (Item) lvl:3000, DEF: +100000, Nature DEF: +50000 ++When the wearer is attacked, the one that attacked them takes 15000 poison for 3 rounds")</f>
        <v> (Item) lvl:3000, DEF: +100000, Nature DEF: +50000 ++When the wearer is attacked, the one that attacked them takes 15000 poison for 3 rounds</v>
      </c>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t="str">
        <f>IFERROR(__xludf.DUMMYFUNCTION("""COMPUTED_VALUE"""),"Lizard Warrior's Scaled Arms")</f>
        <v>Lizard Warrior's Scaled Arms</v>
      </c>
      <c r="B882" s="32" t="str">
        <f>IFERROR(__xludf.DUMMYFUNCTION("""COMPUTED_VALUE""")," (Item) lvl:3000, DEF: +100000, Nature DEF: +50000 ++7500 DEF for every enemy currently poisoned (Max 37500)")</f>
        <v> (Item) lvl:3000, DEF: +100000, Nature DEF: +50000 ++7500 DEF for every enemy currently poisoned (Max 37500)</v>
      </c>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t="str">
        <f>IFERROR(__xludf.DUMMYFUNCTION("""COMPUTED_VALUE"""),"Lizard Warrior's Bracelets")</f>
        <v>Lizard Warrior's Bracelets</v>
      </c>
      <c r="B883" s="32" t="str">
        <f>IFERROR(__xludf.DUMMYFUNCTION("""COMPUTED_VALUE""")," (Item) lvl:3000, DEF: +100000, Nature DEF: +50000 ++5000 ACC for every enemy currently poisoned (Max 25000)")</f>
        <v> (Item) lvl:3000, DEF: +100000, Nature DEF: +50000 ++5000 ACC for every enemy currently poisoned (Max 25000)</v>
      </c>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t="str">
        <f>IFERROR(__xludf.DUMMYFUNCTION("""COMPUTED_VALUE"""),"Lizard Warrior's Scaled Legs")</f>
        <v>Lizard Warrior's Scaled Legs</v>
      </c>
      <c r="B884" s="32" t="str">
        <f>IFERROR(__xludf.DUMMYFUNCTION("""COMPUTED_VALUE""")," (Item) lvl:3000, DEF: +100000, Nature DEF: +50000 ++5000 ATK for every enemy currently poisoned (Max 25000)")</f>
        <v> (Item) lvl:3000, DEF: +100000, Nature DEF: +50000 ++5000 ATK for every enemy currently poisoned (Max 25000)</v>
      </c>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t="str">
        <f>IFERROR(__xludf.DUMMYFUNCTION("""COMPUTED_VALUE"""),"Lizard Warrior's Scaled Boots")</f>
        <v>Lizard Warrior's Scaled Boots</v>
      </c>
      <c r="B885" s="32" t="str">
        <f>IFERROR(__xludf.DUMMYFUNCTION("""COMPUTED_VALUE""")," (Item) lvl:3000, DEF: +100000, Nature DEF: +50000 ++1 Mobility for every enemy currently poisoned (Max 5)")</f>
        <v> (Item) lvl:3000, DEF: +100000, Nature DEF: +50000 ++1 Mobility for every enemy currently poisoned (Max 5)</v>
      </c>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t="str">
        <f>IFERROR(__xludf.DUMMYFUNCTION("""COMPUTED_VALUE"""),"Lizard Warrior's Claw")</f>
        <v>Lizard Warrior's Claw</v>
      </c>
      <c r="B886" s="32" t="str">
        <f>IFERROR(__xludf.DUMMYFUNCTION("""COMPUTED_VALUE""")," (Claw) lvl:3000, DMG: +100000, Nature DMG: +50000 ++X20 damage against poisoned enemies, All damage dealt against poisoned enemies with this item is poison damage.")</f>
        <v> (Claw) lvl:3000, DMG: +100000, Nature DMG: +50000 ++X20 damage against poisoned enemies, All damage dealt against poisoned enemies with this item is poison damage.</v>
      </c>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t="str">
        <f>IFERROR(__xludf.DUMMYFUNCTION("""COMPUTED_VALUE"""),"Lizard Warrior Guantlet")</f>
        <v>Lizard Warrior Guantlet</v>
      </c>
      <c r="B887" s="32" t="str">
        <f>IFERROR(__xludf.DUMMYFUNCTION("""COMPUTED_VALUE""")," (Gauntlet) lvl:3000, DEF: +100000, Nature DEF: +50000 ++50% chance to be unaffected by a weapon attack from a poisoned enemy")</f>
        <v> (Gauntlet) lvl:3000, DEF: +100000, Nature DEF: +50000 ++50% chance to be unaffected by a weapon attack from a poisoned enemy</v>
      </c>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t="str">
        <f>IFERROR(__xludf.DUMMYFUNCTION("""COMPUTED_VALUE"""),"Igaunian Assassin's Cowl")</f>
        <v>Igaunian Assassin's Cowl</v>
      </c>
      <c r="B888" s="32" t="str">
        <f>IFERROR(__xludf.DUMMYFUNCTION("""COMPUTED_VALUE""")," (Item) lvl:2000, DEF: +75000, Nature DEF: +25000 ++15000 ATK and ACC ++X4 Knife and Boomerang damage ++5 to all weapon attacks if concealed")</f>
        <v> (Item) lvl:2000, DEF: +75000, Nature DEF: +25000 ++15000 ATK and ACC ++X4 Knife and Boomerang damage ++5 to all weapon attacks if concealed</v>
      </c>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t="str">
        <f>IFERROR(__xludf.DUMMYFUNCTION("""COMPUTED_VALUE"""),"Igaunian Assassin's Cloths")</f>
        <v>Igaunian Assassin's Cloths</v>
      </c>
      <c r="B889" s="32" t="str">
        <f>IFERROR(__xludf.DUMMYFUNCTION("""COMPUTED_VALUE""")," (Item) lvl:2000, DEF: +75000, Nature DEF: +25000 ++15000 ATK and ACC ++X4 Knife and Boomerang damage")</f>
        <v> (Item) lvl:2000, DEF: +75000, Nature DEF: +25000 ++15000 ATK and ACC ++X4 Knife and Boomerang damage</v>
      </c>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t="str">
        <f>IFERROR(__xludf.DUMMYFUNCTION("""COMPUTED_VALUE"""),"Iguanian Assassin's Pants")</f>
        <v>Iguanian Assassin's Pants</v>
      </c>
      <c r="B890" s="32" t="str">
        <f>IFERROR(__xludf.DUMMYFUNCTION("""COMPUTED_VALUE""")," (Item) lvl:2000, DEF: +75000, Nature DEF: +25000 ++15000 ATK and ACC ++X4 Knife and Boomerang damage")</f>
        <v> (Item) lvl:2000, DEF: +75000, Nature DEF: +25000 ++15000 ATK and ACC ++X4 Knife and Boomerang damage</v>
      </c>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t="str">
        <f>IFERROR(__xludf.DUMMYFUNCTION("""COMPUTED_VALUE"""),"Iguanian Assassin's Boots")</f>
        <v>Iguanian Assassin's Boots</v>
      </c>
      <c r="B891" s="32" t="str">
        <f>IFERROR(__xludf.DUMMYFUNCTION("""COMPUTED_VALUE""")," (Item) lvl:2000, DEF: +75000, Nature DEF: +25000 ++15000 ATK and ACC ++X4 Knife and Boomerang damage")</f>
        <v> (Item) lvl:2000, DEF: +75000, Nature DEF: +25000 ++15000 ATK and ACC ++X4 Knife and Boomerang damage</v>
      </c>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t="str">
        <f>IFERROR(__xludf.DUMMYFUNCTION("""COMPUTED_VALUE"""),"Iguanian Assassin's Chakram")</f>
        <v>Iguanian Assassin's Chakram</v>
      </c>
      <c r="B892" s="32" t="str">
        <f>IFERROR(__xludf.DUMMYFUNCTION("""COMPUTED_VALUE""")," (Boomerang) lvl:3000, DMG: +100000, Nature DMG: +50000 ++Increases the weapon effect chance by 10%")</f>
        <v> (Boomerang) lvl:3000, DMG: +100000, Nature DMG: +50000 ++Increases the weapon effect chance by 10%</v>
      </c>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t="str">
        <f>IFERROR(__xludf.DUMMYFUNCTION("""COMPUTED_VALUE"""),"Iguanian Assassin's Slicer")</f>
        <v>Iguanian Assassin's Slicer</v>
      </c>
      <c r="B893" s="32" t="str">
        <f>IFERROR(__xludf.DUMMYFUNCTION("""COMPUTED_VALUE""")," (Knife) lvl:3000, DMG: +100000, Nature DMG: +50000 ++Guarantees the Bleed effect of the knife weapon type and doubles the bleed caused +-Cannot be Forged")</f>
        <v> (Knife) lvl:3000, DMG: +100000, Nature DMG: +50000 ++Guarantees the Bleed effect of the knife weapon type and doubles the bleed caused +-Cannot be Forged</v>
      </c>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t="str">
        <f>IFERROR(__xludf.DUMMYFUNCTION("""COMPUTED_VALUE"""),"Wyverntooth Smasher")</f>
        <v>Wyverntooth Smasher</v>
      </c>
      <c r="B894" s="32" t="str">
        <f>IFERROR(__xludf.DUMMYFUNCTION("""COMPUTED_VALUE""")," (Axe) lvl:2400, DMG: +30000, Chaos DMG: +90000")</f>
        <v> (Axe) lvl:2400, DMG: +30000, Chaos DMG: +90000</v>
      </c>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t="str">
        <f>IFERROR(__xludf.DUMMYFUNCTION("""COMPUTED_VALUE"""),"Wyvernblade")</f>
        <v>Wyvernblade</v>
      </c>
      <c r="B895" s="32" t="str">
        <f>IFERROR(__xludf.DUMMYFUNCTION("""COMPUTED_VALUE""")," (Knife) lvl:2600, DMG: +, Melee DMG: +130000")</f>
        <v> (Knife) lvl:2600, DMG: +, Melee DMG: +130000</v>
      </c>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t="str">
        <f>IFERROR(__xludf.DUMMYFUNCTION("""COMPUTED_VALUE"""),"Wyvernscale Ring")</f>
        <v>Wyvernscale Ring</v>
      </c>
      <c r="B896" s="32" t="str">
        <f>IFERROR(__xludf.DUMMYFUNCTION("""COMPUTED_VALUE""")," (Item) lvl:2000, DEF: +, Melee DEF: +100000 ++50% chance to negate any damage from a wyvern +-Cannot be forged or duplicated")</f>
        <v> (Item) lvl:2000, DEF: +, Melee DEF: +100000 ++50% chance to negate any damage from a wyvern +-Cannot be forged or duplicated</v>
      </c>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t="str">
        <f>IFERROR(__xludf.DUMMYFUNCTION("""COMPUTED_VALUE"""),"Wyvern Hood")</f>
        <v>Wyvern Hood</v>
      </c>
      <c r="B897" s="32" t="str">
        <f>IFERROR(__xludf.DUMMYFUNCTION("""COMPUTED_VALUE""")," (Item) lvl:1, : + ++When in a party of 4 or more, enemy wyverns cannot target the wearer +-Cannot be forged or duplicated")</f>
        <v> (Item) lvl:1, : + ++When in a party of 4 or more, enemy wyverns cannot target the wearer +-Cannot be forged or duplicated</v>
      </c>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t="str">
        <f>IFERROR(__xludf.DUMMYFUNCTION("""COMPUTED_VALUE"""),"Wyvernarang")</f>
        <v>Wyvernarang</v>
      </c>
      <c r="B898" s="32" t="str">
        <f>IFERROR(__xludf.DUMMYFUNCTION("""COMPUTED_VALUE""")," (Boomerang) lvl:3000, DMG: +50000, Spirit DMG: +50000, Chaos DMG: +50000")</f>
        <v> (Boomerang) lvl:3000, DMG: +50000, Spirit DMG: +50000, Chaos DMG: +50000</v>
      </c>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t="str">
        <f>IFERROR(__xludf.DUMMYFUNCTION("""COMPUTED_VALUE"""),"Iguanian Assassin's Memento")</f>
        <v>Iguanian Assassin's Memento</v>
      </c>
      <c r="B899" s="32" t="str">
        <f>IFERROR(__xludf.DUMMYFUNCTION("""COMPUTED_VALUE"""),"From this necklace hangs a series of teeth, each one taken from an iguanian assassin's victim. () lvl:1, : + ++For every enemy killed with this item equipped +1 permanent ATK (0/100000)")</f>
        <v>From this necklace hangs a series of teeth, each one taken from an iguanian assassin's victim. () lvl:1, : + ++For every enemy killed with this item equipped +1 permanent ATK (0/100000)</v>
      </c>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t="str">
        <f>IFERROR(__xludf.DUMMYFUNCTION("""COMPUTED_VALUE"""),"Salamander Boots")</f>
        <v>Salamander Boots</v>
      </c>
      <c r="B900" s="32" t="str">
        <f>IFERROR(__xludf.DUMMYFUNCTION("""COMPUTED_VALUE""")," (Item) lvl:2000, DEF: +, Fire DEF: +100000")</f>
        <v> (Item) lvl:2000, DEF: +, Fire DEF: +100000</v>
      </c>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t="str">
        <f>IFERROR(__xludf.DUMMYFUNCTION("""COMPUTED_VALUE"""),"Salamanderscale Chainmail")</f>
        <v>Salamanderscale Chainmail</v>
      </c>
      <c r="B901" s="32" t="str">
        <f>IFERROR(__xludf.DUMMYFUNCTION("""COMPUTED_VALUE""")," (Item) lvl:2000, DEF: +, Fire DEF: +120000, Water DEF: +-10000, Storm DEF: +-10000 +-Water and Storm deal additional 20000 damage to the wearer")</f>
        <v> (Item) lvl:2000, DEF: +, Fire DEF: +120000, Water DEF: +-10000, Storm DEF: +-10000 +-Water and Storm deal additional 20000 damage to the wearer</v>
      </c>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t="str">
        <f>IFERROR(__xludf.DUMMYFUNCTION("""COMPUTED_VALUE"""),"Iguanian Brawler's Headband")</f>
        <v>Iguanian Brawler's Headband</v>
      </c>
      <c r="B902" s="32" t="str">
        <f>IFERROR(__xludf.DUMMYFUNCTION("""COMPUTED_VALUE""")," (Item) lvl:3000, DEF: +150000, Water DEF: +50000, Nature DEF: +-50000")</f>
        <v> (Item) lvl:3000, DEF: +150000, Water DEF: +50000, Nature DEF: +-50000</v>
      </c>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t="str">
        <f>IFERROR(__xludf.DUMMYFUNCTION("""COMPUTED_VALUE"""),"Iguanian Brawler's Cape")</f>
        <v>Iguanian Brawler's Cape</v>
      </c>
      <c r="B903" s="32" t="str">
        <f>IFERROR(__xludf.DUMMYFUNCTION("""COMPUTED_VALUE""")," (Item) lvl:3000, DEF: +150000, Water DEF: +50000, Nature DEF: +-50000")</f>
        <v> (Item) lvl:3000, DEF: +150000, Water DEF: +50000, Nature DEF: +-50000</v>
      </c>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t="str">
        <f>IFERROR(__xludf.DUMMYFUNCTION("""COMPUTED_VALUE"""),"Iguanian Brawler's Sash")</f>
        <v>Iguanian Brawler's Sash</v>
      </c>
      <c r="B904" s="32" t="str">
        <f>IFERROR(__xludf.DUMMYFUNCTION("""COMPUTED_VALUE""")," (Item) lvl:3000, DEF: +150000, Water DEF: +50000, Nature DEF: +-50000")</f>
        <v> (Item) lvl:3000, DEF: +150000, Water DEF: +50000, Nature DEF: +-50000</v>
      </c>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t="str">
        <f>IFERROR(__xludf.DUMMYFUNCTION("""COMPUTED_VALUE"""),"Iguanian Brawler's Arm Wraps")</f>
        <v>Iguanian Brawler's Arm Wraps</v>
      </c>
      <c r="B905" s="32" t="str">
        <f>IFERROR(__xludf.DUMMYFUNCTION("""COMPUTED_VALUE""")," (Item) lvl:3000, DEF: +150000, Water DEF: +50000, Nature DEF: +-50000")</f>
        <v> (Item) lvl:3000, DEF: +150000, Water DEF: +50000, Nature DEF: +-50000</v>
      </c>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t="str">
        <f>IFERROR(__xludf.DUMMYFUNCTION("""COMPUTED_VALUE"""),"Iguanian Brawler's Shorts")</f>
        <v>Iguanian Brawler's Shorts</v>
      </c>
      <c r="B906" s="32" t="str">
        <f>IFERROR(__xludf.DUMMYFUNCTION("""COMPUTED_VALUE""")," (Item) lvl:3000, DEF: +150000, Water DEF: +50000, Nature DEF: +-50000")</f>
        <v> (Item) lvl:3000, DEF: +150000, Water DEF: +50000, Nature DEF: +-50000</v>
      </c>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t="str">
        <f>IFERROR(__xludf.DUMMYFUNCTION("""COMPUTED_VALUE"""),"Iguanian Brawler's Sandals")</f>
        <v>Iguanian Brawler's Sandals</v>
      </c>
      <c r="B907" s="32" t="str">
        <f>IFERROR(__xludf.DUMMYFUNCTION("""COMPUTED_VALUE""")," (Item) lvl:3000, DEF: +150000, Water DEF: +50000, Nature DEF: +-50000")</f>
        <v> (Item) lvl:3000, DEF: +150000, Water DEF: +50000, Nature DEF: +-50000</v>
      </c>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t="str">
        <f>IFERROR(__xludf.DUMMYFUNCTION("""COMPUTED_VALUE"""),"Iguanian Brawler's Knuckles")</f>
        <v>Iguanian Brawler's Knuckles</v>
      </c>
      <c r="B908" s="32" t="str">
        <f>IFERROR(__xludf.DUMMYFUNCTION("""COMPUTED_VALUE""")," (Gauntlet) lvl:3000, DEF: +100000, Water DEF: +50000")</f>
        <v> (Gauntlet) lvl:3000, DEF: +100000, Water DEF: +50000</v>
      </c>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t="str">
        <f>IFERROR(__xludf.DUMMYFUNCTION("""COMPUTED_VALUE"""),"Iguanian Brawler's Ring")</f>
        <v>Iguanian Brawler's Ring</v>
      </c>
      <c r="B909" s="32" t="str">
        <f>IFERROR(__xludf.DUMMYFUNCTION("""COMPUTED_VALUE""")," () lvl:1, : + ++X10 Natural Attack damage")</f>
        <v> () lvl:1, : + ++X10 Natural Attack damage</v>
      </c>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t="str">
        <f>IFERROR(__xludf.DUMMYFUNCTION("""COMPUTED_VALUE"""),"Cursed Ring of Sudden Death")</f>
        <v>Cursed Ring of Sudden Death</v>
      </c>
      <c r="B910" s="32" t="str">
        <f>IFERROR(__xludf.DUMMYFUNCTION("""COMPUTED_VALUE""")," (Item) lvl:1, : + ++Can be manually activated at the beginning of battle, before turn order is set. When activated, all damage dealt to or by the wearer results in instant death for the battle. +-Cannot be forged or duplicated")</f>
        <v> (Item) lvl:1, : + ++Can be manually activated at the beginning of battle, before turn order is set. When activated, all damage dealt to or by the wearer results in instant death for the battle. +-Cannot be forged or duplicated</v>
      </c>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t="str">
        <f>IFERROR(__xludf.DUMMYFUNCTION("""COMPUTED_VALUE"""),"Ring of Action")</f>
        <v>Ring of Action</v>
      </c>
      <c r="B911" s="32" t="str">
        <f>IFERROR(__xludf.DUMMYFUNCTION("""COMPUTED_VALUE""")," (Item) lvl:1, : + ++10000 SP")</f>
        <v> (Item) lvl:1, : + ++10000 SP</v>
      </c>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t="str">
        <f>IFERROR(__xludf.DUMMYFUNCTION("""COMPUTED_VALUE"""),"Iguanian Mage Hat")</f>
        <v>Iguanian Mage Hat</v>
      </c>
      <c r="B912" s="32" t="str">
        <f>IFERROR(__xludf.DUMMYFUNCTION("""COMPUTED_VALUE""")," (Item) lvl:1, : + ++10000 hp and sp")</f>
        <v> (Item) lvl:1, : + ++10000 hp and sp</v>
      </c>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t="str">
        <f>IFERROR(__xludf.DUMMYFUNCTION("""COMPUTED_VALUE"""),"Iguanian Mage Robes")</f>
        <v>Iguanian Mage Robes</v>
      </c>
      <c r="B913" s="32" t="str">
        <f>IFERROR(__xludf.DUMMYFUNCTION("""COMPUTED_VALUE""")," (Item) lvl:1, : + ++10000 hp and sp")</f>
        <v> (Item) lvl:1, : + ++10000 hp and sp</v>
      </c>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t="str">
        <f>IFERROR(__xludf.DUMMYFUNCTION("""COMPUTED_VALUE"""),"Iguanian Mage Leggings")</f>
        <v>Iguanian Mage Leggings</v>
      </c>
      <c r="B914" s="32" t="str">
        <f>IFERROR(__xludf.DUMMYFUNCTION("""COMPUTED_VALUE""")," (Item) lvl:1, : + ++10000 hp and sp")</f>
        <v> (Item) lvl:1, : + ++10000 hp and sp</v>
      </c>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t="str">
        <f>IFERROR(__xludf.DUMMYFUNCTION("""COMPUTED_VALUE"""),"Iguanian Mage Pointed Shoes")</f>
        <v>Iguanian Mage Pointed Shoes</v>
      </c>
      <c r="B915" s="32" t="str">
        <f>IFERROR(__xludf.DUMMYFUNCTION("""COMPUTED_VALUE""")," (Item) lvl:1, : + ++10000 hp and sp")</f>
        <v> (Item) lvl:1, : + ++10000 hp and sp</v>
      </c>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t="str">
        <f>IFERROR(__xludf.DUMMYFUNCTION("""COMPUTED_VALUE"""),"Iguanian Mage Staff of Hail")</f>
        <v>Iguanian Mage Staff of Hail</v>
      </c>
      <c r="B916" s="32" t="str">
        <f>IFERROR(__xludf.DUMMYFUNCTION("""COMPUTED_VALUE""")," (Staff) lvl:1, : + ++Iguanian Tidecall: Inflicts 25000XWisdom Water damage on all enemies sp cost: 1000XWisdom sp. ++Iguanian Mage's Staff: X5 to all Water and Storm Damage ")</f>
        <v> (Staff) lvl:1, : + ++Iguanian Tidecall: Inflicts 25000XWisdom Water damage on all enemies sp cost: 1000XWisdom sp. ++Iguanian Mage's Staff: X5 to all Water and Storm Damage </v>
      </c>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t="str">
        <f>IFERROR(__xludf.DUMMYFUNCTION("""COMPUTED_VALUE"""),"Blood Finger Ring")</f>
        <v>Blood Finger Ring</v>
      </c>
      <c r="B917" s="32" t="str">
        <f>IFERROR(__xludf.DUMMYFUNCTION("""COMPUTED_VALUE""")," (Item) lvl:1, : + ++Once per battle, if HP&lt;110, heal 10000 HP +-Cannot be forged or duplicated")</f>
        <v> (Item) lvl:1, : + ++Once per battle, if HP&lt;110, heal 10000 HP +-Cannot be forged or duplicated</v>
      </c>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t="str">
        <f>IFERROR(__xludf.DUMMYFUNCTION("""COMPUTED_VALUE"""),"Finger Food Ring")</f>
        <v>Finger Food Ring</v>
      </c>
      <c r="B918" s="32" t="str">
        <f>IFERROR(__xludf.DUMMYFUNCTION("""COMPUTED_VALUE""")," (Item) lvl:1, : + ++Once per journey, consume one piece of food without it being removed from inventory +-Cannot be forged or duplicated")</f>
        <v> (Item) lvl:1, : + ++Once per journey, consume one piece of food without it being removed from inventory +-Cannot be forged or duplicated</v>
      </c>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t="str">
        <f>IFERROR(__xludf.DUMMYFUNCTION("""COMPUTED_VALUE"""),"Ring of Power")</f>
        <v>Ring of Power</v>
      </c>
      <c r="B919" s="32" t="str">
        <f>IFERROR(__xludf.DUMMYFUNCTION("""COMPUTED_VALUE""")," (Item) lvl:1, : + ++1500 ATK and ACC")</f>
        <v> (Item) lvl:1, : + ++1500 ATK and ACC</v>
      </c>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t="str">
        <f>IFERROR(__xludf.DUMMYFUNCTION("""COMPUTED_VALUE"""),"Axe of Red")</f>
        <v>Axe of Red</v>
      </c>
      <c r="B920" s="32" t="str">
        <f>IFERROR(__xludf.DUMMYFUNCTION("""COMPUTED_VALUE""")," (Axe) lvl:4500, DMG: +, Fire DMG: +75000, Chaos DMG: +75000, Blood DMG: +75000")</f>
        <v> (Axe) lvl:4500, DMG: +, Fire DMG: +75000, Chaos DMG: +75000, Blood DMG: +75000</v>
      </c>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t="str">
        <f>IFERROR(__xludf.DUMMYFUNCTION("""COMPUTED_VALUE"""),"Wyrmscale Staff")</f>
        <v>Wyrmscale Staff</v>
      </c>
      <c r="B921" s="32" t="str">
        <f>IFERROR(__xludf.DUMMYFUNCTION("""COMPUTED_VALUE""")," (Staff) lvl:1, : + ++Spells have double effect when cast on dragons +-Cannot be forged or duplicated")</f>
        <v> (Staff) lvl:1, : + ++Spells have double effect when cast on dragons +-Cannot be forged or duplicated</v>
      </c>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t="str">
        <f>IFERROR(__xludf.DUMMYFUNCTION("""COMPUTED_VALUE"""),"Wyrmscale Wand")</f>
        <v>Wyrmscale Wand</v>
      </c>
      <c r="B922" s="32" t="str">
        <f>IFERROR(__xludf.DUMMYFUNCTION("""COMPUTED_VALUE""")," (Wand) lvl:1, : + ++Half the SP/HP cost of spells when in the presence of a dragon +-Cannot be forged or duplicated")</f>
        <v> (Wand) lvl:1, : + ++Half the SP/HP cost of spells when in the presence of a dragon +-Cannot be forged or duplicated</v>
      </c>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t="str">
        <f>IFERROR(__xludf.DUMMYFUNCTION("""COMPUTED_VALUE"""),"Nothing")</f>
        <v>Nothing</v>
      </c>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t="str">
        <f>IFERROR(__xludf.DUMMYFUNCTION("""COMPUTED_VALUE"""),"Slime core")</f>
        <v>Slime core</v>
      </c>
      <c r="B924" s="32" t="str">
        <f>IFERROR(__xludf.DUMMYFUNCTION("""COMPUTED_VALUE"""),"restores 5 SP; can be used to make mana potions (Item)")</f>
        <v>restores 5 SP; can be used to make mana potions (Item)</v>
      </c>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t="str">
        <f>IFERROR(__xludf.DUMMYFUNCTION("""COMPUTED_VALUE"""),"Mysterious egg")</f>
        <v>Mysterious egg</v>
      </c>
      <c r="B925" s="32" t="str">
        <f>IFERROR(__xludf.DUMMYFUNCTION("""COMPUTED_VALUE"""),"This egg will be determined by DM/GM (Item)")</f>
        <v>This egg will be determined by DM/GM (Item)</v>
      </c>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t="str">
        <f>IFERROR(__xludf.DUMMYFUNCTION("""COMPUTED_VALUE"""),"Emerald of Luck")</f>
        <v>Emerald of Luck</v>
      </c>
      <c r="B926" s="32" t="str">
        <f>IFERROR(__xludf.DUMMYFUNCTION("""COMPUTED_VALUE"""),"It’s said when holding one of these you feel like it's a happy spring day... (Item)")</f>
        <v>It’s said when holding one of these you feel like it's a happy spring day... (Item)</v>
      </c>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t="str">
        <f>IFERROR(__xludf.DUMMYFUNCTION("""COMPUTED_VALUE"""),"Gold")</f>
        <v>Gold</v>
      </c>
      <c r="B927" s="32" t="str">
        <f>IFERROR(__xludf.DUMMYFUNCTION("""COMPUTED_VALUE"""),"Crafting Material, roll a d20 to see how many you get if this is a loot drop.l. Can be used to repair an item. (Item)")</f>
        <v>Crafting Material, roll a d20 to see how many you get if this is a loot drop.l. Can be used to repair an item. (Item)</v>
      </c>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t="str">
        <f>IFERROR(__xludf.DUMMYFUNCTION("""COMPUTED_VALUE"""),"Iron")</f>
        <v>Iron</v>
      </c>
      <c r="B928"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t="str">
        <f>IFERROR(__xludf.DUMMYFUNCTION("""COMPUTED_VALUE"""),"Dragon scales")</f>
        <v>Dragon scales</v>
      </c>
      <c r="B929"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t="str">
        <f>IFERROR(__xludf.DUMMYFUNCTION("""COMPUTED_VALUE"""),"Desert Emerald")</f>
        <v>Desert Emerald</v>
      </c>
      <c r="B930"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t="str">
        <f>IFERROR(__xludf.DUMMYFUNCTION("""COMPUTED_VALUE"""),"Desert Ruby")</f>
        <v>Desert Ruby</v>
      </c>
      <c r="B931"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t="str">
        <f>IFERROR(__xludf.DUMMYFUNCTION("""COMPUTED_VALUE"""),"Diamonds")</f>
        <v>Diamonds</v>
      </c>
      <c r="B932"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t="str">
        <f>IFERROR(__xludf.DUMMYFUNCTION("""COMPUTED_VALUE"""),"Bricks")</f>
        <v>Bricks</v>
      </c>
      <c r="B933"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t="str">
        <f>IFERROR(__xludf.DUMMYFUNCTION("""COMPUTED_VALUE"""),"Obsidian")</f>
        <v>Obsidian</v>
      </c>
      <c r="B934" s="32" t="str">
        <f>IFERROR(__xludf.DUMMYFUNCTION("""COMPUTED_VALUE"""),"Crafting Material,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Can be used to repair an item. (Item)</v>
      </c>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t="str">
        <f>IFERROR(__xludf.DUMMYFUNCTION("""COMPUTED_VALUE"""),"Sand")</f>
        <v>Sand</v>
      </c>
      <c r="B935" s="32"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t="str">
        <f>IFERROR(__xludf.DUMMYFUNCTION("""COMPUTED_VALUE"""),"Glowing rocks")</f>
        <v>Glowing rocks</v>
      </c>
      <c r="B936" s="32" t="str">
        <f>IFERROR(__xludf.DUMMYFUNCTION("""COMPUTED_VALUE""")," Can be forged into armor or a weapon to give it +200 additional light damage or resistance (Item)")</f>
        <v> Can be forged into armor or a weapon to give it +200 additional light damage or resistance (Item)</v>
      </c>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t="str">
        <f>IFERROR(__xludf.DUMMYFUNCTION("""COMPUTED_VALUE"""),"Steel")</f>
        <v>Steel</v>
      </c>
      <c r="B937" s="32"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t="str">
        <f>IFERROR(__xludf.DUMMYFUNCTION("""COMPUTED_VALUE"""),"Silver")</f>
        <v>Silver</v>
      </c>
      <c r="B938" s="32" t="str">
        <f>IFERROR(__xludf.DUMMYFUNCTION("""COMPUTED_VALUE"""),"Crafting Material, roll a d20 to see how many you get if this is a loot drop.,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roll a d20 to see how many you get if this is a loot drop.. Can be used to repair an item. (Item)</v>
      </c>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t="str">
        <f>IFERROR(__xludf.DUMMYFUNCTION("""COMPUTED_VALUE"""),"Chains")</f>
        <v>Chains</v>
      </c>
      <c r="B939" s="32"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t="str">
        <f>IFERROR(__xludf.DUMMYFUNCTION("""COMPUTED_VALUE"""),"Steel Pickaxe ")</f>
        <v>Steel Pickaxe </v>
      </c>
      <c r="B940" s="32" t="str">
        <f>IFERROR(__xludf.DUMMYFUNCTION("""COMPUTED_VALUE"""),"40/40 Uses. Used for mining. (Item)")</f>
        <v>40/40 Uses. Used for mining. (Item)</v>
      </c>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t="str">
        <f>IFERROR(__xludf.DUMMYFUNCTION("""COMPUTED_VALUE"""),"Haggis Bowl")</f>
        <v>Haggis Bowl</v>
      </c>
      <c r="B941" s="32" t="str">
        <f>IFERROR(__xludf.DUMMYFUNCTION("""COMPUTED_VALUE"""),"Restores 75 Hunger +50 energy (Crop)")</f>
        <v>Restores 75 Hunger +50 energy (Crop)</v>
      </c>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t="str">
        <f>IFERROR(__xludf.DUMMYFUNCTION("""COMPUTED_VALUE"""),"Chunk of Salmon")</f>
        <v>Chunk of Salmon</v>
      </c>
      <c r="B942" s="32" t="str">
        <f>IFERROR(__xludf.DUMMYFUNCTION("""COMPUTED_VALUE"""),"Restores 10 Hunger +5 energy (Crop)")</f>
        <v>Restores 10 Hunger +5 energy (Crop)</v>
      </c>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t="str">
        <f>IFERROR(__xludf.DUMMYFUNCTION("""COMPUTED_VALUE"""),"Dragon Jerky")</f>
        <v>Dragon Jerky</v>
      </c>
      <c r="B943" s="32" t="str">
        <f>IFERROR(__xludf.DUMMYFUNCTION("""COMPUTED_VALUE"""),"Restores 100 Hunger + 100 energy (Crop)")</f>
        <v>Restores 100 Hunger + 100 energy (Crop)</v>
      </c>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t="str">
        <f>IFERROR(__xludf.DUMMYFUNCTION("""COMPUTED_VALUE"""),"Bacon Strip")</f>
        <v>Bacon Strip</v>
      </c>
      <c r="B944" s="32" t="str">
        <f>IFERROR(__xludf.DUMMYFUNCTION("""COMPUTED_VALUE"""),"Restores 5 Hunger +4 energy (Crop)")</f>
        <v>Restores 5 Hunger +4 energy (Crop)</v>
      </c>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t="str">
        <f>IFERROR(__xludf.DUMMYFUNCTION("""COMPUTED_VALUE"""),"Smoked Salmon")</f>
        <v>Smoked Salmon</v>
      </c>
      <c r="B945" s="32" t="str">
        <f>IFERROR(__xludf.DUMMYFUNCTION("""COMPUTED_VALUE"""),"Restores 20 Hunger +10 energy (Crop)")</f>
        <v>Restores 20 Hunger +10 energy (Crop)</v>
      </c>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t="str">
        <f>IFERROR(__xludf.DUMMYFUNCTION("""COMPUTED_VALUE"""),"Smoked Lamb")</f>
        <v>Smoked Lamb</v>
      </c>
      <c r="B946" s="32" t="str">
        <f>IFERROR(__xludf.DUMMYFUNCTION("""COMPUTED_VALUE"""),"Restores 25 Hunger (Crop)")</f>
        <v>Restores 25 Hunger (Crop)</v>
      </c>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t="str">
        <f>IFERROR(__xludf.DUMMYFUNCTION("""COMPUTED_VALUE"""),"Volcanic Venison")</f>
        <v>Volcanic Venison</v>
      </c>
      <c r="B947" s="32" t="str">
        <f>IFERROR(__xludf.DUMMYFUNCTION("""COMPUTED_VALUE"""),"Restores 50 Hunger (Crop)")</f>
        <v>Restores 50 Hunger (Crop)</v>
      </c>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t="str">
        <f>IFERROR(__xludf.DUMMYFUNCTION("""COMPUTED_VALUE"""),"Pulled Pork")</f>
        <v>Pulled Pork</v>
      </c>
      <c r="B948" s="32" t="str">
        <f>IFERROR(__xludf.DUMMYFUNCTION("""COMPUTED_VALUE"""),"Restores 40 Hunger (Crop)")</f>
        <v>Restores 40 Hunger (Crop)</v>
      </c>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t="str">
        <f>IFERROR(__xludf.DUMMYFUNCTION("""COMPUTED_VALUE"""),"Honeyed Nordic Mead")</f>
        <v>Honeyed Nordic Mead</v>
      </c>
      <c r="B949" s="32" t="str">
        <f>IFERROR(__xludf.DUMMYFUNCTION("""COMPUTED_VALUE"""),"Restores 100 Thirst +100 energy (Item)")</f>
        <v>Restores 100 Thirst +100 energy (Item)</v>
      </c>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t="str">
        <f>IFERROR(__xludf.DUMMYFUNCTION("""COMPUTED_VALUE"""),"Wine")</f>
        <v>Wine</v>
      </c>
      <c r="B950" s="32" t="str">
        <f>IFERROR(__xludf.DUMMYFUNCTION("""COMPUTED_VALUE"""),"Restores 25 Thirst +15 energy (Item)")</f>
        <v>Restores 25 Thirst +15 energy (Item)</v>
      </c>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t="str">
        <f>IFERROR(__xludf.DUMMYFUNCTION("""COMPUTED_VALUE"""),"Melomel (Mead w/ fruit added)")</f>
        <v>Melomel (Mead w/ fruit added)</v>
      </c>
      <c r="B951" s="32" t="str">
        <f>IFERROR(__xludf.DUMMYFUNCTION("""COMPUTED_VALUE"""),"Restores 50 Thirst and hunger +25 energy (Crop)")</f>
        <v>Restores 50 Thirst and hunger +25 energy (Crop)</v>
      </c>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t="str">
        <f>IFERROR(__xludf.DUMMYFUNCTION("""COMPUTED_VALUE"""),"Docile Desert Djinn Gin")</f>
        <v>Docile Desert Djinn Gin</v>
      </c>
      <c r="B952" s="32"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 (Item)")</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 (Item)</v>
      </c>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t="str">
        <f>IFERROR(__xludf.DUMMYFUNCTION("""COMPUTED_VALUE"""),"Small Battery")</f>
        <v>Small Battery</v>
      </c>
      <c r="B953" s="32" t="str">
        <f>IFERROR(__xludf.DUMMYFUNCTION("""COMPUTED_VALUE"""),"Restores 100 energy. (Item)")</f>
        <v>Restores 100 energy. (Item)</v>
      </c>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t="str">
        <f>IFERROR(__xludf.DUMMYFUNCTION("""COMPUTED_VALUE"""),"Medium Battery")</f>
        <v>Medium Battery</v>
      </c>
      <c r="B954" s="32" t="str">
        <f>IFERROR(__xludf.DUMMYFUNCTION("""COMPUTED_VALUE"""),"Restores 250 energy. (Item)")</f>
        <v>Restores 250 energy. (Item)</v>
      </c>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t="str">
        <f>IFERROR(__xludf.DUMMYFUNCTION("""COMPUTED_VALUE"""),"Large Battery")</f>
        <v>Large Battery</v>
      </c>
      <c r="B955" s="32" t="str">
        <f>IFERROR(__xludf.DUMMYFUNCTION("""COMPUTED_VALUE"""),"Restores 500 energy. (Item)")</f>
        <v>Restores 500 energy. (Item)</v>
      </c>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t="str">
        <f>IFERROR(__xludf.DUMMYFUNCTION("""COMPUTED_VALUE"""),"Wind Queen's Soul")</f>
        <v>Wind Queen's Soul</v>
      </c>
      <c r="B956" s="32" t="str">
        <f>IFERROR(__xludf.DUMMYFUNCTION("""COMPUTED_VALUE"""),"(Quest Item) It pulses with a dark energy (Item)")</f>
        <v>(Quest Item) It pulses with a dark energy (Item)</v>
      </c>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t="str">
        <f>IFERROR(__xludf.DUMMYFUNCTION("""COMPUTED_VALUE"""),"Wave Queen's Soul")</f>
        <v>Wave Queen's Soul</v>
      </c>
      <c r="B957" s="32" t="str">
        <f>IFERROR(__xludf.DUMMYFUNCTION("""COMPUTED_VALUE"""),"(Quest Item) It pulses with a dark energy (Item)")</f>
        <v>(Quest Item) It pulses with a dark energy (Item)</v>
      </c>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t="str">
        <f>IFERROR(__xludf.DUMMYFUNCTION("""COMPUTED_VALUE"""),"Storm King's Soul")</f>
        <v>Storm King's Soul</v>
      </c>
      <c r="B958" s="32" t="str">
        <f>IFERROR(__xludf.DUMMYFUNCTION("""COMPUTED_VALUE"""),"(Quest Item) It pulses with a dark energy (Item)")</f>
        <v>(Quest Item) It pulses with a dark energy (Item)</v>
      </c>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t="str">
        <f>IFERROR(__xludf.DUMMYFUNCTION("""COMPUTED_VALUE"""),"Stone King's Soul")</f>
        <v>Stone King's Soul</v>
      </c>
      <c r="B959" s="32" t="str">
        <f>IFERROR(__xludf.DUMMYFUNCTION("""COMPUTED_VALUE"""),"(Quest Item) It pulses with a dark energy (Item)")</f>
        <v>(Quest Item) It pulses with a dark energy (Item)</v>
      </c>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t="str">
        <f>IFERROR(__xludf.DUMMYFUNCTION("""COMPUTED_VALUE"""),"Inferno King Soul")</f>
        <v>Inferno King Soul</v>
      </c>
      <c r="B960" s="32" t="str">
        <f>IFERROR(__xludf.DUMMYFUNCTION("""COMPUTED_VALUE"""),"(Quest Item) It pulses with a dark energy (Item)")</f>
        <v>(Quest Item) It pulses with a dark energy (Item)</v>
      </c>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t="str">
        <f>IFERROR(__xludf.DUMMYFUNCTION("""COMPUTED_VALUE"""),"Docile Desert Djinn’s Gin")</f>
        <v>Docile Desert Djinn’s Gin</v>
      </c>
      <c r="B961" s="32" t="str">
        <f>IFERROR(__xludf.DUMMYFUNCTION("""COMPUTED_VALUE""")," (Item)")</f>
        <v> (Item)</v>
      </c>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t="str">
        <f>IFERROR(__xludf.DUMMYFUNCTION("""COMPUTED_VALUE"""),"Minor Health Potion")</f>
        <v>Minor Health Potion</v>
      </c>
      <c r="B962" s="32" t="str">
        <f>IFERROR(__xludf.DUMMYFUNCTION("""COMPUTED_VALUE"""),"Restores 20HP (Item)")</f>
        <v>Restores 20HP (Item)</v>
      </c>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t="str">
        <f>IFERROR(__xludf.DUMMYFUNCTION("""COMPUTED_VALUE"""),"Medium Health Potion")</f>
        <v>Medium Health Potion</v>
      </c>
      <c r="B963" s="32" t="str">
        <f>IFERROR(__xludf.DUMMYFUNCTION("""COMPUTED_VALUE"""),"Restores 50HP (Item)")</f>
        <v>Restores 50HP (Item)</v>
      </c>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t="str">
        <f>IFERROR(__xludf.DUMMYFUNCTION("""COMPUTED_VALUE"""),"Max Health Potion")</f>
        <v>Max Health Potion</v>
      </c>
      <c r="B964" s="32" t="str">
        <f>IFERROR(__xludf.DUMMYFUNCTION("""COMPUTED_VALUE"""),"Restores 100HP (Item)")</f>
        <v>Restores 100HP (Item)</v>
      </c>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t="str">
        <f>IFERROR(__xludf.DUMMYFUNCTION("""COMPUTED_VALUE"""),"Minor Mana Potion")</f>
        <v>Minor Mana Potion</v>
      </c>
      <c r="B965" s="32" t="str">
        <f>IFERROR(__xludf.DUMMYFUNCTION("""COMPUTED_VALUE"""),"Restores 20SP (Item)")</f>
        <v>Restores 20SP (Item)</v>
      </c>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t="str">
        <f>IFERROR(__xludf.DUMMYFUNCTION("""COMPUTED_VALUE"""),"Medium Mana Potion")</f>
        <v>Medium Mana Potion</v>
      </c>
      <c r="B966" s="32" t="str">
        <f>IFERROR(__xludf.DUMMYFUNCTION("""COMPUTED_VALUE"""),"Restores 50SP (Item)")</f>
        <v>Restores 50SP (Item)</v>
      </c>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t="str">
        <f>IFERROR(__xludf.DUMMYFUNCTION("""COMPUTED_VALUE"""),"Max Mana Potion")</f>
        <v>Max Mana Potion</v>
      </c>
      <c r="B967" s="32" t="str">
        <f>IFERROR(__xludf.DUMMYFUNCTION("""COMPUTED_VALUE"""),"Restores 100SP (Item)")</f>
        <v>Restores 100SP (Item)</v>
      </c>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t="str">
        <f>IFERROR(__xludf.DUMMYFUNCTION("""COMPUTED_VALUE"""),"Potion of Multishot")</f>
        <v>Potion of Multishot</v>
      </c>
      <c r="B968" s="32" t="str">
        <f>IFERROR(__xludf.DUMMYFUNCTION("""COMPUTED_VALUE"""),"Allows multishot use without consuming mana (Item)")</f>
        <v>Allows multishot use without consuming mana (Item)</v>
      </c>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t="str">
        <f>IFERROR(__xludf.DUMMYFUNCTION("""COMPUTED_VALUE"""),"Potion of Eel Nado")</f>
        <v>Potion of Eel Nado</v>
      </c>
      <c r="B969" s="32" t="str">
        <f>IFERROR(__xludf.DUMMYFUNCTION("""COMPUTED_VALUE"""),"Allows use of Eel Nado without consuming mana (Item)")</f>
        <v>Allows use of Eel Nado without consuming mana (Item)</v>
      </c>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t="str">
        <f>IFERROR(__xludf.DUMMYFUNCTION("""COMPUTED_VALUE"""),"Potion of Minor Health")</f>
        <v>Potion of Minor Health</v>
      </c>
      <c r="B970" s="32" t="str">
        <f>IFERROR(__xludf.DUMMYFUNCTION("""COMPUTED_VALUE"""),"Restores 10 Health (Item)")</f>
        <v>Restores 10 Health (Item)</v>
      </c>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t="str">
        <f>IFERROR(__xludf.DUMMYFUNCTION("""COMPUTED_VALUE"""),"Potion of Health")</f>
        <v>Potion of Health</v>
      </c>
      <c r="B971" s="32" t="str">
        <f>IFERROR(__xludf.DUMMYFUNCTION("""COMPUTED_VALUE"""),"Restores 50 Health (Item)")</f>
        <v>Restores 50 Health (Item)</v>
      </c>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t="str">
        <f>IFERROR(__xludf.DUMMYFUNCTION("""COMPUTED_VALUE"""),"Potion of Major Health")</f>
        <v>Potion of Major Health</v>
      </c>
      <c r="B972" s="32" t="str">
        <f>IFERROR(__xludf.DUMMYFUNCTION("""COMPUTED_VALUE"""),"Restores 100 Health (Item)")</f>
        <v>Restores 100 Health (Item)</v>
      </c>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t="str">
        <f>IFERROR(__xludf.DUMMYFUNCTION("""COMPUTED_VALUE"""),"Potion of Minor Mana")</f>
        <v>Potion of Minor Mana</v>
      </c>
      <c r="B973" s="32" t="str">
        <f>IFERROR(__xludf.DUMMYFUNCTION("""COMPUTED_VALUE"""),"Restores 10 SP (Item)")</f>
        <v>Restores 10 SP (Item)</v>
      </c>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t="str">
        <f>IFERROR(__xludf.DUMMYFUNCTION("""COMPUTED_VALUE"""),"Potion of Mana")</f>
        <v>Potion of Mana</v>
      </c>
      <c r="B974" s="32" t="str">
        <f>IFERROR(__xludf.DUMMYFUNCTION("""COMPUTED_VALUE"""),"Restores 50 SP (Item)")</f>
        <v>Restores 50 SP (Item)</v>
      </c>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t="str">
        <f>IFERROR(__xludf.DUMMYFUNCTION("""COMPUTED_VALUE"""),"Potion of Extreme Mana")</f>
        <v>Potion of Extreme Mana</v>
      </c>
      <c r="B975" s="32" t="str">
        <f>IFERROR(__xludf.DUMMYFUNCTION("""COMPUTED_VALUE"""),"Restores 100 SP (Item)")</f>
        <v>Restores 100 SP (Item)</v>
      </c>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t="str">
        <f>IFERROR(__xludf.DUMMYFUNCTION("""COMPUTED_VALUE"""),"Potion of Invigoration")</f>
        <v>Potion of Invigoration</v>
      </c>
      <c r="B976" s="32" t="str">
        <f>IFERROR(__xludf.DUMMYFUNCTION("""COMPUTED_VALUE"""),"Restores 50 SP each turn for 3 rounds (Item)")</f>
        <v>Restores 50 SP each turn for 3 rounds (Item)</v>
      </c>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t="str">
        <f>IFERROR(__xludf.DUMMYFUNCTION("""COMPUTED_VALUE"""),"Potion of Invulnerability")</f>
        <v>Potion of Invulnerability</v>
      </c>
      <c r="B977" s="32" t="str">
        <f>IFERROR(__xludf.DUMMYFUNCTION("""COMPUTED_VALUE"""),"Immune to damage for 3 rounds (Item)")</f>
        <v>Immune to damage for 3 rounds (Item)</v>
      </c>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t="str">
        <f>IFERROR(__xludf.DUMMYFUNCTION("""COMPUTED_VALUE"""),"Potion of Stun Resist")</f>
        <v>Potion of Stun Resist</v>
      </c>
      <c r="B978" s="32" t="str">
        <f>IFERROR(__xludf.DUMMYFUNCTION("""COMPUTED_VALUE"""),"Immune to Stun for 3 rounds (Item)")</f>
        <v>Immune to Stun for 3 rounds (Item)</v>
      </c>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t="str">
        <f>IFERROR(__xludf.DUMMYFUNCTION("""COMPUTED_VALUE"""),"Potion Of Sobriety")</f>
        <v>Potion Of Sobriety</v>
      </c>
      <c r="B979" s="32" t="str">
        <f>IFERROR(__xludf.DUMMYFUNCTION("""COMPUTED_VALUE"""),"Removes Disoriented Status, 50% failure, if you fail, you become even more disoriented (2x). If you fail/become too drunk, your character will black out and contract alcohol poisoning (25% of death, not-permanent) (Item)")</f>
        <v>Removes Disoriented Status, 50% failure, if you fail, you become even more disoriented (2x). If you fail/become too drunk, your character will black out and contract alcohol poisoning (25% of death, not-permanent) (Item)</v>
      </c>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t="str">
        <f>IFERROR(__xludf.DUMMYFUNCTION("""COMPUTED_VALUE"""),"Legendary Tome")</f>
        <v>Legendary Tome</v>
      </c>
      <c r="B980" s="32" t="str">
        <f>IFERROR(__xludf.DUMMYFUNCTION("""COMPUTED_VALUE"""),"(Quest item) (Item)")</f>
        <v>(Quest item) (Item)</v>
      </c>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t="str">
        <f>IFERROR(__xludf.DUMMYFUNCTION("""COMPUTED_VALUE"""),"Murky Emerald")</f>
        <v>Murky Emerald</v>
      </c>
      <c r="B981" s="32" t="str">
        <f>IFERROR(__xludf.DUMMYFUNCTION("""COMPUTED_VALUE"""),"Crafting Material, roll a d20 to see how many you get if this is a loot drop. (Item)")</f>
        <v>Crafting Material, roll a d20 to see how many you get if this is a loot drop. (Item)</v>
      </c>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t="str">
        <f>IFERROR(__xludf.DUMMYFUNCTION("""COMPUTED_VALUE"""),"Foul Night Swamp water vile")</f>
        <v>Foul Night Swamp water vile</v>
      </c>
      <c r="B982" s="32" t="str">
        <f>IFERROR(__xludf.DUMMYFUNCTION("""COMPUTED_VALUE"""),"Immunity to Nature for 3 rounds. (Item)")</f>
        <v>Immunity to Nature for 3 rounds. (Item)</v>
      </c>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t="str">
        <f>IFERROR(__xludf.DUMMYFUNCTION("""COMPUTED_VALUE"""),"Foul Night Foul Smelling potion")</f>
        <v>Foul Night Foul Smelling potion</v>
      </c>
      <c r="B983" s="32" t="str">
        <f>IFERROR(__xludf.DUMMYFUNCTION("""COMPUTED_VALUE"""),"2500 damage and 2500 nature damage and 500 poison damage for 3 rounds (Item)")</f>
        <v>2500 damage and 2500 nature damage and 500 poison damage for 3 rounds (Item)</v>
      </c>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t="str">
        <f>IFERROR(__xludf.DUMMYFUNCTION("""COMPUTED_VALUE"""),"Swampy Seaweed")</f>
        <v>Swampy Seaweed</v>
      </c>
      <c r="B984" s="32" t="str">
        <f>IFERROR(__xludf.DUMMYFUNCTION("""COMPUTED_VALUE""")," Restores 5000 HP and SP. (Item)")</f>
        <v> Restores 5000 HP and SP. (Item)</v>
      </c>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t="str">
        <f>IFERROR(__xludf.DUMMYFUNCTION("""COMPUTED_VALUE"""),"Foul Night Swamp Bubble Grenade")</f>
        <v>Foul Night Swamp Bubble Grenade</v>
      </c>
      <c r="B985" s="32" t="str">
        <f>IFERROR(__xludf.DUMMYFUNCTION("""COMPUTED_VALUE"""),"Poison 10,000 for 3 rounds. (Item)")</f>
        <v>Poison 10,000 for 3 rounds. (Item)</v>
      </c>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t="str">
        <f>IFERROR(__xludf.DUMMYFUNCTION("""COMPUTED_VALUE"""),"Block of Ice")</f>
        <v>Block of Ice</v>
      </c>
      <c r="B986" s="32" t="str">
        <f>IFERROR(__xludf.DUMMYFUNCTION("""COMPUTED_VALUE"""),"Crafting Material, roll a d20 to see how many you get if this is a loot drop. (Item)")</f>
        <v>Crafting Material, roll a d20 to see how many you get if this is a loot drop. (Item)</v>
      </c>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t="str">
        <f>IFERROR(__xludf.DUMMYFUNCTION("""COMPUTED_VALUE"""),"Frost Kings Map")</f>
        <v>Frost Kings Map</v>
      </c>
      <c r="B987" s="32" t="str">
        <f>IFERROR(__xludf.DUMMYFUNCTION("""COMPUTED_VALUE"""),"Special quest item. Speak to the frost king for more info. (Item)")</f>
        <v>Special quest item. Speak to the frost king for more info. (Item)</v>
      </c>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t="str">
        <f>IFERROR(__xludf.DUMMYFUNCTION("""COMPUTED_VALUE"""),"Bacon")</f>
        <v>Bacon</v>
      </c>
      <c r="B988" s="32" t="str">
        <f>IFERROR(__xludf.DUMMYFUNCTION("""COMPUTED_VALUE"""),"Restores 5 health and 5 hunger (Crop)")</f>
        <v>Restores 5 health and 5 hunger (Crop)</v>
      </c>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t="str">
        <f>IFERROR(__xludf.DUMMYFUNCTION("""COMPUTED_VALUE"""),"Bread")</f>
        <v>Bread</v>
      </c>
      <c r="B989" s="32" t="str">
        <f>IFERROR(__xludf.DUMMYFUNCTION("""COMPUTED_VALUE"""),"10 Hunger (Crop)")</f>
        <v>10 Hunger (Crop)</v>
      </c>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t="str">
        <f>IFERROR(__xludf.DUMMYFUNCTION("""COMPUTED_VALUE"""),"Unknown dried meat")</f>
        <v>Unknown dried meat</v>
      </c>
      <c r="B990" s="32" t="str">
        <f>IFERROR(__xludf.DUMMYFUNCTION("""COMPUTED_VALUE"""),"15 Hunger, 5% chance to lose 10 HP (Crop)")</f>
        <v>15 Hunger, 5% chance to lose 10 HP (Crop)</v>
      </c>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t="str">
        <f>IFERROR(__xludf.DUMMYFUNCTION("""COMPUTED_VALUE"""),"Water")</f>
        <v>Water</v>
      </c>
      <c r="B991" s="32" t="str">
        <f>IFERROR(__xludf.DUMMYFUNCTION("""COMPUTED_VALUE"""),"10 Thirst (Item)")</f>
        <v>10 Thirst (Item)</v>
      </c>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t="str">
        <f>IFERROR(__xludf.DUMMYFUNCTION("""COMPUTED_VALUE"""),"Rum")</f>
        <v>Rum</v>
      </c>
      <c r="B992" s="32" t="str">
        <f>IFERROR(__xludf.DUMMYFUNCTION("""COMPUTED_VALUE"""),"50 Thirst, -1 SP (Item)")</f>
        <v>50 Thirst, -1 SP (Item)</v>
      </c>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t="str">
        <f>IFERROR(__xludf.DUMMYFUNCTION("""COMPUTED_VALUE"""),"Spirits")</f>
        <v>Spirits</v>
      </c>
      <c r="B993" s="32" t="str">
        <f>IFERROR(__xludf.DUMMYFUNCTION("""COMPUTED_VALUE"""),"20 Thirst, +2 SP (Item)")</f>
        <v>20 Thirst, +2 SP (Item)</v>
      </c>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t="str">
        <f>IFERROR(__xludf.DUMMYFUNCTION("""COMPUTED_VALUE"""),"Yeast")</f>
        <v>Yeast</v>
      </c>
      <c r="B994" s="32" t="str">
        <f>IFERROR(__xludf.DUMMYFUNCTION("""COMPUTED_VALUE"""),"Crafting Material, roll a d20 to see how many you get if this is a loot drop. (Item)")</f>
        <v>Crafting Material, roll a d20 to see how many you get if this is a loot drop. (Item)</v>
      </c>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t="str">
        <f>IFERROR(__xludf.DUMMYFUNCTION("""COMPUTED_VALUE"""),"Mead")</f>
        <v>Mead</v>
      </c>
      <c r="B995" s="32" t="str">
        <f>IFERROR(__xludf.DUMMYFUNCTION("""COMPUTED_VALUE"""),"25 Thirst (Item)")</f>
        <v>25 Thirst (Item)</v>
      </c>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t="str">
        <f>IFERROR(__xludf.DUMMYFUNCTION("""COMPUTED_VALUE"""),"Water Tome Rank 9")</f>
        <v>Water Tome Rank 9</v>
      </c>
      <c r="B996" s="32" t="str">
        <f>IFERROR(__xludf.DUMMYFUNCTION("""COMPUTED_VALUE"""),"Can use up to Rank 9 Water Spells (Item)")</f>
        <v>Can use up to Rank 9 Water Spells (Item)</v>
      </c>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t="str">
        <f>IFERROR(__xludf.DUMMYFUNCTION("""COMPUTED_VALUE"""),"Dragon Flute")</f>
        <v>Dragon Flute</v>
      </c>
      <c r="B997" s="32" t="str">
        <f>IFERROR(__xludf.DUMMYFUNCTION("""COMPUTED_VALUE"""),"Summons 1 of the following dragons with a d4 roll: Fire Dragon, Poison Dragon, Storm Dragon, Ancient Water Dragon (Can only be used once) (Level determined by dm/gm) (Item)")</f>
        <v>Summons 1 of the following dragons with a d4 roll: Fire Dragon, Poison Dragon, Storm Dragon, Ancient Water Dragon (Can only be used once) (Level determined by dm/gm) (Item)</v>
      </c>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t="str">
        <f>IFERROR(__xludf.DUMMYFUNCTION("""COMPUTED_VALUE"""),"Last Resort Potion")</f>
        <v>Last Resort Potion</v>
      </c>
      <c r="B998" s="32" t="str">
        <f>IFERROR(__xludf.DUMMYFUNCTION("""COMPUTED_VALUE"""),"You can only use this when you have no sp left. When consumed, Gain all of your sp and hp back and deal X4 towards your next attack, but you will instantly die after 3 rounds. (Item)")</f>
        <v>You can only use this when you have no sp left. When consumed, Gain all of your sp and hp back and deal X4 towards your next attack, but you will instantly die after 3 rounds. (Item)</v>
      </c>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t="str">
        <f>IFERROR(__xludf.DUMMYFUNCTION("""COMPUTED_VALUE"""),"Fish in a Bottle")</f>
        <v>Fish in a Bottle</v>
      </c>
      <c r="B999" s="32" t="str">
        <f>IFERROR(__xludf.DUMMYFUNCTION("""COMPUTED_VALUE"""),"Consume to regain 50HP and 50SP (Item)")</f>
        <v>Consume to regain 50HP and 50SP (Item)</v>
      </c>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t="str">
        <f>IFERROR(__xludf.DUMMYFUNCTION("""COMPUTED_VALUE"""),"Barrel of Poisonous Water")</f>
        <v>Barrel of Poisonous Water</v>
      </c>
      <c r="B1000" s="32" t="str">
        <f>IFERROR(__xludf.DUMMYFUNCTION("""COMPUTED_VALUE"""),"POISON THE QUEEN! (Item)")</f>
        <v>POISON THE QUEEN! (Item)</v>
      </c>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c r="A1001" s="32" t="str">
        <f>IFERROR(__xludf.DUMMYFUNCTION("""COMPUTED_VALUE"""),"Live Worm")</f>
        <v>Live Worm</v>
      </c>
      <c r="B1001" s="32" t="str">
        <f>IFERROR(__xludf.DUMMYFUNCTION("""COMPUTED_VALUE"""),"Can be used as bait. 1 use per worm (Item)")</f>
        <v>Can be used as bait. 1 use per worm (Item)</v>
      </c>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32" t="str">
        <f>IFERROR(__xludf.DUMMYFUNCTION("""COMPUTED_VALUE"""),"Iron Fishing Pole")</f>
        <v>Iron Fishing Pole</v>
      </c>
      <c r="B1002" s="32" t="str">
        <f>IFERROR(__xludf.DUMMYFUNCTION("""COMPUTED_VALUE"""),"20/20 Uses. Used for fishing. (Item)")</f>
        <v>20/20 Uses. Used for fishing. (Item)</v>
      </c>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row>
    <row r="1003">
      <c r="A1003" s="32" t="str">
        <f>IFERROR(__xludf.DUMMYFUNCTION("""COMPUTED_VALUE"""),"Fishing Lure Beginner")</f>
        <v>Fishing Lure Beginner</v>
      </c>
      <c r="B1003" s="32" t="str">
        <f>IFERROR(__xludf.DUMMYFUNCTION("""COMPUTED_VALUE"""),"Used for fishing competition, add a +1 or -1 to your fishing rolls (Item)")</f>
        <v>Used for fishing competition, add a +1 or -1 to your fishing rolls (Item)</v>
      </c>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32" t="str">
        <f>IFERROR(__xludf.DUMMYFUNCTION("""COMPUTED_VALUE"""),"Fishing Lure Moderate")</f>
        <v>Fishing Lure Moderate</v>
      </c>
      <c r="B1004" s="32" t="str">
        <f>IFERROR(__xludf.DUMMYFUNCTION("""COMPUTED_VALUE"""),"Used for fishing competition, add a +3 or -3 to your fishing rolls (Item)")</f>
        <v>Used for fishing competition, add a +3 or -3 to your fishing rolls (Item)</v>
      </c>
      <c r="C1004" s="32"/>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c r="Z1004" s="32"/>
    </row>
    <row r="1005">
      <c r="A1005" s="32" t="str">
        <f>IFERROR(__xludf.DUMMYFUNCTION("""COMPUTED_VALUE"""),"Fishing Lure Expert")</f>
        <v>Fishing Lure Expert</v>
      </c>
      <c r="B1005" s="32" t="str">
        <f>IFERROR(__xludf.DUMMYFUNCTION("""COMPUTED_VALUE"""),"Used for fishing competition, add a +5 or -5 to your fishing rolls (Item)")</f>
        <v>Used for fishing competition, add a +5 or -5 to your fishing rolls (Item)</v>
      </c>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32" t="str">
        <f>IFERROR(__xludf.DUMMYFUNCTION("""COMPUTED_VALUE"""),"Fossilized Water Dragon Bones")</f>
        <v>Fossilized Water Dragon Bones</v>
      </c>
      <c r="B1006" s="32" t="str">
        <f>IFERROR(__xludf.DUMMYFUNCTION("""COMPUTED_VALUE"""),"Crafting Material, roll a d20 to see how many you get if this is a loot drop. (Item)")</f>
        <v>Crafting Material, roll a d20 to see how many you get if this is a loot drop. (Item)</v>
      </c>
      <c r="C1006" s="32"/>
      <c r="D1006" s="32"/>
      <c r="E1006" s="32"/>
      <c r="F1006" s="32"/>
      <c r="G1006" s="32"/>
      <c r="H1006" s="32"/>
      <c r="I1006" s="32"/>
      <c r="J1006" s="32"/>
      <c r="K1006" s="32"/>
      <c r="L1006" s="32"/>
      <c r="M1006" s="32"/>
      <c r="N1006" s="32"/>
      <c r="O1006" s="32"/>
      <c r="P1006" s="32"/>
      <c r="Q1006" s="32"/>
      <c r="R1006" s="32"/>
      <c r="S1006" s="32"/>
      <c r="T1006" s="32"/>
      <c r="U1006" s="32"/>
      <c r="V1006" s="32"/>
      <c r="W1006" s="32"/>
      <c r="X1006" s="32"/>
      <c r="Y1006" s="32"/>
      <c r="Z1006" s="32"/>
    </row>
    <row r="1007">
      <c r="A1007" s="32" t="str">
        <f>IFERROR(__xludf.DUMMYFUNCTION("""COMPUTED_VALUE"""),"Return Home Gem")</f>
        <v>Return Home Gem</v>
      </c>
      <c r="B1007" s="32" t="str">
        <f>IFERROR(__xludf.DUMMYFUNCTION("""COMPUTED_VALUE"""),"Only one per player in backpack. Instantly teleports you to the last town you were at without fail. (Item)")</f>
        <v>Only one per player in backpack. Instantly teleports you to the last town you were at without fail. (Item)</v>
      </c>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32" t="str">
        <f>IFERROR(__xludf.DUMMYFUNCTION("""COMPUTED_VALUE"""),"Immunity to water potion temp")</f>
        <v>Immunity to water potion temp</v>
      </c>
      <c r="B1008" s="32" t="str">
        <f>IFERROR(__xludf.DUMMYFUNCTION("""COMPUTED_VALUE"""),"Immune to water based attacks for one battle (does not count as a turn) (Item)")</f>
        <v>Immune to water based attacks for one battle (does not count as a turn) (Item)</v>
      </c>
      <c r="C1008" s="32"/>
      <c r="D1008" s="32"/>
      <c r="E1008" s="32"/>
      <c r="F1008" s="32"/>
      <c r="G1008" s="32"/>
      <c r="H1008" s="32"/>
      <c r="I1008" s="32"/>
      <c r="J1008" s="32"/>
      <c r="K1008" s="32"/>
      <c r="L1008" s="32"/>
      <c r="M1008" s="32"/>
      <c r="N1008" s="32"/>
      <c r="O1008" s="32"/>
      <c r="P1008" s="32"/>
      <c r="Q1008" s="32"/>
      <c r="R1008" s="32"/>
      <c r="S1008" s="32"/>
      <c r="T1008" s="32"/>
      <c r="U1008" s="32"/>
      <c r="V1008" s="32"/>
      <c r="W1008" s="32"/>
      <c r="X1008" s="32"/>
      <c r="Y1008" s="32"/>
      <c r="Z1008" s="32"/>
    </row>
    <row r="1009">
      <c r="A1009" s="32" t="str">
        <f>IFERROR(__xludf.DUMMYFUNCTION("""COMPUTED_VALUE"""),"Legendary Sea Monster Meat")</f>
        <v>Legendary Sea Monster Meat</v>
      </c>
      <c r="B1009" s="32" t="str">
        <f>IFERROR(__xludf.DUMMYFUNCTION("""COMPUTED_VALUE"""),"Increase Health and Defense by 100 for next three battles (Can not be used in battle must be used between battles) (Item)")</f>
        <v>Increase Health and Defense by 100 for next three battles (Can not be used in battle must be used between battles) (Item)</v>
      </c>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32" t="str">
        <f>IFERROR(__xludf.DUMMYFUNCTION("""COMPUTED_VALUE"""),"Scroll of The Sea Monster")</f>
        <v>Scroll of The Sea Monster</v>
      </c>
      <c r="B1010" s="32" t="str">
        <f>IFERROR(__xludf.DUMMYFUNCTION("""COMPUTED_VALUE"""),"X2 to water damage for the caster until end of battle, water spells also become unblockable for 3 rounds. (Item)")</f>
        <v>X2 to water damage for the caster until end of battle, water spells also become unblockable for 3 rounds. (Item)</v>
      </c>
      <c r="C1010" s="32"/>
      <c r="D1010" s="32"/>
      <c r="E1010" s="32"/>
      <c r="F1010" s="32"/>
      <c r="G1010" s="32"/>
      <c r="H1010" s="32"/>
      <c r="I1010" s="32"/>
      <c r="J1010" s="32"/>
      <c r="K1010" s="32"/>
      <c r="L1010" s="32"/>
      <c r="M1010" s="32"/>
      <c r="N1010" s="32"/>
      <c r="O1010" s="32"/>
      <c r="P1010" s="32"/>
      <c r="Q1010" s="32"/>
      <c r="R1010" s="32"/>
      <c r="S1010" s="32"/>
      <c r="T1010" s="32"/>
      <c r="U1010" s="32"/>
      <c r="V1010" s="32"/>
      <c r="W1010" s="32"/>
      <c r="X1010" s="32"/>
      <c r="Y1010" s="32"/>
      <c r="Z1010" s="32"/>
    </row>
    <row r="1011">
      <c r="A1011" s="32" t="str">
        <f>IFERROR(__xludf.DUMMYFUNCTION("""COMPUTED_VALUE"""),"Paper scraps")</f>
        <v>Paper scraps</v>
      </c>
      <c r="B1011" s="32" t="str">
        <f>IFERROR(__xludf.DUMMYFUNCTION("""COMPUTED_VALUE"""),"Crafting Material, roll a d20 to see how many you get if this is a loot drop. (Item)")</f>
        <v>Crafting Material, roll a d20 to see how many you get if this is a loot drop. (Item)</v>
      </c>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32" t="str">
        <f>IFERROR(__xludf.DUMMYFUNCTION("""COMPUTED_VALUE"""),"Blank piece of paper")</f>
        <v>Blank piece of paper</v>
      </c>
      <c r="B1012" s="32" t="str">
        <f>IFERROR(__xludf.DUMMYFUNCTION("""COMPUTED_VALUE"""),"Crafting Material, roll a d20 to see how many you get if this is a loot drop. (Item)")</f>
        <v>Crafting Material, roll a d20 to see how many you get if this is a loot drop. (Item)</v>
      </c>
      <c r="C1012" s="32"/>
      <c r="D1012" s="32"/>
      <c r="E1012" s="32"/>
      <c r="F1012" s="32"/>
      <c r="G1012" s="32"/>
      <c r="H1012" s="32"/>
      <c r="I1012" s="32"/>
      <c r="J1012" s="32"/>
      <c r="K1012" s="32"/>
      <c r="L1012" s="32"/>
      <c r="M1012" s="32"/>
      <c r="N1012" s="32"/>
      <c r="O1012" s="32"/>
      <c r="P1012" s="32"/>
      <c r="Q1012" s="32"/>
      <c r="R1012" s="32"/>
      <c r="S1012" s="32"/>
      <c r="T1012" s="32"/>
      <c r="U1012" s="32"/>
      <c r="V1012" s="32"/>
      <c r="W1012" s="32"/>
      <c r="X1012" s="32"/>
      <c r="Y1012" s="32"/>
      <c r="Z1012" s="32"/>
    </row>
    <row r="1013">
      <c r="A1013" s="32" t="str">
        <f>IFERROR(__xludf.DUMMYFUNCTION("""COMPUTED_VALUE"""),"Broken pistol")</f>
        <v>Broken pistol</v>
      </c>
      <c r="B1013" s="32" t="str">
        <f>IFERROR(__xludf.DUMMYFUNCTION("""COMPUTED_VALUE"""),"Crafting Material, roll a d20 to see how many you get if this is a loot drop. (Item)")</f>
        <v>Crafting Material, roll a d20 to see how many you get if this is a loot drop. (Item)</v>
      </c>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c r="A1014" s="32" t="str">
        <f>IFERROR(__xludf.DUMMYFUNCTION("""COMPUTED_VALUE"""),"Cannon Ball")</f>
        <v>Cannon Ball</v>
      </c>
      <c r="B1014" s="32" t="str">
        <f>IFERROR(__xludf.DUMMYFUNCTION("""COMPUTED_VALUE"""),"Cannon Ammunition, +1000 damage. roll a d20 to see how many you get if this is a loot drop. (Item)")</f>
        <v>Cannon Ammunition, +1000 damage. roll a d20 to see how many you get if this is a loot drop. (Item)</v>
      </c>
      <c r="C1014" s="32"/>
      <c r="D1014" s="32"/>
      <c r="E1014" s="32"/>
      <c r="F1014" s="32"/>
      <c r="G1014" s="32"/>
      <c r="H1014" s="32"/>
      <c r="I1014" s="32"/>
      <c r="J1014" s="32"/>
      <c r="K1014" s="32"/>
      <c r="L1014" s="32"/>
      <c r="M1014" s="32"/>
      <c r="N1014" s="32"/>
      <c r="O1014" s="32"/>
      <c r="P1014" s="32"/>
      <c r="Q1014" s="32"/>
      <c r="R1014" s="32"/>
      <c r="S1014" s="32"/>
      <c r="T1014" s="32"/>
      <c r="U1014" s="32"/>
      <c r="V1014" s="32"/>
      <c r="W1014" s="32"/>
      <c r="X1014" s="32"/>
      <c r="Y1014" s="32"/>
      <c r="Z1014" s="32"/>
    </row>
    <row r="1015">
      <c r="A1015" s="32" t="str">
        <f>IFERROR(__xludf.DUMMYFUNCTION("""COMPUTED_VALUE"""),"Blank Book")</f>
        <v>Blank Book</v>
      </c>
      <c r="B1015" s="32" t="str">
        <f>IFERROR(__xludf.DUMMYFUNCTION("""COMPUTED_VALUE"""),"Crafting Material, roll a d20 to see how many you get. (Item)")</f>
        <v>Crafting Material, roll a d20 to see how many you get. (Item)</v>
      </c>
      <c r="C1015" s="32"/>
      <c r="D1015" s="32"/>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row>
    <row r="1016">
      <c r="A1016" s="32" t="str">
        <f>IFERROR(__xludf.DUMMYFUNCTION("""COMPUTED_VALUE"""),"Bronze")</f>
        <v>Bronze</v>
      </c>
      <c r="B1016" s="32" t="str">
        <f>IFERROR(__xludf.DUMMYFUNCTION("""COMPUTED_VALUE"""),"Crafting Material, roll a d20 to see how many you get. (Item)")</f>
        <v>Crafting Material, roll a d20 to see how many you get. (Item)</v>
      </c>
      <c r="C1016" s="32"/>
      <c r="D1016" s="32"/>
      <c r="E1016" s="32"/>
      <c r="F1016" s="32"/>
      <c r="G1016" s="32"/>
      <c r="H1016" s="32"/>
      <c r="I1016" s="32"/>
      <c r="J1016" s="32"/>
      <c r="K1016" s="32"/>
      <c r="L1016" s="32"/>
      <c r="M1016" s="32"/>
      <c r="N1016" s="32"/>
      <c r="O1016" s="32"/>
      <c r="P1016" s="32"/>
      <c r="Q1016" s="32"/>
      <c r="R1016" s="32"/>
      <c r="S1016" s="32"/>
      <c r="T1016" s="32"/>
      <c r="U1016" s="32"/>
      <c r="V1016" s="32"/>
      <c r="W1016" s="32"/>
      <c r="X1016" s="32"/>
      <c r="Y1016" s="32"/>
      <c r="Z1016" s="32"/>
    </row>
    <row r="1017">
      <c r="A1017" s="32" t="str">
        <f>IFERROR(__xludf.DUMMYFUNCTION("""COMPUTED_VALUE"""),"Diamond")</f>
        <v>Diamond</v>
      </c>
      <c r="B1017" s="32" t="str">
        <f>IFERROR(__xludf.DUMMYFUNCTION("""COMPUTED_VALUE"""),"Crafting Material, roll a d20 to see how many you get. (Item)")</f>
        <v>Crafting Material, roll a d20 to see how many you get. (Item)</v>
      </c>
      <c r="C1017" s="32"/>
      <c r="D1017" s="32"/>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row>
    <row r="1018">
      <c r="A1018" s="32" t="str">
        <f>IFERROR(__xludf.DUMMYFUNCTION("""COMPUTED_VALUE"""),"Wood")</f>
        <v>Wood</v>
      </c>
      <c r="B1018" s="32" t="str">
        <f>IFERROR(__xludf.DUMMYFUNCTION("""COMPUTED_VALUE"""),"Crafting Material, roll a d20 to see how many you get. (Item)")</f>
        <v>Crafting Material, roll a d20 to see how many you get. (Item)</v>
      </c>
      <c r="C1018" s="32"/>
      <c r="D1018" s="32"/>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row>
    <row r="1019">
      <c r="A1019" s="32" t="str">
        <f>IFERROR(__xludf.DUMMYFUNCTION("""COMPUTED_VALUE"""),"Stone")</f>
        <v>Stone</v>
      </c>
      <c r="B1019" s="32" t="str">
        <f>IFERROR(__xludf.DUMMYFUNCTION("""COMPUTED_VALUE"""),"Crafting Material, roll a d20 to see how many you get. (Item)")</f>
        <v>Crafting Material, roll a d20 to see how many you get. (Item)</v>
      </c>
      <c r="C1019" s="32"/>
      <c r="D1019" s="32"/>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row>
    <row r="1020">
      <c r="A1020" s="32" t="str">
        <f>IFERROR(__xludf.DUMMYFUNCTION("""COMPUTED_VALUE"""),"Raw Meat")</f>
        <v>Raw Meat</v>
      </c>
      <c r="B1020" s="32" t="str">
        <f>IFERROR(__xludf.DUMMYFUNCTION("""COMPUTED_VALUE"""),"-100 Hunger (Crop)")</f>
        <v>-100 Hunger (Crop)</v>
      </c>
      <c r="C1020" s="32"/>
      <c r="D1020" s="32"/>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row>
    <row r="1021">
      <c r="A1021" s="32" t="str">
        <f>IFERROR(__xludf.DUMMYFUNCTION("""COMPUTED_VALUE"""),"Cooked Meat")</f>
        <v>Cooked Meat</v>
      </c>
      <c r="B1021" s="32" t="str">
        <f>IFERROR(__xludf.DUMMYFUNCTION("""COMPUTED_VALUE"""),"Restores 35 Hunger (Crop)")</f>
        <v>Restores 35 Hunger (Crop)</v>
      </c>
      <c r="C1021" s="32"/>
      <c r="D1021" s="32"/>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row>
    <row r="1022">
      <c r="A1022" s="32" t="str">
        <f>IFERROR(__xludf.DUMMYFUNCTION("""COMPUTED_VALUE"""),"Dried Meat")</f>
        <v>Dried Meat</v>
      </c>
      <c r="B1022" s="32" t="str">
        <f>IFERROR(__xludf.DUMMYFUNCTION("""COMPUTED_VALUE"""),"25 Hunger (Crop)")</f>
        <v>25 Hunger (Crop)</v>
      </c>
      <c r="C1022" s="32"/>
      <c r="D1022" s="32"/>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row>
    <row r="1023">
      <c r="A1023" s="32" t="str">
        <f>IFERROR(__xludf.DUMMYFUNCTION("""COMPUTED_VALUE"""),"Medium Rare Steak")</f>
        <v>Medium Rare Steak</v>
      </c>
      <c r="B1023" s="32" t="str">
        <f>IFERROR(__xludf.DUMMYFUNCTION("""COMPUTED_VALUE"""),"Restores 30 Hunger and 5 HP (Crop)")</f>
        <v>Restores 30 Hunger and 5 HP (Crop)</v>
      </c>
      <c r="C1023" s="32"/>
      <c r="D1023" s="32"/>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row>
    <row r="1024">
      <c r="A1024" s="32" t="str">
        <f>IFERROR(__xludf.DUMMYFUNCTION("""COMPUTED_VALUE"""),"Well Done Steak")</f>
        <v>Well Done Steak</v>
      </c>
      <c r="B1024" s="32" t="str">
        <f>IFERROR(__xludf.DUMMYFUNCTION("""COMPUTED_VALUE"""),"10 Hunger and 3 HP are restored each turn for the next three turns (Crop)")</f>
        <v>10 Hunger and 3 HP are restored each turn for the next three turns (Crop)</v>
      </c>
      <c r="C1024" s="32"/>
      <c r="D1024" s="32"/>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row>
    <row r="1025">
      <c r="A1025" s="32" t="str">
        <f>IFERROR(__xludf.DUMMYFUNCTION("""COMPUTED_VALUE"""),"Kebab")</f>
        <v>Kebab</v>
      </c>
      <c r="B1025" s="32" t="str">
        <f>IFERROR(__xludf.DUMMYFUNCTION("""COMPUTED_VALUE"""),"Restores 10 Hunger, 5 HP, and 15 SP (Crop)")</f>
        <v>Restores 10 Hunger, 5 HP, and 15 SP (Crop)</v>
      </c>
      <c r="C1025" s="32"/>
      <c r="D1025" s="32"/>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row>
    <row r="1026">
      <c r="A1026" s="32" t="str">
        <f>IFERROR(__xludf.DUMMYFUNCTION("""COMPUTED_VALUE"""),"Melon Bread")</f>
        <v>Melon Bread</v>
      </c>
      <c r="B1026" s="32" t="str">
        <f>IFERROR(__xludf.DUMMYFUNCTION("""COMPUTED_VALUE"""),"15 Hunger (Crop)")</f>
        <v>15 Hunger (Crop)</v>
      </c>
      <c r="C1026" s="32"/>
      <c r="D1026" s="32"/>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row>
    <row r="1027">
      <c r="A1027" s="32" t="str">
        <f>IFERROR(__xludf.DUMMYFUNCTION("""COMPUTED_VALUE"""),"Cake")</f>
        <v>Cake</v>
      </c>
      <c r="B1027" s="32" t="str">
        <f>IFERROR(__xludf.DUMMYFUNCTION("""COMPUTED_VALUE"""),"8 uses, each use restores 20 Hunger (Crop)")</f>
        <v>8 uses, each use restores 20 Hunger (Crop)</v>
      </c>
      <c r="C1027" s="32"/>
      <c r="D1027" s="32"/>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row>
    <row r="1028">
      <c r="A1028" s="32" t="str">
        <f>IFERROR(__xludf.DUMMYFUNCTION("""COMPUTED_VALUE"""),"Cherry Pie")</f>
        <v>Cherry Pie</v>
      </c>
      <c r="B1028" s="32" t="str">
        <f>IFERROR(__xludf.DUMMYFUNCTION("""COMPUTED_VALUE"""),"4 uses, restores 20 Hunger, 10 HP, and 5 SP with each use (Crop)")</f>
        <v>4 uses, restores 20 Hunger, 10 HP, and 5 SP with each use (Crop)</v>
      </c>
      <c r="C1028" s="32"/>
      <c r="D1028" s="32"/>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row>
    <row r="1029">
      <c r="A1029" s="32" t="str">
        <f>IFERROR(__xludf.DUMMYFUNCTION("""COMPUTED_VALUE"""),"Saltwater")</f>
        <v>Saltwater</v>
      </c>
      <c r="B1029" s="32" t="str">
        <f>IFERROR(__xludf.DUMMYFUNCTION("""COMPUTED_VALUE"""),"Crafting Material, roll a d20 to see how many you get if this is a loot drop. (Item)")</f>
        <v>Crafting Material, roll a d20 to see how many you get if this is a loot drop. (Item)</v>
      </c>
      <c r="C1029" s="32"/>
      <c r="D1029" s="32"/>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row>
    <row r="1030">
      <c r="A1030" s="32" t="str">
        <f>IFERROR(__xludf.DUMMYFUNCTION("""COMPUTED_VALUE"""),"Fisherman’s Lucky Totem")</f>
        <v>Fisherman’s Lucky Totem</v>
      </c>
      <c r="B1030" s="32" t="str">
        <f>IFERROR(__xludf.DUMMYFUNCTION("""COMPUTED_VALUE"""),"This will Guarantee you 1 fish from a quest (Item)")</f>
        <v>This will Guarantee you 1 fish from a quest (Item)</v>
      </c>
      <c r="C1030" s="32"/>
      <c r="D1030" s="32"/>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row>
    <row r="1031">
      <c r="A1031" s="32" t="str">
        <f>IFERROR(__xludf.DUMMYFUNCTION("""COMPUTED_VALUE"""),"The Fish Pendant")</f>
        <v>The Fish Pendant</v>
      </c>
      <c r="B1031" s="32" t="str">
        <f>IFERROR(__xludf.DUMMYFUNCTION("""COMPUTED_VALUE"""),"Choose the rarity of the fish when fishing during a quest. (Item)")</f>
        <v>Choose the rarity of the fish when fishing during a quest. (Item)</v>
      </c>
      <c r="C1031" s="32"/>
      <c r="D1031" s="32"/>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row>
    <row r="1032">
      <c r="A1032" s="32" t="str">
        <f>IFERROR(__xludf.DUMMYFUNCTION("""COMPUTED_VALUE"""),"Fish Stone")</f>
        <v>Fish Stone</v>
      </c>
      <c r="B1032" s="32" t="str">
        <f>IFERROR(__xludf.DUMMYFUNCTION("""COMPUTED_VALUE"""),"if you catch this when fishing you get 2 of the fish you caught with this item. (Item)")</f>
        <v>if you catch this when fishing you get 2 of the fish you caught with this item. (Item)</v>
      </c>
      <c r="C1032" s="32"/>
      <c r="D1032" s="32"/>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row>
    <row r="1033">
      <c r="A1033" s="32" t="str">
        <f>IFERROR(__xludf.DUMMYFUNCTION("""COMPUTED_VALUE"""),"Pumpkin")</f>
        <v>Pumpkin</v>
      </c>
      <c r="B1033" s="32" t="str">
        <f>IFERROR(__xludf.DUMMYFUNCTION("""COMPUTED_VALUE"""),"100 hunger for self and up to 2 party members. (Crop)")</f>
        <v>100 hunger for self and up to 2 party members. (Crop)</v>
      </c>
      <c r="C1033" s="32"/>
      <c r="D1033" s="32"/>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row>
    <row r="1034">
      <c r="A1034" s="32" t="str">
        <f>IFERROR(__xludf.DUMMYFUNCTION("""COMPUTED_VALUE"""),"Premium Pumpkin")</f>
        <v>Premium Pumpkin</v>
      </c>
      <c r="B1034" s="32" t="str">
        <f>IFERROR(__xludf.DUMMYFUNCTION("""COMPUTED_VALUE"""),"200 hunger for self and up to 2 party members. (Crop)")</f>
        <v>200 hunger for self and up to 2 party members. (Crop)</v>
      </c>
      <c r="C1034" s="32"/>
      <c r="D1034" s="32"/>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row>
    <row r="1035">
      <c r="A1035" s="32" t="str">
        <f>IFERROR(__xludf.DUMMYFUNCTION("""COMPUTED_VALUE"""),"Pumpkin Soup")</f>
        <v>Pumpkin Soup</v>
      </c>
      <c r="B1035" s="32" t="str">
        <f>IFERROR(__xludf.DUMMYFUNCTION("""COMPUTED_VALUE"""),"100 hunger for self and up to 4 party members. (Crop)")</f>
        <v>100 hunger for self and up to 4 party members. (Crop)</v>
      </c>
      <c r="C1035" s="32"/>
      <c r="D1035" s="32"/>
      <c r="E1035" s="32"/>
      <c r="F1035" s="32"/>
      <c r="G1035" s="32"/>
      <c r="H1035" s="32"/>
      <c r="I1035" s="32"/>
      <c r="J1035" s="32"/>
      <c r="K1035" s="32"/>
      <c r="L1035" s="32"/>
      <c r="M1035" s="32"/>
      <c r="N1035" s="32"/>
      <c r="O1035" s="32"/>
      <c r="P1035" s="32"/>
      <c r="Q1035" s="32"/>
      <c r="R1035" s="32"/>
      <c r="S1035" s="32"/>
      <c r="T1035" s="32"/>
      <c r="U1035" s="32"/>
      <c r="V1035" s="32"/>
      <c r="W1035" s="32"/>
      <c r="X1035" s="32"/>
      <c r="Y1035" s="32"/>
      <c r="Z1035" s="32"/>
    </row>
    <row r="1036">
      <c r="A1036" s="32" t="str">
        <f>IFERROR(__xludf.DUMMYFUNCTION("""COMPUTED_VALUE"""),"Premium Pumpkin Soup")</f>
        <v>Premium Pumpkin Soup</v>
      </c>
      <c r="B1036" s="32" t="str">
        <f>IFERROR(__xludf.DUMMYFUNCTION("""COMPUTED_VALUE"""),"200 hunger for self and up to 4 party members. (Crop)")</f>
        <v>200 hunger for self and up to 4 party members. (Crop)</v>
      </c>
      <c r="C1036" s="32"/>
      <c r="D1036" s="32"/>
      <c r="E1036" s="32"/>
      <c r="F1036" s="32"/>
      <c r="G1036" s="32"/>
      <c r="H1036" s="32"/>
      <c r="I1036" s="32"/>
      <c r="J1036" s="32"/>
      <c r="K1036" s="32"/>
      <c r="L1036" s="32"/>
      <c r="M1036" s="32"/>
      <c r="N1036" s="32"/>
      <c r="O1036" s="32"/>
      <c r="P1036" s="32"/>
      <c r="Q1036" s="32"/>
      <c r="R1036" s="32"/>
      <c r="S1036" s="32"/>
      <c r="T1036" s="32"/>
      <c r="U1036" s="32"/>
      <c r="V1036" s="32"/>
      <c r="W1036" s="32"/>
      <c r="X1036" s="32"/>
      <c r="Y1036" s="32"/>
      <c r="Z1036" s="32"/>
    </row>
    <row r="1037">
      <c r="A1037" s="32" t="str">
        <f>IFERROR(__xludf.DUMMYFUNCTION("""COMPUTED_VALUE"""),"Forbidden Book")</f>
        <v>Forbidden Book</v>
      </c>
      <c r="B1037" s="32" t="str">
        <f>IFERROR(__xludf.DUMMYFUNCTION("""COMPUTED_VALUE"""),"A forbidden book. if the guards see it in your inventory they will autmatically confiscate it and arrest you. (Item)")</f>
        <v>A forbidden book. if the guards see it in your inventory they will autmatically confiscate it and arrest you. (Item)</v>
      </c>
      <c r="C1037" s="32"/>
      <c r="D1037" s="32"/>
      <c r="E1037" s="32"/>
      <c r="F1037" s="32"/>
      <c r="G1037" s="32"/>
      <c r="H1037" s="32"/>
      <c r="I1037" s="32"/>
      <c r="J1037" s="32"/>
      <c r="K1037" s="32"/>
      <c r="L1037" s="32"/>
      <c r="M1037" s="32"/>
      <c r="N1037" s="32"/>
      <c r="O1037" s="32"/>
      <c r="P1037" s="32"/>
      <c r="Q1037" s="32"/>
      <c r="R1037" s="32"/>
      <c r="S1037" s="32"/>
      <c r="T1037" s="32"/>
      <c r="U1037" s="32"/>
      <c r="V1037" s="32"/>
      <c r="W1037" s="32"/>
      <c r="X1037" s="32"/>
      <c r="Y1037" s="32"/>
      <c r="Z1037" s="32"/>
    </row>
    <row r="1038">
      <c r="A1038" s="32" t="str">
        <f>IFERROR(__xludf.DUMMYFUNCTION("""COMPUTED_VALUE"""),"a random stick")</f>
        <v>a random stick</v>
      </c>
      <c r="B1038" s="32" t="str">
        <f>IFERROR(__xludf.DUMMYFUNCTION("""COMPUTED_VALUE"""),"A random stick the shopkeeper found out back (Item)")</f>
        <v>A random stick the shopkeeper found out back (Item)</v>
      </c>
      <c r="C1038" s="32"/>
      <c r="D1038" s="32"/>
      <c r="E1038" s="32"/>
      <c r="F1038" s="32"/>
      <c r="G1038" s="32"/>
      <c r="H1038" s="32"/>
      <c r="I1038" s="32"/>
      <c r="J1038" s="32"/>
      <c r="K1038" s="32"/>
      <c r="L1038" s="32"/>
      <c r="M1038" s="32"/>
      <c r="N1038" s="32"/>
      <c r="O1038" s="32"/>
      <c r="P1038" s="32"/>
      <c r="Q1038" s="32"/>
      <c r="R1038" s="32"/>
      <c r="S1038" s="32"/>
      <c r="T1038" s="32"/>
      <c r="U1038" s="32"/>
      <c r="V1038" s="32"/>
      <c r="W1038" s="32"/>
      <c r="X1038" s="32"/>
      <c r="Y1038" s="32"/>
      <c r="Z1038" s="32"/>
    </row>
    <row r="1039">
      <c r="A1039" s="32" t="str">
        <f>IFERROR(__xludf.DUMMYFUNCTION("""COMPUTED_VALUE"""),"Rank 9 Storm Tome")</f>
        <v>Rank 9 Storm Tome</v>
      </c>
      <c r="B1039" s="32" t="str">
        <f>IFERROR(__xludf.DUMMYFUNCTION("""COMPUTED_VALUE"""),"Can use up to Rank 9 Storm Spells (Item)")</f>
        <v>Can use up to Rank 9 Storm Spells (Item)</v>
      </c>
      <c r="C1039" s="32"/>
      <c r="D1039" s="32"/>
      <c r="E1039" s="32"/>
      <c r="F1039" s="32"/>
      <c r="G1039" s="32"/>
      <c r="H1039" s="32"/>
      <c r="I1039" s="32"/>
      <c r="J1039" s="32"/>
      <c r="K1039" s="32"/>
      <c r="L1039" s="32"/>
      <c r="M1039" s="32"/>
      <c r="N1039" s="32"/>
      <c r="O1039" s="32"/>
      <c r="P1039" s="32"/>
      <c r="Q1039" s="32"/>
      <c r="R1039" s="32"/>
      <c r="S1039" s="32"/>
      <c r="T1039" s="32"/>
      <c r="U1039" s="32"/>
      <c r="V1039" s="32"/>
      <c r="W1039" s="32"/>
      <c r="X1039" s="32"/>
      <c r="Y1039" s="32"/>
      <c r="Z1039" s="32"/>
    </row>
    <row r="1040">
      <c r="A1040" s="32" t="str">
        <f>IFERROR(__xludf.DUMMYFUNCTION("""COMPUTED_VALUE"""),"Common Tree Branch")</f>
        <v>Common Tree Branch</v>
      </c>
      <c r="B1040" s="32" t="str">
        <f>IFERROR(__xludf.DUMMYFUNCTION("""COMPUTED_VALUE"""),"When thrown, each enemy has a 25% chance to be distracted, skipping their next turn (Item)")</f>
        <v>When thrown, each enemy has a 25% chance to be distracted, skipping their next turn (Item)</v>
      </c>
      <c r="C1040" s="32"/>
      <c r="D1040" s="32"/>
      <c r="E1040" s="32"/>
      <c r="F1040" s="32"/>
      <c r="G1040" s="32"/>
      <c r="H1040" s="32"/>
      <c r="I1040" s="32"/>
      <c r="J1040" s="32"/>
      <c r="K1040" s="32"/>
      <c r="L1040" s="32"/>
      <c r="M1040" s="32"/>
      <c r="N1040" s="32"/>
      <c r="O1040" s="32"/>
      <c r="P1040" s="32"/>
      <c r="Q1040" s="32"/>
      <c r="R1040" s="32"/>
      <c r="S1040" s="32"/>
      <c r="T1040" s="32"/>
      <c r="U1040" s="32"/>
      <c r="V1040" s="32"/>
      <c r="W1040" s="32"/>
      <c r="X1040" s="32"/>
      <c r="Y1040" s="32"/>
      <c r="Z1040" s="32"/>
    </row>
    <row r="1041">
      <c r="A1041" s="32" t="str">
        <f>IFERROR(__xludf.DUMMYFUNCTION("""COMPUTED_VALUE"""),"Uncommon Tree branch")</f>
        <v>Uncommon Tree branch</v>
      </c>
      <c r="B1041" s="32" t="str">
        <f>IFERROR(__xludf.DUMMYFUNCTION("""COMPUTED_VALUE"""),"When thrown, Roll a d20 and apply the result. If 1-19, deal 20,000 damage to one target Hit/Miss. If 20, deal 40,000 damage to one target Hit/Miss, each enemy has a 50% chance to be distracted, skipping their next turn.
 (Item)")</f>
        <v>When thrown, Roll a d20 and apply the result. If 1-19, deal 20,000 damage to one target Hit/Miss. If 20, deal 40,000 damage to one target Hit/Miss, each enemy has a 50% chance to be distracted, skipping their next turn.
 (Item)</v>
      </c>
      <c r="C1041" s="32"/>
      <c r="D1041" s="32"/>
      <c r="E1041" s="32"/>
      <c r="F1041" s="32"/>
      <c r="G1041" s="32"/>
      <c r="H1041" s="32"/>
      <c r="I1041" s="32"/>
      <c r="J1041" s="32"/>
      <c r="K1041" s="32"/>
      <c r="L1041" s="32"/>
      <c r="M1041" s="32"/>
      <c r="N1041" s="32"/>
      <c r="O1041" s="32"/>
      <c r="P1041" s="32"/>
      <c r="Q1041" s="32"/>
      <c r="R1041" s="32"/>
      <c r="S1041" s="32"/>
      <c r="T1041" s="32"/>
      <c r="U1041" s="32"/>
      <c r="V1041" s="32"/>
      <c r="W1041" s="32"/>
      <c r="X1041" s="32"/>
      <c r="Y1041" s="32"/>
      <c r="Z1041" s="32"/>
    </row>
    <row r="1042">
      <c r="A1042" s="32" t="str">
        <f>IFERROR(__xludf.DUMMYFUNCTION("""COMPUTED_VALUE"""),"Stale bread")</f>
        <v>Stale bread</v>
      </c>
      <c r="B1042" s="32" t="str">
        <f>IFERROR(__xludf.DUMMYFUNCTION("""COMPUTED_VALUE"""),"Recovers 9 hunger (Crop)")</f>
        <v>Recovers 9 hunger (Crop)</v>
      </c>
      <c r="C1042" s="32"/>
      <c r="D1042" s="32"/>
      <c r="E1042" s="32"/>
      <c r="F1042" s="32"/>
      <c r="G1042" s="32"/>
      <c r="H1042" s="32"/>
      <c r="I1042" s="32"/>
      <c r="J1042" s="32"/>
      <c r="K1042" s="32"/>
      <c r="L1042" s="32"/>
      <c r="M1042" s="32"/>
      <c r="N1042" s="32"/>
      <c r="O1042" s="32"/>
      <c r="P1042" s="32"/>
      <c r="Q1042" s="32"/>
      <c r="R1042" s="32"/>
      <c r="S1042" s="32"/>
      <c r="T1042" s="32"/>
      <c r="U1042" s="32"/>
      <c r="V1042" s="32"/>
      <c r="W1042" s="32"/>
      <c r="X1042" s="32"/>
      <c r="Y1042" s="32"/>
      <c r="Z1042" s="32"/>
    </row>
    <row r="1043">
      <c r="A1043" s="32" t="str">
        <f>IFERROR(__xludf.DUMMYFUNCTION("""COMPUTED_VALUE"""),"Coal")</f>
        <v>Coal</v>
      </c>
      <c r="B1043" s="32" t="str">
        <f>IFERROR(__xludf.DUMMYFUNCTION("""COMPUTED_VALUE"""),"Crafting Material, roll a d20 to see how many you get if this is a loot drop. (Item)")</f>
        <v>Crafting Material, roll a d20 to see how many you get if this is a loot drop. (Item)</v>
      </c>
      <c r="C1043" s="32"/>
      <c r="D1043" s="32"/>
      <c r="E1043" s="32"/>
      <c r="F1043" s="32"/>
      <c r="G1043" s="32"/>
      <c r="H1043" s="32"/>
      <c r="I1043" s="32"/>
      <c r="J1043" s="32"/>
      <c r="K1043" s="32"/>
      <c r="L1043" s="32"/>
      <c r="M1043" s="32"/>
      <c r="N1043" s="32"/>
      <c r="O1043" s="32"/>
      <c r="P1043" s="32"/>
      <c r="Q1043" s="32"/>
      <c r="R1043" s="32"/>
      <c r="S1043" s="32"/>
      <c r="T1043" s="32"/>
      <c r="U1043" s="32"/>
      <c r="V1043" s="32"/>
      <c r="W1043" s="32"/>
      <c r="X1043" s="32"/>
      <c r="Y1043" s="32"/>
      <c r="Z1043" s="32"/>
    </row>
    <row r="1044">
      <c r="A1044" s="32" t="str">
        <f>IFERROR(__xludf.DUMMYFUNCTION("""COMPUTED_VALUE"""),"Red Coral Gem")</f>
        <v>Red Coral Gem</v>
      </c>
      <c r="B1044" s="32" t="str">
        <f>IFERROR(__xludf.DUMMYFUNCTION("""COMPUTED_VALUE"""),"500 Fire dmg or Resistance (Item)")</f>
        <v>500 Fire dmg or Resistance (Item)</v>
      </c>
      <c r="C1044" s="32"/>
      <c r="D1044" s="32"/>
      <c r="E1044" s="32"/>
      <c r="F1044" s="32"/>
      <c r="G1044" s="32"/>
      <c r="H1044" s="32"/>
      <c r="I1044" s="32"/>
      <c r="J1044" s="32"/>
      <c r="K1044" s="32"/>
      <c r="L1044" s="32"/>
      <c r="M1044" s="32"/>
      <c r="N1044" s="32"/>
      <c r="O1044" s="32"/>
      <c r="P1044" s="32"/>
      <c r="Q1044" s="32"/>
      <c r="R1044" s="32"/>
      <c r="S1044" s="32"/>
      <c r="T1044" s="32"/>
      <c r="U1044" s="32"/>
      <c r="V1044" s="32"/>
      <c r="W1044" s="32"/>
      <c r="X1044" s="32"/>
      <c r="Y1044" s="32"/>
      <c r="Z1044" s="32"/>
    </row>
    <row r="1045">
      <c r="A1045" s="32" t="str">
        <f>IFERROR(__xludf.DUMMYFUNCTION("""COMPUTED_VALUE"""),"Blue Coral Gem")</f>
        <v>Blue Coral Gem</v>
      </c>
      <c r="B1045" s="32" t="str">
        <f>IFERROR(__xludf.DUMMYFUNCTION("""COMPUTED_VALUE"""),"500 Water dmg or Resistance (Item)")</f>
        <v>500 Water dmg or Resistance (Item)</v>
      </c>
      <c r="C1045" s="32"/>
      <c r="D1045" s="32"/>
      <c r="E1045" s="32"/>
      <c r="F1045" s="32"/>
      <c r="G1045" s="32"/>
      <c r="H1045" s="32"/>
      <c r="I1045" s="32"/>
      <c r="J1045" s="32"/>
      <c r="K1045" s="32"/>
      <c r="L1045" s="32"/>
      <c r="M1045" s="32"/>
      <c r="N1045" s="32"/>
      <c r="O1045" s="32"/>
      <c r="P1045" s="32"/>
      <c r="Q1045" s="32"/>
      <c r="R1045" s="32"/>
      <c r="S1045" s="32"/>
      <c r="T1045" s="32"/>
      <c r="U1045" s="32"/>
      <c r="V1045" s="32"/>
      <c r="W1045" s="32"/>
      <c r="X1045" s="32"/>
      <c r="Y1045" s="32"/>
      <c r="Z1045" s="32"/>
    </row>
    <row r="1046">
      <c r="A1046" s="32" t="str">
        <f>IFERROR(__xludf.DUMMYFUNCTION("""COMPUTED_VALUE"""),"Yellow Coral Gem")</f>
        <v>Yellow Coral Gem</v>
      </c>
      <c r="B1046" s="32" t="str">
        <f>IFERROR(__xludf.DUMMYFUNCTION("""COMPUTED_VALUE"""),"500 Strom dmg or Resistance (Item)")</f>
        <v>500 Strom dmg or Resistance (Item)</v>
      </c>
      <c r="C1046" s="32"/>
      <c r="D1046" s="32"/>
      <c r="E1046" s="32"/>
      <c r="F1046" s="32"/>
      <c r="G1046" s="32"/>
      <c r="H1046" s="32"/>
      <c r="I1046" s="32"/>
      <c r="J1046" s="32"/>
      <c r="K1046" s="32"/>
      <c r="L1046" s="32"/>
      <c r="M1046" s="32"/>
      <c r="N1046" s="32"/>
      <c r="O1046" s="32"/>
      <c r="P1046" s="32"/>
      <c r="Q1046" s="32"/>
      <c r="R1046" s="32"/>
      <c r="S1046" s="32"/>
      <c r="T1046" s="32"/>
      <c r="U1046" s="32"/>
      <c r="V1046" s="32"/>
      <c r="W1046" s="32"/>
      <c r="X1046" s="32"/>
      <c r="Y1046" s="32"/>
      <c r="Z1046" s="32"/>
    </row>
    <row r="1047">
      <c r="A1047" s="32" t="str">
        <f>IFERROR(__xludf.DUMMYFUNCTION("""COMPUTED_VALUE"""),"Green Coral Gem")</f>
        <v>Green Coral Gem</v>
      </c>
      <c r="B1047" s="32" t="str">
        <f>IFERROR(__xludf.DUMMYFUNCTION("""COMPUTED_VALUE"""),"500 nature dmg or Resistance (Item)")</f>
        <v>500 nature dmg or Resistance (Item)</v>
      </c>
      <c r="C1047" s="32"/>
      <c r="D1047" s="32"/>
      <c r="E1047" s="32"/>
      <c r="F1047" s="32"/>
      <c r="G1047" s="32"/>
      <c r="H1047" s="32"/>
      <c r="I1047" s="32"/>
      <c r="J1047" s="32"/>
      <c r="K1047" s="32"/>
      <c r="L1047" s="32"/>
      <c r="M1047" s="32"/>
      <c r="N1047" s="32"/>
      <c r="O1047" s="32"/>
      <c r="P1047" s="32"/>
      <c r="Q1047" s="32"/>
      <c r="R1047" s="32"/>
      <c r="S1047" s="32"/>
      <c r="T1047" s="32"/>
      <c r="U1047" s="32"/>
      <c r="V1047" s="32"/>
      <c r="W1047" s="32"/>
      <c r="X1047" s="32"/>
      <c r="Y1047" s="32"/>
      <c r="Z1047" s="32"/>
    </row>
    <row r="1048">
      <c r="A1048" s="32" t="str">
        <f>IFERROR(__xludf.DUMMYFUNCTION("""COMPUTED_VALUE"""),"White Coral Gem")</f>
        <v>White Coral Gem</v>
      </c>
      <c r="B1048" s="32" t="str">
        <f>IFERROR(__xludf.DUMMYFUNCTION("""COMPUTED_VALUE"""),"500 Spirit dmg or Resistance (Item)")</f>
        <v>500 Spirit dmg or Resistance (Item)</v>
      </c>
      <c r="C1048" s="32"/>
      <c r="D1048" s="32"/>
      <c r="E1048" s="32"/>
      <c r="F1048" s="32"/>
      <c r="G1048" s="32"/>
      <c r="H1048" s="32"/>
      <c r="I1048" s="32"/>
      <c r="J1048" s="32"/>
      <c r="K1048" s="32"/>
      <c r="L1048" s="32"/>
      <c r="M1048" s="32"/>
      <c r="N1048" s="32"/>
      <c r="O1048" s="32"/>
      <c r="P1048" s="32"/>
      <c r="Q1048" s="32"/>
      <c r="R1048" s="32"/>
      <c r="S1048" s="32"/>
      <c r="T1048" s="32"/>
      <c r="U1048" s="32"/>
      <c r="V1048" s="32"/>
      <c r="W1048" s="32"/>
      <c r="X1048" s="32"/>
      <c r="Y1048" s="32"/>
      <c r="Z1048" s="32"/>
    </row>
    <row r="1049">
      <c r="A1049" s="32" t="str">
        <f>IFERROR(__xludf.DUMMYFUNCTION("""COMPUTED_VALUE"""),"Black Coral Gem")</f>
        <v>Black Coral Gem</v>
      </c>
      <c r="B1049" s="32" t="str">
        <f>IFERROR(__xludf.DUMMYFUNCTION("""COMPUTED_VALUE"""),"500 Dark dmg or Resistance (Item)")</f>
        <v>500 Dark dmg or Resistance (Item)</v>
      </c>
      <c r="C1049" s="32"/>
      <c r="D1049" s="32"/>
      <c r="E1049" s="32"/>
      <c r="F1049" s="32"/>
      <c r="G1049" s="32"/>
      <c r="H1049" s="32"/>
      <c r="I1049" s="32"/>
      <c r="J1049" s="32"/>
      <c r="K1049" s="32"/>
      <c r="L1049" s="32"/>
      <c r="M1049" s="32"/>
      <c r="N1049" s="32"/>
      <c r="O1049" s="32"/>
      <c r="P1049" s="32"/>
      <c r="Q1049" s="32"/>
      <c r="R1049" s="32"/>
      <c r="S1049" s="32"/>
      <c r="T1049" s="32"/>
      <c r="U1049" s="32"/>
      <c r="V1049" s="32"/>
      <c r="W1049" s="32"/>
      <c r="X1049" s="32"/>
      <c r="Y1049" s="32"/>
      <c r="Z1049" s="32"/>
    </row>
    <row r="1050">
      <c r="A1050" s="32" t="str">
        <f>IFERROR(__xludf.DUMMYFUNCTION("""COMPUTED_VALUE"""),"Pink Coral Gem")</f>
        <v>Pink Coral Gem</v>
      </c>
      <c r="B1050" s="32" t="str">
        <f>IFERROR(__xludf.DUMMYFUNCTION("""COMPUTED_VALUE"""),"500 dmg or resistance (Item)")</f>
        <v>500 dmg or resistance (Item)</v>
      </c>
      <c r="C1050" s="32"/>
      <c r="D1050" s="32"/>
      <c r="E1050" s="32"/>
      <c r="F1050" s="32"/>
      <c r="G1050" s="32"/>
      <c r="H1050" s="32"/>
      <c r="I1050" s="32"/>
      <c r="J1050" s="32"/>
      <c r="K1050" s="32"/>
      <c r="L1050" s="32"/>
      <c r="M1050" s="32"/>
      <c r="N1050" s="32"/>
      <c r="O1050" s="32"/>
      <c r="P1050" s="32"/>
      <c r="Q1050" s="32"/>
      <c r="R1050" s="32"/>
      <c r="S1050" s="32"/>
      <c r="T1050" s="32"/>
      <c r="U1050" s="32"/>
      <c r="V1050" s="32"/>
      <c r="W1050" s="32"/>
      <c r="X1050" s="32"/>
      <c r="Y1050" s="32"/>
      <c r="Z1050" s="32"/>
    </row>
    <row r="1051">
      <c r="A1051" s="32" t="str">
        <f>IFERROR(__xludf.DUMMYFUNCTION("""COMPUTED_VALUE"""),"Coral")</f>
        <v>Coral</v>
      </c>
      <c r="B1051" s="32" t="str">
        <f>IFERROR(__xludf.DUMMYFUNCTION("""COMPUTED_VALUE"""),"Crafting Material, roll a d20 to see how many you get if this is a loot drop. (Item)")</f>
        <v>Crafting Material, roll a d20 to see how many you get if this is a loot drop. (Item)</v>
      </c>
      <c r="C1051" s="32"/>
      <c r="D1051" s="32"/>
      <c r="E1051" s="32"/>
      <c r="F1051" s="32"/>
      <c r="G1051" s="32"/>
      <c r="H1051" s="32"/>
      <c r="I1051" s="32"/>
      <c r="J1051" s="32"/>
      <c r="K1051" s="32"/>
      <c r="L1051" s="32"/>
      <c r="M1051" s="32"/>
      <c r="N1051" s="32"/>
      <c r="O1051" s="32"/>
      <c r="P1051" s="32"/>
      <c r="Q1051" s="32"/>
      <c r="R1051" s="32"/>
      <c r="S1051" s="32"/>
      <c r="T1051" s="32"/>
      <c r="U1051" s="32"/>
      <c r="V1051" s="32"/>
      <c r="W1051" s="32"/>
      <c r="X1051" s="32"/>
      <c r="Y1051" s="32"/>
      <c r="Z1051" s="32"/>
    </row>
    <row r="1052">
      <c r="A1052" s="32" t="str">
        <f>IFERROR(__xludf.DUMMYFUNCTION("""COMPUTED_VALUE"""),"Ivory")</f>
        <v>Ivory</v>
      </c>
      <c r="B1052" s="32" t="str">
        <f>IFERROR(__xludf.DUMMYFUNCTION("""COMPUTED_VALUE"""),"Crafting Material, roll a d20 to see how many you get if this is a loot drop. (Item)")</f>
        <v>Crafting Material, roll a d20 to see how many you get if this is a loot drop. (Item)</v>
      </c>
      <c r="C1052" s="32"/>
      <c r="D1052" s="32"/>
      <c r="E1052" s="32"/>
      <c r="F1052" s="32"/>
      <c r="G1052" s="32"/>
      <c r="H1052" s="32"/>
      <c r="I1052" s="32"/>
      <c r="J1052" s="32"/>
      <c r="K1052" s="32"/>
      <c r="L1052" s="32"/>
      <c r="M1052" s="32"/>
      <c r="N1052" s="32"/>
      <c r="O1052" s="32"/>
      <c r="P1052" s="32"/>
      <c r="Q1052" s="32"/>
      <c r="R1052" s="32"/>
      <c r="S1052" s="32"/>
      <c r="T1052" s="32"/>
      <c r="U1052" s="32"/>
      <c r="V1052" s="32"/>
      <c r="W1052" s="32"/>
      <c r="X1052" s="32"/>
      <c r="Y1052" s="32"/>
      <c r="Z1052" s="32"/>
    </row>
    <row r="1053">
      <c r="A1053" s="32" t="str">
        <f>IFERROR(__xludf.DUMMYFUNCTION("""COMPUTED_VALUE"""),"Onyx")</f>
        <v>Onyx</v>
      </c>
      <c r="B1053" s="32" t="str">
        <f>IFERROR(__xludf.DUMMYFUNCTION("""COMPUTED_VALUE"""),"Crafting Material, roll a d20 to see how many you get if this is a loot drop. (Item)")</f>
        <v>Crafting Material, roll a d20 to see how many you get if this is a loot drop. (Item)</v>
      </c>
      <c r="C1053" s="32"/>
      <c r="D1053" s="32"/>
      <c r="E1053" s="32"/>
      <c r="F1053" s="32"/>
      <c r="G1053" s="32"/>
      <c r="H1053" s="32"/>
      <c r="I1053" s="32"/>
      <c r="J1053" s="32"/>
      <c r="K1053" s="32"/>
      <c r="L1053" s="32"/>
      <c r="M1053" s="32"/>
      <c r="N1053" s="32"/>
      <c r="O1053" s="32"/>
      <c r="P1053" s="32"/>
      <c r="Q1053" s="32"/>
      <c r="R1053" s="32"/>
      <c r="S1053" s="32"/>
      <c r="T1053" s="32"/>
      <c r="U1053" s="32"/>
      <c r="V1053" s="32"/>
      <c r="W1053" s="32"/>
      <c r="X1053" s="32"/>
      <c r="Y1053" s="32"/>
      <c r="Z1053" s="32"/>
    </row>
    <row r="1054">
      <c r="A1054" s="32" t="str">
        <f>IFERROR(__xludf.DUMMYFUNCTION("""COMPUTED_VALUE"""),"Jade")</f>
        <v>Jade</v>
      </c>
      <c r="B1054" s="32" t="str">
        <f>IFERROR(__xludf.DUMMYFUNCTION("""COMPUTED_VALUE"""),"Crafting Material, roll a d20 to see how many you get if this is a loot drop. (Item)")</f>
        <v>Crafting Material, roll a d20 to see how many you get if this is a loot drop. (Item)</v>
      </c>
      <c r="C1054" s="32"/>
      <c r="D1054" s="32"/>
      <c r="E1054" s="32"/>
      <c r="F1054" s="32"/>
      <c r="G1054" s="32"/>
      <c r="H1054" s="32"/>
      <c r="I1054" s="32"/>
      <c r="J1054" s="32"/>
      <c r="K1054" s="32"/>
      <c r="L1054" s="32"/>
      <c r="M1054" s="32"/>
      <c r="N1054" s="32"/>
      <c r="O1054" s="32"/>
      <c r="P1054" s="32"/>
      <c r="Q1054" s="32"/>
      <c r="R1054" s="32"/>
      <c r="S1054" s="32"/>
      <c r="T1054" s="32"/>
      <c r="U1054" s="32"/>
      <c r="V1054" s="32"/>
      <c r="W1054" s="32"/>
      <c r="X1054" s="32"/>
      <c r="Y1054" s="32"/>
      <c r="Z1054" s="32"/>
    </row>
    <row r="1055">
      <c r="A1055" s="32" t="str">
        <f>IFERROR(__xludf.DUMMYFUNCTION("""COMPUTED_VALUE"""),"Emerald")</f>
        <v>Emerald</v>
      </c>
      <c r="B1055" s="32" t="str">
        <f>IFERROR(__xludf.DUMMYFUNCTION("""COMPUTED_VALUE"""),"Crafting Material, roll a d20 to see how many you get if this is a loot drop. (Item)")</f>
        <v>Crafting Material, roll a d20 to see how many you get if this is a loot drop. (Item)</v>
      </c>
      <c r="C1055" s="32"/>
      <c r="D1055" s="32"/>
      <c r="E1055" s="32"/>
      <c r="F1055" s="32"/>
      <c r="G1055" s="32"/>
      <c r="H1055" s="32"/>
      <c r="I1055" s="32"/>
      <c r="J1055" s="32"/>
      <c r="K1055" s="32"/>
      <c r="L1055" s="32"/>
      <c r="M1055" s="32"/>
      <c r="N1055" s="32"/>
      <c r="O1055" s="32"/>
      <c r="P1055" s="32"/>
      <c r="Q1055" s="32"/>
      <c r="R1055" s="32"/>
      <c r="S1055" s="32"/>
      <c r="T1055" s="32"/>
      <c r="U1055" s="32"/>
      <c r="V1055" s="32"/>
      <c r="W1055" s="32"/>
      <c r="X1055" s="32"/>
      <c r="Y1055" s="32"/>
      <c r="Z1055" s="32"/>
    </row>
    <row r="1056">
      <c r="A1056" s="32" t="str">
        <f>IFERROR(__xludf.DUMMYFUNCTION("""COMPUTED_VALUE"""),"Ruby")</f>
        <v>Ruby</v>
      </c>
      <c r="B1056" s="32" t="str">
        <f>IFERROR(__xludf.DUMMYFUNCTION("""COMPUTED_VALUE"""),"Crafting Material, roll a d20 to see how many you get if this is a loot drop. (Item)")</f>
        <v>Crafting Material, roll a d20 to see how many you get if this is a loot drop. (Item)</v>
      </c>
      <c r="C1056" s="32"/>
      <c r="D1056" s="32"/>
      <c r="E1056" s="32"/>
      <c r="F1056" s="32"/>
      <c r="G1056" s="32"/>
      <c r="H1056" s="32"/>
      <c r="I1056" s="32"/>
      <c r="J1056" s="32"/>
      <c r="K1056" s="32"/>
      <c r="L1056" s="32"/>
      <c r="M1056" s="32"/>
      <c r="N1056" s="32"/>
      <c r="O1056" s="32"/>
      <c r="P1056" s="32"/>
      <c r="Q1056" s="32"/>
      <c r="R1056" s="32"/>
      <c r="S1056" s="32"/>
      <c r="T1056" s="32"/>
      <c r="U1056" s="32"/>
      <c r="V1056" s="32"/>
      <c r="W1056" s="32"/>
      <c r="X1056" s="32"/>
      <c r="Y1056" s="32"/>
      <c r="Z1056" s="32"/>
    </row>
    <row r="1057">
      <c r="A1057" s="32" t="str">
        <f>IFERROR(__xludf.DUMMYFUNCTION("""COMPUTED_VALUE"""),"Sapphire")</f>
        <v>Sapphire</v>
      </c>
      <c r="B1057" s="32" t="str">
        <f>IFERROR(__xludf.DUMMYFUNCTION("""COMPUTED_VALUE"""),"Crafting Material, roll a d20 to see how many you get if this is a loot drop. (Item)")</f>
        <v>Crafting Material, roll a d20 to see how many you get if this is a loot drop. (Item)</v>
      </c>
      <c r="C1057" s="32"/>
      <c r="D1057" s="32"/>
      <c r="E1057" s="32"/>
      <c r="F1057" s="32"/>
      <c r="G1057" s="32"/>
      <c r="H1057" s="32"/>
      <c r="I1057" s="32"/>
      <c r="J1057" s="32"/>
      <c r="K1057" s="32"/>
      <c r="L1057" s="32"/>
      <c r="M1057" s="32"/>
      <c r="N1057" s="32"/>
      <c r="O1057" s="32"/>
      <c r="P1057" s="32"/>
      <c r="Q1057" s="32"/>
      <c r="R1057" s="32"/>
      <c r="S1057" s="32"/>
      <c r="T1057" s="32"/>
      <c r="U1057" s="32"/>
      <c r="V1057" s="32"/>
      <c r="W1057" s="32"/>
      <c r="X1057" s="32"/>
      <c r="Y1057" s="32"/>
      <c r="Z1057" s="32"/>
    </row>
    <row r="1058">
      <c r="A1058" s="32" t="str">
        <f>IFERROR(__xludf.DUMMYFUNCTION("""COMPUTED_VALUE"""),"Candy Corn")</f>
        <v>Candy Corn</v>
      </c>
      <c r="B1058" s="32" t="str">
        <f>IFERROR(__xludf.DUMMYFUNCTION("""COMPUTED_VALUE"""),"Gun ammunition. 5000 damage, +5000 fire damage. (Item)")</f>
        <v>Gun ammunition. 5000 damage, +5000 fire damage. (Item)</v>
      </c>
      <c r="C1058" s="32"/>
      <c r="D1058" s="32"/>
      <c r="E1058" s="32"/>
      <c r="F1058" s="32"/>
      <c r="G1058" s="32"/>
      <c r="H1058" s="32"/>
      <c r="I1058" s="32"/>
      <c r="J1058" s="32"/>
      <c r="K1058" s="32"/>
      <c r="L1058" s="32"/>
      <c r="M1058" s="32"/>
      <c r="N1058" s="32"/>
      <c r="O1058" s="32"/>
      <c r="P1058" s="32"/>
      <c r="Q1058" s="32"/>
      <c r="R1058" s="32"/>
      <c r="S1058" s="32"/>
      <c r="T1058" s="32"/>
      <c r="U1058" s="32"/>
      <c r="V1058" s="32"/>
      <c r="W1058" s="32"/>
      <c r="X1058" s="32"/>
      <c r="Y1058" s="32"/>
      <c r="Z1058" s="32"/>
    </row>
    <row r="1059">
      <c r="A1059" s="32" t="str">
        <f>IFERROR(__xludf.DUMMYFUNCTION("""COMPUTED_VALUE"""),"Pumpkin Arrow")</f>
        <v>Pumpkin Arrow</v>
      </c>
      <c r="B1059" s="32" t="str">
        <f>IFERROR(__xludf.DUMMYFUNCTION("""COMPUTED_VALUE"""),"Bow Ammunition. +5000 fire damage. roll a d20 to see how many you get if this is a loot drop. (Item)")</f>
        <v>Bow Ammunition. +5000 fire damage. roll a d20 to see how many you get if this is a loot drop. (Item)</v>
      </c>
      <c r="C1059" s="32"/>
      <c r="D1059" s="32"/>
      <c r="E1059" s="32"/>
      <c r="F1059" s="32"/>
      <c r="G1059" s="32"/>
      <c r="H1059" s="32"/>
      <c r="I1059" s="32"/>
      <c r="J1059" s="32"/>
      <c r="K1059" s="32"/>
      <c r="L1059" s="32"/>
      <c r="M1059" s="32"/>
      <c r="N1059" s="32"/>
      <c r="O1059" s="32"/>
      <c r="P1059" s="32"/>
      <c r="Q1059" s="32"/>
      <c r="R1059" s="32"/>
      <c r="S1059" s="32"/>
      <c r="T1059" s="32"/>
      <c r="U1059" s="32"/>
      <c r="V1059" s="32"/>
      <c r="W1059" s="32"/>
      <c r="X1059" s="32"/>
      <c r="Y1059" s="32"/>
      <c r="Z1059" s="32"/>
    </row>
    <row r="1060">
      <c r="A1060" s="32" t="str">
        <f>IFERROR(__xludf.DUMMYFUNCTION("""COMPUTED_VALUE"""),"Candy Corn Gem")</f>
        <v>Candy Corn Gem</v>
      </c>
      <c r="B1060" s="32" t="str">
        <f>IFERROR(__xludf.DUMMYFUNCTION("""COMPUTED_VALUE"""),"(Can be turned in for Halloween Coins Decided by the current DM / GM ) (Item)")</f>
        <v>(Can be turned in for Halloween Coins Decided by the current DM / GM ) (Item)</v>
      </c>
      <c r="C1060" s="32"/>
      <c r="D1060" s="32"/>
      <c r="E1060" s="32"/>
      <c r="F1060" s="32"/>
      <c r="G1060" s="32"/>
      <c r="H1060" s="32"/>
      <c r="I1060" s="32"/>
      <c r="J1060" s="32"/>
      <c r="K1060" s="32"/>
      <c r="L1060" s="32"/>
      <c r="M1060" s="32"/>
      <c r="N1060" s="32"/>
      <c r="O1060" s="32"/>
      <c r="P1060" s="32"/>
      <c r="Q1060" s="32"/>
      <c r="R1060" s="32"/>
      <c r="S1060" s="32"/>
      <c r="T1060" s="32"/>
      <c r="U1060" s="32"/>
      <c r="V1060" s="32"/>
      <c r="W1060" s="32"/>
      <c r="X1060" s="32"/>
      <c r="Y1060" s="32"/>
      <c r="Z1060" s="32"/>
    </row>
    <row r="1061">
      <c r="A1061" s="32" t="str">
        <f>IFERROR(__xludf.DUMMYFUNCTION("""COMPUTED_VALUE"""),"Steel Arrow")</f>
        <v>Steel Arrow</v>
      </c>
      <c r="B1061" s="32" t="str">
        <f>IFERROR(__xludf.DUMMYFUNCTION("""COMPUTED_VALUE"""),"Bow Ammunition. +100 damage. roll a d20 to see how many you get if this is a loot drop. (Item)")</f>
        <v>Bow Ammunition. +100 damage. roll a d20 to see how many you get if this is a loot drop. (Item)</v>
      </c>
      <c r="C1061" s="32"/>
      <c r="D1061" s="32"/>
      <c r="E1061" s="32"/>
      <c r="F1061" s="32"/>
      <c r="G1061" s="32"/>
      <c r="H1061" s="32"/>
      <c r="I1061" s="32"/>
      <c r="J1061" s="32"/>
      <c r="K1061" s="32"/>
      <c r="L1061" s="32"/>
      <c r="M1061" s="32"/>
      <c r="N1061" s="32"/>
      <c r="O1061" s="32"/>
      <c r="P1061" s="32"/>
      <c r="Q1061" s="32"/>
      <c r="R1061" s="32"/>
      <c r="S1061" s="32"/>
      <c r="T1061" s="32"/>
      <c r="U1061" s="32"/>
      <c r="V1061" s="32"/>
      <c r="W1061" s="32"/>
      <c r="X1061" s="32"/>
      <c r="Y1061" s="32"/>
      <c r="Z1061" s="32"/>
    </row>
    <row r="1062">
      <c r="A1062" s="32" t="str">
        <f>IFERROR(__xludf.DUMMYFUNCTION("""COMPUTED_VALUE"""),"Bone Key")</f>
        <v>Bone Key</v>
      </c>
      <c r="B1062" s="32" t="str">
        <f>IFERROR(__xludf.DUMMYFUNCTION("""COMPUTED_VALUE"""),"Opens bone chest (Item)")</f>
        <v>Opens bone chest (Item)</v>
      </c>
      <c r="C1062" s="32"/>
      <c r="D1062" s="32"/>
      <c r="E1062" s="32"/>
      <c r="F1062" s="32"/>
      <c r="G1062" s="32"/>
      <c r="H1062" s="32"/>
      <c r="I1062" s="32"/>
      <c r="J1062" s="32"/>
      <c r="K1062" s="32"/>
      <c r="L1062" s="32"/>
      <c r="M1062" s="32"/>
      <c r="N1062" s="32"/>
      <c r="O1062" s="32"/>
      <c r="P1062" s="32"/>
      <c r="Q1062" s="32"/>
      <c r="R1062" s="32"/>
      <c r="S1062" s="32"/>
      <c r="T1062" s="32"/>
      <c r="U1062" s="32"/>
      <c r="V1062" s="32"/>
      <c r="W1062" s="32"/>
      <c r="X1062" s="32"/>
      <c r="Y1062" s="32"/>
      <c r="Z1062" s="32"/>
    </row>
    <row r="1063">
      <c r="A1063" s="32" t="str">
        <f>IFERROR(__xludf.DUMMYFUNCTION("""COMPUTED_VALUE"""),"Bone")</f>
        <v>Bone</v>
      </c>
      <c r="B1063" s="32" t="str">
        <f>IFERROR(__xludf.DUMMYFUNCTION("""COMPUTED_VALUE"""),"Crafting Material, roll a d20 to see how many you get if this is a loot drop. (Item)")</f>
        <v>Crafting Material, roll a d20 to see how many you get if this is a loot drop. (Item)</v>
      </c>
      <c r="C1063" s="32"/>
      <c r="D1063" s="32"/>
      <c r="E1063" s="32"/>
      <c r="F1063" s="32"/>
      <c r="G1063" s="32"/>
      <c r="H1063" s="32"/>
      <c r="I1063" s="32"/>
      <c r="J1063" s="32"/>
      <c r="K1063" s="32"/>
      <c r="L1063" s="32"/>
      <c r="M1063" s="32"/>
      <c r="N1063" s="32"/>
      <c r="O1063" s="32"/>
      <c r="P1063" s="32"/>
      <c r="Q1063" s="32"/>
      <c r="R1063" s="32"/>
      <c r="S1063" s="32"/>
      <c r="T1063" s="32"/>
      <c r="U1063" s="32"/>
      <c r="V1063" s="32"/>
      <c r="W1063" s="32"/>
      <c r="X1063" s="32"/>
      <c r="Y1063" s="32"/>
      <c r="Z1063" s="32"/>
    </row>
    <row r="1064">
      <c r="A1064" s="32" t="str">
        <f>IFERROR(__xludf.DUMMYFUNCTION("""COMPUTED_VALUE"""),"Bone Chest")</f>
        <v>Bone Chest</v>
      </c>
      <c r="B1064" s="32" t="str">
        <f>IFERROR(__xludf.DUMMYFUNCTION("""COMPUTED_VALUE"""),"Determine the tier by a d10 roll. (Item)")</f>
        <v>Determine the tier by a d10 roll. (Item)</v>
      </c>
      <c r="C1064" s="32"/>
      <c r="D1064" s="32"/>
      <c r="E1064" s="32"/>
      <c r="F1064" s="32"/>
      <c r="G1064" s="32"/>
      <c r="H1064" s="32"/>
      <c r="I1064" s="32"/>
      <c r="J1064" s="32"/>
      <c r="K1064" s="32"/>
      <c r="L1064" s="32"/>
      <c r="M1064" s="32"/>
      <c r="N1064" s="32"/>
      <c r="O1064" s="32"/>
      <c r="P1064" s="32"/>
      <c r="Q1064" s="32"/>
      <c r="R1064" s="32"/>
      <c r="S1064" s="32"/>
      <c r="T1064" s="32"/>
      <c r="U1064" s="32"/>
      <c r="V1064" s="32"/>
      <c r="W1064" s="32"/>
      <c r="X1064" s="32"/>
      <c r="Y1064" s="32"/>
      <c r="Z1064" s="32"/>
    </row>
    <row r="1065">
      <c r="A1065" s="32" t="str">
        <f>IFERROR(__xludf.DUMMYFUNCTION("""COMPUTED_VALUE"""),"Viking Key")</f>
        <v>Viking Key</v>
      </c>
      <c r="B1065" s="32" t="str">
        <f>IFERROR(__xludf.DUMMYFUNCTION("""COMPUTED_VALUE"""),"Opens the Viking Chest (Item)")</f>
        <v>Opens the Viking Chest (Item)</v>
      </c>
      <c r="C1065" s="32"/>
      <c r="D1065" s="32"/>
      <c r="E1065" s="32"/>
      <c r="F1065" s="32"/>
      <c r="G1065" s="32"/>
      <c r="H1065" s="32"/>
      <c r="I1065" s="32"/>
      <c r="J1065" s="32"/>
      <c r="K1065" s="32"/>
      <c r="L1065" s="32"/>
      <c r="M1065" s="32"/>
      <c r="N1065" s="32"/>
      <c r="O1065" s="32"/>
      <c r="P1065" s="32"/>
      <c r="Q1065" s="32"/>
      <c r="R1065" s="32"/>
      <c r="S1065" s="32"/>
      <c r="T1065" s="32"/>
      <c r="U1065" s="32"/>
      <c r="V1065" s="32"/>
      <c r="W1065" s="32"/>
      <c r="X1065" s="32"/>
      <c r="Y1065" s="32"/>
      <c r="Z1065" s="32"/>
    </row>
    <row r="1066">
      <c r="A1066" s="32" t="str">
        <f>IFERROR(__xludf.DUMMYFUNCTION("""COMPUTED_VALUE"""),"Viking Chest")</f>
        <v>Viking Chest</v>
      </c>
      <c r="B1066" s="32" t="str">
        <f>IFERROR(__xludf.DUMMYFUNCTION("""COMPUTED_VALUE"""),"Determine the tier by a d10 roll. (Item)")</f>
        <v>Determine the tier by a d10 roll. (Item)</v>
      </c>
      <c r="C1066" s="32"/>
      <c r="D1066" s="32"/>
      <c r="E1066" s="32"/>
      <c r="F1066" s="32"/>
      <c r="G1066" s="32"/>
      <c r="H1066" s="32"/>
      <c r="I1066" s="32"/>
      <c r="J1066" s="32"/>
      <c r="K1066" s="32"/>
      <c r="L1066" s="32"/>
      <c r="M1066" s="32"/>
      <c r="N1066" s="32"/>
      <c r="O1066" s="32"/>
      <c r="P1066" s="32"/>
      <c r="Q1066" s="32"/>
      <c r="R1066" s="32"/>
      <c r="S1066" s="32"/>
      <c r="T1066" s="32"/>
      <c r="U1066" s="32"/>
      <c r="V1066" s="32"/>
      <c r="W1066" s="32"/>
      <c r="X1066" s="32"/>
      <c r="Y1066" s="32"/>
      <c r="Z1066" s="32"/>
    </row>
    <row r="1067">
      <c r="A1067" s="32" t="str">
        <f>IFERROR(__xludf.DUMMYFUNCTION("""COMPUTED_VALUE"""),"Vikings Cove Key")</f>
        <v>Vikings Cove Key</v>
      </c>
      <c r="B1067" s="32" t="str">
        <f>IFERROR(__xludf.DUMMYFUNCTION("""COMPUTED_VALUE"""),"Gain access to Vikings Cove (Item)")</f>
        <v>Gain access to Vikings Cove (Item)</v>
      </c>
      <c r="C1067" s="32"/>
      <c r="D1067" s="32"/>
      <c r="E1067" s="32"/>
      <c r="F1067" s="32"/>
      <c r="G1067" s="32"/>
      <c r="H1067" s="32"/>
      <c r="I1067" s="32"/>
      <c r="J1067" s="32"/>
      <c r="K1067" s="32"/>
      <c r="L1067" s="32"/>
      <c r="M1067" s="32"/>
      <c r="N1067" s="32"/>
      <c r="O1067" s="32"/>
      <c r="P1067" s="32"/>
      <c r="Q1067" s="32"/>
      <c r="R1067" s="32"/>
      <c r="S1067" s="32"/>
      <c r="T1067" s="32"/>
      <c r="U1067" s="32"/>
      <c r="V1067" s="32"/>
      <c r="W1067" s="32"/>
      <c r="X1067" s="32"/>
      <c r="Y1067" s="32"/>
      <c r="Z1067" s="32"/>
    </row>
    <row r="1068">
      <c r="A1068" s="32" t="str">
        <f>IFERROR(__xludf.DUMMYFUNCTION("""COMPUTED_VALUE"""),"Baboon meat")</f>
        <v>Baboon meat</v>
      </c>
      <c r="B1068" s="32" t="str">
        <f>IFERROR(__xludf.DUMMYFUNCTION("""COMPUTED_VALUE""")," +2 hunger (Crop)")</f>
        <v> +2 hunger (Crop)</v>
      </c>
      <c r="C1068" s="32"/>
      <c r="D1068" s="32"/>
      <c r="E1068" s="32"/>
      <c r="F1068" s="32"/>
      <c r="G1068" s="32"/>
      <c r="H1068" s="32"/>
      <c r="I1068" s="32"/>
      <c r="J1068" s="32"/>
      <c r="K1068" s="32"/>
      <c r="L1068" s="32"/>
      <c r="M1068" s="32"/>
      <c r="N1068" s="32"/>
      <c r="O1068" s="32"/>
      <c r="P1068" s="32"/>
      <c r="Q1068" s="32"/>
      <c r="R1068" s="32"/>
      <c r="S1068" s="32"/>
      <c r="T1068" s="32"/>
      <c r="U1068" s="32"/>
      <c r="V1068" s="32"/>
      <c r="W1068" s="32"/>
      <c r="X1068" s="32"/>
      <c r="Y1068" s="32"/>
      <c r="Z1068" s="32"/>
    </row>
    <row r="1069">
      <c r="A1069" s="32" t="str">
        <f>IFERROR(__xludf.DUMMYFUNCTION("""COMPUTED_VALUE"""),"Eagle Feathers")</f>
        <v>Eagle Feathers</v>
      </c>
      <c r="B1069" s="32" t="str">
        <f>IFERROR(__xludf.DUMMYFUNCTION("""COMPUTED_VALUE"""),"Crafting Material, roll a d20 to see how many you get if this is a loot drop. (Item)")</f>
        <v>Crafting Material, roll a d20 to see how many you get if this is a loot drop. (Item)</v>
      </c>
      <c r="C1069" s="32"/>
      <c r="D1069" s="32"/>
      <c r="E1069" s="32"/>
      <c r="F1069" s="32"/>
      <c r="G1069" s="32"/>
      <c r="H1069" s="32"/>
      <c r="I1069" s="32"/>
      <c r="J1069" s="32"/>
      <c r="K1069" s="32"/>
      <c r="L1069" s="32"/>
      <c r="M1069" s="32"/>
      <c r="N1069" s="32"/>
      <c r="O1069" s="32"/>
      <c r="P1069" s="32"/>
      <c r="Q1069" s="32"/>
      <c r="R1069" s="32"/>
      <c r="S1069" s="32"/>
      <c r="T1069" s="32"/>
      <c r="U1069" s="32"/>
      <c r="V1069" s="32"/>
      <c r="W1069" s="32"/>
      <c r="X1069" s="32"/>
      <c r="Y1069" s="32"/>
      <c r="Z1069" s="32"/>
    </row>
    <row r="1070">
      <c r="A1070" s="32" t="str">
        <f>IFERROR(__xludf.DUMMYFUNCTION("""COMPUTED_VALUE"""),"The Cycle")</f>
        <v>The Cycle</v>
      </c>
      <c r="B1070" s="32" t="str">
        <f>IFERROR(__xludf.DUMMYFUNCTION("""COMPUTED_VALUE"""),"1 damage initially to all enemies, Does X damage each round until all targets escape the cycle, must roll a 11 or higher adding you mobility as a bonus to your roll while attempting to escape each round (Item)")</f>
        <v>1 damage initially to all enemies, Does X damage each round until all targets escape the cycle, must roll a 11 or higher adding you mobility as a bonus to your roll while attempting to escape each round (Item)</v>
      </c>
      <c r="C1070" s="32"/>
      <c r="D1070" s="32"/>
      <c r="E1070" s="32"/>
      <c r="F1070" s="32"/>
      <c r="G1070" s="32"/>
      <c r="H1070" s="32"/>
      <c r="I1070" s="32"/>
      <c r="J1070" s="32"/>
      <c r="K1070" s="32"/>
      <c r="L1070" s="32"/>
      <c r="M1070" s="32"/>
      <c r="N1070" s="32"/>
      <c r="O1070" s="32"/>
      <c r="P1070" s="32"/>
      <c r="Q1070" s="32"/>
      <c r="R1070" s="32"/>
      <c r="S1070" s="32"/>
      <c r="T1070" s="32"/>
      <c r="U1070" s="32"/>
      <c r="V1070" s="32"/>
      <c r="W1070" s="32"/>
      <c r="X1070" s="32"/>
      <c r="Y1070" s="32"/>
      <c r="Z1070" s="32"/>
    </row>
    <row r="1071">
      <c r="A1071" s="32" t="str">
        <f>IFERROR(__xludf.DUMMYFUNCTION("""COMPUTED_VALUE"""),"Scale")</f>
        <v>Scale</v>
      </c>
      <c r="B1071" s="32" t="str">
        <f>IFERROR(__xludf.DUMMYFUNCTION("""COMPUTED_VALUE"""),"can be added to armor to give it +1 Earth resistance, once added to armor it can’t be removed (Item)")</f>
        <v>can be added to armor to give it +1 Earth resistance, once added to armor it can’t be removed (Item)</v>
      </c>
      <c r="C1071" s="32"/>
      <c r="D1071" s="32"/>
      <c r="E1071" s="32"/>
      <c r="F1071" s="32"/>
      <c r="G1071" s="32"/>
      <c r="H1071" s="32"/>
      <c r="I1071" s="32"/>
      <c r="J1071" s="32"/>
      <c r="K1071" s="32"/>
      <c r="L1071" s="32"/>
      <c r="M1071" s="32"/>
      <c r="N1071" s="32"/>
      <c r="O1071" s="32"/>
      <c r="P1071" s="32"/>
      <c r="Q1071" s="32"/>
      <c r="R1071" s="32"/>
      <c r="S1071" s="32"/>
      <c r="T1071" s="32"/>
      <c r="U1071" s="32"/>
      <c r="V1071" s="32"/>
      <c r="W1071" s="32"/>
      <c r="X1071" s="32"/>
      <c r="Y1071" s="32"/>
      <c r="Z1071" s="32"/>
    </row>
    <row r="1072">
      <c r="A1072" s="32" t="str">
        <f>IFERROR(__xludf.DUMMYFUNCTION("""COMPUTED_VALUE"""),"Egg")</f>
        <v>Egg</v>
      </c>
      <c r="B1072" s="32" t="str">
        <f>IFERROR(__xludf.DUMMYFUNCTION("""COMPUTED_VALUE"""),"Will hatch in X/X days. (Item)")</f>
        <v>Will hatch in X/X days. (Item)</v>
      </c>
      <c r="C1072" s="32"/>
      <c r="D1072" s="32"/>
      <c r="E1072" s="32"/>
      <c r="F1072" s="32"/>
      <c r="G1072" s="32"/>
      <c r="H1072" s="32"/>
      <c r="I1072" s="32"/>
      <c r="J1072" s="32"/>
      <c r="K1072" s="32"/>
      <c r="L1072" s="32"/>
      <c r="M1072" s="32"/>
      <c r="N1072" s="32"/>
      <c r="O1072" s="32"/>
      <c r="P1072" s="32"/>
      <c r="Q1072" s="32"/>
      <c r="R1072" s="32"/>
      <c r="S1072" s="32"/>
      <c r="T1072" s="32"/>
      <c r="U1072" s="32"/>
      <c r="V1072" s="32"/>
      <c r="W1072" s="32"/>
      <c r="X1072" s="32"/>
      <c r="Y1072" s="32"/>
      <c r="Z1072" s="32"/>
    </row>
    <row r="1073">
      <c r="A1073" s="32" t="str">
        <f>IFERROR(__xludf.DUMMYFUNCTION("""COMPUTED_VALUE"""),"Soul")</f>
        <v>Soul</v>
      </c>
      <c r="B1073" s="32"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 (Item)")</f>
        <v>usable can be used to temporarily summon a minion of the creature the soul came from, the minion disappears after battle or when it's killed, If you have 3 or more souls you can gain 1 power from the creature, when you have gained 5 or more souls they can become the creature. (Item)</v>
      </c>
      <c r="C1073" s="32"/>
      <c r="D1073" s="32"/>
      <c r="E1073" s="32"/>
      <c r="F1073" s="32"/>
      <c r="G1073" s="32"/>
      <c r="H1073" s="32"/>
      <c r="I1073" s="32"/>
      <c r="J1073" s="32"/>
      <c r="K1073" s="32"/>
      <c r="L1073" s="32"/>
      <c r="M1073" s="32"/>
      <c r="N1073" s="32"/>
      <c r="O1073" s="32"/>
      <c r="P1073" s="32"/>
      <c r="Q1073" s="32"/>
      <c r="R1073" s="32"/>
      <c r="S1073" s="32"/>
      <c r="T1073" s="32"/>
      <c r="U1073" s="32"/>
      <c r="V1073" s="32"/>
      <c r="W1073" s="32"/>
      <c r="X1073" s="32"/>
      <c r="Y1073" s="32"/>
      <c r="Z1073" s="32"/>
    </row>
    <row r="1074">
      <c r="A1074" s="32" t="str">
        <f>IFERROR(__xludf.DUMMYFUNCTION("""COMPUTED_VALUE"""),"Crystal")</f>
        <v>Crystal</v>
      </c>
      <c r="B1074" s="32" t="str">
        <f>IFERROR(__xludf.DUMMYFUNCTION("""COMPUTED_VALUE"""),"Crafting Material, roll a d20 to see how many you get if this is a loot drop. (Item)")</f>
        <v>Crafting Material, roll a d20 to see how many you get if this is a loot drop. (Item)</v>
      </c>
      <c r="C1074" s="32"/>
      <c r="D1074" s="32"/>
      <c r="E1074" s="32"/>
      <c r="F1074" s="32"/>
      <c r="G1074" s="32"/>
      <c r="H1074" s="32"/>
      <c r="I1074" s="32"/>
      <c r="J1074" s="32"/>
      <c r="K1074" s="32"/>
      <c r="L1074" s="32"/>
      <c r="M1074" s="32"/>
      <c r="N1074" s="32"/>
      <c r="O1074" s="32"/>
      <c r="P1074" s="32"/>
      <c r="Q1074" s="32"/>
      <c r="R1074" s="32"/>
      <c r="S1074" s="32"/>
      <c r="T1074" s="32"/>
      <c r="U1074" s="32"/>
      <c r="V1074" s="32"/>
      <c r="W1074" s="32"/>
      <c r="X1074" s="32"/>
      <c r="Y1074" s="32"/>
      <c r="Z1074" s="32"/>
    </row>
    <row r="1075">
      <c r="A1075" s="32" t="str">
        <f>IFERROR(__xludf.DUMMYFUNCTION("""COMPUTED_VALUE"""),"Delta Gems")</f>
        <v>Delta Gems</v>
      </c>
      <c r="B1075" s="32" t="str">
        <f>IFERROR(__xludf.DUMMYFUNCTION("""COMPUTED_VALUE"""),"Crafting Material, roll a d20 to see how many you get if this is a loot drop. (Item)")</f>
        <v>Crafting Material, roll a d20 to see how many you get if this is a loot drop. (Item)</v>
      </c>
      <c r="C1075" s="32"/>
      <c r="D1075" s="32"/>
      <c r="E1075" s="32"/>
      <c r="F1075" s="32"/>
      <c r="G1075" s="32"/>
      <c r="H1075" s="32"/>
      <c r="I1075" s="32"/>
      <c r="J1075" s="32"/>
      <c r="K1075" s="32"/>
      <c r="L1075" s="32"/>
      <c r="M1075" s="32"/>
      <c r="N1075" s="32"/>
      <c r="O1075" s="32"/>
      <c r="P1075" s="32"/>
      <c r="Q1075" s="32"/>
      <c r="R1075" s="32"/>
      <c r="S1075" s="32"/>
      <c r="T1075" s="32"/>
      <c r="U1075" s="32"/>
      <c r="V1075" s="32"/>
      <c r="W1075" s="32"/>
      <c r="X1075" s="32"/>
      <c r="Y1075" s="32"/>
      <c r="Z1075" s="32"/>
    </row>
    <row r="1076">
      <c r="A1076" s="32" t="str">
        <f>IFERROR(__xludf.DUMMYFUNCTION("""COMPUTED_VALUE"""),"Fire Diamonds")</f>
        <v>Fire Diamonds</v>
      </c>
      <c r="B1076" s="32" t="str">
        <f>IFERROR(__xludf.DUMMYFUNCTION("""COMPUTED_VALUE"""),"Crafting Material, roll a d20 to see how many you get if this is a loot drop. (Item)")</f>
        <v>Crafting Material, roll a d20 to see how many you get if this is a loot drop. (Item)</v>
      </c>
      <c r="C1076" s="32"/>
      <c r="D1076" s="32"/>
      <c r="E1076" s="32"/>
      <c r="F1076" s="32"/>
      <c r="G1076" s="32"/>
      <c r="H1076" s="32"/>
      <c r="I1076" s="32"/>
      <c r="J1076" s="32"/>
      <c r="K1076" s="32"/>
      <c r="L1076" s="32"/>
      <c r="M1076" s="32"/>
      <c r="N1076" s="32"/>
      <c r="O1076" s="32"/>
      <c r="P1076" s="32"/>
      <c r="Q1076" s="32"/>
      <c r="R1076" s="32"/>
      <c r="S1076" s="32"/>
      <c r="T1076" s="32"/>
      <c r="U1076" s="32"/>
      <c r="V1076" s="32"/>
      <c r="W1076" s="32"/>
      <c r="X1076" s="32"/>
      <c r="Y1076" s="32"/>
      <c r="Z1076" s="32"/>
    </row>
    <row r="1077">
      <c r="A1077" s="32" t="str">
        <f>IFERROR(__xludf.DUMMYFUNCTION("""COMPUTED_VALUE"""),"plant containing the ‘instant death status effect’")</f>
        <v>plant containing the ‘instant death status effect’</v>
      </c>
      <c r="B1077" s="32" t="str">
        <f>IFERROR(__xludf.DUMMYFUNCTION("""COMPUTED_VALUE"""),"Quest item (Item)")</f>
        <v>Quest item (Item)</v>
      </c>
      <c r="C1077" s="32"/>
      <c r="D1077" s="32"/>
      <c r="E1077" s="32"/>
      <c r="F1077" s="32"/>
      <c r="G1077" s="32"/>
      <c r="H1077" s="32"/>
      <c r="I1077" s="32"/>
      <c r="J1077" s="32"/>
      <c r="K1077" s="32"/>
      <c r="L1077" s="32"/>
      <c r="M1077" s="32"/>
      <c r="N1077" s="32"/>
      <c r="O1077" s="32"/>
      <c r="P1077" s="32"/>
      <c r="Q1077" s="32"/>
      <c r="R1077" s="32"/>
      <c r="S1077" s="32"/>
      <c r="T1077" s="32"/>
      <c r="U1077" s="32"/>
      <c r="V1077" s="32"/>
      <c r="W1077" s="32"/>
      <c r="X1077" s="32"/>
      <c r="Y1077" s="32"/>
      <c r="Z1077" s="32"/>
    </row>
    <row r="1078">
      <c r="A1078" s="32" t="str">
        <f>IFERROR(__xludf.DUMMYFUNCTION("""COMPUTED_VALUE"""),"Potion of Cure Curse")</f>
        <v>Potion of Cure Curse</v>
      </c>
      <c r="B1078" s="32" t="str">
        <f>IFERROR(__xludf.DUMMYFUNCTION("""COMPUTED_VALUE"""),"Curse Antidote (Item)")</f>
        <v>Curse Antidote (Item)</v>
      </c>
      <c r="C1078" s="32"/>
      <c r="D1078" s="32"/>
      <c r="E1078" s="32"/>
      <c r="F1078" s="32"/>
      <c r="G1078" s="32"/>
      <c r="H1078" s="32"/>
      <c r="I1078" s="32"/>
      <c r="J1078" s="32"/>
      <c r="K1078" s="32"/>
      <c r="L1078" s="32"/>
      <c r="M1078" s="32"/>
      <c r="N1078" s="32"/>
      <c r="O1078" s="32"/>
      <c r="P1078" s="32"/>
      <c r="Q1078" s="32"/>
      <c r="R1078" s="32"/>
      <c r="S1078" s="32"/>
      <c r="T1078" s="32"/>
      <c r="U1078" s="32"/>
      <c r="V1078" s="32"/>
      <c r="W1078" s="32"/>
      <c r="X1078" s="32"/>
      <c r="Y1078" s="32"/>
      <c r="Z1078" s="32"/>
    </row>
    <row r="1079">
      <c r="A1079" s="32" t="str">
        <f>IFERROR(__xludf.DUMMYFUNCTION("""COMPUTED_VALUE"""),"Glowing Blue Jelly")</f>
        <v>Glowing Blue Jelly</v>
      </c>
      <c r="B1079" s="32" t="str">
        <f>IFERROR(__xludf.DUMMYFUNCTION("""COMPUTED_VALUE"""),"Crafting Material, roll a d20 to see how many you get if this is a loot drop. (Item)")</f>
        <v>Crafting Material, roll a d20 to see how many you get if this is a loot drop. (Item)</v>
      </c>
      <c r="C1079" s="32"/>
      <c r="D1079" s="32"/>
      <c r="E1079" s="32"/>
      <c r="F1079" s="32"/>
      <c r="G1079" s="32"/>
      <c r="H1079" s="32"/>
      <c r="I1079" s="32"/>
      <c r="J1079" s="32"/>
      <c r="K1079" s="32"/>
      <c r="L1079" s="32"/>
      <c r="M1079" s="32"/>
      <c r="N1079" s="32"/>
      <c r="O1079" s="32"/>
      <c r="P1079" s="32"/>
      <c r="Q1079" s="32"/>
      <c r="R1079" s="32"/>
      <c r="S1079" s="32"/>
      <c r="T1079" s="32"/>
      <c r="U1079" s="32"/>
      <c r="V1079" s="32"/>
      <c r="W1079" s="32"/>
      <c r="X1079" s="32"/>
      <c r="Y1079" s="32"/>
      <c r="Z1079" s="32"/>
    </row>
    <row r="1080">
      <c r="A1080" s="32" t="str">
        <f>IFERROR(__xludf.DUMMYFUNCTION("""COMPUTED_VALUE"""),"Feather")</f>
        <v>Feather</v>
      </c>
      <c r="B1080" s="32" t="str">
        <f>IFERROR(__xludf.DUMMYFUNCTION("""COMPUTED_VALUE"""),"Crafting Material, roll a d20 to see how many you get if this is a loot drop. (Item)")</f>
        <v>Crafting Material, roll a d20 to see how many you get if this is a loot drop. (Item)</v>
      </c>
      <c r="C1080" s="32"/>
      <c r="D1080" s="32"/>
      <c r="E1080" s="32"/>
      <c r="F1080" s="32"/>
      <c r="G1080" s="32"/>
      <c r="H1080" s="32"/>
      <c r="I1080" s="32"/>
      <c r="J1080" s="32"/>
      <c r="K1080" s="32"/>
      <c r="L1080" s="32"/>
      <c r="M1080" s="32"/>
      <c r="N1080" s="32"/>
      <c r="O1080" s="32"/>
      <c r="P1080" s="32"/>
      <c r="Q1080" s="32"/>
      <c r="R1080" s="32"/>
      <c r="S1080" s="32"/>
      <c r="T1080" s="32"/>
      <c r="U1080" s="32"/>
      <c r="V1080" s="32"/>
      <c r="W1080" s="32"/>
      <c r="X1080" s="32"/>
      <c r="Y1080" s="32"/>
      <c r="Z1080" s="32"/>
    </row>
    <row r="1081">
      <c r="A1081" s="32" t="str">
        <f>IFERROR(__xludf.DUMMYFUNCTION("""COMPUTED_VALUE"""),"Talon")</f>
        <v>Talon</v>
      </c>
      <c r="B1081" s="32" t="str">
        <f>IFERROR(__xludf.DUMMYFUNCTION("""COMPUTED_VALUE"""),"Crafting Material, roll a d20 to see how many you get if this is a loot drop. (Item)")</f>
        <v>Crafting Material, roll a d20 to see how many you get if this is a loot drop. (Item)</v>
      </c>
      <c r="C1081" s="32"/>
      <c r="D1081" s="32"/>
      <c r="E1081" s="32"/>
      <c r="F1081" s="32"/>
      <c r="G1081" s="32"/>
      <c r="H1081" s="32"/>
      <c r="I1081" s="32"/>
      <c r="J1081" s="32"/>
      <c r="K1081" s="32"/>
      <c r="L1081" s="32"/>
      <c r="M1081" s="32"/>
      <c r="N1081" s="32"/>
      <c r="O1081" s="32"/>
      <c r="P1081" s="32"/>
      <c r="Q1081" s="32"/>
      <c r="R1081" s="32"/>
      <c r="S1081" s="32"/>
      <c r="T1081" s="32"/>
      <c r="U1081" s="32"/>
      <c r="V1081" s="32"/>
      <c r="W1081" s="32"/>
      <c r="X1081" s="32"/>
      <c r="Y1081" s="32"/>
      <c r="Z1081" s="32"/>
    </row>
    <row r="1082">
      <c r="A1082" s="32" t="str">
        <f>IFERROR(__xludf.DUMMYFUNCTION("""COMPUTED_VALUE"""),"Eyeball")</f>
        <v>Eyeball</v>
      </c>
      <c r="B1082" s="32" t="str">
        <f>IFERROR(__xludf.DUMMYFUNCTION("""COMPUTED_VALUE"""),"Crafting Material, roll a d20 to see how many you get if this is a loot drop. (Item)")</f>
        <v>Crafting Material, roll a d20 to see how many you get if this is a loot drop. (Item)</v>
      </c>
      <c r="C1082" s="32"/>
      <c r="D1082" s="32"/>
      <c r="E1082" s="32"/>
      <c r="F1082" s="32"/>
      <c r="G1082" s="32"/>
      <c r="H1082" s="32"/>
      <c r="I1082" s="32"/>
      <c r="J1082" s="32"/>
      <c r="K1082" s="32"/>
      <c r="L1082" s="32"/>
      <c r="M1082" s="32"/>
      <c r="N1082" s="32"/>
      <c r="O1082" s="32"/>
      <c r="P1082" s="32"/>
      <c r="Q1082" s="32"/>
      <c r="R1082" s="32"/>
      <c r="S1082" s="32"/>
      <c r="T1082" s="32"/>
      <c r="U1082" s="32"/>
      <c r="V1082" s="32"/>
      <c r="W1082" s="32"/>
      <c r="X1082" s="32"/>
      <c r="Y1082" s="32"/>
      <c r="Z1082" s="32"/>
    </row>
    <row r="1083">
      <c r="A1083" s="32" t="str">
        <f>IFERROR(__xludf.DUMMYFUNCTION("""COMPUTED_VALUE"""),"Spider Egg")</f>
        <v>Spider Egg</v>
      </c>
      <c r="B1083" s="32" t="str">
        <f>IFERROR(__xludf.DUMMYFUNCTION("""COMPUTED_VALUE"""),"Crafting Material, roll a d20 to see how many you get if this is a loot drop. (Item)")</f>
        <v>Crafting Material, roll a d20 to see how many you get if this is a loot drop. (Item)</v>
      </c>
      <c r="C1083" s="32"/>
      <c r="D1083" s="32"/>
      <c r="E1083" s="32"/>
      <c r="F1083" s="32"/>
      <c r="G1083" s="32"/>
      <c r="H1083" s="32"/>
      <c r="I1083" s="32"/>
      <c r="J1083" s="32"/>
      <c r="K1083" s="32"/>
      <c r="L1083" s="32"/>
      <c r="M1083" s="32"/>
      <c r="N1083" s="32"/>
      <c r="O1083" s="32"/>
      <c r="P1083" s="32"/>
      <c r="Q1083" s="32"/>
      <c r="R1083" s="32"/>
      <c r="S1083" s="32"/>
      <c r="T1083" s="32"/>
      <c r="U1083" s="32"/>
      <c r="V1083" s="32"/>
      <c r="W1083" s="32"/>
      <c r="X1083" s="32"/>
      <c r="Y1083" s="32"/>
      <c r="Z1083" s="32"/>
    </row>
    <row r="1084">
      <c r="A1084" s="32" t="str">
        <f>IFERROR(__xludf.DUMMYFUNCTION("""COMPUTED_VALUE"""),"Giant Spider Exoskeleton")</f>
        <v>Giant Spider Exoskeleton</v>
      </c>
      <c r="B1084" s="32" t="str">
        <f>IFERROR(__xludf.DUMMYFUNCTION("""COMPUTED_VALUE"""),"Crafting Material, roll a d20 to see how many you get if this is a loot drop. (Item)")</f>
        <v>Crafting Material, roll a d20 to see how many you get if this is a loot drop. (Item)</v>
      </c>
      <c r="C1084" s="32"/>
      <c r="D1084" s="32"/>
      <c r="E1084" s="32"/>
      <c r="F1084" s="32"/>
      <c r="G1084" s="32"/>
      <c r="H1084" s="32"/>
      <c r="I1084" s="32"/>
      <c r="J1084" s="32"/>
      <c r="K1084" s="32"/>
      <c r="L1084" s="32"/>
      <c r="M1084" s="32"/>
      <c r="N1084" s="32"/>
      <c r="O1084" s="32"/>
      <c r="P1084" s="32"/>
      <c r="Q1084" s="32"/>
      <c r="R1084" s="32"/>
      <c r="S1084" s="32"/>
      <c r="T1084" s="32"/>
      <c r="U1084" s="32"/>
      <c r="V1084" s="32"/>
      <c r="W1084" s="32"/>
      <c r="X1084" s="32"/>
      <c r="Y1084" s="32"/>
      <c r="Z1084" s="32"/>
    </row>
    <row r="1085">
      <c r="A1085" s="32" t="str">
        <f>IFERROR(__xludf.DUMMYFUNCTION("""COMPUTED_VALUE"""),"Giant Spider Poison")</f>
        <v>Giant Spider Poison</v>
      </c>
      <c r="B1085" s="32" t="str">
        <f>IFERROR(__xludf.DUMMYFUNCTION("""COMPUTED_VALUE"""),"Crafting Material, roll a d20 to see how many you get if this is a loot drop. (Item)")</f>
        <v>Crafting Material, roll a d20 to see how many you get if this is a loot drop. (Item)</v>
      </c>
      <c r="C1085" s="32"/>
      <c r="D1085" s="32"/>
      <c r="E1085" s="32"/>
      <c r="F1085" s="32"/>
      <c r="G1085" s="32"/>
      <c r="H1085" s="32"/>
      <c r="I1085" s="32"/>
      <c r="J1085" s="32"/>
      <c r="K1085" s="32"/>
      <c r="L1085" s="32"/>
      <c r="M1085" s="32"/>
      <c r="N1085" s="32"/>
      <c r="O1085" s="32"/>
      <c r="P1085" s="32"/>
      <c r="Q1085" s="32"/>
      <c r="R1085" s="32"/>
      <c r="S1085" s="32"/>
      <c r="T1085" s="32"/>
      <c r="U1085" s="32"/>
      <c r="V1085" s="32"/>
      <c r="W1085" s="32"/>
      <c r="X1085" s="32"/>
      <c r="Y1085" s="32"/>
      <c r="Z1085" s="32"/>
    </row>
    <row r="1086">
      <c r="A1086" s="32" t="str">
        <f>IFERROR(__xludf.DUMMYFUNCTION("""COMPUTED_VALUE"""),"Poison Gem")</f>
        <v>Poison Gem</v>
      </c>
      <c r="B1086" s="32" t="str">
        <f>IFERROR(__xludf.DUMMYFUNCTION("""COMPUTED_VALUE"""),"Crafting Material, roll a d20 to see how many you get if this is a loot drop. (Item)")</f>
        <v>Crafting Material, roll a d20 to see how many you get if this is a loot drop. (Item)</v>
      </c>
      <c r="C1086" s="32"/>
      <c r="D1086" s="32"/>
      <c r="E1086" s="32"/>
      <c r="F1086" s="32"/>
      <c r="G1086" s="32"/>
      <c r="H1086" s="32"/>
      <c r="I1086" s="32"/>
      <c r="J1086" s="32"/>
      <c r="K1086" s="32"/>
      <c r="L1086" s="32"/>
      <c r="M1086" s="32"/>
      <c r="N1086" s="32"/>
      <c r="O1086" s="32"/>
      <c r="P1086" s="32"/>
      <c r="Q1086" s="32"/>
      <c r="R1086" s="32"/>
      <c r="S1086" s="32"/>
      <c r="T1086" s="32"/>
      <c r="U1086" s="32"/>
      <c r="V1086" s="32"/>
      <c r="W1086" s="32"/>
      <c r="X1086" s="32"/>
      <c r="Y1086" s="32"/>
      <c r="Z1086" s="32"/>
    </row>
    <row r="1087">
      <c r="A1087" s="32" t="str">
        <f>IFERROR(__xludf.DUMMYFUNCTION("""COMPUTED_VALUE"""),"Returning Arrow")</f>
        <v>Returning Arrow</v>
      </c>
      <c r="B1087" s="32" t="str">
        <f>IFERROR(__xludf.DUMMYFUNCTION("""COMPUTED_VALUE"""),"Bow Ammunition. +500 damage.  returns to the user. roll a d20 to see how many you get if this is a loot drop. (Item)")</f>
        <v>Bow Ammunition. +500 damage.  returns to the user. roll a d20 to see how many you get if this is a loot drop. (Item)</v>
      </c>
      <c r="C1087" s="32"/>
      <c r="D1087" s="32"/>
      <c r="E1087" s="32"/>
      <c r="F1087" s="32"/>
      <c r="G1087" s="32"/>
      <c r="H1087" s="32"/>
      <c r="I1087" s="32"/>
      <c r="J1087" s="32"/>
      <c r="K1087" s="32"/>
      <c r="L1087" s="32"/>
      <c r="M1087" s="32"/>
      <c r="N1087" s="32"/>
      <c r="O1087" s="32"/>
      <c r="P1087" s="32"/>
      <c r="Q1087" s="32"/>
      <c r="R1087" s="32"/>
      <c r="S1087" s="32"/>
      <c r="T1087" s="32"/>
      <c r="U1087" s="32"/>
      <c r="V1087" s="32"/>
      <c r="W1087" s="32"/>
      <c r="X1087" s="32"/>
      <c r="Y1087" s="32"/>
      <c r="Z1087" s="32"/>
    </row>
    <row r="1088">
      <c r="A1088" s="32" t="str">
        <f>IFERROR(__xludf.DUMMYFUNCTION("""COMPUTED_VALUE"""),"Shadow Fluid")</f>
        <v>Shadow Fluid</v>
      </c>
      <c r="B1088" s="32" t="str">
        <f>IFERROR(__xludf.DUMMYFUNCTION("""COMPUTED_VALUE"""),"Crafting Material, roll a d20 to see how many you get if this is a loot drop. (Item)")</f>
        <v>Crafting Material, roll a d20 to see how many you get if this is a loot drop. (Item)</v>
      </c>
      <c r="C1088" s="32"/>
      <c r="D1088" s="32"/>
      <c r="E1088" s="32"/>
      <c r="F1088" s="32"/>
      <c r="G1088" s="32"/>
      <c r="H1088" s="32"/>
      <c r="I1088" s="32"/>
      <c r="J1088" s="32"/>
      <c r="K1088" s="32"/>
      <c r="L1088" s="32"/>
      <c r="M1088" s="32"/>
      <c r="N1088" s="32"/>
      <c r="O1088" s="32"/>
      <c r="P1088" s="32"/>
      <c r="Q1088" s="32"/>
      <c r="R1088" s="32"/>
      <c r="S1088" s="32"/>
      <c r="T1088" s="32"/>
      <c r="U1088" s="32"/>
      <c r="V1088" s="32"/>
      <c r="W1088" s="32"/>
      <c r="X1088" s="32"/>
      <c r="Y1088" s="32"/>
      <c r="Z1088" s="32"/>
    </row>
    <row r="1089">
      <c r="A1089" s="32" t="str">
        <f>IFERROR(__xludf.DUMMYFUNCTION("""COMPUTED_VALUE"""),"Skull")</f>
        <v>Skull</v>
      </c>
      <c r="B1089" s="32" t="str">
        <f>IFERROR(__xludf.DUMMYFUNCTION("""COMPUTED_VALUE"""),"Crafting Material, roll a d20 to see how many you get if this is a loot drop. (Item)")</f>
        <v>Crafting Material, roll a d20 to see how many you get if this is a loot drop. (Item)</v>
      </c>
      <c r="C1089" s="32"/>
      <c r="D1089" s="32"/>
      <c r="E1089" s="32"/>
      <c r="F1089" s="32"/>
      <c r="G1089" s="32"/>
      <c r="H1089" s="32"/>
      <c r="I1089" s="32"/>
      <c r="J1089" s="32"/>
      <c r="K1089" s="32"/>
      <c r="L1089" s="32"/>
      <c r="M1089" s="32"/>
      <c r="N1089" s="32"/>
      <c r="O1089" s="32"/>
      <c r="P1089" s="32"/>
      <c r="Q1089" s="32"/>
      <c r="R1089" s="32"/>
      <c r="S1089" s="32"/>
      <c r="T1089" s="32"/>
      <c r="U1089" s="32"/>
      <c r="V1089" s="32"/>
      <c r="W1089" s="32"/>
      <c r="X1089" s="32"/>
      <c r="Y1089" s="32"/>
      <c r="Z1089" s="32"/>
    </row>
    <row r="1090">
      <c r="A1090" s="32" t="str">
        <f>IFERROR(__xludf.DUMMYFUNCTION("""COMPUTED_VALUE"""),"pumpkin gem")</f>
        <v>pumpkin gem</v>
      </c>
      <c r="B1090" s="32" t="str">
        <f>IFERROR(__xludf.DUMMYFUNCTION("""COMPUTED_VALUE"""),"Crafting Material, roll a d20 to see how many you get if this is a loot drop. (Item)")</f>
        <v>Crafting Material, roll a d20 to see how many you get if this is a loot drop. (Item)</v>
      </c>
      <c r="C1090" s="32"/>
      <c r="D1090" s="32"/>
      <c r="E1090" s="32"/>
      <c r="F1090" s="32"/>
      <c r="G1090" s="32"/>
      <c r="H1090" s="32"/>
      <c r="I1090" s="32"/>
      <c r="J1090" s="32"/>
      <c r="K1090" s="32"/>
      <c r="L1090" s="32"/>
      <c r="M1090" s="32"/>
      <c r="N1090" s="32"/>
      <c r="O1090" s="32"/>
      <c r="P1090" s="32"/>
      <c r="Q1090" s="32"/>
      <c r="R1090" s="32"/>
      <c r="S1090" s="32"/>
      <c r="T1090" s="32"/>
      <c r="U1090" s="32"/>
      <c r="V1090" s="32"/>
      <c r="W1090" s="32"/>
      <c r="X1090" s="32"/>
      <c r="Y1090" s="32"/>
      <c r="Z1090" s="32"/>
    </row>
    <row r="1091">
      <c r="A1091" s="32" t="str">
        <f>IFERROR(__xludf.DUMMYFUNCTION("""COMPUTED_VALUE"""),"Rotton Flesh")</f>
        <v>Rotton Flesh</v>
      </c>
      <c r="B1091" s="32" t="str">
        <f>IFERROR(__xludf.DUMMYFUNCTION("""COMPUTED_VALUE"""),"-100 Hunger if you are not undead. +200 hunger and energy if you are undead. (Crop)")</f>
        <v>-100 Hunger if you are not undead. +200 hunger and energy if you are undead. (Crop)</v>
      </c>
      <c r="C1091" s="32"/>
      <c r="D1091" s="32"/>
      <c r="E1091" s="32"/>
      <c r="F1091" s="32"/>
      <c r="G1091" s="32"/>
      <c r="H1091" s="32"/>
      <c r="I1091" s="32"/>
      <c r="J1091" s="32"/>
      <c r="K1091" s="32"/>
      <c r="L1091" s="32"/>
      <c r="M1091" s="32"/>
      <c r="N1091" s="32"/>
      <c r="O1091" s="32"/>
      <c r="P1091" s="32"/>
      <c r="Q1091" s="32"/>
      <c r="R1091" s="32"/>
      <c r="S1091" s="32"/>
      <c r="T1091" s="32"/>
      <c r="U1091" s="32"/>
      <c r="V1091" s="32"/>
      <c r="W1091" s="32"/>
      <c r="X1091" s="32"/>
      <c r="Y1091" s="32"/>
      <c r="Z1091" s="32"/>
    </row>
    <row r="1092">
      <c r="A1092" s="32" t="str">
        <f>IFERROR(__xludf.DUMMYFUNCTION("""COMPUTED_VALUE"""),"Bag of Sand")</f>
        <v>Bag of Sand</v>
      </c>
      <c r="B1092" s="32" t="str">
        <f>IFERROR(__xludf.DUMMYFUNCTION("""COMPUTED_VALUE"""),"Crafting Material, roll a d20 to see how many you get if this is a loot drop. (Item)")</f>
        <v>Crafting Material, roll a d20 to see how many you get if this is a loot drop. (Item)</v>
      </c>
      <c r="C1092" s="32"/>
      <c r="D1092" s="32"/>
      <c r="E1092" s="32"/>
      <c r="F1092" s="32"/>
      <c r="G1092" s="32"/>
      <c r="H1092" s="32"/>
      <c r="I1092" s="32"/>
      <c r="J1092" s="32"/>
      <c r="K1092" s="32"/>
      <c r="L1092" s="32"/>
      <c r="M1092" s="32"/>
      <c r="N1092" s="32"/>
      <c r="O1092" s="32"/>
      <c r="P1092" s="32"/>
      <c r="Q1092" s="32"/>
      <c r="R1092" s="32"/>
      <c r="S1092" s="32"/>
      <c r="T1092" s="32"/>
      <c r="U1092" s="32"/>
      <c r="V1092" s="32"/>
      <c r="W1092" s="32"/>
      <c r="X1092" s="32"/>
      <c r="Y1092" s="32"/>
      <c r="Z1092" s="32"/>
    </row>
    <row r="1093">
      <c r="A1093" s="32" t="str">
        <f>IFERROR(__xludf.DUMMYFUNCTION("""COMPUTED_VALUE"""),"Glowing Red eye")</f>
        <v>Glowing Red eye</v>
      </c>
      <c r="B1093" s="32" t="str">
        <f>IFERROR(__xludf.DUMMYFUNCTION("""COMPUTED_VALUE""")," +10SP (Item)")</f>
        <v> +10SP (Item)</v>
      </c>
      <c r="C1093" s="32"/>
      <c r="D1093" s="32"/>
      <c r="E1093" s="32"/>
      <c r="F1093" s="32"/>
      <c r="G1093" s="32"/>
      <c r="H1093" s="32"/>
      <c r="I1093" s="32"/>
      <c r="J1093" s="32"/>
      <c r="K1093" s="32"/>
      <c r="L1093" s="32"/>
      <c r="M1093" s="32"/>
      <c r="N1093" s="32"/>
      <c r="O1093" s="32"/>
      <c r="P1093" s="32"/>
      <c r="Q1093" s="32"/>
      <c r="R1093" s="32"/>
      <c r="S1093" s="32"/>
      <c r="T1093" s="32"/>
      <c r="U1093" s="32"/>
      <c r="V1093" s="32"/>
      <c r="W1093" s="32"/>
      <c r="X1093" s="32"/>
      <c r="Y1093" s="32"/>
      <c r="Z1093" s="32"/>
    </row>
    <row r="1094">
      <c r="A1094" s="32" t="str">
        <f>IFERROR(__xludf.DUMMYFUNCTION("""COMPUTED_VALUE"""),"Sand Gem")</f>
        <v>Sand Gem</v>
      </c>
      <c r="B1094" s="32" t="str">
        <f>IFERROR(__xludf.DUMMYFUNCTION("""COMPUTED_VALUE"""),"Crafting Material, roll a d20 to see how many you get if this is a loot drop. (Item)")</f>
        <v>Crafting Material, roll a d20 to see how many you get if this is a loot drop. (Item)</v>
      </c>
      <c r="C1094" s="32"/>
      <c r="D1094" s="32"/>
      <c r="E1094" s="32"/>
      <c r="F1094" s="32"/>
      <c r="G1094" s="32"/>
      <c r="H1094" s="32"/>
      <c r="I1094" s="32"/>
      <c r="J1094" s="32"/>
      <c r="K1094" s="32"/>
      <c r="L1094" s="32"/>
      <c r="M1094" s="32"/>
      <c r="N1094" s="32"/>
      <c r="O1094" s="32"/>
      <c r="P1094" s="32"/>
      <c r="Q1094" s="32"/>
      <c r="R1094" s="32"/>
      <c r="S1094" s="32"/>
      <c r="T1094" s="32"/>
      <c r="U1094" s="32"/>
      <c r="V1094" s="32"/>
      <c r="W1094" s="32"/>
      <c r="X1094" s="32"/>
      <c r="Y1094" s="32"/>
      <c r="Z1094" s="32"/>
    </row>
    <row r="1095">
      <c r="A1095" s="32" t="str">
        <f>IFERROR(__xludf.DUMMYFUNCTION("""COMPUTED_VALUE"""),"Poison water")</f>
        <v>Poison water</v>
      </c>
      <c r="B1095" s="32" t="str">
        <f>IFERROR(__xludf.DUMMYFUNCTION("""COMPUTED_VALUE""")," (Item)")</f>
        <v> (Item)</v>
      </c>
      <c r="C1095" s="32"/>
      <c r="D1095" s="32"/>
      <c r="E1095" s="32"/>
      <c r="F1095" s="32"/>
      <c r="G1095" s="32"/>
      <c r="H1095" s="32"/>
      <c r="I1095" s="32"/>
      <c r="J1095" s="32"/>
      <c r="K1095" s="32"/>
      <c r="L1095" s="32"/>
      <c r="M1095" s="32"/>
      <c r="N1095" s="32"/>
      <c r="O1095" s="32"/>
      <c r="P1095" s="32"/>
      <c r="Q1095" s="32"/>
      <c r="R1095" s="32"/>
      <c r="S1095" s="32"/>
      <c r="T1095" s="32"/>
      <c r="U1095" s="32"/>
      <c r="V1095" s="32"/>
      <c r="W1095" s="32"/>
      <c r="X1095" s="32"/>
      <c r="Y1095" s="32"/>
      <c r="Z1095" s="32"/>
    </row>
    <row r="1096">
      <c r="A1096" s="32" t="str">
        <f>IFERROR(__xludf.DUMMYFUNCTION("""COMPUTED_VALUE"""),"Poison Mushroom")</f>
        <v>Poison Mushroom</v>
      </c>
      <c r="B1096" s="32" t="str">
        <f>IFERROR(__xludf.DUMMYFUNCTION("""COMPUTED_VALUE"""),"-100 Hunger, Causes poison 100 for 10 days of travel. (Crop)")</f>
        <v>-100 Hunger, Causes poison 100 for 10 days of travel. (Crop)</v>
      </c>
      <c r="C1096" s="32"/>
      <c r="D1096" s="32"/>
      <c r="E1096" s="32"/>
      <c r="F1096" s="32"/>
      <c r="G1096" s="32"/>
      <c r="H1096" s="32"/>
      <c r="I1096" s="32"/>
      <c r="J1096" s="32"/>
      <c r="K1096" s="32"/>
      <c r="L1096" s="32"/>
      <c r="M1096" s="32"/>
      <c r="N1096" s="32"/>
      <c r="O1096" s="32"/>
      <c r="P1096" s="32"/>
      <c r="Q1096" s="32"/>
      <c r="R1096" s="32"/>
      <c r="S1096" s="32"/>
      <c r="T1096" s="32"/>
      <c r="U1096" s="32"/>
      <c r="V1096" s="32"/>
      <c r="W1096" s="32"/>
      <c r="X1096" s="32"/>
      <c r="Y1096" s="32"/>
      <c r="Z1096" s="32"/>
    </row>
    <row r="1097">
      <c r="A1097" s="32" t="str">
        <f>IFERROR(__xludf.DUMMYFUNCTION("""COMPUTED_VALUE"""),"Vile of Poison")</f>
        <v>Vile of Poison</v>
      </c>
      <c r="B1097" s="32" t="str">
        <f>IFERROR(__xludf.DUMMYFUNCTION("""COMPUTED_VALUE"""),"Crafting Material, roll a d20 to see how many you get if this is a loot drop. (Item)")</f>
        <v>Crafting Material, roll a d20 to see how many you get if this is a loot drop. (Item)</v>
      </c>
      <c r="C1097" s="32"/>
      <c r="D1097" s="32"/>
      <c r="E1097" s="32"/>
      <c r="F1097" s="32"/>
      <c r="G1097" s="32"/>
      <c r="H1097" s="32"/>
      <c r="I1097" s="32"/>
      <c r="J1097" s="32"/>
      <c r="K1097" s="32"/>
      <c r="L1097" s="32"/>
      <c r="M1097" s="32"/>
      <c r="N1097" s="32"/>
      <c r="O1097" s="32"/>
      <c r="P1097" s="32"/>
      <c r="Q1097" s="32"/>
      <c r="R1097" s="32"/>
      <c r="S1097" s="32"/>
      <c r="T1097" s="32"/>
      <c r="U1097" s="32"/>
      <c r="V1097" s="32"/>
      <c r="W1097" s="32"/>
      <c r="X1097" s="32"/>
      <c r="Y1097" s="32"/>
      <c r="Z1097" s="32"/>
    </row>
    <row r="1098">
      <c r="A1098" s="32" t="str">
        <f>IFERROR(__xludf.DUMMYFUNCTION("""COMPUTED_VALUE"""),"Explosive Arrow")</f>
        <v>Explosive Arrow</v>
      </c>
      <c r="B1098" s="32" t="str">
        <f>IFERROR(__xludf.DUMMYFUNCTION("""COMPUTED_VALUE"""),"Bow Ammunition. +1000 fire damage to the enemy it hits. +500 fire damage to all other enemies. roll a d20 to see how many you get if this is a loot drop. (Item)")</f>
        <v>Bow Ammunition. +1000 fire damage to the enemy it hits. +500 fire damage to all other enemies. roll a d20 to see how many you get if this is a loot drop. (Item)</v>
      </c>
      <c r="C1098" s="32"/>
      <c r="D1098" s="32"/>
      <c r="E1098" s="32"/>
      <c r="F1098" s="32"/>
      <c r="G1098" s="32"/>
      <c r="H1098" s="32"/>
      <c r="I1098" s="32"/>
      <c r="J1098" s="32"/>
      <c r="K1098" s="32"/>
      <c r="L1098" s="32"/>
      <c r="M1098" s="32"/>
      <c r="N1098" s="32"/>
      <c r="O1098" s="32"/>
      <c r="P1098" s="32"/>
      <c r="Q1098" s="32"/>
      <c r="R1098" s="32"/>
      <c r="S1098" s="32"/>
      <c r="T1098" s="32"/>
      <c r="U1098" s="32"/>
      <c r="V1098" s="32"/>
      <c r="W1098" s="32"/>
      <c r="X1098" s="32"/>
      <c r="Y1098" s="32"/>
      <c r="Z1098" s="32"/>
    </row>
    <row r="1099">
      <c r="A1099" s="32" t="str">
        <f>IFERROR(__xludf.DUMMYFUNCTION("""COMPUTED_VALUE"""),"Frost diamond")</f>
        <v>Frost diamond</v>
      </c>
      <c r="B1099" s="32" t="str">
        <f>IFERROR(__xludf.DUMMYFUNCTION("""COMPUTED_VALUE"""),"Crafting Material, roll a d20 to see how many you get if this is a loot drop. (Item)")</f>
        <v>Crafting Material, roll a d20 to see how many you get if this is a loot drop. (Item)</v>
      </c>
      <c r="C1099" s="32"/>
      <c r="D1099" s="32"/>
      <c r="E1099" s="32"/>
      <c r="F1099" s="32"/>
      <c r="G1099" s="32"/>
      <c r="H1099" s="32"/>
      <c r="I1099" s="32"/>
      <c r="J1099" s="32"/>
      <c r="K1099" s="32"/>
      <c r="L1099" s="32"/>
      <c r="M1099" s="32"/>
      <c r="N1099" s="32"/>
      <c r="O1099" s="32"/>
      <c r="P1099" s="32"/>
      <c r="Q1099" s="32"/>
      <c r="R1099" s="32"/>
      <c r="S1099" s="32"/>
      <c r="T1099" s="32"/>
      <c r="U1099" s="32"/>
      <c r="V1099" s="32"/>
      <c r="W1099" s="32"/>
      <c r="X1099" s="32"/>
      <c r="Y1099" s="32"/>
      <c r="Z1099" s="32"/>
    </row>
    <row r="1100">
      <c r="A1100" s="32" t="str">
        <f>IFERROR(__xludf.DUMMYFUNCTION("""COMPUTED_VALUE"""),"Big Frost Owl Feathers")</f>
        <v>Big Frost Owl Feathers</v>
      </c>
      <c r="B1100" s="32" t="str">
        <f>IFERROR(__xludf.DUMMYFUNCTION("""COMPUTED_VALUE"""),"Crafting Material, roll a d20 to see how many you get if this is a loot drop. (Item)")</f>
        <v>Crafting Material, roll a d20 to see how many you get if this is a loot drop. (Item)</v>
      </c>
      <c r="C1100" s="32"/>
      <c r="D1100" s="32"/>
      <c r="E1100" s="32"/>
      <c r="F1100" s="32"/>
      <c r="G1100" s="32"/>
      <c r="H1100" s="32"/>
      <c r="I1100" s="32"/>
      <c r="J1100" s="32"/>
      <c r="K1100" s="32"/>
      <c r="L1100" s="32"/>
      <c r="M1100" s="32"/>
      <c r="N1100" s="32"/>
      <c r="O1100" s="32"/>
      <c r="P1100" s="32"/>
      <c r="Q1100" s="32"/>
      <c r="R1100" s="32"/>
      <c r="S1100" s="32"/>
      <c r="T1100" s="32"/>
      <c r="U1100" s="32"/>
      <c r="V1100" s="32"/>
      <c r="W1100" s="32"/>
      <c r="X1100" s="32"/>
      <c r="Y1100" s="32"/>
      <c r="Z1100" s="32"/>
    </row>
    <row r="1101">
      <c r="A1101" s="32" t="str">
        <f>IFERROR(__xludf.DUMMYFUNCTION("""COMPUTED_VALUE"""),"Big Frost Owl egg")</f>
        <v>Big Frost Owl egg</v>
      </c>
      <c r="B1101" s="32" t="str">
        <f>IFERROR(__xludf.DUMMYFUNCTION("""COMPUTED_VALUE""")," (Item)")</f>
        <v> (Item)</v>
      </c>
      <c r="C1101" s="32"/>
      <c r="D1101" s="32"/>
      <c r="E1101" s="32"/>
      <c r="F1101" s="32"/>
      <c r="G1101" s="32"/>
      <c r="H1101" s="32"/>
      <c r="I1101" s="32"/>
      <c r="J1101" s="32"/>
      <c r="K1101" s="32"/>
      <c r="L1101" s="32"/>
      <c r="M1101" s="32"/>
      <c r="N1101" s="32"/>
      <c r="O1101" s="32"/>
      <c r="P1101" s="32"/>
      <c r="Q1101" s="32"/>
      <c r="R1101" s="32"/>
      <c r="S1101" s="32"/>
      <c r="T1101" s="32"/>
      <c r="U1101" s="32"/>
      <c r="V1101" s="32"/>
      <c r="W1101" s="32"/>
      <c r="X1101" s="32"/>
      <c r="Y1101" s="32"/>
      <c r="Z1101" s="32"/>
    </row>
    <row r="1102">
      <c r="A1102" s="32" t="str">
        <f>IFERROR(__xludf.DUMMYFUNCTION("""COMPUTED_VALUE"""),"Giant Frost Diamond")</f>
        <v>Giant Frost Diamond</v>
      </c>
      <c r="B1102" s="32" t="str">
        <f>IFERROR(__xludf.DUMMYFUNCTION("""COMPUTED_VALUE"""),"Crafting Material, roll a d20 to see how many you get if this is a loot drop. (Item)")</f>
        <v>Crafting Material, roll a d20 to see how many you get if this is a loot drop. (Item)</v>
      </c>
      <c r="C1102" s="32"/>
      <c r="D1102" s="32"/>
      <c r="E1102" s="32"/>
      <c r="F1102" s="32"/>
      <c r="G1102" s="32"/>
      <c r="H1102" s="32"/>
      <c r="I1102" s="32"/>
      <c r="J1102" s="32"/>
      <c r="K1102" s="32"/>
      <c r="L1102" s="32"/>
      <c r="M1102" s="32"/>
      <c r="N1102" s="32"/>
      <c r="O1102" s="32"/>
      <c r="P1102" s="32"/>
      <c r="Q1102" s="32"/>
      <c r="R1102" s="32"/>
      <c r="S1102" s="32"/>
      <c r="T1102" s="32"/>
      <c r="U1102" s="32"/>
      <c r="V1102" s="32"/>
      <c r="W1102" s="32"/>
      <c r="X1102" s="32"/>
      <c r="Y1102" s="32"/>
      <c r="Z1102" s="32"/>
    </row>
    <row r="1103">
      <c r="A1103" s="32" t="str">
        <f>IFERROR(__xludf.DUMMYFUNCTION("""COMPUTED_VALUE"""),"Gold Brick")</f>
        <v>Gold Brick</v>
      </c>
      <c r="B1103" s="32" t="str">
        <f>IFERROR(__xludf.DUMMYFUNCTION("""COMPUTED_VALUE"""),"Crafting Material, roll a d20 to see how many you get if this is a loot drop. (Item)")</f>
        <v>Crafting Material, roll a d20 to see how many you get if this is a loot drop. (Item)</v>
      </c>
      <c r="C1103" s="32"/>
      <c r="D1103" s="32"/>
      <c r="E1103" s="32"/>
      <c r="F1103" s="32"/>
      <c r="G1103" s="32"/>
      <c r="H1103" s="32"/>
      <c r="I1103" s="32"/>
      <c r="J1103" s="32"/>
      <c r="K1103" s="32"/>
      <c r="L1103" s="32"/>
      <c r="M1103" s="32"/>
      <c r="N1103" s="32"/>
      <c r="O1103" s="32"/>
      <c r="P1103" s="32"/>
      <c r="Q1103" s="32"/>
      <c r="R1103" s="32"/>
      <c r="S1103" s="32"/>
      <c r="T1103" s="32"/>
      <c r="U1103" s="32"/>
      <c r="V1103" s="32"/>
      <c r="W1103" s="32"/>
      <c r="X1103" s="32"/>
      <c r="Y1103" s="32"/>
      <c r="Z1103" s="32"/>
    </row>
    <row r="1104">
      <c r="A1104" s="32" t="str">
        <f>IFERROR(__xludf.DUMMYFUNCTION("""COMPUTED_VALUE"""),"Arrow of Mutiplying ")</f>
        <v>Arrow of Mutiplying </v>
      </c>
      <c r="B1104" s="32" t="str">
        <f>IFERROR(__xludf.DUMMYFUNCTION("""COMPUTED_VALUE"""),"Bow Ammunition. +1000 damage. +This arrow will summon X copies of itself which will also strike the target being attacked. X is equal to a d20 roll. roll a d20 to see how many you get if this is a loot drop. (Item)")</f>
        <v>Bow Ammunition. +1000 damage. +This arrow will summon X copies of itself which will also strike the target being attacked. X is equal to a d20 roll. roll a d20 to see how many you get if this is a loot drop. (Item)</v>
      </c>
      <c r="C1104" s="32"/>
      <c r="D1104" s="32"/>
      <c r="E1104" s="32"/>
      <c r="F1104" s="32"/>
      <c r="G1104" s="32"/>
      <c r="H1104" s="32"/>
      <c r="I1104" s="32"/>
      <c r="J1104" s="32"/>
      <c r="K1104" s="32"/>
      <c r="L1104" s="32"/>
      <c r="M1104" s="32"/>
      <c r="N1104" s="32"/>
      <c r="O1104" s="32"/>
      <c r="P1104" s="32"/>
      <c r="Q1104" s="32"/>
      <c r="R1104" s="32"/>
      <c r="S1104" s="32"/>
      <c r="T1104" s="32"/>
      <c r="U1104" s="32"/>
      <c r="V1104" s="32"/>
      <c r="W1104" s="32"/>
      <c r="X1104" s="32"/>
      <c r="Y1104" s="32"/>
      <c r="Z1104" s="32"/>
    </row>
    <row r="1105">
      <c r="A1105" s="32" t="str">
        <f>IFERROR(__xludf.DUMMYFUNCTION("""COMPUTED_VALUE"""),"Water Gem")</f>
        <v>Water Gem</v>
      </c>
      <c r="B1105" s="32" t="str">
        <f>IFERROR(__xludf.DUMMYFUNCTION("""COMPUTED_VALUE"""),"Crafting Material, roll a d20 to see how many you get if this is a loot drop. (Item)")</f>
        <v>Crafting Material, roll a d20 to see how many you get if this is a loot drop. (Item)</v>
      </c>
      <c r="C1105" s="32"/>
      <c r="D1105" s="32"/>
      <c r="E1105" s="32"/>
      <c r="F1105" s="32"/>
      <c r="G1105" s="32"/>
      <c r="H1105" s="32"/>
      <c r="I1105" s="32"/>
      <c r="J1105" s="32"/>
      <c r="K1105" s="32"/>
      <c r="L1105" s="32"/>
      <c r="M1105" s="32"/>
      <c r="N1105" s="32"/>
      <c r="O1105" s="32"/>
      <c r="P1105" s="32"/>
      <c r="Q1105" s="32"/>
      <c r="R1105" s="32"/>
      <c r="S1105" s="32"/>
      <c r="T1105" s="32"/>
      <c r="U1105" s="32"/>
      <c r="V1105" s="32"/>
      <c r="W1105" s="32"/>
      <c r="X1105" s="32"/>
      <c r="Y1105" s="32"/>
      <c r="Z1105" s="32"/>
    </row>
    <row r="1106">
      <c r="A1106" s="32" t="str">
        <f>IFERROR(__xludf.DUMMYFUNCTION("""COMPUTED_VALUE"""),"Goose Meat")</f>
        <v>Goose Meat</v>
      </c>
      <c r="B1106" s="32" t="str">
        <f>IFERROR(__xludf.DUMMYFUNCTION("""COMPUTED_VALUE"""),"-200 hunger to any character that is not owner by Hunter Gooseman. +500 Hunger to any character Hunter Owns. (Crop)")</f>
        <v>-200 hunger to any character that is not owner by Hunter Gooseman. +500 Hunger to any character Hunter Owns. (Crop)</v>
      </c>
      <c r="C1106" s="32"/>
      <c r="D1106" s="32"/>
      <c r="E1106" s="32"/>
      <c r="F1106" s="32"/>
      <c r="G1106" s="32"/>
      <c r="H1106" s="32"/>
      <c r="I1106" s="32"/>
      <c r="J1106" s="32"/>
      <c r="K1106" s="32"/>
      <c r="L1106" s="32"/>
      <c r="M1106" s="32"/>
      <c r="N1106" s="32"/>
      <c r="O1106" s="32"/>
      <c r="P1106" s="32"/>
      <c r="Q1106" s="32"/>
      <c r="R1106" s="32"/>
      <c r="S1106" s="32"/>
      <c r="T1106" s="32"/>
      <c r="U1106" s="32"/>
      <c r="V1106" s="32"/>
      <c r="W1106" s="32"/>
      <c r="X1106" s="32"/>
      <c r="Y1106" s="32"/>
      <c r="Z1106" s="32"/>
    </row>
    <row r="1107">
      <c r="A1107" s="32" t="str">
        <f>IFERROR(__xludf.DUMMYFUNCTION("""COMPUTED_VALUE"""),"Mysterious Gem")</f>
        <v>Mysterious Gem</v>
      </c>
      <c r="B1107" s="32" t="str">
        <f>IFERROR(__xludf.DUMMYFUNCTION("""COMPUTED_VALUE"""),"Crafting Material, roll a d20 to see how many you get if this is a loot drop. (Item)")</f>
        <v>Crafting Material, roll a d20 to see how many you get if this is a loot drop. (Item)</v>
      </c>
      <c r="C1107" s="32"/>
      <c r="D1107" s="32"/>
      <c r="E1107" s="32"/>
      <c r="F1107" s="32"/>
      <c r="G1107" s="32"/>
      <c r="H1107" s="32"/>
      <c r="I1107" s="32"/>
      <c r="J1107" s="32"/>
      <c r="K1107" s="32"/>
      <c r="L1107" s="32"/>
      <c r="M1107" s="32"/>
      <c r="N1107" s="32"/>
      <c r="O1107" s="32"/>
      <c r="P1107" s="32"/>
      <c r="Q1107" s="32"/>
      <c r="R1107" s="32"/>
      <c r="S1107" s="32"/>
      <c r="T1107" s="32"/>
      <c r="U1107" s="32"/>
      <c r="V1107" s="32"/>
      <c r="W1107" s="32"/>
      <c r="X1107" s="32"/>
      <c r="Y1107" s="32"/>
      <c r="Z1107" s="32"/>
    </row>
    <row r="1108">
      <c r="A1108" s="32" t="str">
        <f>IFERROR(__xludf.DUMMYFUNCTION("""COMPUTED_VALUE"""),"Turtle Shell")</f>
        <v>Turtle Shell</v>
      </c>
      <c r="B1108" s="32" t="str">
        <f>IFERROR(__xludf.DUMMYFUNCTION("""COMPUTED_VALUE"""),"Crafting Material, roll a d20 to see how many you get if this is a loot drop. (Item)")</f>
        <v>Crafting Material, roll a d20 to see how many you get if this is a loot drop. (Item)</v>
      </c>
      <c r="C1108" s="32"/>
      <c r="D1108" s="32"/>
      <c r="E1108" s="32"/>
      <c r="F1108" s="32"/>
      <c r="G1108" s="32"/>
      <c r="H1108" s="32"/>
      <c r="I1108" s="32"/>
      <c r="J1108" s="32"/>
      <c r="K1108" s="32"/>
      <c r="L1108" s="32"/>
      <c r="M1108" s="32"/>
      <c r="N1108" s="32"/>
      <c r="O1108" s="32"/>
      <c r="P1108" s="32"/>
      <c r="Q1108" s="32"/>
      <c r="R1108" s="32"/>
      <c r="S1108" s="32"/>
      <c r="T1108" s="32"/>
      <c r="U1108" s="32"/>
      <c r="V1108" s="32"/>
      <c r="W1108" s="32"/>
      <c r="X1108" s="32"/>
      <c r="Y1108" s="32"/>
      <c r="Z1108" s="32"/>
    </row>
    <row r="1109">
      <c r="A1109" s="32" t="str">
        <f>IFERROR(__xludf.DUMMYFUNCTION("""COMPUTED_VALUE"""),"Pumpkin Diamond")</f>
        <v>Pumpkin Diamond</v>
      </c>
      <c r="B1109" s="32" t="str">
        <f>IFERROR(__xludf.DUMMYFUNCTION("""COMPUTED_VALUE"""),"Crafting Material, roll a d20 to see how many you get if this is a loot drop. (Item)")</f>
        <v>Crafting Material, roll a d20 to see how many you get if this is a loot drop. (Item)</v>
      </c>
      <c r="C1109" s="32"/>
      <c r="D1109" s="32"/>
      <c r="E1109" s="32"/>
      <c r="F1109" s="32"/>
      <c r="G1109" s="32"/>
      <c r="H1109" s="32"/>
      <c r="I1109" s="32"/>
      <c r="J1109" s="32"/>
      <c r="K1109" s="32"/>
      <c r="L1109" s="32"/>
      <c r="M1109" s="32"/>
      <c r="N1109" s="32"/>
      <c r="O1109" s="32"/>
      <c r="P1109" s="32"/>
      <c r="Q1109" s="32"/>
      <c r="R1109" s="32"/>
      <c r="S1109" s="32"/>
      <c r="T1109" s="32"/>
      <c r="U1109" s="32"/>
      <c r="V1109" s="32"/>
      <c r="W1109" s="32"/>
      <c r="X1109" s="32"/>
      <c r="Y1109" s="32"/>
      <c r="Z1109" s="32"/>
    </row>
    <row r="1110">
      <c r="A1110" s="32" t="str">
        <f>IFERROR(__xludf.DUMMYFUNCTION("""COMPUTED_VALUE"""),"Shadow Diamond")</f>
        <v>Shadow Diamond</v>
      </c>
      <c r="B1110" s="32" t="str">
        <f>IFERROR(__xludf.DUMMYFUNCTION("""COMPUTED_VALUE"""),"Crafting Material, roll a d20 to see how many you get if this is a loot drop. (Item)")</f>
        <v>Crafting Material, roll a d20 to see how many you get if this is a loot drop. (Item)</v>
      </c>
      <c r="C1110" s="32"/>
      <c r="D1110" s="32"/>
      <c r="E1110" s="32"/>
      <c r="F1110" s="32"/>
      <c r="G1110" s="32"/>
      <c r="H1110" s="32"/>
      <c r="I1110" s="32"/>
      <c r="J1110" s="32"/>
      <c r="K1110" s="32"/>
      <c r="L1110" s="32"/>
      <c r="M1110" s="32"/>
      <c r="N1110" s="32"/>
      <c r="O1110" s="32"/>
      <c r="P1110" s="32"/>
      <c r="Q1110" s="32"/>
      <c r="R1110" s="32"/>
      <c r="S1110" s="32"/>
      <c r="T1110" s="32"/>
      <c r="U1110" s="32"/>
      <c r="V1110" s="32"/>
      <c r="W1110" s="32"/>
      <c r="X1110" s="32"/>
      <c r="Y1110" s="32"/>
      <c r="Z1110" s="32"/>
    </row>
    <row r="1111">
      <c r="A1111" s="32" t="str">
        <f>IFERROR(__xludf.DUMMYFUNCTION("""COMPUTED_VALUE"""),"Rank 6 Earth tome")</f>
        <v>Rank 6 Earth tome</v>
      </c>
      <c r="B1111" s="32" t="str">
        <f>IFERROR(__xludf.DUMMYFUNCTION("""COMPUTED_VALUE"""),"Allows use of up to Rank 6 Earth Powers (Item)")</f>
        <v>Allows use of up to Rank 6 Earth Powers (Item)</v>
      </c>
      <c r="C1111" s="32"/>
      <c r="D1111" s="32"/>
      <c r="E1111" s="32"/>
      <c r="F1111" s="32"/>
      <c r="G1111" s="32"/>
      <c r="H1111" s="32"/>
      <c r="I1111" s="32"/>
      <c r="J1111" s="32"/>
      <c r="K1111" s="32"/>
      <c r="L1111" s="32"/>
      <c r="M1111" s="32"/>
      <c r="N1111" s="32"/>
      <c r="O1111" s="32"/>
      <c r="P1111" s="32"/>
      <c r="Q1111" s="32"/>
      <c r="R1111" s="32"/>
      <c r="S1111" s="32"/>
      <c r="T1111" s="32"/>
      <c r="U1111" s="32"/>
      <c r="V1111" s="32"/>
      <c r="W1111" s="32"/>
      <c r="X1111" s="32"/>
      <c r="Y1111" s="32"/>
      <c r="Z1111" s="32"/>
    </row>
    <row r="1112">
      <c r="A1112" s="32" t="str">
        <f>IFERROR(__xludf.DUMMYFUNCTION("""COMPUTED_VALUE"""),"Demon Claw")</f>
        <v>Demon Claw</v>
      </c>
      <c r="B1112" s="32" t="str">
        <f>IFERROR(__xludf.DUMMYFUNCTION("""COMPUTED_VALUE"""),"Crafting Material, roll a d20 to see how many you get if this is a loot drop. (Item)")</f>
        <v>Crafting Material, roll a d20 to see how many you get if this is a loot drop. (Item)</v>
      </c>
      <c r="C1112" s="32"/>
      <c r="D1112" s="32"/>
      <c r="E1112" s="32"/>
      <c r="F1112" s="32"/>
      <c r="G1112" s="32"/>
      <c r="H1112" s="32"/>
      <c r="I1112" s="32"/>
      <c r="J1112" s="32"/>
      <c r="K1112" s="32"/>
      <c r="L1112" s="32"/>
      <c r="M1112" s="32"/>
      <c r="N1112" s="32"/>
      <c r="O1112" s="32"/>
      <c r="P1112" s="32"/>
      <c r="Q1112" s="32"/>
      <c r="R1112" s="32"/>
      <c r="S1112" s="32"/>
      <c r="T1112" s="32"/>
      <c r="U1112" s="32"/>
      <c r="V1112" s="32"/>
      <c r="W1112" s="32"/>
      <c r="X1112" s="32"/>
      <c r="Y1112" s="32"/>
      <c r="Z1112" s="32"/>
    </row>
    <row r="1113">
      <c r="A1113" s="32" t="str">
        <f>IFERROR(__xludf.DUMMYFUNCTION("""COMPUTED_VALUE"""),"Golden Bug")</f>
        <v>Golden Bug</v>
      </c>
      <c r="B1113" s="32" t="str">
        <f>IFERROR(__xludf.DUMMYFUNCTION("""COMPUTED_VALUE"""),"Crafting Material, roll a d20 to see how many you get if this is a loot drop. (Item)")</f>
        <v>Crafting Material, roll a d20 to see how many you get if this is a loot drop. (Item)</v>
      </c>
      <c r="C1113" s="32"/>
      <c r="D1113" s="32"/>
      <c r="E1113" s="32"/>
      <c r="F1113" s="32"/>
      <c r="G1113" s="32"/>
      <c r="H1113" s="32"/>
      <c r="I1113" s="32"/>
      <c r="J1113" s="32"/>
      <c r="K1113" s="32"/>
      <c r="L1113" s="32"/>
      <c r="M1113" s="32"/>
      <c r="N1113" s="32"/>
      <c r="O1113" s="32"/>
      <c r="P1113" s="32"/>
      <c r="Q1113" s="32"/>
      <c r="R1113" s="32"/>
      <c r="S1113" s="32"/>
      <c r="T1113" s="32"/>
      <c r="U1113" s="32"/>
      <c r="V1113" s="32"/>
      <c r="W1113" s="32"/>
      <c r="X1113" s="32"/>
      <c r="Y1113" s="32"/>
      <c r="Z1113" s="32"/>
    </row>
    <row r="1114">
      <c r="A1114" s="32" t="str">
        <f>IFERROR(__xludf.DUMMYFUNCTION("""COMPUTED_VALUE"""),"Dragon Orb")</f>
        <v>Dragon Orb</v>
      </c>
      <c r="B1114" s="32" t="str">
        <f>IFERROR(__xludf.DUMMYFUNCTION("""COMPUTED_VALUE"""),"Crafting Material, roll a d20 to see how many you get if this is a loot drop. (Item)")</f>
        <v>Crafting Material, roll a d20 to see how many you get if this is a loot drop. (Item)</v>
      </c>
      <c r="C1114" s="32"/>
      <c r="D1114" s="32"/>
      <c r="E1114" s="32"/>
      <c r="F1114" s="32"/>
      <c r="G1114" s="32"/>
      <c r="H1114" s="32"/>
      <c r="I1114" s="32"/>
      <c r="J1114" s="32"/>
      <c r="K1114" s="32"/>
      <c r="L1114" s="32"/>
      <c r="M1114" s="32"/>
      <c r="N1114" s="32"/>
      <c r="O1114" s="32"/>
      <c r="P1114" s="32"/>
      <c r="Q1114" s="32"/>
      <c r="R1114" s="32"/>
      <c r="S1114" s="32"/>
      <c r="T1114" s="32"/>
      <c r="U1114" s="32"/>
      <c r="V1114" s="32"/>
      <c r="W1114" s="32"/>
      <c r="X1114" s="32"/>
      <c r="Y1114" s="32"/>
      <c r="Z1114" s="32"/>
    </row>
    <row r="1115">
      <c r="A1115" s="32" t="str">
        <f>IFERROR(__xludf.DUMMYFUNCTION("""COMPUTED_VALUE"""),"Water potion")</f>
        <v>Water potion</v>
      </c>
      <c r="B1115" s="32" t="str">
        <f>IFERROR(__xludf.DUMMYFUNCTION("""COMPUTED_VALUE"""),"Gives water immunity for 1 round (Item)")</f>
        <v>Gives water immunity for 1 round (Item)</v>
      </c>
      <c r="C1115" s="32"/>
      <c r="D1115" s="32"/>
      <c r="E1115" s="32"/>
      <c r="F1115" s="32"/>
      <c r="G1115" s="32"/>
      <c r="H1115" s="32"/>
      <c r="I1115" s="32"/>
      <c r="J1115" s="32"/>
      <c r="K1115" s="32"/>
      <c r="L1115" s="32"/>
      <c r="M1115" s="32"/>
      <c r="N1115" s="32"/>
      <c r="O1115" s="32"/>
      <c r="P1115" s="32"/>
      <c r="Q1115" s="32"/>
      <c r="R1115" s="32"/>
      <c r="S1115" s="32"/>
      <c r="T1115" s="32"/>
      <c r="U1115" s="32"/>
      <c r="V1115" s="32"/>
      <c r="W1115" s="32"/>
      <c r="X1115" s="32"/>
      <c r="Y1115" s="32"/>
      <c r="Z1115" s="32"/>
    </row>
    <row r="1116">
      <c r="A1116" s="32" t="str">
        <f>IFERROR(__xludf.DUMMYFUNCTION("""COMPUTED_VALUE"""),"Jellyfish Stinger")</f>
        <v>Jellyfish Stinger</v>
      </c>
      <c r="B1116" s="32" t="str">
        <f>IFERROR(__xludf.DUMMYFUNCTION("""COMPUTED_VALUE"""),"Crafting Material, roll a d20 to see how many you get if this is a loot drop. (Item)")</f>
        <v>Crafting Material, roll a d20 to see how many you get if this is a loot drop. (Item)</v>
      </c>
      <c r="C1116" s="32"/>
      <c r="D1116" s="32"/>
      <c r="E1116" s="32"/>
      <c r="F1116" s="32"/>
      <c r="G1116" s="32"/>
      <c r="H1116" s="32"/>
      <c r="I1116" s="32"/>
      <c r="J1116" s="32"/>
      <c r="K1116" s="32"/>
      <c r="L1116" s="32"/>
      <c r="M1116" s="32"/>
      <c r="N1116" s="32"/>
      <c r="O1116" s="32"/>
      <c r="P1116" s="32"/>
      <c r="Q1116" s="32"/>
      <c r="R1116" s="32"/>
      <c r="S1116" s="32"/>
      <c r="T1116" s="32"/>
      <c r="U1116" s="32"/>
      <c r="V1116" s="32"/>
      <c r="W1116" s="32"/>
      <c r="X1116" s="32"/>
      <c r="Y1116" s="32"/>
      <c r="Z1116" s="32"/>
    </row>
    <row r="1117">
      <c r="A1117" s="32" t="str">
        <f>IFERROR(__xludf.DUMMYFUNCTION("""COMPUTED_VALUE"""),"Bee Stinger ")</f>
        <v>Bee Stinger </v>
      </c>
      <c r="B1117" s="32" t="str">
        <f>IFERROR(__xludf.DUMMYFUNCTION("""COMPUTED_VALUE"""),"Crafting Material, roll a d20 to see how many you get if this is a loot drop. (Item)")</f>
        <v>Crafting Material, roll a d20 to see how many you get if this is a loot drop. (Item)</v>
      </c>
      <c r="C1117" s="32"/>
      <c r="D1117" s="32"/>
      <c r="E1117" s="32"/>
      <c r="F1117" s="32"/>
      <c r="G1117" s="32"/>
      <c r="H1117" s="32"/>
      <c r="I1117" s="32"/>
      <c r="J1117" s="32"/>
      <c r="K1117" s="32"/>
      <c r="L1117" s="32"/>
      <c r="M1117" s="32"/>
      <c r="N1117" s="32"/>
      <c r="O1117" s="32"/>
      <c r="P1117" s="32"/>
      <c r="Q1117" s="32"/>
      <c r="R1117" s="32"/>
      <c r="S1117" s="32"/>
      <c r="T1117" s="32"/>
      <c r="U1117" s="32"/>
      <c r="V1117" s="32"/>
      <c r="W1117" s="32"/>
      <c r="X1117" s="32"/>
      <c r="Y1117" s="32"/>
      <c r="Z1117" s="32"/>
    </row>
    <row r="1118">
      <c r="A1118" s="32" t="str">
        <f>IFERROR(__xludf.DUMMYFUNCTION("""COMPUTED_VALUE"""),"Squid Ink")</f>
        <v>Squid Ink</v>
      </c>
      <c r="B1118" s="32" t="str">
        <f>IFERROR(__xludf.DUMMYFUNCTION("""COMPUTED_VALUE"""),"Crafting Material, roll a d20 to see how many you get if this is a loot drop. (Item)")</f>
        <v>Crafting Material, roll a d20 to see how many you get if this is a loot drop. (Item)</v>
      </c>
      <c r="C1118" s="32"/>
      <c r="D1118" s="32"/>
      <c r="E1118" s="32"/>
      <c r="F1118" s="32"/>
      <c r="G1118" s="32"/>
      <c r="H1118" s="32"/>
      <c r="I1118" s="32"/>
      <c r="J1118" s="32"/>
      <c r="K1118" s="32"/>
      <c r="L1118" s="32"/>
      <c r="M1118" s="32"/>
      <c r="N1118" s="32"/>
      <c r="O1118" s="32"/>
      <c r="P1118" s="32"/>
      <c r="Q1118" s="32"/>
      <c r="R1118" s="32"/>
      <c r="S1118" s="32"/>
      <c r="T1118" s="32"/>
      <c r="U1118" s="32"/>
      <c r="V1118" s="32"/>
      <c r="W1118" s="32"/>
      <c r="X1118" s="32"/>
      <c r="Y1118" s="32"/>
      <c r="Z1118" s="32"/>
    </row>
    <row r="1119">
      <c r="A1119" s="32" t="str">
        <f>IFERROR(__xludf.DUMMYFUNCTION("""COMPUTED_VALUE"""),"Potion of Water Breathing")</f>
        <v>Potion of Water Breathing</v>
      </c>
      <c r="B1119" s="32" t="str">
        <f>IFERROR(__xludf.DUMMYFUNCTION("""COMPUTED_VALUE"""),"Immune to water for for 3 rounds in battle or 3 days of travel. (Item)")</f>
        <v>Immune to water for for 3 rounds in battle or 3 days of travel. (Item)</v>
      </c>
      <c r="C1119" s="32"/>
      <c r="D1119" s="32"/>
      <c r="E1119" s="32"/>
      <c r="F1119" s="32"/>
      <c r="G1119" s="32"/>
      <c r="H1119" s="32"/>
      <c r="I1119" s="32"/>
      <c r="J1119" s="32"/>
      <c r="K1119" s="32"/>
      <c r="L1119" s="32"/>
      <c r="M1119" s="32"/>
      <c r="N1119" s="32"/>
      <c r="O1119" s="32"/>
      <c r="P1119" s="32"/>
      <c r="Q1119" s="32"/>
      <c r="R1119" s="32"/>
      <c r="S1119" s="32"/>
      <c r="T1119" s="32"/>
      <c r="U1119" s="32"/>
      <c r="V1119" s="32"/>
      <c r="W1119" s="32"/>
      <c r="X1119" s="32"/>
      <c r="Y1119" s="32"/>
      <c r="Z1119" s="32"/>
    </row>
    <row r="1120">
      <c r="A1120" s="32" t="str">
        <f>IFERROR(__xludf.DUMMYFUNCTION("""COMPUTED_VALUE"""),"Shark Fin")</f>
        <v>Shark Fin</v>
      </c>
      <c r="B1120" s="32" t="str">
        <f>IFERROR(__xludf.DUMMYFUNCTION("""COMPUTED_VALUE"""),"Restores 10 Hunger, +1 ATK until rest (Crop)")</f>
        <v>Restores 10 Hunger, +1 ATK until rest (Crop)</v>
      </c>
      <c r="C1120" s="32"/>
      <c r="D1120" s="32"/>
      <c r="E1120" s="32"/>
      <c r="F1120" s="32"/>
      <c r="G1120" s="32"/>
      <c r="H1120" s="32"/>
      <c r="I1120" s="32"/>
      <c r="J1120" s="32"/>
      <c r="K1120" s="32"/>
      <c r="L1120" s="32"/>
      <c r="M1120" s="32"/>
      <c r="N1120" s="32"/>
      <c r="O1120" s="32"/>
      <c r="P1120" s="32"/>
      <c r="Q1120" s="32"/>
      <c r="R1120" s="32"/>
      <c r="S1120" s="32"/>
      <c r="T1120" s="32"/>
      <c r="U1120" s="32"/>
      <c r="V1120" s="32"/>
      <c r="W1120" s="32"/>
      <c r="X1120" s="32"/>
      <c r="Y1120" s="32"/>
      <c r="Z1120" s="32"/>
    </row>
    <row r="1121">
      <c r="A1121" s="32" t="str">
        <f>IFERROR(__xludf.DUMMYFUNCTION("""COMPUTED_VALUE"""),"Shark Teeth")</f>
        <v>Shark Teeth</v>
      </c>
      <c r="B1121" s="32" t="str">
        <f>IFERROR(__xludf.DUMMYFUNCTION("""COMPUTED_VALUE"""),"100 = permanently increase Atk by 1 (Item)")</f>
        <v>100 = permanently increase Atk by 1 (Item)</v>
      </c>
      <c r="C1121" s="32"/>
      <c r="D1121" s="32"/>
      <c r="E1121" s="32"/>
      <c r="F1121" s="32"/>
      <c r="G1121" s="32"/>
      <c r="H1121" s="32"/>
      <c r="I1121" s="32"/>
      <c r="J1121" s="32"/>
      <c r="K1121" s="32"/>
      <c r="L1121" s="32"/>
      <c r="M1121" s="32"/>
      <c r="N1121" s="32"/>
      <c r="O1121" s="32"/>
      <c r="P1121" s="32"/>
      <c r="Q1121" s="32"/>
      <c r="R1121" s="32"/>
      <c r="S1121" s="32"/>
      <c r="T1121" s="32"/>
      <c r="U1121" s="32"/>
      <c r="V1121" s="32"/>
      <c r="W1121" s="32"/>
      <c r="X1121" s="32"/>
      <c r="Y1121" s="32"/>
      <c r="Z1121" s="32"/>
    </row>
    <row r="1122">
      <c r="A1122" s="32" t="str">
        <f>IFERROR(__xludf.DUMMYFUNCTION("""COMPUTED_VALUE"""),"Fish")</f>
        <v>Fish</v>
      </c>
      <c r="B1122" s="32" t="str">
        <f>IFERROR(__xludf.DUMMYFUNCTION("""COMPUTED_VALUE"""),"5 Hunger, +100 water Resist until rest (Crop)")</f>
        <v>5 Hunger, +100 water Resist until rest (Crop)</v>
      </c>
      <c r="C1122" s="32"/>
      <c r="D1122" s="32"/>
      <c r="E1122" s="32"/>
      <c r="F1122" s="32"/>
      <c r="G1122" s="32"/>
      <c r="H1122" s="32"/>
      <c r="I1122" s="32"/>
      <c r="J1122" s="32"/>
      <c r="K1122" s="32"/>
      <c r="L1122" s="32"/>
      <c r="M1122" s="32"/>
      <c r="N1122" s="32"/>
      <c r="O1122" s="32"/>
      <c r="P1122" s="32"/>
      <c r="Q1122" s="32"/>
      <c r="R1122" s="32"/>
      <c r="S1122" s="32"/>
      <c r="T1122" s="32"/>
      <c r="U1122" s="32"/>
      <c r="V1122" s="32"/>
      <c r="W1122" s="32"/>
      <c r="X1122" s="32"/>
      <c r="Y1122" s="32"/>
      <c r="Z1122" s="32"/>
    </row>
    <row r="1123">
      <c r="A1123" s="32" t="str">
        <f>IFERROR(__xludf.DUMMYFUNCTION("""COMPUTED_VALUE"""),"Huge Teeth")</f>
        <v>Huge Teeth</v>
      </c>
      <c r="B1123" s="32" t="str">
        <f>IFERROR(__xludf.DUMMYFUNCTION("""COMPUTED_VALUE"""),"Worth 1000G at a shop. (Item)")</f>
        <v>Worth 1000G at a shop. (Item)</v>
      </c>
      <c r="C1123" s="32"/>
      <c r="D1123" s="32"/>
      <c r="E1123" s="32"/>
      <c r="F1123" s="32"/>
      <c r="G1123" s="32"/>
      <c r="H1123" s="32"/>
      <c r="I1123" s="32"/>
      <c r="J1123" s="32"/>
      <c r="K1123" s="32"/>
      <c r="L1123" s="32"/>
      <c r="M1123" s="32"/>
      <c r="N1123" s="32"/>
      <c r="O1123" s="32"/>
      <c r="P1123" s="32"/>
      <c r="Q1123" s="32"/>
      <c r="R1123" s="32"/>
      <c r="S1123" s="32"/>
      <c r="T1123" s="32"/>
      <c r="U1123" s="32"/>
      <c r="V1123" s="32"/>
      <c r="W1123" s="32"/>
      <c r="X1123" s="32"/>
      <c r="Y1123" s="32"/>
      <c r="Z1123" s="32"/>
    </row>
    <row r="1124">
      <c r="A1124" s="32" t="str">
        <f>IFERROR(__xludf.DUMMYFUNCTION("""COMPUTED_VALUE"""),"Enchanted Teeth")</f>
        <v>Enchanted Teeth</v>
      </c>
      <c r="B1124" s="32" t="str">
        <f>IFERROR(__xludf.DUMMYFUNCTION("""COMPUTED_VALUE"""),"Worth 5000G at a shop. (Item)")</f>
        <v>Worth 5000G at a shop. (Item)</v>
      </c>
      <c r="C1124" s="32"/>
      <c r="D1124" s="32"/>
      <c r="E1124" s="32"/>
      <c r="F1124" s="32"/>
      <c r="G1124" s="32"/>
      <c r="H1124" s="32"/>
      <c r="I1124" s="32"/>
      <c r="J1124" s="32"/>
      <c r="K1124" s="32"/>
      <c r="L1124" s="32"/>
      <c r="M1124" s="32"/>
      <c r="N1124" s="32"/>
      <c r="O1124" s="32"/>
      <c r="P1124" s="32"/>
      <c r="Q1124" s="32"/>
      <c r="R1124" s="32"/>
      <c r="S1124" s="32"/>
      <c r="T1124" s="32"/>
      <c r="U1124" s="32"/>
      <c r="V1124" s="32"/>
      <c r="W1124" s="32"/>
      <c r="X1124" s="32"/>
      <c r="Y1124" s="32"/>
      <c r="Z1124" s="32"/>
    </row>
    <row r="1125">
      <c r="A1125" s="32" t="str">
        <f>IFERROR(__xludf.DUMMYFUNCTION("""COMPUTED_VALUE"""),"Sea Dinosaur Bones")</f>
        <v>Sea Dinosaur Bones</v>
      </c>
      <c r="B1125" s="32" t="str">
        <f>IFERROR(__xludf.DUMMYFUNCTION("""COMPUTED_VALUE"""),"Crafting Material, roll a d20 to see how many you get if this is a loot drop. (Item)")</f>
        <v>Crafting Material, roll a d20 to see how many you get if this is a loot drop. (Item)</v>
      </c>
      <c r="C1125" s="32"/>
      <c r="D1125" s="32"/>
      <c r="E1125" s="32"/>
      <c r="F1125" s="32"/>
      <c r="G1125" s="32"/>
      <c r="H1125" s="32"/>
      <c r="I1125" s="32"/>
      <c r="J1125" s="32"/>
      <c r="K1125" s="32"/>
      <c r="L1125" s="32"/>
      <c r="M1125" s="32"/>
      <c r="N1125" s="32"/>
      <c r="O1125" s="32"/>
      <c r="P1125" s="32"/>
      <c r="Q1125" s="32"/>
      <c r="R1125" s="32"/>
      <c r="S1125" s="32"/>
      <c r="T1125" s="32"/>
      <c r="U1125" s="32"/>
      <c r="V1125" s="32"/>
      <c r="W1125" s="32"/>
      <c r="X1125" s="32"/>
      <c r="Y1125" s="32"/>
      <c r="Z1125" s="32"/>
    </row>
    <row r="1126">
      <c r="A1126" s="32" t="str">
        <f>IFERROR(__xludf.DUMMYFUNCTION("""COMPUTED_VALUE"""),"Ancient Sea Dinosaur Egg")</f>
        <v>Ancient Sea Dinosaur Egg</v>
      </c>
      <c r="B1126" s="32" t="str">
        <f>IFERROR(__xludf.DUMMYFUNCTION("""COMPUTED_VALUE""")," (Item)")</f>
        <v> (Item)</v>
      </c>
      <c r="C1126" s="32"/>
      <c r="D1126" s="32"/>
      <c r="E1126" s="32"/>
      <c r="F1126" s="32"/>
      <c r="G1126" s="32"/>
      <c r="H1126" s="32"/>
      <c r="I1126" s="32"/>
      <c r="J1126" s="32"/>
      <c r="K1126" s="32"/>
      <c r="L1126" s="32"/>
      <c r="M1126" s="32"/>
      <c r="N1126" s="32"/>
      <c r="O1126" s="32"/>
      <c r="P1126" s="32"/>
      <c r="Q1126" s="32"/>
      <c r="R1126" s="32"/>
      <c r="S1126" s="32"/>
      <c r="T1126" s="32"/>
      <c r="U1126" s="32"/>
      <c r="V1126" s="32"/>
      <c r="W1126" s="32"/>
      <c r="X1126" s="32"/>
      <c r="Y1126" s="32"/>
      <c r="Z1126" s="32"/>
    </row>
    <row r="1127">
      <c r="A1127" s="32" t="str">
        <f>IFERROR(__xludf.DUMMYFUNCTION("""COMPUTED_VALUE"""),"Water Abyss Key")</f>
        <v>Water Abyss Key</v>
      </c>
      <c r="B1127" s="32" t="str">
        <f>IFERROR(__xludf.DUMMYFUNCTION("""COMPUTED_VALUE"""),"Gain access to the Abyss Dungeon. Cannot be duplicated (Item)")</f>
        <v>Gain access to the Abyss Dungeon. Cannot be duplicated (Item)</v>
      </c>
      <c r="C1127" s="32"/>
      <c r="D1127" s="32"/>
      <c r="E1127" s="32"/>
      <c r="F1127" s="32"/>
      <c r="G1127" s="32"/>
      <c r="H1127" s="32"/>
      <c r="I1127" s="32"/>
      <c r="J1127" s="32"/>
      <c r="K1127" s="32"/>
      <c r="L1127" s="32"/>
      <c r="M1127" s="32"/>
      <c r="N1127" s="32"/>
      <c r="O1127" s="32"/>
      <c r="P1127" s="32"/>
      <c r="Q1127" s="32"/>
      <c r="R1127" s="32"/>
      <c r="S1127" s="32"/>
      <c r="T1127" s="32"/>
      <c r="U1127" s="32"/>
      <c r="V1127" s="32"/>
      <c r="W1127" s="32"/>
      <c r="X1127" s="32"/>
      <c r="Y1127" s="32"/>
      <c r="Z1127" s="32"/>
    </row>
    <row r="1128">
      <c r="A1128" s="32" t="str">
        <f>IFERROR(__xludf.DUMMYFUNCTION("""COMPUTED_VALUE"""),"Fire Diamond")</f>
        <v>Fire Diamond</v>
      </c>
      <c r="B1128" s="32" t="str">
        <f>IFERROR(__xludf.DUMMYFUNCTION("""COMPUTED_VALUE"""),"Crafting Material, roll a d20 to see how many you get if this is a loot drop. (Item)")</f>
        <v>Crafting Material, roll a d20 to see how many you get if this is a loot drop. (Item)</v>
      </c>
      <c r="C1128" s="32"/>
      <c r="D1128" s="32"/>
      <c r="E1128" s="32"/>
      <c r="F1128" s="32"/>
      <c r="G1128" s="32"/>
      <c r="H1128" s="32"/>
      <c r="I1128" s="32"/>
      <c r="J1128" s="32"/>
      <c r="K1128" s="32"/>
      <c r="L1128" s="32"/>
      <c r="M1128" s="32"/>
      <c r="N1128" s="32"/>
      <c r="O1128" s="32"/>
      <c r="P1128" s="32"/>
      <c r="Q1128" s="32"/>
      <c r="R1128" s="32"/>
      <c r="S1128" s="32"/>
      <c r="T1128" s="32"/>
      <c r="U1128" s="32"/>
      <c r="V1128" s="32"/>
      <c r="W1128" s="32"/>
      <c r="X1128" s="32"/>
      <c r="Y1128" s="32"/>
      <c r="Z1128" s="32"/>
    </row>
    <row r="1129">
      <c r="A1129" s="32" t="str">
        <f>IFERROR(__xludf.DUMMYFUNCTION("""COMPUTED_VALUE"""),"Giant Fire Diamond")</f>
        <v>Giant Fire Diamond</v>
      </c>
      <c r="B1129" s="32" t="str">
        <f>IFERROR(__xludf.DUMMYFUNCTION("""COMPUTED_VALUE"""),"Crafting Material, roll a d20 to see how many you get if this is a loot drop. (Item)")</f>
        <v>Crafting Material, roll a d20 to see how many you get if this is a loot drop. (Item)</v>
      </c>
      <c r="C1129" s="32"/>
      <c r="D1129" s="32"/>
      <c r="E1129" s="32"/>
      <c r="F1129" s="32"/>
      <c r="G1129" s="32"/>
      <c r="H1129" s="32"/>
      <c r="I1129" s="32"/>
      <c r="J1129" s="32"/>
      <c r="K1129" s="32"/>
      <c r="L1129" s="32"/>
      <c r="M1129" s="32"/>
      <c r="N1129" s="32"/>
      <c r="O1129" s="32"/>
      <c r="P1129" s="32"/>
      <c r="Q1129" s="32"/>
      <c r="R1129" s="32"/>
      <c r="S1129" s="32"/>
      <c r="T1129" s="32"/>
      <c r="U1129" s="32"/>
      <c r="V1129" s="32"/>
      <c r="W1129" s="32"/>
      <c r="X1129" s="32"/>
      <c r="Y1129" s="32"/>
      <c r="Z1129" s="32"/>
    </row>
    <row r="1130">
      <c r="A1130" s="32" t="str">
        <f>IFERROR(__xludf.DUMMYFUNCTION("""COMPUTED_VALUE"""),"Heatmore Flame Golem Soul")</f>
        <v>Heatmore Flame Golem Soul</v>
      </c>
      <c r="B1130" s="32" t="str">
        <f>IFERROR(__xludf.DUMMYFUNCTION("""COMPUTED_VALUE""")," (Item)")</f>
        <v> (Item)</v>
      </c>
      <c r="C1130" s="32"/>
      <c r="D1130" s="32"/>
      <c r="E1130" s="32"/>
      <c r="F1130" s="32"/>
      <c r="G1130" s="32"/>
      <c r="H1130" s="32"/>
      <c r="I1130" s="32"/>
      <c r="J1130" s="32"/>
      <c r="K1130" s="32"/>
      <c r="L1130" s="32"/>
      <c r="M1130" s="32"/>
      <c r="N1130" s="32"/>
      <c r="O1130" s="32"/>
      <c r="P1130" s="32"/>
      <c r="Q1130" s="32"/>
      <c r="R1130" s="32"/>
      <c r="S1130" s="32"/>
      <c r="T1130" s="32"/>
      <c r="U1130" s="32"/>
      <c r="V1130" s="32"/>
      <c r="W1130" s="32"/>
      <c r="X1130" s="32"/>
      <c r="Y1130" s="32"/>
      <c r="Z1130" s="32"/>
    </row>
    <row r="1131">
      <c r="A1131" s="32" t="str">
        <f>IFERROR(__xludf.DUMMYFUNCTION("""COMPUTED_VALUE"""),"Flaming Feathers")</f>
        <v>Flaming Feathers</v>
      </c>
      <c r="B1131" s="32" t="str">
        <f>IFERROR(__xludf.DUMMYFUNCTION("""COMPUTED_VALUE"""),"Crafting Material, roll a d20 to see how many you get if this is a loot drop. (Item)")</f>
        <v>Crafting Material, roll a d20 to see how many you get if this is a loot drop. (Item)</v>
      </c>
      <c r="C1131" s="32"/>
      <c r="D1131" s="32"/>
      <c r="E1131" s="32"/>
      <c r="F1131" s="32"/>
      <c r="G1131" s="32"/>
      <c r="H1131" s="32"/>
      <c r="I1131" s="32"/>
      <c r="J1131" s="32"/>
      <c r="K1131" s="32"/>
      <c r="L1131" s="32"/>
      <c r="M1131" s="32"/>
      <c r="N1131" s="32"/>
      <c r="O1131" s="32"/>
      <c r="P1131" s="32"/>
      <c r="Q1131" s="32"/>
      <c r="R1131" s="32"/>
      <c r="S1131" s="32"/>
      <c r="T1131" s="32"/>
      <c r="U1131" s="32"/>
      <c r="V1131" s="32"/>
      <c r="W1131" s="32"/>
      <c r="X1131" s="32"/>
      <c r="Y1131" s="32"/>
      <c r="Z1131" s="32"/>
    </row>
    <row r="1132">
      <c r="A1132" s="32" t="str">
        <f>IFERROR(__xludf.DUMMYFUNCTION("""COMPUTED_VALUE"""),"Flaming Horns")</f>
        <v>Flaming Horns</v>
      </c>
      <c r="B1132" s="32" t="str">
        <f>IFERROR(__xludf.DUMMYFUNCTION("""COMPUTED_VALUE"""),"Crafting Material, roll a d20 to see how many you get if this is a loot drop. (Item)")</f>
        <v>Crafting Material, roll a d20 to see how many you get if this is a loot drop. (Item)</v>
      </c>
      <c r="C1132" s="32"/>
      <c r="D1132" s="32"/>
      <c r="E1132" s="32"/>
      <c r="F1132" s="32"/>
      <c r="G1132" s="32"/>
      <c r="H1132" s="32"/>
      <c r="I1132" s="32"/>
      <c r="J1132" s="32"/>
      <c r="K1132" s="32"/>
      <c r="L1132" s="32"/>
      <c r="M1132" s="32"/>
      <c r="N1132" s="32"/>
      <c r="O1132" s="32"/>
      <c r="P1132" s="32"/>
      <c r="Q1132" s="32"/>
      <c r="R1132" s="32"/>
      <c r="S1132" s="32"/>
      <c r="T1132" s="32"/>
      <c r="U1132" s="32"/>
      <c r="V1132" s="32"/>
      <c r="W1132" s="32"/>
      <c r="X1132" s="32"/>
      <c r="Y1132" s="32"/>
      <c r="Z1132" s="32"/>
    </row>
    <row r="1133">
      <c r="A1133" s="32" t="str">
        <f>IFERROR(__xludf.DUMMYFUNCTION("""COMPUTED_VALUE"""),"Cooked Yak Meat")</f>
        <v>Cooked Yak Meat</v>
      </c>
      <c r="B1133" s="32" t="str">
        <f>IFERROR(__xludf.DUMMYFUNCTION("""COMPUTED_VALUE"""),"Restores 10 hunger and energy (Crop)")</f>
        <v>Restores 10 hunger and energy (Crop)</v>
      </c>
      <c r="C1133" s="32"/>
      <c r="D1133" s="32"/>
      <c r="E1133" s="32"/>
      <c r="F1133" s="32"/>
      <c r="G1133" s="32"/>
      <c r="H1133" s="32"/>
      <c r="I1133" s="32"/>
      <c r="J1133" s="32"/>
      <c r="K1133" s="32"/>
      <c r="L1133" s="32"/>
      <c r="M1133" s="32"/>
      <c r="N1133" s="32"/>
      <c r="O1133" s="32"/>
      <c r="P1133" s="32"/>
      <c r="Q1133" s="32"/>
      <c r="R1133" s="32"/>
      <c r="S1133" s="32"/>
      <c r="T1133" s="32"/>
      <c r="U1133" s="32"/>
      <c r="V1133" s="32"/>
      <c r="W1133" s="32"/>
      <c r="X1133" s="32"/>
      <c r="Y1133" s="32"/>
      <c r="Z1133" s="32"/>
    </row>
    <row r="1134">
      <c r="A1134" s="32" t="str">
        <f>IFERROR(__xludf.DUMMYFUNCTION("""COMPUTED_VALUE"""),"Leaf Of The Ancient Tree Of Flames")</f>
        <v>Leaf Of The Ancient Tree Of Flames</v>
      </c>
      <c r="B1134" s="32" t="str">
        <f>IFERROR(__xludf.DUMMYFUNCTION("""COMPUTED_VALUE"""),"Gain 1 free fire power of choosing. (Can only be obtained once per player) (Item)")</f>
        <v>Gain 1 free fire power of choosing. (Can only be obtained once per player) (Item)</v>
      </c>
      <c r="C1134" s="32"/>
      <c r="D1134" s="32"/>
      <c r="E1134" s="32"/>
      <c r="F1134" s="32"/>
      <c r="G1134" s="32"/>
      <c r="H1134" s="32"/>
      <c r="I1134" s="32"/>
      <c r="J1134" s="32"/>
      <c r="K1134" s="32"/>
      <c r="L1134" s="32"/>
      <c r="M1134" s="32"/>
      <c r="N1134" s="32"/>
      <c r="O1134" s="32"/>
      <c r="P1134" s="32"/>
      <c r="Q1134" s="32"/>
      <c r="R1134" s="32"/>
      <c r="S1134" s="32"/>
      <c r="T1134" s="32"/>
      <c r="U1134" s="32"/>
      <c r="V1134" s="32"/>
      <c r="W1134" s="32"/>
      <c r="X1134" s="32"/>
      <c r="Y1134" s="32"/>
      <c r="Z1134" s="32"/>
    </row>
    <row r="1135">
      <c r="A1135" s="32" t="str">
        <f>IFERROR(__xludf.DUMMYFUNCTION("""COMPUTED_VALUE"""),"Ancient Volcanic Worm Egg")</f>
        <v>Ancient Volcanic Worm Egg</v>
      </c>
      <c r="B1135" s="32" t="str">
        <f>IFERROR(__xludf.DUMMYFUNCTION("""COMPUTED_VALUE""")," (Item)")</f>
        <v> (Item)</v>
      </c>
      <c r="C1135" s="32"/>
      <c r="D1135" s="32"/>
      <c r="E1135" s="32"/>
      <c r="F1135" s="32"/>
      <c r="G1135" s="32"/>
      <c r="H1135" s="32"/>
      <c r="I1135" s="32"/>
      <c r="J1135" s="32"/>
      <c r="K1135" s="32"/>
      <c r="L1135" s="32"/>
      <c r="M1135" s="32"/>
      <c r="N1135" s="32"/>
      <c r="O1135" s="32"/>
      <c r="P1135" s="32"/>
      <c r="Q1135" s="32"/>
      <c r="R1135" s="32"/>
      <c r="S1135" s="32"/>
      <c r="T1135" s="32"/>
      <c r="U1135" s="32"/>
      <c r="V1135" s="32"/>
      <c r="W1135" s="32"/>
      <c r="X1135" s="32"/>
      <c r="Y1135" s="32"/>
      <c r="Z1135" s="32"/>
    </row>
    <row r="1136">
      <c r="A1136" s="32" t="str">
        <f>IFERROR(__xludf.DUMMYFUNCTION("""COMPUTED_VALUE"""),"Ancient Volcanic Worm Core")</f>
        <v>Ancient Volcanic Worm Core</v>
      </c>
      <c r="B1136" s="32" t="str">
        <f>IFERROR(__xludf.DUMMYFUNCTION("""COMPUTED_VALUE"""),"Consume to gain permanent 2000 fire resistance. (Can only obtain 1 per player) (Item)")</f>
        <v>Consume to gain permanent 2000 fire resistance. (Can only obtain 1 per player) (Item)</v>
      </c>
      <c r="C1136" s="32"/>
      <c r="D1136" s="32"/>
      <c r="E1136" s="32"/>
      <c r="F1136" s="32"/>
      <c r="G1136" s="32"/>
      <c r="H1136" s="32"/>
      <c r="I1136" s="32"/>
      <c r="J1136" s="32"/>
      <c r="K1136" s="32"/>
      <c r="L1136" s="32"/>
      <c r="M1136" s="32"/>
      <c r="N1136" s="32"/>
      <c r="O1136" s="32"/>
      <c r="P1136" s="32"/>
      <c r="Q1136" s="32"/>
      <c r="R1136" s="32"/>
      <c r="S1136" s="32"/>
      <c r="T1136" s="32"/>
      <c r="U1136" s="32"/>
      <c r="V1136" s="32"/>
      <c r="W1136" s="32"/>
      <c r="X1136" s="32"/>
      <c r="Y1136" s="32"/>
      <c r="Z1136" s="32"/>
    </row>
    <row r="1137">
      <c r="A1137" s="32" t="str">
        <f>IFERROR(__xludf.DUMMYFUNCTION("""COMPUTED_VALUE"""),"Lava Tiger Skin")</f>
        <v>Lava Tiger Skin</v>
      </c>
      <c r="B1137" s="32" t="str">
        <f>IFERROR(__xludf.DUMMYFUNCTION("""COMPUTED_VALUE"""),"Crafting Material, roll a d20 to see how many you get if this is a loot drop. (Item)")</f>
        <v>Crafting Material, roll a d20 to see how many you get if this is a loot drop. (Item)</v>
      </c>
      <c r="C1137" s="32"/>
      <c r="D1137" s="32"/>
      <c r="E1137" s="32"/>
      <c r="F1137" s="32"/>
      <c r="G1137" s="32"/>
      <c r="H1137" s="32"/>
      <c r="I1137" s="32"/>
      <c r="J1137" s="32"/>
      <c r="K1137" s="32"/>
      <c r="L1137" s="32"/>
      <c r="M1137" s="32"/>
      <c r="N1137" s="32"/>
      <c r="O1137" s="32"/>
      <c r="P1137" s="32"/>
      <c r="Q1137" s="32"/>
      <c r="R1137" s="32"/>
      <c r="S1137" s="32"/>
      <c r="T1137" s="32"/>
      <c r="U1137" s="32"/>
      <c r="V1137" s="32"/>
      <c r="W1137" s="32"/>
      <c r="X1137" s="32"/>
      <c r="Y1137" s="32"/>
      <c r="Z1137" s="32"/>
    </row>
    <row r="1138">
      <c r="A1138" s="32" t="str">
        <f>IFERROR(__xludf.DUMMYFUNCTION("""COMPUTED_VALUE"""),"Cooked Tiger Meat")</f>
        <v>Cooked Tiger Meat</v>
      </c>
      <c r="B1138" s="32" t="str">
        <f>IFERROR(__xludf.DUMMYFUNCTION("""COMPUTED_VALUE"""),"restores 20 hunger and energy (Crop)")</f>
        <v>restores 20 hunger and energy (Crop)</v>
      </c>
      <c r="C1138" s="32"/>
      <c r="D1138" s="32"/>
      <c r="E1138" s="32"/>
      <c r="F1138" s="32"/>
      <c r="G1138" s="32"/>
      <c r="H1138" s="32"/>
      <c r="I1138" s="32"/>
      <c r="J1138" s="32"/>
      <c r="K1138" s="32"/>
      <c r="L1138" s="32"/>
      <c r="M1138" s="32"/>
      <c r="N1138" s="32"/>
      <c r="O1138" s="32"/>
      <c r="P1138" s="32"/>
      <c r="Q1138" s="32"/>
      <c r="R1138" s="32"/>
      <c r="S1138" s="32"/>
      <c r="T1138" s="32"/>
      <c r="U1138" s="32"/>
      <c r="V1138" s="32"/>
      <c r="W1138" s="32"/>
      <c r="X1138" s="32"/>
      <c r="Y1138" s="32"/>
      <c r="Z1138" s="32"/>
    </row>
    <row r="1139">
      <c r="A1139" s="32" t="str">
        <f>IFERROR(__xludf.DUMMYFUNCTION("""COMPUTED_VALUE"""),"Liches Eye")</f>
        <v>Liches Eye</v>
      </c>
      <c r="B1139" s="32" t="str">
        <f>IFERROR(__xludf.DUMMYFUNCTION("""COMPUTED_VALUE"""),"Consumable, 100= permanent +5 to accuracy (Item)")</f>
        <v>Consumable, 100= permanent +5 to accuracy (Item)</v>
      </c>
      <c r="C1139" s="32"/>
      <c r="D1139" s="32"/>
      <c r="E1139" s="32"/>
      <c r="F1139" s="32"/>
      <c r="G1139" s="32"/>
      <c r="H1139" s="32"/>
      <c r="I1139" s="32"/>
      <c r="J1139" s="32"/>
      <c r="K1139" s="32"/>
      <c r="L1139" s="32"/>
      <c r="M1139" s="32"/>
      <c r="N1139" s="32"/>
      <c r="O1139" s="32"/>
      <c r="P1139" s="32"/>
      <c r="Q1139" s="32"/>
      <c r="R1139" s="32"/>
      <c r="S1139" s="32"/>
      <c r="T1139" s="32"/>
      <c r="U1139" s="32"/>
      <c r="V1139" s="32"/>
      <c r="W1139" s="32"/>
      <c r="X1139" s="32"/>
      <c r="Y1139" s="32"/>
      <c r="Z1139" s="32"/>
    </row>
    <row r="1140">
      <c r="A1140" s="32" t="str">
        <f>IFERROR(__xludf.DUMMYFUNCTION("""COMPUTED_VALUE"""),"Rank 9 Fire Tome")</f>
        <v>Rank 9 Fire Tome</v>
      </c>
      <c r="B1140" s="32" t="str">
        <f>IFERROR(__xludf.DUMMYFUNCTION("""COMPUTED_VALUE"""),"Can only obtain 1 per player (Item)")</f>
        <v>Can only obtain 1 per player (Item)</v>
      </c>
      <c r="C1140" s="32"/>
      <c r="D1140" s="32"/>
      <c r="E1140" s="32"/>
      <c r="F1140" s="32"/>
      <c r="G1140" s="32"/>
      <c r="H1140" s="32"/>
      <c r="I1140" s="32"/>
      <c r="J1140" s="32"/>
      <c r="K1140" s="32"/>
      <c r="L1140" s="32"/>
      <c r="M1140" s="32"/>
      <c r="N1140" s="32"/>
      <c r="O1140" s="32"/>
      <c r="P1140" s="32"/>
      <c r="Q1140" s="32"/>
      <c r="R1140" s="32"/>
      <c r="S1140" s="32"/>
      <c r="T1140" s="32"/>
      <c r="U1140" s="32"/>
      <c r="V1140" s="32"/>
      <c r="W1140" s="32"/>
      <c r="X1140" s="32"/>
      <c r="Y1140" s="32"/>
      <c r="Z1140" s="32"/>
    </row>
    <row r="1141">
      <c r="A1141" s="32" t="str">
        <f>IFERROR(__xludf.DUMMYFUNCTION("""COMPUTED_VALUE"""),"Ancient Fire Serpent Egg")</f>
        <v>Ancient Fire Serpent Egg</v>
      </c>
      <c r="B1141" s="32" t="str">
        <f>IFERROR(__xludf.DUMMYFUNCTION("""COMPUTED_VALUE""")," (Item)")</f>
        <v> (Item)</v>
      </c>
      <c r="C1141" s="32"/>
      <c r="D1141" s="32"/>
      <c r="E1141" s="32"/>
      <c r="F1141" s="32"/>
      <c r="G1141" s="32"/>
      <c r="H1141" s="32"/>
      <c r="I1141" s="32"/>
      <c r="J1141" s="32"/>
      <c r="K1141" s="32"/>
      <c r="L1141" s="32"/>
      <c r="M1141" s="32"/>
      <c r="N1141" s="32"/>
      <c r="O1141" s="32"/>
      <c r="P1141" s="32"/>
      <c r="Q1141" s="32"/>
      <c r="R1141" s="32"/>
      <c r="S1141" s="32"/>
      <c r="T1141" s="32"/>
      <c r="U1141" s="32"/>
      <c r="V1141" s="32"/>
      <c r="W1141" s="32"/>
      <c r="X1141" s="32"/>
      <c r="Y1141" s="32"/>
      <c r="Z1141" s="32"/>
    </row>
    <row r="1142">
      <c r="A1142" s="32" t="str">
        <f>IFERROR(__xludf.DUMMYFUNCTION("""COMPUTED_VALUE"""),"Demons Eye")</f>
        <v>Demons Eye</v>
      </c>
      <c r="B1142" s="32" t="str">
        <f>IFERROR(__xludf.DUMMYFUNCTION("""COMPUTED_VALUE"""),"Crafting Material, roll a d20 to see how many you get if this is a loot drop. (Item)")</f>
        <v>Crafting Material, roll a d20 to see how many you get if this is a loot drop. (Item)</v>
      </c>
      <c r="C1142" s="32"/>
      <c r="D1142" s="32"/>
      <c r="E1142" s="32"/>
      <c r="F1142" s="32"/>
      <c r="G1142" s="32"/>
      <c r="H1142" s="32"/>
      <c r="I1142" s="32"/>
      <c r="J1142" s="32"/>
      <c r="K1142" s="32"/>
      <c r="L1142" s="32"/>
      <c r="M1142" s="32"/>
      <c r="N1142" s="32"/>
      <c r="O1142" s="32"/>
      <c r="P1142" s="32"/>
      <c r="Q1142" s="32"/>
      <c r="R1142" s="32"/>
      <c r="S1142" s="32"/>
      <c r="T1142" s="32"/>
      <c r="U1142" s="32"/>
      <c r="V1142" s="32"/>
      <c r="W1142" s="32"/>
      <c r="X1142" s="32"/>
      <c r="Y1142" s="32"/>
      <c r="Z1142" s="32"/>
    </row>
    <row r="1143">
      <c r="A1143" s="32" t="str">
        <f>IFERROR(__xludf.DUMMYFUNCTION("""COMPUTED_VALUE"""),"Demon Core")</f>
        <v>Demon Core</v>
      </c>
      <c r="B1143" s="32" t="str">
        <f>IFERROR(__xludf.DUMMYFUNCTION("""COMPUTED_VALUE"""),"Consumable, 1 free chaos power of choice. (Can only obtain 1 per player) (Item)")</f>
        <v>Consumable, 1 free chaos power of choice. (Can only obtain 1 per player) (Item)</v>
      </c>
      <c r="C1143" s="32"/>
      <c r="D1143" s="32"/>
      <c r="E1143" s="32"/>
      <c r="F1143" s="32"/>
      <c r="G1143" s="32"/>
      <c r="H1143" s="32"/>
      <c r="I1143" s="32"/>
      <c r="J1143" s="32"/>
      <c r="K1143" s="32"/>
      <c r="L1143" s="32"/>
      <c r="M1143" s="32"/>
      <c r="N1143" s="32"/>
      <c r="O1143" s="32"/>
      <c r="P1143" s="32"/>
      <c r="Q1143" s="32"/>
      <c r="R1143" s="32"/>
      <c r="S1143" s="32"/>
      <c r="T1143" s="32"/>
      <c r="U1143" s="32"/>
      <c r="V1143" s="32"/>
      <c r="W1143" s="32"/>
      <c r="X1143" s="32"/>
      <c r="Y1143" s="32"/>
      <c r="Z1143" s="32"/>
    </row>
    <row r="1144">
      <c r="A1144" s="32" t="str">
        <f>IFERROR(__xludf.DUMMYFUNCTION("""COMPUTED_VALUE"""),"Sentinel Core")</f>
        <v>Sentinel Core</v>
      </c>
      <c r="B1144" s="32" t="str">
        <f>IFERROR(__xludf.DUMMYFUNCTION("""COMPUTED_VALUE"""),"Summon an Ancient Fire Sentinel to battle, Level determined by DM/GM. Can only be used once. (Item)")</f>
        <v>Summon an Ancient Fire Sentinel to battle, Level determined by DM/GM. Can only be used once. (Item)</v>
      </c>
      <c r="C1144" s="32"/>
      <c r="D1144" s="32"/>
      <c r="E1144" s="32"/>
      <c r="F1144" s="32"/>
      <c r="G1144" s="32"/>
      <c r="H1144" s="32"/>
      <c r="I1144" s="32"/>
      <c r="J1144" s="32"/>
      <c r="K1144" s="32"/>
      <c r="L1144" s="32"/>
      <c r="M1144" s="32"/>
      <c r="N1144" s="32"/>
      <c r="O1144" s="32"/>
      <c r="P1144" s="32"/>
      <c r="Q1144" s="32"/>
      <c r="R1144" s="32"/>
      <c r="S1144" s="32"/>
      <c r="T1144" s="32"/>
      <c r="U1144" s="32"/>
      <c r="V1144" s="32"/>
      <c r="W1144" s="32"/>
      <c r="X1144" s="32"/>
      <c r="Y1144" s="32"/>
      <c r="Z1144" s="32"/>
    </row>
    <row r="1145">
      <c r="A1145" s="32" t="str">
        <f>IFERROR(__xludf.DUMMYFUNCTION("""COMPUTED_VALUE"""),"Fire Gem")</f>
        <v>Fire Gem</v>
      </c>
      <c r="B1145" s="32" t="str">
        <f>IFERROR(__xludf.DUMMYFUNCTION("""COMPUTED_VALUE"""),"Crafting Material, roll a d20 to see how many you get if this is a loot drop. (Item)")</f>
        <v>Crafting Material, roll a d20 to see how many you get if this is a loot drop. (Item)</v>
      </c>
      <c r="C1145" s="32"/>
      <c r="D1145" s="32"/>
      <c r="E1145" s="32"/>
      <c r="F1145" s="32"/>
      <c r="G1145" s="32"/>
      <c r="H1145" s="32"/>
      <c r="I1145" s="32"/>
      <c r="J1145" s="32"/>
      <c r="K1145" s="32"/>
      <c r="L1145" s="32"/>
      <c r="M1145" s="32"/>
      <c r="N1145" s="32"/>
      <c r="O1145" s="32"/>
      <c r="P1145" s="32"/>
      <c r="Q1145" s="32"/>
      <c r="R1145" s="32"/>
      <c r="S1145" s="32"/>
      <c r="T1145" s="32"/>
      <c r="U1145" s="32"/>
      <c r="V1145" s="32"/>
      <c r="W1145" s="32"/>
      <c r="X1145" s="32"/>
      <c r="Y1145" s="32"/>
      <c r="Z1145" s="32"/>
    </row>
    <row r="1146">
      <c r="A1146" s="32" t="str">
        <f>IFERROR(__xludf.DUMMYFUNCTION("""COMPUTED_VALUE"""),"Aquatic Diamond")</f>
        <v>Aquatic Diamond</v>
      </c>
      <c r="B1146" s="32" t="str">
        <f>IFERROR(__xludf.DUMMYFUNCTION("""COMPUTED_VALUE"""),"Crafting Material, roll a d20 to see how many you get if this is a loot drop. (Item)")</f>
        <v>Crafting Material, roll a d20 to see how many you get if this is a loot drop. (Item)</v>
      </c>
      <c r="C1146" s="32"/>
      <c r="D1146" s="32"/>
      <c r="E1146" s="32"/>
      <c r="F1146" s="32"/>
      <c r="G1146" s="32"/>
      <c r="H1146" s="32"/>
      <c r="I1146" s="32"/>
      <c r="J1146" s="32"/>
      <c r="K1146" s="32"/>
      <c r="L1146" s="32"/>
      <c r="M1146" s="32"/>
      <c r="N1146" s="32"/>
      <c r="O1146" s="32"/>
      <c r="P1146" s="32"/>
      <c r="Q1146" s="32"/>
      <c r="R1146" s="32"/>
      <c r="S1146" s="32"/>
      <c r="T1146" s="32"/>
      <c r="U1146" s="32"/>
      <c r="V1146" s="32"/>
      <c r="W1146" s="32"/>
      <c r="X1146" s="32"/>
      <c r="Y1146" s="32"/>
      <c r="Z1146" s="32"/>
    </row>
    <row r="1147">
      <c r="A1147" s="32" t="str">
        <f>IFERROR(__xludf.DUMMYFUNCTION("""COMPUTED_VALUE"""),"Corrupted Twilight Knight Soul")</f>
        <v>Corrupted Twilight Knight Soul</v>
      </c>
      <c r="B1147" s="32" t="str">
        <f>IFERROR(__xludf.DUMMYFUNCTION("""COMPUTED_VALUE""")," (Item)")</f>
        <v> (Item)</v>
      </c>
      <c r="C1147" s="32"/>
      <c r="D1147" s="32"/>
      <c r="E1147" s="32"/>
      <c r="F1147" s="32"/>
      <c r="G1147" s="32"/>
      <c r="H1147" s="32"/>
      <c r="I1147" s="32"/>
      <c r="J1147" s="32"/>
      <c r="K1147" s="32"/>
      <c r="L1147" s="32"/>
      <c r="M1147" s="32"/>
      <c r="N1147" s="32"/>
      <c r="O1147" s="32"/>
      <c r="P1147" s="32"/>
      <c r="Q1147" s="32"/>
      <c r="R1147" s="32"/>
      <c r="S1147" s="32"/>
      <c r="T1147" s="32"/>
      <c r="U1147" s="32"/>
      <c r="V1147" s="32"/>
      <c r="W1147" s="32"/>
      <c r="X1147" s="32"/>
      <c r="Y1147" s="32"/>
      <c r="Z1147" s="32"/>
    </row>
    <row r="1148">
      <c r="A1148" s="32" t="str">
        <f>IFERROR(__xludf.DUMMYFUNCTION("""COMPUTED_VALUE"""),"Hay")</f>
        <v>Hay</v>
      </c>
      <c r="B1148" s="32" t="str">
        <f>IFERROR(__xludf.DUMMYFUNCTION("""COMPUTED_VALUE"""),"Restores 5 hunger. (Crop)")</f>
        <v>Restores 5 hunger. (Crop)</v>
      </c>
      <c r="C1148" s="32"/>
      <c r="D1148" s="32"/>
      <c r="E1148" s="32"/>
      <c r="F1148" s="32"/>
      <c r="G1148" s="32"/>
      <c r="H1148" s="32"/>
      <c r="I1148" s="32"/>
      <c r="J1148" s="32"/>
      <c r="K1148" s="32"/>
      <c r="L1148" s="32"/>
      <c r="M1148" s="32"/>
      <c r="N1148" s="32"/>
      <c r="O1148" s="32"/>
      <c r="P1148" s="32"/>
      <c r="Q1148" s="32"/>
      <c r="R1148" s="32"/>
      <c r="S1148" s="32"/>
      <c r="T1148" s="32"/>
      <c r="U1148" s="32"/>
      <c r="V1148" s="32"/>
      <c r="W1148" s="32"/>
      <c r="X1148" s="32"/>
      <c r="Y1148" s="32"/>
      <c r="Z1148" s="32"/>
    </row>
    <row r="1149">
      <c r="A1149" s="32" t="str">
        <f>IFERROR(__xludf.DUMMYFUNCTION("""COMPUTED_VALUE"""),"Shadow Suit of armor Soul")</f>
        <v>Shadow Suit of armor Soul</v>
      </c>
      <c r="B1149" s="32" t="str">
        <f>IFERROR(__xludf.DUMMYFUNCTION("""COMPUTED_VALUE""")," (Item)")</f>
        <v> (Item)</v>
      </c>
      <c r="C1149" s="32"/>
      <c r="D1149" s="32"/>
      <c r="E1149" s="32"/>
      <c r="F1149" s="32"/>
      <c r="G1149" s="32"/>
      <c r="H1149" s="32"/>
      <c r="I1149" s="32"/>
      <c r="J1149" s="32"/>
      <c r="K1149" s="32"/>
      <c r="L1149" s="32"/>
      <c r="M1149" s="32"/>
      <c r="N1149" s="32"/>
      <c r="O1149" s="32"/>
      <c r="P1149" s="32"/>
      <c r="Q1149" s="32"/>
      <c r="R1149" s="32"/>
      <c r="S1149" s="32"/>
      <c r="T1149" s="32"/>
      <c r="U1149" s="32"/>
      <c r="V1149" s="32"/>
      <c r="W1149" s="32"/>
      <c r="X1149" s="32"/>
      <c r="Y1149" s="32"/>
      <c r="Z1149" s="32"/>
    </row>
    <row r="1150">
      <c r="A1150" s="32" t="str">
        <f>IFERROR(__xludf.DUMMYFUNCTION("""COMPUTED_VALUE"""),"Mana Potion")</f>
        <v>Mana Potion</v>
      </c>
      <c r="B1150" s="32" t="str">
        <f>IFERROR(__xludf.DUMMYFUNCTION("""COMPUTED_VALUE"""),"Regain 10 SP (Item)")</f>
        <v>Regain 10 SP (Item)</v>
      </c>
      <c r="C1150" s="32"/>
      <c r="D1150" s="32"/>
      <c r="E1150" s="32"/>
      <c r="F1150" s="32"/>
      <c r="G1150" s="32"/>
      <c r="H1150" s="32"/>
      <c r="I1150" s="32"/>
      <c r="J1150" s="32"/>
      <c r="K1150" s="32"/>
      <c r="L1150" s="32"/>
      <c r="M1150" s="32"/>
      <c r="N1150" s="32"/>
      <c r="O1150" s="32"/>
      <c r="P1150" s="32"/>
      <c r="Q1150" s="32"/>
      <c r="R1150" s="32"/>
      <c r="S1150" s="32"/>
      <c r="T1150" s="32"/>
      <c r="U1150" s="32"/>
      <c r="V1150" s="32"/>
      <c r="W1150" s="32"/>
      <c r="X1150" s="32"/>
      <c r="Y1150" s="32"/>
      <c r="Z1150" s="32"/>
    </row>
    <row r="1151">
      <c r="A1151" s="32" t="str">
        <f>IFERROR(__xludf.DUMMYFUNCTION("""COMPUTED_VALUE"""),"Werewolf Pelt")</f>
        <v>Werewolf Pelt</v>
      </c>
      <c r="B1151" s="32" t="str">
        <f>IFERROR(__xludf.DUMMYFUNCTION("""COMPUTED_VALUE"""),"Crafting Material, roll a d20 to see how many you get if this is a loot drop. (Item)")</f>
        <v>Crafting Material, roll a d20 to see how many you get if this is a loot drop. (Item)</v>
      </c>
      <c r="C1151" s="32"/>
      <c r="D1151" s="32"/>
      <c r="E1151" s="32"/>
      <c r="F1151" s="32"/>
      <c r="G1151" s="32"/>
      <c r="H1151" s="32"/>
      <c r="I1151" s="32"/>
      <c r="J1151" s="32"/>
      <c r="K1151" s="32"/>
      <c r="L1151" s="32"/>
      <c r="M1151" s="32"/>
      <c r="N1151" s="32"/>
      <c r="O1151" s="32"/>
      <c r="P1151" s="32"/>
      <c r="Q1151" s="32"/>
      <c r="R1151" s="32"/>
      <c r="S1151" s="32"/>
      <c r="T1151" s="32"/>
      <c r="U1151" s="32"/>
      <c r="V1151" s="32"/>
      <c r="W1151" s="32"/>
      <c r="X1151" s="32"/>
      <c r="Y1151" s="32"/>
      <c r="Z1151" s="32"/>
    </row>
    <row r="1152">
      <c r="A1152" s="32" t="str">
        <f>IFERROR(__xludf.DUMMYFUNCTION("""COMPUTED_VALUE"""),"Halloween Emerald")</f>
        <v>Halloween Emerald</v>
      </c>
      <c r="B1152" s="32" t="str">
        <f>IFERROR(__xludf.DUMMYFUNCTION("""COMPUTED_VALUE"""),"Crafting Material, roll a d20 to see how many you get if this is a loot drop. (Item)")</f>
        <v>Crafting Material, roll a d20 to see how many you get if this is a loot drop. (Item)</v>
      </c>
      <c r="C1152" s="32"/>
      <c r="D1152" s="32"/>
      <c r="E1152" s="32"/>
      <c r="F1152" s="32"/>
      <c r="G1152" s="32"/>
      <c r="H1152" s="32"/>
      <c r="I1152" s="32"/>
      <c r="J1152" s="32"/>
      <c r="K1152" s="32"/>
      <c r="L1152" s="32"/>
      <c r="M1152" s="32"/>
      <c r="N1152" s="32"/>
      <c r="O1152" s="32"/>
      <c r="P1152" s="32"/>
      <c r="Q1152" s="32"/>
      <c r="R1152" s="32"/>
      <c r="S1152" s="32"/>
      <c r="T1152" s="32"/>
      <c r="U1152" s="32"/>
      <c r="V1152" s="32"/>
      <c r="W1152" s="32"/>
      <c r="X1152" s="32"/>
      <c r="Y1152" s="32"/>
      <c r="Z1152" s="32"/>
    </row>
    <row r="1153">
      <c r="A1153" s="32" t="str">
        <f>IFERROR(__xludf.DUMMYFUNCTION("""COMPUTED_VALUE"""),"Giant Halloween Diamond")</f>
        <v>Giant Halloween Diamond</v>
      </c>
      <c r="B1153" s="32" t="str">
        <f>IFERROR(__xludf.DUMMYFUNCTION("""COMPUTED_VALUE"""),"Crafting Material, roll a d20 to see how many you get if this is a loot drop. (Item)")</f>
        <v>Crafting Material, roll a d20 to see how many you get if this is a loot drop. (Item)</v>
      </c>
      <c r="C1153" s="32"/>
      <c r="D1153" s="32"/>
      <c r="E1153" s="32"/>
      <c r="F1153" s="32"/>
      <c r="G1153" s="32"/>
      <c r="H1153" s="32"/>
      <c r="I1153" s="32"/>
      <c r="J1153" s="32"/>
      <c r="K1153" s="32"/>
      <c r="L1153" s="32"/>
      <c r="M1153" s="32"/>
      <c r="N1153" s="32"/>
      <c r="O1153" s="32"/>
      <c r="P1153" s="32"/>
      <c r="Q1153" s="32"/>
      <c r="R1153" s="32"/>
      <c r="S1153" s="32"/>
      <c r="T1153" s="32"/>
      <c r="U1153" s="32"/>
      <c r="V1153" s="32"/>
      <c r="W1153" s="32"/>
      <c r="X1153" s="32"/>
      <c r="Y1153" s="32"/>
      <c r="Z1153" s="32"/>
    </row>
    <row r="1154">
      <c r="A1154" s="32" t="str">
        <f>IFERROR(__xludf.DUMMYFUNCTION("""COMPUTED_VALUE"""),"Rank 9 Twilight Tome")</f>
        <v>Rank 9 Twilight Tome</v>
      </c>
      <c r="B1154" s="32" t="str">
        <f>IFERROR(__xludf.DUMMYFUNCTION("""COMPUTED_VALUE"""),"Allows use of up to Rank 9 Twilight Powers (Item)")</f>
        <v>Allows use of up to Rank 9 Twilight Powers (Item)</v>
      </c>
      <c r="C1154" s="32"/>
      <c r="D1154" s="32"/>
      <c r="E1154" s="32"/>
      <c r="F1154" s="32"/>
      <c r="G1154" s="32"/>
      <c r="H1154" s="32"/>
      <c r="I1154" s="32"/>
      <c r="J1154" s="32"/>
      <c r="K1154" s="32"/>
      <c r="L1154" s="32"/>
      <c r="M1154" s="32"/>
      <c r="N1154" s="32"/>
      <c r="O1154" s="32"/>
      <c r="P1154" s="32"/>
      <c r="Q1154" s="32"/>
      <c r="R1154" s="32"/>
      <c r="S1154" s="32"/>
      <c r="T1154" s="32"/>
      <c r="U1154" s="32"/>
      <c r="V1154" s="32"/>
      <c r="W1154" s="32"/>
      <c r="X1154" s="32"/>
      <c r="Y1154" s="32"/>
      <c r="Z1154" s="32"/>
    </row>
    <row r="1155">
      <c r="A1155" s="32" t="str">
        <f>IFERROR(__xludf.DUMMYFUNCTION("""COMPUTED_VALUE"""),"Stasis Tome Rank 9")</f>
        <v>Stasis Tome Rank 9</v>
      </c>
      <c r="B1155" s="32" t="str">
        <f>IFERROR(__xludf.DUMMYFUNCTION("""COMPUTED_VALUE"""),"Allows use of up to Rank 9 Stasis Powers (Item)")</f>
        <v>Allows use of up to Rank 9 Stasis Powers (Item)</v>
      </c>
      <c r="C1155" s="32"/>
      <c r="D1155" s="32"/>
      <c r="E1155" s="32"/>
      <c r="F1155" s="32"/>
      <c r="G1155" s="32"/>
      <c r="H1155" s="32"/>
      <c r="I1155" s="32"/>
      <c r="J1155" s="32"/>
      <c r="K1155" s="32"/>
      <c r="L1155" s="32"/>
      <c r="M1155" s="32"/>
      <c r="N1155" s="32"/>
      <c r="O1155" s="32"/>
      <c r="P1155" s="32"/>
      <c r="Q1155" s="32"/>
      <c r="R1155" s="32"/>
      <c r="S1155" s="32"/>
      <c r="T1155" s="32"/>
      <c r="U1155" s="32"/>
      <c r="V1155" s="32"/>
      <c r="W1155" s="32"/>
      <c r="X1155" s="32"/>
      <c r="Y1155" s="32"/>
      <c r="Z1155" s="32"/>
    </row>
    <row r="1156">
      <c r="A1156" s="32" t="str">
        <f>IFERROR(__xludf.DUMMYFUNCTION("""COMPUTED_VALUE"""),"Celestial Core")</f>
        <v>Celestial Core</v>
      </c>
      <c r="B1156" s="32" t="str">
        <f>IFERROR(__xludf.DUMMYFUNCTION("""COMPUTED_VALUE"""),"Crafting Material, roll a d20 to see how many you get if this is a loot drop. (Item)")</f>
        <v>Crafting Material, roll a d20 to see how many you get if this is a loot drop. (Item)</v>
      </c>
      <c r="C1156" s="32"/>
      <c r="D1156" s="32"/>
      <c r="E1156" s="32"/>
      <c r="F1156" s="32"/>
      <c r="G1156" s="32"/>
      <c r="H1156" s="32"/>
      <c r="I1156" s="32"/>
      <c r="J1156" s="32"/>
      <c r="K1156" s="32"/>
      <c r="L1156" s="32"/>
      <c r="M1156" s="32"/>
      <c r="N1156" s="32"/>
      <c r="O1156" s="32"/>
      <c r="P1156" s="32"/>
      <c r="Q1156" s="32"/>
      <c r="R1156" s="32"/>
      <c r="S1156" s="32"/>
      <c r="T1156" s="32"/>
      <c r="U1156" s="32"/>
      <c r="V1156" s="32"/>
      <c r="W1156" s="32"/>
      <c r="X1156" s="32"/>
      <c r="Y1156" s="32"/>
      <c r="Z1156" s="32"/>
    </row>
    <row r="1157">
      <c r="A1157" s="32" t="str">
        <f>IFERROR(__xludf.DUMMYFUNCTION("""COMPUTED_VALUE"""),"Vampires Tooth")</f>
        <v>Vampires Tooth</v>
      </c>
      <c r="B1157" s="32" t="str">
        <f>IFERROR(__xludf.DUMMYFUNCTION("""COMPUTED_VALUE"""),"Crafting Material, roll a d20 to see how many you get if this is a loot drop. (Item)")</f>
        <v>Crafting Material, roll a d20 to see how many you get if this is a loot drop. (Item)</v>
      </c>
      <c r="C1157" s="32"/>
      <c r="D1157" s="32"/>
      <c r="E1157" s="32"/>
      <c r="F1157" s="32"/>
      <c r="G1157" s="32"/>
      <c r="H1157" s="32"/>
      <c r="I1157" s="32"/>
      <c r="J1157" s="32"/>
      <c r="K1157" s="32"/>
      <c r="L1157" s="32"/>
      <c r="M1157" s="32"/>
      <c r="N1157" s="32"/>
      <c r="O1157" s="32"/>
      <c r="P1157" s="32"/>
      <c r="Q1157" s="32"/>
      <c r="R1157" s="32"/>
      <c r="S1157" s="32"/>
      <c r="T1157" s="32"/>
      <c r="U1157" s="32"/>
      <c r="V1157" s="32"/>
      <c r="W1157" s="32"/>
      <c r="X1157" s="32"/>
      <c r="Y1157" s="32"/>
      <c r="Z1157" s="32"/>
    </row>
    <row r="1158">
      <c r="A1158" s="32" t="str">
        <f>IFERROR(__xludf.DUMMYFUNCTION("""COMPUTED_VALUE"""),"Cursed Statue Of Knowing")</f>
        <v>Cursed Statue Of Knowing</v>
      </c>
      <c r="B1158" s="32" t="str">
        <f>IFERROR(__xludf.DUMMYFUNCTION("""COMPUTED_VALUE"""),"Quest item. (Item)")</f>
        <v>Quest item. (Item)</v>
      </c>
      <c r="C1158" s="32"/>
      <c r="D1158" s="32"/>
      <c r="E1158" s="32"/>
      <c r="F1158" s="32"/>
      <c r="G1158" s="32"/>
      <c r="H1158" s="32"/>
      <c r="I1158" s="32"/>
      <c r="J1158" s="32"/>
      <c r="K1158" s="32"/>
      <c r="L1158" s="32"/>
      <c r="M1158" s="32"/>
      <c r="N1158" s="32"/>
      <c r="O1158" s="32"/>
      <c r="P1158" s="32"/>
      <c r="Q1158" s="32"/>
      <c r="R1158" s="32"/>
      <c r="S1158" s="32"/>
      <c r="T1158" s="32"/>
      <c r="U1158" s="32"/>
      <c r="V1158" s="32"/>
      <c r="W1158" s="32"/>
      <c r="X1158" s="32"/>
      <c r="Y1158" s="32"/>
      <c r="Z1158" s="32"/>
    </row>
    <row r="1159">
      <c r="A1159" s="32" t="str">
        <f>IFERROR(__xludf.DUMMYFUNCTION("""COMPUTED_VALUE"""),"Orb Of Shadows")</f>
        <v>Orb Of Shadows</v>
      </c>
      <c r="B1159" s="32" t="str">
        <f>IFERROR(__xludf.DUMMYFUNCTION("""COMPUTED_VALUE"""),"Quest item. (Item)")</f>
        <v>Quest item. (Item)</v>
      </c>
      <c r="C1159" s="32"/>
      <c r="D1159" s="32"/>
      <c r="E1159" s="32"/>
      <c r="F1159" s="32"/>
      <c r="G1159" s="32"/>
      <c r="H1159" s="32"/>
      <c r="I1159" s="32"/>
      <c r="J1159" s="32"/>
      <c r="K1159" s="32"/>
      <c r="L1159" s="32"/>
      <c r="M1159" s="32"/>
      <c r="N1159" s="32"/>
      <c r="O1159" s="32"/>
      <c r="P1159" s="32"/>
      <c r="Q1159" s="32"/>
      <c r="R1159" s="32"/>
      <c r="S1159" s="32"/>
      <c r="T1159" s="32"/>
      <c r="U1159" s="32"/>
      <c r="V1159" s="32"/>
      <c r="W1159" s="32"/>
      <c r="X1159" s="32"/>
      <c r="Y1159" s="32"/>
      <c r="Z1159" s="32"/>
    </row>
    <row r="1160">
      <c r="A1160" s="32" t="str">
        <f>IFERROR(__xludf.DUMMYFUNCTION("""COMPUTED_VALUE"""),"Blessed Torch")</f>
        <v>Blessed Torch</v>
      </c>
      <c r="B1160" s="32" t="str">
        <f>IFERROR(__xludf.DUMMYFUNCTION("""COMPUTED_VALUE"""),"Lights a bonfire. (guaranteed drop) (Item)")</f>
        <v>Lights a bonfire. (guaranteed drop) (Item)</v>
      </c>
      <c r="C1160" s="32"/>
      <c r="D1160" s="32"/>
      <c r="E1160" s="32"/>
      <c r="F1160" s="32"/>
      <c r="G1160" s="32"/>
      <c r="H1160" s="32"/>
      <c r="I1160" s="32"/>
      <c r="J1160" s="32"/>
      <c r="K1160" s="32"/>
      <c r="L1160" s="32"/>
      <c r="M1160" s="32"/>
      <c r="N1160" s="32"/>
      <c r="O1160" s="32"/>
      <c r="P1160" s="32"/>
      <c r="Q1160" s="32"/>
      <c r="R1160" s="32"/>
      <c r="S1160" s="32"/>
      <c r="T1160" s="32"/>
      <c r="U1160" s="32"/>
      <c r="V1160" s="32"/>
      <c r="W1160" s="32"/>
      <c r="X1160" s="32"/>
      <c r="Y1160" s="32"/>
      <c r="Z1160" s="32"/>
    </row>
    <row r="1161">
      <c r="A1161" s="32" t="str">
        <f>IFERROR(__xludf.DUMMYFUNCTION("""COMPUTED_VALUE"""),"Pebble of Fertility")</f>
        <v>Pebble of Fertility</v>
      </c>
      <c r="B1161" s="32" t="str">
        <f>IFERROR(__xludf.DUMMYFUNCTION("""COMPUTED_VALUE"""),"double the loot when consumed before battle. (Item)")</f>
        <v>double the loot when consumed before battle. (Item)</v>
      </c>
      <c r="C1161" s="32"/>
      <c r="D1161" s="32"/>
      <c r="E1161" s="32"/>
      <c r="F1161" s="32"/>
      <c r="G1161" s="32"/>
      <c r="H1161" s="32"/>
      <c r="I1161" s="32"/>
      <c r="J1161" s="32"/>
      <c r="K1161" s="32"/>
      <c r="L1161" s="32"/>
      <c r="M1161" s="32"/>
      <c r="N1161" s="32"/>
      <c r="O1161" s="32"/>
      <c r="P1161" s="32"/>
      <c r="Q1161" s="32"/>
      <c r="R1161" s="32"/>
      <c r="S1161" s="32"/>
      <c r="T1161" s="32"/>
      <c r="U1161" s="32"/>
      <c r="V1161" s="32"/>
      <c r="W1161" s="32"/>
      <c r="X1161" s="32"/>
      <c r="Y1161" s="32"/>
      <c r="Z1161" s="32"/>
    </row>
    <row r="1162">
      <c r="A1162" s="32" t="str">
        <f>IFERROR(__xludf.DUMMYFUNCTION("""COMPUTED_VALUE"""),"Forest Faery Egg")</f>
        <v>Forest Faery Egg</v>
      </c>
      <c r="B1162" s="32" t="str">
        <f>IFERROR(__xludf.DUMMYFUNCTION("""COMPUTED_VALUE"""),"Gives a Faery companion (60) (must be in a forest for the egg to hatch) (Item)")</f>
        <v>Gives a Faery companion (60) (must be in a forest for the egg to hatch) (Item)</v>
      </c>
      <c r="C1162" s="32"/>
      <c r="D1162" s="32"/>
      <c r="E1162" s="32"/>
      <c r="F1162" s="32"/>
      <c r="G1162" s="32"/>
      <c r="H1162" s="32"/>
      <c r="I1162" s="32"/>
      <c r="J1162" s="32"/>
      <c r="K1162" s="32"/>
      <c r="L1162" s="32"/>
      <c r="M1162" s="32"/>
      <c r="N1162" s="32"/>
      <c r="O1162" s="32"/>
      <c r="P1162" s="32"/>
      <c r="Q1162" s="32"/>
      <c r="R1162" s="32"/>
      <c r="S1162" s="32"/>
      <c r="T1162" s="32"/>
      <c r="U1162" s="32"/>
      <c r="V1162" s="32"/>
      <c r="W1162" s="32"/>
      <c r="X1162" s="32"/>
      <c r="Y1162" s="32"/>
      <c r="Z1162" s="32"/>
    </row>
    <row r="1163">
      <c r="A1163" s="32" t="str">
        <f>IFERROR(__xludf.DUMMYFUNCTION("""COMPUTED_VALUE"""),"Pandan flower")</f>
        <v>Pandan flower</v>
      </c>
      <c r="B1163" s="32" t="str">
        <f>IFERROR(__xludf.DUMMYFUNCTION("""COMPUTED_VALUE"""),"Cures 1 curse (Item)")</f>
        <v>Cures 1 curse (Item)</v>
      </c>
      <c r="C1163" s="32"/>
      <c r="D1163" s="32"/>
      <c r="E1163" s="32"/>
      <c r="F1163" s="32"/>
      <c r="G1163" s="32"/>
      <c r="H1163" s="32"/>
      <c r="I1163" s="32"/>
      <c r="J1163" s="32"/>
      <c r="K1163" s="32"/>
      <c r="L1163" s="32"/>
      <c r="M1163" s="32"/>
      <c r="N1163" s="32"/>
      <c r="O1163" s="32"/>
      <c r="P1163" s="32"/>
      <c r="Q1163" s="32"/>
      <c r="R1163" s="32"/>
      <c r="S1163" s="32"/>
      <c r="T1163" s="32"/>
      <c r="U1163" s="32"/>
      <c r="V1163" s="32"/>
      <c r="W1163" s="32"/>
      <c r="X1163" s="32"/>
      <c r="Y1163" s="32"/>
      <c r="Z1163" s="32"/>
    </row>
    <row r="1164">
      <c r="A1164" s="32" t="str">
        <f>IFERROR(__xludf.DUMMYFUNCTION("""COMPUTED_VALUE"""),"Rank 5 Earth Tome")</f>
        <v>Rank 5 Earth Tome</v>
      </c>
      <c r="B1164" s="32" t="str">
        <f>IFERROR(__xludf.DUMMYFUNCTION("""COMPUTED_VALUE"""),"Allows use of up to Rank 5 Earth Powers (Item)")</f>
        <v>Allows use of up to Rank 5 Earth Powers (Item)</v>
      </c>
      <c r="C1164" s="32"/>
      <c r="D1164" s="32"/>
      <c r="E1164" s="32"/>
      <c r="F1164" s="32"/>
      <c r="G1164" s="32"/>
      <c r="H1164" s="32"/>
      <c r="I1164" s="32"/>
      <c r="J1164" s="32"/>
      <c r="K1164" s="32"/>
      <c r="L1164" s="32"/>
      <c r="M1164" s="32"/>
      <c r="N1164" s="32"/>
      <c r="O1164" s="32"/>
      <c r="P1164" s="32"/>
      <c r="Q1164" s="32"/>
      <c r="R1164" s="32"/>
      <c r="S1164" s="32"/>
      <c r="T1164" s="32"/>
      <c r="U1164" s="32"/>
      <c r="V1164" s="32"/>
      <c r="W1164" s="32"/>
      <c r="X1164" s="32"/>
      <c r="Y1164" s="32"/>
      <c r="Z1164" s="32"/>
    </row>
    <row r="1165">
      <c r="A1165" s="32" t="str">
        <f>IFERROR(__xludf.DUMMYFUNCTION("""COMPUTED_VALUE"""),"Earth Gem")</f>
        <v>Earth Gem</v>
      </c>
      <c r="B1165" s="32" t="str">
        <f>IFERROR(__xludf.DUMMYFUNCTION("""COMPUTED_VALUE"""),"Crafting Material, roll a d20 to see how many you get if this is a loot drop. (Item)")</f>
        <v>Crafting Material, roll a d20 to see how many you get if this is a loot drop. (Item)</v>
      </c>
      <c r="C1165" s="32"/>
      <c r="D1165" s="32"/>
      <c r="E1165" s="32"/>
      <c r="F1165" s="32"/>
      <c r="G1165" s="32"/>
      <c r="H1165" s="32"/>
      <c r="I1165" s="32"/>
      <c r="J1165" s="32"/>
      <c r="K1165" s="32"/>
      <c r="L1165" s="32"/>
      <c r="M1165" s="32"/>
      <c r="N1165" s="32"/>
      <c r="O1165" s="32"/>
      <c r="P1165" s="32"/>
      <c r="Q1165" s="32"/>
      <c r="R1165" s="32"/>
      <c r="S1165" s="32"/>
      <c r="T1165" s="32"/>
      <c r="U1165" s="32"/>
      <c r="V1165" s="32"/>
      <c r="W1165" s="32"/>
      <c r="X1165" s="32"/>
      <c r="Y1165" s="32"/>
      <c r="Z1165" s="32"/>
    </row>
    <row r="1166">
      <c r="A1166" s="32" t="str">
        <f>IFERROR(__xludf.DUMMYFUNCTION("""COMPUTED_VALUE"""),"Key Of Knowledge")</f>
        <v>Key Of Knowledge</v>
      </c>
      <c r="B1166" s="32" t="str">
        <f>IFERROR(__xludf.DUMMYFUNCTION("""COMPUTED_VALUE"""),"grants access to the room of knowledge (Item)")</f>
        <v>grants access to the room of knowledge (Item)</v>
      </c>
      <c r="C1166" s="32"/>
      <c r="D1166" s="32"/>
      <c r="E1166" s="32"/>
      <c r="F1166" s="32"/>
      <c r="G1166" s="32"/>
      <c r="H1166" s="32"/>
      <c r="I1166" s="32"/>
      <c r="J1166" s="32"/>
      <c r="K1166" s="32"/>
      <c r="L1166" s="32"/>
      <c r="M1166" s="32"/>
      <c r="N1166" s="32"/>
      <c r="O1166" s="32"/>
      <c r="P1166" s="32"/>
      <c r="Q1166" s="32"/>
      <c r="R1166" s="32"/>
      <c r="S1166" s="32"/>
      <c r="T1166" s="32"/>
      <c r="U1166" s="32"/>
      <c r="V1166" s="32"/>
      <c r="W1166" s="32"/>
      <c r="X1166" s="32"/>
      <c r="Y1166" s="32"/>
      <c r="Z1166" s="32"/>
    </row>
    <row r="1167">
      <c r="A1167" s="32" t="str">
        <f>IFERROR(__xludf.DUMMYFUNCTION("""COMPUTED_VALUE"""),"Medallion 1")</f>
        <v>Medallion 1</v>
      </c>
      <c r="B1167" s="32" t="str">
        <f>IFERROR(__xludf.DUMMYFUNCTION("""COMPUTED_VALUE"""),"Grants access to the Ruins of Mana. (Item)")</f>
        <v>Grants access to the Ruins of Mana. (Item)</v>
      </c>
      <c r="C1167" s="32"/>
      <c r="D1167" s="32"/>
      <c r="E1167" s="32"/>
      <c r="F1167" s="32"/>
      <c r="G1167" s="32"/>
      <c r="H1167" s="32"/>
      <c r="I1167" s="32"/>
      <c r="J1167" s="32"/>
      <c r="K1167" s="32"/>
      <c r="L1167" s="32"/>
      <c r="M1167" s="32"/>
      <c r="N1167" s="32"/>
      <c r="O1167" s="32"/>
      <c r="P1167" s="32"/>
      <c r="Q1167" s="32"/>
      <c r="R1167" s="32"/>
      <c r="S1167" s="32"/>
      <c r="T1167" s="32"/>
      <c r="U1167" s="32"/>
      <c r="V1167" s="32"/>
      <c r="W1167" s="32"/>
      <c r="X1167" s="32"/>
      <c r="Y1167" s="32"/>
      <c r="Z1167" s="32"/>
    </row>
    <row r="1168">
      <c r="A1168" s="32" t="str">
        <f>IFERROR(__xludf.DUMMYFUNCTION("""COMPUTED_VALUE"""),"Medallion 2")</f>
        <v>Medallion 2</v>
      </c>
      <c r="B1168" s="32" t="str">
        <f>IFERROR(__xludf.DUMMYFUNCTION("""COMPUTED_VALUE"""),"Grants access to the Ruins of Mana. (Item)")</f>
        <v>Grants access to the Ruins of Mana. (Item)</v>
      </c>
      <c r="C1168" s="32"/>
      <c r="D1168" s="32"/>
      <c r="E1168" s="32"/>
      <c r="F1168" s="32"/>
      <c r="G1168" s="32"/>
      <c r="H1168" s="32"/>
      <c r="I1168" s="32"/>
      <c r="J1168" s="32"/>
      <c r="K1168" s="32"/>
      <c r="L1168" s="32"/>
      <c r="M1168" s="32"/>
      <c r="N1168" s="32"/>
      <c r="O1168" s="32"/>
      <c r="P1168" s="32"/>
      <c r="Q1168" s="32"/>
      <c r="R1168" s="32"/>
      <c r="S1168" s="32"/>
      <c r="T1168" s="32"/>
      <c r="U1168" s="32"/>
      <c r="V1168" s="32"/>
      <c r="W1168" s="32"/>
      <c r="X1168" s="32"/>
      <c r="Y1168" s="32"/>
      <c r="Z1168" s="32"/>
    </row>
    <row r="1169">
      <c r="A1169" s="32" t="str">
        <f>IFERROR(__xludf.DUMMYFUNCTION("""COMPUTED_VALUE"""),"Medallion 3")</f>
        <v>Medallion 3</v>
      </c>
      <c r="B1169" s="32" t="str">
        <f>IFERROR(__xludf.DUMMYFUNCTION("""COMPUTED_VALUE"""),"Grants access to the Ruins of Mana. (Item)")</f>
        <v>Grants access to the Ruins of Mana. (Item)</v>
      </c>
      <c r="C1169" s="32"/>
      <c r="D1169" s="32"/>
      <c r="E1169" s="32"/>
      <c r="F1169" s="32"/>
      <c r="G1169" s="32"/>
      <c r="H1169" s="32"/>
      <c r="I1169" s="32"/>
      <c r="J1169" s="32"/>
      <c r="K1169" s="32"/>
      <c r="L1169" s="32"/>
      <c r="M1169" s="32"/>
      <c r="N1169" s="32"/>
      <c r="O1169" s="32"/>
      <c r="P1169" s="32"/>
      <c r="Q1169" s="32"/>
      <c r="R1169" s="32"/>
      <c r="S1169" s="32"/>
      <c r="T1169" s="32"/>
      <c r="U1169" s="32"/>
      <c r="V1169" s="32"/>
      <c r="W1169" s="32"/>
      <c r="X1169" s="32"/>
      <c r="Y1169" s="32"/>
      <c r="Z1169" s="32"/>
    </row>
    <row r="1170">
      <c r="A1170" s="32" t="str">
        <f>IFERROR(__xludf.DUMMYFUNCTION("""COMPUTED_VALUE"""),"Medallion 4")</f>
        <v>Medallion 4</v>
      </c>
      <c r="B1170" s="32" t="str">
        <f>IFERROR(__xludf.DUMMYFUNCTION("""COMPUTED_VALUE"""),"Grants access to the Ruins of Mana. (Item)")</f>
        <v>Grants access to the Ruins of Mana. (Item)</v>
      </c>
      <c r="C1170" s="32"/>
      <c r="D1170" s="32"/>
      <c r="E1170" s="32"/>
      <c r="F1170" s="32"/>
      <c r="G1170" s="32"/>
      <c r="H1170" s="32"/>
      <c r="I1170" s="32"/>
      <c r="J1170" s="32"/>
      <c r="K1170" s="32"/>
      <c r="L1170" s="32"/>
      <c r="M1170" s="32"/>
      <c r="N1170" s="32"/>
      <c r="O1170" s="32"/>
      <c r="P1170" s="32"/>
      <c r="Q1170" s="32"/>
      <c r="R1170" s="32"/>
      <c r="S1170" s="32"/>
      <c r="T1170" s="32"/>
      <c r="U1170" s="32"/>
      <c r="V1170" s="32"/>
      <c r="W1170" s="32"/>
      <c r="X1170" s="32"/>
      <c r="Y1170" s="32"/>
      <c r="Z1170" s="32"/>
    </row>
    <row r="1171">
      <c r="A1171" s="32" t="str">
        <f>IFERROR(__xludf.DUMMYFUNCTION("""COMPUTED_VALUE"""),"Enchanted Ice Gem")</f>
        <v>Enchanted Ice Gem</v>
      </c>
      <c r="B1171" s="32" t="str">
        <f>IFERROR(__xludf.DUMMYFUNCTION("""COMPUTED_VALUE"""),"Crafting Material, roll a d20 to see how many you get if this is a loot drop., can be forged into an weapon to give it +5%  chance of freezing 1 target. can forge multiple of these gems together to increase the percentage to a max of 100% (Item)")</f>
        <v>Crafting Material, roll a d20 to see how many you get if this is a loot drop., can be forged into an weapon to give it +5%  chance of freezing 1 target. can forge multiple of these gems together to increase the percentage to a max of 100% (Item)</v>
      </c>
      <c r="C1171" s="32"/>
      <c r="D1171" s="32"/>
      <c r="E1171" s="32"/>
      <c r="F1171" s="32"/>
      <c r="G1171" s="32"/>
      <c r="H1171" s="32"/>
      <c r="I1171" s="32"/>
      <c r="J1171" s="32"/>
      <c r="K1171" s="32"/>
      <c r="L1171" s="32"/>
      <c r="M1171" s="32"/>
      <c r="N1171" s="32"/>
      <c r="O1171" s="32"/>
      <c r="P1171" s="32"/>
      <c r="Q1171" s="32"/>
      <c r="R1171" s="32"/>
      <c r="S1171" s="32"/>
      <c r="T1171" s="32"/>
      <c r="U1171" s="32"/>
      <c r="V1171" s="32"/>
      <c r="W1171" s="32"/>
      <c r="X1171" s="32"/>
      <c r="Y1171" s="32"/>
      <c r="Z1171" s="32"/>
    </row>
    <row r="1172">
      <c r="A1172" s="32" t="str">
        <f>IFERROR(__xludf.DUMMYFUNCTION("""COMPUTED_VALUE"""),"Carnelian Crystal")</f>
        <v>Carnelian Crystal</v>
      </c>
      <c r="B1172" s="32" t="str">
        <f>IFERROR(__xludf.DUMMYFUNCTION("""COMPUTED_VALUE"""),"Can be forged into armor, one crystal max inside forged equipment. +2 Mobility   (Item)")</f>
        <v>Can be forged into armor, one crystal max inside forged equipment. +2 Mobility   (Item)</v>
      </c>
      <c r="C1172" s="32"/>
      <c r="D1172" s="32"/>
      <c r="E1172" s="32"/>
      <c r="F1172" s="32"/>
      <c r="G1172" s="32"/>
      <c r="H1172" s="32"/>
      <c r="I1172" s="32"/>
      <c r="J1172" s="32"/>
      <c r="K1172" s="32"/>
      <c r="L1172" s="32"/>
      <c r="M1172" s="32"/>
      <c r="N1172" s="32"/>
      <c r="O1172" s="32"/>
      <c r="P1172" s="32"/>
      <c r="Q1172" s="32"/>
      <c r="R1172" s="32"/>
      <c r="S1172" s="32"/>
      <c r="T1172" s="32"/>
      <c r="U1172" s="32"/>
      <c r="V1172" s="32"/>
      <c r="W1172" s="32"/>
      <c r="X1172" s="32"/>
      <c r="Y1172" s="32"/>
      <c r="Z1172" s="32"/>
    </row>
    <row r="1173">
      <c r="A1173" s="32" t="str">
        <f>IFERROR(__xludf.DUMMYFUNCTION("""COMPUTED_VALUE"""),"Citrine Crystal")</f>
        <v>Citrine Crystal</v>
      </c>
      <c r="B1173" s="32" t="str">
        <f>IFERROR(__xludf.DUMMYFUNCTION("""COMPUTED_VALUE"""),"Can be forged into armor, one crystal max inside forged equipment. 25% chance to move up one spot in the turn order this effect is unnaffected by other forged items/effects. (Item)")</f>
        <v>Can be forged into armor, one crystal max inside forged equipment. 25% chance to move up one spot in the turn order this effect is unnaffected by other forged items/effects. (Item)</v>
      </c>
      <c r="C1173" s="32"/>
      <c r="D1173" s="32"/>
      <c r="E1173" s="32"/>
      <c r="F1173" s="32"/>
      <c r="G1173" s="32"/>
      <c r="H1173" s="32"/>
      <c r="I1173" s="32"/>
      <c r="J1173" s="32"/>
      <c r="K1173" s="32"/>
      <c r="L1173" s="32"/>
      <c r="M1173" s="32"/>
      <c r="N1173" s="32"/>
      <c r="O1173" s="32"/>
      <c r="P1173" s="32"/>
      <c r="Q1173" s="32"/>
      <c r="R1173" s="32"/>
      <c r="S1173" s="32"/>
      <c r="T1173" s="32"/>
      <c r="U1173" s="32"/>
      <c r="V1173" s="32"/>
      <c r="W1173" s="32"/>
      <c r="X1173" s="32"/>
      <c r="Y1173" s="32"/>
      <c r="Z1173" s="32"/>
    </row>
    <row r="1174">
      <c r="A1174" s="32" t="str">
        <f>IFERROR(__xludf.DUMMYFUNCTION("""COMPUTED_VALUE"""),"Tiger's Eye Crystal")</f>
        <v>Tiger's Eye Crystal</v>
      </c>
      <c r="B1174" s="32" t="str">
        <f>IFERROR(__xludf.DUMMYFUNCTION("""COMPUTED_VALUE"""),"Can be forged into a weapon, one crystal max inside forged equipment. 25% chance to dodge an attack, this effect is unnaffected by other forged items/effects. (Item)")</f>
        <v>Can be forged into a weapon, one crystal max inside forged equipment. 25% chance to dodge an attack, this effect is unnaffected by other forged items/effects. (Item)</v>
      </c>
      <c r="C1174" s="32"/>
      <c r="D1174" s="32"/>
      <c r="E1174" s="32"/>
      <c r="F1174" s="32"/>
      <c r="G1174" s="32"/>
      <c r="H1174" s="32"/>
      <c r="I1174" s="32"/>
      <c r="J1174" s="32"/>
      <c r="K1174" s="32"/>
      <c r="L1174" s="32"/>
      <c r="M1174" s="32"/>
      <c r="N1174" s="32"/>
      <c r="O1174" s="32"/>
      <c r="P1174" s="32"/>
      <c r="Q1174" s="32"/>
      <c r="R1174" s="32"/>
      <c r="S1174" s="32"/>
      <c r="T1174" s="32"/>
      <c r="U1174" s="32"/>
      <c r="V1174" s="32"/>
      <c r="W1174" s="32"/>
      <c r="X1174" s="32"/>
      <c r="Y1174" s="32"/>
      <c r="Z1174" s="32"/>
    </row>
    <row r="1175">
      <c r="A1175" s="32" t="str">
        <f>IFERROR(__xludf.DUMMYFUNCTION("""COMPUTED_VALUE"""),"Lodestone Crystal")</f>
        <v>Lodestone Crystal</v>
      </c>
      <c r="B1175" s="32" t="str">
        <f>IFERROR(__xludf.DUMMYFUNCTION("""COMPUTED_VALUE"""),"Can be forged into a weapon, one crystal max inside forged equipment. absorbs the first attack of each battle. (Item)")</f>
        <v>Can be forged into a weapon, one crystal max inside forged equipment. absorbs the first attack of each battle. (Item)</v>
      </c>
      <c r="C1175" s="32"/>
      <c r="D1175" s="32"/>
      <c r="E1175" s="32"/>
      <c r="F1175" s="32"/>
      <c r="G1175" s="32"/>
      <c r="H1175" s="32"/>
      <c r="I1175" s="32"/>
      <c r="J1175" s="32"/>
      <c r="K1175" s="32"/>
      <c r="L1175" s="32"/>
      <c r="M1175" s="32"/>
      <c r="N1175" s="32"/>
      <c r="O1175" s="32"/>
      <c r="P1175" s="32"/>
      <c r="Q1175" s="32"/>
      <c r="R1175" s="32"/>
      <c r="S1175" s="32"/>
      <c r="T1175" s="32"/>
      <c r="U1175" s="32"/>
      <c r="V1175" s="32"/>
      <c r="W1175" s="32"/>
      <c r="X1175" s="32"/>
      <c r="Y1175" s="32"/>
      <c r="Z1175" s="32"/>
    </row>
    <row r="1176">
      <c r="A1176" s="32" t="str">
        <f>IFERROR(__xludf.DUMMYFUNCTION("""COMPUTED_VALUE"""),"Peridot Crystal")</f>
        <v>Peridot Crystal</v>
      </c>
      <c r="B1176" s="32" t="str">
        <f>IFERROR(__xludf.DUMMYFUNCTION("""COMPUTED_VALUE"""),"Can be forged into a armor, one crystal max inside forged equipment. +300HP per round. (Item)")</f>
        <v>Can be forged into a armor, one crystal max inside forged equipment. +300HP per round. (Item)</v>
      </c>
      <c r="C1176" s="32"/>
      <c r="D1176" s="32"/>
      <c r="E1176" s="32"/>
      <c r="F1176" s="32"/>
      <c r="G1176" s="32"/>
      <c r="H1176" s="32"/>
      <c r="I1176" s="32"/>
      <c r="J1176" s="32"/>
      <c r="K1176" s="32"/>
      <c r="L1176" s="32"/>
      <c r="M1176" s="32"/>
      <c r="N1176" s="32"/>
      <c r="O1176" s="32"/>
      <c r="P1176" s="32"/>
      <c r="Q1176" s="32"/>
      <c r="R1176" s="32"/>
      <c r="S1176" s="32"/>
      <c r="T1176" s="32"/>
      <c r="U1176" s="32"/>
      <c r="V1176" s="32"/>
      <c r="W1176" s="32"/>
      <c r="X1176" s="32"/>
      <c r="Y1176" s="32"/>
      <c r="Z1176" s="32"/>
    </row>
    <row r="1177">
      <c r="A1177" s="32" t="str">
        <f>IFERROR(__xludf.DUMMYFUNCTION("""COMPUTED_VALUE"""),"Golden Topaz")</f>
        <v>Golden Topaz</v>
      </c>
      <c r="B1177" s="32" t="str">
        <f>IFERROR(__xludf.DUMMYFUNCTION("""COMPUTED_VALUE"""),"Can be forged into a armor, one crystal max inside forged equipment. 50% chance to cure a curse for user only while cursed, this effect is unnaffected by other forged items/effects. (Item)")</f>
        <v>Can be forged into a armor, one crystal max inside forged equipment. 50% chance to cure a curse for user only while cursed, this effect is unnaffected by other forged items/effects. (Item)</v>
      </c>
      <c r="C1177" s="32"/>
      <c r="D1177" s="32"/>
      <c r="E1177" s="32"/>
      <c r="F1177" s="32"/>
      <c r="G1177" s="32"/>
      <c r="H1177" s="32"/>
      <c r="I1177" s="32"/>
      <c r="J1177" s="32"/>
      <c r="K1177" s="32"/>
      <c r="L1177" s="32"/>
      <c r="M1177" s="32"/>
      <c r="N1177" s="32"/>
      <c r="O1177" s="32"/>
      <c r="P1177" s="32"/>
      <c r="Q1177" s="32"/>
      <c r="R1177" s="32"/>
      <c r="S1177" s="32"/>
      <c r="T1177" s="32"/>
      <c r="U1177" s="32"/>
      <c r="V1177" s="32"/>
      <c r="W1177" s="32"/>
      <c r="X1177" s="32"/>
      <c r="Y1177" s="32"/>
      <c r="Z1177" s="32"/>
    </row>
    <row r="1178">
      <c r="A1178" s="32" t="str">
        <f>IFERROR(__xludf.DUMMYFUNCTION("""COMPUTED_VALUE"""),"Sea Crystal ")</f>
        <v>Sea Crystal </v>
      </c>
      <c r="B1178" s="32" t="str">
        <f>IFERROR(__xludf.DUMMYFUNCTION("""COMPUTED_VALUE"""),"Can be forged into an item. all water damage now gives hp and sp back equal to the amount of damage caused. Cannot be duplicated. (Item)")</f>
        <v>Can be forged into an item. all water damage now gives hp and sp back equal to the amount of damage caused. Cannot be duplicated. (Item)</v>
      </c>
      <c r="C1178" s="32"/>
      <c r="D1178" s="32"/>
      <c r="E1178" s="32"/>
      <c r="F1178" s="32"/>
      <c r="G1178" s="32"/>
      <c r="H1178" s="32"/>
      <c r="I1178" s="32"/>
      <c r="J1178" s="32"/>
      <c r="K1178" s="32"/>
      <c r="L1178" s="32"/>
      <c r="M1178" s="32"/>
      <c r="N1178" s="32"/>
      <c r="O1178" s="32"/>
      <c r="P1178" s="32"/>
      <c r="Q1178" s="32"/>
      <c r="R1178" s="32"/>
      <c r="S1178" s="32"/>
      <c r="T1178" s="32"/>
      <c r="U1178" s="32"/>
      <c r="V1178" s="32"/>
      <c r="W1178" s="32"/>
      <c r="X1178" s="32"/>
      <c r="Y1178" s="32"/>
      <c r="Z1178" s="32"/>
    </row>
    <row r="1179">
      <c r="A1179" s="32" t="str">
        <f>IFERROR(__xludf.DUMMYFUNCTION("""COMPUTED_VALUE"""),"The Root Of Nature")</f>
        <v>The Root Of Nature</v>
      </c>
      <c r="B1179" s="32" t="str">
        <f>IFERROR(__xludf.DUMMYFUNCTION("""COMPUTED_VALUE"""),"Can be brewed into a potion then consumed to give the user permanant immunity to nature and give the user a permanant x10 to nature damage. Cannot be duplicated. (Item)")</f>
        <v>Can be brewed into a potion then consumed to give the user permanant immunity to nature and give the user a permanant x10 to nature damage. Cannot be duplicated. (Item)</v>
      </c>
      <c r="C1179" s="32"/>
      <c r="D1179" s="32"/>
      <c r="E1179" s="32"/>
      <c r="F1179" s="32"/>
      <c r="G1179" s="32"/>
      <c r="H1179" s="32"/>
      <c r="I1179" s="32"/>
      <c r="J1179" s="32"/>
      <c r="K1179" s="32"/>
      <c r="L1179" s="32"/>
      <c r="M1179" s="32"/>
      <c r="N1179" s="32"/>
      <c r="O1179" s="32"/>
      <c r="P1179" s="32"/>
      <c r="Q1179" s="32"/>
      <c r="R1179" s="32"/>
      <c r="S1179" s="32"/>
      <c r="T1179" s="32"/>
      <c r="U1179" s="32"/>
      <c r="V1179" s="32"/>
      <c r="W1179" s="32"/>
      <c r="X1179" s="32"/>
      <c r="Y1179" s="32"/>
      <c r="Z1179" s="32"/>
    </row>
    <row r="1180">
      <c r="A1180" s="32" t="str">
        <f>IFERROR(__xludf.DUMMYFUNCTION("""COMPUTED_VALUE"""),"Rich Sand")</f>
        <v>Rich Sand</v>
      </c>
      <c r="B1180" s="32" t="str">
        <f>IFERROR(__xludf.DUMMYFUNCTION("""COMPUTED_VALUE"""),"can be forged into armor to give the user an immunity to earth and X10 earth damage. Cannot be duplicated. (Item)")</f>
        <v>can be forged into armor to give the user an immunity to earth and X10 earth damage. Cannot be duplicated. (Item)</v>
      </c>
      <c r="C1180" s="32"/>
      <c r="D1180" s="32"/>
      <c r="E1180" s="32"/>
      <c r="F1180" s="32"/>
      <c r="G1180" s="32"/>
      <c r="H1180" s="32"/>
      <c r="I1180" s="32"/>
      <c r="J1180" s="32"/>
      <c r="K1180" s="32"/>
      <c r="L1180" s="32"/>
      <c r="M1180" s="32"/>
      <c r="N1180" s="32"/>
      <c r="O1180" s="32"/>
      <c r="P1180" s="32"/>
      <c r="Q1180" s="32"/>
      <c r="R1180" s="32"/>
      <c r="S1180" s="32"/>
      <c r="T1180" s="32"/>
      <c r="U1180" s="32"/>
      <c r="V1180" s="32"/>
      <c r="W1180" s="32"/>
      <c r="X1180" s="32"/>
      <c r="Y1180" s="32"/>
      <c r="Z1180" s="32"/>
    </row>
    <row r="1181">
      <c r="A1181" s="32" t="str">
        <f>IFERROR(__xludf.DUMMYFUNCTION("""COMPUTED_VALUE"""),"Sacred Sap")</f>
        <v>Sacred Sap</v>
      </c>
      <c r="B1181" s="32" t="str">
        <f>IFERROR(__xludf.DUMMYFUNCTION("""COMPUTED_VALUE"""),"Can be brewed into a potion then consumed to gain 200 levels. Cannot be duplicated. (Item)")</f>
        <v>Can be brewed into a potion then consumed to gain 200 levels. Cannot be duplicated. (Item)</v>
      </c>
      <c r="C1181" s="32"/>
      <c r="D1181" s="32"/>
      <c r="E1181" s="32"/>
      <c r="F1181" s="32"/>
      <c r="G1181" s="32"/>
      <c r="H1181" s="32"/>
      <c r="I1181" s="32"/>
      <c r="J1181" s="32"/>
      <c r="K1181" s="32"/>
      <c r="L1181" s="32"/>
      <c r="M1181" s="32"/>
      <c r="N1181" s="32"/>
      <c r="O1181" s="32"/>
      <c r="P1181" s="32"/>
      <c r="Q1181" s="32"/>
      <c r="R1181" s="32"/>
      <c r="S1181" s="32"/>
      <c r="T1181" s="32"/>
      <c r="U1181" s="32"/>
      <c r="V1181" s="32"/>
      <c r="W1181" s="32"/>
      <c r="X1181" s="32"/>
      <c r="Y1181" s="32"/>
      <c r="Z1181" s="32"/>
    </row>
    <row r="1182">
      <c r="A1182" s="32" t="str">
        <f>IFERROR(__xludf.DUMMYFUNCTION("""COMPUTED_VALUE"""),"Frozen Shard")</f>
        <v>Frozen Shard</v>
      </c>
      <c r="B1182" s="32" t="str">
        <f>IFERROR(__xludf.DUMMYFUNCTION("""COMPUTED_VALUE"""),"Can be forged into a weapon to give it a 100% chance to freeze a target it hits, or forged into a piece of armor to give you immunity to freezing. Cannot be duplicated. (Item)")</f>
        <v>Can be forged into a weapon to give it a 100% chance to freeze a target it hits, or forged into a piece of armor to give you immunity to freezing. Cannot be duplicated. (Item)</v>
      </c>
      <c r="C1182" s="32"/>
      <c r="D1182" s="32"/>
      <c r="E1182" s="32"/>
      <c r="F1182" s="32"/>
      <c r="G1182" s="32"/>
      <c r="H1182" s="32"/>
      <c r="I1182" s="32"/>
      <c r="J1182" s="32"/>
      <c r="K1182" s="32"/>
      <c r="L1182" s="32"/>
      <c r="M1182" s="32"/>
      <c r="N1182" s="32"/>
      <c r="O1182" s="32"/>
      <c r="P1182" s="32"/>
      <c r="Q1182" s="32"/>
      <c r="R1182" s="32"/>
      <c r="S1182" s="32"/>
      <c r="T1182" s="32"/>
      <c r="U1182" s="32"/>
      <c r="V1182" s="32"/>
      <c r="W1182" s="32"/>
      <c r="X1182" s="32"/>
      <c r="Y1182" s="32"/>
      <c r="Z1182" s="32"/>
    </row>
    <row r="1183">
      <c r="A1183" s="32" t="str">
        <f>IFERROR(__xludf.DUMMYFUNCTION("""COMPUTED_VALUE"""),"Tome of Chaotic Darkness")</f>
        <v>Tome of Chaotic Darkness</v>
      </c>
      <c r="B1183" s="32" t="str">
        <f>IFERROR(__xludf.DUMMYFUNCTION("""COMPUTED_VALUE"""),"Allows use of up to Rank 9 Dark and Chaos Powers. (Item)")</f>
        <v>Allows use of up to Rank 9 Dark and Chaos Powers. (Item)</v>
      </c>
      <c r="C1183" s="32"/>
      <c r="D1183" s="32"/>
      <c r="E1183" s="32"/>
      <c r="F1183" s="32"/>
      <c r="G1183" s="32"/>
      <c r="H1183" s="32"/>
      <c r="I1183" s="32"/>
      <c r="J1183" s="32"/>
      <c r="K1183" s="32"/>
      <c r="L1183" s="32"/>
      <c r="M1183" s="32"/>
      <c r="N1183" s="32"/>
      <c r="O1183" s="32"/>
      <c r="P1183" s="32"/>
      <c r="Q1183" s="32"/>
      <c r="R1183" s="32"/>
      <c r="S1183" s="32"/>
      <c r="T1183" s="32"/>
      <c r="U1183" s="32"/>
      <c r="V1183" s="32"/>
      <c r="W1183" s="32"/>
      <c r="X1183" s="32"/>
      <c r="Y1183" s="32"/>
      <c r="Z1183" s="32"/>
    </row>
    <row r="1184">
      <c r="A1184" s="32" t="str">
        <f>IFERROR(__xludf.DUMMYFUNCTION("""COMPUTED_VALUE"""),"The Land of The Forgotten Map")</f>
        <v>The Land of The Forgotten Map</v>
      </c>
      <c r="B1184" s="32" t="str">
        <f>IFERROR(__xludf.DUMMYFUNCTION("""COMPUTED_VALUE"""),"Shows you where to find The Land of The Forgotten. (Item)")</f>
        <v>Shows you where to find The Land of The Forgotten. (Item)</v>
      </c>
      <c r="C1184" s="32"/>
      <c r="D1184" s="32"/>
      <c r="E1184" s="32"/>
      <c r="F1184" s="32"/>
      <c r="G1184" s="32"/>
      <c r="H1184" s="32"/>
      <c r="I1184" s="32"/>
      <c r="J1184" s="32"/>
      <c r="K1184" s="32"/>
      <c r="L1184" s="32"/>
      <c r="M1184" s="32"/>
      <c r="N1184" s="32"/>
      <c r="O1184" s="32"/>
      <c r="P1184" s="32"/>
      <c r="Q1184" s="32"/>
      <c r="R1184" s="32"/>
      <c r="S1184" s="32"/>
      <c r="T1184" s="32"/>
      <c r="U1184" s="32"/>
      <c r="V1184" s="32"/>
      <c r="W1184" s="32"/>
      <c r="X1184" s="32"/>
      <c r="Y1184" s="32"/>
      <c r="Z1184" s="32"/>
    </row>
    <row r="1185">
      <c r="A1185" s="32" t="str">
        <f>IFERROR(__xludf.DUMMYFUNCTION("""COMPUTED_VALUE"""),"Corn On The Cob")</f>
        <v>Corn On The Cob</v>
      </c>
      <c r="B1185" s="32" t="str">
        <f>IFERROR(__xludf.DUMMYFUNCTION("""COMPUTED_VALUE"""),"Restores 10 hunger. (Crop)")</f>
        <v>Restores 10 hunger. (Crop)</v>
      </c>
      <c r="C1185" s="32"/>
      <c r="D1185" s="32"/>
      <c r="E1185" s="32"/>
      <c r="F1185" s="32"/>
      <c r="G1185" s="32"/>
      <c r="H1185" s="32"/>
      <c r="I1185" s="32"/>
      <c r="J1185" s="32"/>
      <c r="K1185" s="32"/>
      <c r="L1185" s="32"/>
      <c r="M1185" s="32"/>
      <c r="N1185" s="32"/>
      <c r="O1185" s="32"/>
      <c r="P1185" s="32"/>
      <c r="Q1185" s="32"/>
      <c r="R1185" s="32"/>
      <c r="S1185" s="32"/>
      <c r="T1185" s="32"/>
      <c r="U1185" s="32"/>
      <c r="V1185" s="32"/>
      <c r="W1185" s="32"/>
      <c r="X1185" s="32"/>
      <c r="Y1185" s="32"/>
      <c r="Z1185" s="32"/>
    </row>
    <row r="1186">
      <c r="A1186" s="32" t="str">
        <f>IFERROR(__xludf.DUMMYFUNCTION("""COMPUTED_VALUE"""),"Festival Bread Loaf")</f>
        <v>Festival Bread Loaf</v>
      </c>
      <c r="B1186" s="32" t="str">
        <f>IFERROR(__xludf.DUMMYFUNCTION("""COMPUTED_VALUE"""),"Restores 30 hunger and decreases 10 thirst. (Crop)")</f>
        <v>Restores 30 hunger and decreases 10 thirst. (Crop)</v>
      </c>
      <c r="C1186" s="32"/>
      <c r="D1186" s="32"/>
      <c r="E1186" s="32"/>
      <c r="F1186" s="32"/>
      <c r="G1186" s="32"/>
      <c r="H1186" s="32"/>
      <c r="I1186" s="32"/>
      <c r="J1186" s="32"/>
      <c r="K1186" s="32"/>
      <c r="L1186" s="32"/>
      <c r="M1186" s="32"/>
      <c r="N1186" s="32"/>
      <c r="O1186" s="32"/>
      <c r="P1186" s="32"/>
      <c r="Q1186" s="32"/>
      <c r="R1186" s="32"/>
      <c r="S1186" s="32"/>
      <c r="T1186" s="32"/>
      <c r="U1186" s="32"/>
      <c r="V1186" s="32"/>
      <c r="W1186" s="32"/>
      <c r="X1186" s="32"/>
      <c r="Y1186" s="32"/>
      <c r="Z1186" s="32"/>
    </row>
    <row r="1187">
      <c r="A1187" s="32" t="str">
        <f>IFERROR(__xludf.DUMMYFUNCTION("""COMPUTED_VALUE"""),"Fruit Cake")</f>
        <v>Fruit Cake</v>
      </c>
      <c r="B1187" s="32" t="str">
        <f>IFERROR(__xludf.DUMMYFUNCTION("""COMPUTED_VALUE"""),"Restores 20 energy and hunger (Crop)")</f>
        <v>Restores 20 energy and hunger (Crop)</v>
      </c>
      <c r="C1187" s="32"/>
      <c r="D1187" s="32"/>
      <c r="E1187" s="32"/>
      <c r="F1187" s="32"/>
      <c r="G1187" s="32"/>
      <c r="H1187" s="32"/>
      <c r="I1187" s="32"/>
      <c r="J1187" s="32"/>
      <c r="K1187" s="32"/>
      <c r="L1187" s="32"/>
      <c r="M1187" s="32"/>
      <c r="N1187" s="32"/>
      <c r="O1187" s="32"/>
      <c r="P1187" s="32"/>
      <c r="Q1187" s="32"/>
      <c r="R1187" s="32"/>
      <c r="S1187" s="32"/>
      <c r="T1187" s="32"/>
      <c r="U1187" s="32"/>
      <c r="V1187" s="32"/>
      <c r="W1187" s="32"/>
      <c r="X1187" s="32"/>
      <c r="Y1187" s="32"/>
      <c r="Z1187" s="32"/>
    </row>
    <row r="1188">
      <c r="A1188" s="32" t="str">
        <f>IFERROR(__xludf.DUMMYFUNCTION("""COMPUTED_VALUE"""),"Festival Mead")</f>
        <v>Festival Mead</v>
      </c>
      <c r="B1188" s="32" t="str">
        <f>IFERROR(__xludf.DUMMYFUNCTION("""COMPUTED_VALUE"""),"Restores 20 thirst. (Item)")</f>
        <v>Restores 20 thirst. (Item)</v>
      </c>
      <c r="C1188" s="32"/>
      <c r="D1188" s="32"/>
      <c r="E1188" s="32"/>
      <c r="F1188" s="32"/>
      <c r="G1188" s="32"/>
      <c r="H1188" s="32"/>
      <c r="I1188" s="32"/>
      <c r="J1188" s="32"/>
      <c r="K1188" s="32"/>
      <c r="L1188" s="32"/>
      <c r="M1188" s="32"/>
      <c r="N1188" s="32"/>
      <c r="O1188" s="32"/>
      <c r="P1188" s="32"/>
      <c r="Q1188" s="32"/>
      <c r="R1188" s="32"/>
      <c r="S1188" s="32"/>
      <c r="T1188" s="32"/>
      <c r="U1188" s="32"/>
      <c r="V1188" s="32"/>
      <c r="W1188" s="32"/>
      <c r="X1188" s="32"/>
      <c r="Y1188" s="32"/>
      <c r="Z1188" s="32"/>
    </row>
    <row r="1189">
      <c r="A1189" s="32" t="str">
        <f>IFERROR(__xludf.DUMMYFUNCTION("""COMPUTED_VALUE"""),"Lemonade")</f>
        <v>Lemonade</v>
      </c>
      <c r="B1189" s="32" t="str">
        <f>IFERROR(__xludf.DUMMYFUNCTION("""COMPUTED_VALUE"""),"Restores 10 thirst and energy. (Item)")</f>
        <v>Restores 10 thirst and energy. (Item)</v>
      </c>
      <c r="C1189" s="32"/>
      <c r="D1189" s="32"/>
      <c r="E1189" s="32"/>
      <c r="F1189" s="32"/>
      <c r="G1189" s="32"/>
      <c r="H1189" s="32"/>
      <c r="I1189" s="32"/>
      <c r="J1189" s="32"/>
      <c r="K1189" s="32"/>
      <c r="L1189" s="32"/>
      <c r="M1189" s="32"/>
      <c r="N1189" s="32"/>
      <c r="O1189" s="32"/>
      <c r="P1189" s="32"/>
      <c r="Q1189" s="32"/>
      <c r="R1189" s="32"/>
      <c r="S1189" s="32"/>
      <c r="T1189" s="32"/>
      <c r="U1189" s="32"/>
      <c r="V1189" s="32"/>
      <c r="W1189" s="32"/>
      <c r="X1189" s="32"/>
      <c r="Y1189" s="32"/>
      <c r="Z1189" s="32"/>
    </row>
    <row r="1190">
      <c r="A1190" s="32" t="str">
        <f>IFERROR(__xludf.DUMMYFUNCTION("""COMPUTED_VALUE"""),"Forbidden Amulet Shard")</f>
        <v>Forbidden Amulet Shard</v>
      </c>
      <c r="B1190" s="32" t="str">
        <f>IFERROR(__xludf.DUMMYFUNCTION("""COMPUTED_VALUE"""),"A piece of shard that is used to create The Forbidden Amulet of The Halloween Kingdom when you collect all of the pieces. (Item)")</f>
        <v>A piece of shard that is used to create The Forbidden Amulet of The Halloween Kingdom when you collect all of the pieces. (Item)</v>
      </c>
      <c r="C1190" s="32"/>
      <c r="D1190" s="32"/>
      <c r="E1190" s="32"/>
      <c r="F1190" s="32"/>
      <c r="G1190" s="32"/>
      <c r="H1190" s="32"/>
      <c r="I1190" s="32"/>
      <c r="J1190" s="32"/>
      <c r="K1190" s="32"/>
      <c r="L1190" s="32"/>
      <c r="M1190" s="32"/>
      <c r="N1190" s="32"/>
      <c r="O1190" s="32"/>
      <c r="P1190" s="32"/>
      <c r="Q1190" s="32"/>
      <c r="R1190" s="32"/>
      <c r="S1190" s="32"/>
      <c r="T1190" s="32"/>
      <c r="U1190" s="32"/>
      <c r="V1190" s="32"/>
      <c r="W1190" s="32"/>
      <c r="X1190" s="32"/>
      <c r="Y1190" s="32"/>
      <c r="Z1190" s="32"/>
    </row>
    <row r="1191">
      <c r="A1191" s="32" t="str">
        <f>IFERROR(__xludf.DUMMYFUNCTION("""COMPUTED_VALUE"""),"The Forbidden Amulet of The Halloween Kingdom.")</f>
        <v>The Forbidden Amulet of The Halloween Kingdom.</v>
      </c>
      <c r="B1191" s="32" t="str">
        <f>IFERROR(__xludf.DUMMYFUNCTION("""COMPUTED_VALUE"""),"An amulet used to break the barrier on Lord Dreadfuls castle in the Halloween Kingdom. (Item)")</f>
        <v>An amulet used to break the barrier on Lord Dreadfuls castle in the Halloween Kingdom. (Item)</v>
      </c>
      <c r="C1191" s="32"/>
      <c r="D1191" s="32"/>
      <c r="E1191" s="32"/>
      <c r="F1191" s="32"/>
      <c r="G1191" s="32"/>
      <c r="H1191" s="32"/>
      <c r="I1191" s="32"/>
      <c r="J1191" s="32"/>
      <c r="K1191" s="32"/>
      <c r="L1191" s="32"/>
      <c r="M1191" s="32"/>
      <c r="N1191" s="32"/>
      <c r="O1191" s="32"/>
      <c r="P1191" s="32"/>
      <c r="Q1191" s="32"/>
      <c r="R1191" s="32"/>
      <c r="S1191" s="32"/>
      <c r="T1191" s="32"/>
      <c r="U1191" s="32"/>
      <c r="V1191" s="32"/>
      <c r="W1191" s="32"/>
      <c r="X1191" s="32"/>
      <c r="Y1191" s="32"/>
      <c r="Z1191" s="32"/>
    </row>
    <row r="1192">
      <c r="A1192" s="32" t="str">
        <f>IFERROR(__xludf.DUMMYFUNCTION("""COMPUTED_VALUE"""),"Slime Jelly")</f>
        <v>Slime Jelly</v>
      </c>
      <c r="B1192" s="32" t="str">
        <f>IFERROR(__xludf.DUMMYFUNCTION("""COMPUTED_VALUE"""),"Restores 50 HP, 75 Mana, 50 Hunger, and 50 Thirst, -30 Energy cause it tastes bad (Crop)")</f>
        <v>Restores 50 HP, 75 Mana, 50 Hunger, and 50 Thirst, -30 Energy cause it tastes bad (Crop)</v>
      </c>
      <c r="C1192" s="32"/>
      <c r="D1192" s="32"/>
      <c r="E1192" s="32"/>
      <c r="F1192" s="32"/>
      <c r="G1192" s="32"/>
      <c r="H1192" s="32"/>
      <c r="I1192" s="32"/>
      <c r="J1192" s="32"/>
      <c r="K1192" s="32"/>
      <c r="L1192" s="32"/>
      <c r="M1192" s="32"/>
      <c r="N1192" s="32"/>
      <c r="O1192" s="32"/>
      <c r="P1192" s="32"/>
      <c r="Q1192" s="32"/>
      <c r="R1192" s="32"/>
      <c r="S1192" s="32"/>
      <c r="T1192" s="32"/>
      <c r="U1192" s="32"/>
      <c r="V1192" s="32"/>
      <c r="W1192" s="32"/>
      <c r="X1192" s="32"/>
      <c r="Y1192" s="32"/>
      <c r="Z1192" s="32"/>
    </row>
    <row r="1193">
      <c r="A1193" s="32" t="str">
        <f>IFERROR(__xludf.DUMMYFUNCTION("""COMPUTED_VALUE"""),"Broken Robot")</f>
        <v>Broken Robot</v>
      </c>
      <c r="B1193" s="32" t="str">
        <f>IFERROR(__xludf.DUMMYFUNCTION("""COMPUTED_VALUE"""),"An item that is purchased and given to a mysterious cloaked figure.  (Item)")</f>
        <v>An item that is purchased and given to a mysterious cloaked figure.  (Item)</v>
      </c>
      <c r="C1193" s="32"/>
      <c r="D1193" s="32"/>
      <c r="E1193" s="32"/>
      <c r="F1193" s="32"/>
      <c r="G1193" s="32"/>
      <c r="H1193" s="32"/>
      <c r="I1193" s="32"/>
      <c r="J1193" s="32"/>
      <c r="K1193" s="32"/>
      <c r="L1193" s="32"/>
      <c r="M1193" s="32"/>
      <c r="N1193" s="32"/>
      <c r="O1193" s="32"/>
      <c r="P1193" s="32"/>
      <c r="Q1193" s="32"/>
      <c r="R1193" s="32"/>
      <c r="S1193" s="32"/>
      <c r="T1193" s="32"/>
      <c r="U1193" s="32"/>
      <c r="V1193" s="32"/>
      <c r="W1193" s="32"/>
      <c r="X1193" s="32"/>
      <c r="Y1193" s="32"/>
      <c r="Z1193" s="32"/>
    </row>
    <row r="1194">
      <c r="A1194" s="32" t="str">
        <f>IFERROR(__xludf.DUMMYFUNCTION("""COMPUTED_VALUE"""),"Boar Hide")</f>
        <v>Boar Hide</v>
      </c>
      <c r="B1194" s="32" t="str">
        <f>IFERROR(__xludf.DUMMYFUNCTION("""COMPUTED_VALUE"""),"Crafting Material, roll a d20 to see how many you get if this is a loot drop. (Item)")</f>
        <v>Crafting Material, roll a d20 to see how many you get if this is a loot drop. (Item)</v>
      </c>
      <c r="C1194" s="32"/>
      <c r="D1194" s="32"/>
      <c r="E1194" s="32"/>
      <c r="F1194" s="32"/>
      <c r="G1194" s="32"/>
      <c r="H1194" s="32"/>
      <c r="I1194" s="32"/>
      <c r="J1194" s="32"/>
      <c r="K1194" s="32"/>
      <c r="L1194" s="32"/>
      <c r="M1194" s="32"/>
      <c r="N1194" s="32"/>
      <c r="O1194" s="32"/>
      <c r="P1194" s="32"/>
      <c r="Q1194" s="32"/>
      <c r="R1194" s="32"/>
      <c r="S1194" s="32"/>
      <c r="T1194" s="32"/>
      <c r="U1194" s="32"/>
      <c r="V1194" s="32"/>
      <c r="W1194" s="32"/>
      <c r="X1194" s="32"/>
      <c r="Y1194" s="32"/>
      <c r="Z1194" s="32"/>
    </row>
    <row r="1195">
      <c r="A1195" s="32" t="str">
        <f>IFERROR(__xludf.DUMMYFUNCTION("""COMPUTED_VALUE"""),"Bullet")</f>
        <v>Bullet</v>
      </c>
      <c r="B1195" s="32" t="str">
        <f>IFERROR(__xludf.DUMMYFUNCTION("""COMPUTED_VALUE"""),"Firearm Ammunition. +100 damage. roll a d20 to see how many you get if this is a loot drop. (Item)")</f>
        <v>Firearm Ammunition. +100 damage. roll a d20 to see how many you get if this is a loot drop. (Item)</v>
      </c>
      <c r="C1195" s="32"/>
      <c r="D1195" s="32"/>
      <c r="E1195" s="32"/>
      <c r="F1195" s="32"/>
      <c r="G1195" s="32"/>
      <c r="H1195" s="32"/>
      <c r="I1195" s="32"/>
      <c r="J1195" s="32"/>
      <c r="K1195" s="32"/>
      <c r="L1195" s="32"/>
      <c r="M1195" s="32"/>
      <c r="N1195" s="32"/>
      <c r="O1195" s="32"/>
      <c r="P1195" s="32"/>
      <c r="Q1195" s="32"/>
      <c r="R1195" s="32"/>
      <c r="S1195" s="32"/>
      <c r="T1195" s="32"/>
      <c r="U1195" s="32"/>
      <c r="V1195" s="32"/>
      <c r="W1195" s="32"/>
      <c r="X1195" s="32"/>
      <c r="Y1195" s="32"/>
      <c r="Z1195" s="32"/>
    </row>
    <row r="1196">
      <c r="A1196" s="32" t="str">
        <f>IFERROR(__xludf.DUMMYFUNCTION("""COMPUTED_VALUE"""),"The Ancient Medallion of Frost")</f>
        <v>The Ancient Medallion of Frost</v>
      </c>
      <c r="B1196" s="32" t="str">
        <f>IFERROR(__xludf.DUMMYFUNCTION("""COMPUTED_VALUE"""),"The key to getting into the final tower of the winter event. (Item)")</f>
        <v>The key to getting into the final tower of the winter event. (Item)</v>
      </c>
      <c r="C1196" s="32"/>
      <c r="D1196" s="32"/>
      <c r="E1196" s="32"/>
      <c r="F1196" s="32"/>
      <c r="G1196" s="32"/>
      <c r="H1196" s="32"/>
      <c r="I1196" s="32"/>
      <c r="J1196" s="32"/>
      <c r="K1196" s="32"/>
      <c r="L1196" s="32"/>
      <c r="M1196" s="32"/>
      <c r="N1196" s="32"/>
      <c r="O1196" s="32"/>
      <c r="P1196" s="32"/>
      <c r="Q1196" s="32"/>
      <c r="R1196" s="32"/>
      <c r="S1196" s="32"/>
      <c r="T1196" s="32"/>
      <c r="U1196" s="32"/>
      <c r="V1196" s="32"/>
      <c r="W1196" s="32"/>
      <c r="X1196" s="32"/>
      <c r="Y1196" s="32"/>
      <c r="Z1196" s="32"/>
    </row>
    <row r="1197">
      <c r="A1197" s="32" t="str">
        <f>IFERROR(__xludf.DUMMYFUNCTION("""COMPUTED_VALUE"""),"Gargoyle Stone Tablet")</f>
        <v>Gargoyle Stone Tablet</v>
      </c>
      <c r="B1197" s="32" t="str">
        <f>IFERROR(__xludf.DUMMYFUNCTION("""COMPUTED_VALUE"""),"Tells you the Location of 3 Tiny Gargoyles. This item can only be used once. (Item)")</f>
        <v>Tells you the Location of 3 Tiny Gargoyles. This item can only be used once. (Item)</v>
      </c>
      <c r="C1197" s="32"/>
      <c r="D1197" s="32"/>
      <c r="E1197" s="32"/>
      <c r="F1197" s="32"/>
      <c r="G1197" s="32"/>
      <c r="H1197" s="32"/>
      <c r="I1197" s="32"/>
      <c r="J1197" s="32"/>
      <c r="K1197" s="32"/>
      <c r="L1197" s="32"/>
      <c r="M1197" s="32"/>
      <c r="N1197" s="32"/>
      <c r="O1197" s="32"/>
      <c r="P1197" s="32"/>
      <c r="Q1197" s="32"/>
      <c r="R1197" s="32"/>
      <c r="S1197" s="32"/>
      <c r="T1197" s="32"/>
      <c r="U1197" s="32"/>
      <c r="V1197" s="32"/>
      <c r="W1197" s="32"/>
      <c r="X1197" s="32"/>
      <c r="Y1197" s="32"/>
      <c r="Z1197" s="32"/>
    </row>
    <row r="1198">
      <c r="A1198" s="32" t="str">
        <f>IFERROR(__xludf.DUMMYFUNCTION("""COMPUTED_VALUE"""),"Map of the Gargoyle’s")</f>
        <v>Map of the Gargoyle’s</v>
      </c>
      <c r="B1198" s="32" t="str">
        <f>IFERROR(__xludf.DUMMYFUNCTION("""COMPUTED_VALUE"""),"Allows Use to see Special Gargoyle’s (Item)")</f>
        <v>Allows Use to see Special Gargoyle’s (Item)</v>
      </c>
      <c r="C1198" s="32"/>
      <c r="D1198" s="32"/>
      <c r="E1198" s="32"/>
      <c r="F1198" s="32"/>
      <c r="G1198" s="32"/>
      <c r="H1198" s="32"/>
      <c r="I1198" s="32"/>
      <c r="J1198" s="32"/>
      <c r="K1198" s="32"/>
      <c r="L1198" s="32"/>
      <c r="M1198" s="32"/>
      <c r="N1198" s="32"/>
      <c r="O1198" s="32"/>
      <c r="P1198" s="32"/>
      <c r="Q1198" s="32"/>
      <c r="R1198" s="32"/>
      <c r="S1198" s="32"/>
      <c r="T1198" s="32"/>
      <c r="U1198" s="32"/>
      <c r="V1198" s="32"/>
      <c r="W1198" s="32"/>
      <c r="X1198" s="32"/>
      <c r="Y1198" s="32"/>
      <c r="Z1198" s="32"/>
    </row>
    <row r="1199">
      <c r="A1199" s="32" t="str">
        <f>IFERROR(__xludf.DUMMYFUNCTION("""COMPUTED_VALUE"""),"The Tome of Abstara")</f>
        <v>The Tome of Abstara</v>
      </c>
      <c r="B1199" s="32" t="str">
        <f>IFERROR(__xludf.DUMMYFUNCTION("""COMPUTED_VALUE"""),"Can use up to Rank 9 Fire, Chaos, and Dark spells. (Item)")</f>
        <v>Can use up to Rank 9 Fire, Chaos, and Dark spells. (Item)</v>
      </c>
      <c r="C1199" s="32"/>
      <c r="D1199" s="32"/>
      <c r="E1199" s="32"/>
      <c r="F1199" s="32"/>
      <c r="G1199" s="32"/>
      <c r="H1199" s="32"/>
      <c r="I1199" s="32"/>
      <c r="J1199" s="32"/>
      <c r="K1199" s="32"/>
      <c r="L1199" s="32"/>
      <c r="M1199" s="32"/>
      <c r="N1199" s="32"/>
      <c r="O1199" s="32"/>
      <c r="P1199" s="32"/>
      <c r="Q1199" s="32"/>
      <c r="R1199" s="32"/>
      <c r="S1199" s="32"/>
      <c r="T1199" s="32"/>
      <c r="U1199" s="32"/>
      <c r="V1199" s="32"/>
      <c r="W1199" s="32"/>
      <c r="X1199" s="32"/>
      <c r="Y1199" s="32"/>
      <c r="Z1199" s="32"/>
    </row>
    <row r="1200">
      <c r="A1200" s="32" t="str">
        <f>IFERROR(__xludf.DUMMYFUNCTION("""COMPUTED_VALUE"""),"Gargoyle’s Fishing Pole")</f>
        <v>Gargoyle’s Fishing Pole</v>
      </c>
      <c r="B1200" s="32" t="str">
        <f>IFERROR(__xludf.DUMMYFUNCTION("""COMPUTED_VALUE"""),"500/500 Uses. Used for lava fishing. Made of Stone. (Item)")</f>
        <v>500/500 Uses. Used for lava fishing. Made of Stone. (Item)</v>
      </c>
      <c r="C1200" s="32"/>
      <c r="D1200" s="32"/>
      <c r="E1200" s="32"/>
      <c r="F1200" s="32"/>
      <c r="G1200" s="32"/>
      <c r="H1200" s="32"/>
      <c r="I1200" s="32"/>
      <c r="J1200" s="32"/>
      <c r="K1200" s="32"/>
      <c r="L1200" s="32"/>
      <c r="M1200" s="32"/>
      <c r="N1200" s="32"/>
      <c r="O1200" s="32"/>
      <c r="P1200" s="32"/>
      <c r="Q1200" s="32"/>
      <c r="R1200" s="32"/>
      <c r="S1200" s="32"/>
      <c r="T1200" s="32"/>
      <c r="U1200" s="32"/>
      <c r="V1200" s="32"/>
      <c r="W1200" s="32"/>
      <c r="X1200" s="32"/>
      <c r="Y1200" s="32"/>
      <c r="Z1200" s="32"/>
    </row>
    <row r="1201">
      <c r="A1201" s="32" t="str">
        <f>IFERROR(__xludf.DUMMYFUNCTION("""COMPUTED_VALUE"""),"Stone Worm")</f>
        <v>Stone Worm</v>
      </c>
      <c r="B1201" s="32" t="str">
        <f>IFERROR(__xludf.DUMMYFUNCTION("""COMPUTED_VALUE"""),"Fishing bait. Used for lava fishing. (Item)")</f>
        <v>Fishing bait. Used for lava fishing. (Item)</v>
      </c>
      <c r="C1201" s="32"/>
      <c r="D1201" s="32"/>
      <c r="E1201" s="32"/>
      <c r="F1201" s="32"/>
      <c r="G1201" s="32"/>
      <c r="H1201" s="32"/>
      <c r="I1201" s="32"/>
      <c r="J1201" s="32"/>
      <c r="K1201" s="32"/>
      <c r="L1201" s="32"/>
      <c r="M1201" s="32"/>
      <c r="N1201" s="32"/>
      <c r="O1201" s="32"/>
      <c r="P1201" s="32"/>
      <c r="Q1201" s="32"/>
      <c r="R1201" s="32"/>
      <c r="S1201" s="32"/>
      <c r="T1201" s="32"/>
      <c r="U1201" s="32"/>
      <c r="V1201" s="32"/>
      <c r="W1201" s="32"/>
      <c r="X1201" s="32"/>
      <c r="Y1201" s="32"/>
      <c r="Z1201" s="32"/>
    </row>
    <row r="1202">
      <c r="A1202" s="32" t="str">
        <f>IFERROR(__xludf.DUMMYFUNCTION("""COMPUTED_VALUE"""),"Rock Soup")</f>
        <v>Rock Soup</v>
      </c>
      <c r="B1202" s="32" t="str">
        <f>IFERROR(__xludf.DUMMYFUNCTION("""COMPUTED_VALUE"""),"25 Hunger and +15 Thirst (Crop)")</f>
        <v>25 Hunger and +15 Thirst (Crop)</v>
      </c>
      <c r="C1202" s="32"/>
      <c r="D1202" s="32"/>
      <c r="E1202" s="32"/>
      <c r="F1202" s="32"/>
      <c r="G1202" s="32"/>
      <c r="H1202" s="32"/>
      <c r="I1202" s="32"/>
      <c r="J1202" s="32"/>
      <c r="K1202" s="32"/>
      <c r="L1202" s="32"/>
      <c r="M1202" s="32"/>
      <c r="N1202" s="32"/>
      <c r="O1202" s="32"/>
      <c r="P1202" s="32"/>
      <c r="Q1202" s="32"/>
      <c r="R1202" s="32"/>
      <c r="S1202" s="32"/>
      <c r="T1202" s="32"/>
      <c r="U1202" s="32"/>
      <c r="V1202" s="32"/>
      <c r="W1202" s="32"/>
      <c r="X1202" s="32"/>
      <c r="Y1202" s="32"/>
      <c r="Z1202" s="32"/>
    </row>
    <row r="1203">
      <c r="A1203" s="32" t="str">
        <f>IFERROR(__xludf.DUMMYFUNCTION("""COMPUTED_VALUE"""),"Gargoyle’s slumbering mead")</f>
        <v>Gargoyle’s slumbering mead</v>
      </c>
      <c r="B1203" s="32" t="str">
        <f>IFERROR(__xludf.DUMMYFUNCTION("""COMPUTED_VALUE"""),"100 Thirst +100 Energy (Item)")</f>
        <v>100 Thirst +100 Energy (Item)</v>
      </c>
      <c r="C1203" s="32"/>
      <c r="D1203" s="32"/>
      <c r="E1203" s="32"/>
      <c r="F1203" s="32"/>
      <c r="G1203" s="32"/>
      <c r="H1203" s="32"/>
      <c r="I1203" s="32"/>
      <c r="J1203" s="32"/>
      <c r="K1203" s="32"/>
      <c r="L1203" s="32"/>
      <c r="M1203" s="32"/>
      <c r="N1203" s="32"/>
      <c r="O1203" s="32"/>
      <c r="P1203" s="32"/>
      <c r="Q1203" s="32"/>
      <c r="R1203" s="32"/>
      <c r="S1203" s="32"/>
      <c r="T1203" s="32"/>
      <c r="U1203" s="32"/>
      <c r="V1203" s="32"/>
      <c r="W1203" s="32"/>
      <c r="X1203" s="32"/>
      <c r="Y1203" s="32"/>
      <c r="Z1203" s="32"/>
    </row>
    <row r="1204">
      <c r="A1204" s="32" t="str">
        <f>IFERROR(__xludf.DUMMYFUNCTION("""COMPUTED_VALUE"""),"Dark rum")</f>
        <v>Dark rum</v>
      </c>
      <c r="B1204" s="32" t="str">
        <f>IFERROR(__xludf.DUMMYFUNCTION("""COMPUTED_VALUE"""),"200 Thirst +200 Energy (Item)")</f>
        <v>200 Thirst +200 Energy (Item)</v>
      </c>
      <c r="C1204" s="32"/>
      <c r="D1204" s="32"/>
      <c r="E1204" s="32"/>
      <c r="F1204" s="32"/>
      <c r="G1204" s="32"/>
      <c r="H1204" s="32"/>
      <c r="I1204" s="32"/>
      <c r="J1204" s="32"/>
      <c r="K1204" s="32"/>
      <c r="L1204" s="32"/>
      <c r="M1204" s="32"/>
      <c r="N1204" s="32"/>
      <c r="O1204" s="32"/>
      <c r="P1204" s="32"/>
      <c r="Q1204" s="32"/>
      <c r="R1204" s="32"/>
      <c r="S1204" s="32"/>
      <c r="T1204" s="32"/>
      <c r="U1204" s="32"/>
      <c r="V1204" s="32"/>
      <c r="W1204" s="32"/>
      <c r="X1204" s="32"/>
      <c r="Y1204" s="32"/>
      <c r="Z1204" s="32"/>
    </row>
    <row r="1205">
      <c r="A1205" s="32" t="str">
        <f>IFERROR(__xludf.DUMMYFUNCTION("""COMPUTED_VALUE"""),"Blank steak")</f>
        <v>Blank steak</v>
      </c>
      <c r="B1205" s="32" t="str">
        <f>IFERROR(__xludf.DUMMYFUNCTION("""COMPUTED_VALUE"""),"25 Hunger (Crop)")</f>
        <v>25 Hunger (Crop)</v>
      </c>
      <c r="C1205" s="32"/>
      <c r="D1205" s="32"/>
      <c r="E1205" s="32"/>
      <c r="F1205" s="32"/>
      <c r="G1205" s="32"/>
      <c r="H1205" s="32"/>
      <c r="I1205" s="32"/>
      <c r="J1205" s="32"/>
      <c r="K1205" s="32"/>
      <c r="L1205" s="32"/>
      <c r="M1205" s="32"/>
      <c r="N1205" s="32"/>
      <c r="O1205" s="32"/>
      <c r="P1205" s="32"/>
      <c r="Q1205" s="32"/>
      <c r="R1205" s="32"/>
      <c r="S1205" s="32"/>
      <c r="T1205" s="32"/>
      <c r="U1205" s="32"/>
      <c r="V1205" s="32"/>
      <c r="W1205" s="32"/>
      <c r="X1205" s="32"/>
      <c r="Y1205" s="32"/>
      <c r="Z1205" s="32"/>
    </row>
    <row r="1206">
      <c r="A1206" s="32" t="str">
        <f>IFERROR(__xludf.DUMMYFUNCTION("""COMPUTED_VALUE"""),"Geode jello")</f>
        <v>Geode jello</v>
      </c>
      <c r="B1206" s="32" t="str">
        <f>IFERROR(__xludf.DUMMYFUNCTION("""COMPUTED_VALUE"""),"20 Thirst (Item)")</f>
        <v>20 Thirst (Item)</v>
      </c>
      <c r="C1206" s="32"/>
      <c r="D1206" s="32"/>
      <c r="E1206" s="32"/>
      <c r="F1206" s="32"/>
      <c r="G1206" s="32"/>
      <c r="H1206" s="32"/>
      <c r="I1206" s="32"/>
      <c r="J1206" s="32"/>
      <c r="K1206" s="32"/>
      <c r="L1206" s="32"/>
      <c r="M1206" s="32"/>
      <c r="N1206" s="32"/>
      <c r="O1206" s="32"/>
      <c r="P1206" s="32"/>
      <c r="Q1206" s="32"/>
      <c r="R1206" s="32"/>
      <c r="S1206" s="32"/>
      <c r="T1206" s="32"/>
      <c r="U1206" s="32"/>
      <c r="V1206" s="32"/>
      <c r="W1206" s="32"/>
      <c r="X1206" s="32"/>
      <c r="Y1206" s="32"/>
      <c r="Z1206" s="32"/>
    </row>
    <row r="1207">
      <c r="A1207" s="32" t="str">
        <f>IFERROR(__xludf.DUMMYFUNCTION("""COMPUTED_VALUE"""),"Black baked potatoes")</f>
        <v>Black baked potatoes</v>
      </c>
      <c r="B1207" s="32" t="str">
        <f>IFERROR(__xludf.DUMMYFUNCTION("""COMPUTED_VALUE"""),"50 Hunger (Crop)")</f>
        <v>50 Hunger (Crop)</v>
      </c>
      <c r="C1207" s="32"/>
      <c r="D1207" s="32"/>
      <c r="E1207" s="32"/>
      <c r="F1207" s="32"/>
      <c r="G1207" s="32"/>
      <c r="H1207" s="32"/>
      <c r="I1207" s="32"/>
      <c r="J1207" s="32"/>
      <c r="K1207" s="32"/>
      <c r="L1207" s="32"/>
      <c r="M1207" s="32"/>
      <c r="N1207" s="32"/>
      <c r="O1207" s="32"/>
      <c r="P1207" s="32"/>
      <c r="Q1207" s="32"/>
      <c r="R1207" s="32"/>
      <c r="S1207" s="32"/>
      <c r="T1207" s="32"/>
      <c r="U1207" s="32"/>
      <c r="V1207" s="32"/>
      <c r="W1207" s="32"/>
      <c r="X1207" s="32"/>
      <c r="Y1207" s="32"/>
      <c r="Z1207" s="32"/>
    </row>
    <row r="1208">
      <c r="A1208" s="32" t="str">
        <f>IFERROR(__xludf.DUMMYFUNCTION("""COMPUTED_VALUE"""),"Human Steak")</f>
        <v>Human Steak</v>
      </c>
      <c r="B1208" s="32" t="str">
        <f>IFERROR(__xludf.DUMMYFUNCTION("""COMPUTED_VALUE"""),"300 Hunger (Crop)")</f>
        <v>300 Hunger (Crop)</v>
      </c>
      <c r="C1208" s="32"/>
      <c r="D1208" s="32"/>
      <c r="E1208" s="32"/>
      <c r="F1208" s="32"/>
      <c r="G1208" s="32"/>
      <c r="H1208" s="32"/>
      <c r="I1208" s="32"/>
      <c r="J1208" s="32"/>
      <c r="K1208" s="32"/>
      <c r="L1208" s="32"/>
      <c r="M1208" s="32"/>
      <c r="N1208" s="32"/>
      <c r="O1208" s="32"/>
      <c r="P1208" s="32"/>
      <c r="Q1208" s="32"/>
      <c r="R1208" s="32"/>
      <c r="S1208" s="32"/>
      <c r="T1208" s="32"/>
      <c r="U1208" s="32"/>
      <c r="V1208" s="32"/>
      <c r="W1208" s="32"/>
      <c r="X1208" s="32"/>
      <c r="Y1208" s="32"/>
      <c r="Z1208" s="32"/>
    </row>
    <row r="1209">
      <c r="A1209" s="32" t="str">
        <f>IFERROR(__xludf.DUMMYFUNCTION("""COMPUTED_VALUE"""),"Black Sheep mutton")</f>
        <v>Black Sheep mutton</v>
      </c>
      <c r="B1209" s="32" t="str">
        <f>IFERROR(__xludf.DUMMYFUNCTION("""COMPUTED_VALUE"""),"250 Hunger (Crop)")</f>
        <v>250 Hunger (Crop)</v>
      </c>
      <c r="C1209" s="32"/>
      <c r="D1209" s="32"/>
      <c r="E1209" s="32"/>
      <c r="F1209" s="32"/>
      <c r="G1209" s="32"/>
      <c r="H1209" s="32"/>
      <c r="I1209" s="32"/>
      <c r="J1209" s="32"/>
      <c r="K1209" s="32"/>
      <c r="L1209" s="32"/>
      <c r="M1209" s="32"/>
      <c r="N1209" s="32"/>
      <c r="O1209" s="32"/>
      <c r="P1209" s="32"/>
      <c r="Q1209" s="32"/>
      <c r="R1209" s="32"/>
      <c r="S1209" s="32"/>
      <c r="T1209" s="32"/>
      <c r="U1209" s="32"/>
      <c r="V1209" s="32"/>
      <c r="W1209" s="32"/>
      <c r="X1209" s="32"/>
      <c r="Y1209" s="32"/>
      <c r="Z1209" s="32"/>
    </row>
    <row r="1210">
      <c r="A1210" s="32" t="str">
        <f>IFERROR(__xludf.DUMMYFUNCTION("""COMPUTED_VALUE"""),"Ebony Caviar")</f>
        <v>Ebony Caviar</v>
      </c>
      <c r="B1210" s="32" t="str">
        <f>IFERROR(__xludf.DUMMYFUNCTION("""COMPUTED_VALUE"""),"100 Hunger +105 Energy (Crop)")</f>
        <v>100 Hunger +105 Energy (Crop)</v>
      </c>
      <c r="C1210" s="32"/>
      <c r="D1210" s="32"/>
      <c r="E1210" s="32"/>
      <c r="F1210" s="32"/>
      <c r="G1210" s="32"/>
      <c r="H1210" s="32"/>
      <c r="I1210" s="32"/>
      <c r="J1210" s="32"/>
      <c r="K1210" s="32"/>
      <c r="L1210" s="32"/>
      <c r="M1210" s="32"/>
      <c r="N1210" s="32"/>
      <c r="O1210" s="32"/>
      <c r="P1210" s="32"/>
      <c r="Q1210" s="32"/>
      <c r="R1210" s="32"/>
      <c r="S1210" s="32"/>
      <c r="T1210" s="32"/>
      <c r="U1210" s="32"/>
      <c r="V1210" s="32"/>
      <c r="W1210" s="32"/>
      <c r="X1210" s="32"/>
      <c r="Y1210" s="32"/>
      <c r="Z1210" s="32"/>
    </row>
    <row r="1211">
      <c r="A1211" s="32" t="str">
        <f>IFERROR(__xludf.DUMMYFUNCTION("""COMPUTED_VALUE"""),"Black Kale")</f>
        <v>Black Kale</v>
      </c>
      <c r="B1211" s="32" t="str">
        <f>IFERROR(__xludf.DUMMYFUNCTION("""COMPUTED_VALUE"""),"140 Hunger (Crop)")</f>
        <v>140 Hunger (Crop)</v>
      </c>
      <c r="C1211" s="32"/>
      <c r="D1211" s="32"/>
      <c r="E1211" s="32"/>
      <c r="F1211" s="32"/>
      <c r="G1211" s="32"/>
      <c r="H1211" s="32"/>
      <c r="I1211" s="32"/>
      <c r="J1211" s="32"/>
      <c r="K1211" s="32"/>
      <c r="L1211" s="32"/>
      <c r="M1211" s="32"/>
      <c r="N1211" s="32"/>
      <c r="O1211" s="32"/>
      <c r="P1211" s="32"/>
      <c r="Q1211" s="32"/>
      <c r="R1211" s="32"/>
      <c r="S1211" s="32"/>
      <c r="T1211" s="32"/>
      <c r="U1211" s="32"/>
      <c r="V1211" s="32"/>
      <c r="W1211" s="32"/>
      <c r="X1211" s="32"/>
      <c r="Y1211" s="32"/>
      <c r="Z1211" s="32"/>
    </row>
    <row r="1212">
      <c r="A1212" s="32" t="str">
        <f>IFERROR(__xludf.DUMMYFUNCTION("""COMPUTED_VALUE"""),"Smokey Champagne")</f>
        <v>Smokey Champagne</v>
      </c>
      <c r="B1212" s="32" t="str">
        <f>IFERROR(__xludf.DUMMYFUNCTION("""COMPUTED_VALUE"""),"140 Thirst (Item)")</f>
        <v>140 Thirst (Item)</v>
      </c>
      <c r="C1212" s="32"/>
      <c r="D1212" s="32"/>
      <c r="E1212" s="32"/>
      <c r="F1212" s="32"/>
      <c r="G1212" s="32"/>
      <c r="H1212" s="32"/>
      <c r="I1212" s="32"/>
      <c r="J1212" s="32"/>
      <c r="K1212" s="32"/>
      <c r="L1212" s="32"/>
      <c r="M1212" s="32"/>
      <c r="N1212" s="32"/>
      <c r="O1212" s="32"/>
      <c r="P1212" s="32"/>
      <c r="Q1212" s="32"/>
      <c r="R1212" s="32"/>
      <c r="S1212" s="32"/>
      <c r="T1212" s="32"/>
      <c r="U1212" s="32"/>
      <c r="V1212" s="32"/>
      <c r="W1212" s="32"/>
      <c r="X1212" s="32"/>
      <c r="Y1212" s="32"/>
      <c r="Z1212" s="32"/>
    </row>
    <row r="1213">
      <c r="A1213" s="32" t="str">
        <f>IFERROR(__xludf.DUMMYFUNCTION("""COMPUTED_VALUE"""),"Dead Island iced tea")</f>
        <v>Dead Island iced tea</v>
      </c>
      <c r="B1213" s="32" t="str">
        <f>IFERROR(__xludf.DUMMYFUNCTION("""COMPUTED_VALUE"""),"150 Thirst +125 Energy (Item)")</f>
        <v>150 Thirst +125 Energy (Item)</v>
      </c>
      <c r="C1213" s="32"/>
      <c r="D1213" s="32"/>
      <c r="E1213" s="32"/>
      <c r="F1213" s="32"/>
      <c r="G1213" s="32"/>
      <c r="H1213" s="32"/>
      <c r="I1213" s="32"/>
      <c r="J1213" s="32"/>
      <c r="K1213" s="32"/>
      <c r="L1213" s="32"/>
      <c r="M1213" s="32"/>
      <c r="N1213" s="32"/>
      <c r="O1213" s="32"/>
      <c r="P1213" s="32"/>
      <c r="Q1213" s="32"/>
      <c r="R1213" s="32"/>
      <c r="S1213" s="32"/>
      <c r="T1213" s="32"/>
      <c r="U1213" s="32"/>
      <c r="V1213" s="32"/>
      <c r="W1213" s="32"/>
      <c r="X1213" s="32"/>
      <c r="Y1213" s="32"/>
      <c r="Z1213" s="32"/>
    </row>
    <row r="1214">
      <c r="A1214" s="32" t="str">
        <f>IFERROR(__xludf.DUMMYFUNCTION("""COMPUTED_VALUE"""),"Black russian")</f>
        <v>Black russian</v>
      </c>
      <c r="B1214" s="32" t="str">
        <f>IFERROR(__xludf.DUMMYFUNCTION("""COMPUTED_VALUE"""),"200 Thirst +200 Energy (Item)")</f>
        <v>200 Thirst +200 Energy (Item)</v>
      </c>
      <c r="C1214" s="32"/>
      <c r="D1214" s="32"/>
      <c r="E1214" s="32"/>
      <c r="F1214" s="32"/>
      <c r="G1214" s="32"/>
      <c r="H1214" s="32"/>
      <c r="I1214" s="32"/>
      <c r="J1214" s="32"/>
      <c r="K1214" s="32"/>
      <c r="L1214" s="32"/>
      <c r="M1214" s="32"/>
      <c r="N1214" s="32"/>
      <c r="O1214" s="32"/>
      <c r="P1214" s="32"/>
      <c r="Q1214" s="32"/>
      <c r="R1214" s="32"/>
      <c r="S1214" s="32"/>
      <c r="T1214" s="32"/>
      <c r="U1214" s="32"/>
      <c r="V1214" s="32"/>
      <c r="W1214" s="32"/>
      <c r="X1214" s="32"/>
      <c r="Y1214" s="32"/>
      <c r="Z1214" s="32"/>
    </row>
    <row r="1215">
      <c r="A1215" s="32" t="str">
        <f>IFERROR(__xludf.DUMMYFUNCTION("""COMPUTED_VALUE"""),"Obsidian Lobster")</f>
        <v>Obsidian Lobster</v>
      </c>
      <c r="B1215" s="32" t="str">
        <f>IFERROR(__xludf.DUMMYFUNCTION("""COMPUTED_VALUE"""),"200 Hunger +200 Energy (Crop)")</f>
        <v>200 Hunger +200 Energy (Crop)</v>
      </c>
      <c r="C1215" s="32"/>
      <c r="D1215" s="32"/>
      <c r="E1215" s="32"/>
      <c r="F1215" s="32"/>
      <c r="G1215" s="32"/>
      <c r="H1215" s="32"/>
      <c r="I1215" s="32"/>
      <c r="J1215" s="32"/>
      <c r="K1215" s="32"/>
      <c r="L1215" s="32"/>
      <c r="M1215" s="32"/>
      <c r="N1215" s="32"/>
      <c r="O1215" s="32"/>
      <c r="P1215" s="32"/>
      <c r="Q1215" s="32"/>
      <c r="R1215" s="32"/>
      <c r="S1215" s="32"/>
      <c r="T1215" s="32"/>
      <c r="U1215" s="32"/>
      <c r="V1215" s="32"/>
      <c r="W1215" s="32"/>
      <c r="X1215" s="32"/>
      <c r="Y1215" s="32"/>
      <c r="Z1215" s="32"/>
    </row>
    <row r="1216">
      <c r="A1216" s="32" t="str">
        <f>IFERROR(__xludf.DUMMYFUNCTION("""COMPUTED_VALUE"""),"Charcoal Truffles")</f>
        <v>Charcoal Truffles</v>
      </c>
      <c r="B1216" s="32" t="str">
        <f>IFERROR(__xludf.DUMMYFUNCTION("""COMPUTED_VALUE"""),"100 Hunger +100 Energy (Crop)")</f>
        <v>100 Hunger +100 Energy (Crop)</v>
      </c>
      <c r="C1216" s="32"/>
      <c r="D1216" s="32"/>
      <c r="E1216" s="32"/>
      <c r="F1216" s="32"/>
      <c r="G1216" s="32"/>
      <c r="H1216" s="32"/>
      <c r="I1216" s="32"/>
      <c r="J1216" s="32"/>
      <c r="K1216" s="32"/>
      <c r="L1216" s="32"/>
      <c r="M1216" s="32"/>
      <c r="N1216" s="32"/>
      <c r="O1216" s="32"/>
      <c r="P1216" s="32"/>
      <c r="Q1216" s="32"/>
      <c r="R1216" s="32"/>
      <c r="S1216" s="32"/>
      <c r="T1216" s="32"/>
      <c r="U1216" s="32"/>
      <c r="V1216" s="32"/>
      <c r="W1216" s="32"/>
      <c r="X1216" s="32"/>
      <c r="Y1216" s="32"/>
      <c r="Z1216" s="32"/>
    </row>
    <row r="1217">
      <c r="A1217" s="32" t="str">
        <f>IFERROR(__xludf.DUMMYFUNCTION("""COMPUTED_VALUE"""),"Italian spaghetti and meatballs")</f>
        <v>Italian spaghetti and meatballs</v>
      </c>
      <c r="B1217" s="32" t="str">
        <f>IFERROR(__xludf.DUMMYFUNCTION("""COMPUTED_VALUE"""),"Full HP, Energy, Hunger, Thirst (Crop)")</f>
        <v>Full HP, Energy, Hunger, Thirst (Crop)</v>
      </c>
      <c r="C1217" s="32"/>
      <c r="D1217" s="32"/>
      <c r="E1217" s="32"/>
      <c r="F1217" s="32"/>
      <c r="G1217" s="32"/>
      <c r="H1217" s="32"/>
      <c r="I1217" s="32"/>
      <c r="J1217" s="32"/>
      <c r="K1217" s="32"/>
      <c r="L1217" s="32"/>
      <c r="M1217" s="32"/>
      <c r="N1217" s="32"/>
      <c r="O1217" s="32"/>
      <c r="P1217" s="32"/>
      <c r="Q1217" s="32"/>
      <c r="R1217" s="32"/>
      <c r="S1217" s="32"/>
      <c r="T1217" s="32"/>
      <c r="U1217" s="32"/>
      <c r="V1217" s="32"/>
      <c r="W1217" s="32"/>
      <c r="X1217" s="32"/>
      <c r="Y1217" s="32"/>
      <c r="Z1217" s="32"/>
    </row>
    <row r="1218">
      <c r="A1218" s="32" t="str">
        <f>IFERROR(__xludf.DUMMYFUNCTION("""COMPUTED_VALUE"""),"Enclosed Spirits (enchantment)")</f>
        <v>Enclosed Spirits (enchantment)</v>
      </c>
      <c r="B1218" s="32" t="str">
        <f>IFERROR(__xludf.DUMMYFUNCTION("""COMPUTED_VALUE"""),"Add 1000 Spirit damage or resistance to any Spirit related Weapon or armor. (Item)")</f>
        <v>Add 1000 Spirit damage or resistance to any Spirit related Weapon or armor. (Item)</v>
      </c>
      <c r="C1218" s="32"/>
      <c r="D1218" s="32"/>
      <c r="E1218" s="32"/>
      <c r="F1218" s="32"/>
      <c r="G1218" s="32"/>
      <c r="H1218" s="32"/>
      <c r="I1218" s="32"/>
      <c r="J1218" s="32"/>
      <c r="K1218" s="32"/>
      <c r="L1218" s="32"/>
      <c r="M1218" s="32"/>
      <c r="N1218" s="32"/>
      <c r="O1218" s="32"/>
      <c r="P1218" s="32"/>
      <c r="Q1218" s="32"/>
      <c r="R1218" s="32"/>
      <c r="S1218" s="32"/>
      <c r="T1218" s="32"/>
      <c r="U1218" s="32"/>
      <c r="V1218" s="32"/>
      <c r="W1218" s="32"/>
      <c r="X1218" s="32"/>
      <c r="Y1218" s="32"/>
      <c r="Z1218" s="32"/>
    </row>
    <row r="1219">
      <c r="A1219" s="32" t="str">
        <f>IFERROR(__xludf.DUMMYFUNCTION("""COMPUTED_VALUE"""),"Goat’s eye")</f>
        <v>Goat’s eye</v>
      </c>
      <c r="B1219" s="32" t="str">
        <f>IFERROR(__xludf.DUMMYFUNCTION("""COMPUTED_VALUE"""),"Crafting Material, roll a d20 to see how many you get if this is a loot drop. (Item)")</f>
        <v>Crafting Material, roll a d20 to see how many you get if this is a loot drop. (Item)</v>
      </c>
      <c r="C1219" s="32"/>
      <c r="D1219" s="32"/>
      <c r="E1219" s="32"/>
      <c r="F1219" s="32"/>
      <c r="G1219" s="32"/>
      <c r="H1219" s="32"/>
      <c r="I1219" s="32"/>
      <c r="J1219" s="32"/>
      <c r="K1219" s="32"/>
      <c r="L1219" s="32"/>
      <c r="M1219" s="32"/>
      <c r="N1219" s="32"/>
      <c r="O1219" s="32"/>
      <c r="P1219" s="32"/>
      <c r="Q1219" s="32"/>
      <c r="R1219" s="32"/>
      <c r="S1219" s="32"/>
      <c r="T1219" s="32"/>
      <c r="U1219" s="32"/>
      <c r="V1219" s="32"/>
      <c r="W1219" s="32"/>
      <c r="X1219" s="32"/>
      <c r="Y1219" s="32"/>
      <c r="Z1219" s="32"/>
    </row>
    <row r="1220">
      <c r="A1220" s="32" t="str">
        <f>IFERROR(__xludf.DUMMYFUNCTION("""COMPUTED_VALUE"""),"Heart of the Demon")</f>
        <v>Heart of the Demon</v>
      </c>
      <c r="B1220" s="32" t="str">
        <f>IFERROR(__xludf.DUMMYFUNCTION("""COMPUTED_VALUE"""),"Crafting Material, roll a d20 to see how many you get if this is a loot drop. (Item)")</f>
        <v>Crafting Material, roll a d20 to see how many you get if this is a loot drop. (Item)</v>
      </c>
      <c r="C1220" s="32"/>
      <c r="D1220" s="32"/>
      <c r="E1220" s="32"/>
      <c r="F1220" s="32"/>
      <c r="G1220" s="32"/>
      <c r="H1220" s="32"/>
      <c r="I1220" s="32"/>
      <c r="J1220" s="32"/>
      <c r="K1220" s="32"/>
      <c r="L1220" s="32"/>
      <c r="M1220" s="32"/>
      <c r="N1220" s="32"/>
      <c r="O1220" s="32"/>
      <c r="P1220" s="32"/>
      <c r="Q1220" s="32"/>
      <c r="R1220" s="32"/>
      <c r="S1220" s="32"/>
      <c r="T1220" s="32"/>
      <c r="U1220" s="32"/>
      <c r="V1220" s="32"/>
      <c r="W1220" s="32"/>
      <c r="X1220" s="32"/>
      <c r="Y1220" s="32"/>
      <c r="Z1220" s="32"/>
    </row>
    <row r="1221">
      <c r="A1221" s="32" t="str">
        <f>IFERROR(__xludf.DUMMYFUNCTION("""COMPUTED_VALUE"""),"Tooth of the Volcanic Serpent")</f>
        <v>Tooth of the Volcanic Serpent</v>
      </c>
      <c r="B1221" s="32" t="str">
        <f>IFERROR(__xludf.DUMMYFUNCTION("""COMPUTED_VALUE"""),"Crafting Material, roll a d20 to see how many you get if this is a loot drop. (Item)")</f>
        <v>Crafting Material, roll a d20 to see how many you get if this is a loot drop. (Item)</v>
      </c>
      <c r="C1221" s="32"/>
      <c r="D1221" s="32"/>
      <c r="E1221" s="32"/>
      <c r="F1221" s="32"/>
      <c r="G1221" s="32"/>
      <c r="H1221" s="32"/>
      <c r="I1221" s="32"/>
      <c r="J1221" s="32"/>
      <c r="K1221" s="32"/>
      <c r="L1221" s="32"/>
      <c r="M1221" s="32"/>
      <c r="N1221" s="32"/>
      <c r="O1221" s="32"/>
      <c r="P1221" s="32"/>
      <c r="Q1221" s="32"/>
      <c r="R1221" s="32"/>
      <c r="S1221" s="32"/>
      <c r="T1221" s="32"/>
      <c r="U1221" s="32"/>
      <c r="V1221" s="32"/>
      <c r="W1221" s="32"/>
      <c r="X1221" s="32"/>
      <c r="Y1221" s="32"/>
      <c r="Z1221" s="32"/>
    </row>
    <row r="1222">
      <c r="A1222" s="32" t="str">
        <f>IFERROR(__xludf.DUMMYFUNCTION("""COMPUTED_VALUE"""),"Fire Jaguars Leather Skin")</f>
        <v>Fire Jaguars Leather Skin</v>
      </c>
      <c r="B1222" s="32" t="str">
        <f>IFERROR(__xludf.DUMMYFUNCTION("""COMPUTED_VALUE"""),"Crafting Material, roll a d20 to see how many you get if this is a loot drop. (Item)")</f>
        <v>Crafting Material, roll a d20 to see how many you get if this is a loot drop. (Item)</v>
      </c>
      <c r="C1222" s="32"/>
      <c r="D1222" s="32"/>
      <c r="E1222" s="32"/>
      <c r="F1222" s="32"/>
      <c r="G1222" s="32"/>
      <c r="H1222" s="32"/>
      <c r="I1222" s="32"/>
      <c r="J1222" s="32"/>
      <c r="K1222" s="32"/>
      <c r="L1222" s="32"/>
      <c r="M1222" s="32"/>
      <c r="N1222" s="32"/>
      <c r="O1222" s="32"/>
      <c r="P1222" s="32"/>
      <c r="Q1222" s="32"/>
      <c r="R1222" s="32"/>
      <c r="S1222" s="32"/>
      <c r="T1222" s="32"/>
      <c r="U1222" s="32"/>
      <c r="V1222" s="32"/>
      <c r="W1222" s="32"/>
      <c r="X1222" s="32"/>
      <c r="Y1222" s="32"/>
      <c r="Z1222" s="32"/>
    </row>
    <row r="1223">
      <c r="A1223" s="32" t="str">
        <f>IFERROR(__xludf.DUMMYFUNCTION("""COMPUTED_VALUE"""),"Black Lake Soup")</f>
        <v>Black Lake Soup</v>
      </c>
      <c r="B1223" s="32" t="str">
        <f>IFERROR(__xludf.DUMMYFUNCTION("""COMPUTED_VALUE"""),"500 Thirst and 400 Hunger (Crop)")</f>
        <v>500 Thirst and 400 Hunger (Crop)</v>
      </c>
      <c r="C1223" s="32"/>
      <c r="D1223" s="32"/>
      <c r="E1223" s="32"/>
      <c r="F1223" s="32"/>
      <c r="G1223" s="32"/>
      <c r="H1223" s="32"/>
      <c r="I1223" s="32"/>
      <c r="J1223" s="32"/>
      <c r="K1223" s="32"/>
      <c r="L1223" s="32"/>
      <c r="M1223" s="32"/>
      <c r="N1223" s="32"/>
      <c r="O1223" s="32"/>
      <c r="P1223" s="32"/>
      <c r="Q1223" s="32"/>
      <c r="R1223" s="32"/>
      <c r="S1223" s="32"/>
      <c r="T1223" s="32"/>
      <c r="U1223" s="32"/>
      <c r="V1223" s="32"/>
      <c r="W1223" s="32"/>
      <c r="X1223" s="32"/>
      <c r="Y1223" s="32"/>
      <c r="Z1223" s="32"/>
    </row>
    <row r="1224">
      <c r="A1224" s="32" t="str">
        <f>IFERROR(__xludf.DUMMYFUNCTION("""COMPUTED_VALUE"""),"Basilisk Veal")</f>
        <v>Basilisk Veal</v>
      </c>
      <c r="B1224" s="32" t="str">
        <f>IFERROR(__xludf.DUMMYFUNCTION("""COMPUTED_VALUE"""),"500 Hunger (Crop)")</f>
        <v>500 Hunger (Crop)</v>
      </c>
      <c r="C1224" s="32"/>
      <c r="D1224" s="32"/>
      <c r="E1224" s="32"/>
      <c r="F1224" s="32"/>
      <c r="G1224" s="32"/>
      <c r="H1224" s="32"/>
      <c r="I1224" s="32"/>
      <c r="J1224" s="32"/>
      <c r="K1224" s="32"/>
      <c r="L1224" s="32"/>
      <c r="M1224" s="32"/>
      <c r="N1224" s="32"/>
      <c r="O1224" s="32"/>
      <c r="P1224" s="32"/>
      <c r="Q1224" s="32"/>
      <c r="R1224" s="32"/>
      <c r="S1224" s="32"/>
      <c r="T1224" s="32"/>
      <c r="U1224" s="32"/>
      <c r="V1224" s="32"/>
      <c r="W1224" s="32"/>
      <c r="X1224" s="32"/>
      <c r="Y1224" s="32"/>
      <c r="Z1224" s="32"/>
    </row>
    <row r="1225">
      <c r="A1225" s="32" t="str">
        <f>IFERROR(__xludf.DUMMYFUNCTION("""COMPUTED_VALUE"""),"Black Cactus juice")</f>
        <v>Black Cactus juice</v>
      </c>
      <c r="B1225" s="32" t="str">
        <f>IFERROR(__xludf.DUMMYFUNCTION("""COMPUTED_VALUE"""),"500 Thirst (Item)")</f>
        <v>500 Thirst (Item)</v>
      </c>
      <c r="C1225" s="32"/>
      <c r="D1225" s="32"/>
      <c r="E1225" s="32"/>
      <c r="F1225" s="32"/>
      <c r="G1225" s="32"/>
      <c r="H1225" s="32"/>
      <c r="I1225" s="32"/>
      <c r="J1225" s="32"/>
      <c r="K1225" s="32"/>
      <c r="L1225" s="32"/>
      <c r="M1225" s="32"/>
      <c r="N1225" s="32"/>
      <c r="O1225" s="32"/>
      <c r="P1225" s="32"/>
      <c r="Q1225" s="32"/>
      <c r="R1225" s="32"/>
      <c r="S1225" s="32"/>
      <c r="T1225" s="32"/>
      <c r="U1225" s="32"/>
      <c r="V1225" s="32"/>
      <c r="W1225" s="32"/>
      <c r="X1225" s="32"/>
      <c r="Y1225" s="32"/>
      <c r="Z1225" s="32"/>
    </row>
    <row r="1226">
      <c r="A1226" s="32" t="str">
        <f>IFERROR(__xludf.DUMMYFUNCTION("""COMPUTED_VALUE"""),"Black Lake Purified Water")</f>
        <v>Black Lake Purified Water</v>
      </c>
      <c r="B1226" s="32" t="str">
        <f>IFERROR(__xludf.DUMMYFUNCTION("""COMPUTED_VALUE"""),"650 Thirst (Item)")</f>
        <v>650 Thirst (Item)</v>
      </c>
      <c r="C1226" s="32"/>
      <c r="D1226" s="32"/>
      <c r="E1226" s="32"/>
      <c r="F1226" s="32"/>
      <c r="G1226" s="32"/>
      <c r="H1226" s="32"/>
      <c r="I1226" s="32"/>
      <c r="J1226" s="32"/>
      <c r="K1226" s="32"/>
      <c r="L1226" s="32"/>
      <c r="M1226" s="32"/>
      <c r="N1226" s="32"/>
      <c r="O1226" s="32"/>
      <c r="P1226" s="32"/>
      <c r="Q1226" s="32"/>
      <c r="R1226" s="32"/>
      <c r="S1226" s="32"/>
      <c r="T1226" s="32"/>
      <c r="U1226" s="32"/>
      <c r="V1226" s="32"/>
      <c r="W1226" s="32"/>
      <c r="X1226" s="32"/>
      <c r="Y1226" s="32"/>
      <c r="Z1226" s="32"/>
    </row>
    <row r="1227">
      <c r="A1227" s="32" t="str">
        <f>IFERROR(__xludf.DUMMYFUNCTION("""COMPUTED_VALUE"""),"Neutralized Basilisk Venom Shot")</f>
        <v>Neutralized Basilisk Venom Shot</v>
      </c>
      <c r="B1227" s="32" t="str">
        <f>IFERROR(__xludf.DUMMYFUNCTION("""COMPUTED_VALUE"""),"1000 Thirst (Item)")</f>
        <v>1000 Thirst (Item)</v>
      </c>
      <c r="C1227" s="32"/>
      <c r="D1227" s="32"/>
      <c r="E1227" s="32"/>
      <c r="F1227" s="32"/>
      <c r="G1227" s="32"/>
      <c r="H1227" s="32"/>
      <c r="I1227" s="32"/>
      <c r="J1227" s="32"/>
      <c r="K1227" s="32"/>
      <c r="L1227" s="32"/>
      <c r="M1227" s="32"/>
      <c r="N1227" s="32"/>
      <c r="O1227" s="32"/>
      <c r="P1227" s="32"/>
      <c r="Q1227" s="32"/>
      <c r="R1227" s="32"/>
      <c r="S1227" s="32"/>
      <c r="T1227" s="32"/>
      <c r="U1227" s="32"/>
      <c r="V1227" s="32"/>
      <c r="W1227" s="32"/>
      <c r="X1227" s="32"/>
      <c r="Y1227" s="32"/>
      <c r="Z1227" s="32"/>
    </row>
    <row r="1228">
      <c r="A1228" s="32" t="str">
        <f>IFERROR(__xludf.DUMMYFUNCTION("""COMPUTED_VALUE"""),"Ebony Mushrooms")</f>
        <v>Ebony Mushrooms</v>
      </c>
      <c r="B1228" s="32" t="str">
        <f>IFERROR(__xludf.DUMMYFUNCTION("""COMPUTED_VALUE"""),"250 Hunger (Crop)")</f>
        <v>250 Hunger (Crop)</v>
      </c>
      <c r="C1228" s="32"/>
      <c r="D1228" s="32"/>
      <c r="E1228" s="32"/>
      <c r="F1228" s="32"/>
      <c r="G1228" s="32"/>
      <c r="H1228" s="32"/>
      <c r="I1228" s="32"/>
      <c r="J1228" s="32"/>
      <c r="K1228" s="32"/>
      <c r="L1228" s="32"/>
      <c r="M1228" s="32"/>
      <c r="N1228" s="32"/>
      <c r="O1228" s="32"/>
      <c r="P1228" s="32"/>
      <c r="Q1228" s="32"/>
      <c r="R1228" s="32"/>
      <c r="S1228" s="32"/>
      <c r="T1228" s="32"/>
      <c r="U1228" s="32"/>
      <c r="V1228" s="32"/>
      <c r="W1228" s="32"/>
      <c r="X1228" s="32"/>
      <c r="Y1228" s="32"/>
      <c r="Z1228" s="32"/>
    </row>
    <row r="1229">
      <c r="A1229" s="32" t="str">
        <f>IFERROR(__xludf.DUMMYFUNCTION("""COMPUTED_VALUE"""),"Black Sludge")</f>
        <v>Black Sludge</v>
      </c>
      <c r="B1229" s="32" t="str">
        <f>IFERROR(__xludf.DUMMYFUNCTION("""COMPUTED_VALUE"""),"Make a fail/succeed roll
Success - +500 Hunger and Thirst
Fail - -250 Hunger and Thirst From Vomiting. (Crop)")</f>
        <v>Make a fail/succeed roll
Success - +500 Hunger and Thirst
Fail - -250 Hunger and Thirst From Vomiting. (Crop)</v>
      </c>
      <c r="C1229" s="32"/>
      <c r="D1229" s="32"/>
      <c r="E1229" s="32"/>
      <c r="F1229" s="32"/>
      <c r="G1229" s="32"/>
      <c r="H1229" s="32"/>
      <c r="I1229" s="32"/>
      <c r="J1229" s="32"/>
      <c r="K1229" s="32"/>
      <c r="L1229" s="32"/>
      <c r="M1229" s="32"/>
      <c r="N1229" s="32"/>
      <c r="O1229" s="32"/>
      <c r="P1229" s="32"/>
      <c r="Q1229" s="32"/>
      <c r="R1229" s="32"/>
      <c r="S1229" s="32"/>
      <c r="T1229" s="32"/>
      <c r="U1229" s="32"/>
      <c r="V1229" s="32"/>
      <c r="W1229" s="32"/>
      <c r="X1229" s="32"/>
      <c r="Y1229" s="32"/>
      <c r="Z1229" s="32"/>
    </row>
    <row r="1230">
      <c r="A1230" s="32" t="str">
        <f>IFERROR(__xludf.DUMMYFUNCTION("""COMPUTED_VALUE"""),"Black Sepent Dragon Scales")</f>
        <v>Black Sepent Dragon Scales</v>
      </c>
      <c r="B1230" s="32" t="str">
        <f>IFERROR(__xludf.DUMMYFUNCTION("""COMPUTED_VALUE"""),"Crafting Material, roll a d20 to see how many you get if this is a loot drop. (Item)")</f>
        <v>Crafting Material, roll a d20 to see how many you get if this is a loot drop. (Item)</v>
      </c>
      <c r="C1230" s="32"/>
      <c r="D1230" s="32"/>
      <c r="E1230" s="32"/>
      <c r="F1230" s="32"/>
      <c r="G1230" s="32"/>
      <c r="H1230" s="32"/>
      <c r="I1230" s="32"/>
      <c r="J1230" s="32"/>
      <c r="K1230" s="32"/>
      <c r="L1230" s="32"/>
      <c r="M1230" s="32"/>
      <c r="N1230" s="32"/>
      <c r="O1230" s="32"/>
      <c r="P1230" s="32"/>
      <c r="Q1230" s="32"/>
      <c r="R1230" s="32"/>
      <c r="S1230" s="32"/>
      <c r="T1230" s="32"/>
      <c r="U1230" s="32"/>
      <c r="V1230" s="32"/>
      <c r="W1230" s="32"/>
      <c r="X1230" s="32"/>
      <c r="Y1230" s="32"/>
      <c r="Z1230" s="32"/>
    </row>
    <row r="1231">
      <c r="A1231" s="32" t="str">
        <f>IFERROR(__xludf.DUMMYFUNCTION("""COMPUTED_VALUE"""),"Chaotic Shadow Dragon Scales")</f>
        <v>Chaotic Shadow Dragon Scales</v>
      </c>
      <c r="B1231" s="32" t="str">
        <f>IFERROR(__xludf.DUMMYFUNCTION("""COMPUTED_VALUE"""),"Crafting Material, roll a d20 to see how many you get if this is a loot drop. (Item)")</f>
        <v>Crafting Material, roll a d20 to see how many you get if this is a loot drop. (Item)</v>
      </c>
      <c r="C1231" s="32"/>
      <c r="D1231" s="32"/>
      <c r="E1231" s="32"/>
      <c r="F1231" s="32"/>
      <c r="G1231" s="32"/>
      <c r="H1231" s="32"/>
      <c r="I1231" s="32"/>
      <c r="J1231" s="32"/>
      <c r="K1231" s="32"/>
      <c r="L1231" s="32"/>
      <c r="M1231" s="32"/>
      <c r="N1231" s="32"/>
      <c r="O1231" s="32"/>
      <c r="P1231" s="32"/>
      <c r="Q1231" s="32"/>
      <c r="R1231" s="32"/>
      <c r="S1231" s="32"/>
      <c r="T1231" s="32"/>
      <c r="U1231" s="32"/>
      <c r="V1231" s="32"/>
      <c r="W1231" s="32"/>
      <c r="X1231" s="32"/>
      <c r="Y1231" s="32"/>
      <c r="Z1231" s="32"/>
    </row>
    <row r="1232">
      <c r="A1232" s="32" t="str">
        <f>IFERROR(__xludf.DUMMYFUNCTION("""COMPUTED_VALUE"""),"Chaotic Shadow Dragon Skull")</f>
        <v>Chaotic Shadow Dragon Skull</v>
      </c>
      <c r="B1232" s="32" t="str">
        <f>IFERROR(__xludf.DUMMYFUNCTION("""COMPUTED_VALUE"""),"can be consumed to obtain 1 free dark or chaos power. (Only one per character) (Item)")</f>
        <v>can be consumed to obtain 1 free dark or chaos power. (Only one per character) (Item)</v>
      </c>
      <c r="C1232" s="32"/>
      <c r="D1232" s="32"/>
      <c r="E1232" s="32"/>
      <c r="F1232" s="32"/>
      <c r="G1232" s="32"/>
      <c r="H1232" s="32"/>
      <c r="I1232" s="32"/>
      <c r="J1232" s="32"/>
      <c r="K1232" s="32"/>
      <c r="L1232" s="32"/>
      <c r="M1232" s="32"/>
      <c r="N1232" s="32"/>
      <c r="O1232" s="32"/>
      <c r="P1232" s="32"/>
      <c r="Q1232" s="32"/>
      <c r="R1232" s="32"/>
      <c r="S1232" s="32"/>
      <c r="T1232" s="32"/>
      <c r="U1232" s="32"/>
      <c r="V1232" s="32"/>
      <c r="W1232" s="32"/>
      <c r="X1232" s="32"/>
      <c r="Y1232" s="32"/>
      <c r="Z1232" s="32"/>
    </row>
    <row r="1233">
      <c r="A1233" s="32" t="str">
        <f>IFERROR(__xludf.DUMMYFUNCTION("""COMPUTED_VALUE"""),"Sharp Teeth")</f>
        <v>Sharp Teeth</v>
      </c>
      <c r="B1233" s="32" t="str">
        <f>IFERROR(__xludf.DUMMYFUNCTION("""COMPUTED_VALUE"""),"Consumable, 100 sharp teeth = permanantly increase attack by 1. (Item)")</f>
        <v>Consumable, 100 sharp teeth = permanantly increase attack by 1. (Item)</v>
      </c>
      <c r="C1233" s="32"/>
      <c r="D1233" s="32"/>
      <c r="E1233" s="32"/>
      <c r="F1233" s="32"/>
      <c r="G1233" s="32"/>
      <c r="H1233" s="32"/>
      <c r="I1233" s="32"/>
      <c r="J1233" s="32"/>
      <c r="K1233" s="32"/>
      <c r="L1233" s="32"/>
      <c r="M1233" s="32"/>
      <c r="N1233" s="32"/>
      <c r="O1233" s="32"/>
      <c r="P1233" s="32"/>
      <c r="Q1233" s="32"/>
      <c r="R1233" s="32"/>
      <c r="S1233" s="32"/>
      <c r="T1233" s="32"/>
      <c r="U1233" s="32"/>
      <c r="V1233" s="32"/>
      <c r="W1233" s="32"/>
      <c r="X1233" s="32"/>
      <c r="Y1233" s="32"/>
      <c r="Z1233" s="32"/>
    </row>
    <row r="1234">
      <c r="A1234" s="32" t="str">
        <f>IFERROR(__xludf.DUMMYFUNCTION("""COMPUTED_VALUE"""),"Letter from the Warden")</f>
        <v>Letter from the Warden</v>
      </c>
      <c r="B1234" s="32" t="str">
        <f>IFERROR(__xludf.DUMMYFUNCTION("""COMPUTED_VALUE"""),"Get out of jail for free. Can only be used once, Cannot be duplicated. (Item)")</f>
        <v>Get out of jail for free. Can only be used once, Cannot be duplicated. (Item)</v>
      </c>
      <c r="C1234" s="32"/>
      <c r="D1234" s="32"/>
      <c r="E1234" s="32"/>
      <c r="F1234" s="32"/>
      <c r="G1234" s="32"/>
      <c r="H1234" s="32"/>
      <c r="I1234" s="32"/>
      <c r="J1234" s="32"/>
      <c r="K1234" s="32"/>
      <c r="L1234" s="32"/>
      <c r="M1234" s="32"/>
      <c r="N1234" s="32"/>
      <c r="O1234" s="32"/>
      <c r="P1234" s="32"/>
      <c r="Q1234" s="32"/>
      <c r="R1234" s="32"/>
      <c r="S1234" s="32"/>
      <c r="T1234" s="32"/>
      <c r="U1234" s="32"/>
      <c r="V1234" s="32"/>
      <c r="W1234" s="32"/>
      <c r="X1234" s="32"/>
      <c r="Y1234" s="32"/>
      <c r="Z1234" s="32"/>
    </row>
    <row r="1235">
      <c r="A1235" s="32" t="str">
        <f>IFERROR(__xludf.DUMMYFUNCTION("""COMPUTED_VALUE"""),"Rank 9 Light Tome")</f>
        <v>Rank 9 Light Tome</v>
      </c>
      <c r="B1235" s="32" t="str">
        <f>IFERROR(__xludf.DUMMYFUNCTION("""COMPUTED_VALUE"""),"Allows you to use up to Rank 9 Light Powers. (Item)")</f>
        <v>Allows you to use up to Rank 9 Light Powers. (Item)</v>
      </c>
      <c r="C1235" s="32"/>
      <c r="D1235" s="32"/>
      <c r="E1235" s="32"/>
      <c r="F1235" s="32"/>
      <c r="G1235" s="32"/>
      <c r="H1235" s="32"/>
      <c r="I1235" s="32"/>
      <c r="J1235" s="32"/>
      <c r="K1235" s="32"/>
      <c r="L1235" s="32"/>
      <c r="M1235" s="32"/>
      <c r="N1235" s="32"/>
      <c r="O1235" s="32"/>
      <c r="P1235" s="32"/>
      <c r="Q1235" s="32"/>
      <c r="R1235" s="32"/>
      <c r="S1235" s="32"/>
      <c r="T1235" s="32"/>
      <c r="U1235" s="32"/>
      <c r="V1235" s="32"/>
      <c r="W1235" s="32"/>
      <c r="X1235" s="32"/>
      <c r="Y1235" s="32"/>
      <c r="Z1235" s="32"/>
    </row>
    <row r="1236">
      <c r="A1236" s="32" t="str">
        <f>IFERROR(__xludf.DUMMYFUNCTION("""COMPUTED_VALUE"""),"Lesser Healing Potion")</f>
        <v>Lesser Healing Potion</v>
      </c>
      <c r="B1236" s="32" t="str">
        <f>IFERROR(__xludf.DUMMYFUNCTION("""COMPUTED_VALUE"""),": + +25HP (Item)")</f>
        <v>: + +25HP (Item)</v>
      </c>
      <c r="C1236" s="32"/>
      <c r="D1236" s="32"/>
      <c r="E1236" s="32"/>
      <c r="F1236" s="32"/>
      <c r="G1236" s="32"/>
      <c r="H1236" s="32"/>
      <c r="I1236" s="32"/>
      <c r="J1236" s="32"/>
      <c r="K1236" s="32"/>
      <c r="L1236" s="32"/>
      <c r="M1236" s="32"/>
      <c r="N1236" s="32"/>
      <c r="O1236" s="32"/>
      <c r="P1236" s="32"/>
      <c r="Q1236" s="32"/>
      <c r="R1236" s="32"/>
      <c r="S1236" s="32"/>
      <c r="T1236" s="32"/>
      <c r="U1236" s="32"/>
      <c r="V1236" s="32"/>
      <c r="W1236" s="32"/>
      <c r="X1236" s="32"/>
      <c r="Y1236" s="32"/>
      <c r="Z1236" s="32"/>
    </row>
    <row r="1237">
      <c r="A1237" s="32" t="str">
        <f>IFERROR(__xludf.DUMMYFUNCTION("""COMPUTED_VALUE"""),"Blackhorn Healing Potion")</f>
        <v>Blackhorn Healing Potion</v>
      </c>
      <c r="B1237" s="32" t="str">
        <f>IFERROR(__xludf.DUMMYFUNCTION("""COMPUTED_VALUE"""),": + +75HP (Item)")</f>
        <v>: + +75HP (Item)</v>
      </c>
      <c r="C1237" s="32"/>
      <c r="D1237" s="32"/>
      <c r="E1237" s="32"/>
      <c r="F1237" s="32"/>
      <c r="G1237" s="32"/>
      <c r="H1237" s="32"/>
      <c r="I1237" s="32"/>
      <c r="J1237" s="32"/>
      <c r="K1237" s="32"/>
      <c r="L1237" s="32"/>
      <c r="M1237" s="32"/>
      <c r="N1237" s="32"/>
      <c r="O1237" s="32"/>
      <c r="P1237" s="32"/>
      <c r="Q1237" s="32"/>
      <c r="R1237" s="32"/>
      <c r="S1237" s="32"/>
      <c r="T1237" s="32"/>
      <c r="U1237" s="32"/>
      <c r="V1237" s="32"/>
      <c r="W1237" s="32"/>
      <c r="X1237" s="32"/>
      <c r="Y1237" s="32"/>
      <c r="Z1237" s="32"/>
    </row>
    <row r="1238">
      <c r="A1238" s="32" t="str">
        <f>IFERROR(__xludf.DUMMYFUNCTION("""COMPUTED_VALUE"""),"Greater Healing Potion")</f>
        <v>Greater Healing Potion</v>
      </c>
      <c r="B1238" s="32" t="str">
        <f>IFERROR(__xludf.DUMMYFUNCTION("""COMPUTED_VALUE"""),": + +100HP (Item)")</f>
        <v>: + +100HP (Item)</v>
      </c>
      <c r="C1238" s="32"/>
      <c r="D1238" s="32"/>
      <c r="E1238" s="32"/>
      <c r="F1238" s="32"/>
      <c r="G1238" s="32"/>
      <c r="H1238" s="32"/>
      <c r="I1238" s="32"/>
      <c r="J1238" s="32"/>
      <c r="K1238" s="32"/>
      <c r="L1238" s="32"/>
      <c r="M1238" s="32"/>
      <c r="N1238" s="32"/>
      <c r="O1238" s="32"/>
      <c r="P1238" s="32"/>
      <c r="Q1238" s="32"/>
      <c r="R1238" s="32"/>
      <c r="S1238" s="32"/>
      <c r="T1238" s="32"/>
      <c r="U1238" s="32"/>
      <c r="V1238" s="32"/>
      <c r="W1238" s="32"/>
      <c r="X1238" s="32"/>
      <c r="Y1238" s="32"/>
      <c r="Z1238" s="32"/>
    </row>
    <row r="1239">
      <c r="A1239" s="32" t="str">
        <f>IFERROR(__xludf.DUMMYFUNCTION("""COMPUTED_VALUE"""),"Awkward Potion")</f>
        <v>Awkward Potion</v>
      </c>
      <c r="B1239" s="32" t="str">
        <f>IFERROR(__xludf.DUMMYFUNCTION("""COMPUTED_VALUE"""),": + +100HP And 100 SP (Item)")</f>
        <v>: + +100HP And 100 SP (Item)</v>
      </c>
      <c r="C1239" s="32"/>
      <c r="D1239" s="32"/>
      <c r="E1239" s="32"/>
      <c r="F1239" s="32"/>
      <c r="G1239" s="32"/>
      <c r="H1239" s="32"/>
      <c r="I1239" s="32"/>
      <c r="J1239" s="32"/>
      <c r="K1239" s="32"/>
      <c r="L1239" s="32"/>
      <c r="M1239" s="32"/>
      <c r="N1239" s="32"/>
      <c r="O1239" s="32"/>
      <c r="P1239" s="32"/>
      <c r="Q1239" s="32"/>
      <c r="R1239" s="32"/>
      <c r="S1239" s="32"/>
      <c r="T1239" s="32"/>
      <c r="U1239" s="32"/>
      <c r="V1239" s="32"/>
      <c r="W1239" s="32"/>
      <c r="X1239" s="32"/>
      <c r="Y1239" s="32"/>
      <c r="Z1239" s="32"/>
    </row>
    <row r="1240">
      <c r="A1240" s="32" t="str">
        <f>IFERROR(__xludf.DUMMYFUNCTION("""COMPUTED_VALUE"""),"Defensive Potion")</f>
        <v>Defensive Potion</v>
      </c>
      <c r="B1240" s="32" t="str">
        <f>IFERROR(__xludf.DUMMYFUNCTION("""COMPUTED_VALUE"""),": + +1000 def for 3 rounds (Item)")</f>
        <v>: + +1000 def for 3 rounds (Item)</v>
      </c>
      <c r="C1240" s="32"/>
      <c r="D1240" s="32"/>
      <c r="E1240" s="32"/>
      <c r="F1240" s="32"/>
      <c r="G1240" s="32"/>
      <c r="H1240" s="32"/>
      <c r="I1240" s="32"/>
      <c r="J1240" s="32"/>
      <c r="K1240" s="32"/>
      <c r="L1240" s="32"/>
      <c r="M1240" s="32"/>
      <c r="N1240" s="32"/>
      <c r="O1240" s="32"/>
      <c r="P1240" s="32"/>
      <c r="Q1240" s="32"/>
      <c r="R1240" s="32"/>
      <c r="S1240" s="32"/>
      <c r="T1240" s="32"/>
      <c r="U1240" s="32"/>
      <c r="V1240" s="32"/>
      <c r="W1240" s="32"/>
      <c r="X1240" s="32"/>
      <c r="Y1240" s="32"/>
      <c r="Z1240" s="32"/>
    </row>
    <row r="1241">
      <c r="A1241" s="32" t="str">
        <f>IFERROR(__xludf.DUMMYFUNCTION("""COMPUTED_VALUE"""),"Offensive Potion")</f>
        <v>Offensive Potion</v>
      </c>
      <c r="B1241" s="32" t="str">
        <f>IFERROR(__xludf.DUMMYFUNCTION("""COMPUTED_VALUE"""),": + +1000 atk for 3 rounds (Item)")</f>
        <v>: + +1000 atk for 3 rounds (Item)</v>
      </c>
      <c r="C1241" s="32"/>
      <c r="D1241" s="32"/>
      <c r="E1241" s="32"/>
      <c r="F1241" s="32"/>
      <c r="G1241" s="32"/>
      <c r="H1241" s="32"/>
      <c r="I1241" s="32"/>
      <c r="J1241" s="32"/>
      <c r="K1241" s="32"/>
      <c r="L1241" s="32"/>
      <c r="M1241" s="32"/>
      <c r="N1241" s="32"/>
      <c r="O1241" s="32"/>
      <c r="P1241" s="32"/>
      <c r="Q1241" s="32"/>
      <c r="R1241" s="32"/>
      <c r="S1241" s="32"/>
      <c r="T1241" s="32"/>
      <c r="U1241" s="32"/>
      <c r="V1241" s="32"/>
      <c r="W1241" s="32"/>
      <c r="X1241" s="32"/>
      <c r="Y1241" s="32"/>
      <c r="Z1241" s="32"/>
    </row>
    <row r="1242">
      <c r="A1242" s="32" t="str">
        <f>IFERROR(__xludf.DUMMYFUNCTION("""COMPUTED_VALUE"""),"Potion of Swift")</f>
        <v>Potion of Swift</v>
      </c>
      <c r="B1242" s="32" t="str">
        <f>IFERROR(__xludf.DUMMYFUNCTION("""COMPUTED_VALUE"""),": + +add 5 evasion for 3 rounds (Item)")</f>
        <v>: + +add 5 evasion for 3 rounds (Item)</v>
      </c>
      <c r="C1242" s="32"/>
      <c r="D1242" s="32"/>
      <c r="E1242" s="32"/>
      <c r="F1242" s="32"/>
      <c r="G1242" s="32"/>
      <c r="H1242" s="32"/>
      <c r="I1242" s="32"/>
      <c r="J1242" s="32"/>
      <c r="K1242" s="32"/>
      <c r="L1242" s="32"/>
      <c r="M1242" s="32"/>
      <c r="N1242" s="32"/>
      <c r="O1242" s="32"/>
      <c r="P1242" s="32"/>
      <c r="Q1242" s="32"/>
      <c r="R1242" s="32"/>
      <c r="S1242" s="32"/>
      <c r="T1242" s="32"/>
      <c r="U1242" s="32"/>
      <c r="V1242" s="32"/>
      <c r="W1242" s="32"/>
      <c r="X1242" s="32"/>
      <c r="Y1242" s="32"/>
      <c r="Z1242" s="32"/>
    </row>
    <row r="1243">
      <c r="A1243" s="32" t="str">
        <f>IFERROR(__xludf.DUMMYFUNCTION("""COMPUTED_VALUE"""),"Potion of Mana Regeneration")</f>
        <v>Potion of Mana Regeneration</v>
      </c>
      <c r="B1243" s="32" t="str">
        <f>IFERROR(__xludf.DUMMYFUNCTION("""COMPUTED_VALUE"""),": + +500SP p/r for 3 rounds (Item)")</f>
        <v>: + +500SP p/r for 3 rounds (Item)</v>
      </c>
      <c r="C1243" s="32"/>
      <c r="D1243" s="32"/>
      <c r="E1243" s="32"/>
      <c r="F1243" s="32"/>
      <c r="G1243" s="32"/>
      <c r="H1243" s="32"/>
      <c r="I1243" s="32"/>
      <c r="J1243" s="32"/>
      <c r="K1243" s="32"/>
      <c r="L1243" s="32"/>
      <c r="M1243" s="32"/>
      <c r="N1243" s="32"/>
      <c r="O1243" s="32"/>
      <c r="P1243" s="32"/>
      <c r="Q1243" s="32"/>
      <c r="R1243" s="32"/>
      <c r="S1243" s="32"/>
      <c r="T1243" s="32"/>
      <c r="U1243" s="32"/>
      <c r="V1243" s="32"/>
      <c r="W1243" s="32"/>
      <c r="X1243" s="32"/>
      <c r="Y1243" s="32"/>
      <c r="Z1243" s="32"/>
    </row>
    <row r="1244">
      <c r="A1244" s="32" t="str">
        <f>IFERROR(__xludf.DUMMYFUNCTION("""COMPUTED_VALUE"""),"Potion of Thorns")</f>
        <v>Potion of Thorns</v>
      </c>
      <c r="B1244" s="32" t="str">
        <f>IFERROR(__xludf.DUMMYFUNCTION("""COMPUTED_VALUE"""),": + +When a target deals damage to you they take the same amount of damage back. (Item)")</f>
        <v>: + +When a target deals damage to you they take the same amount of damage back. (Item)</v>
      </c>
      <c r="C1244" s="32"/>
      <c r="D1244" s="32"/>
      <c r="E1244" s="32"/>
      <c r="F1244" s="32"/>
      <c r="G1244" s="32"/>
      <c r="H1244" s="32"/>
      <c r="I1244" s="32"/>
      <c r="J1244" s="32"/>
      <c r="K1244" s="32"/>
      <c r="L1244" s="32"/>
      <c r="M1244" s="32"/>
      <c r="N1244" s="32"/>
      <c r="O1244" s="32"/>
      <c r="P1244" s="32"/>
      <c r="Q1244" s="32"/>
      <c r="R1244" s="32"/>
      <c r="S1244" s="32"/>
      <c r="T1244" s="32"/>
      <c r="U1244" s="32"/>
      <c r="V1244" s="32"/>
      <c r="W1244" s="32"/>
      <c r="X1244" s="32"/>
      <c r="Y1244" s="32"/>
      <c r="Z1244" s="32"/>
    </row>
    <row r="1245">
      <c r="A1245" s="32" t="str">
        <f>IFERROR(__xludf.DUMMYFUNCTION("""COMPUTED_VALUE"""),"Potion of Resistance")</f>
        <v>Potion of Resistance</v>
      </c>
      <c r="B1245" s="32" t="str">
        <f>IFERROR(__xludf.DUMMYFUNCTION("""COMPUTED_VALUE"""),": + +1000 resistance to all attacks for 3 rounds. (Item)")</f>
        <v>: + +1000 resistance to all attacks for 3 rounds. (Item)</v>
      </c>
      <c r="C1245" s="32"/>
      <c r="D1245" s="32"/>
      <c r="E1245" s="32"/>
      <c r="F1245" s="32"/>
      <c r="G1245" s="32"/>
      <c r="H1245" s="32"/>
      <c r="I1245" s="32"/>
      <c r="J1245" s="32"/>
      <c r="K1245" s="32"/>
      <c r="L1245" s="32"/>
      <c r="M1245" s="32"/>
      <c r="N1245" s="32"/>
      <c r="O1245" s="32"/>
      <c r="P1245" s="32"/>
      <c r="Q1245" s="32"/>
      <c r="R1245" s="32"/>
      <c r="S1245" s="32"/>
      <c r="T1245" s="32"/>
      <c r="U1245" s="32"/>
      <c r="V1245" s="32"/>
      <c r="W1245" s="32"/>
      <c r="X1245" s="32"/>
      <c r="Y1245" s="32"/>
      <c r="Z1245" s="32"/>
    </row>
    <row r="1246">
      <c r="A1246" s="32" t="str">
        <f>IFERROR(__xludf.DUMMYFUNCTION("""COMPUTED_VALUE"""),"Potion of Speed")</f>
        <v>Potion of Speed</v>
      </c>
      <c r="B1246" s="32" t="str">
        <f>IFERROR(__xludf.DUMMYFUNCTION("""COMPUTED_VALUE"""),": + +Allows 2 additional turns in one on your next turn. (Item)")</f>
        <v>: + +Allows 2 additional turns in one on your next turn. (Item)</v>
      </c>
      <c r="C1246" s="32"/>
      <c r="D1246" s="32"/>
      <c r="E1246" s="32"/>
      <c r="F1246" s="32"/>
      <c r="G1246" s="32"/>
      <c r="H1246" s="32"/>
      <c r="I1246" s="32"/>
      <c r="J1246" s="32"/>
      <c r="K1246" s="32"/>
      <c r="L1246" s="32"/>
      <c r="M1246" s="32"/>
      <c r="N1246" s="32"/>
      <c r="O1246" s="32"/>
      <c r="P1246" s="32"/>
      <c r="Q1246" s="32"/>
      <c r="R1246" s="32"/>
      <c r="S1246" s="32"/>
      <c r="T1246" s="32"/>
      <c r="U1246" s="32"/>
      <c r="V1246" s="32"/>
      <c r="W1246" s="32"/>
      <c r="X1246" s="32"/>
      <c r="Y1246" s="32"/>
      <c r="Z1246" s="32"/>
    </row>
    <row r="1247">
      <c r="A1247" s="32" t="str">
        <f>IFERROR(__xludf.DUMMYFUNCTION("""COMPUTED_VALUE"""),"Potion of Luck")</f>
        <v>Potion of Luck</v>
      </c>
      <c r="B1247" s="32" t="str">
        <f>IFERROR(__xludf.DUMMYFUNCTION("""COMPUTED_VALUE"""),": + +Allows you to get an enemies highest loot role (Must be used during battle) (Item)")</f>
        <v>: + +Allows you to get an enemies highest loot role (Must be used during battle) (Item)</v>
      </c>
      <c r="C1247" s="32"/>
      <c r="D1247" s="32"/>
      <c r="E1247" s="32"/>
      <c r="F1247" s="32"/>
      <c r="G1247" s="32"/>
      <c r="H1247" s="32"/>
      <c r="I1247" s="32"/>
      <c r="J1247" s="32"/>
      <c r="K1247" s="32"/>
      <c r="L1247" s="32"/>
      <c r="M1247" s="32"/>
      <c r="N1247" s="32"/>
      <c r="O1247" s="32"/>
      <c r="P1247" s="32"/>
      <c r="Q1247" s="32"/>
      <c r="R1247" s="32"/>
      <c r="S1247" s="32"/>
      <c r="T1247" s="32"/>
      <c r="U1247" s="32"/>
      <c r="V1247" s="32"/>
      <c r="W1247" s="32"/>
      <c r="X1247" s="32"/>
      <c r="Y1247" s="32"/>
      <c r="Z1247" s="32"/>
    </row>
    <row r="1248">
      <c r="A1248" s="32" t="str">
        <f>IFERROR(__xludf.DUMMYFUNCTION("""COMPUTED_VALUE"""),"Potion of Regeneration")</f>
        <v>Potion of Regeneration</v>
      </c>
      <c r="B1248" s="32" t="str">
        <f>IFERROR(__xludf.DUMMYFUNCTION("""COMPUTED_VALUE"""),": + +500HP p/r for 3 rounds. (Item)")</f>
        <v>: + +500HP p/r for 3 rounds. (Item)</v>
      </c>
      <c r="C1248" s="32"/>
      <c r="D1248" s="32"/>
      <c r="E1248" s="32"/>
      <c r="F1248" s="32"/>
      <c r="G1248" s="32"/>
      <c r="H1248" s="32"/>
      <c r="I1248" s="32"/>
      <c r="J1248" s="32"/>
      <c r="K1248" s="32"/>
      <c r="L1248" s="32"/>
      <c r="M1248" s="32"/>
      <c r="N1248" s="32"/>
      <c r="O1248" s="32"/>
      <c r="P1248" s="32"/>
      <c r="Q1248" s="32"/>
      <c r="R1248" s="32"/>
      <c r="S1248" s="32"/>
      <c r="T1248" s="32"/>
      <c r="U1248" s="32"/>
      <c r="V1248" s="32"/>
      <c r="W1248" s="32"/>
      <c r="X1248" s="32"/>
      <c r="Y1248" s="32"/>
      <c r="Z1248" s="32"/>
    </row>
    <row r="1249">
      <c r="A1249" s="32" t="str">
        <f>IFERROR(__xludf.DUMMYFUNCTION("""COMPUTED_VALUE"""),"Potion of Immunity")</f>
        <v>Potion of Immunity</v>
      </c>
      <c r="B1249" s="32" t="str">
        <f>IFERROR(__xludf.DUMMYFUNCTION("""COMPUTED_VALUE"""),": + +Gain immunity to all attacks for 3 rounds. (Item)")</f>
        <v>: + +Gain immunity to all attacks for 3 rounds. (Item)</v>
      </c>
      <c r="C1249" s="32"/>
      <c r="D1249" s="32"/>
      <c r="E1249" s="32"/>
      <c r="F1249" s="32"/>
      <c r="G1249" s="32"/>
      <c r="H1249" s="32"/>
      <c r="I1249" s="32"/>
      <c r="J1249" s="32"/>
      <c r="K1249" s="32"/>
      <c r="L1249" s="32"/>
      <c r="M1249" s="32"/>
      <c r="N1249" s="32"/>
      <c r="O1249" s="32"/>
      <c r="P1249" s="32"/>
      <c r="Q1249" s="32"/>
      <c r="R1249" s="32"/>
      <c r="S1249" s="32"/>
      <c r="T1249" s="32"/>
      <c r="U1249" s="32"/>
      <c r="V1249" s="32"/>
      <c r="W1249" s="32"/>
      <c r="X1249" s="32"/>
      <c r="Y1249" s="32"/>
      <c r="Z1249" s="32"/>
    </row>
    <row r="1250">
      <c r="A1250" s="32" t="str">
        <f>IFERROR(__xludf.DUMMYFUNCTION("""COMPUTED_VALUE"""),"Apple")</f>
        <v>Apple</v>
      </c>
      <c r="B1250" s="32" t="str">
        <f>IFERROR(__xludf.DUMMYFUNCTION("""COMPUTED_VALUE"""),"5 hunger and thirst. (Crop)")</f>
        <v>5 hunger and thirst. (Crop)</v>
      </c>
      <c r="C1250" s="32"/>
      <c r="D1250" s="32"/>
      <c r="E1250" s="32"/>
      <c r="F1250" s="32"/>
      <c r="G1250" s="32"/>
      <c r="H1250" s="32"/>
      <c r="I1250" s="32"/>
      <c r="J1250" s="32"/>
      <c r="K1250" s="32"/>
      <c r="L1250" s="32"/>
      <c r="M1250" s="32"/>
      <c r="N1250" s="32"/>
      <c r="O1250" s="32"/>
      <c r="P1250" s="32"/>
      <c r="Q1250" s="32"/>
      <c r="R1250" s="32"/>
      <c r="S1250" s="32"/>
      <c r="T1250" s="32"/>
      <c r="U1250" s="32"/>
      <c r="V1250" s="32"/>
      <c r="W1250" s="32"/>
      <c r="X1250" s="32"/>
      <c r="Y1250" s="32"/>
      <c r="Z1250" s="32"/>
    </row>
    <row r="1251">
      <c r="A1251" s="32" t="str">
        <f>IFERROR(__xludf.DUMMYFUNCTION("""COMPUTED_VALUE"""),"Watermelon")</f>
        <v>Watermelon</v>
      </c>
      <c r="B1251" s="32" t="str">
        <f>IFERROR(__xludf.DUMMYFUNCTION("""COMPUTED_VALUE"""),"100 hunger, thirst, and energy. Feeds self and up to 2 party members. (Crop)")</f>
        <v>100 hunger, thirst, and energy. Feeds self and up to 2 party members. (Crop)</v>
      </c>
      <c r="C1251" s="32"/>
      <c r="D1251" s="32"/>
      <c r="E1251" s="32"/>
      <c r="F1251" s="32"/>
      <c r="G1251" s="32"/>
      <c r="H1251" s="32"/>
      <c r="I1251" s="32"/>
      <c r="J1251" s="32"/>
      <c r="K1251" s="32"/>
      <c r="L1251" s="32"/>
      <c r="M1251" s="32"/>
      <c r="N1251" s="32"/>
      <c r="O1251" s="32"/>
      <c r="P1251" s="32"/>
      <c r="Q1251" s="32"/>
      <c r="R1251" s="32"/>
      <c r="S1251" s="32"/>
      <c r="T1251" s="32"/>
      <c r="U1251" s="32"/>
      <c r="V1251" s="32"/>
      <c r="W1251" s="32"/>
      <c r="X1251" s="32"/>
      <c r="Y1251" s="32"/>
      <c r="Z1251" s="32"/>
    </row>
    <row r="1252">
      <c r="A1252" s="32" t="str">
        <f>IFERROR(__xludf.DUMMYFUNCTION("""COMPUTED_VALUE"""),"Orange")</f>
        <v>Orange</v>
      </c>
      <c r="B1252" s="32" t="str">
        <f>IFERROR(__xludf.DUMMYFUNCTION("""COMPUTED_VALUE"""),"5 hunger and thirst. (Crop)")</f>
        <v>5 hunger and thirst. (Crop)</v>
      </c>
      <c r="C1252" s="32"/>
      <c r="D1252" s="32"/>
      <c r="E1252" s="32"/>
      <c r="F1252" s="32"/>
      <c r="G1252" s="32"/>
      <c r="H1252" s="32"/>
      <c r="I1252" s="32"/>
      <c r="J1252" s="32"/>
      <c r="K1252" s="32"/>
      <c r="L1252" s="32"/>
      <c r="M1252" s="32"/>
      <c r="N1252" s="32"/>
      <c r="O1252" s="32"/>
      <c r="P1252" s="32"/>
      <c r="Q1252" s="32"/>
      <c r="R1252" s="32"/>
      <c r="S1252" s="32"/>
      <c r="T1252" s="32"/>
      <c r="U1252" s="32"/>
      <c r="V1252" s="32"/>
      <c r="W1252" s="32"/>
      <c r="X1252" s="32"/>
      <c r="Y1252" s="32"/>
      <c r="Z1252" s="32"/>
    </row>
    <row r="1253">
      <c r="A1253" s="32" t="str">
        <f>IFERROR(__xludf.DUMMYFUNCTION("""COMPUTED_VALUE"""),"Pear")</f>
        <v>Pear</v>
      </c>
      <c r="B1253" s="32" t="str">
        <f>IFERROR(__xludf.DUMMYFUNCTION("""COMPUTED_VALUE"""),"5 hunger and thirst. (Crop)")</f>
        <v>5 hunger and thirst. (Crop)</v>
      </c>
      <c r="C1253" s="32"/>
      <c r="D1253" s="32"/>
      <c r="E1253" s="32"/>
      <c r="F1253" s="32"/>
      <c r="G1253" s="32"/>
      <c r="H1253" s="32"/>
      <c r="I1253" s="32"/>
      <c r="J1253" s="32"/>
      <c r="K1253" s="32"/>
      <c r="L1253" s="32"/>
      <c r="M1253" s="32"/>
      <c r="N1253" s="32"/>
      <c r="O1253" s="32"/>
      <c r="P1253" s="32"/>
      <c r="Q1253" s="32"/>
      <c r="R1253" s="32"/>
      <c r="S1253" s="32"/>
      <c r="T1253" s="32"/>
      <c r="U1253" s="32"/>
      <c r="V1253" s="32"/>
      <c r="W1253" s="32"/>
      <c r="X1253" s="32"/>
      <c r="Y1253" s="32"/>
      <c r="Z1253" s="32"/>
    </row>
    <row r="1254">
      <c r="A1254" s="32" t="str">
        <f>IFERROR(__xludf.DUMMYFUNCTION("""COMPUTED_VALUE"""),"Cherry")</f>
        <v>Cherry</v>
      </c>
      <c r="B1254" s="32" t="str">
        <f>IFERROR(__xludf.DUMMYFUNCTION("""COMPUTED_VALUE"""),"5 hunger and thirst. (Crop)")</f>
        <v>5 hunger and thirst. (Crop)</v>
      </c>
      <c r="C1254" s="32"/>
      <c r="D1254" s="32"/>
      <c r="E1254" s="32"/>
      <c r="F1254" s="32"/>
      <c r="G1254" s="32"/>
      <c r="H1254" s="32"/>
      <c r="I1254" s="32"/>
      <c r="J1254" s="32"/>
      <c r="K1254" s="32"/>
      <c r="L1254" s="32"/>
      <c r="M1254" s="32"/>
      <c r="N1254" s="32"/>
      <c r="O1254" s="32"/>
      <c r="P1254" s="32"/>
      <c r="Q1254" s="32"/>
      <c r="R1254" s="32"/>
      <c r="S1254" s="32"/>
      <c r="T1254" s="32"/>
      <c r="U1254" s="32"/>
      <c r="V1254" s="32"/>
      <c r="W1254" s="32"/>
      <c r="X1254" s="32"/>
      <c r="Y1254" s="32"/>
      <c r="Z1254" s="32"/>
    </row>
    <row r="1255">
      <c r="A1255" s="32" t="str">
        <f>IFERROR(__xludf.DUMMYFUNCTION("""COMPUTED_VALUE"""),"Strawberries")</f>
        <v>Strawberries</v>
      </c>
      <c r="B1255" s="32" t="str">
        <f>IFERROR(__xludf.DUMMYFUNCTION("""COMPUTED_VALUE"""),"5 hunger and thirst. (Crop)")</f>
        <v>5 hunger and thirst. (Crop)</v>
      </c>
      <c r="C1255" s="32"/>
      <c r="D1255" s="32"/>
      <c r="E1255" s="32"/>
      <c r="F1255" s="32"/>
      <c r="G1255" s="32"/>
      <c r="H1255" s="32"/>
      <c r="I1255" s="32"/>
      <c r="J1255" s="32"/>
      <c r="K1255" s="32"/>
      <c r="L1255" s="32"/>
      <c r="M1255" s="32"/>
      <c r="N1255" s="32"/>
      <c r="O1255" s="32"/>
      <c r="P1255" s="32"/>
      <c r="Q1255" s="32"/>
      <c r="R1255" s="32"/>
      <c r="S1255" s="32"/>
      <c r="T1255" s="32"/>
      <c r="U1255" s="32"/>
      <c r="V1255" s="32"/>
      <c r="W1255" s="32"/>
      <c r="X1255" s="32"/>
      <c r="Y1255" s="32"/>
      <c r="Z1255" s="32"/>
    </row>
    <row r="1256">
      <c r="A1256" s="32" t="str">
        <f>IFERROR(__xludf.DUMMYFUNCTION("""COMPUTED_VALUE"""),"Nectarine")</f>
        <v>Nectarine</v>
      </c>
      <c r="B1256" s="32" t="str">
        <f>IFERROR(__xludf.DUMMYFUNCTION("""COMPUTED_VALUE"""),"5 hunger and thirst. (Crop)")</f>
        <v>5 hunger and thirst. (Crop)</v>
      </c>
      <c r="C1256" s="32"/>
      <c r="D1256" s="32"/>
      <c r="E1256" s="32"/>
      <c r="F1256" s="32"/>
      <c r="G1256" s="32"/>
      <c r="H1256" s="32"/>
      <c r="I1256" s="32"/>
      <c r="J1256" s="32"/>
      <c r="K1256" s="32"/>
      <c r="L1256" s="32"/>
      <c r="M1256" s="32"/>
      <c r="N1256" s="32"/>
      <c r="O1256" s="32"/>
      <c r="P1256" s="32"/>
      <c r="Q1256" s="32"/>
      <c r="R1256" s="32"/>
      <c r="S1256" s="32"/>
      <c r="T1256" s="32"/>
      <c r="U1256" s="32"/>
      <c r="V1256" s="32"/>
      <c r="W1256" s="32"/>
      <c r="X1256" s="32"/>
      <c r="Y1256" s="32"/>
      <c r="Z1256" s="32"/>
    </row>
    <row r="1257">
      <c r="A1257" s="32" t="str">
        <f>IFERROR(__xludf.DUMMYFUNCTION("""COMPUTED_VALUE"""),"Grapes")</f>
        <v>Grapes</v>
      </c>
      <c r="B1257" s="32" t="str">
        <f>IFERROR(__xludf.DUMMYFUNCTION("""COMPUTED_VALUE"""),"5 hunger and thirst. (Crop)")</f>
        <v>5 hunger and thirst. (Crop)</v>
      </c>
      <c r="C1257" s="32"/>
      <c r="D1257" s="32"/>
      <c r="E1257" s="32"/>
      <c r="F1257" s="32"/>
      <c r="G1257" s="32"/>
      <c r="H1257" s="32"/>
      <c r="I1257" s="32"/>
      <c r="J1257" s="32"/>
      <c r="K1257" s="32"/>
      <c r="L1257" s="32"/>
      <c r="M1257" s="32"/>
      <c r="N1257" s="32"/>
      <c r="O1257" s="32"/>
      <c r="P1257" s="32"/>
      <c r="Q1257" s="32"/>
      <c r="R1257" s="32"/>
      <c r="S1257" s="32"/>
      <c r="T1257" s="32"/>
      <c r="U1257" s="32"/>
      <c r="V1257" s="32"/>
      <c r="W1257" s="32"/>
      <c r="X1257" s="32"/>
      <c r="Y1257" s="32"/>
      <c r="Z1257" s="32"/>
    </row>
    <row r="1258">
      <c r="A1258" s="32" t="str">
        <f>IFERROR(__xludf.DUMMYFUNCTION("""COMPUTED_VALUE"""),"Mango")</f>
        <v>Mango</v>
      </c>
      <c r="B1258" s="32" t="str">
        <f>IFERROR(__xludf.DUMMYFUNCTION("""COMPUTED_VALUE"""),"5 hunger and thirst. (Crop)")</f>
        <v>5 hunger and thirst. (Crop)</v>
      </c>
      <c r="C1258" s="32"/>
      <c r="D1258" s="32"/>
      <c r="E1258" s="32"/>
      <c r="F1258" s="32"/>
      <c r="G1258" s="32"/>
      <c r="H1258" s="32"/>
      <c r="I1258" s="32"/>
      <c r="J1258" s="32"/>
      <c r="K1258" s="32"/>
      <c r="L1258" s="32"/>
      <c r="M1258" s="32"/>
      <c r="N1258" s="32"/>
      <c r="O1258" s="32"/>
      <c r="P1258" s="32"/>
      <c r="Q1258" s="32"/>
      <c r="R1258" s="32"/>
      <c r="S1258" s="32"/>
      <c r="T1258" s="32"/>
      <c r="U1258" s="32"/>
      <c r="V1258" s="32"/>
      <c r="W1258" s="32"/>
      <c r="X1258" s="32"/>
      <c r="Y1258" s="32"/>
      <c r="Z1258" s="32"/>
    </row>
    <row r="1259">
      <c r="A1259" s="32" t="str">
        <f>IFERROR(__xludf.DUMMYFUNCTION("""COMPUTED_VALUE"""),"Blueberries")</f>
        <v>Blueberries</v>
      </c>
      <c r="B1259" s="32" t="str">
        <f>IFERROR(__xludf.DUMMYFUNCTION("""COMPUTED_VALUE"""),"5 hunger and thirst. (Crop)")</f>
        <v>5 hunger and thirst. (Crop)</v>
      </c>
      <c r="C1259" s="32"/>
      <c r="D1259" s="32"/>
      <c r="E1259" s="32"/>
      <c r="F1259" s="32"/>
      <c r="G1259" s="32"/>
      <c r="H1259" s="32"/>
      <c r="I1259" s="32"/>
      <c r="J1259" s="32"/>
      <c r="K1259" s="32"/>
      <c r="L1259" s="32"/>
      <c r="M1259" s="32"/>
      <c r="N1259" s="32"/>
      <c r="O1259" s="32"/>
      <c r="P1259" s="32"/>
      <c r="Q1259" s="32"/>
      <c r="R1259" s="32"/>
      <c r="S1259" s="32"/>
      <c r="T1259" s="32"/>
      <c r="U1259" s="32"/>
      <c r="V1259" s="32"/>
      <c r="W1259" s="32"/>
      <c r="X1259" s="32"/>
      <c r="Y1259" s="32"/>
      <c r="Z1259" s="32"/>
    </row>
    <row r="1260">
      <c r="A1260" s="32" t="str">
        <f>IFERROR(__xludf.DUMMYFUNCTION("""COMPUTED_VALUE"""),"Pomegranate")</f>
        <v>Pomegranate</v>
      </c>
      <c r="B1260" s="32" t="str">
        <f>IFERROR(__xludf.DUMMYFUNCTION("""COMPUTED_VALUE"""),"10 hunger and thirst. (Crop)")</f>
        <v>10 hunger and thirst. (Crop)</v>
      </c>
      <c r="C1260" s="32"/>
      <c r="D1260" s="32"/>
      <c r="E1260" s="32"/>
      <c r="F1260" s="32"/>
      <c r="G1260" s="32"/>
      <c r="H1260" s="32"/>
      <c r="I1260" s="32"/>
      <c r="J1260" s="32"/>
      <c r="K1260" s="32"/>
      <c r="L1260" s="32"/>
      <c r="M1260" s="32"/>
      <c r="N1260" s="32"/>
      <c r="O1260" s="32"/>
      <c r="P1260" s="32"/>
      <c r="Q1260" s="32"/>
      <c r="R1260" s="32"/>
      <c r="S1260" s="32"/>
      <c r="T1260" s="32"/>
      <c r="U1260" s="32"/>
      <c r="V1260" s="32"/>
      <c r="W1260" s="32"/>
      <c r="X1260" s="32"/>
      <c r="Y1260" s="32"/>
      <c r="Z1260" s="32"/>
    </row>
    <row r="1261">
      <c r="A1261" s="32" t="str">
        <f>IFERROR(__xludf.DUMMYFUNCTION("""COMPUTED_VALUE"""),"StarFruit")</f>
        <v>StarFruit</v>
      </c>
      <c r="B1261" s="32" t="str">
        <f>IFERROR(__xludf.DUMMYFUNCTION("""COMPUTED_VALUE"""),"5 hunger and thirst. (Crop)")</f>
        <v>5 hunger and thirst. (Crop)</v>
      </c>
      <c r="C1261" s="32"/>
      <c r="D1261" s="32"/>
      <c r="E1261" s="32"/>
      <c r="F1261" s="32"/>
      <c r="G1261" s="32"/>
      <c r="H1261" s="32"/>
      <c r="I1261" s="32"/>
      <c r="J1261" s="32"/>
      <c r="K1261" s="32"/>
      <c r="L1261" s="32"/>
      <c r="M1261" s="32"/>
      <c r="N1261" s="32"/>
      <c r="O1261" s="32"/>
      <c r="P1261" s="32"/>
      <c r="Q1261" s="32"/>
      <c r="R1261" s="32"/>
      <c r="S1261" s="32"/>
      <c r="T1261" s="32"/>
      <c r="U1261" s="32"/>
      <c r="V1261" s="32"/>
      <c r="W1261" s="32"/>
      <c r="X1261" s="32"/>
      <c r="Y1261" s="32"/>
      <c r="Z1261" s="32"/>
    </row>
    <row r="1262">
      <c r="A1262" s="32" t="str">
        <f>IFERROR(__xludf.DUMMYFUNCTION("""COMPUTED_VALUE"""),"Plum")</f>
        <v>Plum</v>
      </c>
      <c r="B1262" s="32" t="str">
        <f>IFERROR(__xludf.DUMMYFUNCTION("""COMPUTED_VALUE"""),"5 hunger and thirst. (Crop)")</f>
        <v>5 hunger and thirst. (Crop)</v>
      </c>
      <c r="C1262" s="32"/>
      <c r="D1262" s="32"/>
      <c r="E1262" s="32"/>
      <c r="F1262" s="32"/>
      <c r="G1262" s="32"/>
      <c r="H1262" s="32"/>
      <c r="I1262" s="32"/>
      <c r="J1262" s="32"/>
      <c r="K1262" s="32"/>
      <c r="L1262" s="32"/>
      <c r="M1262" s="32"/>
      <c r="N1262" s="32"/>
      <c r="O1262" s="32"/>
      <c r="P1262" s="32"/>
      <c r="Q1262" s="32"/>
      <c r="R1262" s="32"/>
      <c r="S1262" s="32"/>
      <c r="T1262" s="32"/>
      <c r="U1262" s="32"/>
      <c r="V1262" s="32"/>
      <c r="W1262" s="32"/>
      <c r="X1262" s="32"/>
      <c r="Y1262" s="32"/>
      <c r="Z1262" s="32"/>
    </row>
    <row r="1263">
      <c r="A1263" s="32" t="str">
        <f>IFERROR(__xludf.DUMMYFUNCTION("""COMPUTED_VALUE"""),"Bananas")</f>
        <v>Bananas</v>
      </c>
      <c r="B1263" s="32" t="str">
        <f>IFERROR(__xludf.DUMMYFUNCTION("""COMPUTED_VALUE"""),"10 hunger. (Crop)")</f>
        <v>10 hunger. (Crop)</v>
      </c>
      <c r="C1263" s="32"/>
      <c r="D1263" s="32"/>
      <c r="E1263" s="32"/>
      <c r="F1263" s="32"/>
      <c r="G1263" s="32"/>
      <c r="H1263" s="32"/>
      <c r="I1263" s="32"/>
      <c r="J1263" s="32"/>
      <c r="K1263" s="32"/>
      <c r="L1263" s="32"/>
      <c r="M1263" s="32"/>
      <c r="N1263" s="32"/>
      <c r="O1263" s="32"/>
      <c r="P1263" s="32"/>
      <c r="Q1263" s="32"/>
      <c r="R1263" s="32"/>
      <c r="S1263" s="32"/>
      <c r="T1263" s="32"/>
      <c r="U1263" s="32"/>
      <c r="V1263" s="32"/>
      <c r="W1263" s="32"/>
      <c r="X1263" s="32"/>
      <c r="Y1263" s="32"/>
      <c r="Z1263" s="32"/>
    </row>
    <row r="1264">
      <c r="A1264" s="32" t="str">
        <f>IFERROR(__xludf.DUMMYFUNCTION("""COMPUTED_VALUE"""),"Raspberry")</f>
        <v>Raspberry</v>
      </c>
      <c r="B1264" s="32" t="str">
        <f>IFERROR(__xludf.DUMMYFUNCTION("""COMPUTED_VALUE"""),"5 hunger and thirst. (Crop)")</f>
        <v>5 hunger and thirst. (Crop)</v>
      </c>
      <c r="C1264" s="32"/>
      <c r="D1264" s="32"/>
      <c r="E1264" s="32"/>
      <c r="F1264" s="32"/>
      <c r="G1264" s="32"/>
      <c r="H1264" s="32"/>
      <c r="I1264" s="32"/>
      <c r="J1264" s="32"/>
      <c r="K1264" s="32"/>
      <c r="L1264" s="32"/>
      <c r="M1264" s="32"/>
      <c r="N1264" s="32"/>
      <c r="O1264" s="32"/>
      <c r="P1264" s="32"/>
      <c r="Q1264" s="32"/>
      <c r="R1264" s="32"/>
      <c r="S1264" s="32"/>
      <c r="T1264" s="32"/>
      <c r="U1264" s="32"/>
      <c r="V1264" s="32"/>
      <c r="W1264" s="32"/>
      <c r="X1264" s="32"/>
      <c r="Y1264" s="32"/>
      <c r="Z1264" s="32"/>
    </row>
    <row r="1265">
      <c r="A1265" s="32" t="str">
        <f>IFERROR(__xludf.DUMMYFUNCTION("""COMPUTED_VALUE"""),"Mandarin")</f>
        <v>Mandarin</v>
      </c>
      <c r="B1265" s="32" t="str">
        <f>IFERROR(__xludf.DUMMYFUNCTION("""COMPUTED_VALUE"""),"5 hunger and thirst. (Crop)")</f>
        <v>5 hunger and thirst. (Crop)</v>
      </c>
      <c r="C1265" s="32"/>
      <c r="D1265" s="32"/>
      <c r="E1265" s="32"/>
      <c r="F1265" s="32"/>
      <c r="G1265" s="32"/>
      <c r="H1265" s="32"/>
      <c r="I1265" s="32"/>
      <c r="J1265" s="32"/>
      <c r="K1265" s="32"/>
      <c r="L1265" s="32"/>
      <c r="M1265" s="32"/>
      <c r="N1265" s="32"/>
      <c r="O1265" s="32"/>
      <c r="P1265" s="32"/>
      <c r="Q1265" s="32"/>
      <c r="R1265" s="32"/>
      <c r="S1265" s="32"/>
      <c r="T1265" s="32"/>
      <c r="U1265" s="32"/>
      <c r="V1265" s="32"/>
      <c r="W1265" s="32"/>
      <c r="X1265" s="32"/>
      <c r="Y1265" s="32"/>
      <c r="Z1265" s="32"/>
    </row>
    <row r="1266">
      <c r="A1266" s="32" t="str">
        <f>IFERROR(__xludf.DUMMYFUNCTION("""COMPUTED_VALUE"""),"Jackfruit")</f>
        <v>Jackfruit</v>
      </c>
      <c r="B1266" s="32" t="str">
        <f>IFERROR(__xludf.DUMMYFUNCTION("""COMPUTED_VALUE"""),"5 hunger and thirst. (Crop)")</f>
        <v>5 hunger and thirst. (Crop)</v>
      </c>
      <c r="C1266" s="32"/>
      <c r="D1266" s="32"/>
      <c r="E1266" s="32"/>
      <c r="F1266" s="32"/>
      <c r="G1266" s="32"/>
      <c r="H1266" s="32"/>
      <c r="I1266" s="32"/>
      <c r="J1266" s="32"/>
      <c r="K1266" s="32"/>
      <c r="L1266" s="32"/>
      <c r="M1266" s="32"/>
      <c r="N1266" s="32"/>
      <c r="O1266" s="32"/>
      <c r="P1266" s="32"/>
      <c r="Q1266" s="32"/>
      <c r="R1266" s="32"/>
      <c r="S1266" s="32"/>
      <c r="T1266" s="32"/>
      <c r="U1266" s="32"/>
      <c r="V1266" s="32"/>
      <c r="W1266" s="32"/>
      <c r="X1266" s="32"/>
      <c r="Y1266" s="32"/>
      <c r="Z1266" s="32"/>
    </row>
    <row r="1267">
      <c r="A1267" s="32" t="str">
        <f>IFERROR(__xludf.DUMMYFUNCTION("""COMPUTED_VALUE"""),"Papaya")</f>
        <v>Papaya</v>
      </c>
      <c r="B1267" s="32" t="str">
        <f>IFERROR(__xludf.DUMMYFUNCTION("""COMPUTED_VALUE"""),"10 hunger and thirst. (Crop)")</f>
        <v>10 hunger and thirst. (Crop)</v>
      </c>
      <c r="C1267" s="32"/>
      <c r="D1267" s="32"/>
      <c r="E1267" s="32"/>
      <c r="F1267" s="32"/>
      <c r="G1267" s="32"/>
      <c r="H1267" s="32"/>
      <c r="I1267" s="32"/>
      <c r="J1267" s="32"/>
      <c r="K1267" s="32"/>
      <c r="L1267" s="32"/>
      <c r="M1267" s="32"/>
      <c r="N1267" s="32"/>
      <c r="O1267" s="32"/>
      <c r="P1267" s="32"/>
      <c r="Q1267" s="32"/>
      <c r="R1267" s="32"/>
      <c r="S1267" s="32"/>
      <c r="T1267" s="32"/>
      <c r="U1267" s="32"/>
      <c r="V1267" s="32"/>
      <c r="W1267" s="32"/>
      <c r="X1267" s="32"/>
      <c r="Y1267" s="32"/>
      <c r="Z1267" s="32"/>
    </row>
    <row r="1268">
      <c r="A1268" s="32" t="str">
        <f>IFERROR(__xludf.DUMMYFUNCTION("""COMPUTED_VALUE"""),"Kiwi")</f>
        <v>Kiwi</v>
      </c>
      <c r="B1268" s="32" t="str">
        <f>IFERROR(__xludf.DUMMYFUNCTION("""COMPUTED_VALUE"""),"5 hunger and thirst. (Crop)")</f>
        <v>5 hunger and thirst. (Crop)</v>
      </c>
      <c r="C1268" s="32"/>
      <c r="D1268" s="32"/>
      <c r="E1268" s="32"/>
      <c r="F1268" s="32"/>
      <c r="G1268" s="32"/>
      <c r="H1268" s="32"/>
      <c r="I1268" s="32"/>
      <c r="J1268" s="32"/>
      <c r="K1268" s="32"/>
      <c r="L1268" s="32"/>
      <c r="M1268" s="32"/>
      <c r="N1268" s="32"/>
      <c r="O1268" s="32"/>
      <c r="P1268" s="32"/>
      <c r="Q1268" s="32"/>
      <c r="R1268" s="32"/>
      <c r="S1268" s="32"/>
      <c r="T1268" s="32"/>
      <c r="U1268" s="32"/>
      <c r="V1268" s="32"/>
      <c r="W1268" s="32"/>
      <c r="X1268" s="32"/>
      <c r="Y1268" s="32"/>
      <c r="Z1268" s="32"/>
    </row>
    <row r="1269">
      <c r="A1269" s="32" t="str">
        <f>IFERROR(__xludf.DUMMYFUNCTION("""COMPUTED_VALUE"""),"Pineapple")</f>
        <v>Pineapple</v>
      </c>
      <c r="B1269" s="32" t="str">
        <f>IFERROR(__xludf.DUMMYFUNCTION("""COMPUTED_VALUE"""),"20 hunger and thirst. (Crop)")</f>
        <v>20 hunger and thirst. (Crop)</v>
      </c>
      <c r="C1269" s="32"/>
      <c r="D1269" s="32"/>
      <c r="E1269" s="32"/>
      <c r="F1269" s="32"/>
      <c r="G1269" s="32"/>
      <c r="H1269" s="32"/>
      <c r="I1269" s="32"/>
      <c r="J1269" s="32"/>
      <c r="K1269" s="32"/>
      <c r="L1269" s="32"/>
      <c r="M1269" s="32"/>
      <c r="N1269" s="32"/>
      <c r="O1269" s="32"/>
      <c r="P1269" s="32"/>
      <c r="Q1269" s="32"/>
      <c r="R1269" s="32"/>
      <c r="S1269" s="32"/>
      <c r="T1269" s="32"/>
      <c r="U1269" s="32"/>
      <c r="V1269" s="32"/>
      <c r="W1269" s="32"/>
      <c r="X1269" s="32"/>
      <c r="Y1269" s="32"/>
      <c r="Z1269" s="32"/>
    </row>
    <row r="1270">
      <c r="A1270" s="32" t="str">
        <f>IFERROR(__xludf.DUMMYFUNCTION("""COMPUTED_VALUE"""),"Lime")</f>
        <v>Lime</v>
      </c>
      <c r="B1270" s="32" t="str">
        <f>IFERROR(__xludf.DUMMYFUNCTION("""COMPUTED_VALUE"""),"5 hunger and thirst or 25% chance to lose 10 hunger and thirst. (Crop)")</f>
        <v>5 hunger and thirst or 25% chance to lose 10 hunger and thirst. (Crop)</v>
      </c>
      <c r="C1270" s="32"/>
      <c r="D1270" s="32"/>
      <c r="E1270" s="32"/>
      <c r="F1270" s="32"/>
      <c r="G1270" s="32"/>
      <c r="H1270" s="32"/>
      <c r="I1270" s="32"/>
      <c r="J1270" s="32"/>
      <c r="K1270" s="32"/>
      <c r="L1270" s="32"/>
      <c r="M1270" s="32"/>
      <c r="N1270" s="32"/>
      <c r="O1270" s="32"/>
      <c r="P1270" s="32"/>
      <c r="Q1270" s="32"/>
      <c r="R1270" s="32"/>
      <c r="S1270" s="32"/>
      <c r="T1270" s="32"/>
      <c r="U1270" s="32"/>
      <c r="V1270" s="32"/>
      <c r="W1270" s="32"/>
      <c r="X1270" s="32"/>
      <c r="Y1270" s="32"/>
      <c r="Z1270" s="32"/>
    </row>
    <row r="1271">
      <c r="A1271" s="32" t="str">
        <f>IFERROR(__xludf.DUMMYFUNCTION("""COMPUTED_VALUE"""),"Lemon")</f>
        <v>Lemon</v>
      </c>
      <c r="B1271" s="32" t="str">
        <f>IFERROR(__xludf.DUMMYFUNCTION("""COMPUTED_VALUE"""),"5 hunger and thirst or 50% chance to lose 10 hunger and thirst. (Crop)")</f>
        <v>5 hunger and thirst or 50% chance to lose 10 hunger and thirst. (Crop)</v>
      </c>
      <c r="C1271" s="32"/>
      <c r="D1271" s="32"/>
      <c r="E1271" s="32"/>
      <c r="F1271" s="32"/>
      <c r="G1271" s="32"/>
      <c r="H1271" s="32"/>
      <c r="I1271" s="32"/>
      <c r="J1271" s="32"/>
      <c r="K1271" s="32"/>
      <c r="L1271" s="32"/>
      <c r="M1271" s="32"/>
      <c r="N1271" s="32"/>
      <c r="O1271" s="32"/>
      <c r="P1271" s="32"/>
      <c r="Q1271" s="32"/>
      <c r="R1271" s="32"/>
      <c r="S1271" s="32"/>
      <c r="T1271" s="32"/>
      <c r="U1271" s="32"/>
      <c r="V1271" s="32"/>
      <c r="W1271" s="32"/>
      <c r="X1271" s="32"/>
      <c r="Y1271" s="32"/>
      <c r="Z1271" s="32"/>
    </row>
    <row r="1272">
      <c r="A1272" s="32" t="str">
        <f>IFERROR(__xludf.DUMMYFUNCTION("""COMPUTED_VALUE"""),"Apricot")</f>
        <v>Apricot</v>
      </c>
      <c r="B1272" s="32" t="str">
        <f>IFERROR(__xludf.DUMMYFUNCTION("""COMPUTED_VALUE"""),"5 hunger and thirst. (Crop)")</f>
        <v>5 hunger and thirst. (Crop)</v>
      </c>
      <c r="C1272" s="32"/>
      <c r="D1272" s="32"/>
      <c r="E1272" s="32"/>
      <c r="F1272" s="32"/>
      <c r="G1272" s="32"/>
      <c r="H1272" s="32"/>
      <c r="I1272" s="32"/>
      <c r="J1272" s="32"/>
      <c r="K1272" s="32"/>
      <c r="L1272" s="32"/>
      <c r="M1272" s="32"/>
      <c r="N1272" s="32"/>
      <c r="O1272" s="32"/>
      <c r="P1272" s="32"/>
      <c r="Q1272" s="32"/>
      <c r="R1272" s="32"/>
      <c r="S1272" s="32"/>
      <c r="T1272" s="32"/>
      <c r="U1272" s="32"/>
      <c r="V1272" s="32"/>
      <c r="W1272" s="32"/>
      <c r="X1272" s="32"/>
      <c r="Y1272" s="32"/>
      <c r="Z1272" s="32"/>
    </row>
    <row r="1273">
      <c r="A1273" s="32" t="str">
        <f>IFERROR(__xludf.DUMMYFUNCTION("""COMPUTED_VALUE"""),"Grapefruit")</f>
        <v>Grapefruit</v>
      </c>
      <c r="B1273" s="32" t="str">
        <f>IFERROR(__xludf.DUMMYFUNCTION("""COMPUTED_VALUE"""),"10 hunger and thirst. (Crop)")</f>
        <v>10 hunger and thirst. (Crop)</v>
      </c>
      <c r="C1273" s="32"/>
      <c r="D1273" s="32"/>
      <c r="E1273" s="32"/>
      <c r="F1273" s="32"/>
      <c r="G1273" s="32"/>
      <c r="H1273" s="32"/>
      <c r="I1273" s="32"/>
      <c r="J1273" s="32"/>
      <c r="K1273" s="32"/>
      <c r="L1273" s="32"/>
      <c r="M1273" s="32"/>
      <c r="N1273" s="32"/>
      <c r="O1273" s="32"/>
      <c r="P1273" s="32"/>
      <c r="Q1273" s="32"/>
      <c r="R1273" s="32"/>
      <c r="S1273" s="32"/>
      <c r="T1273" s="32"/>
      <c r="U1273" s="32"/>
      <c r="V1273" s="32"/>
      <c r="W1273" s="32"/>
      <c r="X1273" s="32"/>
      <c r="Y1273" s="32"/>
      <c r="Z1273" s="32"/>
    </row>
    <row r="1274">
      <c r="A1274" s="32" t="str">
        <f>IFERROR(__xludf.DUMMYFUNCTION("""COMPUTED_VALUE"""),"Coconut")</f>
        <v>Coconut</v>
      </c>
      <c r="B1274" s="32" t="str">
        <f>IFERROR(__xludf.DUMMYFUNCTION("""COMPUTED_VALUE"""),"10 hunger and thirst. (Crop)")</f>
        <v>10 hunger and thirst. (Crop)</v>
      </c>
      <c r="C1274" s="32"/>
      <c r="D1274" s="32"/>
      <c r="E1274" s="32"/>
      <c r="F1274" s="32"/>
      <c r="G1274" s="32"/>
      <c r="H1274" s="32"/>
      <c r="I1274" s="32"/>
      <c r="J1274" s="32"/>
      <c r="K1274" s="32"/>
      <c r="L1274" s="32"/>
      <c r="M1274" s="32"/>
      <c r="N1274" s="32"/>
      <c r="O1274" s="32"/>
      <c r="P1274" s="32"/>
      <c r="Q1274" s="32"/>
      <c r="R1274" s="32"/>
      <c r="S1274" s="32"/>
      <c r="T1274" s="32"/>
      <c r="U1274" s="32"/>
      <c r="V1274" s="32"/>
      <c r="W1274" s="32"/>
      <c r="X1274" s="32"/>
      <c r="Y1274" s="32"/>
      <c r="Z1274" s="32"/>
    </row>
    <row r="1275">
      <c r="A1275" s="32" t="str">
        <f>IFERROR(__xludf.DUMMYFUNCTION("""COMPUTED_VALUE"""),"Avocado")</f>
        <v>Avocado</v>
      </c>
      <c r="B1275" s="32" t="str">
        <f>IFERROR(__xludf.DUMMYFUNCTION("""COMPUTED_VALUE"""),"5 hunger. (Crop)")</f>
        <v>5 hunger. (Crop)</v>
      </c>
      <c r="C1275" s="32"/>
      <c r="D1275" s="32"/>
      <c r="E1275" s="32"/>
      <c r="F1275" s="32"/>
      <c r="G1275" s="32"/>
      <c r="H1275" s="32"/>
      <c r="I1275" s="32"/>
      <c r="J1275" s="32"/>
      <c r="K1275" s="32"/>
      <c r="L1275" s="32"/>
      <c r="M1275" s="32"/>
      <c r="N1275" s="32"/>
      <c r="O1275" s="32"/>
      <c r="P1275" s="32"/>
      <c r="Q1275" s="32"/>
      <c r="R1275" s="32"/>
      <c r="S1275" s="32"/>
      <c r="T1275" s="32"/>
      <c r="U1275" s="32"/>
      <c r="V1275" s="32"/>
      <c r="W1275" s="32"/>
      <c r="X1275" s="32"/>
      <c r="Y1275" s="32"/>
      <c r="Z1275" s="32"/>
    </row>
    <row r="1276">
      <c r="A1276" s="32" t="str">
        <f>IFERROR(__xludf.DUMMYFUNCTION("""COMPUTED_VALUE"""),"Peach")</f>
        <v>Peach</v>
      </c>
      <c r="B1276" s="32" t="str">
        <f>IFERROR(__xludf.DUMMYFUNCTION("""COMPUTED_VALUE"""),"5 hunger and thirst. (Crop)")</f>
        <v>5 hunger and thirst. (Crop)</v>
      </c>
      <c r="C1276" s="32"/>
      <c r="D1276" s="32"/>
      <c r="E1276" s="32"/>
      <c r="F1276" s="32"/>
      <c r="G1276" s="32"/>
      <c r="H1276" s="32"/>
      <c r="I1276" s="32"/>
      <c r="J1276" s="32"/>
      <c r="K1276" s="32"/>
      <c r="L1276" s="32"/>
      <c r="M1276" s="32"/>
      <c r="N1276" s="32"/>
      <c r="O1276" s="32"/>
      <c r="P1276" s="32"/>
      <c r="Q1276" s="32"/>
      <c r="R1276" s="32"/>
      <c r="S1276" s="32"/>
      <c r="T1276" s="32"/>
      <c r="U1276" s="32"/>
      <c r="V1276" s="32"/>
      <c r="W1276" s="32"/>
      <c r="X1276" s="32"/>
      <c r="Y1276" s="32"/>
      <c r="Z1276" s="32"/>
    </row>
    <row r="1277">
      <c r="A1277" s="32" t="str">
        <f>IFERROR(__xludf.DUMMYFUNCTION("""COMPUTED_VALUE"""),"Corn")</f>
        <v>Corn</v>
      </c>
      <c r="B1277" s="32" t="str">
        <f>IFERROR(__xludf.DUMMYFUNCTION("""COMPUTED_VALUE"""),"10 hunger. (Crop)")</f>
        <v>10 hunger. (Crop)</v>
      </c>
      <c r="C1277" s="32"/>
      <c r="D1277" s="32"/>
      <c r="E1277" s="32"/>
      <c r="F1277" s="32"/>
      <c r="G1277" s="32"/>
      <c r="H1277" s="32"/>
      <c r="I1277" s="32"/>
      <c r="J1277" s="32"/>
      <c r="K1277" s="32"/>
      <c r="L1277" s="32"/>
      <c r="M1277" s="32"/>
      <c r="N1277" s="32"/>
      <c r="O1277" s="32"/>
      <c r="P1277" s="32"/>
      <c r="Q1277" s="32"/>
      <c r="R1277" s="32"/>
      <c r="S1277" s="32"/>
      <c r="T1277" s="32"/>
      <c r="U1277" s="32"/>
      <c r="V1277" s="32"/>
      <c r="W1277" s="32"/>
      <c r="X1277" s="32"/>
      <c r="Y1277" s="32"/>
      <c r="Z1277" s="32"/>
    </row>
    <row r="1278">
      <c r="A1278" s="32" t="str">
        <f>IFERROR(__xludf.DUMMYFUNCTION("""COMPUTED_VALUE"""),"Mushroom")</f>
        <v>Mushroom</v>
      </c>
      <c r="B1278" s="32" t="str">
        <f>IFERROR(__xludf.DUMMYFUNCTION("""COMPUTED_VALUE"""),"10 hunger, 25% chance of wandering away from the party. (Crop)")</f>
        <v>10 hunger, 25% chance of wandering away from the party. (Crop)</v>
      </c>
      <c r="C1278" s="32"/>
      <c r="D1278" s="32"/>
      <c r="E1278" s="32"/>
      <c r="F1278" s="32"/>
      <c r="G1278" s="32"/>
      <c r="H1278" s="32"/>
      <c r="I1278" s="32"/>
      <c r="J1278" s="32"/>
      <c r="K1278" s="32"/>
      <c r="L1278" s="32"/>
      <c r="M1278" s="32"/>
      <c r="N1278" s="32"/>
      <c r="O1278" s="32"/>
      <c r="P1278" s="32"/>
      <c r="Q1278" s="32"/>
      <c r="R1278" s="32"/>
      <c r="S1278" s="32"/>
      <c r="T1278" s="32"/>
      <c r="U1278" s="32"/>
      <c r="V1278" s="32"/>
      <c r="W1278" s="32"/>
      <c r="X1278" s="32"/>
      <c r="Y1278" s="32"/>
      <c r="Z1278" s="32"/>
    </row>
    <row r="1279">
      <c r="A1279" s="32" t="str">
        <f>IFERROR(__xludf.DUMMYFUNCTION("""COMPUTED_VALUE"""),"Broccoli")</f>
        <v>Broccoli</v>
      </c>
      <c r="B1279" s="32" t="str">
        <f>IFERROR(__xludf.DUMMYFUNCTION("""COMPUTED_VALUE"""),"5 hunger (Crop)")</f>
        <v>5 hunger (Crop)</v>
      </c>
      <c r="C1279" s="32"/>
      <c r="D1279" s="32"/>
      <c r="E1279" s="32"/>
      <c r="F1279" s="32"/>
      <c r="G1279" s="32"/>
      <c r="H1279" s="32"/>
      <c r="I1279" s="32"/>
      <c r="J1279" s="32"/>
      <c r="K1279" s="32"/>
      <c r="L1279" s="32"/>
      <c r="M1279" s="32"/>
      <c r="N1279" s="32"/>
      <c r="O1279" s="32"/>
      <c r="P1279" s="32"/>
      <c r="Q1279" s="32"/>
      <c r="R1279" s="32"/>
      <c r="S1279" s="32"/>
      <c r="T1279" s="32"/>
      <c r="U1279" s="32"/>
      <c r="V1279" s="32"/>
      <c r="W1279" s="32"/>
      <c r="X1279" s="32"/>
      <c r="Y1279" s="32"/>
      <c r="Z1279" s="32"/>
    </row>
    <row r="1280">
      <c r="A1280" s="32" t="str">
        <f>IFERROR(__xludf.DUMMYFUNCTION("""COMPUTED_VALUE"""),"Cucumber")</f>
        <v>Cucumber</v>
      </c>
      <c r="B1280" s="32" t="str">
        <f>IFERROR(__xludf.DUMMYFUNCTION("""COMPUTED_VALUE"""),"5 hunger (Crop)")</f>
        <v>5 hunger (Crop)</v>
      </c>
      <c r="C1280" s="32"/>
      <c r="D1280" s="32"/>
      <c r="E1280" s="32"/>
      <c r="F1280" s="32"/>
      <c r="G1280" s="32"/>
      <c r="H1280" s="32"/>
      <c r="I1280" s="32"/>
      <c r="J1280" s="32"/>
      <c r="K1280" s="32"/>
      <c r="L1280" s="32"/>
      <c r="M1280" s="32"/>
      <c r="N1280" s="32"/>
      <c r="O1280" s="32"/>
      <c r="P1280" s="32"/>
      <c r="Q1280" s="32"/>
      <c r="R1280" s="32"/>
      <c r="S1280" s="32"/>
      <c r="T1280" s="32"/>
      <c r="U1280" s="32"/>
      <c r="V1280" s="32"/>
      <c r="W1280" s="32"/>
      <c r="X1280" s="32"/>
      <c r="Y1280" s="32"/>
      <c r="Z1280" s="32"/>
    </row>
    <row r="1281">
      <c r="A1281" s="32" t="str">
        <f>IFERROR(__xludf.DUMMYFUNCTION("""COMPUTED_VALUE"""),"Red Pepper/Red Bell Pepper")</f>
        <v>Red Pepper/Red Bell Pepper</v>
      </c>
      <c r="B1281" s="32" t="str">
        <f>IFERROR(__xludf.DUMMYFUNCTION("""COMPUTED_VALUE"""),"5 hunger (Crop)")</f>
        <v>5 hunger (Crop)</v>
      </c>
      <c r="C1281" s="32"/>
      <c r="D1281" s="32"/>
      <c r="E1281" s="32"/>
      <c r="F1281" s="32"/>
      <c r="G1281" s="32"/>
      <c r="H1281" s="32"/>
      <c r="I1281" s="32"/>
      <c r="J1281" s="32"/>
      <c r="K1281" s="32"/>
      <c r="L1281" s="32"/>
      <c r="M1281" s="32"/>
      <c r="N1281" s="32"/>
      <c r="O1281" s="32"/>
      <c r="P1281" s="32"/>
      <c r="Q1281" s="32"/>
      <c r="R1281" s="32"/>
      <c r="S1281" s="32"/>
      <c r="T1281" s="32"/>
      <c r="U1281" s="32"/>
      <c r="V1281" s="32"/>
      <c r="W1281" s="32"/>
      <c r="X1281" s="32"/>
      <c r="Y1281" s="32"/>
      <c r="Z1281" s="32"/>
    </row>
    <row r="1282">
      <c r="A1282" s="32" t="str">
        <f>IFERROR(__xludf.DUMMYFUNCTION("""COMPUTED_VALUE"""),"Tomato")</f>
        <v>Tomato</v>
      </c>
      <c r="B1282" s="32" t="str">
        <f>IFERROR(__xludf.DUMMYFUNCTION("""COMPUTED_VALUE"""),"5 hunger and thirst (Crop)")</f>
        <v>5 hunger and thirst (Crop)</v>
      </c>
      <c r="C1282" s="32"/>
      <c r="D1282" s="32"/>
      <c r="E1282" s="32"/>
      <c r="F1282" s="32"/>
      <c r="G1282" s="32"/>
      <c r="H1282" s="32"/>
      <c r="I1282" s="32"/>
      <c r="J1282" s="32"/>
      <c r="K1282" s="32"/>
      <c r="L1282" s="32"/>
      <c r="M1282" s="32"/>
      <c r="N1282" s="32"/>
      <c r="O1282" s="32"/>
      <c r="P1282" s="32"/>
      <c r="Q1282" s="32"/>
      <c r="R1282" s="32"/>
      <c r="S1282" s="32"/>
      <c r="T1282" s="32"/>
      <c r="U1282" s="32"/>
      <c r="V1282" s="32"/>
      <c r="W1282" s="32"/>
      <c r="X1282" s="32"/>
      <c r="Y1282" s="32"/>
      <c r="Z1282" s="32"/>
    </row>
    <row r="1283">
      <c r="A1283" s="32" t="str">
        <f>IFERROR(__xludf.DUMMYFUNCTION("""COMPUTED_VALUE"""),"Carrot")</f>
        <v>Carrot</v>
      </c>
      <c r="B1283" s="32" t="str">
        <f>IFERROR(__xludf.DUMMYFUNCTION("""COMPUTED_VALUE"""),"5 hunger (Crop)")</f>
        <v>5 hunger (Crop)</v>
      </c>
      <c r="C1283" s="32"/>
      <c r="D1283" s="32"/>
      <c r="E1283" s="32"/>
      <c r="F1283" s="32"/>
      <c r="G1283" s="32"/>
      <c r="H1283" s="32"/>
      <c r="I1283" s="32"/>
      <c r="J1283" s="32"/>
      <c r="K1283" s="32"/>
      <c r="L1283" s="32"/>
      <c r="M1283" s="32"/>
      <c r="N1283" s="32"/>
      <c r="O1283" s="32"/>
      <c r="P1283" s="32"/>
      <c r="Q1283" s="32"/>
      <c r="R1283" s="32"/>
      <c r="S1283" s="32"/>
      <c r="T1283" s="32"/>
      <c r="U1283" s="32"/>
      <c r="V1283" s="32"/>
      <c r="W1283" s="32"/>
      <c r="X1283" s="32"/>
      <c r="Y1283" s="32"/>
      <c r="Z1283" s="32"/>
    </row>
    <row r="1284">
      <c r="A1284" s="32" t="str">
        <f>IFERROR(__xludf.DUMMYFUNCTION("""COMPUTED_VALUE"""),"Brussels Sprout")</f>
        <v>Brussels Sprout</v>
      </c>
      <c r="B1284" s="32" t="str">
        <f>IFERROR(__xludf.DUMMYFUNCTION("""COMPUTED_VALUE"""),"5 hunger (Crop)")</f>
        <v>5 hunger (Crop)</v>
      </c>
      <c r="C1284" s="32"/>
      <c r="D1284" s="32"/>
      <c r="E1284" s="32"/>
      <c r="F1284" s="32"/>
      <c r="G1284" s="32"/>
      <c r="H1284" s="32"/>
      <c r="I1284" s="32"/>
      <c r="J1284" s="32"/>
      <c r="K1284" s="32"/>
      <c r="L1284" s="32"/>
      <c r="M1284" s="32"/>
      <c r="N1284" s="32"/>
      <c r="O1284" s="32"/>
      <c r="P1284" s="32"/>
      <c r="Q1284" s="32"/>
      <c r="R1284" s="32"/>
      <c r="S1284" s="32"/>
      <c r="T1284" s="32"/>
      <c r="U1284" s="32"/>
      <c r="V1284" s="32"/>
      <c r="W1284" s="32"/>
      <c r="X1284" s="32"/>
      <c r="Y1284" s="32"/>
      <c r="Z1284" s="32"/>
    </row>
    <row r="1285">
      <c r="A1285" s="32" t="str">
        <f>IFERROR(__xludf.DUMMYFUNCTION("""COMPUTED_VALUE"""),"Cabbage")</f>
        <v>Cabbage</v>
      </c>
      <c r="B1285" s="32" t="str">
        <f>IFERROR(__xludf.DUMMYFUNCTION("""COMPUTED_VALUE"""),"10 hunger (Crop)")</f>
        <v>10 hunger (Crop)</v>
      </c>
      <c r="C1285" s="32"/>
      <c r="D1285" s="32"/>
      <c r="E1285" s="32"/>
      <c r="F1285" s="32"/>
      <c r="G1285" s="32"/>
      <c r="H1285" s="32"/>
      <c r="I1285" s="32"/>
      <c r="J1285" s="32"/>
      <c r="K1285" s="32"/>
      <c r="L1285" s="32"/>
      <c r="M1285" s="32"/>
      <c r="N1285" s="32"/>
      <c r="O1285" s="32"/>
      <c r="P1285" s="32"/>
      <c r="Q1285" s="32"/>
      <c r="R1285" s="32"/>
      <c r="S1285" s="32"/>
      <c r="T1285" s="32"/>
      <c r="U1285" s="32"/>
      <c r="V1285" s="32"/>
      <c r="W1285" s="32"/>
      <c r="X1285" s="32"/>
      <c r="Y1285" s="32"/>
      <c r="Z1285" s="32"/>
    </row>
    <row r="1286">
      <c r="A1286" s="32" t="str">
        <f>IFERROR(__xludf.DUMMYFUNCTION("""COMPUTED_VALUE"""),"Potato")</f>
        <v>Potato</v>
      </c>
      <c r="B1286" s="32" t="str">
        <f>IFERROR(__xludf.DUMMYFUNCTION("""COMPUTED_VALUE"""),"5 hunger (Crop)")</f>
        <v>5 hunger (Crop)</v>
      </c>
      <c r="C1286" s="32"/>
      <c r="D1286" s="32"/>
      <c r="E1286" s="32"/>
      <c r="F1286" s="32"/>
      <c r="G1286" s="32"/>
      <c r="H1286" s="32"/>
      <c r="I1286" s="32"/>
      <c r="J1286" s="32"/>
      <c r="K1286" s="32"/>
      <c r="L1286" s="32"/>
      <c r="M1286" s="32"/>
      <c r="N1286" s="32"/>
      <c r="O1286" s="32"/>
      <c r="P1286" s="32"/>
      <c r="Q1286" s="32"/>
      <c r="R1286" s="32"/>
      <c r="S1286" s="32"/>
      <c r="T1286" s="32"/>
      <c r="U1286" s="32"/>
      <c r="V1286" s="32"/>
      <c r="W1286" s="32"/>
      <c r="X1286" s="32"/>
      <c r="Y1286" s="32"/>
      <c r="Z1286" s="32"/>
    </row>
    <row r="1287">
      <c r="A1287" s="32" t="str">
        <f>IFERROR(__xludf.DUMMYFUNCTION("""COMPUTED_VALUE"""),"Eggplant")</f>
        <v>Eggplant</v>
      </c>
      <c r="B1287" s="32" t="str">
        <f>IFERROR(__xludf.DUMMYFUNCTION("""COMPUTED_VALUE"""),"10 hunger (Crop)")</f>
        <v>10 hunger (Crop)</v>
      </c>
      <c r="C1287" s="32"/>
      <c r="D1287" s="32"/>
      <c r="E1287" s="32"/>
      <c r="F1287" s="32"/>
      <c r="G1287" s="32"/>
      <c r="H1287" s="32"/>
      <c r="I1287" s="32"/>
      <c r="J1287" s="32"/>
      <c r="K1287" s="32"/>
      <c r="L1287" s="32"/>
      <c r="M1287" s="32"/>
      <c r="N1287" s="32"/>
      <c r="O1287" s="32"/>
      <c r="P1287" s="32"/>
      <c r="Q1287" s="32"/>
      <c r="R1287" s="32"/>
      <c r="S1287" s="32"/>
      <c r="T1287" s="32"/>
      <c r="U1287" s="32"/>
      <c r="V1287" s="32"/>
      <c r="W1287" s="32"/>
      <c r="X1287" s="32"/>
      <c r="Y1287" s="32"/>
      <c r="Z1287" s="32"/>
    </row>
    <row r="1288">
      <c r="A1288" s="32" t="str">
        <f>IFERROR(__xludf.DUMMYFUNCTION("""COMPUTED_VALUE"""),"Sweet Potato")</f>
        <v>Sweet Potato</v>
      </c>
      <c r="B1288" s="32" t="str">
        <f>IFERROR(__xludf.DUMMYFUNCTION("""COMPUTED_VALUE"""),"5 hunger (Crop)")</f>
        <v>5 hunger (Crop)</v>
      </c>
      <c r="C1288" s="32"/>
      <c r="D1288" s="32"/>
      <c r="E1288" s="32"/>
      <c r="F1288" s="32"/>
      <c r="G1288" s="32"/>
      <c r="H1288" s="32"/>
      <c r="I1288" s="32"/>
      <c r="J1288" s="32"/>
      <c r="K1288" s="32"/>
      <c r="L1288" s="32"/>
      <c r="M1288" s="32"/>
      <c r="N1288" s="32"/>
      <c r="O1288" s="32"/>
      <c r="P1288" s="32"/>
      <c r="Q1288" s="32"/>
      <c r="R1288" s="32"/>
      <c r="S1288" s="32"/>
      <c r="T1288" s="32"/>
      <c r="U1288" s="32"/>
      <c r="V1288" s="32"/>
      <c r="W1288" s="32"/>
      <c r="X1288" s="32"/>
      <c r="Y1288" s="32"/>
      <c r="Z1288" s="32"/>
    </row>
    <row r="1289">
      <c r="A1289" s="32" t="str">
        <f>IFERROR(__xludf.DUMMYFUNCTION("""COMPUTED_VALUE"""),"Turnip")</f>
        <v>Turnip</v>
      </c>
      <c r="B1289" s="32" t="str">
        <f>IFERROR(__xludf.DUMMYFUNCTION("""COMPUTED_VALUE"""),"5 hunger (Crop)")</f>
        <v>5 hunger (Crop)</v>
      </c>
      <c r="C1289" s="32"/>
      <c r="D1289" s="32"/>
      <c r="E1289" s="32"/>
      <c r="F1289" s="32"/>
      <c r="G1289" s="32"/>
      <c r="H1289" s="32"/>
      <c r="I1289" s="32"/>
      <c r="J1289" s="32"/>
      <c r="K1289" s="32"/>
      <c r="L1289" s="32"/>
      <c r="M1289" s="32"/>
      <c r="N1289" s="32"/>
      <c r="O1289" s="32"/>
      <c r="P1289" s="32"/>
      <c r="Q1289" s="32"/>
      <c r="R1289" s="32"/>
      <c r="S1289" s="32"/>
      <c r="T1289" s="32"/>
      <c r="U1289" s="32"/>
      <c r="V1289" s="32"/>
      <c r="W1289" s="32"/>
      <c r="X1289" s="32"/>
      <c r="Y1289" s="32"/>
      <c r="Z1289" s="32"/>
    </row>
    <row r="1290">
      <c r="A1290" s="32" t="str">
        <f>IFERROR(__xludf.DUMMYFUNCTION("""COMPUTED_VALUE"""),"Green Chilli")</f>
        <v>Green Chilli</v>
      </c>
      <c r="B1290" s="32" t="str">
        <f>IFERROR(__xludf.DUMMYFUNCTION("""COMPUTED_VALUE"""),"5 hunger (Crop)")</f>
        <v>5 hunger (Crop)</v>
      </c>
      <c r="C1290" s="32"/>
      <c r="D1290" s="32"/>
      <c r="E1290" s="32"/>
      <c r="F1290" s="32"/>
      <c r="G1290" s="32"/>
      <c r="H1290" s="32"/>
      <c r="I1290" s="32"/>
      <c r="J1290" s="32"/>
      <c r="K1290" s="32"/>
      <c r="L1290" s="32"/>
      <c r="M1290" s="32"/>
      <c r="N1290" s="32"/>
      <c r="O1290" s="32"/>
      <c r="P1290" s="32"/>
      <c r="Q1290" s="32"/>
      <c r="R1290" s="32"/>
      <c r="S1290" s="32"/>
      <c r="T1290" s="32"/>
      <c r="U1290" s="32"/>
      <c r="V1290" s="32"/>
      <c r="W1290" s="32"/>
      <c r="X1290" s="32"/>
      <c r="Y1290" s="32"/>
      <c r="Z1290" s="32"/>
    </row>
    <row r="1291">
      <c r="A1291" s="32" t="str">
        <f>IFERROR(__xludf.DUMMYFUNCTION("""COMPUTED_VALUE"""),"Onion")</f>
        <v>Onion</v>
      </c>
      <c r="B1291" s="32" t="str">
        <f>IFERROR(__xludf.DUMMYFUNCTION("""COMPUTED_VALUE"""),"5 hunger, 50% Blindness 3 during the next battle. (Crop)")</f>
        <v>5 hunger, 50% Blindness 3 during the next battle. (Crop)</v>
      </c>
      <c r="C1291" s="32"/>
      <c r="D1291" s="32"/>
      <c r="E1291" s="32"/>
      <c r="F1291" s="32"/>
      <c r="G1291" s="32"/>
      <c r="H1291" s="32"/>
      <c r="I1291" s="32"/>
      <c r="J1291" s="32"/>
      <c r="K1291" s="32"/>
      <c r="L1291" s="32"/>
      <c r="M1291" s="32"/>
      <c r="N1291" s="32"/>
      <c r="O1291" s="32"/>
      <c r="P1291" s="32"/>
      <c r="Q1291" s="32"/>
      <c r="R1291" s="32"/>
      <c r="S1291" s="32"/>
      <c r="T1291" s="32"/>
      <c r="U1291" s="32"/>
      <c r="V1291" s="32"/>
      <c r="W1291" s="32"/>
      <c r="X1291" s="32"/>
      <c r="Y1291" s="32"/>
      <c r="Z1291" s="32"/>
    </row>
    <row r="1292">
      <c r="A1292" s="32" t="str">
        <f>IFERROR(__xludf.DUMMYFUNCTION("""COMPUTED_VALUE"""),"Lettuce")</f>
        <v>Lettuce</v>
      </c>
      <c r="B1292" s="32" t="str">
        <f>IFERROR(__xludf.DUMMYFUNCTION("""COMPUTED_VALUE"""),"5 hunger (Crop)")</f>
        <v>5 hunger (Crop)</v>
      </c>
      <c r="C1292" s="32"/>
      <c r="D1292" s="32"/>
      <c r="E1292" s="32"/>
      <c r="F1292" s="32"/>
      <c r="G1292" s="32"/>
      <c r="H1292" s="32"/>
      <c r="I1292" s="32"/>
      <c r="J1292" s="32"/>
      <c r="K1292" s="32"/>
      <c r="L1292" s="32"/>
      <c r="M1292" s="32"/>
      <c r="N1292" s="32"/>
      <c r="O1292" s="32"/>
      <c r="P1292" s="32"/>
      <c r="Q1292" s="32"/>
      <c r="R1292" s="32"/>
      <c r="S1292" s="32"/>
      <c r="T1292" s="32"/>
      <c r="U1292" s="32"/>
      <c r="V1292" s="32"/>
      <c r="W1292" s="32"/>
      <c r="X1292" s="32"/>
      <c r="Y1292" s="32"/>
      <c r="Z1292" s="32"/>
    </row>
    <row r="1293">
      <c r="A1293" s="32" t="str">
        <f>IFERROR(__xludf.DUMMYFUNCTION("""COMPUTED_VALUE"""),"Radish")</f>
        <v>Radish</v>
      </c>
      <c r="B1293" s="32" t="str">
        <f>IFERROR(__xludf.DUMMYFUNCTION("""COMPUTED_VALUE"""),"5 hunger (Crop)")</f>
        <v>5 hunger (Crop)</v>
      </c>
      <c r="C1293" s="32"/>
      <c r="D1293" s="32"/>
      <c r="E1293" s="32"/>
      <c r="F1293" s="32"/>
      <c r="G1293" s="32"/>
      <c r="H1293" s="32"/>
      <c r="I1293" s="32"/>
      <c r="J1293" s="32"/>
      <c r="K1293" s="32"/>
      <c r="L1293" s="32"/>
      <c r="M1293" s="32"/>
      <c r="N1293" s="32"/>
      <c r="O1293" s="32"/>
      <c r="P1293" s="32"/>
      <c r="Q1293" s="32"/>
      <c r="R1293" s="32"/>
      <c r="S1293" s="32"/>
      <c r="T1293" s="32"/>
      <c r="U1293" s="32"/>
      <c r="V1293" s="32"/>
      <c r="W1293" s="32"/>
      <c r="X1293" s="32"/>
      <c r="Y1293" s="32"/>
      <c r="Z1293" s="32"/>
    </row>
    <row r="1294">
      <c r="A1294" s="32" t="str">
        <f>IFERROR(__xludf.DUMMYFUNCTION("""COMPUTED_VALUE"""),"Peas")</f>
        <v>Peas</v>
      </c>
      <c r="B1294" s="32" t="str">
        <f>IFERROR(__xludf.DUMMYFUNCTION("""COMPUTED_VALUE"""),"5 hunger (Crop)")</f>
        <v>5 hunger (Crop)</v>
      </c>
      <c r="C1294" s="32"/>
      <c r="D1294" s="32"/>
      <c r="E1294" s="32"/>
      <c r="F1294" s="32"/>
      <c r="G1294" s="32"/>
      <c r="H1294" s="32"/>
      <c r="I1294" s="32"/>
      <c r="J1294" s="32"/>
      <c r="K1294" s="32"/>
      <c r="L1294" s="32"/>
      <c r="M1294" s="32"/>
      <c r="N1294" s="32"/>
      <c r="O1294" s="32"/>
      <c r="P1294" s="32"/>
      <c r="Q1294" s="32"/>
      <c r="R1294" s="32"/>
      <c r="S1294" s="32"/>
      <c r="T1294" s="32"/>
      <c r="U1294" s="32"/>
      <c r="V1294" s="32"/>
      <c r="W1294" s="32"/>
      <c r="X1294" s="32"/>
      <c r="Y1294" s="32"/>
      <c r="Z1294" s="32"/>
    </row>
    <row r="1295">
      <c r="A1295" s="32" t="str">
        <f>IFERROR(__xludf.DUMMYFUNCTION("""COMPUTED_VALUE"""),"Asparagus")</f>
        <v>Asparagus</v>
      </c>
      <c r="B1295" s="32" t="str">
        <f>IFERROR(__xludf.DUMMYFUNCTION("""COMPUTED_VALUE"""),"5 hunger (Crop)")</f>
        <v>5 hunger (Crop)</v>
      </c>
      <c r="C1295" s="32"/>
      <c r="D1295" s="32"/>
      <c r="E1295" s="32"/>
      <c r="F1295" s="32"/>
      <c r="G1295" s="32"/>
      <c r="H1295" s="32"/>
      <c r="I1295" s="32"/>
      <c r="J1295" s="32"/>
      <c r="K1295" s="32"/>
      <c r="L1295" s="32"/>
      <c r="M1295" s="32"/>
      <c r="N1295" s="32"/>
      <c r="O1295" s="32"/>
      <c r="P1295" s="32"/>
      <c r="Q1295" s="32"/>
      <c r="R1295" s="32"/>
      <c r="S1295" s="32"/>
      <c r="T1295" s="32"/>
      <c r="U1295" s="32"/>
      <c r="V1295" s="32"/>
      <c r="W1295" s="32"/>
      <c r="X1295" s="32"/>
      <c r="Y1295" s="32"/>
      <c r="Z1295" s="32"/>
    </row>
    <row r="1296">
      <c r="A1296" s="32" t="str">
        <f>IFERROR(__xludf.DUMMYFUNCTION("""COMPUTED_VALUE"""),"Celery")</f>
        <v>Celery</v>
      </c>
      <c r="B1296" s="32" t="str">
        <f>IFERROR(__xludf.DUMMYFUNCTION("""COMPUTED_VALUE"""),"5 hunger (Crop)")</f>
        <v>5 hunger (Crop)</v>
      </c>
      <c r="C1296" s="32"/>
      <c r="D1296" s="32"/>
      <c r="E1296" s="32"/>
      <c r="F1296" s="32"/>
      <c r="G1296" s="32"/>
      <c r="H1296" s="32"/>
      <c r="I1296" s="32"/>
      <c r="J1296" s="32"/>
      <c r="K1296" s="32"/>
      <c r="L1296" s="32"/>
      <c r="M1296" s="32"/>
      <c r="N1296" s="32"/>
      <c r="O1296" s="32"/>
      <c r="P1296" s="32"/>
      <c r="Q1296" s="32"/>
      <c r="R1296" s="32"/>
      <c r="S1296" s="32"/>
      <c r="T1296" s="32"/>
      <c r="U1296" s="32"/>
      <c r="V1296" s="32"/>
      <c r="W1296" s="32"/>
      <c r="X1296" s="32"/>
      <c r="Y1296" s="32"/>
      <c r="Z1296" s="32"/>
    </row>
    <row r="1297">
      <c r="A1297" s="32" t="str">
        <f>IFERROR(__xludf.DUMMYFUNCTION("""COMPUTED_VALUE"""),"Green Pepper")</f>
        <v>Green Pepper</v>
      </c>
      <c r="B1297" s="32" t="str">
        <f>IFERROR(__xludf.DUMMYFUNCTION("""COMPUTED_VALUE"""),"5 hunger (Crop)")</f>
        <v>5 hunger (Crop)</v>
      </c>
      <c r="C1297" s="32"/>
      <c r="D1297" s="32"/>
      <c r="E1297" s="32"/>
      <c r="F1297" s="32"/>
      <c r="G1297" s="32"/>
      <c r="H1297" s="32"/>
      <c r="I1297" s="32"/>
      <c r="J1297" s="32"/>
      <c r="K1297" s="32"/>
      <c r="L1297" s="32"/>
      <c r="M1297" s="32"/>
      <c r="N1297" s="32"/>
      <c r="O1297" s="32"/>
      <c r="P1297" s="32"/>
      <c r="Q1297" s="32"/>
      <c r="R1297" s="32"/>
      <c r="S1297" s="32"/>
      <c r="T1297" s="32"/>
      <c r="U1297" s="32"/>
      <c r="V1297" s="32"/>
      <c r="W1297" s="32"/>
      <c r="X1297" s="32"/>
      <c r="Y1297" s="32"/>
      <c r="Z1297" s="32"/>
    </row>
    <row r="1298">
      <c r="A1298" s="32" t="str">
        <f>IFERROR(__xludf.DUMMYFUNCTION("""COMPUTED_VALUE"""),"French Beans")</f>
        <v>French Beans</v>
      </c>
      <c r="B1298" s="32" t="str">
        <f>IFERROR(__xludf.DUMMYFUNCTION("""COMPUTED_VALUE"""),"5 hunger (Crop)")</f>
        <v>5 hunger (Crop)</v>
      </c>
      <c r="C1298" s="32"/>
      <c r="D1298" s="32"/>
      <c r="E1298" s="32"/>
      <c r="F1298" s="32"/>
      <c r="G1298" s="32"/>
      <c r="H1298" s="32"/>
      <c r="I1298" s="32"/>
      <c r="J1298" s="32"/>
      <c r="K1298" s="32"/>
      <c r="L1298" s="32"/>
      <c r="M1298" s="32"/>
      <c r="N1298" s="32"/>
      <c r="O1298" s="32"/>
      <c r="P1298" s="32"/>
      <c r="Q1298" s="32"/>
      <c r="R1298" s="32"/>
      <c r="S1298" s="32"/>
      <c r="T1298" s="32"/>
      <c r="U1298" s="32"/>
      <c r="V1298" s="32"/>
      <c r="W1298" s="32"/>
      <c r="X1298" s="32"/>
      <c r="Y1298" s="32"/>
      <c r="Z1298" s="32"/>
    </row>
    <row r="1299">
      <c r="A1299" s="32" t="str">
        <f>IFERROR(__xludf.DUMMYFUNCTION("""COMPUTED_VALUE"""),"Spinach")</f>
        <v>Spinach</v>
      </c>
      <c r="B1299" s="32" t="str">
        <f>IFERROR(__xludf.DUMMYFUNCTION("""COMPUTED_VALUE"""),"5 hunger (Crop)")</f>
        <v>5 hunger (Crop)</v>
      </c>
      <c r="C1299" s="32"/>
      <c r="D1299" s="32"/>
      <c r="E1299" s="32"/>
      <c r="F1299" s="32"/>
      <c r="G1299" s="32"/>
      <c r="H1299" s="32"/>
      <c r="I1299" s="32"/>
      <c r="J1299" s="32"/>
      <c r="K1299" s="32"/>
      <c r="L1299" s="32"/>
      <c r="M1299" s="32"/>
      <c r="N1299" s="32"/>
      <c r="O1299" s="32"/>
      <c r="P1299" s="32"/>
      <c r="Q1299" s="32"/>
      <c r="R1299" s="32"/>
      <c r="S1299" s="32"/>
      <c r="T1299" s="32"/>
      <c r="U1299" s="32"/>
      <c r="V1299" s="32"/>
      <c r="W1299" s="32"/>
      <c r="X1299" s="32"/>
      <c r="Y1299" s="32"/>
      <c r="Z1299" s="32"/>
    </row>
    <row r="1300">
      <c r="A1300" s="32" t="str">
        <f>IFERROR(__xludf.DUMMYFUNCTION("""COMPUTED_VALUE"""),"Beetroot")</f>
        <v>Beetroot</v>
      </c>
      <c r="B1300" s="32" t="str">
        <f>IFERROR(__xludf.DUMMYFUNCTION("""COMPUTED_VALUE"""),"5 hunger (Crop)")</f>
        <v>5 hunger (Crop)</v>
      </c>
      <c r="C1300" s="32"/>
      <c r="D1300" s="32"/>
      <c r="E1300" s="32"/>
      <c r="F1300" s="32"/>
      <c r="G1300" s="32"/>
      <c r="H1300" s="32"/>
      <c r="I1300" s="32"/>
      <c r="J1300" s="32"/>
      <c r="K1300" s="32"/>
      <c r="L1300" s="32"/>
      <c r="M1300" s="32"/>
      <c r="N1300" s="32"/>
      <c r="O1300" s="32"/>
      <c r="P1300" s="32"/>
      <c r="Q1300" s="32"/>
      <c r="R1300" s="32"/>
      <c r="S1300" s="32"/>
      <c r="T1300" s="32"/>
      <c r="U1300" s="32"/>
      <c r="V1300" s="32"/>
      <c r="W1300" s="32"/>
      <c r="X1300" s="32"/>
      <c r="Y1300" s="32"/>
      <c r="Z1300" s="32"/>
    </row>
    <row r="1301">
      <c r="A1301" s="32" t="str">
        <f>IFERROR(__xludf.DUMMYFUNCTION("""COMPUTED_VALUE"""),"Red Chili Peppers ")</f>
        <v>Red Chili Peppers </v>
      </c>
      <c r="B1301" s="32" t="str">
        <f>IFERROR(__xludf.DUMMYFUNCTION("""COMPUTED_VALUE"""),"5 hunger (Crop)")</f>
        <v>5 hunger (Crop)</v>
      </c>
      <c r="C1301" s="32"/>
      <c r="D1301" s="32"/>
      <c r="E1301" s="32"/>
      <c r="F1301" s="32"/>
      <c r="G1301" s="32"/>
      <c r="H1301" s="32"/>
      <c r="I1301" s="32"/>
      <c r="J1301" s="32"/>
      <c r="K1301" s="32"/>
      <c r="L1301" s="32"/>
      <c r="M1301" s="32"/>
      <c r="N1301" s="32"/>
      <c r="O1301" s="32"/>
      <c r="P1301" s="32"/>
      <c r="Q1301" s="32"/>
      <c r="R1301" s="32"/>
      <c r="S1301" s="32"/>
      <c r="T1301" s="32"/>
      <c r="U1301" s="32"/>
      <c r="V1301" s="32"/>
      <c r="W1301" s="32"/>
      <c r="X1301" s="32"/>
      <c r="Y1301" s="32"/>
      <c r="Z1301" s="32"/>
    </row>
    <row r="1302">
      <c r="A1302" s="32" t="str">
        <f>IFERROR(__xludf.DUMMYFUNCTION("""COMPUTED_VALUE"""),"Crystal Apple")</f>
        <v>Crystal Apple</v>
      </c>
      <c r="B1302" s="32" t="str">
        <f>IFERROR(__xludf.DUMMYFUNCTION("""COMPUTED_VALUE"""),"When consumed X2 additional Damage towards the users weapons. (Can only use 1 per battle) (Item)")</f>
        <v>When consumed X2 additional Damage towards the users weapons. (Can only use 1 per battle) (Item)</v>
      </c>
      <c r="C1302" s="32"/>
      <c r="D1302" s="32"/>
      <c r="E1302" s="32"/>
      <c r="F1302" s="32"/>
      <c r="G1302" s="32"/>
      <c r="H1302" s="32"/>
      <c r="I1302" s="32"/>
      <c r="J1302" s="32"/>
      <c r="K1302" s="32"/>
      <c r="L1302" s="32"/>
      <c r="M1302" s="32"/>
      <c r="N1302" s="32"/>
      <c r="O1302" s="32"/>
      <c r="P1302" s="32"/>
      <c r="Q1302" s="32"/>
      <c r="R1302" s="32"/>
      <c r="S1302" s="32"/>
      <c r="T1302" s="32"/>
      <c r="U1302" s="32"/>
      <c r="V1302" s="32"/>
      <c r="W1302" s="32"/>
      <c r="X1302" s="32"/>
      <c r="Y1302" s="32"/>
      <c r="Z1302" s="32"/>
    </row>
    <row r="1303">
      <c r="A1303" s="32" t="str">
        <f>IFERROR(__xludf.DUMMYFUNCTION("""COMPUTED_VALUE"""),"Dark Crystal Shard")</f>
        <v>Dark Crystal Shard</v>
      </c>
      <c r="B1303" s="32" t="str">
        <f>IFERROR(__xludf.DUMMYFUNCTION("""COMPUTED_VALUE"""),"Quest item, Crafting Material, roll a d20 to see how many you get if this is a loot drop. (Item)")</f>
        <v>Quest item, Crafting Material, roll a d20 to see how many you get if this is a loot drop. (Item)</v>
      </c>
      <c r="C1303" s="32"/>
      <c r="D1303" s="32"/>
      <c r="E1303" s="32"/>
      <c r="F1303" s="32"/>
      <c r="G1303" s="32"/>
      <c r="H1303" s="32"/>
      <c r="I1303" s="32"/>
      <c r="J1303" s="32"/>
      <c r="K1303" s="32"/>
      <c r="L1303" s="32"/>
      <c r="M1303" s="32"/>
      <c r="N1303" s="32"/>
      <c r="O1303" s="32"/>
      <c r="P1303" s="32"/>
      <c r="Q1303" s="32"/>
      <c r="R1303" s="32"/>
      <c r="S1303" s="32"/>
      <c r="T1303" s="32"/>
      <c r="U1303" s="32"/>
      <c r="V1303" s="32"/>
      <c r="W1303" s="32"/>
      <c r="X1303" s="32"/>
      <c r="Y1303" s="32"/>
      <c r="Z1303" s="32"/>
    </row>
    <row r="1304">
      <c r="A1304" s="32" t="str">
        <f>IFERROR(__xludf.DUMMYFUNCTION("""COMPUTED_VALUE"""),"Small Fuel Canister")</f>
        <v>Small Fuel Canister</v>
      </c>
      <c r="B1304" s="32" t="str">
        <f>IFERROR(__xludf.DUMMYFUNCTION("""COMPUTED_VALUE"""),"Restores 100 Fuel (Item)")</f>
        <v>Restores 100 Fuel (Item)</v>
      </c>
      <c r="C1304" s="32"/>
      <c r="D1304" s="32"/>
      <c r="E1304" s="32"/>
      <c r="F1304" s="32"/>
      <c r="G1304" s="32"/>
      <c r="H1304" s="32"/>
      <c r="I1304" s="32"/>
      <c r="J1304" s="32"/>
      <c r="K1304" s="32"/>
      <c r="L1304" s="32"/>
      <c r="M1304" s="32"/>
      <c r="N1304" s="32"/>
      <c r="O1304" s="32"/>
      <c r="P1304" s="32"/>
      <c r="Q1304" s="32"/>
      <c r="R1304" s="32"/>
      <c r="S1304" s="32"/>
      <c r="T1304" s="32"/>
      <c r="U1304" s="32"/>
      <c r="V1304" s="32"/>
      <c r="W1304" s="32"/>
      <c r="X1304" s="32"/>
      <c r="Y1304" s="32"/>
      <c r="Z1304" s="32"/>
    </row>
    <row r="1305">
      <c r="A1305" s="32" t="str">
        <f>IFERROR(__xludf.DUMMYFUNCTION("""COMPUTED_VALUE"""),"Medium Fuel Canister")</f>
        <v>Medium Fuel Canister</v>
      </c>
      <c r="B1305" s="32" t="str">
        <f>IFERROR(__xludf.DUMMYFUNCTION("""COMPUTED_VALUE"""),"Restores 250 Fuel (Item)")</f>
        <v>Restores 250 Fuel (Item)</v>
      </c>
      <c r="C1305" s="32"/>
      <c r="D1305" s="32"/>
      <c r="E1305" s="32"/>
      <c r="F1305" s="32"/>
      <c r="G1305" s="32"/>
      <c r="H1305" s="32"/>
      <c r="I1305" s="32"/>
      <c r="J1305" s="32"/>
      <c r="K1305" s="32"/>
      <c r="L1305" s="32"/>
      <c r="M1305" s="32"/>
      <c r="N1305" s="32"/>
      <c r="O1305" s="32"/>
      <c r="P1305" s="32"/>
      <c r="Q1305" s="32"/>
      <c r="R1305" s="32"/>
      <c r="S1305" s="32"/>
      <c r="T1305" s="32"/>
      <c r="U1305" s="32"/>
      <c r="V1305" s="32"/>
      <c r="W1305" s="32"/>
      <c r="X1305" s="32"/>
      <c r="Y1305" s="32"/>
      <c r="Z1305" s="32"/>
    </row>
    <row r="1306">
      <c r="A1306" s="32" t="str">
        <f>IFERROR(__xludf.DUMMYFUNCTION("""COMPUTED_VALUE"""),"Large Fuel Canister")</f>
        <v>Large Fuel Canister</v>
      </c>
      <c r="B1306" s="32" t="str">
        <f>IFERROR(__xludf.DUMMYFUNCTION("""COMPUTED_VALUE"""),"Restores 500 Fuel (Item)")</f>
        <v>Restores 500 Fuel (Item)</v>
      </c>
      <c r="C1306" s="32"/>
      <c r="D1306" s="32"/>
      <c r="E1306" s="32"/>
      <c r="F1306" s="32"/>
      <c r="G1306" s="32"/>
      <c r="H1306" s="32"/>
      <c r="I1306" s="32"/>
      <c r="J1306" s="32"/>
      <c r="K1306" s="32"/>
      <c r="L1306" s="32"/>
      <c r="M1306" s="32"/>
      <c r="N1306" s="32"/>
      <c r="O1306" s="32"/>
      <c r="P1306" s="32"/>
      <c r="Q1306" s="32"/>
      <c r="R1306" s="32"/>
      <c r="S1306" s="32"/>
      <c r="T1306" s="32"/>
      <c r="U1306" s="32"/>
      <c r="V1306" s="32"/>
      <c r="W1306" s="32"/>
      <c r="X1306" s="32"/>
      <c r="Y1306" s="32"/>
      <c r="Z1306" s="32"/>
    </row>
    <row r="1307">
      <c r="A1307" s="32" t="str">
        <f>IFERROR(__xludf.DUMMYFUNCTION("""COMPUTED_VALUE"""),"Letter from the Lord of Spira")</f>
        <v>Letter from the Lord of Spira</v>
      </c>
      <c r="B1307" s="32" t="str">
        <f>IFERROR(__xludf.DUMMYFUNCTION("""COMPUTED_VALUE"""),"Absolved from all crimes whitin The Land of Spira. Can only be used once, Cannot be duplicated (Item)")</f>
        <v>Absolved from all crimes whitin The Land of Spira. Can only be used once, Cannot be duplicated (Item)</v>
      </c>
      <c r="C1307" s="32"/>
      <c r="D1307" s="32"/>
      <c r="E1307" s="32"/>
      <c r="F1307" s="32"/>
      <c r="G1307" s="32"/>
      <c r="H1307" s="32"/>
      <c r="I1307" s="32"/>
      <c r="J1307" s="32"/>
      <c r="K1307" s="32"/>
      <c r="L1307" s="32"/>
      <c r="M1307" s="32"/>
      <c r="N1307" s="32"/>
      <c r="O1307" s="32"/>
      <c r="P1307" s="32"/>
      <c r="Q1307" s="32"/>
      <c r="R1307" s="32"/>
      <c r="S1307" s="32"/>
      <c r="T1307" s="32"/>
      <c r="U1307" s="32"/>
      <c r="V1307" s="32"/>
      <c r="W1307" s="32"/>
      <c r="X1307" s="32"/>
      <c r="Y1307" s="32"/>
      <c r="Z1307" s="32"/>
    </row>
    <row r="1308">
      <c r="A1308" s="32" t="str">
        <f>IFERROR(__xludf.DUMMYFUNCTION("""COMPUTED_VALUE"""),"Scroll of Bad Dreams")</f>
        <v>Scroll of Bad Dreams</v>
      </c>
      <c r="B1308" s="32" t="str">
        <f>IFERROR(__xludf.DUMMYFUNCTION("""COMPUTED_VALUE"""),"if you can learn the power you may absorb it and put it in your spell book, otherwise you can read the scroll to use the power once (Item)")</f>
        <v>if you can learn the power you may absorb it and put it in your spell book, otherwise you can read the scroll to use the power once (Item)</v>
      </c>
      <c r="C1308" s="32"/>
      <c r="D1308" s="32"/>
      <c r="E1308" s="32"/>
      <c r="F1308" s="32"/>
      <c r="G1308" s="32"/>
      <c r="H1308" s="32"/>
      <c r="I1308" s="32"/>
      <c r="J1308" s="32"/>
      <c r="K1308" s="32"/>
      <c r="L1308" s="32"/>
      <c r="M1308" s="32"/>
      <c r="N1308" s="32"/>
      <c r="O1308" s="32"/>
      <c r="P1308" s="32"/>
      <c r="Q1308" s="32"/>
      <c r="R1308" s="32"/>
      <c r="S1308" s="32"/>
      <c r="T1308" s="32"/>
      <c r="U1308" s="32"/>
      <c r="V1308" s="32"/>
      <c r="W1308" s="32"/>
      <c r="X1308" s="32"/>
      <c r="Y1308" s="32"/>
      <c r="Z1308" s="32"/>
    </row>
    <row r="1309">
      <c r="A1309" s="32" t="str">
        <f>IFERROR(__xludf.DUMMYFUNCTION("""COMPUTED_VALUE"""),"A Jar of Blood")</f>
        <v>A Jar of Blood</v>
      </c>
      <c r="B1309" s="32" t="str">
        <f>IFERROR(__xludf.DUMMYFUNCTION("""COMPUTED_VALUE"""),"Crafting Material, roll a d20 to see how many you get if this is a loot drop. (Item)")</f>
        <v>Crafting Material, roll a d20 to see how many you get if this is a loot drop. (Item)</v>
      </c>
      <c r="C1309" s="32"/>
      <c r="D1309" s="32"/>
      <c r="E1309" s="32"/>
      <c r="F1309" s="32"/>
      <c r="G1309" s="32"/>
      <c r="H1309" s="32"/>
      <c r="I1309" s="32"/>
      <c r="J1309" s="32"/>
      <c r="K1309" s="32"/>
      <c r="L1309" s="32"/>
      <c r="M1309" s="32"/>
      <c r="N1309" s="32"/>
      <c r="O1309" s="32"/>
      <c r="P1309" s="32"/>
      <c r="Q1309" s="32"/>
      <c r="R1309" s="32"/>
      <c r="S1309" s="32"/>
      <c r="T1309" s="32"/>
      <c r="U1309" s="32"/>
      <c r="V1309" s="32"/>
      <c r="W1309" s="32"/>
      <c r="X1309" s="32"/>
      <c r="Y1309" s="32"/>
      <c r="Z1309" s="32"/>
    </row>
    <row r="1310">
      <c r="A1310" s="32" t="str">
        <f>IFERROR(__xludf.DUMMYFUNCTION("""COMPUTED_VALUE"""),"Demon Blood")</f>
        <v>Demon Blood</v>
      </c>
      <c r="B1310" s="32" t="str">
        <f>IFERROR(__xludf.DUMMYFUNCTION("""COMPUTED_VALUE"""),"Crafting Material, roll a d20 to see how many you get if this is a loot drop. (Item)")</f>
        <v>Crafting Material, roll a d20 to see how many you get if this is a loot drop. (Item)</v>
      </c>
      <c r="C1310" s="32"/>
      <c r="D1310" s="32"/>
      <c r="E1310" s="32"/>
      <c r="F1310" s="32"/>
      <c r="G1310" s="32"/>
      <c r="H1310" s="32"/>
      <c r="I1310" s="32"/>
      <c r="J1310" s="32"/>
      <c r="K1310" s="32"/>
      <c r="L1310" s="32"/>
      <c r="M1310" s="32"/>
      <c r="N1310" s="32"/>
      <c r="O1310" s="32"/>
      <c r="P1310" s="32"/>
      <c r="Q1310" s="32"/>
      <c r="R1310" s="32"/>
      <c r="S1310" s="32"/>
      <c r="T1310" s="32"/>
      <c r="U1310" s="32"/>
      <c r="V1310" s="32"/>
      <c r="W1310" s="32"/>
      <c r="X1310" s="32"/>
      <c r="Y1310" s="32"/>
      <c r="Z1310" s="32"/>
    </row>
    <row r="1311">
      <c r="A1311" s="32" t="str">
        <f>IFERROR(__xludf.DUMMYFUNCTION("""COMPUTED_VALUE"""),"Demon Skull")</f>
        <v>Demon Skull</v>
      </c>
      <c r="B1311" s="32" t="str">
        <f>IFERROR(__xludf.DUMMYFUNCTION("""COMPUTED_VALUE"""),"Crafting Material, roll a d20 to see how many you get if this is a loot drop. (Item)")</f>
        <v>Crafting Material, roll a d20 to see how many you get if this is a loot drop. (Item)</v>
      </c>
      <c r="C1311" s="32"/>
      <c r="D1311" s="32"/>
      <c r="E1311" s="32"/>
      <c r="F1311" s="32"/>
      <c r="G1311" s="32"/>
      <c r="H1311" s="32"/>
      <c r="I1311" s="32"/>
      <c r="J1311" s="32"/>
      <c r="K1311" s="32"/>
      <c r="L1311" s="32"/>
      <c r="M1311" s="32"/>
      <c r="N1311" s="32"/>
      <c r="O1311" s="32"/>
      <c r="P1311" s="32"/>
      <c r="Q1311" s="32"/>
      <c r="R1311" s="32"/>
      <c r="S1311" s="32"/>
      <c r="T1311" s="32"/>
      <c r="U1311" s="32"/>
      <c r="V1311" s="32"/>
      <c r="W1311" s="32"/>
      <c r="X1311" s="32"/>
      <c r="Y1311" s="32"/>
      <c r="Z1311" s="32"/>
    </row>
    <row r="1312">
      <c r="A1312" s="32" t="str">
        <f>IFERROR(__xludf.DUMMYFUNCTION("""COMPUTED_VALUE"""),"Volcanic Teeth")</f>
        <v>Volcanic Teeth</v>
      </c>
      <c r="B1312" s="32" t="str">
        <f>IFERROR(__xludf.DUMMYFUNCTION("""COMPUTED_VALUE"""),"Crafting Material, roll a d20 to see how many you get if this is a loot drop. (Item)")</f>
        <v>Crafting Material, roll a d20 to see how many you get if this is a loot drop. (Item)</v>
      </c>
      <c r="C1312" s="32"/>
      <c r="D1312" s="32"/>
      <c r="E1312" s="32"/>
      <c r="F1312" s="32"/>
      <c r="G1312" s="32"/>
      <c r="H1312" s="32"/>
      <c r="I1312" s="32"/>
      <c r="J1312" s="32"/>
      <c r="K1312" s="32"/>
      <c r="L1312" s="32"/>
      <c r="M1312" s="32"/>
      <c r="N1312" s="32"/>
      <c r="O1312" s="32"/>
      <c r="P1312" s="32"/>
      <c r="Q1312" s="32"/>
      <c r="R1312" s="32"/>
      <c r="S1312" s="32"/>
      <c r="T1312" s="32"/>
      <c r="U1312" s="32"/>
      <c r="V1312" s="32"/>
      <c r="W1312" s="32"/>
      <c r="X1312" s="32"/>
      <c r="Y1312" s="32"/>
      <c r="Z1312" s="32"/>
    </row>
    <row r="1313">
      <c r="A1313" s="32" t="str">
        <f>IFERROR(__xludf.DUMMYFUNCTION("""COMPUTED_VALUE"""),"Volcanic Serpent Teeth ")</f>
        <v>Volcanic Serpent Teeth </v>
      </c>
      <c r="B1313" s="32" t="str">
        <f>IFERROR(__xludf.DUMMYFUNCTION("""COMPUTED_VALUE"""),"Crafting Material, roll a d20 to see how many you get if this is a loot drop. (Item)")</f>
        <v>Crafting Material, roll a d20 to see how many you get if this is a loot drop. (Item)</v>
      </c>
      <c r="C1313" s="32"/>
      <c r="D1313" s="32"/>
      <c r="E1313" s="32"/>
      <c r="F1313" s="32"/>
      <c r="G1313" s="32"/>
      <c r="H1313" s="32"/>
      <c r="I1313" s="32"/>
      <c r="J1313" s="32"/>
      <c r="K1313" s="32"/>
      <c r="L1313" s="32"/>
      <c r="M1313" s="32"/>
      <c r="N1313" s="32"/>
      <c r="O1313" s="32"/>
      <c r="P1313" s="32"/>
      <c r="Q1313" s="32"/>
      <c r="R1313" s="32"/>
      <c r="S1313" s="32"/>
      <c r="T1313" s="32"/>
      <c r="U1313" s="32"/>
      <c r="V1313" s="32"/>
      <c r="W1313" s="32"/>
      <c r="X1313" s="32"/>
      <c r="Y1313" s="32"/>
      <c r="Z1313" s="32"/>
    </row>
    <row r="1314">
      <c r="A1314" s="32" t="str">
        <f>IFERROR(__xludf.DUMMYFUNCTION("""COMPUTED_VALUE"""),"Volcanic Serpent Scales")</f>
        <v>Volcanic Serpent Scales</v>
      </c>
      <c r="B1314" s="32" t="str">
        <f>IFERROR(__xludf.DUMMYFUNCTION("""COMPUTED_VALUE"""),"Crafting Material, roll a d20 to see how many you get if this is a loot drop. (Item)")</f>
        <v>Crafting Material, roll a d20 to see how many you get if this is a loot drop. (Item)</v>
      </c>
      <c r="C1314" s="32"/>
      <c r="D1314" s="32"/>
      <c r="E1314" s="32"/>
      <c r="F1314" s="32"/>
      <c r="G1314" s="32"/>
      <c r="H1314" s="32"/>
      <c r="I1314" s="32"/>
      <c r="J1314" s="32"/>
      <c r="K1314" s="32"/>
      <c r="L1314" s="32"/>
      <c r="M1314" s="32"/>
      <c r="N1314" s="32"/>
      <c r="O1314" s="32"/>
      <c r="P1314" s="32"/>
      <c r="Q1314" s="32"/>
      <c r="R1314" s="32"/>
      <c r="S1314" s="32"/>
      <c r="T1314" s="32"/>
      <c r="U1314" s="32"/>
      <c r="V1314" s="32"/>
      <c r="W1314" s="32"/>
      <c r="X1314" s="32"/>
      <c r="Y1314" s="32"/>
      <c r="Z1314" s="32"/>
    </row>
    <row r="1315">
      <c r="A1315" s="32" t="str">
        <f>IFERROR(__xludf.DUMMYFUNCTION("""COMPUTED_VALUE"""),"Lava Panther Leather")</f>
        <v>Lava Panther Leather</v>
      </c>
      <c r="B1315" s="32" t="str">
        <f>IFERROR(__xludf.DUMMYFUNCTION("""COMPUTED_VALUE"""),"Crafting Material, roll a d20 to see how many you get if this is a loot drop. (Item)")</f>
        <v>Crafting Material, roll a d20 to see how many you get if this is a loot drop. (Item)</v>
      </c>
      <c r="C1315" s="32"/>
      <c r="D1315" s="32"/>
      <c r="E1315" s="32"/>
      <c r="F1315" s="32"/>
      <c r="G1315" s="32"/>
      <c r="H1315" s="32"/>
      <c r="I1315" s="32"/>
      <c r="J1315" s="32"/>
      <c r="K1315" s="32"/>
      <c r="L1315" s="32"/>
      <c r="M1315" s="32"/>
      <c r="N1315" s="32"/>
      <c r="O1315" s="32"/>
      <c r="P1315" s="32"/>
      <c r="Q1315" s="32"/>
      <c r="R1315" s="32"/>
      <c r="S1315" s="32"/>
      <c r="T1315" s="32"/>
      <c r="U1315" s="32"/>
      <c r="V1315" s="32"/>
      <c r="W1315" s="32"/>
      <c r="X1315" s="32"/>
      <c r="Y1315" s="32"/>
      <c r="Z1315" s="32"/>
    </row>
    <row r="1316">
      <c r="A1316" s="32" t="str">
        <f>IFERROR(__xludf.DUMMYFUNCTION("""COMPUTED_VALUE"""),"Endless Dark Core")</f>
        <v>Endless Dark Core</v>
      </c>
      <c r="B1316" s="32" t="str">
        <f>IFERROR(__xludf.DUMMYFUNCTION("""COMPUTED_VALUE"""),"Return a banished character from banishment without having to fight the Keeper of the Banished. (1 use) (Item)")</f>
        <v>Return a banished character from banishment without having to fight the Keeper of the Banished. (1 use) (Item)</v>
      </c>
      <c r="C1316" s="32"/>
      <c r="D1316" s="32"/>
      <c r="E1316" s="32"/>
      <c r="F1316" s="32"/>
      <c r="G1316" s="32"/>
      <c r="H1316" s="32"/>
      <c r="I1316" s="32"/>
      <c r="J1316" s="32"/>
      <c r="K1316" s="32"/>
      <c r="L1316" s="32"/>
      <c r="M1316" s="32"/>
      <c r="N1316" s="32"/>
      <c r="O1316" s="32"/>
      <c r="P1316" s="32"/>
      <c r="Q1316" s="32"/>
      <c r="R1316" s="32"/>
      <c r="S1316" s="32"/>
      <c r="T1316" s="32"/>
      <c r="U1316" s="32"/>
      <c r="V1316" s="32"/>
      <c r="W1316" s="32"/>
      <c r="X1316" s="32"/>
      <c r="Y1316" s="32"/>
      <c r="Z1316" s="32"/>
    </row>
    <row r="1317">
      <c r="A1317" s="32" t="str">
        <f>IFERROR(__xludf.DUMMYFUNCTION("""COMPUTED_VALUE"""),"Endless Dark Dragon Scales")</f>
        <v>Endless Dark Dragon Scales</v>
      </c>
      <c r="B1317" s="32" t="str">
        <f>IFERROR(__xludf.DUMMYFUNCTION("""COMPUTED_VALUE"""),"Crafting Material, roll a d20 to see how many you get if this is a loot drop. (Item)")</f>
        <v>Crafting Material, roll a d20 to see how many you get if this is a loot drop. (Item)</v>
      </c>
      <c r="C1317" s="32"/>
      <c r="D1317" s="32"/>
      <c r="E1317" s="32"/>
      <c r="F1317" s="32"/>
      <c r="G1317" s="32"/>
      <c r="H1317" s="32"/>
      <c r="I1317" s="32"/>
      <c r="J1317" s="32"/>
      <c r="K1317" s="32"/>
      <c r="L1317" s="32"/>
      <c r="M1317" s="32"/>
      <c r="N1317" s="32"/>
      <c r="O1317" s="32"/>
      <c r="P1317" s="32"/>
      <c r="Q1317" s="32"/>
      <c r="R1317" s="32"/>
      <c r="S1317" s="32"/>
      <c r="T1317" s="32"/>
      <c r="U1317" s="32"/>
      <c r="V1317" s="32"/>
      <c r="W1317" s="32"/>
      <c r="X1317" s="32"/>
      <c r="Y1317" s="32"/>
      <c r="Z1317" s="32"/>
    </row>
    <row r="1318">
      <c r="A1318" s="32" t="str">
        <f>IFERROR(__xludf.DUMMYFUNCTION("""COMPUTED_VALUE"""),"Magma Stone")</f>
        <v>Magma Stone</v>
      </c>
      <c r="B1318" s="32" t="str">
        <f>IFERROR(__xludf.DUMMYFUNCTION("""COMPUTED_VALUE"""),"Crafting Material, roll a d20 to see how many you get if this is a loot drop. (Item)")</f>
        <v>Crafting Material, roll a d20 to see how many you get if this is a loot drop. (Item)</v>
      </c>
      <c r="C1318" s="32"/>
      <c r="D1318" s="32"/>
      <c r="E1318" s="32"/>
      <c r="F1318" s="32"/>
      <c r="G1318" s="32"/>
      <c r="H1318" s="32"/>
      <c r="I1318" s="32"/>
      <c r="J1318" s="32"/>
      <c r="K1318" s="32"/>
      <c r="L1318" s="32"/>
      <c r="M1318" s="32"/>
      <c r="N1318" s="32"/>
      <c r="O1318" s="32"/>
      <c r="P1318" s="32"/>
      <c r="Q1318" s="32"/>
      <c r="R1318" s="32"/>
      <c r="S1318" s="32"/>
      <c r="T1318" s="32"/>
      <c r="U1318" s="32"/>
      <c r="V1318" s="32"/>
      <c r="W1318" s="32"/>
      <c r="X1318" s="32"/>
      <c r="Y1318" s="32"/>
      <c r="Z1318" s="32"/>
    </row>
    <row r="1319">
      <c r="A1319" s="32" t="str">
        <f>IFERROR(__xludf.DUMMYFUNCTION("""COMPUTED_VALUE"""),"Inferno Feather")</f>
        <v>Inferno Feather</v>
      </c>
      <c r="B1319" s="32" t="str">
        <f>IFERROR(__xludf.DUMMYFUNCTION("""COMPUTED_VALUE"""),"Crafting Material, roll a d20 to see how many you get if this is a loot drop. (Item)")</f>
        <v>Crafting Material, roll a d20 to see how many you get if this is a loot drop. (Item)</v>
      </c>
      <c r="C1319" s="32"/>
      <c r="D1319" s="32"/>
      <c r="E1319" s="32"/>
      <c r="F1319" s="32"/>
      <c r="G1319" s="32"/>
      <c r="H1319" s="32"/>
      <c r="I1319" s="32"/>
      <c r="J1319" s="32"/>
      <c r="K1319" s="32"/>
      <c r="L1319" s="32"/>
      <c r="M1319" s="32"/>
      <c r="N1319" s="32"/>
      <c r="O1319" s="32"/>
      <c r="P1319" s="32"/>
      <c r="Q1319" s="32"/>
      <c r="R1319" s="32"/>
      <c r="S1319" s="32"/>
      <c r="T1319" s="32"/>
      <c r="U1319" s="32"/>
      <c r="V1319" s="32"/>
      <c r="W1319" s="32"/>
      <c r="X1319" s="32"/>
      <c r="Y1319" s="32"/>
      <c r="Z1319" s="32"/>
    </row>
    <row r="1320">
      <c r="A1320" s="32" t="str">
        <f>IFERROR(__xludf.DUMMYFUNCTION("""COMPUTED_VALUE"""),"Ancient Stone Medallion")</f>
        <v>Ancient Stone Medallion</v>
      </c>
      <c r="B1320" s="32" t="str">
        <f>IFERROR(__xludf.DUMMYFUNCTION("""COMPUTED_VALUE"""),"Allows access to the Ruins of Mana. (Item)")</f>
        <v>Allows access to the Ruins of Mana. (Item)</v>
      </c>
      <c r="C1320" s="32"/>
      <c r="D1320" s="32"/>
      <c r="E1320" s="32"/>
      <c r="F1320" s="32"/>
      <c r="G1320" s="32"/>
      <c r="H1320" s="32"/>
      <c r="I1320" s="32"/>
      <c r="J1320" s="32"/>
      <c r="K1320" s="32"/>
      <c r="L1320" s="32"/>
      <c r="M1320" s="32"/>
      <c r="N1320" s="32"/>
      <c r="O1320" s="32"/>
      <c r="P1320" s="32"/>
      <c r="Q1320" s="32"/>
      <c r="R1320" s="32"/>
      <c r="S1320" s="32"/>
      <c r="T1320" s="32"/>
      <c r="U1320" s="32"/>
      <c r="V1320" s="32"/>
      <c r="W1320" s="32"/>
      <c r="X1320" s="32"/>
      <c r="Y1320" s="32"/>
      <c r="Z1320" s="32"/>
    </row>
    <row r="1321">
      <c r="A1321" s="32" t="str">
        <f>IFERROR(__xludf.DUMMYFUNCTION("""COMPUTED_VALUE"""),"Vial of Unknown Liquid")</f>
        <v>Vial of Unknown Liquid</v>
      </c>
      <c r="B1321" s="32" t="str">
        <f>IFERROR(__xludf.DUMMYFUNCTION("""COMPUTED_VALUE"""),"When consumed, roll a d20. For the next 3 rounds, lose the result d20x100 health and gain the result d20x500SP. (Item)")</f>
        <v>When consumed, roll a d20. For the next 3 rounds, lose the result d20x100 health and gain the result d20x500SP. (Item)</v>
      </c>
      <c r="C1321" s="32"/>
      <c r="D1321" s="32"/>
      <c r="E1321" s="32"/>
      <c r="F1321" s="32"/>
      <c r="G1321" s="32"/>
      <c r="H1321" s="32"/>
      <c r="I1321" s="32"/>
      <c r="J1321" s="32"/>
      <c r="K1321" s="32"/>
      <c r="L1321" s="32"/>
      <c r="M1321" s="32"/>
      <c r="N1321" s="32"/>
      <c r="O1321" s="32"/>
      <c r="P1321" s="32"/>
      <c r="Q1321" s="32"/>
      <c r="R1321" s="32"/>
      <c r="S1321" s="32"/>
      <c r="T1321" s="32"/>
      <c r="U1321" s="32"/>
      <c r="V1321" s="32"/>
      <c r="W1321" s="32"/>
      <c r="X1321" s="32"/>
      <c r="Y1321" s="32"/>
      <c r="Z1321" s="32"/>
    </row>
    <row r="1322">
      <c r="A1322" s="32" t="str">
        <f>IFERROR(__xludf.DUMMYFUNCTION("""COMPUTED_VALUE"""),"Diamond Fishing Pole ")</f>
        <v>Diamond Fishing Pole </v>
      </c>
      <c r="B1322" s="32" t="str">
        <f>IFERROR(__xludf.DUMMYFUNCTION("""COMPUTED_VALUE"""),"100/100 Uses. Used for fishing. (Item)")</f>
        <v>100/100 Uses. Used for fishing. (Item)</v>
      </c>
      <c r="C1322" s="32"/>
      <c r="D1322" s="32"/>
      <c r="E1322" s="32"/>
      <c r="F1322" s="32"/>
      <c r="G1322" s="32"/>
      <c r="H1322" s="32"/>
      <c r="I1322" s="32"/>
      <c r="J1322" s="32"/>
      <c r="K1322" s="32"/>
      <c r="L1322" s="32"/>
      <c r="M1322" s="32"/>
      <c r="N1322" s="32"/>
      <c r="O1322" s="32"/>
      <c r="P1322" s="32"/>
      <c r="Q1322" s="32"/>
      <c r="R1322" s="32"/>
      <c r="S1322" s="32"/>
      <c r="T1322" s="32"/>
      <c r="U1322" s="32"/>
      <c r="V1322" s="32"/>
      <c r="W1322" s="32"/>
      <c r="X1322" s="32"/>
      <c r="Y1322" s="32"/>
      <c r="Z1322" s="32"/>
    </row>
    <row r="1323">
      <c r="A1323" s="32" t="str">
        <f>IFERROR(__xludf.DUMMYFUNCTION("""COMPUTED_VALUE"""),"Obsidian Fishing Pole ")</f>
        <v>Obsidian Fishing Pole </v>
      </c>
      <c r="B1323" s="32" t="str">
        <f>IFERROR(__xludf.DUMMYFUNCTION("""COMPUTED_VALUE"""),"120/120 Uses. Used for fishing. (Item)")</f>
        <v>120/120 Uses. Used for fishing. (Item)</v>
      </c>
      <c r="C1323" s="32"/>
      <c r="D1323" s="32"/>
      <c r="E1323" s="32"/>
      <c r="F1323" s="32"/>
      <c r="G1323" s="32"/>
      <c r="H1323" s="32"/>
      <c r="I1323" s="32"/>
      <c r="J1323" s="32"/>
      <c r="K1323" s="32"/>
      <c r="L1323" s="32"/>
      <c r="M1323" s="32"/>
      <c r="N1323" s="32"/>
      <c r="O1323" s="32"/>
      <c r="P1323" s="32"/>
      <c r="Q1323" s="32"/>
      <c r="R1323" s="32"/>
      <c r="S1323" s="32"/>
      <c r="T1323" s="32"/>
      <c r="U1323" s="32"/>
      <c r="V1323" s="32"/>
      <c r="W1323" s="32"/>
      <c r="X1323" s="32"/>
      <c r="Y1323" s="32"/>
      <c r="Z1323" s="32"/>
    </row>
    <row r="1324">
      <c r="A1324" s="32" t="str">
        <f>IFERROR(__xludf.DUMMYFUNCTION("""COMPUTED_VALUE"""),"Golden Pickaxe")</f>
        <v>Golden Pickaxe</v>
      </c>
      <c r="B1324" s="32" t="str">
        <f>IFERROR(__xludf.DUMMYFUNCTION("""COMPUTED_VALUE"""),"80/80 Uses. Used for mining. (Item)")</f>
        <v>80/80 Uses. Used for mining. (Item)</v>
      </c>
      <c r="C1324" s="32"/>
      <c r="D1324" s="32"/>
      <c r="E1324" s="32"/>
      <c r="F1324" s="32"/>
      <c r="G1324" s="32"/>
      <c r="H1324" s="32"/>
      <c r="I1324" s="32"/>
      <c r="J1324" s="32"/>
      <c r="K1324" s="32"/>
      <c r="L1324" s="32"/>
      <c r="M1324" s="32"/>
      <c r="N1324" s="32"/>
      <c r="O1324" s="32"/>
      <c r="P1324" s="32"/>
      <c r="Q1324" s="32"/>
      <c r="R1324" s="32"/>
      <c r="S1324" s="32"/>
      <c r="T1324" s="32"/>
      <c r="U1324" s="32"/>
      <c r="V1324" s="32"/>
      <c r="W1324" s="32"/>
      <c r="X1324" s="32"/>
      <c r="Y1324" s="32"/>
      <c r="Z1324" s="32"/>
    </row>
    <row r="1325">
      <c r="A1325" s="32" t="str">
        <f>IFERROR(__xludf.DUMMYFUNCTION("""COMPUTED_VALUE"""),"Wooden Pickaxe")</f>
        <v>Wooden Pickaxe</v>
      </c>
      <c r="B1325" s="32" t="str">
        <f>IFERROR(__xludf.DUMMYFUNCTION("""COMPUTED_VALUE"""),"10/10 Uses. Used for mining. (Item)")</f>
        <v>10/10 Uses. Used for mining. (Item)</v>
      </c>
      <c r="C1325" s="32"/>
      <c r="D1325" s="32"/>
      <c r="E1325" s="32"/>
      <c r="F1325" s="32"/>
      <c r="G1325" s="32"/>
      <c r="H1325" s="32"/>
      <c r="I1325" s="32"/>
      <c r="J1325" s="32"/>
      <c r="K1325" s="32"/>
      <c r="L1325" s="32"/>
      <c r="M1325" s="32"/>
      <c r="N1325" s="32"/>
      <c r="O1325" s="32"/>
      <c r="P1325" s="32"/>
      <c r="Q1325" s="32"/>
      <c r="R1325" s="32"/>
      <c r="S1325" s="32"/>
      <c r="T1325" s="32"/>
      <c r="U1325" s="32"/>
      <c r="V1325" s="32"/>
      <c r="W1325" s="32"/>
      <c r="X1325" s="32"/>
      <c r="Y1325" s="32"/>
      <c r="Z1325" s="32"/>
    </row>
    <row r="1326">
      <c r="A1326" s="32" t="str">
        <f>IFERROR(__xludf.DUMMYFUNCTION("""COMPUTED_VALUE"""),"Iron Pickaxe")</f>
        <v>Iron Pickaxe</v>
      </c>
      <c r="B1326" s="32" t="str">
        <f>IFERROR(__xludf.DUMMYFUNCTION("""COMPUTED_VALUE"""),"20/20 Uses. Used for mining. (Item)")</f>
        <v>20/20 Uses. Used for mining. (Item)</v>
      </c>
      <c r="C1326" s="32"/>
      <c r="D1326" s="32"/>
      <c r="E1326" s="32"/>
      <c r="F1326" s="32"/>
      <c r="G1326" s="32"/>
      <c r="H1326" s="32"/>
      <c r="I1326" s="32"/>
      <c r="J1326" s="32"/>
      <c r="K1326" s="32"/>
      <c r="L1326" s="32"/>
      <c r="M1326" s="32"/>
      <c r="N1326" s="32"/>
      <c r="O1326" s="32"/>
      <c r="P1326" s="32"/>
      <c r="Q1326" s="32"/>
      <c r="R1326" s="32"/>
      <c r="S1326" s="32"/>
      <c r="T1326" s="32"/>
      <c r="U1326" s="32"/>
      <c r="V1326" s="32"/>
      <c r="W1326" s="32"/>
      <c r="X1326" s="32"/>
      <c r="Y1326" s="32"/>
      <c r="Z1326" s="32"/>
    </row>
    <row r="1327">
      <c r="A1327" s="32" t="str">
        <f>IFERROR(__xludf.DUMMYFUNCTION("""COMPUTED_VALUE"""),"Silver Pickaxe")</f>
        <v>Silver Pickaxe</v>
      </c>
      <c r="B1327" s="32" t="str">
        <f>IFERROR(__xludf.DUMMYFUNCTION("""COMPUTED_VALUE"""),"60/60 Uses. Used for mining. (Item)")</f>
        <v>60/60 Uses. Used for mining. (Item)</v>
      </c>
      <c r="C1327" s="32"/>
      <c r="D1327" s="32"/>
      <c r="E1327" s="32"/>
      <c r="F1327" s="32"/>
      <c r="G1327" s="32"/>
      <c r="H1327" s="32"/>
      <c r="I1327" s="32"/>
      <c r="J1327" s="32"/>
      <c r="K1327" s="32"/>
      <c r="L1327" s="32"/>
      <c r="M1327" s="32"/>
      <c r="N1327" s="32"/>
      <c r="O1327" s="32"/>
      <c r="P1327" s="32"/>
      <c r="Q1327" s="32"/>
      <c r="R1327" s="32"/>
      <c r="S1327" s="32"/>
      <c r="T1327" s="32"/>
      <c r="U1327" s="32"/>
      <c r="V1327" s="32"/>
      <c r="W1327" s="32"/>
      <c r="X1327" s="32"/>
      <c r="Y1327" s="32"/>
      <c r="Z1327" s="32"/>
    </row>
    <row r="1328">
      <c r="A1328" s="32" t="str">
        <f>IFERROR(__xludf.DUMMYFUNCTION("""COMPUTED_VALUE"""),"Diamond Pickaxe")</f>
        <v>Diamond Pickaxe</v>
      </c>
      <c r="B1328" s="32" t="str">
        <f>IFERROR(__xludf.DUMMYFUNCTION("""COMPUTED_VALUE"""),"100/100 Uses. Used for mining. (Item)")</f>
        <v>100/100 Uses. Used for mining. (Item)</v>
      </c>
      <c r="C1328" s="32"/>
      <c r="D1328" s="32"/>
      <c r="E1328" s="32"/>
      <c r="F1328" s="32"/>
      <c r="G1328" s="32"/>
      <c r="H1328" s="32"/>
      <c r="I1328" s="32"/>
      <c r="J1328" s="32"/>
      <c r="K1328" s="32"/>
      <c r="L1328" s="32"/>
      <c r="M1328" s="32"/>
      <c r="N1328" s="32"/>
      <c r="O1328" s="32"/>
      <c r="P1328" s="32"/>
      <c r="Q1328" s="32"/>
      <c r="R1328" s="32"/>
      <c r="S1328" s="32"/>
      <c r="T1328" s="32"/>
      <c r="U1328" s="32"/>
      <c r="V1328" s="32"/>
      <c r="W1328" s="32"/>
      <c r="X1328" s="32"/>
      <c r="Y1328" s="32"/>
      <c r="Z1328" s="32"/>
    </row>
    <row r="1329">
      <c r="A1329" s="32" t="str">
        <f>IFERROR(__xludf.DUMMYFUNCTION("""COMPUTED_VALUE"""),"Obsidian Pickaxe")</f>
        <v>Obsidian Pickaxe</v>
      </c>
      <c r="B1329" s="32" t="str">
        <f>IFERROR(__xludf.DUMMYFUNCTION("""COMPUTED_VALUE"""),"120/120 Uses. Used for mining. (Item)")</f>
        <v>120/120 Uses. Used for mining. (Item)</v>
      </c>
      <c r="C1329" s="32"/>
      <c r="D1329" s="32"/>
      <c r="E1329" s="32"/>
      <c r="F1329" s="32"/>
      <c r="G1329" s="32"/>
      <c r="H1329" s="32"/>
      <c r="I1329" s="32"/>
      <c r="J1329" s="32"/>
      <c r="K1329" s="32"/>
      <c r="L1329" s="32"/>
      <c r="M1329" s="32"/>
      <c r="N1329" s="32"/>
      <c r="O1329" s="32"/>
      <c r="P1329" s="32"/>
      <c r="Q1329" s="32"/>
      <c r="R1329" s="32"/>
      <c r="S1329" s="32"/>
      <c r="T1329" s="32"/>
      <c r="U1329" s="32"/>
      <c r="V1329" s="32"/>
      <c r="W1329" s="32"/>
      <c r="X1329" s="32"/>
      <c r="Y1329" s="32"/>
      <c r="Z1329" s="32"/>
    </row>
    <row r="1330">
      <c r="A1330" s="32" t="str">
        <f>IFERROR(__xludf.DUMMYFUNCTION("""COMPUTED_VALUE"""),"Fire Fishing Pole ")</f>
        <v>Fire Fishing Pole </v>
      </c>
      <c r="B1330" s="32" t="str">
        <f>IFERROR(__xludf.DUMMYFUNCTION("""COMPUTED_VALUE"""),"Made out of Iron. 20/20 Uses. Will cook fish caught giving them an additional hunger. Used for fishing. (Crop)")</f>
        <v>Made out of Iron. 20/20 Uses. Will cook fish caught giving them an additional hunger. Used for fishing. (Crop)</v>
      </c>
      <c r="C1330" s="32"/>
      <c r="D1330" s="32"/>
      <c r="E1330" s="32"/>
      <c r="F1330" s="32"/>
      <c r="G1330" s="32"/>
      <c r="H1330" s="32"/>
      <c r="I1330" s="32"/>
      <c r="J1330" s="32"/>
      <c r="K1330" s="32"/>
      <c r="L1330" s="32"/>
      <c r="M1330" s="32"/>
      <c r="N1330" s="32"/>
      <c r="O1330" s="32"/>
      <c r="P1330" s="32"/>
      <c r="Q1330" s="32"/>
      <c r="R1330" s="32"/>
      <c r="S1330" s="32"/>
      <c r="T1330" s="32"/>
      <c r="U1330" s="32"/>
      <c r="V1330" s="32"/>
      <c r="W1330" s="32"/>
      <c r="X1330" s="32"/>
      <c r="Y1330" s="32"/>
      <c r="Z1330" s="32"/>
    </row>
    <row r="1331">
      <c r="A1331" s="32" t="str">
        <f>IFERROR(__xludf.DUMMYFUNCTION("""COMPUTED_VALUE"""),"Golden Fishing Pole ")</f>
        <v>Golden Fishing Pole </v>
      </c>
      <c r="B1331" s="32" t="str">
        <f>IFERROR(__xludf.DUMMYFUNCTION("""COMPUTED_VALUE"""),"80/80 uses. Used for fishing. (Item)")</f>
        <v>80/80 uses. Used for fishing. (Item)</v>
      </c>
      <c r="C1331" s="32"/>
      <c r="D1331" s="32"/>
      <c r="E1331" s="32"/>
      <c r="F1331" s="32"/>
      <c r="G1331" s="32"/>
      <c r="H1331" s="32"/>
      <c r="I1331" s="32"/>
      <c r="J1331" s="32"/>
      <c r="K1331" s="32"/>
      <c r="L1331" s="32"/>
      <c r="M1331" s="32"/>
      <c r="N1331" s="32"/>
      <c r="O1331" s="32"/>
      <c r="P1331" s="32"/>
      <c r="Q1331" s="32"/>
      <c r="R1331" s="32"/>
      <c r="S1331" s="32"/>
      <c r="T1331" s="32"/>
      <c r="U1331" s="32"/>
      <c r="V1331" s="32"/>
      <c r="W1331" s="32"/>
      <c r="X1331" s="32"/>
      <c r="Y1331" s="32"/>
      <c r="Z1331" s="32"/>
    </row>
    <row r="1332">
      <c r="A1332" s="32" t="str">
        <f>IFERROR(__xludf.DUMMYFUNCTION("""COMPUTED_VALUE"""),"Wooden Fishing Pole ")</f>
        <v>Wooden Fishing Pole </v>
      </c>
      <c r="B1332" s="32" t="str">
        <f>IFERROR(__xludf.DUMMYFUNCTION("""COMPUTED_VALUE"""),"10/10 uses. Used for fishing. (Item)")</f>
        <v>10/10 uses. Used for fishing. (Item)</v>
      </c>
      <c r="C1332" s="32"/>
      <c r="D1332" s="32"/>
      <c r="E1332" s="32"/>
      <c r="F1332" s="32"/>
      <c r="G1332" s="32"/>
      <c r="H1332" s="32"/>
      <c r="I1332" s="32"/>
      <c r="J1332" s="32"/>
      <c r="K1332" s="32"/>
      <c r="L1332" s="32"/>
      <c r="M1332" s="32"/>
      <c r="N1332" s="32"/>
      <c r="O1332" s="32"/>
      <c r="P1332" s="32"/>
      <c r="Q1332" s="32"/>
      <c r="R1332" s="32"/>
      <c r="S1332" s="32"/>
      <c r="T1332" s="32"/>
      <c r="U1332" s="32"/>
      <c r="V1332" s="32"/>
      <c r="W1332" s="32"/>
      <c r="X1332" s="32"/>
      <c r="Y1332" s="32"/>
      <c r="Z1332" s="32"/>
    </row>
    <row r="1333">
      <c r="A1333" s="32" t="str">
        <f>IFERROR(__xludf.DUMMYFUNCTION("""COMPUTED_VALUE"""),"Steel Fishing Pole ")</f>
        <v>Steel Fishing Pole </v>
      </c>
      <c r="B1333" s="32" t="str">
        <f>IFERROR(__xludf.DUMMYFUNCTION("""COMPUTED_VALUE"""),"40/40 Uses. Used for fishing. (Item)")</f>
        <v>40/40 Uses. Used for fishing. (Item)</v>
      </c>
      <c r="C1333" s="32"/>
      <c r="D1333" s="32"/>
      <c r="E1333" s="32"/>
      <c r="F1333" s="32"/>
      <c r="G1333" s="32"/>
      <c r="H1333" s="32"/>
      <c r="I1333" s="32"/>
      <c r="J1333" s="32"/>
      <c r="K1333" s="32"/>
      <c r="L1333" s="32"/>
      <c r="M1333" s="32"/>
      <c r="N1333" s="32"/>
      <c r="O1333" s="32"/>
      <c r="P1333" s="32"/>
      <c r="Q1333" s="32"/>
      <c r="R1333" s="32"/>
      <c r="S1333" s="32"/>
      <c r="T1333" s="32"/>
      <c r="U1333" s="32"/>
      <c r="V1333" s="32"/>
      <c r="W1333" s="32"/>
      <c r="X1333" s="32"/>
      <c r="Y1333" s="32"/>
      <c r="Z1333" s="32"/>
    </row>
    <row r="1334">
      <c r="A1334" s="32" t="str">
        <f>IFERROR(__xludf.DUMMYFUNCTION("""COMPUTED_VALUE"""),"Silver Fishing Pole ")</f>
        <v>Silver Fishing Pole </v>
      </c>
      <c r="B1334" s="32" t="str">
        <f>IFERROR(__xludf.DUMMYFUNCTION("""COMPUTED_VALUE"""),"60/60 Uses. Used for fishing. (Item)")</f>
        <v>60/60 Uses. Used for fishing. (Item)</v>
      </c>
      <c r="C1334" s="32"/>
      <c r="D1334" s="32"/>
      <c r="E1334" s="32"/>
      <c r="F1334" s="32"/>
      <c r="G1334" s="32"/>
      <c r="H1334" s="32"/>
      <c r="I1334" s="32"/>
      <c r="J1334" s="32"/>
      <c r="K1334" s="32"/>
      <c r="L1334" s="32"/>
      <c r="M1334" s="32"/>
      <c r="N1334" s="32"/>
      <c r="O1334" s="32"/>
      <c r="P1334" s="32"/>
      <c r="Q1334" s="32"/>
      <c r="R1334" s="32"/>
      <c r="S1334" s="32"/>
      <c r="T1334" s="32"/>
      <c r="U1334" s="32"/>
      <c r="V1334" s="32"/>
      <c r="W1334" s="32"/>
      <c r="X1334" s="32"/>
      <c r="Y1334" s="32"/>
      <c r="Z1334" s="32"/>
    </row>
    <row r="1335">
      <c r="A1335" s="32" t="str">
        <f>IFERROR(__xludf.DUMMYFUNCTION("""COMPUTED_VALUE"""),"Iron Fishing Pole ")</f>
        <v>Iron Fishing Pole </v>
      </c>
      <c r="B1335" s="32" t="str">
        <f>IFERROR(__xludf.DUMMYFUNCTION("""COMPUTED_VALUE"""),"20/20 Uses. Used for fishing. (Item)")</f>
        <v>20/20 Uses. Used for fishing. (Item)</v>
      </c>
      <c r="C1335" s="32"/>
      <c r="D1335" s="32"/>
      <c r="E1335" s="32"/>
      <c r="F1335" s="32"/>
      <c r="G1335" s="32"/>
      <c r="H1335" s="32"/>
      <c r="I1335" s="32"/>
      <c r="J1335" s="32"/>
      <c r="K1335" s="32"/>
      <c r="L1335" s="32"/>
      <c r="M1335" s="32"/>
      <c r="N1335" s="32"/>
      <c r="O1335" s="32"/>
      <c r="P1335" s="32"/>
      <c r="Q1335" s="32"/>
      <c r="R1335" s="32"/>
      <c r="S1335" s="32"/>
      <c r="T1335" s="32"/>
      <c r="U1335" s="32"/>
      <c r="V1335" s="32"/>
      <c r="W1335" s="32"/>
      <c r="X1335" s="32"/>
      <c r="Y1335" s="32"/>
      <c r="Z1335" s="32"/>
    </row>
    <row r="1336">
      <c r="A1336" s="32" t="str">
        <f>IFERROR(__xludf.DUMMYFUNCTION("""COMPUTED_VALUE"""),"Elemental Crystal")</f>
        <v>Elemental Crystal</v>
      </c>
      <c r="B1336" s="32" t="str">
        <f>IFERROR(__xludf.DUMMYFUNCTION("""COMPUTED_VALUE"""),"Crafting Material, roll a d20 to see how many you get if this is a loot drop. (Item)")</f>
        <v>Crafting Material, roll a d20 to see how many you get if this is a loot drop. (Item)</v>
      </c>
      <c r="C1336" s="32"/>
      <c r="D1336" s="32"/>
      <c r="E1336" s="32"/>
      <c r="F1336" s="32"/>
      <c r="G1336" s="32"/>
      <c r="H1336" s="32"/>
      <c r="I1336" s="32"/>
      <c r="J1336" s="32"/>
      <c r="K1336" s="32"/>
      <c r="L1336" s="32"/>
      <c r="M1336" s="32"/>
      <c r="N1336" s="32"/>
      <c r="O1336" s="32"/>
      <c r="P1336" s="32"/>
      <c r="Q1336" s="32"/>
      <c r="R1336" s="32"/>
      <c r="S1336" s="32"/>
      <c r="T1336" s="32"/>
      <c r="U1336" s="32"/>
      <c r="V1336" s="32"/>
      <c r="W1336" s="32"/>
      <c r="X1336" s="32"/>
      <c r="Y1336" s="32"/>
      <c r="Z1336" s="32"/>
    </row>
    <row r="1337">
      <c r="A1337" s="32" t="str">
        <f>IFERROR(__xludf.DUMMYFUNCTION("""COMPUTED_VALUE"""),"Leather")</f>
        <v>Leather</v>
      </c>
      <c r="B1337" s="32" t="str">
        <f>IFERROR(__xludf.DUMMYFUNCTION("""COMPUTED_VALUE"""),"Crafting Material, roll a d20 to see how many you get if this is a loot drop. (Item)")</f>
        <v>Crafting Material, roll a d20 to see how many you get if this is a loot drop. (Item)</v>
      </c>
      <c r="C1337" s="32"/>
      <c r="D1337" s="32"/>
      <c r="E1337" s="32"/>
      <c r="F1337" s="32"/>
      <c r="G1337" s="32"/>
      <c r="H1337" s="32"/>
      <c r="I1337" s="32"/>
      <c r="J1337" s="32"/>
      <c r="K1337" s="32"/>
      <c r="L1337" s="32"/>
      <c r="M1337" s="32"/>
      <c r="N1337" s="32"/>
      <c r="O1337" s="32"/>
      <c r="P1337" s="32"/>
      <c r="Q1337" s="32"/>
      <c r="R1337" s="32"/>
      <c r="S1337" s="32"/>
      <c r="T1337" s="32"/>
      <c r="U1337" s="32"/>
      <c r="V1337" s="32"/>
      <c r="W1337" s="32"/>
      <c r="X1337" s="32"/>
      <c r="Y1337" s="32"/>
      <c r="Z1337" s="32"/>
    </row>
    <row r="1338">
      <c r="A1338" s="32" t="str">
        <f>IFERROR(__xludf.DUMMYFUNCTION("""COMPUTED_VALUE"""),"Pearlescent Fishing Rod ")</f>
        <v>Pearlescent Fishing Rod </v>
      </c>
      <c r="B1338" s="32" t="str">
        <f>IFERROR(__xludf.DUMMYFUNCTION("""COMPUTED_VALUE"""),"Allows lava fishing, Unbreakable. (Item)")</f>
        <v>Allows lava fishing, Unbreakable. (Item)</v>
      </c>
      <c r="C1338" s="32"/>
      <c r="D1338" s="32"/>
      <c r="E1338" s="32"/>
      <c r="F1338" s="32"/>
      <c r="G1338" s="32"/>
      <c r="H1338" s="32"/>
      <c r="I1338" s="32"/>
      <c r="J1338" s="32"/>
      <c r="K1338" s="32"/>
      <c r="L1338" s="32"/>
      <c r="M1338" s="32"/>
      <c r="N1338" s="32"/>
      <c r="O1338" s="32"/>
      <c r="P1338" s="32"/>
      <c r="Q1338" s="32"/>
      <c r="R1338" s="32"/>
      <c r="S1338" s="32"/>
      <c r="T1338" s="32"/>
      <c r="U1338" s="32"/>
      <c r="V1338" s="32"/>
      <c r="W1338" s="32"/>
      <c r="X1338" s="32"/>
      <c r="Y1338" s="32"/>
      <c r="Z1338" s="32"/>
    </row>
    <row r="1339">
      <c r="A1339" s="32" t="str">
        <f>IFERROR(__xludf.DUMMYFUNCTION("""COMPUTED_VALUE"""),"Mithril")</f>
        <v>Mithril</v>
      </c>
      <c r="B1339" s="32" t="str">
        <f>IFERROR(__xludf.DUMMYFUNCTION("""COMPUTED_VALUE"""),"Crafting Material, roll a d20 to see how many you get if this is a loot drop. A celestial stone holding minor heavenly power. (Item)")</f>
        <v>Crafting Material, roll a d20 to see how many you get if this is a loot drop. A celestial stone holding minor heavenly power. (Item)</v>
      </c>
      <c r="C1339" s="32"/>
      <c r="D1339" s="32"/>
      <c r="E1339" s="32"/>
      <c r="F1339" s="32"/>
      <c r="G1339" s="32"/>
      <c r="H1339" s="32"/>
      <c r="I1339" s="32"/>
      <c r="J1339" s="32"/>
      <c r="K1339" s="32"/>
      <c r="L1339" s="32"/>
      <c r="M1339" s="32"/>
      <c r="N1339" s="32"/>
      <c r="O1339" s="32"/>
      <c r="P1339" s="32"/>
      <c r="Q1339" s="32"/>
      <c r="R1339" s="32"/>
      <c r="S1339" s="32"/>
      <c r="T1339" s="32"/>
      <c r="U1339" s="32"/>
      <c r="V1339" s="32"/>
      <c r="W1339" s="32"/>
      <c r="X1339" s="32"/>
      <c r="Y1339" s="32"/>
      <c r="Z1339" s="32"/>
    </row>
    <row r="1340">
      <c r="A1340" s="32" t="str">
        <f>IFERROR(__xludf.DUMMYFUNCTION("""COMPUTED_VALUE"""),"Enchanted Leather")</f>
        <v>Enchanted Leather</v>
      </c>
      <c r="B1340" s="32" t="str">
        <f>IFERROR(__xludf.DUMMYFUNCTION("""COMPUTED_VALUE"""),"Crafting Material, roll a d20 to see how many you get if this is a loot drop. (Item)")</f>
        <v>Crafting Material, roll a d20 to see how many you get if this is a loot drop. (Item)</v>
      </c>
      <c r="C1340" s="32"/>
      <c r="D1340" s="32"/>
      <c r="E1340" s="32"/>
      <c r="F1340" s="32"/>
      <c r="G1340" s="32"/>
      <c r="H1340" s="32"/>
      <c r="I1340" s="32"/>
      <c r="J1340" s="32"/>
      <c r="K1340" s="32"/>
      <c r="L1340" s="32"/>
      <c r="M1340" s="32"/>
      <c r="N1340" s="32"/>
      <c r="O1340" s="32"/>
      <c r="P1340" s="32"/>
      <c r="Q1340" s="32"/>
      <c r="R1340" s="32"/>
      <c r="S1340" s="32"/>
      <c r="T1340" s="32"/>
      <c r="U1340" s="32"/>
      <c r="V1340" s="32"/>
      <c r="W1340" s="32"/>
      <c r="X1340" s="32"/>
      <c r="Y1340" s="32"/>
      <c r="Z1340" s="32"/>
    </row>
    <row r="1341">
      <c r="A1341" s="32" t="str">
        <f>IFERROR(__xludf.DUMMYFUNCTION("""COMPUTED_VALUE"""),"Dart")</f>
        <v>Dart</v>
      </c>
      <c r="B1341" s="32" t="str">
        <f>IFERROR(__xludf.DUMMYFUNCTION("""COMPUTED_VALUE"""),"Ammo (Item)")</f>
        <v>Ammo (Item)</v>
      </c>
      <c r="C1341" s="32"/>
      <c r="D1341" s="32"/>
      <c r="E1341" s="32"/>
      <c r="F1341" s="32"/>
      <c r="G1341" s="32"/>
      <c r="H1341" s="32"/>
      <c r="I1341" s="32"/>
      <c r="J1341" s="32"/>
      <c r="K1341" s="32"/>
      <c r="L1341" s="32"/>
      <c r="M1341" s="32"/>
      <c r="N1341" s="32"/>
      <c r="O1341" s="32"/>
      <c r="P1341" s="32"/>
      <c r="Q1341" s="32"/>
      <c r="R1341" s="32"/>
      <c r="S1341" s="32"/>
      <c r="T1341" s="32"/>
      <c r="U1341" s="32"/>
      <c r="V1341" s="32"/>
      <c r="W1341" s="32"/>
      <c r="X1341" s="32"/>
      <c r="Y1341" s="32"/>
      <c r="Z1341" s="32"/>
    </row>
    <row r="1342">
      <c r="A1342" s="32" t="str">
        <f>IFERROR(__xludf.DUMMYFUNCTION("""COMPUTED_VALUE"""),"Golden Coin")</f>
        <v>Golden Coin</v>
      </c>
      <c r="B1342" s="32" t="str">
        <f>IFERROR(__xludf.DUMMYFUNCTION("""COMPUTED_VALUE"""),"Flip: If heads 11-20 gain +5 Wisdom and Evasion until the end of battle. If tails 1-10 Half evasion and Wisdom. This item can only be used once per Battle/RP action. Cannot be duplicated. (Item)")</f>
        <v>Flip: If heads 11-20 gain +5 Wisdom and Evasion until the end of battle. If tails 1-10 Half evasion and Wisdom. This item can only be used once per Battle/RP action. Cannot be duplicated. (Item)</v>
      </c>
      <c r="C1342" s="32"/>
      <c r="D1342" s="32"/>
      <c r="E1342" s="32"/>
      <c r="F1342" s="32"/>
      <c r="G1342" s="32"/>
      <c r="H1342" s="32"/>
      <c r="I1342" s="32"/>
      <c r="J1342" s="32"/>
      <c r="K1342" s="32"/>
      <c r="L1342" s="32"/>
      <c r="M1342" s="32"/>
      <c r="N1342" s="32"/>
      <c r="O1342" s="32"/>
      <c r="P1342" s="32"/>
      <c r="Q1342" s="32"/>
      <c r="R1342" s="32"/>
      <c r="S1342" s="32"/>
      <c r="T1342" s="32"/>
      <c r="U1342" s="32"/>
      <c r="V1342" s="32"/>
      <c r="W1342" s="32"/>
      <c r="X1342" s="32"/>
      <c r="Y1342" s="32"/>
      <c r="Z1342" s="32"/>
    </row>
    <row r="1343">
      <c r="A1343" s="32" t="str">
        <f>IFERROR(__xludf.DUMMYFUNCTION("""COMPUTED_VALUE"""),"Oil lamp")</f>
        <v>Oil lamp</v>
      </c>
      <c r="B1343" s="32" t="str">
        <f>IFERROR(__xludf.DUMMYFUNCTION("""COMPUTED_VALUE"""),"Illuminates your path or any room your in (Item)")</f>
        <v>Illuminates your path or any room your in (Item)</v>
      </c>
      <c r="C1343" s="32"/>
      <c r="D1343" s="32"/>
      <c r="E1343" s="32"/>
      <c r="F1343" s="32"/>
      <c r="G1343" s="32"/>
      <c r="H1343" s="32"/>
      <c r="I1343" s="32"/>
      <c r="J1343" s="32"/>
      <c r="K1343" s="32"/>
      <c r="L1343" s="32"/>
      <c r="M1343" s="32"/>
      <c r="N1343" s="32"/>
      <c r="O1343" s="32"/>
      <c r="P1343" s="32"/>
      <c r="Q1343" s="32"/>
      <c r="R1343" s="32"/>
      <c r="S1343" s="32"/>
      <c r="T1343" s="32"/>
      <c r="U1343" s="32"/>
      <c r="V1343" s="32"/>
      <c r="W1343" s="32"/>
      <c r="X1343" s="32"/>
      <c r="Y1343" s="32"/>
      <c r="Z1343" s="32"/>
    </row>
    <row r="1344">
      <c r="A1344" s="32" t="str">
        <f>IFERROR(__xludf.DUMMYFUNCTION("""COMPUTED_VALUE"""),"Seed")</f>
        <v>Seed</v>
      </c>
      <c r="B1344" s="32" t="str">
        <f>IFERROR(__xludf.DUMMYFUNCTION("""COMPUTED_VALUE"""),"Can harvest in X/X days. (Item)")</f>
        <v>Can harvest in X/X days. (Item)</v>
      </c>
      <c r="C1344" s="32"/>
      <c r="D1344" s="32"/>
      <c r="E1344" s="32"/>
      <c r="F1344" s="32"/>
      <c r="G1344" s="32"/>
      <c r="H1344" s="32"/>
      <c r="I1344" s="32"/>
      <c r="J1344" s="32"/>
      <c r="K1344" s="32"/>
      <c r="L1344" s="32"/>
      <c r="M1344" s="32"/>
      <c r="N1344" s="32"/>
      <c r="O1344" s="32"/>
      <c r="P1344" s="32"/>
      <c r="Q1344" s="32"/>
      <c r="R1344" s="32"/>
      <c r="S1344" s="32"/>
      <c r="T1344" s="32"/>
      <c r="U1344" s="32"/>
      <c r="V1344" s="32"/>
      <c r="W1344" s="32"/>
      <c r="X1344" s="32"/>
      <c r="Y1344" s="32"/>
      <c r="Z1344" s="32"/>
    </row>
    <row r="1345">
      <c r="A1345" s="32" t="str">
        <f>IFERROR(__xludf.DUMMYFUNCTION("""COMPUTED_VALUE"""),"Potion of Cure Disease")</f>
        <v>Potion of Cure Disease</v>
      </c>
      <c r="B1345" s="32" t="str">
        <f>IFERROR(__xludf.DUMMYFUNCTION("""COMPUTED_VALUE"""),"Disease Antidote. (Item)")</f>
        <v>Disease Antidote. (Item)</v>
      </c>
      <c r="C1345" s="32"/>
      <c r="D1345" s="32"/>
      <c r="E1345" s="32"/>
      <c r="F1345" s="32"/>
      <c r="G1345" s="32"/>
      <c r="H1345" s="32"/>
      <c r="I1345" s="32"/>
      <c r="J1345" s="32"/>
      <c r="K1345" s="32"/>
      <c r="L1345" s="32"/>
      <c r="M1345" s="32"/>
      <c r="N1345" s="32"/>
      <c r="O1345" s="32"/>
      <c r="P1345" s="32"/>
      <c r="Q1345" s="32"/>
      <c r="R1345" s="32"/>
      <c r="S1345" s="32"/>
      <c r="T1345" s="32"/>
      <c r="U1345" s="32"/>
      <c r="V1345" s="32"/>
      <c r="W1345" s="32"/>
      <c r="X1345" s="32"/>
      <c r="Y1345" s="32"/>
      <c r="Z1345" s="32"/>
    </row>
    <row r="1346">
      <c r="A1346" s="32" t="str">
        <f>IFERROR(__xludf.DUMMYFUNCTION("""COMPUTED_VALUE"""),"Poison Vial")</f>
        <v>Poison Vial</v>
      </c>
      <c r="B1346" s="32" t="str">
        <f>IFERROR(__xludf.DUMMYFUNCTION("""COMPUTED_VALUE"""),"Using this will make all your weapon or natural attacks inflict an enemy with Poison 500 for 3 rounds. (Item)")</f>
        <v>Using this will make all your weapon or natural attacks inflict an enemy with Poison 500 for 3 rounds. (Item)</v>
      </c>
      <c r="C1346" s="32"/>
      <c r="D1346" s="32"/>
      <c r="E1346" s="32"/>
      <c r="F1346" s="32"/>
      <c r="G1346" s="32"/>
      <c r="H1346" s="32"/>
      <c r="I1346" s="32"/>
      <c r="J1346" s="32"/>
      <c r="K1346" s="32"/>
      <c r="L1346" s="32"/>
      <c r="M1346" s="32"/>
      <c r="N1346" s="32"/>
      <c r="O1346" s="32"/>
      <c r="P1346" s="32"/>
      <c r="Q1346" s="32"/>
      <c r="R1346" s="32"/>
      <c r="S1346" s="32"/>
      <c r="T1346" s="32"/>
      <c r="U1346" s="32"/>
      <c r="V1346" s="32"/>
      <c r="W1346" s="32"/>
      <c r="X1346" s="32"/>
      <c r="Y1346" s="32"/>
      <c r="Z1346" s="32"/>
    </row>
    <row r="1347">
      <c r="A1347" s="32" t="str">
        <f>IFERROR(__xludf.DUMMYFUNCTION("""COMPUTED_VALUE"""),"Stag Meat")</f>
        <v>Stag Meat</v>
      </c>
      <c r="B1347" s="32" t="str">
        <f>IFERROR(__xludf.DUMMYFUNCTION("""COMPUTED_VALUE"""),"Restores 20 hunger (Crop)")</f>
        <v>Restores 20 hunger (Crop)</v>
      </c>
      <c r="C1347" s="32"/>
      <c r="D1347" s="32"/>
      <c r="E1347" s="32"/>
      <c r="F1347" s="32"/>
      <c r="G1347" s="32"/>
      <c r="H1347" s="32"/>
      <c r="I1347" s="32"/>
      <c r="J1347" s="32"/>
      <c r="K1347" s="32"/>
      <c r="L1347" s="32"/>
      <c r="M1347" s="32"/>
      <c r="N1347" s="32"/>
      <c r="O1347" s="32"/>
      <c r="P1347" s="32"/>
      <c r="Q1347" s="32"/>
      <c r="R1347" s="32"/>
      <c r="S1347" s="32"/>
      <c r="T1347" s="32"/>
      <c r="U1347" s="32"/>
      <c r="V1347" s="32"/>
      <c r="W1347" s="32"/>
      <c r="X1347" s="32"/>
      <c r="Y1347" s="32"/>
      <c r="Z1347" s="32"/>
    </row>
    <row r="1348">
      <c r="A1348" s="32" t="str">
        <f>IFERROR(__xludf.DUMMYFUNCTION("""COMPUTED_VALUE"""),"Steed Meat")</f>
        <v>Steed Meat</v>
      </c>
      <c r="B1348" s="32" t="str">
        <f>IFERROR(__xludf.DUMMYFUNCTION("""COMPUTED_VALUE"""),"Restores 20 hunger (Crop)")</f>
        <v>Restores 20 hunger (Crop)</v>
      </c>
      <c r="C1348" s="32"/>
      <c r="D1348" s="32"/>
      <c r="E1348" s="32"/>
      <c r="F1348" s="32"/>
      <c r="G1348" s="32"/>
      <c r="H1348" s="32"/>
      <c r="I1348" s="32"/>
      <c r="J1348" s="32"/>
      <c r="K1348" s="32"/>
      <c r="L1348" s="32"/>
      <c r="M1348" s="32"/>
      <c r="N1348" s="32"/>
      <c r="O1348" s="32"/>
      <c r="P1348" s="32"/>
      <c r="Q1348" s="32"/>
      <c r="R1348" s="32"/>
      <c r="S1348" s="32"/>
      <c r="T1348" s="32"/>
      <c r="U1348" s="32"/>
      <c r="V1348" s="32"/>
      <c r="W1348" s="32"/>
      <c r="X1348" s="32"/>
      <c r="Y1348" s="32"/>
      <c r="Z1348" s="32"/>
    </row>
    <row r="1349">
      <c r="A1349" s="32" t="str">
        <f>IFERROR(__xludf.DUMMYFUNCTION("""COMPUTED_VALUE"""),"Moonstone")</f>
        <v>Moonstone</v>
      </c>
      <c r="B1349" s="32" t="str">
        <f>IFERROR(__xludf.DUMMYFUNCTION("""COMPUTED_VALUE"""),"Crafting Material, roll a d20 to see how many you get if this is a loot drop. (Item)")</f>
        <v>Crafting Material, roll a d20 to see how many you get if this is a loot drop. (Item)</v>
      </c>
      <c r="C1349" s="32"/>
      <c r="D1349" s="32"/>
      <c r="E1349" s="32"/>
      <c r="F1349" s="32"/>
      <c r="G1349" s="32"/>
      <c r="H1349" s="32"/>
      <c r="I1349" s="32"/>
      <c r="J1349" s="32"/>
      <c r="K1349" s="32"/>
      <c r="L1349" s="32"/>
      <c r="M1349" s="32"/>
      <c r="N1349" s="32"/>
      <c r="O1349" s="32"/>
      <c r="P1349" s="32"/>
      <c r="Q1349" s="32"/>
      <c r="R1349" s="32"/>
      <c r="S1349" s="32"/>
      <c r="T1349" s="32"/>
      <c r="U1349" s="32"/>
      <c r="V1349" s="32"/>
      <c r="W1349" s="32"/>
      <c r="X1349" s="32"/>
      <c r="Y1349" s="32"/>
      <c r="Z1349" s="32"/>
    </row>
    <row r="1350">
      <c r="A1350" s="32" t="str">
        <f>IFERROR(__xludf.DUMMYFUNCTION("""COMPUTED_VALUE"""),"Sunstone")</f>
        <v>Sunstone</v>
      </c>
      <c r="B1350" s="32" t="str">
        <f>IFERROR(__xludf.DUMMYFUNCTION("""COMPUTED_VALUE"""),"Crafting Material, roll a d20 to see how many you get if this is a loot drop. (Item)")</f>
        <v>Crafting Material, roll a d20 to see how many you get if this is a loot drop. (Item)</v>
      </c>
      <c r="C1350" s="32"/>
      <c r="D1350" s="32"/>
      <c r="E1350" s="32"/>
      <c r="F1350" s="32"/>
      <c r="G1350" s="32"/>
      <c r="H1350" s="32"/>
      <c r="I1350" s="32"/>
      <c r="J1350" s="32"/>
      <c r="K1350" s="32"/>
      <c r="L1350" s="32"/>
      <c r="M1350" s="32"/>
      <c r="N1350" s="32"/>
      <c r="O1350" s="32"/>
      <c r="P1350" s="32"/>
      <c r="Q1350" s="32"/>
      <c r="R1350" s="32"/>
      <c r="S1350" s="32"/>
      <c r="T1350" s="32"/>
      <c r="U1350" s="32"/>
      <c r="V1350" s="32"/>
      <c r="W1350" s="32"/>
      <c r="X1350" s="32"/>
      <c r="Y1350" s="32"/>
      <c r="Z1350" s="32"/>
    </row>
    <row r="1351">
      <c r="A1351" s="32" t="str">
        <f>IFERROR(__xludf.DUMMYFUNCTION("""COMPUTED_VALUE"""),"Tier 1 Treasure Chest (Non-Magical)")</f>
        <v>Tier 1 Treasure Chest (Non-Magical)</v>
      </c>
      <c r="B1351" s="32" t="str">
        <f>IFERROR(__xludf.DUMMYFUNCTION("""COMPUTED_VALUE"""),"Requires a Treasure Chest key to open (Item)")</f>
        <v>Requires a Treasure Chest key to open (Item)</v>
      </c>
      <c r="C1351" s="32"/>
      <c r="D1351" s="32"/>
      <c r="E1351" s="32"/>
      <c r="F1351" s="32"/>
      <c r="G1351" s="32"/>
      <c r="H1351" s="32"/>
      <c r="I1351" s="32"/>
      <c r="J1351" s="32"/>
      <c r="K1351" s="32"/>
      <c r="L1351" s="32"/>
      <c r="M1351" s="32"/>
      <c r="N1351" s="32"/>
      <c r="O1351" s="32"/>
      <c r="P1351" s="32"/>
      <c r="Q1351" s="32"/>
      <c r="R1351" s="32"/>
      <c r="S1351" s="32"/>
      <c r="T1351" s="32"/>
      <c r="U1351" s="32"/>
      <c r="V1351" s="32"/>
      <c r="W1351" s="32"/>
      <c r="X1351" s="32"/>
      <c r="Y1351" s="32"/>
      <c r="Z1351" s="32"/>
    </row>
    <row r="1352">
      <c r="A1352" s="32" t="str">
        <f>IFERROR(__xludf.DUMMYFUNCTION("""COMPUTED_VALUE"""),"Tier 2 Treasure Chest (Non-Magical)")</f>
        <v>Tier 2 Treasure Chest (Non-Magical)</v>
      </c>
      <c r="B1352" s="32" t="str">
        <f>IFERROR(__xludf.DUMMYFUNCTION("""COMPUTED_VALUE"""),"Requires a Treasure Chest key to open (Item)")</f>
        <v>Requires a Treasure Chest key to open (Item)</v>
      </c>
      <c r="C1352" s="32"/>
      <c r="D1352" s="32"/>
      <c r="E1352" s="32"/>
      <c r="F1352" s="32"/>
      <c r="G1352" s="32"/>
      <c r="H1352" s="32"/>
      <c r="I1352" s="32"/>
      <c r="J1352" s="32"/>
      <c r="K1352" s="32"/>
      <c r="L1352" s="32"/>
      <c r="M1352" s="32"/>
      <c r="N1352" s="32"/>
      <c r="O1352" s="32"/>
      <c r="P1352" s="32"/>
      <c r="Q1352" s="32"/>
      <c r="R1352" s="32"/>
      <c r="S1352" s="32"/>
      <c r="T1352" s="32"/>
      <c r="U1352" s="32"/>
      <c r="V1352" s="32"/>
      <c r="W1352" s="32"/>
      <c r="X1352" s="32"/>
      <c r="Y1352" s="32"/>
      <c r="Z1352" s="32"/>
    </row>
    <row r="1353">
      <c r="A1353" s="32" t="str">
        <f>IFERROR(__xludf.DUMMYFUNCTION("""COMPUTED_VALUE"""),"Tier 3 Treasure Chest (Non-Magical)")</f>
        <v>Tier 3 Treasure Chest (Non-Magical)</v>
      </c>
      <c r="B1353" s="32" t="str">
        <f>IFERROR(__xludf.DUMMYFUNCTION("""COMPUTED_VALUE"""),"Requires a Treasure Chest key to open (Item)")</f>
        <v>Requires a Treasure Chest key to open (Item)</v>
      </c>
      <c r="C1353" s="32"/>
      <c r="D1353" s="32"/>
      <c r="E1353" s="32"/>
      <c r="F1353" s="32"/>
      <c r="G1353" s="32"/>
      <c r="H1353" s="32"/>
      <c r="I1353" s="32"/>
      <c r="J1353" s="32"/>
      <c r="K1353" s="32"/>
      <c r="L1353" s="32"/>
      <c r="M1353" s="32"/>
      <c r="N1353" s="32"/>
      <c r="O1353" s="32"/>
      <c r="P1353" s="32"/>
      <c r="Q1353" s="32"/>
      <c r="R1353" s="32"/>
      <c r="S1353" s="32"/>
      <c r="T1353" s="32"/>
      <c r="U1353" s="32"/>
      <c r="V1353" s="32"/>
      <c r="W1353" s="32"/>
      <c r="X1353" s="32"/>
      <c r="Y1353" s="32"/>
      <c r="Z1353" s="32"/>
    </row>
    <row r="1354">
      <c r="A1354" s="32" t="str">
        <f>IFERROR(__xludf.DUMMYFUNCTION("""COMPUTED_VALUE"""),"Treasure Chest Key (Non-Magical)")</f>
        <v>Treasure Chest Key (Non-Magical)</v>
      </c>
      <c r="B1354" s="32" t="str">
        <f>IFERROR(__xludf.DUMMYFUNCTION("""COMPUTED_VALUE"""),"Unlocks Tier 1-3 Treasure Chests. (Item)")</f>
        <v>Unlocks Tier 1-3 Treasure Chests. (Item)</v>
      </c>
      <c r="C1354" s="32"/>
      <c r="D1354" s="32"/>
      <c r="E1354" s="32"/>
      <c r="F1354" s="32"/>
      <c r="G1354" s="32"/>
      <c r="H1354" s="32"/>
      <c r="I1354" s="32"/>
      <c r="J1354" s="32"/>
      <c r="K1354" s="32"/>
      <c r="L1354" s="32"/>
      <c r="M1354" s="32"/>
      <c r="N1354" s="32"/>
      <c r="O1354" s="32"/>
      <c r="P1354" s="32"/>
      <c r="Q1354" s="32"/>
      <c r="R1354" s="32"/>
      <c r="S1354" s="32"/>
      <c r="T1354" s="32"/>
      <c r="U1354" s="32"/>
      <c r="V1354" s="32"/>
      <c r="W1354" s="32"/>
      <c r="X1354" s="32"/>
      <c r="Y1354" s="32"/>
      <c r="Z1354" s="32"/>
    </row>
    <row r="1355">
      <c r="A1355" s="32" t="str">
        <f>IFERROR(__xludf.DUMMYFUNCTION("""COMPUTED_VALUE"""),"Random Dragon Egg")</f>
        <v>Random Dragon Egg</v>
      </c>
      <c r="B1355" s="32" t="str">
        <f>IFERROR(__xludf.DUMMYFUNCTION("""COMPUTED_VALUE"""),"determined by DM/GM (Item)")</f>
        <v>determined by DM/GM (Item)</v>
      </c>
      <c r="C1355" s="32"/>
      <c r="D1355" s="32"/>
      <c r="E1355" s="32"/>
      <c r="F1355" s="32"/>
      <c r="G1355" s="32"/>
      <c r="H1355" s="32"/>
      <c r="I1355" s="32"/>
      <c r="J1355" s="32"/>
      <c r="K1355" s="32"/>
      <c r="L1355" s="32"/>
      <c r="M1355" s="32"/>
      <c r="N1355" s="32"/>
      <c r="O1355" s="32"/>
      <c r="P1355" s="32"/>
      <c r="Q1355" s="32"/>
      <c r="R1355" s="32"/>
      <c r="S1355" s="32"/>
      <c r="T1355" s="32"/>
      <c r="U1355" s="32"/>
      <c r="V1355" s="32"/>
      <c r="W1355" s="32"/>
      <c r="X1355" s="32"/>
      <c r="Y1355" s="32"/>
      <c r="Z1355" s="32"/>
    </row>
    <row r="1356">
      <c r="A1356" s="32" t="str">
        <f>IFERROR(__xludf.DUMMYFUNCTION("""COMPUTED_VALUE"""),"Poisoned Bolts")</f>
        <v>Poisoned Bolts</v>
      </c>
      <c r="B1356" s="32" t="str">
        <f>IFERROR(__xludf.DUMMYFUNCTION("""COMPUTED_VALUE"""),"+5000 poison damage per round for 3 rounds (Item)")</f>
        <v>+5000 poison damage per round for 3 rounds (Item)</v>
      </c>
      <c r="C1356" s="32"/>
      <c r="D1356" s="32"/>
      <c r="E1356" s="32"/>
      <c r="F1356" s="32"/>
      <c r="G1356" s="32"/>
      <c r="H1356" s="32"/>
      <c r="I1356" s="32"/>
      <c r="J1356" s="32"/>
      <c r="K1356" s="32"/>
      <c r="L1356" s="32"/>
      <c r="M1356" s="32"/>
      <c r="N1356" s="32"/>
      <c r="O1356" s="32"/>
      <c r="P1356" s="32"/>
      <c r="Q1356" s="32"/>
      <c r="R1356" s="32"/>
      <c r="S1356" s="32"/>
      <c r="T1356" s="32"/>
      <c r="U1356" s="32"/>
      <c r="V1356" s="32"/>
      <c r="W1356" s="32"/>
      <c r="X1356" s="32"/>
      <c r="Y1356" s="32"/>
      <c r="Z1356" s="32"/>
    </row>
    <row r="1357">
      <c r="A1357" s="32" t="str">
        <f>IFERROR(__xludf.DUMMYFUNCTION("""COMPUTED_VALUE"""),"Standard Missile")</f>
        <v>Standard Missile</v>
      </c>
      <c r="B1357" s="32" t="str">
        <f>IFERROR(__xludf.DUMMYFUNCTION("""COMPUTED_VALUE"""),"Missile Turret Ammunition.+50,000 Damage. +50,000 Fire Damage. roll a d5 to see how many you get if this is a loot drop. (Item)")</f>
        <v>Missile Turret Ammunition.+50,000 Damage. +50,000 Fire Damage. roll a d5 to see how many you get if this is a loot drop. (Item)</v>
      </c>
      <c r="C1357" s="32"/>
      <c r="D1357" s="32"/>
      <c r="E1357" s="32"/>
      <c r="F1357" s="32"/>
      <c r="G1357" s="32"/>
      <c r="H1357" s="32"/>
      <c r="I1357" s="32"/>
      <c r="J1357" s="32"/>
      <c r="K1357" s="32"/>
      <c r="L1357" s="32"/>
      <c r="M1357" s="32"/>
      <c r="N1357" s="32"/>
      <c r="O1357" s="32"/>
      <c r="P1357" s="32"/>
      <c r="Q1357" s="32"/>
      <c r="R1357" s="32"/>
      <c r="S1357" s="32"/>
      <c r="T1357" s="32"/>
      <c r="U1357" s="32"/>
      <c r="V1357" s="32"/>
      <c r="W1357" s="32"/>
      <c r="X1357" s="32"/>
      <c r="Y1357" s="32"/>
      <c r="Z1357" s="32"/>
    </row>
    <row r="1358">
      <c r="A1358" s="32" t="str">
        <f>IFERROR(__xludf.DUMMYFUNCTION("""COMPUTED_VALUE"""),"Nuclear Missile")</f>
        <v>Nuclear Missile</v>
      </c>
      <c r="B1358" s="32" t="str">
        <f>IFERROR(__xludf.DUMMYFUNCTION("""COMPUTED_VALUE"""),"Missile Turret Ammunition.+100,000 Damage. +100,000 Fire Damage. +Burn 10,000. +Poison 10,000. roll a d5 to see how many you get if this is a loot drop. (Item)")</f>
        <v>Missile Turret Ammunition.+100,000 Damage. +100,000 Fire Damage. +Burn 10,000. +Poison 10,000. roll a d5 to see how many you get if this is a loot drop. (Item)</v>
      </c>
      <c r="C1358" s="32"/>
      <c r="D1358" s="32"/>
      <c r="E1358" s="32"/>
      <c r="F1358" s="32"/>
      <c r="G1358" s="32"/>
      <c r="H1358" s="32"/>
      <c r="I1358" s="32"/>
      <c r="J1358" s="32"/>
      <c r="K1358" s="32"/>
      <c r="L1358" s="32"/>
      <c r="M1358" s="32"/>
      <c r="N1358" s="32"/>
      <c r="O1358" s="32"/>
      <c r="P1358" s="32"/>
      <c r="Q1358" s="32"/>
      <c r="R1358" s="32"/>
      <c r="S1358" s="32"/>
      <c r="T1358" s="32"/>
      <c r="U1358" s="32"/>
      <c r="V1358" s="32"/>
      <c r="W1358" s="32"/>
      <c r="X1358" s="32"/>
      <c r="Y1358" s="32"/>
      <c r="Z1358" s="32"/>
    </row>
    <row r="1359">
      <c r="A1359" s="32" t="str">
        <f>IFERROR(__xludf.DUMMYFUNCTION("""COMPUTED_VALUE"""),"EMP Missile")</f>
        <v>EMP Missile</v>
      </c>
      <c r="B1359" s="32" t="str">
        <f>IFERROR(__xludf.DUMMYFUNCTION("""COMPUTED_VALUE"""),"Missile Turret Ammunition. +50,000 Damage. +50,000 Storm Damage. +25% chance the target(s) losses it's next turn. roll a d5 to see how many you get if this is a loot drop. (Item)")</f>
        <v>Missile Turret Ammunition. +50,000 Damage. +50,000 Storm Damage. +25% chance the target(s) losses it's next turn. roll a d5 to see how many you get if this is a loot drop. (Item)</v>
      </c>
      <c r="C1359" s="32"/>
      <c r="D1359" s="32"/>
      <c r="E1359" s="32"/>
      <c r="F1359" s="32"/>
      <c r="G1359" s="32"/>
      <c r="H1359" s="32"/>
      <c r="I1359" s="32"/>
      <c r="J1359" s="32"/>
      <c r="K1359" s="32"/>
      <c r="L1359" s="32"/>
      <c r="M1359" s="32"/>
      <c r="N1359" s="32"/>
      <c r="O1359" s="32"/>
      <c r="P1359" s="32"/>
      <c r="Q1359" s="32"/>
      <c r="R1359" s="32"/>
      <c r="S1359" s="32"/>
      <c r="T1359" s="32"/>
      <c r="U1359" s="32"/>
      <c r="V1359" s="32"/>
      <c r="W1359" s="32"/>
      <c r="X1359" s="32"/>
      <c r="Y1359" s="32"/>
      <c r="Z1359" s="32"/>
    </row>
    <row r="1360">
      <c r="A1360" s="32" t="str">
        <f>IFERROR(__xludf.DUMMYFUNCTION("""COMPUTED_VALUE"""),"Chaos Bullet")</f>
        <v>Chaos Bullet</v>
      </c>
      <c r="B1360" s="32" t="str">
        <f>IFERROR(__xludf.DUMMYFUNCTION("""COMPUTED_VALUE"""),"Firearm Ammunition. +100 chaos damage. roll a d20 to see how many you get if this is a loot drop. (Item)")</f>
        <v>Firearm Ammunition. +100 chaos damage. roll a d20 to see how many you get if this is a loot drop. (Item)</v>
      </c>
      <c r="C1360" s="32"/>
      <c r="D1360" s="32"/>
      <c r="E1360" s="32"/>
      <c r="F1360" s="32"/>
      <c r="G1360" s="32"/>
      <c r="H1360" s="32"/>
      <c r="I1360" s="32"/>
      <c r="J1360" s="32"/>
      <c r="K1360" s="32"/>
      <c r="L1360" s="32"/>
      <c r="M1360" s="32"/>
      <c r="N1360" s="32"/>
      <c r="O1360" s="32"/>
      <c r="P1360" s="32"/>
      <c r="Q1360" s="32"/>
      <c r="R1360" s="32"/>
      <c r="S1360" s="32"/>
      <c r="T1360" s="32"/>
      <c r="U1360" s="32"/>
      <c r="V1360" s="32"/>
      <c r="W1360" s="32"/>
      <c r="X1360" s="32"/>
      <c r="Y1360" s="32"/>
      <c r="Z1360" s="32"/>
    </row>
    <row r="1361">
      <c r="A1361" s="32" t="str">
        <f>IFERROR(__xludf.DUMMYFUNCTION("""COMPUTED_VALUE"""),"Dark Bullet")</f>
        <v>Dark Bullet</v>
      </c>
      <c r="B1361" s="32" t="str">
        <f>IFERROR(__xludf.DUMMYFUNCTION("""COMPUTED_VALUE"""),"Firearm Ammunition. +100 dark damage. roll a d20 to see how many you get if this is a loot drop. (Item)")</f>
        <v>Firearm Ammunition. +100 dark damage. roll a d20 to see how many you get if this is a loot drop. (Item)</v>
      </c>
      <c r="C1361" s="32"/>
      <c r="D1361" s="32"/>
      <c r="E1361" s="32"/>
      <c r="F1361" s="32"/>
      <c r="G1361" s="32"/>
      <c r="H1361" s="32"/>
      <c r="I1361" s="32"/>
      <c r="J1361" s="32"/>
      <c r="K1361" s="32"/>
      <c r="L1361" s="32"/>
      <c r="M1361" s="32"/>
      <c r="N1361" s="32"/>
      <c r="O1361" s="32"/>
      <c r="P1361" s="32"/>
      <c r="Q1361" s="32"/>
      <c r="R1361" s="32"/>
      <c r="S1361" s="32"/>
      <c r="T1361" s="32"/>
      <c r="U1361" s="32"/>
      <c r="V1361" s="32"/>
      <c r="W1361" s="32"/>
      <c r="X1361" s="32"/>
      <c r="Y1361" s="32"/>
      <c r="Z1361" s="32"/>
    </row>
    <row r="1362">
      <c r="A1362" s="32" t="str">
        <f>IFERROR(__xludf.DUMMYFUNCTION("""COMPUTED_VALUE"""),"Earth Bullet")</f>
        <v>Earth Bullet</v>
      </c>
      <c r="B1362" s="32" t="str">
        <f>IFERROR(__xludf.DUMMYFUNCTION("""COMPUTED_VALUE"""),"Firearm Ammunition. +100 earth damage. roll a d20 to see how many you get if this is a loot drop. (Item)")</f>
        <v>Firearm Ammunition. +100 earth damage. roll a d20 to see how many you get if this is a loot drop. (Item)</v>
      </c>
      <c r="C1362" s="32"/>
      <c r="D1362" s="32"/>
      <c r="E1362" s="32"/>
      <c r="F1362" s="32"/>
      <c r="G1362" s="32"/>
      <c r="H1362" s="32"/>
      <c r="I1362" s="32"/>
      <c r="J1362" s="32"/>
      <c r="K1362" s="32"/>
      <c r="L1362" s="32"/>
      <c r="M1362" s="32"/>
      <c r="N1362" s="32"/>
      <c r="O1362" s="32"/>
      <c r="P1362" s="32"/>
      <c r="Q1362" s="32"/>
      <c r="R1362" s="32"/>
      <c r="S1362" s="32"/>
      <c r="T1362" s="32"/>
      <c r="U1362" s="32"/>
      <c r="V1362" s="32"/>
      <c r="W1362" s="32"/>
      <c r="X1362" s="32"/>
      <c r="Y1362" s="32"/>
      <c r="Z1362" s="32"/>
    </row>
    <row r="1363">
      <c r="A1363" s="32" t="str">
        <f>IFERROR(__xludf.DUMMYFUNCTION("""COMPUTED_VALUE"""),"Fire Bullet")</f>
        <v>Fire Bullet</v>
      </c>
      <c r="B1363" s="32" t="str">
        <f>IFERROR(__xludf.DUMMYFUNCTION("""COMPUTED_VALUE"""),"Firearm Ammunition. +100 fire damage. roll a d20 to see how many you get if this is a loot drop. (Item)")</f>
        <v>Firearm Ammunition. +100 fire damage. roll a d20 to see how many you get if this is a loot drop. (Item)</v>
      </c>
      <c r="C1363" s="32"/>
      <c r="D1363" s="32"/>
      <c r="E1363" s="32"/>
      <c r="F1363" s="32"/>
      <c r="G1363" s="32"/>
      <c r="H1363" s="32"/>
      <c r="I1363" s="32"/>
      <c r="J1363" s="32"/>
      <c r="K1363" s="32"/>
      <c r="L1363" s="32"/>
      <c r="M1363" s="32"/>
      <c r="N1363" s="32"/>
      <c r="O1363" s="32"/>
      <c r="P1363" s="32"/>
      <c r="Q1363" s="32"/>
      <c r="R1363" s="32"/>
      <c r="S1363" s="32"/>
      <c r="T1363" s="32"/>
      <c r="U1363" s="32"/>
      <c r="V1363" s="32"/>
      <c r="W1363" s="32"/>
      <c r="X1363" s="32"/>
      <c r="Y1363" s="32"/>
      <c r="Z1363" s="32"/>
    </row>
    <row r="1364">
      <c r="A1364" s="32" t="str">
        <f>IFERROR(__xludf.DUMMYFUNCTION("""COMPUTED_VALUE"""),"Light Bullet")</f>
        <v>Light Bullet</v>
      </c>
      <c r="B1364" s="32" t="str">
        <f>IFERROR(__xludf.DUMMYFUNCTION("""COMPUTED_VALUE"""),"Firearm Ammunition. +100 light damage. roll a d20 to see how many you get if this is a loot drop. (Item)")</f>
        <v>Firearm Ammunition. +100 light damage. roll a d20 to see how many you get if this is a loot drop. (Item)</v>
      </c>
      <c r="C1364" s="32"/>
      <c r="D1364" s="32"/>
      <c r="E1364" s="32"/>
      <c r="F1364" s="32"/>
      <c r="G1364" s="32"/>
      <c r="H1364" s="32"/>
      <c r="I1364" s="32"/>
      <c r="J1364" s="32"/>
      <c r="K1364" s="32"/>
      <c r="L1364" s="32"/>
      <c r="M1364" s="32"/>
      <c r="N1364" s="32"/>
      <c r="O1364" s="32"/>
      <c r="P1364" s="32"/>
      <c r="Q1364" s="32"/>
      <c r="R1364" s="32"/>
      <c r="S1364" s="32"/>
      <c r="T1364" s="32"/>
      <c r="U1364" s="32"/>
      <c r="V1364" s="32"/>
      <c r="W1364" s="32"/>
      <c r="X1364" s="32"/>
      <c r="Y1364" s="32"/>
      <c r="Z1364" s="32"/>
    </row>
    <row r="1365">
      <c r="A1365" s="32" t="str">
        <f>IFERROR(__xludf.DUMMYFUNCTION("""COMPUTED_VALUE"""),"Spectral Bullet")</f>
        <v>Spectral Bullet</v>
      </c>
      <c r="B1365" s="32" t="str">
        <f>IFERROR(__xludf.DUMMYFUNCTION("""COMPUTED_VALUE"""),"Firearm Ammunition. +100 spirit damage. roll a d20 to see how many you get if this is a loot drop. (Item)")</f>
        <v>Firearm Ammunition. +100 spirit damage. roll a d20 to see how many you get if this is a loot drop. (Item)</v>
      </c>
      <c r="C1365" s="32"/>
      <c r="D1365" s="32"/>
      <c r="E1365" s="32"/>
      <c r="F1365" s="32"/>
      <c r="G1365" s="32"/>
      <c r="H1365" s="32"/>
      <c r="I1365" s="32"/>
      <c r="J1365" s="32"/>
      <c r="K1365" s="32"/>
      <c r="L1365" s="32"/>
      <c r="M1365" s="32"/>
      <c r="N1365" s="32"/>
      <c r="O1365" s="32"/>
      <c r="P1365" s="32"/>
      <c r="Q1365" s="32"/>
      <c r="R1365" s="32"/>
      <c r="S1365" s="32"/>
      <c r="T1365" s="32"/>
      <c r="U1365" s="32"/>
      <c r="V1365" s="32"/>
      <c r="W1365" s="32"/>
      <c r="X1365" s="32"/>
      <c r="Y1365" s="32"/>
      <c r="Z1365" s="32"/>
    </row>
    <row r="1366">
      <c r="A1366" s="32" t="str">
        <f>IFERROR(__xludf.DUMMYFUNCTION("""COMPUTED_VALUE"""),"Stunning Bullet")</f>
        <v>Stunning Bullet</v>
      </c>
      <c r="B1366" s="32" t="str">
        <f>IFERROR(__xludf.DUMMYFUNCTION("""COMPUTED_VALUE"""),"Firearm Ammunition. +100 storm damage. +25% chance of Stun 3 to the enemy if using no more than 1 bullet. roll a d20 to see how many you get if this is a loot drop. (Item)")</f>
        <v>Firearm Ammunition. +100 storm damage. +25% chance of Stun 3 to the enemy if using no more than 1 bullet. roll a d20 to see how many you get if this is a loot drop. (Item)</v>
      </c>
      <c r="C1366" s="32"/>
      <c r="D1366" s="32"/>
      <c r="E1366" s="32"/>
      <c r="F1366" s="32"/>
      <c r="G1366" s="32"/>
      <c r="H1366" s="32"/>
      <c r="I1366" s="32"/>
      <c r="J1366" s="32"/>
      <c r="K1366" s="32"/>
      <c r="L1366" s="32"/>
      <c r="M1366" s="32"/>
      <c r="N1366" s="32"/>
      <c r="O1366" s="32"/>
      <c r="P1366" s="32"/>
      <c r="Q1366" s="32"/>
      <c r="R1366" s="32"/>
      <c r="S1366" s="32"/>
      <c r="T1366" s="32"/>
      <c r="U1366" s="32"/>
      <c r="V1366" s="32"/>
      <c r="W1366" s="32"/>
      <c r="X1366" s="32"/>
      <c r="Y1366" s="32"/>
      <c r="Z1366" s="32"/>
    </row>
    <row r="1367">
      <c r="A1367" s="32" t="str">
        <f>IFERROR(__xludf.DUMMYFUNCTION("""COMPUTED_VALUE"""),"Freezing Bullet")</f>
        <v>Freezing Bullet</v>
      </c>
      <c r="B1367" s="32" t="str">
        <f>IFERROR(__xludf.DUMMYFUNCTION("""COMPUTED_VALUE"""),"Firearm Ammunition. +100 fire damage. +25% chance of Freeze to the enemy if using no more than 1 bullet. roll a d20 to see how many you get if this is a loot drop. (Item)")</f>
        <v>Firearm Ammunition. +100 fire damage. +25% chance of Freeze to the enemy if using no more than 1 bullet. roll a d20 to see how many you get if this is a loot drop. (Item)</v>
      </c>
      <c r="C1367" s="32"/>
      <c r="D1367" s="32"/>
      <c r="E1367" s="32"/>
      <c r="F1367" s="32"/>
      <c r="G1367" s="32"/>
      <c r="H1367" s="32"/>
      <c r="I1367" s="32"/>
      <c r="J1367" s="32"/>
      <c r="K1367" s="32"/>
      <c r="L1367" s="32"/>
      <c r="M1367" s="32"/>
      <c r="N1367" s="32"/>
      <c r="O1367" s="32"/>
      <c r="P1367" s="32"/>
      <c r="Q1367" s="32"/>
      <c r="R1367" s="32"/>
      <c r="S1367" s="32"/>
      <c r="T1367" s="32"/>
      <c r="U1367" s="32"/>
      <c r="V1367" s="32"/>
      <c r="W1367" s="32"/>
      <c r="X1367" s="32"/>
      <c r="Y1367" s="32"/>
      <c r="Z1367" s="32"/>
    </row>
    <row r="1368">
      <c r="A1368" s="32" t="str">
        <f>IFERROR(__xludf.DUMMYFUNCTION("""COMPUTED_VALUE"""),"Healing Bullet")</f>
        <v>Healing Bullet</v>
      </c>
      <c r="B1368" s="32" t="str">
        <f>IFERROR(__xludf.DUMMYFUNCTION("""COMPUTED_VALUE"""),"Firearm Ammunition. +Restores 1000 HP and SP to the target if using no more than 1 bullet. roll a d20 to see how many you get if this is a loot drop. (Item)")</f>
        <v>Firearm Ammunition. +Restores 1000 HP and SP to the target if using no more than 1 bullet. roll a d20 to see how many you get if this is a loot drop. (Item)</v>
      </c>
      <c r="C1368" s="32"/>
      <c r="D1368" s="32"/>
      <c r="E1368" s="32"/>
      <c r="F1368" s="32"/>
      <c r="G1368" s="32"/>
      <c r="H1368" s="32"/>
      <c r="I1368" s="32"/>
      <c r="J1368" s="32"/>
      <c r="K1368" s="32"/>
      <c r="L1368" s="32"/>
      <c r="M1368" s="32"/>
      <c r="N1368" s="32"/>
      <c r="O1368" s="32"/>
      <c r="P1368" s="32"/>
      <c r="Q1368" s="32"/>
      <c r="R1368" s="32"/>
      <c r="S1368" s="32"/>
      <c r="T1368" s="32"/>
      <c r="U1368" s="32"/>
      <c r="V1368" s="32"/>
      <c r="W1368" s="32"/>
      <c r="X1368" s="32"/>
      <c r="Y1368" s="32"/>
      <c r="Z1368" s="32"/>
    </row>
    <row r="1369">
      <c r="A1369" s="32" t="str">
        <f>IFERROR(__xludf.DUMMYFUNCTION("""COMPUTED_VALUE"""),"Celestial Arrow")</f>
        <v>Celestial Arrow</v>
      </c>
      <c r="B1369" s="32" t="str">
        <f>IFERROR(__xludf.DUMMYFUNCTION("""COMPUTED_VALUE"""),"Bow Ammunition. +500 celestial damage. roll a d20 to see how many you get if this is a loot drop. (Item)")</f>
        <v>Bow Ammunition. +500 celestial damage. roll a d20 to see how many you get if this is a loot drop. (Item)</v>
      </c>
      <c r="C1369" s="32"/>
      <c r="D1369" s="32"/>
      <c r="E1369" s="32"/>
      <c r="F1369" s="32"/>
      <c r="G1369" s="32"/>
      <c r="H1369" s="32"/>
      <c r="I1369" s="32"/>
      <c r="J1369" s="32"/>
      <c r="K1369" s="32"/>
      <c r="L1369" s="32"/>
      <c r="M1369" s="32"/>
      <c r="N1369" s="32"/>
      <c r="O1369" s="32"/>
      <c r="P1369" s="32"/>
      <c r="Q1369" s="32"/>
      <c r="R1369" s="32"/>
      <c r="S1369" s="32"/>
      <c r="T1369" s="32"/>
      <c r="U1369" s="32"/>
      <c r="V1369" s="32"/>
      <c r="W1369" s="32"/>
      <c r="X1369" s="32"/>
      <c r="Y1369" s="32"/>
      <c r="Z1369" s="32"/>
    </row>
    <row r="1370">
      <c r="A1370" s="32" t="str">
        <f>IFERROR(__xludf.DUMMYFUNCTION("""COMPUTED_VALUE"""),"Chaos Arrow")</f>
        <v>Chaos Arrow</v>
      </c>
      <c r="B1370" s="32" t="str">
        <f>IFERROR(__xludf.DUMMYFUNCTION("""COMPUTED_VALUE"""),"Bow Ammunition. +500 chaos damage. roll a d20 to see how many you get if this is a loot drop. (Item)")</f>
        <v>Bow Ammunition. +500 chaos damage. roll a d20 to see how many you get if this is a loot drop. (Item)</v>
      </c>
      <c r="C1370" s="32"/>
      <c r="D1370" s="32"/>
      <c r="E1370" s="32"/>
      <c r="F1370" s="32"/>
      <c r="G1370" s="32"/>
      <c r="H1370" s="32"/>
      <c r="I1370" s="32"/>
      <c r="J1370" s="32"/>
      <c r="K1370" s="32"/>
      <c r="L1370" s="32"/>
      <c r="M1370" s="32"/>
      <c r="N1370" s="32"/>
      <c r="O1370" s="32"/>
      <c r="P1370" s="32"/>
      <c r="Q1370" s="32"/>
      <c r="R1370" s="32"/>
      <c r="S1370" s="32"/>
      <c r="T1370" s="32"/>
      <c r="U1370" s="32"/>
      <c r="V1370" s="32"/>
      <c r="W1370" s="32"/>
      <c r="X1370" s="32"/>
      <c r="Y1370" s="32"/>
      <c r="Z1370" s="32"/>
    </row>
    <row r="1371">
      <c r="A1371" s="32" t="str">
        <f>IFERROR(__xludf.DUMMYFUNCTION("""COMPUTED_VALUE"""),"Dark Arrow")</f>
        <v>Dark Arrow</v>
      </c>
      <c r="B1371" s="32" t="str">
        <f>IFERROR(__xludf.DUMMYFUNCTION("""COMPUTED_VALUE"""),"Bow Ammunition. +500 dark damage. roll a d20 to see how many you get if this is a loot drop. (Item)")</f>
        <v>Bow Ammunition. +500 dark damage. roll a d20 to see how many you get if this is a loot drop. (Item)</v>
      </c>
      <c r="C1371" s="32"/>
      <c r="D1371" s="32"/>
      <c r="E1371" s="32"/>
      <c r="F1371" s="32"/>
      <c r="G1371" s="32"/>
      <c r="H1371" s="32"/>
      <c r="I1371" s="32"/>
      <c r="J1371" s="32"/>
      <c r="K1371" s="32"/>
      <c r="L1371" s="32"/>
      <c r="M1371" s="32"/>
      <c r="N1371" s="32"/>
      <c r="O1371" s="32"/>
      <c r="P1371" s="32"/>
      <c r="Q1371" s="32"/>
      <c r="R1371" s="32"/>
      <c r="S1371" s="32"/>
      <c r="T1371" s="32"/>
      <c r="U1371" s="32"/>
      <c r="V1371" s="32"/>
      <c r="W1371" s="32"/>
      <c r="X1371" s="32"/>
      <c r="Y1371" s="32"/>
      <c r="Z1371" s="32"/>
    </row>
    <row r="1372">
      <c r="A1372" s="32" t="str">
        <f>IFERROR(__xludf.DUMMYFUNCTION("""COMPUTED_VALUE"""),"Earth Arrow")</f>
        <v>Earth Arrow</v>
      </c>
      <c r="B1372" s="32" t="str">
        <f>IFERROR(__xludf.DUMMYFUNCTION("""COMPUTED_VALUE"""),"Bow Ammunition. +500 earth damage. roll a d20 to see how many you get if this is a loot drop. (Item)")</f>
        <v>Bow Ammunition. +500 earth damage. roll a d20 to see how many you get if this is a loot drop. (Item)</v>
      </c>
      <c r="C1372" s="32"/>
      <c r="D1372" s="32"/>
      <c r="E1372" s="32"/>
      <c r="F1372" s="32"/>
      <c r="G1372" s="32"/>
      <c r="H1372" s="32"/>
      <c r="I1372" s="32"/>
      <c r="J1372" s="32"/>
      <c r="K1372" s="32"/>
      <c r="L1372" s="32"/>
      <c r="M1372" s="32"/>
      <c r="N1372" s="32"/>
      <c r="O1372" s="32"/>
      <c r="P1372" s="32"/>
      <c r="Q1372" s="32"/>
      <c r="R1372" s="32"/>
      <c r="S1372" s="32"/>
      <c r="T1372" s="32"/>
      <c r="U1372" s="32"/>
      <c r="V1372" s="32"/>
      <c r="W1372" s="32"/>
      <c r="X1372" s="32"/>
      <c r="Y1372" s="32"/>
      <c r="Z1372" s="32"/>
    </row>
    <row r="1373">
      <c r="A1373" s="32" t="str">
        <f>IFERROR(__xludf.DUMMYFUNCTION("""COMPUTED_VALUE"""),"Fire Arrow")</f>
        <v>Fire Arrow</v>
      </c>
      <c r="B1373" s="32" t="str">
        <f>IFERROR(__xludf.DUMMYFUNCTION("""COMPUTED_VALUE"""),"Bow Ammunition. +500 fire damage. roll a d20 to see how many you get if this is a loot drop. (Item)")</f>
        <v>Bow Ammunition. +500 fire damage. roll a d20 to see how many you get if this is a loot drop. (Item)</v>
      </c>
      <c r="C1373" s="32"/>
      <c r="D1373" s="32"/>
      <c r="E1373" s="32"/>
      <c r="F1373" s="32"/>
      <c r="G1373" s="32"/>
      <c r="H1373" s="32"/>
      <c r="I1373" s="32"/>
      <c r="J1373" s="32"/>
      <c r="K1373" s="32"/>
      <c r="L1373" s="32"/>
      <c r="M1373" s="32"/>
      <c r="N1373" s="32"/>
      <c r="O1373" s="32"/>
      <c r="P1373" s="32"/>
      <c r="Q1373" s="32"/>
      <c r="R1373" s="32"/>
      <c r="S1373" s="32"/>
      <c r="T1373" s="32"/>
      <c r="U1373" s="32"/>
      <c r="V1373" s="32"/>
      <c r="W1373" s="32"/>
      <c r="X1373" s="32"/>
      <c r="Y1373" s="32"/>
      <c r="Z1373" s="32"/>
    </row>
    <row r="1374">
      <c r="A1374" s="32" t="str">
        <f>IFERROR(__xludf.DUMMYFUNCTION("""COMPUTED_VALUE"""),"Light Arrow")</f>
        <v>Light Arrow</v>
      </c>
      <c r="B1374" s="32" t="str">
        <f>IFERROR(__xludf.DUMMYFUNCTION("""COMPUTED_VALUE"""),"Bow Ammunition. +500 light damage. roll a d20 to see how many you get if this is a loot drop. (Item)")</f>
        <v>Bow Ammunition. +500 light damage. roll a d20 to see how many you get if this is a loot drop. (Item)</v>
      </c>
      <c r="C1374" s="32"/>
      <c r="D1374" s="32"/>
      <c r="E1374" s="32"/>
      <c r="F1374" s="32"/>
      <c r="G1374" s="32"/>
      <c r="H1374" s="32"/>
      <c r="I1374" s="32"/>
      <c r="J1374" s="32"/>
      <c r="K1374" s="32"/>
      <c r="L1374" s="32"/>
      <c r="M1374" s="32"/>
      <c r="N1374" s="32"/>
      <c r="O1374" s="32"/>
      <c r="P1374" s="32"/>
      <c r="Q1374" s="32"/>
      <c r="R1374" s="32"/>
      <c r="S1374" s="32"/>
      <c r="T1374" s="32"/>
      <c r="U1374" s="32"/>
      <c r="V1374" s="32"/>
      <c r="W1374" s="32"/>
      <c r="X1374" s="32"/>
      <c r="Y1374" s="32"/>
      <c r="Z1374" s="32"/>
    </row>
    <row r="1375">
      <c r="A1375" s="32" t="str">
        <f>IFERROR(__xludf.DUMMYFUNCTION("""COMPUTED_VALUE"""),"Spectral Arrow")</f>
        <v>Spectral Arrow</v>
      </c>
      <c r="B1375" s="32" t="str">
        <f>IFERROR(__xludf.DUMMYFUNCTION("""COMPUTED_VALUE"""),"Bow Ammunition. +500 spirit damage. roll a d20 to see how many you get if this is a loot drop. (Item)")</f>
        <v>Bow Ammunition. +500 spirit damage. roll a d20 to see how many you get if this is a loot drop. (Item)</v>
      </c>
      <c r="C1375" s="32"/>
      <c r="D1375" s="32"/>
      <c r="E1375" s="32"/>
      <c r="F1375" s="32"/>
      <c r="G1375" s="32"/>
      <c r="H1375" s="32"/>
      <c r="I1375" s="32"/>
      <c r="J1375" s="32"/>
      <c r="K1375" s="32"/>
      <c r="L1375" s="32"/>
      <c r="M1375" s="32"/>
      <c r="N1375" s="32"/>
      <c r="O1375" s="32"/>
      <c r="P1375" s="32"/>
      <c r="Q1375" s="32"/>
      <c r="R1375" s="32"/>
      <c r="S1375" s="32"/>
      <c r="T1375" s="32"/>
      <c r="U1375" s="32"/>
      <c r="V1375" s="32"/>
      <c r="W1375" s="32"/>
      <c r="X1375" s="32"/>
      <c r="Y1375" s="32"/>
      <c r="Z1375" s="32"/>
    </row>
    <row r="1376">
      <c r="A1376" s="32" t="str">
        <f>IFERROR(__xludf.DUMMYFUNCTION("""COMPUTED_VALUE"""),"Stunning Arrow")</f>
        <v>Stunning Arrow</v>
      </c>
      <c r="B1376" s="32" t="str">
        <f>IFERROR(__xludf.DUMMYFUNCTION("""COMPUTED_VALUE"""),"Bow Ammunition. +500 storm damage. +25% chance of Stun 3. roll a d20 to see how many you get if this is a loot drop. (Item)")</f>
        <v>Bow Ammunition. +500 storm damage. +25% chance of Stun 3. roll a d20 to see how many you get if this is a loot drop. (Item)</v>
      </c>
      <c r="C1376" s="32"/>
      <c r="D1376" s="32"/>
      <c r="E1376" s="32"/>
      <c r="F1376" s="32"/>
      <c r="G1376" s="32"/>
      <c r="H1376" s="32"/>
      <c r="I1376" s="32"/>
      <c r="J1376" s="32"/>
      <c r="K1376" s="32"/>
      <c r="L1376" s="32"/>
      <c r="M1376" s="32"/>
      <c r="N1376" s="32"/>
      <c r="O1376" s="32"/>
      <c r="P1376" s="32"/>
      <c r="Q1376" s="32"/>
      <c r="R1376" s="32"/>
      <c r="S1376" s="32"/>
      <c r="T1376" s="32"/>
      <c r="U1376" s="32"/>
      <c r="V1376" s="32"/>
      <c r="W1376" s="32"/>
      <c r="X1376" s="32"/>
      <c r="Y1376" s="32"/>
      <c r="Z1376" s="32"/>
    </row>
    <row r="1377">
      <c r="A1377" s="32" t="str">
        <f>IFERROR(__xludf.DUMMYFUNCTION("""COMPUTED_VALUE"""),"Freezing Arrow")</f>
        <v>Freezing Arrow</v>
      </c>
      <c r="B1377" s="32" t="str">
        <f>IFERROR(__xludf.DUMMYFUNCTION("""COMPUTED_VALUE"""),"Bow Ammunition. +500 water damage. +25% chance of Freeze to the enemy. roll a d20 to see how many you get if this is a loot drop. (Item)")</f>
        <v>Bow Ammunition. +500 water damage. +25% chance of Freeze to the enemy. roll a d20 to see how many you get if this is a loot drop. (Item)</v>
      </c>
      <c r="C1377" s="32"/>
      <c r="D1377" s="32"/>
      <c r="E1377" s="32"/>
      <c r="F1377" s="32"/>
      <c r="G1377" s="32"/>
      <c r="H1377" s="32"/>
      <c r="I1377" s="32"/>
      <c r="J1377" s="32"/>
      <c r="K1377" s="32"/>
      <c r="L1377" s="32"/>
      <c r="M1377" s="32"/>
      <c r="N1377" s="32"/>
      <c r="O1377" s="32"/>
      <c r="P1377" s="32"/>
      <c r="Q1377" s="32"/>
      <c r="R1377" s="32"/>
      <c r="S1377" s="32"/>
      <c r="T1377" s="32"/>
      <c r="U1377" s="32"/>
      <c r="V1377" s="32"/>
      <c r="W1377" s="32"/>
      <c r="X1377" s="32"/>
      <c r="Y1377" s="32"/>
      <c r="Z1377" s="32"/>
    </row>
    <row r="1378">
      <c r="A1378" s="32" t="str">
        <f>IFERROR(__xludf.DUMMYFUNCTION("""COMPUTED_VALUE"""),"Healing Arrow")</f>
        <v>Healing Arrow</v>
      </c>
      <c r="B1378" s="32" t="str">
        <f>IFERROR(__xludf.DUMMYFUNCTION("""COMPUTED_VALUE"""),"Bow Ammunition. +Restores 1000 HP and SP to the target. roll a d20 to see how many you get if this is a loot drop. (Item)")</f>
        <v>Bow Ammunition. +Restores 1000 HP and SP to the target. roll a d20 to see how many you get if this is a loot drop. (Item)</v>
      </c>
      <c r="C1378" s="32"/>
      <c r="D1378" s="32"/>
      <c r="E1378" s="32"/>
      <c r="F1378" s="32"/>
      <c r="G1378" s="32"/>
      <c r="H1378" s="32"/>
      <c r="I1378" s="32"/>
      <c r="J1378" s="32"/>
      <c r="K1378" s="32"/>
      <c r="L1378" s="32"/>
      <c r="M1378" s="32"/>
      <c r="N1378" s="32"/>
      <c r="O1378" s="32"/>
      <c r="P1378" s="32"/>
      <c r="Q1378" s="32"/>
      <c r="R1378" s="32"/>
      <c r="S1378" s="32"/>
      <c r="T1378" s="32"/>
      <c r="U1378" s="32"/>
      <c r="V1378" s="32"/>
      <c r="W1378" s="32"/>
      <c r="X1378" s="32"/>
      <c r="Y1378" s="32"/>
      <c r="Z1378" s="32"/>
    </row>
    <row r="1379">
      <c r="A1379" s="32" t="str">
        <f>IFERROR(__xludf.DUMMYFUNCTION("""COMPUTED_VALUE"""),"Celestial Bullet")</f>
        <v>Celestial Bullet</v>
      </c>
      <c r="B1379" s="32" t="str">
        <f>IFERROR(__xludf.DUMMYFUNCTION("""COMPUTED_VALUE"""),"Firearm Ammunition. +100 celestial damage. roll a d20 to see how many you get if this is a loot drop. (Item)")</f>
        <v>Firearm Ammunition. +100 celestial damage. roll a d20 to see how many you get if this is a loot drop. (Item)</v>
      </c>
      <c r="C1379" s="32"/>
      <c r="D1379" s="32"/>
      <c r="E1379" s="32"/>
      <c r="F1379" s="32"/>
      <c r="G1379" s="32"/>
      <c r="H1379" s="32"/>
      <c r="I1379" s="32"/>
      <c r="J1379" s="32"/>
      <c r="K1379" s="32"/>
      <c r="L1379" s="32"/>
      <c r="M1379" s="32"/>
      <c r="N1379" s="32"/>
      <c r="O1379" s="32"/>
      <c r="P1379" s="32"/>
      <c r="Q1379" s="32"/>
      <c r="R1379" s="32"/>
      <c r="S1379" s="32"/>
      <c r="T1379" s="32"/>
      <c r="U1379" s="32"/>
      <c r="V1379" s="32"/>
      <c r="W1379" s="32"/>
      <c r="X1379" s="32"/>
      <c r="Y1379" s="32"/>
      <c r="Z1379" s="32"/>
    </row>
    <row r="1380">
      <c r="A1380" s="32" t="str">
        <f>IFERROR(__xludf.DUMMYFUNCTION("""COMPUTED_VALUE"""),"Fire Cannon Ball")</f>
        <v>Fire Cannon Ball</v>
      </c>
      <c r="B1380" s="32" t="str">
        <f>IFERROR(__xludf.DUMMYFUNCTION("""COMPUTED_VALUE"""),"Fireball Cannon Ammunition, +5000 fire damage. roll a d20 to see how many you get if this is a loot drop. (Item)")</f>
        <v>Fireball Cannon Ammunition, +5000 fire damage. roll a d20 to see how many you get if this is a loot drop. (Item)</v>
      </c>
      <c r="C1380" s="32"/>
      <c r="D1380" s="32"/>
      <c r="E1380" s="32"/>
      <c r="F1380" s="32"/>
      <c r="G1380" s="32"/>
      <c r="H1380" s="32"/>
      <c r="I1380" s="32"/>
      <c r="J1380" s="32"/>
      <c r="K1380" s="32"/>
      <c r="L1380" s="32"/>
      <c r="M1380" s="32"/>
      <c r="N1380" s="32"/>
      <c r="O1380" s="32"/>
      <c r="P1380" s="32"/>
      <c r="Q1380" s="32"/>
      <c r="R1380" s="32"/>
      <c r="S1380" s="32"/>
      <c r="T1380" s="32"/>
      <c r="U1380" s="32"/>
      <c r="V1380" s="32"/>
      <c r="W1380" s="32"/>
      <c r="X1380" s="32"/>
      <c r="Y1380" s="32"/>
      <c r="Z1380" s="32"/>
    </row>
    <row r="1381">
      <c r="A1381" s="32" t="str">
        <f>IFERROR(__xludf.DUMMYFUNCTION("""COMPUTED_VALUE"""),"Torpedo")</f>
        <v>Torpedo</v>
      </c>
      <c r="B1381" s="32" t="str">
        <f>IFERROR(__xludf.DUMMYFUNCTION("""COMPUTED_VALUE"""),"Torpedo Launcher Ammunition. +10,000 damage. roll a d20 to see how many you get if this is a loot drop. (Item)")</f>
        <v>Torpedo Launcher Ammunition. +10,000 damage. roll a d20 to see how many you get if this is a loot drop. (Item)</v>
      </c>
      <c r="C1381" s="32"/>
      <c r="D1381" s="32"/>
      <c r="E1381" s="32"/>
      <c r="F1381" s="32"/>
      <c r="G1381" s="32"/>
      <c r="H1381" s="32"/>
      <c r="I1381" s="32"/>
      <c r="J1381" s="32"/>
      <c r="K1381" s="32"/>
      <c r="L1381" s="32"/>
      <c r="M1381" s="32"/>
      <c r="N1381" s="32"/>
      <c r="O1381" s="32"/>
      <c r="P1381" s="32"/>
      <c r="Q1381" s="32"/>
      <c r="R1381" s="32"/>
      <c r="S1381" s="32"/>
      <c r="T1381" s="32"/>
      <c r="U1381" s="32"/>
      <c r="V1381" s="32"/>
      <c r="W1381" s="32"/>
      <c r="X1381" s="32"/>
      <c r="Y1381" s="32"/>
      <c r="Z1381" s="32"/>
    </row>
    <row r="1382">
      <c r="A1382" s="32" t="str">
        <f>IFERROR(__xludf.DUMMYFUNCTION("""COMPUTED_VALUE"""),"Fragmentation Grenade")</f>
        <v>Fragmentation Grenade</v>
      </c>
      <c r="B1382" s="32" t="str">
        <f>IFERROR(__xludf.DUMMYFUNCTION("""COMPUTED_VALUE"""),"Deals 10000 damage to all enemies. (Grenade)")</f>
        <v>Deals 10000 damage to all enemies. (Grenade)</v>
      </c>
      <c r="C1382" s="32"/>
      <c r="D1382" s="32"/>
      <c r="E1382" s="32"/>
      <c r="F1382" s="32"/>
      <c r="G1382" s="32"/>
      <c r="H1382" s="32"/>
      <c r="I1382" s="32"/>
      <c r="J1382" s="32"/>
      <c r="K1382" s="32"/>
      <c r="L1382" s="32"/>
      <c r="M1382" s="32"/>
      <c r="N1382" s="32"/>
      <c r="O1382" s="32"/>
      <c r="P1382" s="32"/>
      <c r="Q1382" s="32"/>
      <c r="R1382" s="32"/>
      <c r="S1382" s="32"/>
      <c r="T1382" s="32"/>
      <c r="U1382" s="32"/>
      <c r="V1382" s="32"/>
      <c r="W1382" s="32"/>
      <c r="X1382" s="32"/>
      <c r="Y1382" s="32"/>
      <c r="Z1382" s="32"/>
    </row>
    <row r="1383">
      <c r="A1383" s="32" t="str">
        <f>IFERROR(__xludf.DUMMYFUNCTION("""COMPUTED_VALUE"""),"Flashbang")</f>
        <v>Flashbang</v>
      </c>
      <c r="B1383" s="32" t="str">
        <f>IFERROR(__xludf.DUMMYFUNCTION("""COMPUTED_VALUE"""),"Deals 5000 Light damage and has a 15% chance to inflict Blindness 2 to all enemies. (Grenade)")</f>
        <v>Deals 5000 Light damage and has a 15% chance to inflict Blindness 2 to all enemies. (Grenade)</v>
      </c>
      <c r="C1383" s="32"/>
      <c r="D1383" s="32"/>
      <c r="E1383" s="32"/>
      <c r="F1383" s="32"/>
      <c r="G1383" s="32"/>
      <c r="H1383" s="32"/>
      <c r="I1383" s="32"/>
      <c r="J1383" s="32"/>
      <c r="K1383" s="32"/>
      <c r="L1383" s="32"/>
      <c r="M1383" s="32"/>
      <c r="N1383" s="32"/>
      <c r="O1383" s="32"/>
      <c r="P1383" s="32"/>
      <c r="Q1383" s="32"/>
      <c r="R1383" s="32"/>
      <c r="S1383" s="32"/>
      <c r="T1383" s="32"/>
      <c r="U1383" s="32"/>
      <c r="V1383" s="32"/>
      <c r="W1383" s="32"/>
      <c r="X1383" s="32"/>
      <c r="Y1383" s="32"/>
      <c r="Z1383" s="32"/>
    </row>
    <row r="1384">
      <c r="A1384" s="32" t="str">
        <f>IFERROR(__xludf.DUMMYFUNCTION("""COMPUTED_VALUE"""),"Earth Golem Core")</f>
        <v>Earth Golem Core</v>
      </c>
      <c r="B1384" s="32" t="str">
        <f>IFERROR(__xludf.DUMMYFUNCTION("""COMPUTED_VALUE"""),"Summons an Earth Golem to battle (Can only be used once) (Item)")</f>
        <v>Summons an Earth Golem to battle (Can only be used once) (Item)</v>
      </c>
      <c r="C1384" s="32"/>
      <c r="D1384" s="32"/>
      <c r="E1384" s="32"/>
      <c r="F1384" s="32"/>
      <c r="G1384" s="32"/>
      <c r="H1384" s="32"/>
      <c r="I1384" s="32"/>
      <c r="J1384" s="32"/>
      <c r="K1384" s="32"/>
      <c r="L1384" s="32"/>
      <c r="M1384" s="32"/>
      <c r="N1384" s="32"/>
      <c r="O1384" s="32"/>
      <c r="P1384" s="32"/>
      <c r="Q1384" s="32"/>
      <c r="R1384" s="32"/>
      <c r="S1384" s="32"/>
      <c r="T1384" s="32"/>
      <c r="U1384" s="32"/>
      <c r="V1384" s="32"/>
      <c r="W1384" s="32"/>
      <c r="X1384" s="32"/>
      <c r="Y1384" s="32"/>
      <c r="Z1384" s="32"/>
    </row>
    <row r="1385">
      <c r="A1385" s="32" t="str">
        <f>IFERROR(__xludf.DUMMYFUNCTION("""COMPUTED_VALUE"""),"Nailbomb")</f>
        <v>Nailbomb</v>
      </c>
      <c r="B1385" s="32" t="str">
        <f>IFERROR(__xludf.DUMMYFUNCTION("""COMPUTED_VALUE"""),"Deals 5000 bleed damage and has a 25% chance of inflicting bleed 2500 for 3 rounds to all enemies. (Grenade)")</f>
        <v>Deals 5000 bleed damage and has a 25% chance of inflicting bleed 2500 for 3 rounds to all enemies. (Grenade)</v>
      </c>
      <c r="C1385" s="32"/>
      <c r="D1385" s="32"/>
      <c r="E1385" s="32"/>
      <c r="F1385" s="32"/>
      <c r="G1385" s="32"/>
      <c r="H1385" s="32"/>
      <c r="I1385" s="32"/>
      <c r="J1385" s="32"/>
      <c r="K1385" s="32"/>
      <c r="L1385" s="32"/>
      <c r="M1385" s="32"/>
      <c r="N1385" s="32"/>
      <c r="O1385" s="32"/>
      <c r="P1385" s="32"/>
      <c r="Q1385" s="32"/>
      <c r="R1385" s="32"/>
      <c r="S1385" s="32"/>
      <c r="T1385" s="32"/>
      <c r="U1385" s="32"/>
      <c r="V1385" s="32"/>
      <c r="W1385" s="32"/>
      <c r="X1385" s="32"/>
      <c r="Y1385" s="32"/>
      <c r="Z1385" s="32"/>
    </row>
    <row r="1386">
      <c r="A1386" s="32" t="str">
        <f>IFERROR(__xludf.DUMMYFUNCTION("""COMPUTED_VALUE"""),"Molotov")</f>
        <v>Molotov</v>
      </c>
      <c r="B1386" s="32" t="str">
        <f>IFERROR(__xludf.DUMMYFUNCTION("""COMPUTED_VALUE"""),"Deals 5000 fire damage and has a 25% chance of inflicting burn 2500 for 3 rounds to all enemies. (Grenade)")</f>
        <v>Deals 5000 fire damage and has a 25% chance of inflicting burn 2500 for 3 rounds to all enemies. (Grenade)</v>
      </c>
      <c r="C1386" s="32"/>
      <c r="D1386" s="32"/>
      <c r="E1386" s="32"/>
      <c r="F1386" s="32"/>
      <c r="G1386" s="32"/>
      <c r="H1386" s="32"/>
      <c r="I1386" s="32"/>
      <c r="J1386" s="32"/>
      <c r="K1386" s="32"/>
      <c r="L1386" s="32"/>
      <c r="M1386" s="32"/>
      <c r="N1386" s="32"/>
      <c r="O1386" s="32"/>
      <c r="P1386" s="32"/>
      <c r="Q1386" s="32"/>
      <c r="R1386" s="32"/>
      <c r="S1386" s="32"/>
      <c r="T1386" s="32"/>
      <c r="U1386" s="32"/>
      <c r="V1386" s="32"/>
      <c r="W1386" s="32"/>
      <c r="X1386" s="32"/>
      <c r="Y1386" s="32"/>
      <c r="Z1386" s="32"/>
    </row>
    <row r="1387">
      <c r="A1387" s="32" t="str">
        <f>IFERROR(__xludf.DUMMYFUNCTION("""COMPUTED_VALUE"""),"Smoke Bomb")</f>
        <v>Smoke Bomb</v>
      </c>
      <c r="B1387" s="32" t="str">
        <f>IFERROR(__xludf.DUMMYFUNCTION("""COMPUTED_VALUE"""),"Conceals you and gives you +5 mobility when fleeing. (Grenade)")</f>
        <v>Conceals you and gives you +5 mobility when fleeing. (Grenade)</v>
      </c>
      <c r="C1387" s="32"/>
      <c r="D1387" s="32"/>
      <c r="E1387" s="32"/>
      <c r="F1387" s="32"/>
      <c r="G1387" s="32"/>
      <c r="H1387" s="32"/>
      <c r="I1387" s="32"/>
      <c r="J1387" s="32"/>
      <c r="K1387" s="32"/>
      <c r="L1387" s="32"/>
      <c r="M1387" s="32"/>
      <c r="N1387" s="32"/>
      <c r="O1387" s="32"/>
      <c r="P1387" s="32"/>
      <c r="Q1387" s="32"/>
      <c r="R1387" s="32"/>
      <c r="S1387" s="32"/>
      <c r="T1387" s="32"/>
      <c r="U1387" s="32"/>
      <c r="V1387" s="32"/>
      <c r="W1387" s="32"/>
      <c r="X1387" s="32"/>
      <c r="Y1387" s="32"/>
      <c r="Z1387" s="32"/>
    </row>
    <row r="1388">
      <c r="A1388" s="32" t="str">
        <f>IFERROR(__xludf.DUMMYFUNCTION("""COMPUTED_VALUE"""),"Gas Grenade")</f>
        <v>Gas Grenade</v>
      </c>
      <c r="B1388" s="32" t="str">
        <f>IFERROR(__xludf.DUMMYFUNCTION("""COMPUTED_VALUE"""),"Inflicts poison 5000 for 3 rounds to all enemies. (Grenade)")</f>
        <v>Inflicts poison 5000 for 3 rounds to all enemies. (Grenade)</v>
      </c>
      <c r="C1388" s="32"/>
      <c r="D1388" s="32"/>
      <c r="E1388" s="32"/>
      <c r="F1388" s="32"/>
      <c r="G1388" s="32"/>
      <c r="H1388" s="32"/>
      <c r="I1388" s="32"/>
      <c r="J1388" s="32"/>
      <c r="K1388" s="32"/>
      <c r="L1388" s="32"/>
      <c r="M1388" s="32"/>
      <c r="N1388" s="32"/>
      <c r="O1388" s="32"/>
      <c r="P1388" s="32"/>
      <c r="Q1388" s="32"/>
      <c r="R1388" s="32"/>
      <c r="S1388" s="32"/>
      <c r="T1388" s="32"/>
      <c r="U1388" s="32"/>
      <c r="V1388" s="32"/>
      <c r="W1388" s="32"/>
      <c r="X1388" s="32"/>
      <c r="Y1388" s="32"/>
      <c r="Z1388" s="32"/>
    </row>
    <row r="1389">
      <c r="A1389" s="32" t="str">
        <f>IFERROR(__xludf.DUMMYFUNCTION("""COMPUTED_VALUE"""),"Booze Bomb")</f>
        <v>Booze Bomb</v>
      </c>
      <c r="B1389" s="32" t="str">
        <f>IFERROR(__xludf.DUMMYFUNCTION("""COMPUTED_VALUE"""),"75% to inflict disoriented 5 to all enemies. (Grenade)")</f>
        <v>75% to inflict disoriented 5 to all enemies. (Grenade)</v>
      </c>
      <c r="C1389" s="32"/>
      <c r="D1389" s="32"/>
      <c r="E1389" s="32"/>
      <c r="F1389" s="32"/>
      <c r="G1389" s="32"/>
      <c r="H1389" s="32"/>
      <c r="I1389" s="32"/>
      <c r="J1389" s="32"/>
      <c r="K1389" s="32"/>
      <c r="L1389" s="32"/>
      <c r="M1389" s="32"/>
      <c r="N1389" s="32"/>
      <c r="O1389" s="32"/>
      <c r="P1389" s="32"/>
      <c r="Q1389" s="32"/>
      <c r="R1389" s="32"/>
      <c r="S1389" s="32"/>
      <c r="T1389" s="32"/>
      <c r="U1389" s="32"/>
      <c r="V1389" s="32"/>
      <c r="W1389" s="32"/>
      <c r="X1389" s="32"/>
      <c r="Y1389" s="32"/>
      <c r="Z1389" s="32"/>
    </row>
    <row r="1390">
      <c r="A1390" s="32" t="str">
        <f>IFERROR(__xludf.DUMMYFUNCTION("""COMPUTED_VALUE"""),"Ice bomb")</f>
        <v>Ice bomb</v>
      </c>
      <c r="B1390" s="32" t="str">
        <f>IFERROR(__xludf.DUMMYFUNCTION("""COMPUTED_VALUE"""),"50% chance to freeze targets to all enemies. (Grenade)")</f>
        <v>50% chance to freeze targets to all enemies. (Grenade)</v>
      </c>
      <c r="C1390" s="32"/>
      <c r="D1390" s="32"/>
      <c r="E1390" s="32"/>
      <c r="F1390" s="32"/>
      <c r="G1390" s="32"/>
      <c r="H1390" s="32"/>
      <c r="I1390" s="32"/>
      <c r="J1390" s="32"/>
      <c r="K1390" s="32"/>
      <c r="L1390" s="32"/>
      <c r="M1390" s="32"/>
      <c r="N1390" s="32"/>
      <c r="O1390" s="32"/>
      <c r="P1390" s="32"/>
      <c r="Q1390" s="32"/>
      <c r="R1390" s="32"/>
      <c r="S1390" s="32"/>
      <c r="T1390" s="32"/>
      <c r="U1390" s="32"/>
      <c r="V1390" s="32"/>
      <c r="W1390" s="32"/>
      <c r="X1390" s="32"/>
      <c r="Y1390" s="32"/>
      <c r="Z1390" s="32"/>
    </row>
    <row r="1391">
      <c r="A1391" s="32" t="str">
        <f>IFERROR(__xludf.DUMMYFUNCTION("""COMPUTED_VALUE"""),"Holy Water")</f>
        <v>Holy Water</v>
      </c>
      <c r="B1391" s="32" t="str">
        <f>IFERROR(__xludf.DUMMYFUNCTION("""COMPUTED_VALUE"""),"Deals 10000 Light Damage (Grenade)")</f>
        <v>Deals 10000 Light Damage (Grenade)</v>
      </c>
      <c r="C1391" s="32"/>
      <c r="D1391" s="32"/>
      <c r="E1391" s="32"/>
      <c r="F1391" s="32"/>
      <c r="G1391" s="32"/>
      <c r="H1391" s="32"/>
      <c r="I1391" s="32"/>
      <c r="J1391" s="32"/>
      <c r="K1391" s="32"/>
      <c r="L1391" s="32"/>
      <c r="M1391" s="32"/>
      <c r="N1391" s="32"/>
      <c r="O1391" s="32"/>
      <c r="P1391" s="32"/>
      <c r="Q1391" s="32"/>
      <c r="R1391" s="32"/>
      <c r="S1391" s="32"/>
      <c r="T1391" s="32"/>
      <c r="U1391" s="32"/>
      <c r="V1391" s="32"/>
      <c r="W1391" s="32"/>
      <c r="X1391" s="32"/>
      <c r="Y1391" s="32"/>
      <c r="Z1391" s="32"/>
    </row>
    <row r="1392">
      <c r="A1392" s="32" t="str">
        <f>IFERROR(__xludf.DUMMYFUNCTION("""COMPUTED_VALUE"""),"Salve Grenade")</f>
        <v>Salve Grenade</v>
      </c>
      <c r="B1392" s="32" t="str">
        <f>IFERROR(__xludf.DUMMYFUNCTION("""COMPUTED_VALUE"""),"Heals 2500 Hp (Grenade)")</f>
        <v>Heals 2500 Hp (Grenade)</v>
      </c>
      <c r="C1392" s="32"/>
      <c r="D1392" s="32"/>
      <c r="E1392" s="32"/>
      <c r="F1392" s="32"/>
      <c r="G1392" s="32"/>
      <c r="H1392" s="32"/>
      <c r="I1392" s="32"/>
      <c r="J1392" s="32"/>
      <c r="K1392" s="32"/>
      <c r="L1392" s="32"/>
      <c r="M1392" s="32"/>
      <c r="N1392" s="32"/>
      <c r="O1392" s="32"/>
      <c r="P1392" s="32"/>
      <c r="Q1392" s="32"/>
      <c r="R1392" s="32"/>
      <c r="S1392" s="32"/>
      <c r="T1392" s="32"/>
      <c r="U1392" s="32"/>
      <c r="V1392" s="32"/>
      <c r="W1392" s="32"/>
      <c r="X1392" s="32"/>
      <c r="Y1392" s="32"/>
      <c r="Z1392" s="32"/>
    </row>
    <row r="1393">
      <c r="A1393" s="32" t="str">
        <f>IFERROR(__xludf.DUMMYFUNCTION("""COMPUTED_VALUE"""),"Potion of Banishment")</f>
        <v>Potion of Banishment</v>
      </c>
      <c r="B1393" s="32" t="str">
        <f>IFERROR(__xludf.DUMMYFUNCTION("""COMPUTED_VALUE"""),"Banishes an enemy (Item)")</f>
        <v>Banishes an enemy (Item)</v>
      </c>
      <c r="C1393" s="32"/>
      <c r="D1393" s="32"/>
      <c r="E1393" s="32"/>
      <c r="F1393" s="32"/>
      <c r="G1393" s="32"/>
      <c r="H1393" s="32"/>
      <c r="I1393" s="32"/>
      <c r="J1393" s="32"/>
      <c r="K1393" s="32"/>
      <c r="L1393" s="32"/>
      <c r="M1393" s="32"/>
      <c r="N1393" s="32"/>
      <c r="O1393" s="32"/>
      <c r="P1393" s="32"/>
      <c r="Q1393" s="32"/>
      <c r="R1393" s="32"/>
      <c r="S1393" s="32"/>
      <c r="T1393" s="32"/>
      <c r="U1393" s="32"/>
      <c r="V1393" s="32"/>
      <c r="W1393" s="32"/>
      <c r="X1393" s="32"/>
      <c r="Y1393" s="32"/>
      <c r="Z1393" s="32"/>
    </row>
    <row r="1394">
      <c r="A1394" s="32" t="str">
        <f>IFERROR(__xludf.DUMMYFUNCTION("""COMPUTED_VALUE"""),"Wooden Arrow")</f>
        <v>Wooden Arrow</v>
      </c>
      <c r="B1394" s="32" t="str">
        <f>IFERROR(__xludf.DUMMYFUNCTION("""COMPUTED_VALUE"""),"Bow Ammunition +50 Damage. roll a d20 to see how many you get if this is a loot drop. (Item)")</f>
        <v>Bow Ammunition +50 Damage. roll a d20 to see how many you get if this is a loot drop. (Item)</v>
      </c>
      <c r="C1394" s="32"/>
      <c r="D1394" s="32"/>
      <c r="E1394" s="32"/>
      <c r="F1394" s="32"/>
      <c r="G1394" s="32"/>
      <c r="H1394" s="32"/>
      <c r="I1394" s="32"/>
      <c r="J1394" s="32"/>
      <c r="K1394" s="32"/>
      <c r="L1394" s="32"/>
      <c r="M1394" s="32"/>
      <c r="N1394" s="32"/>
      <c r="O1394" s="32"/>
      <c r="P1394" s="32"/>
      <c r="Q1394" s="32"/>
      <c r="R1394" s="32"/>
      <c r="S1394" s="32"/>
      <c r="T1394" s="32"/>
      <c r="U1394" s="32"/>
      <c r="V1394" s="32"/>
      <c r="W1394" s="32"/>
      <c r="X1394" s="32"/>
      <c r="Y1394" s="32"/>
      <c r="Z1394" s="32"/>
    </row>
    <row r="1395">
      <c r="A1395" s="32" t="str">
        <f>IFERROR(__xludf.DUMMYFUNCTION("""COMPUTED_VALUE"""),"Bone Tipped Arrow")</f>
        <v>Bone Tipped Arrow</v>
      </c>
      <c r="B1395" s="32" t="str">
        <f>IFERROR(__xludf.DUMMYFUNCTION("""COMPUTED_VALUE"""),"Bow Ammunition +250 Blood damage. roll a d20 to see how many you get if this is a loot drop (Item)")</f>
        <v>Bow Ammunition +250 Blood damage. roll a d20 to see how many you get if this is a loot drop (Item)</v>
      </c>
      <c r="C1395" s="32"/>
      <c r="D1395" s="32"/>
      <c r="E1395" s="32"/>
      <c r="F1395" s="32"/>
      <c r="G1395" s="32"/>
      <c r="H1395" s="32"/>
      <c r="I1395" s="32"/>
      <c r="J1395" s="32"/>
      <c r="K1395" s="32"/>
      <c r="L1395" s="32"/>
      <c r="M1395" s="32"/>
      <c r="N1395" s="32"/>
      <c r="O1395" s="32"/>
      <c r="P1395" s="32"/>
      <c r="Q1395" s="32"/>
      <c r="R1395" s="32"/>
      <c r="S1395" s="32"/>
      <c r="T1395" s="32"/>
      <c r="U1395" s="32"/>
      <c r="V1395" s="32"/>
      <c r="W1395" s="32"/>
      <c r="X1395" s="32"/>
      <c r="Y1395" s="32"/>
      <c r="Z1395" s="32"/>
    </row>
    <row r="1396">
      <c r="A1396" s="32" t="str">
        <f>IFERROR(__xludf.DUMMYFUNCTION("""COMPUTED_VALUE"""),"Holy Arrow")</f>
        <v>Holy Arrow</v>
      </c>
      <c r="B1396" s="32" t="str">
        <f>IFERROR(__xludf.DUMMYFUNCTION("""COMPUTED_VALUE"""),"Bow Ammunition +250 light damage +20x damage against undead.roll a d20 to see how many you get if this is a loot drop (Item)")</f>
        <v>Bow Ammunition +250 light damage +20x damage against undead.roll a d20 to see how many you get if this is a loot drop (Item)</v>
      </c>
      <c r="C1396" s="32"/>
      <c r="D1396" s="32"/>
      <c r="E1396" s="32"/>
      <c r="F1396" s="32"/>
      <c r="G1396" s="32"/>
      <c r="H1396" s="32"/>
      <c r="I1396" s="32"/>
      <c r="J1396" s="32"/>
      <c r="K1396" s="32"/>
      <c r="L1396" s="32"/>
      <c r="M1396" s="32"/>
      <c r="N1396" s="32"/>
      <c r="O1396" s="32"/>
      <c r="P1396" s="32"/>
      <c r="Q1396" s="32"/>
      <c r="R1396" s="32"/>
      <c r="S1396" s="32"/>
      <c r="T1396" s="32"/>
      <c r="U1396" s="32"/>
      <c r="V1396" s="32"/>
      <c r="W1396" s="32"/>
      <c r="X1396" s="32"/>
      <c r="Y1396" s="32"/>
      <c r="Z1396" s="32"/>
    </row>
    <row r="1397">
      <c r="A1397" s="32" t="str">
        <f>IFERROR(__xludf.DUMMYFUNCTION("""COMPUTED_VALUE"""),"Small Bang")</f>
        <v>Small Bang</v>
      </c>
      <c r="B1397" s="32" t="str">
        <f>IFERROR(__xludf.DUMMYFUNCTION("""COMPUTED_VALUE"""),"500,000 Damage (Grenade)")</f>
        <v>500,000 Damage (Grenade)</v>
      </c>
      <c r="C1397" s="32"/>
      <c r="D1397" s="32"/>
      <c r="E1397" s="32"/>
      <c r="F1397" s="32"/>
      <c r="G1397" s="32"/>
      <c r="H1397" s="32"/>
      <c r="I1397" s="32"/>
      <c r="J1397" s="32"/>
      <c r="K1397" s="32"/>
      <c r="L1397" s="32"/>
      <c r="M1397" s="32"/>
      <c r="N1397" s="32"/>
      <c r="O1397" s="32"/>
      <c r="P1397" s="32"/>
      <c r="Q1397" s="32"/>
      <c r="R1397" s="32"/>
      <c r="S1397" s="32"/>
      <c r="T1397" s="32"/>
      <c r="U1397" s="32"/>
      <c r="V1397" s="32"/>
      <c r="W1397" s="32"/>
      <c r="X1397" s="32"/>
      <c r="Y1397" s="32"/>
      <c r="Z1397" s="32"/>
    </row>
    <row r="1398">
      <c r="A1398" s="32" t="str">
        <f>IFERROR(__xludf.DUMMYFUNCTION("""COMPUTED_VALUE"""),"Dragon Burst")</f>
        <v>Dragon Burst</v>
      </c>
      <c r="B1398" s="32" t="str">
        <f>IFERROR(__xludf.DUMMYFUNCTION("""COMPUTED_VALUE"""),"250,000 Damage (Grenade)")</f>
        <v>250,000 Damage (Grenade)</v>
      </c>
      <c r="C1398" s="32"/>
      <c r="D1398" s="32"/>
      <c r="E1398" s="32"/>
      <c r="F1398" s="32"/>
      <c r="G1398" s="32"/>
      <c r="H1398" s="32"/>
      <c r="I1398" s="32"/>
      <c r="J1398" s="32"/>
      <c r="K1398" s="32"/>
      <c r="L1398" s="32"/>
      <c r="M1398" s="32"/>
      <c r="N1398" s="32"/>
      <c r="O1398" s="32"/>
      <c r="P1398" s="32"/>
      <c r="Q1398" s="32"/>
      <c r="R1398" s="32"/>
      <c r="S1398" s="32"/>
      <c r="T1398" s="32"/>
      <c r="U1398" s="32"/>
      <c r="V1398" s="32"/>
      <c r="W1398" s="32"/>
      <c r="X1398" s="32"/>
      <c r="Y1398" s="32"/>
      <c r="Z1398" s="32"/>
    </row>
    <row r="1399">
      <c r="A1399" s="32" t="str">
        <f>IFERROR(__xludf.DUMMYFUNCTION("""COMPUTED_VALUE"""),"Iguanian Assassin's Box")</f>
        <v>Iguanian Assassin's Box</v>
      </c>
      <c r="B1399" s="32" t="str">
        <f>IFERROR(__xludf.DUMMYFUNCTION("""COMPUTED_VALUE"""),"Grants a random piece of Iguanian Assassin's equipment (Roll 1d7 and take the corresponding item from the equipment finder) (Item)")</f>
        <v>Grants a random piece of Iguanian Assassin's equipment (Roll 1d7 and take the corresponding item from the equipment finder) (Item)</v>
      </c>
      <c r="C1399" s="32"/>
      <c r="D1399" s="32"/>
      <c r="E1399" s="32"/>
      <c r="F1399" s="32"/>
      <c r="G1399" s="32"/>
      <c r="H1399" s="32"/>
      <c r="I1399" s="32"/>
      <c r="J1399" s="32"/>
      <c r="K1399" s="32"/>
      <c r="L1399" s="32"/>
      <c r="M1399" s="32"/>
      <c r="N1399" s="32"/>
      <c r="O1399" s="32"/>
      <c r="P1399" s="32"/>
      <c r="Q1399" s="32"/>
      <c r="R1399" s="32"/>
      <c r="S1399" s="32"/>
      <c r="T1399" s="32"/>
      <c r="U1399" s="32"/>
      <c r="V1399" s="32"/>
      <c r="W1399" s="32"/>
      <c r="X1399" s="32"/>
      <c r="Y1399" s="32"/>
      <c r="Z1399" s="32"/>
    </row>
    <row r="1400">
      <c r="A1400" s="32" t="str">
        <f>IFERROR(__xludf.DUMMYFUNCTION("""COMPUTED_VALUE"""),"Lizardfolk Warrior's Box")</f>
        <v>Lizardfolk Warrior's Box</v>
      </c>
      <c r="B1400" s="32" t="str">
        <f>IFERROR(__xludf.DUMMYFUNCTION("""COMPUTED_VALUE"""),"Grants a random piece of Lizard Warrior's equipment (Roll 1d9 and take the corresponding item from the equipment finder) (Item)")</f>
        <v>Grants a random piece of Lizard Warrior's equipment (Roll 1d9 and take the corresponding item from the equipment finder) (Item)</v>
      </c>
      <c r="C1400" s="32"/>
      <c r="D1400" s="32"/>
      <c r="E1400" s="32"/>
      <c r="F1400" s="32"/>
      <c r="G1400" s="32"/>
      <c r="H1400" s="32"/>
      <c r="I1400" s="32"/>
      <c r="J1400" s="32"/>
      <c r="K1400" s="32"/>
      <c r="L1400" s="32"/>
      <c r="M1400" s="32"/>
      <c r="N1400" s="32"/>
      <c r="O1400" s="32"/>
      <c r="P1400" s="32"/>
      <c r="Q1400" s="32"/>
      <c r="R1400" s="32"/>
      <c r="S1400" s="32"/>
      <c r="T1400" s="32"/>
      <c r="U1400" s="32"/>
      <c r="V1400" s="32"/>
      <c r="W1400" s="32"/>
      <c r="X1400" s="32"/>
      <c r="Y1400" s="32"/>
      <c r="Z1400" s="32"/>
    </row>
    <row r="1401">
      <c r="A1401" s="32" t="str">
        <f>IFERROR(__xludf.DUMMYFUNCTION("""COMPUTED_VALUE"""),"Lizard Thief's Box")</f>
        <v>Lizard Thief's Box</v>
      </c>
      <c r="B1401" s="32" t="str">
        <f>IFERROR(__xludf.DUMMYFUNCTION("""COMPUTED_VALUE"""),"Grants a random piece of Lizard Thief's equipment (Roll 1d5 and take the corresponding item from the equipment finder) (Item)")</f>
        <v>Grants a random piece of Lizard Thief's equipment (Roll 1d5 and take the corresponding item from the equipment finder) (Item)</v>
      </c>
      <c r="C1401" s="32"/>
      <c r="D1401" s="32"/>
      <c r="E1401" s="32"/>
      <c r="F1401" s="32"/>
      <c r="G1401" s="32"/>
      <c r="H1401" s="32"/>
      <c r="I1401" s="32"/>
      <c r="J1401" s="32"/>
      <c r="K1401" s="32"/>
      <c r="L1401" s="32"/>
      <c r="M1401" s="32"/>
      <c r="N1401" s="32"/>
      <c r="O1401" s="32"/>
      <c r="P1401" s="32"/>
      <c r="Q1401" s="32"/>
      <c r="R1401" s="32"/>
      <c r="S1401" s="32"/>
      <c r="T1401" s="32"/>
      <c r="U1401" s="32"/>
      <c r="V1401" s="32"/>
      <c r="W1401" s="32"/>
      <c r="X1401" s="32"/>
      <c r="Y1401" s="32"/>
      <c r="Z1401" s="32"/>
    </row>
    <row r="1402">
      <c r="A1402" s="32" t="str">
        <f>IFERROR(__xludf.DUMMYFUNCTION("""COMPUTED_VALUE"""),"Lizard Wizard's Box")</f>
        <v>Lizard Wizard's Box</v>
      </c>
      <c r="B1402" s="32" t="str">
        <f>IFERROR(__xludf.DUMMYFUNCTION("""COMPUTED_VALUE"""),"Grants a random piece of Lizard Wizard's equipment (Roll 1d6 and take the corresponding item from the equipment finder) (Item)")</f>
        <v>Grants a random piece of Lizard Wizard's equipment (Roll 1d6 and take the corresponding item from the equipment finder) (Item)</v>
      </c>
      <c r="C1402" s="32"/>
      <c r="D1402" s="32"/>
      <c r="E1402" s="32"/>
      <c r="F1402" s="32"/>
      <c r="G1402" s="32"/>
      <c r="H1402" s="32"/>
      <c r="I1402" s="32"/>
      <c r="J1402" s="32"/>
      <c r="K1402" s="32"/>
      <c r="L1402" s="32"/>
      <c r="M1402" s="32"/>
      <c r="N1402" s="32"/>
      <c r="O1402" s="32"/>
      <c r="P1402" s="32"/>
      <c r="Q1402" s="32"/>
      <c r="R1402" s="32"/>
      <c r="S1402" s="32"/>
      <c r="T1402" s="32"/>
      <c r="U1402" s="32"/>
      <c r="V1402" s="32"/>
      <c r="W1402" s="32"/>
      <c r="X1402" s="32"/>
      <c r="Y1402" s="32"/>
      <c r="Z1402" s="32"/>
    </row>
    <row r="1403">
      <c r="A1403" s="32" t="str">
        <f>IFERROR(__xludf.DUMMYFUNCTION("""COMPUTED_VALUE"""),"Iguanian Brawler's Box")</f>
        <v>Iguanian Brawler's Box</v>
      </c>
      <c r="B1403" s="32" t="str">
        <f>IFERROR(__xludf.DUMMYFUNCTION("""COMPUTED_VALUE"""),"Grants a random piece of Iguanian Brawler's equipment (Roll 1d8 and take the corresponding item from the equipment finder) (Item)")</f>
        <v>Grants a random piece of Iguanian Brawler's equipment (Roll 1d8 and take the corresponding item from the equipment finder) (Item)</v>
      </c>
      <c r="C1403" s="32"/>
      <c r="D1403" s="32"/>
      <c r="E1403" s="32"/>
      <c r="F1403" s="32"/>
      <c r="G1403" s="32"/>
      <c r="H1403" s="32"/>
      <c r="I1403" s="32"/>
      <c r="J1403" s="32"/>
      <c r="K1403" s="32"/>
      <c r="L1403" s="32"/>
      <c r="M1403" s="32"/>
      <c r="N1403" s="32"/>
      <c r="O1403" s="32"/>
      <c r="P1403" s="32"/>
      <c r="Q1403" s="32"/>
      <c r="R1403" s="32"/>
      <c r="S1403" s="32"/>
      <c r="T1403" s="32"/>
      <c r="U1403" s="32"/>
      <c r="V1403" s="32"/>
      <c r="W1403" s="32"/>
      <c r="X1403" s="32"/>
      <c r="Y1403" s="32"/>
      <c r="Z1403" s="32"/>
    </row>
    <row r="1404">
      <c r="A1404" s="32" t="str">
        <f>IFERROR(__xludf.DUMMYFUNCTION("""COMPUTED_VALUE"""),"Iguanian Mage's Box")</f>
        <v>Iguanian Mage's Box</v>
      </c>
      <c r="B1404" s="32" t="str">
        <f>IFERROR(__xludf.DUMMYFUNCTION("""COMPUTED_VALUE"""),"Grants a random piece of Iguanian Mage equipment (Roll 1d5 and take the corresponding item from the equipment finder) (Item)")</f>
        <v>Grants a random piece of Iguanian Mage equipment (Roll 1d5 and take the corresponding item from the equipment finder) (Item)</v>
      </c>
      <c r="C1404" s="32"/>
      <c r="D1404" s="32"/>
      <c r="E1404" s="32"/>
      <c r="F1404" s="32"/>
      <c r="G1404" s="32"/>
      <c r="H1404" s="32"/>
      <c r="I1404" s="32"/>
      <c r="J1404" s="32"/>
      <c r="K1404" s="32"/>
      <c r="L1404" s="32"/>
      <c r="M1404" s="32"/>
      <c r="N1404" s="32"/>
      <c r="O1404" s="32"/>
      <c r="P1404" s="32"/>
      <c r="Q1404" s="32"/>
      <c r="R1404" s="32"/>
      <c r="S1404" s="32"/>
      <c r="T1404" s="32"/>
      <c r="U1404" s="32"/>
      <c r="V1404" s="32"/>
      <c r="W1404" s="32"/>
      <c r="X1404" s="32"/>
      <c r="Y1404" s="32"/>
      <c r="Z1404" s="32"/>
    </row>
    <row r="1405">
      <c r="A1405" s="32"/>
      <c r="B1405" s="32"/>
      <c r="C1405" s="32"/>
      <c r="D1405" s="32"/>
      <c r="E1405" s="32"/>
      <c r="F1405" s="32"/>
      <c r="G1405" s="32"/>
      <c r="H1405" s="32"/>
      <c r="I1405" s="32"/>
      <c r="J1405" s="32"/>
      <c r="K1405" s="32"/>
      <c r="L1405" s="32"/>
      <c r="M1405" s="32"/>
      <c r="N1405" s="32"/>
      <c r="O1405" s="32"/>
      <c r="P1405" s="32"/>
      <c r="Q1405" s="32"/>
      <c r="R1405" s="32"/>
      <c r="S1405" s="32"/>
      <c r="T1405" s="32"/>
      <c r="U1405" s="32"/>
      <c r="V1405" s="32"/>
      <c r="W1405" s="32"/>
      <c r="X1405" s="32"/>
      <c r="Y1405" s="32"/>
      <c r="Z1405" s="32"/>
    </row>
    <row r="1406">
      <c r="A1406" s="32"/>
      <c r="B1406" s="32"/>
      <c r="C1406" s="32"/>
      <c r="D1406" s="32"/>
      <c r="E1406" s="32"/>
      <c r="F1406" s="32"/>
      <c r="G1406" s="32"/>
      <c r="H1406" s="32"/>
      <c r="I1406" s="32"/>
      <c r="J1406" s="32"/>
      <c r="K1406" s="32"/>
      <c r="L1406" s="32"/>
      <c r="M1406" s="32"/>
      <c r="N1406" s="32"/>
      <c r="O1406" s="32"/>
      <c r="P1406" s="32"/>
      <c r="Q1406" s="32"/>
      <c r="R1406" s="32"/>
      <c r="S1406" s="32"/>
      <c r="T1406" s="32"/>
      <c r="U1406" s="32"/>
      <c r="V1406" s="32"/>
      <c r="W1406" s="32"/>
      <c r="X1406" s="32"/>
      <c r="Y1406" s="32"/>
      <c r="Z1406" s="32"/>
    </row>
    <row r="1407">
      <c r="A1407" s="32"/>
      <c r="B1407" s="32"/>
      <c r="C1407" s="32"/>
      <c r="D1407" s="32"/>
      <c r="E1407" s="32"/>
      <c r="F1407" s="32"/>
      <c r="G1407" s="32"/>
      <c r="H1407" s="32"/>
      <c r="I1407" s="32"/>
      <c r="J1407" s="32"/>
      <c r="K1407" s="32"/>
      <c r="L1407" s="32"/>
      <c r="M1407" s="32"/>
      <c r="N1407" s="32"/>
      <c r="O1407" s="32"/>
      <c r="P1407" s="32"/>
      <c r="Q1407" s="32"/>
      <c r="R1407" s="32"/>
      <c r="S1407" s="32"/>
      <c r="T1407" s="32"/>
      <c r="U1407" s="32"/>
      <c r="V1407" s="32"/>
      <c r="W1407" s="32"/>
      <c r="X1407" s="32"/>
      <c r="Y1407" s="32"/>
      <c r="Z1407" s="32"/>
    </row>
    <row r="1408">
      <c r="A1408" s="32"/>
      <c r="B1408" s="32"/>
      <c r="C1408" s="32"/>
      <c r="D1408" s="32"/>
      <c r="E1408" s="32"/>
      <c r="F1408" s="32"/>
      <c r="G1408" s="32"/>
      <c r="H1408" s="32"/>
      <c r="I1408" s="32"/>
      <c r="J1408" s="32"/>
      <c r="K1408" s="32"/>
      <c r="L1408" s="32"/>
      <c r="M1408" s="32"/>
      <c r="N1408" s="32"/>
      <c r="O1408" s="32"/>
      <c r="P1408" s="32"/>
      <c r="Q1408" s="32"/>
      <c r="R1408" s="32"/>
      <c r="S1408" s="32"/>
      <c r="T1408" s="32"/>
      <c r="U1408" s="32"/>
      <c r="V1408" s="32"/>
      <c r="W1408" s="32"/>
      <c r="X1408" s="32"/>
      <c r="Y1408" s="32"/>
      <c r="Z1408" s="32"/>
    </row>
    <row r="1409">
      <c r="A1409" s="32"/>
      <c r="B1409" s="32"/>
      <c r="C1409" s="32"/>
      <c r="D1409" s="32"/>
      <c r="E1409" s="32"/>
      <c r="F1409" s="32"/>
      <c r="G1409" s="32"/>
      <c r="H1409" s="32"/>
      <c r="I1409" s="32"/>
      <c r="J1409" s="32"/>
      <c r="K1409" s="32"/>
      <c r="L1409" s="32"/>
      <c r="M1409" s="32"/>
      <c r="N1409" s="32"/>
      <c r="O1409" s="32"/>
      <c r="P1409" s="32"/>
      <c r="Q1409" s="32"/>
      <c r="R1409" s="32"/>
      <c r="S1409" s="32"/>
      <c r="T1409" s="32"/>
      <c r="U1409" s="32"/>
      <c r="V1409" s="32"/>
      <c r="W1409" s="32"/>
      <c r="X1409" s="32"/>
      <c r="Y1409" s="32"/>
      <c r="Z1409" s="32"/>
    </row>
    <row r="1410">
      <c r="A1410" s="32"/>
      <c r="B1410" s="32"/>
      <c r="C1410" s="32"/>
      <c r="D1410" s="32"/>
      <c r="E1410" s="32"/>
      <c r="F1410" s="32"/>
      <c r="G1410" s="32"/>
      <c r="H1410" s="32"/>
      <c r="I1410" s="32"/>
      <c r="J1410" s="32"/>
      <c r="K1410" s="32"/>
      <c r="L1410" s="32"/>
      <c r="M1410" s="32"/>
      <c r="N1410" s="32"/>
      <c r="O1410" s="32"/>
      <c r="P1410" s="32"/>
      <c r="Q1410" s="32"/>
      <c r="R1410" s="32"/>
      <c r="S1410" s="32"/>
      <c r="T1410" s="32"/>
      <c r="U1410" s="32"/>
      <c r="V1410" s="32"/>
      <c r="W1410" s="32"/>
      <c r="X1410" s="32"/>
      <c r="Y1410" s="32"/>
      <c r="Z1410" s="32"/>
    </row>
    <row r="1411">
      <c r="A1411" s="32"/>
      <c r="B1411" s="32"/>
      <c r="C1411" s="32"/>
      <c r="D1411" s="32"/>
      <c r="E1411" s="32"/>
      <c r="F1411" s="32"/>
      <c r="G1411" s="32"/>
      <c r="H1411" s="32"/>
      <c r="I1411" s="32"/>
      <c r="J1411" s="32"/>
      <c r="K1411" s="32"/>
      <c r="L1411" s="32"/>
      <c r="M1411" s="32"/>
      <c r="N1411" s="32"/>
      <c r="O1411" s="32"/>
      <c r="P1411" s="32"/>
      <c r="Q1411" s="32"/>
      <c r="R1411" s="32"/>
      <c r="S1411" s="32"/>
      <c r="T1411" s="32"/>
      <c r="U1411" s="32"/>
      <c r="V1411" s="32"/>
      <c r="W1411" s="32"/>
      <c r="X1411" s="32"/>
      <c r="Y1411" s="32"/>
      <c r="Z1411" s="32"/>
    </row>
    <row r="1412">
      <c r="A1412" s="32"/>
      <c r="B1412" s="32"/>
      <c r="C1412" s="32"/>
      <c r="D1412" s="32"/>
      <c r="E1412" s="32"/>
      <c r="F1412" s="32"/>
      <c r="G1412" s="32"/>
      <c r="H1412" s="32"/>
      <c r="I1412" s="32"/>
      <c r="J1412" s="32"/>
      <c r="K1412" s="32"/>
      <c r="L1412" s="32"/>
      <c r="M1412" s="32"/>
      <c r="N1412" s="32"/>
      <c r="O1412" s="32"/>
      <c r="P1412" s="32"/>
      <c r="Q1412" s="32"/>
      <c r="R1412" s="32"/>
      <c r="S1412" s="32"/>
      <c r="T1412" s="32"/>
      <c r="U1412" s="32"/>
      <c r="V1412" s="32"/>
      <c r="W1412" s="32"/>
      <c r="X1412" s="32"/>
      <c r="Y1412" s="32"/>
      <c r="Z1412" s="32"/>
    </row>
    <row r="1413">
      <c r="A1413" s="32"/>
      <c r="B1413" s="32"/>
      <c r="C1413" s="32"/>
      <c r="D1413" s="32"/>
      <c r="E1413" s="32"/>
      <c r="F1413" s="32"/>
      <c r="G1413" s="32"/>
      <c r="H1413" s="32"/>
      <c r="I1413" s="32"/>
      <c r="J1413" s="32"/>
      <c r="K1413" s="32"/>
      <c r="L1413" s="32"/>
      <c r="M1413" s="32"/>
      <c r="N1413" s="32"/>
      <c r="O1413" s="32"/>
      <c r="P1413" s="32"/>
      <c r="Q1413" s="32"/>
      <c r="R1413" s="32"/>
      <c r="S1413" s="32"/>
      <c r="T1413" s="32"/>
      <c r="U1413" s="32"/>
      <c r="V1413" s="32"/>
      <c r="W1413" s="32"/>
      <c r="X1413" s="32"/>
      <c r="Y1413" s="32"/>
      <c r="Z1413" s="32"/>
    </row>
    <row r="1414">
      <c r="A1414" s="32"/>
      <c r="B1414" s="32"/>
      <c r="C1414" s="32"/>
      <c r="D1414" s="32"/>
      <c r="E1414" s="32"/>
      <c r="F1414" s="32"/>
      <c r="G1414" s="32"/>
      <c r="H1414" s="32"/>
      <c r="I1414" s="32"/>
      <c r="J1414" s="32"/>
      <c r="K1414" s="32"/>
      <c r="L1414" s="32"/>
      <c r="M1414" s="32"/>
      <c r="N1414" s="32"/>
      <c r="O1414" s="32"/>
      <c r="P1414" s="32"/>
      <c r="Q1414" s="32"/>
      <c r="R1414" s="32"/>
      <c r="S1414" s="32"/>
      <c r="T1414" s="32"/>
      <c r="U1414" s="32"/>
      <c r="V1414" s="32"/>
      <c r="W1414" s="32"/>
      <c r="X1414" s="32"/>
      <c r="Y1414" s="32"/>
      <c r="Z1414" s="32"/>
    </row>
    <row r="1415">
      <c r="A1415" s="32"/>
      <c r="B1415" s="32"/>
      <c r="C1415" s="32"/>
      <c r="D1415" s="32"/>
      <c r="E1415" s="32"/>
      <c r="F1415" s="32"/>
      <c r="G1415" s="32"/>
      <c r="H1415" s="32"/>
      <c r="I1415" s="32"/>
      <c r="J1415" s="32"/>
      <c r="K1415" s="32"/>
      <c r="L1415" s="32"/>
      <c r="M1415" s="32"/>
      <c r="N1415" s="32"/>
      <c r="O1415" s="32"/>
      <c r="P1415" s="32"/>
      <c r="Q1415" s="32"/>
      <c r="R1415" s="32"/>
      <c r="S1415" s="32"/>
      <c r="T1415" s="32"/>
      <c r="U1415" s="32"/>
      <c r="V1415" s="32"/>
      <c r="W1415" s="32"/>
      <c r="X1415" s="32"/>
      <c r="Y1415" s="32"/>
      <c r="Z1415" s="32"/>
    </row>
    <row r="1416">
      <c r="A1416" s="32"/>
      <c r="B1416" s="32"/>
      <c r="C1416" s="32"/>
      <c r="D1416" s="32"/>
      <c r="E1416" s="32"/>
      <c r="F1416" s="32"/>
      <c r="G1416" s="32"/>
      <c r="H1416" s="32"/>
      <c r="I1416" s="32"/>
      <c r="J1416" s="32"/>
      <c r="K1416" s="32"/>
      <c r="L1416" s="32"/>
      <c r="M1416" s="32"/>
      <c r="N1416" s="32"/>
      <c r="O1416" s="32"/>
      <c r="P1416" s="32"/>
      <c r="Q1416" s="32"/>
      <c r="R1416" s="32"/>
      <c r="S1416" s="32"/>
      <c r="T1416" s="32"/>
      <c r="U1416" s="32"/>
      <c r="V1416" s="32"/>
      <c r="W1416" s="32"/>
      <c r="X1416" s="32"/>
      <c r="Y1416" s="32"/>
      <c r="Z1416" s="32"/>
    </row>
    <row r="1417">
      <c r="A1417" s="32"/>
      <c r="B1417" s="32"/>
      <c r="C1417" s="32"/>
      <c r="D1417" s="32"/>
      <c r="E1417" s="32"/>
      <c r="F1417" s="32"/>
      <c r="G1417" s="32"/>
      <c r="H1417" s="32"/>
      <c r="I1417" s="32"/>
      <c r="J1417" s="32"/>
      <c r="K1417" s="32"/>
      <c r="L1417" s="32"/>
      <c r="M1417" s="32"/>
      <c r="N1417" s="32"/>
      <c r="O1417" s="32"/>
      <c r="P1417" s="32"/>
      <c r="Q1417" s="32"/>
      <c r="R1417" s="32"/>
      <c r="S1417" s="32"/>
      <c r="T1417" s="32"/>
      <c r="U1417" s="32"/>
      <c r="V1417" s="32"/>
      <c r="W1417" s="32"/>
      <c r="X1417" s="32"/>
      <c r="Y1417" s="32"/>
      <c r="Z1417" s="32"/>
    </row>
    <row r="1418">
      <c r="A1418" s="32"/>
      <c r="B1418" s="32"/>
      <c r="C1418" s="32"/>
      <c r="D1418" s="32"/>
      <c r="E1418" s="32"/>
      <c r="F1418" s="32"/>
      <c r="G1418" s="32"/>
      <c r="H1418" s="32"/>
      <c r="I1418" s="32"/>
      <c r="J1418" s="32"/>
      <c r="K1418" s="32"/>
      <c r="L1418" s="32"/>
      <c r="M1418" s="32"/>
      <c r="N1418" s="32"/>
      <c r="O1418" s="32"/>
      <c r="P1418" s="32"/>
      <c r="Q1418" s="32"/>
      <c r="R1418" s="32"/>
      <c r="S1418" s="32"/>
      <c r="T1418" s="32"/>
      <c r="U1418" s="32"/>
      <c r="V1418" s="32"/>
      <c r="W1418" s="32"/>
      <c r="X1418" s="32"/>
      <c r="Y1418" s="32"/>
      <c r="Z1418" s="32"/>
    </row>
    <row r="1419">
      <c r="A1419" s="32"/>
      <c r="B1419" s="32"/>
      <c r="C1419" s="32"/>
      <c r="D1419" s="32"/>
      <c r="E1419" s="32"/>
      <c r="F1419" s="32"/>
      <c r="G1419" s="32"/>
      <c r="H1419" s="32"/>
      <c r="I1419" s="32"/>
      <c r="J1419" s="32"/>
      <c r="K1419" s="32"/>
      <c r="L1419" s="32"/>
      <c r="M1419" s="32"/>
      <c r="N1419" s="32"/>
      <c r="O1419" s="32"/>
      <c r="P1419" s="32"/>
      <c r="Q1419" s="32"/>
      <c r="R1419" s="32"/>
      <c r="S1419" s="32"/>
      <c r="T1419" s="32"/>
      <c r="U1419" s="32"/>
      <c r="V1419" s="32"/>
      <c r="W1419" s="32"/>
      <c r="X1419" s="32"/>
      <c r="Y1419" s="32"/>
      <c r="Z1419" s="32"/>
    </row>
    <row r="1420">
      <c r="A1420" s="32"/>
      <c r="B1420" s="32"/>
      <c r="C1420" s="32"/>
      <c r="D1420" s="32"/>
      <c r="E1420" s="32"/>
      <c r="F1420" s="32"/>
      <c r="G1420" s="32"/>
      <c r="H1420" s="32"/>
      <c r="I1420" s="32"/>
      <c r="J1420" s="32"/>
      <c r="K1420" s="32"/>
      <c r="L1420" s="32"/>
      <c r="M1420" s="32"/>
      <c r="N1420" s="32"/>
      <c r="O1420" s="32"/>
      <c r="P1420" s="32"/>
      <c r="Q1420" s="32"/>
      <c r="R1420" s="32"/>
      <c r="S1420" s="32"/>
      <c r="T1420" s="32"/>
      <c r="U1420" s="32"/>
      <c r="V1420" s="32"/>
      <c r="W1420" s="32"/>
      <c r="X1420" s="32"/>
      <c r="Y1420" s="32"/>
      <c r="Z1420" s="32"/>
    </row>
    <row r="1421">
      <c r="A1421" s="32"/>
      <c r="B1421" s="32"/>
      <c r="C1421" s="32"/>
      <c r="D1421" s="32"/>
      <c r="E1421" s="32"/>
      <c r="F1421" s="32"/>
      <c r="G1421" s="32"/>
      <c r="H1421" s="32"/>
      <c r="I1421" s="32"/>
      <c r="J1421" s="32"/>
      <c r="K1421" s="32"/>
      <c r="L1421" s="32"/>
      <c r="M1421" s="32"/>
      <c r="N1421" s="32"/>
      <c r="O1421" s="32"/>
      <c r="P1421" s="32"/>
      <c r="Q1421" s="32"/>
      <c r="R1421" s="32"/>
      <c r="S1421" s="32"/>
      <c r="T1421" s="32"/>
      <c r="U1421" s="32"/>
      <c r="V1421" s="32"/>
      <c r="W1421" s="32"/>
      <c r="X1421" s="32"/>
      <c r="Y1421" s="32"/>
      <c r="Z1421" s="32"/>
    </row>
    <row r="1422">
      <c r="A1422" s="32"/>
      <c r="B1422" s="32"/>
      <c r="C1422" s="32"/>
      <c r="D1422" s="32"/>
      <c r="E1422" s="32"/>
      <c r="F1422" s="32"/>
      <c r="G1422" s="32"/>
      <c r="H1422" s="32"/>
      <c r="I1422" s="32"/>
      <c r="J1422" s="32"/>
      <c r="K1422" s="32"/>
      <c r="L1422" s="32"/>
      <c r="M1422" s="32"/>
      <c r="N1422" s="32"/>
      <c r="O1422" s="32"/>
      <c r="P1422" s="32"/>
      <c r="Q1422" s="32"/>
      <c r="R1422" s="32"/>
      <c r="S1422" s="32"/>
      <c r="T1422" s="32"/>
      <c r="U1422" s="32"/>
      <c r="V1422" s="32"/>
      <c r="W1422" s="32"/>
      <c r="X1422" s="32"/>
      <c r="Y1422" s="32"/>
      <c r="Z1422" s="32"/>
    </row>
    <row r="1423">
      <c r="A1423" s="32"/>
      <c r="B1423" s="32"/>
      <c r="C1423" s="32"/>
      <c r="D1423" s="32"/>
      <c r="E1423" s="32"/>
      <c r="F1423" s="32"/>
      <c r="G1423" s="32"/>
      <c r="H1423" s="32"/>
      <c r="I1423" s="32"/>
      <c r="J1423" s="32"/>
      <c r="K1423" s="32"/>
      <c r="L1423" s="32"/>
      <c r="M1423" s="32"/>
      <c r="N1423" s="32"/>
      <c r="O1423" s="32"/>
      <c r="P1423" s="32"/>
      <c r="Q1423" s="32"/>
      <c r="R1423" s="32"/>
      <c r="S1423" s="32"/>
      <c r="T1423" s="32"/>
      <c r="U1423" s="32"/>
      <c r="V1423" s="32"/>
      <c r="W1423" s="32"/>
      <c r="X1423" s="32"/>
      <c r="Y1423" s="32"/>
      <c r="Z1423" s="32"/>
    </row>
    <row r="1424">
      <c r="A1424" s="32"/>
      <c r="B1424" s="32"/>
      <c r="C1424" s="32"/>
      <c r="D1424" s="32"/>
      <c r="E1424" s="32"/>
      <c r="F1424" s="32"/>
      <c r="G1424" s="32"/>
      <c r="H1424" s="32"/>
      <c r="I1424" s="32"/>
      <c r="J1424" s="32"/>
      <c r="K1424" s="32"/>
      <c r="L1424" s="32"/>
      <c r="M1424" s="32"/>
      <c r="N1424" s="32"/>
      <c r="O1424" s="32"/>
      <c r="P1424" s="32"/>
      <c r="Q1424" s="32"/>
      <c r="R1424" s="32"/>
      <c r="S1424" s="32"/>
      <c r="T1424" s="32"/>
      <c r="U1424" s="32"/>
      <c r="V1424" s="32"/>
      <c r="W1424" s="32"/>
      <c r="X1424" s="32"/>
      <c r="Y1424" s="32"/>
      <c r="Z1424" s="32"/>
    </row>
    <row r="1425">
      <c r="A1425" s="32"/>
      <c r="B1425" s="32"/>
      <c r="C1425" s="32"/>
      <c r="D1425" s="32"/>
      <c r="E1425" s="32"/>
      <c r="F1425" s="32"/>
      <c r="G1425" s="32"/>
      <c r="H1425" s="32"/>
      <c r="I1425" s="32"/>
      <c r="J1425" s="32"/>
      <c r="K1425" s="32"/>
      <c r="L1425" s="32"/>
      <c r="M1425" s="32"/>
      <c r="N1425" s="32"/>
      <c r="O1425" s="32"/>
      <c r="P1425" s="32"/>
      <c r="Q1425" s="32"/>
      <c r="R1425" s="32"/>
      <c r="S1425" s="32"/>
      <c r="T1425" s="32"/>
      <c r="U1425" s="32"/>
      <c r="V1425" s="32"/>
      <c r="W1425" s="32"/>
      <c r="X1425" s="32"/>
      <c r="Y1425" s="32"/>
      <c r="Z1425" s="32"/>
    </row>
    <row r="1426">
      <c r="A1426" s="32"/>
      <c r="B1426" s="32"/>
      <c r="C1426" s="32"/>
      <c r="D1426" s="32"/>
      <c r="E1426" s="32"/>
      <c r="F1426" s="32"/>
      <c r="G1426" s="32"/>
      <c r="H1426" s="32"/>
      <c r="I1426" s="32"/>
      <c r="J1426" s="32"/>
      <c r="K1426" s="32"/>
      <c r="L1426" s="32"/>
      <c r="M1426" s="32"/>
      <c r="N1426" s="32"/>
      <c r="O1426" s="32"/>
      <c r="P1426" s="32"/>
      <c r="Q1426" s="32"/>
      <c r="R1426" s="32"/>
      <c r="S1426" s="32"/>
      <c r="T1426" s="32"/>
      <c r="U1426" s="32"/>
      <c r="V1426" s="32"/>
      <c r="W1426" s="32"/>
      <c r="X1426" s="32"/>
      <c r="Y1426" s="32"/>
      <c r="Z1426" s="32"/>
    </row>
    <row r="1427">
      <c r="A1427" s="32"/>
      <c r="B1427" s="32"/>
      <c r="C1427" s="32"/>
      <c r="D1427" s="32"/>
      <c r="E1427" s="32"/>
      <c r="F1427" s="32"/>
      <c r="G1427" s="32"/>
      <c r="H1427" s="32"/>
      <c r="I1427" s="32"/>
      <c r="J1427" s="32"/>
      <c r="K1427" s="32"/>
      <c r="L1427" s="32"/>
      <c r="M1427" s="32"/>
      <c r="N1427" s="32"/>
      <c r="O1427" s="32"/>
      <c r="P1427" s="32"/>
      <c r="Q1427" s="32"/>
      <c r="R1427" s="32"/>
      <c r="S1427" s="32"/>
      <c r="T1427" s="32"/>
      <c r="U1427" s="32"/>
      <c r="V1427" s="32"/>
      <c r="W1427" s="32"/>
      <c r="X1427" s="32"/>
      <c r="Y1427" s="32"/>
      <c r="Z1427" s="32"/>
    </row>
    <row r="1428">
      <c r="A1428" s="32"/>
      <c r="B1428" s="32"/>
      <c r="C1428" s="32"/>
      <c r="D1428" s="32"/>
      <c r="E1428" s="32"/>
      <c r="F1428" s="32"/>
      <c r="G1428" s="32"/>
      <c r="H1428" s="32"/>
      <c r="I1428" s="32"/>
      <c r="J1428" s="32"/>
      <c r="K1428" s="32"/>
      <c r="L1428" s="32"/>
      <c r="M1428" s="32"/>
      <c r="N1428" s="32"/>
      <c r="O1428" s="32"/>
      <c r="P1428" s="32"/>
      <c r="Q1428" s="32"/>
      <c r="R1428" s="32"/>
      <c r="S1428" s="32"/>
      <c r="T1428" s="32"/>
      <c r="U1428" s="32"/>
      <c r="V1428" s="32"/>
      <c r="W1428" s="32"/>
      <c r="X1428" s="32"/>
      <c r="Y1428" s="32"/>
      <c r="Z1428" s="32"/>
    </row>
    <row r="1429">
      <c r="A1429" s="32"/>
      <c r="B1429" s="32"/>
      <c r="C1429" s="32"/>
      <c r="D1429" s="32"/>
      <c r="E1429" s="32"/>
      <c r="F1429" s="32"/>
      <c r="G1429" s="32"/>
      <c r="H1429" s="32"/>
      <c r="I1429" s="32"/>
      <c r="J1429" s="32"/>
      <c r="K1429" s="32"/>
      <c r="L1429" s="32"/>
      <c r="M1429" s="32"/>
      <c r="N1429" s="32"/>
      <c r="O1429" s="32"/>
      <c r="P1429" s="32"/>
      <c r="Q1429" s="32"/>
      <c r="R1429" s="32"/>
      <c r="S1429" s="32"/>
      <c r="T1429" s="32"/>
      <c r="U1429" s="32"/>
      <c r="V1429" s="32"/>
      <c r="W1429" s="32"/>
      <c r="X1429" s="32"/>
      <c r="Y1429" s="32"/>
      <c r="Z1429" s="32"/>
    </row>
    <row r="1430">
      <c r="A1430" s="32"/>
      <c r="B1430" s="32"/>
      <c r="C1430" s="32"/>
      <c r="D1430" s="32"/>
      <c r="E1430" s="32"/>
      <c r="F1430" s="32"/>
      <c r="G1430" s="32"/>
      <c r="H1430" s="32"/>
      <c r="I1430" s="32"/>
      <c r="J1430" s="32"/>
      <c r="K1430" s="32"/>
      <c r="L1430" s="32"/>
      <c r="M1430" s="32"/>
      <c r="N1430" s="32"/>
      <c r="O1430" s="32"/>
      <c r="P1430" s="32"/>
      <c r="Q1430" s="32"/>
      <c r="R1430" s="32"/>
      <c r="S1430" s="32"/>
      <c r="T1430" s="32"/>
      <c r="U1430" s="32"/>
      <c r="V1430" s="32"/>
      <c r="W1430" s="32"/>
      <c r="X1430" s="32"/>
      <c r="Y1430" s="32"/>
      <c r="Z1430" s="32"/>
    </row>
    <row r="1431">
      <c r="A1431" s="32"/>
      <c r="B1431" s="32"/>
      <c r="C1431" s="32"/>
      <c r="D1431" s="32"/>
      <c r="E1431" s="32"/>
      <c r="F1431" s="32"/>
      <c r="G1431" s="32"/>
      <c r="H1431" s="32"/>
      <c r="I1431" s="32"/>
      <c r="J1431" s="32"/>
      <c r="K1431" s="32"/>
      <c r="L1431" s="32"/>
      <c r="M1431" s="32"/>
      <c r="N1431" s="32"/>
      <c r="O1431" s="32"/>
      <c r="P1431" s="32"/>
      <c r="Q1431" s="32"/>
      <c r="R1431" s="32"/>
      <c r="S1431" s="32"/>
      <c r="T1431" s="32"/>
      <c r="U1431" s="32"/>
      <c r="V1431" s="32"/>
      <c r="W1431" s="32"/>
      <c r="X1431" s="32"/>
      <c r="Y1431" s="32"/>
      <c r="Z1431" s="32"/>
    </row>
    <row r="1432">
      <c r="A1432" s="32"/>
      <c r="B1432" s="32"/>
      <c r="C1432" s="32"/>
      <c r="D1432" s="32"/>
      <c r="E1432" s="32"/>
      <c r="F1432" s="32"/>
      <c r="G1432" s="32"/>
      <c r="H1432" s="32"/>
      <c r="I1432" s="32"/>
      <c r="J1432" s="32"/>
      <c r="K1432" s="32"/>
      <c r="L1432" s="32"/>
      <c r="M1432" s="32"/>
      <c r="N1432" s="32"/>
      <c r="O1432" s="32"/>
      <c r="P1432" s="32"/>
      <c r="Q1432" s="32"/>
      <c r="R1432" s="32"/>
      <c r="S1432" s="32"/>
      <c r="T1432" s="32"/>
      <c r="U1432" s="32"/>
      <c r="V1432" s="32"/>
      <c r="W1432" s="32"/>
      <c r="X1432" s="32"/>
      <c r="Y1432" s="32"/>
      <c r="Z1432" s="32"/>
    </row>
    <row r="1433">
      <c r="A1433" s="32"/>
      <c r="B1433" s="32"/>
      <c r="C1433" s="32"/>
      <c r="D1433" s="32"/>
      <c r="E1433" s="32"/>
      <c r="F1433" s="32"/>
      <c r="G1433" s="32"/>
      <c r="H1433" s="32"/>
      <c r="I1433" s="32"/>
      <c r="J1433" s="32"/>
      <c r="K1433" s="32"/>
      <c r="L1433" s="32"/>
      <c r="M1433" s="32"/>
      <c r="N1433" s="32"/>
      <c r="O1433" s="32"/>
      <c r="P1433" s="32"/>
      <c r="Q1433" s="32"/>
      <c r="R1433" s="32"/>
      <c r="S1433" s="32"/>
      <c r="T1433" s="32"/>
      <c r="U1433" s="32"/>
      <c r="V1433" s="32"/>
      <c r="W1433" s="32"/>
      <c r="X1433" s="32"/>
      <c r="Y1433" s="32"/>
      <c r="Z1433" s="32"/>
    </row>
    <row r="1434">
      <c r="A1434" s="32"/>
      <c r="B1434" s="32"/>
      <c r="C1434" s="32"/>
      <c r="D1434" s="32"/>
      <c r="E1434" s="32"/>
      <c r="F1434" s="32"/>
      <c r="G1434" s="32"/>
      <c r="H1434" s="32"/>
      <c r="I1434" s="32"/>
      <c r="J1434" s="32"/>
      <c r="K1434" s="32"/>
      <c r="L1434" s="32"/>
      <c r="M1434" s="32"/>
      <c r="N1434" s="32"/>
      <c r="O1434" s="32"/>
      <c r="P1434" s="32"/>
      <c r="Q1434" s="32"/>
      <c r="R1434" s="32"/>
      <c r="S1434" s="32"/>
      <c r="T1434" s="32"/>
      <c r="U1434" s="32"/>
      <c r="V1434" s="32"/>
      <c r="W1434" s="32"/>
      <c r="X1434" s="32"/>
      <c r="Y1434" s="32"/>
      <c r="Z1434" s="32"/>
    </row>
    <row r="1435">
      <c r="A1435" s="32"/>
      <c r="B1435" s="32"/>
      <c r="C1435" s="32"/>
      <c r="D1435" s="32"/>
      <c r="E1435" s="32"/>
      <c r="F1435" s="32"/>
      <c r="G1435" s="32"/>
      <c r="H1435" s="32"/>
      <c r="I1435" s="32"/>
      <c r="J1435" s="32"/>
      <c r="K1435" s="32"/>
      <c r="L1435" s="32"/>
      <c r="M1435" s="32"/>
      <c r="N1435" s="32"/>
      <c r="O1435" s="32"/>
      <c r="P1435" s="32"/>
      <c r="Q1435" s="32"/>
      <c r="R1435" s="32"/>
      <c r="S1435" s="32"/>
      <c r="T1435" s="32"/>
      <c r="U1435" s="32"/>
      <c r="V1435" s="32"/>
      <c r="W1435" s="32"/>
      <c r="X1435" s="32"/>
      <c r="Y1435" s="32"/>
      <c r="Z1435" s="32"/>
    </row>
    <row r="1436">
      <c r="A1436" s="32"/>
      <c r="B1436" s="32"/>
      <c r="C1436" s="32"/>
      <c r="D1436" s="32"/>
      <c r="E1436" s="32"/>
      <c r="F1436" s="32"/>
      <c r="G1436" s="32"/>
      <c r="H1436" s="32"/>
      <c r="I1436" s="32"/>
      <c r="J1436" s="32"/>
      <c r="K1436" s="32"/>
      <c r="L1436" s="32"/>
      <c r="M1436" s="32"/>
      <c r="N1436" s="32"/>
      <c r="O1436" s="32"/>
      <c r="P1436" s="32"/>
      <c r="Q1436" s="32"/>
      <c r="R1436" s="32"/>
      <c r="S1436" s="32"/>
      <c r="T1436" s="32"/>
      <c r="U1436" s="32"/>
      <c r="V1436" s="32"/>
      <c r="W1436" s="32"/>
      <c r="X1436" s="32"/>
      <c r="Y1436" s="32"/>
      <c r="Z1436" s="32"/>
    </row>
    <row r="1437">
      <c r="A1437" s="32"/>
      <c r="B1437" s="32"/>
      <c r="C1437" s="32"/>
      <c r="D1437" s="32"/>
      <c r="E1437" s="32"/>
      <c r="F1437" s="32"/>
      <c r="G1437" s="32"/>
      <c r="H1437" s="32"/>
      <c r="I1437" s="32"/>
      <c r="J1437" s="32"/>
      <c r="K1437" s="32"/>
      <c r="L1437" s="32"/>
      <c r="M1437" s="32"/>
      <c r="N1437" s="32"/>
      <c r="O1437" s="32"/>
      <c r="P1437" s="32"/>
      <c r="Q1437" s="32"/>
      <c r="R1437" s="32"/>
      <c r="S1437" s="32"/>
      <c r="T1437" s="32"/>
      <c r="U1437" s="32"/>
      <c r="V1437" s="32"/>
      <c r="W1437" s="32"/>
      <c r="X1437" s="32"/>
      <c r="Y1437" s="32"/>
      <c r="Z1437" s="32"/>
    </row>
    <row r="1438">
      <c r="A1438" s="32"/>
      <c r="B1438" s="32"/>
      <c r="C1438" s="32"/>
      <c r="D1438" s="32"/>
      <c r="E1438" s="32"/>
      <c r="F1438" s="32"/>
      <c r="G1438" s="32"/>
      <c r="H1438" s="32"/>
      <c r="I1438" s="32"/>
      <c r="J1438" s="32"/>
      <c r="K1438" s="32"/>
      <c r="L1438" s="32"/>
      <c r="M1438" s="32"/>
      <c r="N1438" s="32"/>
      <c r="O1438" s="32"/>
      <c r="P1438" s="32"/>
      <c r="Q1438" s="32"/>
      <c r="R1438" s="32"/>
      <c r="S1438" s="32"/>
      <c r="T1438" s="32"/>
      <c r="U1438" s="32"/>
      <c r="V1438" s="32"/>
      <c r="W1438" s="32"/>
      <c r="X1438" s="32"/>
      <c r="Y1438" s="32"/>
      <c r="Z1438" s="32"/>
    </row>
    <row r="1439">
      <c r="A1439" s="32"/>
      <c r="B1439" s="32"/>
      <c r="C1439" s="32"/>
      <c r="D1439" s="32"/>
      <c r="E1439" s="32"/>
      <c r="F1439" s="32"/>
      <c r="G1439" s="32"/>
      <c r="H1439" s="32"/>
      <c r="I1439" s="32"/>
      <c r="J1439" s="32"/>
      <c r="K1439" s="32"/>
      <c r="L1439" s="32"/>
      <c r="M1439" s="32"/>
      <c r="N1439" s="32"/>
      <c r="O1439" s="32"/>
      <c r="P1439" s="32"/>
      <c r="Q1439" s="32"/>
      <c r="R1439" s="32"/>
      <c r="S1439" s="32"/>
      <c r="T1439" s="32"/>
      <c r="U1439" s="32"/>
      <c r="V1439" s="32"/>
      <c r="W1439" s="32"/>
      <c r="X1439" s="32"/>
      <c r="Y1439" s="32"/>
      <c r="Z1439" s="32"/>
    </row>
    <row r="1440">
      <c r="A1440" s="32"/>
      <c r="B1440" s="32"/>
      <c r="C1440" s="32"/>
      <c r="D1440" s="32"/>
      <c r="E1440" s="32"/>
      <c r="F1440" s="32"/>
      <c r="G1440" s="32"/>
      <c r="H1440" s="32"/>
      <c r="I1440" s="32"/>
      <c r="J1440" s="32"/>
      <c r="K1440" s="32"/>
      <c r="L1440" s="32"/>
      <c r="M1440" s="32"/>
      <c r="N1440" s="32"/>
      <c r="O1440" s="32"/>
      <c r="P1440" s="32"/>
      <c r="Q1440" s="32"/>
      <c r="R1440" s="32"/>
      <c r="S1440" s="32"/>
      <c r="T1440" s="32"/>
      <c r="U1440" s="32"/>
      <c r="V1440" s="32"/>
      <c r="W1440" s="32"/>
      <c r="X1440" s="32"/>
      <c r="Y1440" s="32"/>
      <c r="Z1440" s="32"/>
    </row>
    <row r="1441">
      <c r="A1441" s="32"/>
      <c r="B1441" s="32"/>
      <c r="C1441" s="32"/>
      <c r="D1441" s="32"/>
      <c r="E1441" s="32"/>
      <c r="F1441" s="32"/>
      <c r="G1441" s="32"/>
      <c r="H1441" s="32"/>
      <c r="I1441" s="32"/>
      <c r="J1441" s="32"/>
      <c r="K1441" s="32"/>
      <c r="L1441" s="32"/>
      <c r="M1441" s="32"/>
      <c r="N1441" s="32"/>
      <c r="O1441" s="32"/>
      <c r="P1441" s="32"/>
      <c r="Q1441" s="32"/>
      <c r="R1441" s="32"/>
      <c r="S1441" s="32"/>
      <c r="T1441" s="32"/>
      <c r="U1441" s="32"/>
      <c r="V1441" s="32"/>
      <c r="W1441" s="32"/>
      <c r="X1441" s="32"/>
      <c r="Y1441" s="32"/>
      <c r="Z1441" s="32"/>
    </row>
    <row r="1442">
      <c r="A1442" s="32"/>
      <c r="B1442" s="32"/>
      <c r="C1442" s="32"/>
      <c r="D1442" s="32"/>
      <c r="E1442" s="32"/>
      <c r="F1442" s="32"/>
      <c r="G1442" s="32"/>
      <c r="H1442" s="32"/>
      <c r="I1442" s="32"/>
      <c r="J1442" s="32"/>
      <c r="K1442" s="32"/>
      <c r="L1442" s="32"/>
      <c r="M1442" s="32"/>
      <c r="N1442" s="32"/>
      <c r="O1442" s="32"/>
      <c r="P1442" s="32"/>
      <c r="Q1442" s="32"/>
      <c r="R1442" s="32"/>
      <c r="S1442" s="32"/>
      <c r="T1442" s="32"/>
      <c r="U1442" s="32"/>
      <c r="V1442" s="32"/>
      <c r="W1442" s="32"/>
      <c r="X1442" s="32"/>
      <c r="Y1442" s="32"/>
      <c r="Z1442" s="32"/>
    </row>
    <row r="1443">
      <c r="A1443" s="32"/>
      <c r="B1443" s="32"/>
      <c r="C1443" s="32"/>
      <c r="D1443" s="32"/>
      <c r="E1443" s="32"/>
      <c r="F1443" s="32"/>
      <c r="G1443" s="32"/>
      <c r="H1443" s="32"/>
      <c r="I1443" s="32"/>
      <c r="J1443" s="32"/>
      <c r="K1443" s="32"/>
      <c r="L1443" s="32"/>
      <c r="M1443" s="32"/>
      <c r="N1443" s="32"/>
      <c r="O1443" s="32"/>
      <c r="P1443" s="32"/>
      <c r="Q1443" s="32"/>
      <c r="R1443" s="32"/>
      <c r="S1443" s="32"/>
      <c r="T1443" s="32"/>
      <c r="U1443" s="32"/>
      <c r="V1443" s="32"/>
      <c r="W1443" s="32"/>
      <c r="X1443" s="32"/>
      <c r="Y1443" s="32"/>
      <c r="Z1443" s="32"/>
    </row>
    <row r="1444">
      <c r="A1444" s="32"/>
      <c r="B1444" s="32"/>
      <c r="C1444" s="32"/>
      <c r="D1444" s="32"/>
      <c r="E1444" s="32"/>
      <c r="F1444" s="32"/>
      <c r="G1444" s="32"/>
      <c r="H1444" s="32"/>
      <c r="I1444" s="32"/>
      <c r="J1444" s="32"/>
      <c r="K1444" s="32"/>
      <c r="L1444" s="32"/>
      <c r="M1444" s="32"/>
      <c r="N1444" s="32"/>
      <c r="O1444" s="32"/>
      <c r="P1444" s="32"/>
      <c r="Q1444" s="32"/>
      <c r="R1444" s="32"/>
      <c r="S1444" s="32"/>
      <c r="T1444" s="32"/>
      <c r="U1444" s="32"/>
      <c r="V1444" s="32"/>
      <c r="W1444" s="32"/>
      <c r="X1444" s="32"/>
      <c r="Y1444" s="32"/>
      <c r="Z1444" s="32"/>
    </row>
    <row r="1445">
      <c r="A1445" s="32"/>
      <c r="B1445" s="32"/>
      <c r="C1445" s="32"/>
      <c r="D1445" s="32"/>
      <c r="E1445" s="32"/>
      <c r="F1445" s="32"/>
      <c r="G1445" s="32"/>
      <c r="H1445" s="32"/>
      <c r="I1445" s="32"/>
      <c r="J1445" s="32"/>
      <c r="K1445" s="32"/>
      <c r="L1445" s="32"/>
      <c r="M1445" s="32"/>
      <c r="N1445" s="32"/>
      <c r="O1445" s="32"/>
      <c r="P1445" s="32"/>
      <c r="Q1445" s="32"/>
      <c r="R1445" s="32"/>
      <c r="S1445" s="32"/>
      <c r="T1445" s="32"/>
      <c r="U1445" s="32"/>
      <c r="V1445" s="32"/>
      <c r="W1445" s="32"/>
      <c r="X1445" s="32"/>
      <c r="Y1445" s="32"/>
      <c r="Z1445" s="32"/>
    </row>
    <row r="1446">
      <c r="A1446" s="32"/>
      <c r="B1446" s="32"/>
      <c r="C1446" s="32"/>
      <c r="D1446" s="32"/>
      <c r="E1446" s="32"/>
      <c r="F1446" s="32"/>
      <c r="G1446" s="32"/>
      <c r="H1446" s="32"/>
      <c r="I1446" s="32"/>
      <c r="J1446" s="32"/>
      <c r="K1446" s="32"/>
      <c r="L1446" s="32"/>
      <c r="M1446" s="32"/>
      <c r="N1446" s="32"/>
      <c r="O1446" s="32"/>
      <c r="P1446" s="32"/>
      <c r="Q1446" s="32"/>
      <c r="R1446" s="32"/>
      <c r="S1446" s="32"/>
      <c r="T1446" s="32"/>
      <c r="U1446" s="32"/>
      <c r="V1446" s="32"/>
      <c r="W1446" s="32"/>
      <c r="X1446" s="32"/>
      <c r="Y1446" s="32"/>
      <c r="Z1446" s="32"/>
    </row>
    <row r="1447">
      <c r="A1447" s="32"/>
      <c r="B1447" s="32"/>
      <c r="C1447" s="32"/>
      <c r="D1447" s="32"/>
      <c r="E1447" s="32"/>
      <c r="F1447" s="32"/>
      <c r="G1447" s="32"/>
      <c r="H1447" s="32"/>
      <c r="I1447" s="32"/>
      <c r="J1447" s="32"/>
      <c r="K1447" s="32"/>
      <c r="L1447" s="32"/>
      <c r="M1447" s="32"/>
      <c r="N1447" s="32"/>
      <c r="O1447" s="32"/>
      <c r="P1447" s="32"/>
      <c r="Q1447" s="32"/>
      <c r="R1447" s="32"/>
      <c r="S1447" s="32"/>
      <c r="T1447" s="32"/>
      <c r="U1447" s="32"/>
      <c r="V1447" s="32"/>
      <c r="W1447" s="32"/>
      <c r="X1447" s="32"/>
      <c r="Y1447" s="32"/>
      <c r="Z1447" s="32"/>
    </row>
    <row r="1448">
      <c r="A1448" s="32"/>
      <c r="B1448" s="32"/>
      <c r="C1448" s="32"/>
      <c r="D1448" s="32"/>
      <c r="E1448" s="32"/>
      <c r="F1448" s="32"/>
      <c r="G1448" s="32"/>
      <c r="H1448" s="32"/>
      <c r="I1448" s="32"/>
      <c r="J1448" s="32"/>
      <c r="K1448" s="32"/>
      <c r="L1448" s="32"/>
      <c r="M1448" s="32"/>
      <c r="N1448" s="32"/>
      <c r="O1448" s="32"/>
      <c r="P1448" s="32"/>
      <c r="Q1448" s="32"/>
      <c r="R1448" s="32"/>
      <c r="S1448" s="32"/>
      <c r="T1448" s="32"/>
      <c r="U1448" s="32"/>
      <c r="V1448" s="32"/>
      <c r="W1448" s="32"/>
      <c r="X1448" s="32"/>
      <c r="Y1448" s="32"/>
      <c r="Z1448" s="32"/>
    </row>
    <row r="1449">
      <c r="A1449" s="32"/>
      <c r="B1449" s="32"/>
      <c r="C1449" s="32"/>
      <c r="D1449" s="32"/>
      <c r="E1449" s="32"/>
      <c r="F1449" s="32"/>
      <c r="G1449" s="32"/>
      <c r="H1449" s="32"/>
      <c r="I1449" s="32"/>
      <c r="J1449" s="32"/>
      <c r="K1449" s="32"/>
      <c r="L1449" s="32"/>
      <c r="M1449" s="32"/>
      <c r="N1449" s="32"/>
      <c r="O1449" s="32"/>
      <c r="P1449" s="32"/>
      <c r="Q1449" s="32"/>
      <c r="R1449" s="32"/>
      <c r="S1449" s="32"/>
      <c r="T1449" s="32"/>
      <c r="U1449" s="32"/>
      <c r="V1449" s="32"/>
      <c r="W1449" s="32"/>
      <c r="X1449" s="32"/>
      <c r="Y1449" s="32"/>
      <c r="Z1449" s="32"/>
    </row>
    <row r="1450">
      <c r="A1450" s="32"/>
      <c r="B1450" s="32"/>
      <c r="C1450" s="32"/>
      <c r="D1450" s="32"/>
      <c r="E1450" s="32"/>
      <c r="F1450" s="32"/>
      <c r="G1450" s="32"/>
      <c r="H1450" s="32"/>
      <c r="I1450" s="32"/>
      <c r="J1450" s="32"/>
      <c r="K1450" s="32"/>
      <c r="L1450" s="32"/>
      <c r="M1450" s="32"/>
      <c r="N1450" s="32"/>
      <c r="O1450" s="32"/>
      <c r="P1450" s="32"/>
      <c r="Q1450" s="32"/>
      <c r="R1450" s="32"/>
      <c r="S1450" s="32"/>
      <c r="T1450" s="32"/>
      <c r="U1450" s="32"/>
      <c r="V1450" s="32"/>
      <c r="W1450" s="32"/>
      <c r="X1450" s="32"/>
      <c r="Y1450" s="32"/>
      <c r="Z1450" s="32"/>
    </row>
    <row r="1451">
      <c r="A1451" s="32"/>
      <c r="B1451" s="32"/>
      <c r="C1451" s="32"/>
      <c r="D1451" s="32"/>
      <c r="E1451" s="32"/>
      <c r="F1451" s="32"/>
      <c r="G1451" s="32"/>
      <c r="H1451" s="32"/>
      <c r="I1451" s="32"/>
      <c r="J1451" s="32"/>
      <c r="K1451" s="32"/>
      <c r="L1451" s="32"/>
      <c r="M1451" s="32"/>
      <c r="N1451" s="32"/>
      <c r="O1451" s="32"/>
      <c r="P1451" s="32"/>
      <c r="Q1451" s="32"/>
      <c r="R1451" s="32"/>
      <c r="S1451" s="32"/>
      <c r="T1451" s="32"/>
      <c r="U1451" s="32"/>
      <c r="V1451" s="32"/>
      <c r="W1451" s="32"/>
      <c r="X1451" s="32"/>
      <c r="Y1451" s="32"/>
      <c r="Z1451" s="32"/>
    </row>
    <row r="1452">
      <c r="A1452" s="32"/>
      <c r="B1452" s="32"/>
      <c r="C1452" s="32"/>
      <c r="D1452" s="32"/>
      <c r="E1452" s="32"/>
      <c r="F1452" s="32"/>
      <c r="G1452" s="32"/>
      <c r="H1452" s="32"/>
      <c r="I1452" s="32"/>
      <c r="J1452" s="32"/>
      <c r="K1452" s="32"/>
      <c r="L1452" s="32"/>
      <c r="M1452" s="32"/>
      <c r="N1452" s="32"/>
      <c r="O1452" s="32"/>
      <c r="P1452" s="32"/>
      <c r="Q1452" s="32"/>
      <c r="R1452" s="32"/>
      <c r="S1452" s="32"/>
      <c r="T1452" s="32"/>
      <c r="U1452" s="32"/>
      <c r="V1452" s="32"/>
      <c r="W1452" s="32"/>
      <c r="X1452" s="32"/>
      <c r="Y1452" s="32"/>
      <c r="Z1452" s="32"/>
    </row>
    <row r="1453">
      <c r="A1453" s="32"/>
      <c r="B1453" s="32"/>
      <c r="C1453" s="32"/>
      <c r="D1453" s="32"/>
      <c r="E1453" s="32"/>
      <c r="F1453" s="32"/>
      <c r="G1453" s="32"/>
      <c r="H1453" s="32"/>
      <c r="I1453" s="32"/>
      <c r="J1453" s="32"/>
      <c r="K1453" s="32"/>
      <c r="L1453" s="32"/>
      <c r="M1453" s="32"/>
      <c r="N1453" s="32"/>
      <c r="O1453" s="32"/>
      <c r="P1453" s="32"/>
      <c r="Q1453" s="32"/>
      <c r="R1453" s="32"/>
      <c r="S1453" s="32"/>
      <c r="T1453" s="32"/>
      <c r="U1453" s="32"/>
      <c r="V1453" s="32"/>
      <c r="W1453" s="32"/>
      <c r="X1453" s="32"/>
      <c r="Y1453" s="32"/>
      <c r="Z1453" s="32"/>
    </row>
    <row r="1454">
      <c r="A1454" s="32"/>
      <c r="B1454" s="32"/>
      <c r="C1454" s="32"/>
      <c r="D1454" s="32"/>
      <c r="E1454" s="32"/>
      <c r="F1454" s="32"/>
      <c r="G1454" s="32"/>
      <c r="H1454" s="32"/>
      <c r="I1454" s="32"/>
      <c r="J1454" s="32"/>
      <c r="K1454" s="32"/>
      <c r="L1454" s="32"/>
      <c r="M1454" s="32"/>
      <c r="N1454" s="32"/>
      <c r="O1454" s="32"/>
      <c r="P1454" s="32"/>
      <c r="Q1454" s="32"/>
      <c r="R1454" s="32"/>
      <c r="S1454" s="32"/>
      <c r="T1454" s="32"/>
      <c r="U1454" s="32"/>
      <c r="V1454" s="32"/>
      <c r="W1454" s="32"/>
      <c r="X1454" s="32"/>
      <c r="Y1454" s="32"/>
      <c r="Z1454" s="32"/>
    </row>
    <row r="1455">
      <c r="A1455" s="32"/>
      <c r="B1455" s="32"/>
      <c r="C1455" s="32"/>
      <c r="D1455" s="32"/>
      <c r="E1455" s="32"/>
      <c r="F1455" s="32"/>
      <c r="G1455" s="32"/>
      <c r="H1455" s="32"/>
      <c r="I1455" s="32"/>
      <c r="J1455" s="32"/>
      <c r="K1455" s="32"/>
      <c r="L1455" s="32"/>
      <c r="M1455" s="32"/>
      <c r="N1455" s="32"/>
      <c r="O1455" s="32"/>
      <c r="P1455" s="32"/>
      <c r="Q1455" s="32"/>
      <c r="R1455" s="32"/>
      <c r="S1455" s="32"/>
      <c r="T1455" s="32"/>
      <c r="U1455" s="32"/>
      <c r="V1455" s="32"/>
      <c r="W1455" s="32"/>
      <c r="X1455" s="32"/>
      <c r="Y1455" s="32"/>
      <c r="Z1455" s="32"/>
    </row>
    <row r="1456">
      <c r="A1456" s="32"/>
      <c r="B1456" s="32"/>
      <c r="C1456" s="32"/>
      <c r="D1456" s="32"/>
      <c r="E1456" s="32"/>
      <c r="F1456" s="32"/>
      <c r="G1456" s="32"/>
      <c r="H1456" s="32"/>
      <c r="I1456" s="32"/>
      <c r="J1456" s="32"/>
      <c r="K1456" s="32"/>
      <c r="L1456" s="32"/>
      <c r="M1456" s="32"/>
      <c r="N1456" s="32"/>
      <c r="O1456" s="32"/>
      <c r="P1456" s="32"/>
      <c r="Q1456" s="32"/>
      <c r="R1456" s="32"/>
      <c r="S1456" s="32"/>
      <c r="T1456" s="32"/>
      <c r="U1456" s="32"/>
      <c r="V1456" s="32"/>
      <c r="W1456" s="32"/>
      <c r="X1456" s="32"/>
      <c r="Y1456" s="32"/>
      <c r="Z1456" s="32"/>
    </row>
    <row r="1457">
      <c r="A1457" s="32"/>
      <c r="B1457" s="32"/>
      <c r="C1457" s="32"/>
      <c r="D1457" s="32"/>
      <c r="E1457" s="32"/>
      <c r="F1457" s="32"/>
      <c r="G1457" s="32"/>
      <c r="H1457" s="32"/>
      <c r="I1457" s="32"/>
      <c r="J1457" s="32"/>
      <c r="K1457" s="32"/>
      <c r="L1457" s="32"/>
      <c r="M1457" s="32"/>
      <c r="N1457" s="32"/>
      <c r="O1457" s="32"/>
      <c r="P1457" s="32"/>
      <c r="Q1457" s="32"/>
      <c r="R1457" s="32"/>
      <c r="S1457" s="32"/>
      <c r="T1457" s="32"/>
      <c r="U1457" s="32"/>
      <c r="V1457" s="32"/>
      <c r="W1457" s="32"/>
      <c r="X1457" s="32"/>
      <c r="Y1457" s="32"/>
      <c r="Z1457" s="32"/>
    </row>
    <row r="1458">
      <c r="A1458" s="32"/>
      <c r="B1458" s="32"/>
      <c r="C1458" s="32"/>
      <c r="D1458" s="32"/>
      <c r="E1458" s="32"/>
      <c r="F1458" s="32"/>
      <c r="G1458" s="32"/>
      <c r="H1458" s="32"/>
      <c r="I1458" s="32"/>
      <c r="J1458" s="32"/>
      <c r="K1458" s="32"/>
      <c r="L1458" s="32"/>
      <c r="M1458" s="32"/>
      <c r="N1458" s="32"/>
      <c r="O1458" s="32"/>
      <c r="P1458" s="32"/>
      <c r="Q1458" s="32"/>
      <c r="R1458" s="32"/>
      <c r="S1458" s="32"/>
      <c r="T1458" s="32"/>
      <c r="U1458" s="32"/>
      <c r="V1458" s="32"/>
      <c r="W1458" s="32"/>
      <c r="X1458" s="32"/>
      <c r="Y1458" s="32"/>
      <c r="Z1458" s="32"/>
    </row>
    <row r="1459">
      <c r="A1459" s="32"/>
      <c r="B1459" s="32"/>
      <c r="C1459" s="32"/>
      <c r="D1459" s="32"/>
      <c r="E1459" s="32"/>
      <c r="F1459" s="32"/>
      <c r="G1459" s="32"/>
      <c r="H1459" s="32"/>
      <c r="I1459" s="32"/>
      <c r="J1459" s="32"/>
      <c r="K1459" s="32"/>
      <c r="L1459" s="32"/>
      <c r="M1459" s="32"/>
      <c r="N1459" s="32"/>
      <c r="O1459" s="32"/>
      <c r="P1459" s="32"/>
      <c r="Q1459" s="32"/>
      <c r="R1459" s="32"/>
      <c r="S1459" s="32"/>
      <c r="T1459" s="32"/>
      <c r="U1459" s="32"/>
      <c r="V1459" s="32"/>
      <c r="W1459" s="32"/>
      <c r="X1459" s="32"/>
      <c r="Y1459" s="32"/>
      <c r="Z1459" s="32"/>
    </row>
    <row r="1460">
      <c r="A1460" s="32"/>
      <c r="B1460" s="32"/>
      <c r="C1460" s="32"/>
      <c r="D1460" s="32"/>
      <c r="E1460" s="32"/>
      <c r="F1460" s="32"/>
      <c r="G1460" s="32"/>
      <c r="H1460" s="32"/>
      <c r="I1460" s="32"/>
      <c r="J1460" s="32"/>
      <c r="K1460" s="32"/>
      <c r="L1460" s="32"/>
      <c r="M1460" s="32"/>
      <c r="N1460" s="32"/>
      <c r="O1460" s="32"/>
      <c r="P1460" s="32"/>
      <c r="Q1460" s="32"/>
      <c r="R1460" s="32"/>
      <c r="S1460" s="32"/>
      <c r="T1460" s="32"/>
      <c r="U1460" s="32"/>
      <c r="V1460" s="32"/>
      <c r="W1460" s="32"/>
      <c r="X1460" s="32"/>
      <c r="Y1460" s="32"/>
      <c r="Z1460" s="32"/>
    </row>
    <row r="1461">
      <c r="A1461" s="32"/>
      <c r="B1461" s="32"/>
      <c r="C1461" s="32"/>
      <c r="D1461" s="32"/>
      <c r="E1461" s="32"/>
      <c r="F1461" s="32"/>
      <c r="G1461" s="32"/>
      <c r="H1461" s="32"/>
      <c r="I1461" s="32"/>
      <c r="J1461" s="32"/>
      <c r="K1461" s="32"/>
      <c r="L1461" s="32"/>
      <c r="M1461" s="32"/>
      <c r="N1461" s="32"/>
      <c r="O1461" s="32"/>
      <c r="P1461" s="32"/>
      <c r="Q1461" s="32"/>
      <c r="R1461" s="32"/>
      <c r="S1461" s="32"/>
      <c r="T1461" s="32"/>
      <c r="U1461" s="32"/>
      <c r="V1461" s="32"/>
      <c r="W1461" s="32"/>
      <c r="X1461" s="32"/>
      <c r="Y1461" s="32"/>
      <c r="Z1461" s="32"/>
    </row>
    <row r="1462">
      <c r="A1462" s="32"/>
      <c r="B1462" s="32"/>
      <c r="C1462" s="32"/>
      <c r="D1462" s="32"/>
      <c r="E1462" s="32"/>
      <c r="F1462" s="32"/>
      <c r="G1462" s="32"/>
      <c r="H1462" s="32"/>
      <c r="I1462" s="32"/>
      <c r="J1462" s="32"/>
      <c r="K1462" s="32"/>
      <c r="L1462" s="32"/>
      <c r="M1462" s="32"/>
      <c r="N1462" s="32"/>
      <c r="O1462" s="32"/>
      <c r="P1462" s="32"/>
      <c r="Q1462" s="32"/>
      <c r="R1462" s="32"/>
      <c r="S1462" s="32"/>
      <c r="T1462" s="32"/>
      <c r="U1462" s="32"/>
      <c r="V1462" s="32"/>
      <c r="W1462" s="32"/>
      <c r="X1462" s="32"/>
      <c r="Y1462" s="32"/>
      <c r="Z1462" s="32"/>
    </row>
    <row r="1463">
      <c r="A1463" s="32"/>
      <c r="B1463" s="32"/>
      <c r="C1463" s="32"/>
      <c r="D1463" s="32"/>
      <c r="E1463" s="32"/>
      <c r="F1463" s="32"/>
      <c r="G1463" s="32"/>
      <c r="H1463" s="32"/>
      <c r="I1463" s="32"/>
      <c r="J1463" s="32"/>
      <c r="K1463" s="32"/>
      <c r="L1463" s="32"/>
      <c r="M1463" s="32"/>
      <c r="N1463" s="32"/>
      <c r="O1463" s="32"/>
      <c r="P1463" s="32"/>
      <c r="Q1463" s="32"/>
      <c r="R1463" s="32"/>
      <c r="S1463" s="32"/>
      <c r="T1463" s="32"/>
      <c r="U1463" s="32"/>
      <c r="V1463" s="32"/>
      <c r="W1463" s="32"/>
      <c r="X1463" s="32"/>
      <c r="Y1463" s="32"/>
      <c r="Z1463" s="32"/>
    </row>
    <row r="1464">
      <c r="A1464" s="32"/>
      <c r="B1464" s="32"/>
      <c r="C1464" s="32"/>
      <c r="D1464" s="32"/>
      <c r="E1464" s="32"/>
      <c r="F1464" s="32"/>
      <c r="G1464" s="32"/>
      <c r="H1464" s="32"/>
      <c r="I1464" s="32"/>
      <c r="J1464" s="32"/>
      <c r="K1464" s="32"/>
      <c r="L1464" s="32"/>
      <c r="M1464" s="32"/>
      <c r="N1464" s="32"/>
      <c r="O1464" s="32"/>
      <c r="P1464" s="32"/>
      <c r="Q1464" s="32"/>
      <c r="R1464" s="32"/>
      <c r="S1464" s="32"/>
      <c r="T1464" s="32"/>
      <c r="U1464" s="32"/>
      <c r="V1464" s="32"/>
      <c r="W1464" s="32"/>
      <c r="X1464" s="32"/>
      <c r="Y1464" s="32"/>
      <c r="Z1464" s="32"/>
    </row>
    <row r="1465">
      <c r="A1465" s="32"/>
      <c r="B1465" s="32"/>
      <c r="C1465" s="32"/>
      <c r="D1465" s="32"/>
      <c r="E1465" s="32"/>
      <c r="F1465" s="32"/>
      <c r="G1465" s="32"/>
      <c r="H1465" s="32"/>
      <c r="I1465" s="32"/>
      <c r="J1465" s="32"/>
      <c r="K1465" s="32"/>
      <c r="L1465" s="32"/>
      <c r="M1465" s="32"/>
      <c r="N1465" s="32"/>
      <c r="O1465" s="32"/>
      <c r="P1465" s="32"/>
      <c r="Q1465" s="32"/>
      <c r="R1465" s="32"/>
      <c r="S1465" s="32"/>
      <c r="T1465" s="32"/>
      <c r="U1465" s="32"/>
      <c r="V1465" s="32"/>
      <c r="W1465" s="32"/>
      <c r="X1465" s="32"/>
      <c r="Y1465" s="32"/>
      <c r="Z1465" s="32"/>
    </row>
    <row r="1466">
      <c r="A1466" s="32"/>
      <c r="B1466" s="32"/>
      <c r="C1466" s="32"/>
      <c r="D1466" s="32"/>
      <c r="E1466" s="32"/>
      <c r="F1466" s="32"/>
      <c r="G1466" s="32"/>
      <c r="H1466" s="32"/>
      <c r="I1466" s="32"/>
      <c r="J1466" s="32"/>
      <c r="K1466" s="32"/>
      <c r="L1466" s="32"/>
      <c r="M1466" s="32"/>
      <c r="N1466" s="32"/>
      <c r="O1466" s="32"/>
      <c r="P1466" s="32"/>
      <c r="Q1466" s="32"/>
      <c r="R1466" s="32"/>
      <c r="S1466" s="32"/>
      <c r="T1466" s="32"/>
      <c r="U1466" s="32"/>
      <c r="V1466" s="32"/>
      <c r="W1466" s="32"/>
      <c r="X1466" s="32"/>
      <c r="Y1466" s="32"/>
      <c r="Z1466" s="32"/>
    </row>
    <row r="1467">
      <c r="A1467" s="32"/>
      <c r="B1467" s="32"/>
      <c r="C1467" s="32"/>
      <c r="D1467" s="32"/>
      <c r="E1467" s="32"/>
      <c r="F1467" s="32"/>
      <c r="G1467" s="32"/>
      <c r="H1467" s="32"/>
      <c r="I1467" s="32"/>
      <c r="J1467" s="32"/>
      <c r="K1467" s="32"/>
      <c r="L1467" s="32"/>
      <c r="M1467" s="32"/>
      <c r="N1467" s="32"/>
      <c r="O1467" s="32"/>
      <c r="P1467" s="32"/>
      <c r="Q1467" s="32"/>
      <c r="R1467" s="32"/>
      <c r="S1467" s="32"/>
      <c r="T1467" s="32"/>
      <c r="U1467" s="32"/>
      <c r="V1467" s="32"/>
      <c r="W1467" s="32"/>
      <c r="X1467" s="32"/>
      <c r="Y1467" s="32"/>
      <c r="Z1467" s="32"/>
    </row>
    <row r="1468">
      <c r="A1468" s="32"/>
      <c r="B1468" s="32"/>
      <c r="C1468" s="32"/>
      <c r="D1468" s="32"/>
      <c r="E1468" s="32"/>
      <c r="F1468" s="32"/>
      <c r="G1468" s="32"/>
      <c r="H1468" s="32"/>
      <c r="I1468" s="32"/>
      <c r="J1468" s="32"/>
      <c r="K1468" s="32"/>
      <c r="L1468" s="32"/>
      <c r="M1468" s="32"/>
      <c r="N1468" s="32"/>
      <c r="O1468" s="32"/>
      <c r="P1468" s="32"/>
      <c r="Q1468" s="32"/>
      <c r="R1468" s="32"/>
      <c r="S1468" s="32"/>
      <c r="T1468" s="32"/>
      <c r="U1468" s="32"/>
      <c r="V1468" s="32"/>
      <c r="W1468" s="32"/>
      <c r="X1468" s="32"/>
      <c r="Y1468" s="32"/>
      <c r="Z1468" s="32"/>
    </row>
    <row r="1469">
      <c r="A1469" s="32"/>
      <c r="B1469" s="32"/>
      <c r="C1469" s="32"/>
      <c r="D1469" s="32"/>
      <c r="E1469" s="32"/>
      <c r="F1469" s="32"/>
      <c r="G1469" s="32"/>
      <c r="H1469" s="32"/>
      <c r="I1469" s="32"/>
      <c r="J1469" s="32"/>
      <c r="K1469" s="32"/>
      <c r="L1469" s="32"/>
      <c r="M1469" s="32"/>
      <c r="N1469" s="32"/>
      <c r="O1469" s="32"/>
      <c r="P1469" s="32"/>
      <c r="Q1469" s="32"/>
      <c r="R1469" s="32"/>
      <c r="S1469" s="32"/>
      <c r="T1469" s="32"/>
      <c r="U1469" s="32"/>
      <c r="V1469" s="32"/>
      <c r="W1469" s="32"/>
      <c r="X1469" s="32"/>
      <c r="Y1469" s="32"/>
      <c r="Z1469" s="32"/>
    </row>
    <row r="1470">
      <c r="A1470" s="32"/>
      <c r="B1470" s="32"/>
      <c r="C1470" s="32"/>
      <c r="D1470" s="32"/>
      <c r="E1470" s="32"/>
      <c r="F1470" s="32"/>
      <c r="G1470" s="32"/>
      <c r="H1470" s="32"/>
      <c r="I1470" s="32"/>
      <c r="J1470" s="32"/>
      <c r="K1470" s="32"/>
      <c r="L1470" s="32"/>
      <c r="M1470" s="32"/>
      <c r="N1470" s="32"/>
      <c r="O1470" s="32"/>
      <c r="P1470" s="32"/>
      <c r="Q1470" s="32"/>
      <c r="R1470" s="32"/>
      <c r="S1470" s="32"/>
      <c r="T1470" s="32"/>
      <c r="U1470" s="32"/>
      <c r="V1470" s="32"/>
      <c r="W1470" s="32"/>
      <c r="X1470" s="32"/>
      <c r="Y1470" s="32"/>
      <c r="Z1470" s="32"/>
    </row>
    <row r="1471">
      <c r="A1471" s="32"/>
      <c r="B1471" s="32"/>
      <c r="C1471" s="32"/>
      <c r="D1471" s="32"/>
      <c r="E1471" s="32"/>
      <c r="F1471" s="32"/>
      <c r="G1471" s="32"/>
      <c r="H1471" s="32"/>
      <c r="I1471" s="32"/>
      <c r="J1471" s="32"/>
      <c r="K1471" s="32"/>
      <c r="L1471" s="32"/>
      <c r="M1471" s="32"/>
      <c r="N1471" s="32"/>
      <c r="O1471" s="32"/>
      <c r="P1471" s="32"/>
      <c r="Q1471" s="32"/>
      <c r="R1471" s="32"/>
      <c r="S1471" s="32"/>
      <c r="T1471" s="32"/>
      <c r="U1471" s="32"/>
      <c r="V1471" s="32"/>
      <c r="W1471" s="32"/>
      <c r="X1471" s="32"/>
      <c r="Y1471" s="32"/>
      <c r="Z1471" s="32"/>
    </row>
    <row r="1472">
      <c r="A1472" s="32"/>
      <c r="B1472" s="32"/>
      <c r="C1472" s="32"/>
      <c r="D1472" s="32"/>
      <c r="E1472" s="32"/>
      <c r="F1472" s="32"/>
      <c r="G1472" s="32"/>
      <c r="H1472" s="32"/>
      <c r="I1472" s="32"/>
      <c r="J1472" s="32"/>
      <c r="K1472" s="32"/>
      <c r="L1472" s="32"/>
      <c r="M1472" s="32"/>
      <c r="N1472" s="32"/>
      <c r="O1472" s="32"/>
      <c r="P1472" s="32"/>
      <c r="Q1472" s="32"/>
      <c r="R1472" s="32"/>
      <c r="S1472" s="32"/>
      <c r="T1472" s="32"/>
      <c r="U1472" s="32"/>
      <c r="V1472" s="32"/>
      <c r="W1472" s="32"/>
      <c r="X1472" s="32"/>
      <c r="Y1472" s="32"/>
      <c r="Z1472" s="32"/>
    </row>
    <row r="1473">
      <c r="A1473" s="32"/>
      <c r="B1473" s="32"/>
      <c r="C1473" s="32"/>
      <c r="D1473" s="32"/>
      <c r="E1473" s="32"/>
      <c r="F1473" s="32"/>
      <c r="G1473" s="32"/>
      <c r="H1473" s="32"/>
      <c r="I1473" s="32"/>
      <c r="J1473" s="32"/>
      <c r="K1473" s="32"/>
      <c r="L1473" s="32"/>
      <c r="M1473" s="32"/>
      <c r="N1473" s="32"/>
      <c r="O1473" s="32"/>
      <c r="P1473" s="32"/>
      <c r="Q1473" s="32"/>
      <c r="R1473" s="32"/>
      <c r="S1473" s="32"/>
      <c r="T1473" s="32"/>
      <c r="U1473" s="32"/>
      <c r="V1473" s="32"/>
      <c r="W1473" s="32"/>
      <c r="X1473" s="32"/>
      <c r="Y1473" s="32"/>
      <c r="Z1473" s="32"/>
    </row>
    <row r="1474">
      <c r="A1474" s="32"/>
      <c r="B1474" s="32"/>
      <c r="C1474" s="32"/>
      <c r="D1474" s="32"/>
      <c r="E1474" s="32"/>
      <c r="F1474" s="32"/>
      <c r="G1474" s="32"/>
      <c r="H1474" s="32"/>
      <c r="I1474" s="32"/>
      <c r="J1474" s="32"/>
      <c r="K1474" s="32"/>
      <c r="L1474" s="32"/>
      <c r="M1474" s="32"/>
      <c r="N1474" s="32"/>
      <c r="O1474" s="32"/>
      <c r="P1474" s="32"/>
      <c r="Q1474" s="32"/>
      <c r="R1474" s="32"/>
      <c r="S1474" s="32"/>
      <c r="T1474" s="32"/>
      <c r="U1474" s="32"/>
      <c r="V1474" s="32"/>
      <c r="W1474" s="32"/>
      <c r="X1474" s="32"/>
      <c r="Y1474" s="32"/>
      <c r="Z1474" s="32"/>
    </row>
    <row r="1475">
      <c r="A1475" s="32"/>
      <c r="B1475" s="32"/>
      <c r="C1475" s="32"/>
      <c r="D1475" s="32"/>
      <c r="E1475" s="32"/>
      <c r="F1475" s="32"/>
      <c r="G1475" s="32"/>
      <c r="H1475" s="32"/>
      <c r="I1475" s="32"/>
      <c r="J1475" s="32"/>
      <c r="K1475" s="32"/>
      <c r="L1475" s="32"/>
      <c r="M1475" s="32"/>
      <c r="N1475" s="32"/>
      <c r="O1475" s="32"/>
      <c r="P1475" s="32"/>
      <c r="Q1475" s="32"/>
      <c r="R1475" s="32"/>
      <c r="S1475" s="32"/>
      <c r="T1475" s="32"/>
      <c r="U1475" s="32"/>
      <c r="V1475" s="32"/>
      <c r="W1475" s="32"/>
      <c r="X1475" s="32"/>
      <c r="Y1475" s="32"/>
      <c r="Z1475" s="32"/>
    </row>
    <row r="1476">
      <c r="A1476" s="32"/>
      <c r="B1476" s="32"/>
      <c r="C1476" s="32"/>
      <c r="D1476" s="32"/>
      <c r="E1476" s="32"/>
      <c r="F1476" s="32"/>
      <c r="G1476" s="32"/>
      <c r="H1476" s="32"/>
      <c r="I1476" s="32"/>
      <c r="J1476" s="32"/>
      <c r="K1476" s="32"/>
      <c r="L1476" s="32"/>
      <c r="M1476" s="32"/>
      <c r="N1476" s="32"/>
      <c r="O1476" s="32"/>
      <c r="P1476" s="32"/>
      <c r="Q1476" s="32"/>
      <c r="R1476" s="32"/>
      <c r="S1476" s="32"/>
      <c r="T1476" s="32"/>
      <c r="U1476" s="32"/>
      <c r="V1476" s="32"/>
      <c r="W1476" s="32"/>
      <c r="X1476" s="32"/>
      <c r="Y1476" s="32"/>
      <c r="Z1476" s="32"/>
    </row>
    <row r="1477">
      <c r="A1477" s="32"/>
      <c r="B1477" s="32"/>
      <c r="C1477" s="32"/>
      <c r="D1477" s="32"/>
      <c r="E1477" s="32"/>
      <c r="F1477" s="32"/>
      <c r="G1477" s="32"/>
      <c r="H1477" s="32"/>
      <c r="I1477" s="32"/>
      <c r="J1477" s="32"/>
      <c r="K1477" s="32"/>
      <c r="L1477" s="32"/>
      <c r="M1477" s="32"/>
      <c r="N1477" s="32"/>
      <c r="O1477" s="32"/>
      <c r="P1477" s="32"/>
      <c r="Q1477" s="32"/>
      <c r="R1477" s="32"/>
      <c r="S1477" s="32"/>
      <c r="T1477" s="32"/>
      <c r="U1477" s="32"/>
      <c r="V1477" s="32"/>
      <c r="W1477" s="32"/>
      <c r="X1477" s="32"/>
      <c r="Y1477" s="32"/>
      <c r="Z1477" s="32"/>
    </row>
    <row r="1478">
      <c r="A1478" s="32"/>
      <c r="B1478" s="32"/>
      <c r="C1478" s="32"/>
      <c r="D1478" s="32"/>
      <c r="E1478" s="32"/>
      <c r="F1478" s="32"/>
      <c r="G1478" s="32"/>
      <c r="H1478" s="32"/>
      <c r="I1478" s="32"/>
      <c r="J1478" s="32"/>
      <c r="K1478" s="32"/>
      <c r="L1478" s="32"/>
      <c r="M1478" s="32"/>
      <c r="N1478" s="32"/>
      <c r="O1478" s="32"/>
      <c r="P1478" s="32"/>
      <c r="Q1478" s="32"/>
      <c r="R1478" s="32"/>
      <c r="S1478" s="32"/>
      <c r="T1478" s="32"/>
      <c r="U1478" s="32"/>
      <c r="V1478" s="32"/>
      <c r="W1478" s="32"/>
      <c r="X1478" s="32"/>
      <c r="Y1478" s="32"/>
      <c r="Z1478" s="32"/>
    </row>
    <row r="1479">
      <c r="A1479" s="32"/>
      <c r="B1479" s="32"/>
      <c r="C1479" s="32"/>
      <c r="D1479" s="32"/>
      <c r="E1479" s="32"/>
      <c r="F1479" s="32"/>
      <c r="G1479" s="32"/>
      <c r="H1479" s="32"/>
      <c r="I1479" s="32"/>
      <c r="J1479" s="32"/>
      <c r="K1479" s="32"/>
      <c r="L1479" s="32"/>
      <c r="M1479" s="32"/>
      <c r="N1479" s="32"/>
      <c r="O1479" s="32"/>
      <c r="P1479" s="32"/>
      <c r="Q1479" s="32"/>
      <c r="R1479" s="32"/>
      <c r="S1479" s="32"/>
      <c r="T1479" s="32"/>
      <c r="U1479" s="32"/>
      <c r="V1479" s="32"/>
      <c r="W1479" s="32"/>
      <c r="X1479" s="32"/>
      <c r="Y1479" s="32"/>
      <c r="Z1479" s="32"/>
    </row>
    <row r="1480">
      <c r="A1480" s="32"/>
      <c r="B1480" s="32"/>
      <c r="C1480" s="32"/>
      <c r="D1480" s="32"/>
      <c r="E1480" s="32"/>
      <c r="F1480" s="32"/>
      <c r="G1480" s="32"/>
      <c r="H1480" s="32"/>
      <c r="I1480" s="32"/>
      <c r="J1480" s="32"/>
      <c r="K1480" s="32"/>
      <c r="L1480" s="32"/>
      <c r="M1480" s="32"/>
      <c r="N1480" s="32"/>
      <c r="O1480" s="32"/>
      <c r="P1480" s="32"/>
      <c r="Q1480" s="32"/>
      <c r="R1480" s="32"/>
      <c r="S1480" s="32"/>
      <c r="T1480" s="32"/>
      <c r="U1480" s="32"/>
      <c r="V1480" s="32"/>
      <c r="W1480" s="32"/>
      <c r="X1480" s="32"/>
      <c r="Y1480" s="32"/>
      <c r="Z1480" s="32"/>
    </row>
    <row r="1481">
      <c r="A1481" s="32"/>
      <c r="B1481" s="32"/>
      <c r="C1481" s="32"/>
      <c r="D1481" s="32"/>
      <c r="E1481" s="32"/>
      <c r="F1481" s="32"/>
      <c r="G1481" s="32"/>
      <c r="H1481" s="32"/>
      <c r="I1481" s="32"/>
      <c r="J1481" s="32"/>
      <c r="K1481" s="32"/>
      <c r="L1481" s="32"/>
      <c r="M1481" s="32"/>
      <c r="N1481" s="32"/>
      <c r="O1481" s="32"/>
      <c r="P1481" s="32"/>
      <c r="Q1481" s="32"/>
      <c r="R1481" s="32"/>
      <c r="S1481" s="32"/>
      <c r="T1481" s="32"/>
      <c r="U1481" s="32"/>
      <c r="V1481" s="32"/>
      <c r="W1481" s="32"/>
      <c r="X1481" s="32"/>
      <c r="Y1481" s="32"/>
      <c r="Z1481" s="32"/>
    </row>
    <row r="1482">
      <c r="A1482" s="32"/>
      <c r="B1482" s="32"/>
      <c r="C1482" s="32"/>
      <c r="D1482" s="32"/>
      <c r="E1482" s="32"/>
      <c r="F1482" s="32"/>
      <c r="G1482" s="32"/>
      <c r="H1482" s="32"/>
      <c r="I1482" s="32"/>
      <c r="J1482" s="32"/>
      <c r="K1482" s="32"/>
      <c r="L1482" s="32"/>
      <c r="M1482" s="32"/>
      <c r="N1482" s="32"/>
      <c r="O1482" s="32"/>
      <c r="P1482" s="32"/>
      <c r="Q1482" s="32"/>
      <c r="R1482" s="32"/>
      <c r="S1482" s="32"/>
      <c r="T1482" s="32"/>
      <c r="U1482" s="32"/>
      <c r="V1482" s="32"/>
      <c r="W1482" s="32"/>
      <c r="X1482" s="32"/>
      <c r="Y1482" s="32"/>
      <c r="Z1482" s="32"/>
    </row>
    <row r="1483">
      <c r="A1483" s="32"/>
      <c r="B1483" s="32"/>
      <c r="C1483" s="32"/>
      <c r="D1483" s="32"/>
      <c r="E1483" s="32"/>
      <c r="F1483" s="32"/>
      <c r="G1483" s="32"/>
      <c r="H1483" s="32"/>
      <c r="I1483" s="32"/>
      <c r="J1483" s="32"/>
      <c r="K1483" s="32"/>
      <c r="L1483" s="32"/>
      <c r="M1483" s="32"/>
      <c r="N1483" s="32"/>
      <c r="O1483" s="32"/>
      <c r="P1483" s="32"/>
      <c r="Q1483" s="32"/>
      <c r="R1483" s="32"/>
      <c r="S1483" s="32"/>
      <c r="T1483" s="32"/>
      <c r="U1483" s="32"/>
      <c r="V1483" s="32"/>
      <c r="W1483" s="32"/>
      <c r="X1483" s="32"/>
      <c r="Y1483" s="32"/>
      <c r="Z1483" s="32"/>
    </row>
    <row r="1484">
      <c r="A1484" s="32"/>
      <c r="B1484" s="32"/>
      <c r="C1484" s="32"/>
      <c r="D1484" s="32"/>
      <c r="E1484" s="32"/>
      <c r="F1484" s="32"/>
      <c r="G1484" s="32"/>
      <c r="H1484" s="32"/>
      <c r="I1484" s="32"/>
      <c r="J1484" s="32"/>
      <c r="K1484" s="32"/>
      <c r="L1484" s="32"/>
      <c r="M1484" s="32"/>
      <c r="N1484" s="32"/>
      <c r="O1484" s="32"/>
      <c r="P1484" s="32"/>
      <c r="Q1484" s="32"/>
      <c r="R1484" s="32"/>
      <c r="S1484" s="32"/>
      <c r="T1484" s="32"/>
      <c r="U1484" s="32"/>
      <c r="V1484" s="32"/>
      <c r="W1484" s="32"/>
      <c r="X1484" s="32"/>
      <c r="Y1484" s="32"/>
      <c r="Z1484" s="32"/>
    </row>
    <row r="1485">
      <c r="A1485" s="32"/>
      <c r="B1485" s="32"/>
      <c r="C1485" s="32"/>
      <c r="D1485" s="32"/>
      <c r="E1485" s="32"/>
      <c r="F1485" s="32"/>
      <c r="G1485" s="32"/>
      <c r="H1485" s="32"/>
      <c r="I1485" s="32"/>
      <c r="J1485" s="32"/>
      <c r="K1485" s="32"/>
      <c r="L1485" s="32"/>
      <c r="M1485" s="32"/>
      <c r="N1485" s="32"/>
      <c r="O1485" s="32"/>
      <c r="P1485" s="32"/>
      <c r="Q1485" s="32"/>
      <c r="R1485" s="32"/>
      <c r="S1485" s="32"/>
      <c r="T1485" s="32"/>
      <c r="U1485" s="32"/>
      <c r="V1485" s="32"/>
      <c r="W1485" s="32"/>
      <c r="X1485" s="32"/>
      <c r="Y1485" s="32"/>
      <c r="Z1485" s="32"/>
    </row>
    <row r="1486">
      <c r="A1486" s="32"/>
      <c r="B1486" s="32"/>
      <c r="C1486" s="32"/>
      <c r="D1486" s="32"/>
      <c r="E1486" s="32"/>
      <c r="F1486" s="32"/>
      <c r="G1486" s="32"/>
      <c r="H1486" s="32"/>
      <c r="I1486" s="32"/>
      <c r="J1486" s="32"/>
      <c r="K1486" s="32"/>
      <c r="L1486" s="32"/>
      <c r="M1486" s="32"/>
      <c r="N1486" s="32"/>
      <c r="O1486" s="32"/>
      <c r="P1486" s="32"/>
      <c r="Q1486" s="32"/>
      <c r="R1486" s="32"/>
      <c r="S1486" s="32"/>
      <c r="T1486" s="32"/>
      <c r="U1486" s="32"/>
      <c r="V1486" s="32"/>
      <c r="W1486" s="32"/>
      <c r="X1486" s="32"/>
      <c r="Y1486" s="32"/>
      <c r="Z1486" s="32"/>
    </row>
    <row r="1487">
      <c r="A1487" s="32"/>
      <c r="B1487" s="32"/>
      <c r="C1487" s="32"/>
      <c r="D1487" s="32"/>
      <c r="E1487" s="32"/>
      <c r="F1487" s="32"/>
      <c r="G1487" s="32"/>
      <c r="H1487" s="32"/>
      <c r="I1487" s="32"/>
      <c r="J1487" s="32"/>
      <c r="K1487" s="32"/>
      <c r="L1487" s="32"/>
      <c r="M1487" s="32"/>
      <c r="N1487" s="32"/>
      <c r="O1487" s="32"/>
      <c r="P1487" s="32"/>
      <c r="Q1487" s="32"/>
      <c r="R1487" s="32"/>
      <c r="S1487" s="32"/>
      <c r="T1487" s="32"/>
      <c r="U1487" s="32"/>
      <c r="V1487" s="32"/>
      <c r="W1487" s="32"/>
      <c r="X1487" s="32"/>
      <c r="Y1487" s="32"/>
      <c r="Z1487" s="32"/>
    </row>
    <row r="1488">
      <c r="A1488" s="32"/>
      <c r="B1488" s="32"/>
      <c r="C1488" s="32"/>
      <c r="D1488" s="32"/>
      <c r="E1488" s="32"/>
      <c r="F1488" s="32"/>
      <c r="G1488" s="32"/>
      <c r="H1488" s="32"/>
      <c r="I1488" s="32"/>
      <c r="J1488" s="32"/>
      <c r="K1488" s="32"/>
      <c r="L1488" s="32"/>
      <c r="M1488" s="32"/>
      <c r="N1488" s="32"/>
      <c r="O1488" s="32"/>
      <c r="P1488" s="32"/>
      <c r="Q1488" s="32"/>
      <c r="R1488" s="32"/>
      <c r="S1488" s="32"/>
      <c r="T1488" s="32"/>
      <c r="U1488" s="32"/>
      <c r="V1488" s="32"/>
      <c r="W1488" s="32"/>
      <c r="X1488" s="32"/>
      <c r="Y1488" s="32"/>
      <c r="Z1488" s="32"/>
    </row>
    <row r="1489">
      <c r="A1489" s="32"/>
      <c r="B1489" s="32"/>
      <c r="C1489" s="32"/>
      <c r="D1489" s="32"/>
      <c r="E1489" s="32"/>
      <c r="F1489" s="32"/>
      <c r="G1489" s="32"/>
      <c r="H1489" s="32"/>
      <c r="I1489" s="32"/>
      <c r="J1489" s="32"/>
      <c r="K1489" s="32"/>
      <c r="L1489" s="32"/>
      <c r="M1489" s="32"/>
      <c r="N1489" s="32"/>
      <c r="O1489" s="32"/>
      <c r="P1489" s="32"/>
      <c r="Q1489" s="32"/>
      <c r="R1489" s="32"/>
      <c r="S1489" s="32"/>
      <c r="T1489" s="32"/>
      <c r="U1489" s="32"/>
      <c r="V1489" s="32"/>
      <c r="W1489" s="32"/>
      <c r="X1489" s="32"/>
      <c r="Y1489" s="32"/>
      <c r="Z1489" s="32"/>
    </row>
    <row r="1490">
      <c r="A1490" s="32"/>
      <c r="B1490" s="32"/>
      <c r="C1490" s="32"/>
      <c r="D1490" s="32"/>
      <c r="E1490" s="32"/>
      <c r="F1490" s="32"/>
      <c r="G1490" s="32"/>
      <c r="H1490" s="32"/>
      <c r="I1490" s="32"/>
      <c r="J1490" s="32"/>
      <c r="K1490" s="32"/>
      <c r="L1490" s="32"/>
      <c r="M1490" s="32"/>
      <c r="N1490" s="32"/>
      <c r="O1490" s="32"/>
      <c r="P1490" s="32"/>
      <c r="Q1490" s="32"/>
      <c r="R1490" s="32"/>
      <c r="S1490" s="32"/>
      <c r="T1490" s="32"/>
      <c r="U1490" s="32"/>
      <c r="V1490" s="32"/>
      <c r="W1490" s="32"/>
      <c r="X1490" s="32"/>
      <c r="Y1490" s="32"/>
      <c r="Z1490" s="32"/>
    </row>
    <row r="1491">
      <c r="A1491" s="32"/>
      <c r="B1491" s="32"/>
      <c r="C1491" s="32"/>
      <c r="D1491" s="32"/>
      <c r="E1491" s="32"/>
      <c r="F1491" s="32"/>
      <c r="G1491" s="32"/>
      <c r="H1491" s="32"/>
      <c r="I1491" s="32"/>
      <c r="J1491" s="32"/>
      <c r="K1491" s="32"/>
      <c r="L1491" s="32"/>
      <c r="M1491" s="32"/>
      <c r="N1491" s="32"/>
      <c r="O1491" s="32"/>
      <c r="P1491" s="32"/>
      <c r="Q1491" s="32"/>
      <c r="R1491" s="32"/>
      <c r="S1491" s="32"/>
      <c r="T1491" s="32"/>
      <c r="U1491" s="32"/>
      <c r="V1491" s="32"/>
      <c r="W1491" s="32"/>
      <c r="X1491" s="32"/>
      <c r="Y1491" s="32"/>
      <c r="Z1491" s="32"/>
    </row>
    <row r="1492">
      <c r="A1492" s="32"/>
      <c r="B1492" s="32"/>
      <c r="C1492" s="32"/>
      <c r="D1492" s="32"/>
      <c r="E1492" s="32"/>
      <c r="F1492" s="32"/>
      <c r="G1492" s="32"/>
      <c r="H1492" s="32"/>
      <c r="I1492" s="32"/>
      <c r="J1492" s="32"/>
      <c r="K1492" s="32"/>
      <c r="L1492" s="32"/>
      <c r="M1492" s="32"/>
      <c r="N1492" s="32"/>
      <c r="O1492" s="32"/>
      <c r="P1492" s="32"/>
      <c r="Q1492" s="32"/>
      <c r="R1492" s="32"/>
      <c r="S1492" s="32"/>
      <c r="T1492" s="32"/>
      <c r="U1492" s="32"/>
      <c r="V1492" s="32"/>
      <c r="W1492" s="32"/>
      <c r="X1492" s="32"/>
      <c r="Y1492" s="32"/>
      <c r="Z1492" s="32"/>
    </row>
    <row r="1493">
      <c r="A1493" s="32"/>
      <c r="B1493" s="32"/>
      <c r="C1493" s="32"/>
      <c r="D1493" s="32"/>
      <c r="E1493" s="32"/>
      <c r="F1493" s="32"/>
      <c r="G1493" s="32"/>
      <c r="H1493" s="32"/>
      <c r="I1493" s="32"/>
      <c r="J1493" s="32"/>
      <c r="K1493" s="32"/>
      <c r="L1493" s="32"/>
      <c r="M1493" s="32"/>
      <c r="N1493" s="32"/>
      <c r="O1493" s="32"/>
      <c r="P1493" s="32"/>
      <c r="Q1493" s="32"/>
      <c r="R1493" s="32"/>
      <c r="S1493" s="32"/>
      <c r="T1493" s="32"/>
      <c r="U1493" s="32"/>
      <c r="V1493" s="32"/>
      <c r="W1493" s="32"/>
      <c r="X1493" s="32"/>
      <c r="Y1493" s="32"/>
      <c r="Z1493" s="32"/>
    </row>
    <row r="1494">
      <c r="A1494" s="32"/>
      <c r="B1494" s="32"/>
      <c r="C1494" s="32"/>
      <c r="D1494" s="32"/>
      <c r="E1494" s="32"/>
      <c r="F1494" s="32"/>
      <c r="G1494" s="32"/>
      <c r="H1494" s="32"/>
      <c r="I1494" s="32"/>
      <c r="J1494" s="32"/>
      <c r="K1494" s="32"/>
      <c r="L1494" s="32"/>
      <c r="M1494" s="32"/>
      <c r="N1494" s="32"/>
      <c r="O1494" s="32"/>
      <c r="P1494" s="32"/>
      <c r="Q1494" s="32"/>
      <c r="R1494" s="32"/>
      <c r="S1494" s="32"/>
      <c r="T1494" s="32"/>
      <c r="U1494" s="32"/>
      <c r="V1494" s="32"/>
      <c r="W1494" s="32"/>
      <c r="X1494" s="32"/>
      <c r="Y1494" s="32"/>
      <c r="Z1494" s="32"/>
    </row>
    <row r="1495">
      <c r="A1495" s="32"/>
      <c r="B1495" s="32"/>
      <c r="C1495" s="32"/>
      <c r="D1495" s="32"/>
      <c r="E1495" s="32"/>
      <c r="F1495" s="32"/>
      <c r="G1495" s="32"/>
      <c r="H1495" s="32"/>
      <c r="I1495" s="32"/>
      <c r="J1495" s="32"/>
      <c r="K1495" s="32"/>
      <c r="L1495" s="32"/>
      <c r="M1495" s="32"/>
      <c r="N1495" s="32"/>
      <c r="O1495" s="32"/>
      <c r="P1495" s="32"/>
      <c r="Q1495" s="32"/>
      <c r="R1495" s="32"/>
      <c r="S1495" s="32"/>
      <c r="T1495" s="32"/>
      <c r="U1495" s="32"/>
      <c r="V1495" s="32"/>
      <c r="W1495" s="32"/>
      <c r="X1495" s="32"/>
      <c r="Y1495" s="32"/>
      <c r="Z1495" s="32"/>
    </row>
    <row r="1496">
      <c r="A1496" s="32"/>
      <c r="B1496" s="32"/>
      <c r="C1496" s="32"/>
      <c r="D1496" s="32"/>
      <c r="E1496" s="32"/>
      <c r="F1496" s="32"/>
      <c r="G1496" s="32"/>
      <c r="H1496" s="32"/>
      <c r="I1496" s="32"/>
      <c r="J1496" s="32"/>
      <c r="K1496" s="32"/>
      <c r="L1496" s="32"/>
      <c r="M1496" s="32"/>
      <c r="N1496" s="32"/>
      <c r="O1496" s="32"/>
      <c r="P1496" s="32"/>
      <c r="Q1496" s="32"/>
      <c r="R1496" s="32"/>
      <c r="S1496" s="32"/>
      <c r="T1496" s="32"/>
      <c r="U1496" s="32"/>
      <c r="V1496" s="32"/>
      <c r="W1496" s="32"/>
      <c r="X1496" s="32"/>
      <c r="Y1496" s="32"/>
      <c r="Z1496" s="32"/>
    </row>
    <row r="1497">
      <c r="A1497" s="32"/>
      <c r="B1497" s="32"/>
      <c r="C1497" s="32"/>
      <c r="D1497" s="32"/>
      <c r="E1497" s="32"/>
      <c r="F1497" s="32"/>
      <c r="G1497" s="32"/>
      <c r="H1497" s="32"/>
      <c r="I1497" s="32"/>
      <c r="J1497" s="32"/>
      <c r="K1497" s="32"/>
      <c r="L1497" s="32"/>
      <c r="M1497" s="32"/>
      <c r="N1497" s="32"/>
      <c r="O1497" s="32"/>
      <c r="P1497" s="32"/>
      <c r="Q1497" s="32"/>
      <c r="R1497" s="32"/>
      <c r="S1497" s="32"/>
      <c r="T1497" s="32"/>
      <c r="U1497" s="32"/>
      <c r="V1497" s="32"/>
      <c r="W1497" s="32"/>
      <c r="X1497" s="32"/>
      <c r="Y1497" s="32"/>
      <c r="Z1497" s="32"/>
    </row>
    <row r="1498">
      <c r="A1498" s="32"/>
      <c r="B1498" s="32"/>
      <c r="C1498" s="32"/>
      <c r="D1498" s="32"/>
      <c r="E1498" s="32"/>
      <c r="F1498" s="32"/>
      <c r="G1498" s="32"/>
      <c r="H1498" s="32"/>
      <c r="I1498" s="32"/>
      <c r="J1498" s="32"/>
      <c r="K1498" s="32"/>
      <c r="L1498" s="32"/>
      <c r="M1498" s="32"/>
      <c r="N1498" s="32"/>
      <c r="O1498" s="32"/>
      <c r="P1498" s="32"/>
      <c r="Q1498" s="32"/>
      <c r="R1498" s="32"/>
      <c r="S1498" s="32"/>
      <c r="T1498" s="32"/>
      <c r="U1498" s="32"/>
      <c r="V1498" s="32"/>
      <c r="W1498" s="32"/>
      <c r="X1498" s="32"/>
      <c r="Y1498" s="32"/>
      <c r="Z1498" s="32"/>
    </row>
    <row r="1499">
      <c r="A1499" s="32"/>
      <c r="B1499" s="32"/>
      <c r="C1499" s="32"/>
      <c r="D1499" s="32"/>
      <c r="E1499" s="32"/>
      <c r="F1499" s="32"/>
      <c r="G1499" s="32"/>
      <c r="H1499" s="32"/>
      <c r="I1499" s="32"/>
      <c r="J1499" s="32"/>
      <c r="K1499" s="32"/>
      <c r="L1499" s="32"/>
      <c r="M1499" s="32"/>
      <c r="N1499" s="32"/>
      <c r="O1499" s="32"/>
      <c r="P1499" s="32"/>
      <c r="Q1499" s="32"/>
      <c r="R1499" s="32"/>
      <c r="S1499" s="32"/>
      <c r="T1499" s="32"/>
      <c r="U1499" s="32"/>
      <c r="V1499" s="32"/>
      <c r="W1499" s="32"/>
      <c r="X1499" s="32"/>
      <c r="Y1499" s="32"/>
      <c r="Z1499" s="32"/>
    </row>
    <row r="1500">
      <c r="A1500" s="32"/>
      <c r="B1500" s="32"/>
      <c r="C1500" s="32"/>
      <c r="D1500" s="32"/>
      <c r="E1500" s="32"/>
      <c r="F1500" s="32"/>
      <c r="G1500" s="32"/>
      <c r="H1500" s="32"/>
      <c r="I1500" s="32"/>
      <c r="J1500" s="32"/>
      <c r="K1500" s="32"/>
      <c r="L1500" s="32"/>
      <c r="M1500" s="32"/>
      <c r="N1500" s="32"/>
      <c r="O1500" s="32"/>
      <c r="P1500" s="32"/>
      <c r="Q1500" s="32"/>
      <c r="R1500" s="32"/>
      <c r="S1500" s="32"/>
      <c r="T1500" s="32"/>
      <c r="U1500" s="32"/>
      <c r="V1500" s="32"/>
      <c r="W1500" s="32"/>
      <c r="X1500" s="32"/>
      <c r="Y1500" s="32"/>
      <c r="Z1500" s="32"/>
    </row>
    <row r="1501">
      <c r="A1501" s="32"/>
      <c r="B1501" s="32"/>
      <c r="C1501" s="32"/>
      <c r="D1501" s="32"/>
      <c r="E1501" s="32"/>
      <c r="F1501" s="32"/>
      <c r="G1501" s="32"/>
      <c r="H1501" s="32"/>
      <c r="I1501" s="32"/>
      <c r="J1501" s="32"/>
      <c r="K1501" s="32"/>
      <c r="L1501" s="32"/>
      <c r="M1501" s="32"/>
      <c r="N1501" s="32"/>
      <c r="O1501" s="32"/>
      <c r="P1501" s="32"/>
      <c r="Q1501" s="32"/>
      <c r="R1501" s="32"/>
      <c r="S1501" s="32"/>
      <c r="T1501" s="32"/>
      <c r="U1501" s="32"/>
      <c r="V1501" s="32"/>
      <c r="W1501" s="32"/>
      <c r="X1501" s="32"/>
      <c r="Y1501" s="32"/>
      <c r="Z1501" s="32"/>
    </row>
    <row r="1502">
      <c r="A1502" s="32"/>
      <c r="B1502" s="32"/>
      <c r="C1502" s="32"/>
      <c r="D1502" s="32"/>
      <c r="E1502" s="32"/>
      <c r="F1502" s="32"/>
      <c r="G1502" s="32"/>
      <c r="H1502" s="32"/>
      <c r="I1502" s="32"/>
      <c r="J1502" s="32"/>
      <c r="K1502" s="32"/>
      <c r="L1502" s="32"/>
      <c r="M1502" s="32"/>
      <c r="N1502" s="32"/>
      <c r="O1502" s="32"/>
      <c r="P1502" s="32"/>
      <c r="Q1502" s="32"/>
      <c r="R1502" s="32"/>
      <c r="S1502" s="32"/>
      <c r="T1502" s="32"/>
      <c r="U1502" s="32"/>
      <c r="V1502" s="32"/>
      <c r="W1502" s="32"/>
      <c r="X1502" s="32"/>
      <c r="Y1502" s="32"/>
      <c r="Z1502" s="32"/>
    </row>
    <row r="1503">
      <c r="A1503" s="32"/>
      <c r="B1503" s="32"/>
      <c r="C1503" s="32"/>
      <c r="D1503" s="32"/>
      <c r="E1503" s="32"/>
      <c r="F1503" s="32"/>
      <c r="G1503" s="32"/>
      <c r="H1503" s="32"/>
      <c r="I1503" s="32"/>
      <c r="J1503" s="32"/>
      <c r="K1503" s="32"/>
      <c r="L1503" s="32"/>
      <c r="M1503" s="32"/>
      <c r="N1503" s="32"/>
      <c r="O1503" s="32"/>
      <c r="P1503" s="32"/>
      <c r="Q1503" s="32"/>
      <c r="R1503" s="32"/>
      <c r="S1503" s="32"/>
      <c r="T1503" s="32"/>
      <c r="U1503" s="32"/>
      <c r="V1503" s="32"/>
      <c r="W1503" s="32"/>
      <c r="X1503" s="32"/>
      <c r="Y1503" s="32"/>
      <c r="Z1503" s="32"/>
    </row>
    <row r="1504">
      <c r="A1504" s="32"/>
      <c r="B1504" s="32"/>
      <c r="C1504" s="32"/>
      <c r="D1504" s="32"/>
      <c r="E1504" s="32"/>
      <c r="F1504" s="32"/>
      <c r="G1504" s="32"/>
      <c r="H1504" s="32"/>
      <c r="I1504" s="32"/>
      <c r="J1504" s="32"/>
      <c r="K1504" s="32"/>
      <c r="L1504" s="32"/>
      <c r="M1504" s="32"/>
      <c r="N1504" s="32"/>
      <c r="O1504" s="32"/>
      <c r="P1504" s="32"/>
      <c r="Q1504" s="32"/>
      <c r="R1504" s="32"/>
      <c r="S1504" s="32"/>
      <c r="T1504" s="32"/>
      <c r="U1504" s="32"/>
      <c r="V1504" s="32"/>
      <c r="W1504" s="32"/>
      <c r="X1504" s="32"/>
      <c r="Y1504" s="32"/>
      <c r="Z1504" s="32"/>
    </row>
    <row r="1505">
      <c r="A1505" s="32"/>
      <c r="B1505" s="32"/>
      <c r="C1505" s="32"/>
      <c r="D1505" s="32"/>
      <c r="E1505" s="32"/>
      <c r="F1505" s="32"/>
      <c r="G1505" s="32"/>
      <c r="H1505" s="32"/>
      <c r="I1505" s="32"/>
      <c r="J1505" s="32"/>
      <c r="K1505" s="32"/>
      <c r="L1505" s="32"/>
      <c r="M1505" s="32"/>
      <c r="N1505" s="32"/>
      <c r="O1505" s="32"/>
      <c r="P1505" s="32"/>
      <c r="Q1505" s="32"/>
      <c r="R1505" s="32"/>
      <c r="S1505" s="32"/>
      <c r="T1505" s="32"/>
      <c r="U1505" s="32"/>
      <c r="V1505" s="32"/>
      <c r="W1505" s="32"/>
      <c r="X1505" s="32"/>
      <c r="Y1505" s="32"/>
      <c r="Z1505" s="32"/>
    </row>
    <row r="1506">
      <c r="A1506" s="32"/>
      <c r="B1506" s="32"/>
      <c r="C1506" s="32"/>
      <c r="D1506" s="32"/>
      <c r="E1506" s="32"/>
      <c r="F1506" s="32"/>
      <c r="G1506" s="32"/>
      <c r="H1506" s="32"/>
      <c r="I1506" s="32"/>
      <c r="J1506" s="32"/>
      <c r="K1506" s="32"/>
      <c r="L1506" s="32"/>
      <c r="M1506" s="32"/>
      <c r="N1506" s="32"/>
      <c r="O1506" s="32"/>
      <c r="P1506" s="32"/>
      <c r="Q1506" s="32"/>
      <c r="R1506" s="32"/>
      <c r="S1506" s="32"/>
      <c r="T1506" s="32"/>
      <c r="U1506" s="32"/>
      <c r="V1506" s="32"/>
      <c r="W1506" s="32"/>
      <c r="X1506" s="32"/>
      <c r="Y1506" s="32"/>
      <c r="Z1506" s="32"/>
    </row>
    <row r="1507">
      <c r="A1507" s="32"/>
      <c r="B1507" s="32"/>
      <c r="C1507" s="32"/>
      <c r="D1507" s="32"/>
      <c r="E1507" s="32"/>
      <c r="F1507" s="32"/>
      <c r="G1507" s="32"/>
      <c r="H1507" s="32"/>
      <c r="I1507" s="32"/>
      <c r="J1507" s="32"/>
      <c r="K1507" s="32"/>
      <c r="L1507" s="32"/>
      <c r="M1507" s="32"/>
      <c r="N1507" s="32"/>
      <c r="O1507" s="32"/>
      <c r="P1507" s="32"/>
      <c r="Q1507" s="32"/>
      <c r="R1507" s="32"/>
      <c r="S1507" s="32"/>
      <c r="T1507" s="32"/>
      <c r="U1507" s="32"/>
      <c r="V1507" s="32"/>
      <c r="W1507" s="32"/>
      <c r="X1507" s="32"/>
      <c r="Y1507" s="32"/>
      <c r="Z1507" s="32"/>
    </row>
    <row r="1508">
      <c r="A1508" s="32"/>
      <c r="B1508" s="32"/>
      <c r="C1508" s="32"/>
      <c r="D1508" s="32"/>
      <c r="E1508" s="32"/>
      <c r="F1508" s="32"/>
      <c r="G1508" s="32"/>
      <c r="H1508" s="32"/>
      <c r="I1508" s="32"/>
      <c r="J1508" s="32"/>
      <c r="K1508" s="32"/>
      <c r="L1508" s="32"/>
      <c r="M1508" s="32"/>
      <c r="N1508" s="32"/>
      <c r="O1508" s="32"/>
      <c r="P1508" s="32"/>
      <c r="Q1508" s="32"/>
      <c r="R1508" s="32"/>
      <c r="S1508" s="32"/>
      <c r="T1508" s="32"/>
      <c r="U1508" s="32"/>
      <c r="V1508" s="32"/>
      <c r="W1508" s="32"/>
      <c r="X1508" s="32"/>
      <c r="Y1508" s="32"/>
      <c r="Z1508" s="32"/>
    </row>
    <row r="1509">
      <c r="A1509" s="32"/>
      <c r="B1509" s="32"/>
      <c r="C1509" s="32"/>
      <c r="D1509" s="32"/>
      <c r="E1509" s="32"/>
      <c r="F1509" s="32"/>
      <c r="G1509" s="32"/>
      <c r="H1509" s="32"/>
      <c r="I1509" s="32"/>
      <c r="J1509" s="32"/>
      <c r="K1509" s="32"/>
      <c r="L1509" s="32"/>
      <c r="M1509" s="32"/>
      <c r="N1509" s="32"/>
      <c r="O1509" s="32"/>
      <c r="P1509" s="32"/>
      <c r="Q1509" s="32"/>
      <c r="R1509" s="32"/>
      <c r="S1509" s="32"/>
      <c r="T1509" s="32"/>
      <c r="U1509" s="32"/>
      <c r="V1509" s="32"/>
      <c r="W1509" s="32"/>
      <c r="X1509" s="32"/>
      <c r="Y1509" s="32"/>
      <c r="Z1509" s="32"/>
    </row>
    <row r="1510">
      <c r="A1510" s="32"/>
      <c r="B1510" s="32"/>
      <c r="C1510" s="32"/>
      <c r="D1510" s="32"/>
      <c r="E1510" s="32"/>
      <c r="F1510" s="32"/>
      <c r="G1510" s="32"/>
      <c r="H1510" s="32"/>
      <c r="I1510" s="32"/>
      <c r="J1510" s="32"/>
      <c r="K1510" s="32"/>
      <c r="L1510" s="32"/>
      <c r="M1510" s="32"/>
      <c r="N1510" s="32"/>
      <c r="O1510" s="32"/>
      <c r="P1510" s="32"/>
      <c r="Q1510" s="32"/>
      <c r="R1510" s="32"/>
      <c r="S1510" s="32"/>
      <c r="T1510" s="32"/>
      <c r="U1510" s="32"/>
      <c r="V1510" s="32"/>
      <c r="W1510" s="32"/>
      <c r="X1510" s="32"/>
      <c r="Y1510" s="32"/>
      <c r="Z1510" s="32"/>
    </row>
    <row r="1511">
      <c r="A1511" s="32"/>
      <c r="B1511" s="32"/>
      <c r="C1511" s="32"/>
      <c r="D1511" s="32"/>
      <c r="E1511" s="32"/>
      <c r="F1511" s="32"/>
      <c r="G1511" s="32"/>
      <c r="H1511" s="32"/>
      <c r="I1511" s="32"/>
      <c r="J1511" s="32"/>
      <c r="K1511" s="32"/>
      <c r="L1511" s="32"/>
      <c r="M1511" s="32"/>
      <c r="N1511" s="32"/>
      <c r="O1511" s="32"/>
      <c r="P1511" s="32"/>
      <c r="Q1511" s="32"/>
      <c r="R1511" s="32"/>
      <c r="S1511" s="32"/>
      <c r="T1511" s="32"/>
      <c r="U1511" s="32"/>
      <c r="V1511" s="32"/>
      <c r="W1511" s="32"/>
      <c r="X1511" s="32"/>
      <c r="Y1511" s="32"/>
      <c r="Z1511" s="32"/>
    </row>
    <row r="1512">
      <c r="A1512" s="32"/>
      <c r="B1512" s="32"/>
      <c r="C1512" s="32"/>
      <c r="D1512" s="32"/>
      <c r="E1512" s="32"/>
      <c r="F1512" s="32"/>
      <c r="G1512" s="32"/>
      <c r="H1512" s="32"/>
      <c r="I1512" s="32"/>
      <c r="J1512" s="32"/>
      <c r="K1512" s="32"/>
      <c r="L1512" s="32"/>
      <c r="M1512" s="32"/>
      <c r="N1512" s="32"/>
      <c r="O1512" s="32"/>
      <c r="P1512" s="32"/>
      <c r="Q1512" s="32"/>
      <c r="R1512" s="32"/>
      <c r="S1512" s="32"/>
      <c r="T1512" s="32"/>
      <c r="U1512" s="32"/>
      <c r="V1512" s="32"/>
      <c r="W1512" s="32"/>
      <c r="X1512" s="32"/>
      <c r="Y1512" s="32"/>
      <c r="Z1512" s="32"/>
    </row>
    <row r="1513">
      <c r="A1513" s="32"/>
      <c r="B1513" s="32"/>
      <c r="C1513" s="32"/>
      <c r="D1513" s="32"/>
      <c r="E1513" s="32"/>
      <c r="F1513" s="32"/>
      <c r="G1513" s="32"/>
      <c r="H1513" s="32"/>
      <c r="I1513" s="32"/>
      <c r="J1513" s="32"/>
      <c r="K1513" s="32"/>
      <c r="L1513" s="32"/>
      <c r="M1513" s="32"/>
      <c r="N1513" s="32"/>
      <c r="O1513" s="32"/>
      <c r="P1513" s="32"/>
      <c r="Q1513" s="32"/>
      <c r="R1513" s="32"/>
      <c r="S1513" s="32"/>
      <c r="T1513" s="32"/>
      <c r="U1513" s="32"/>
      <c r="V1513" s="32"/>
      <c r="W1513" s="32"/>
      <c r="X1513" s="32"/>
      <c r="Y1513" s="32"/>
      <c r="Z1513" s="32"/>
    </row>
    <row r="1514">
      <c r="A1514" s="32"/>
      <c r="B1514" s="32"/>
      <c r="C1514" s="32"/>
      <c r="D1514" s="32"/>
      <c r="E1514" s="32"/>
      <c r="F1514" s="32"/>
      <c r="G1514" s="32"/>
      <c r="H1514" s="32"/>
      <c r="I1514" s="32"/>
      <c r="J1514" s="32"/>
      <c r="K1514" s="32"/>
      <c r="L1514" s="32"/>
      <c r="M1514" s="32"/>
      <c r="N1514" s="32"/>
      <c r="O1514" s="32"/>
      <c r="P1514" s="32"/>
      <c r="Q1514" s="32"/>
      <c r="R1514" s="32"/>
      <c r="S1514" s="32"/>
      <c r="T1514" s="32"/>
      <c r="U1514" s="32"/>
      <c r="V1514" s="32"/>
      <c r="W1514" s="32"/>
      <c r="X1514" s="32"/>
      <c r="Y1514" s="32"/>
      <c r="Z1514" s="32"/>
    </row>
    <row r="1515">
      <c r="A1515" s="32"/>
      <c r="B1515" s="32"/>
      <c r="C1515" s="32"/>
      <c r="D1515" s="32"/>
      <c r="E1515" s="32"/>
      <c r="F1515" s="32"/>
      <c r="G1515" s="32"/>
      <c r="H1515" s="32"/>
      <c r="I1515" s="32"/>
      <c r="J1515" s="32"/>
      <c r="K1515" s="32"/>
      <c r="L1515" s="32"/>
      <c r="M1515" s="32"/>
      <c r="N1515" s="32"/>
      <c r="O1515" s="32"/>
      <c r="P1515" s="32"/>
      <c r="Q1515" s="32"/>
      <c r="R1515" s="32"/>
      <c r="S1515" s="32"/>
      <c r="T1515" s="32"/>
      <c r="U1515" s="32"/>
      <c r="V1515" s="32"/>
      <c r="W1515" s="32"/>
      <c r="X1515" s="32"/>
      <c r="Y1515" s="32"/>
      <c r="Z1515" s="32"/>
    </row>
    <row r="1516">
      <c r="A1516" s="32"/>
      <c r="B1516" s="32"/>
      <c r="C1516" s="32"/>
      <c r="D1516" s="32"/>
      <c r="E1516" s="32"/>
      <c r="F1516" s="32"/>
      <c r="G1516" s="32"/>
      <c r="H1516" s="32"/>
      <c r="I1516" s="32"/>
      <c r="J1516" s="32"/>
      <c r="K1516" s="32"/>
      <c r="L1516" s="32"/>
      <c r="M1516" s="32"/>
      <c r="N1516" s="32"/>
      <c r="O1516" s="32"/>
      <c r="P1516" s="32"/>
      <c r="Q1516" s="32"/>
      <c r="R1516" s="32"/>
      <c r="S1516" s="32"/>
      <c r="T1516" s="32"/>
      <c r="U1516" s="32"/>
      <c r="V1516" s="32"/>
      <c r="W1516" s="32"/>
      <c r="X1516" s="32"/>
      <c r="Y1516" s="32"/>
      <c r="Z1516" s="32"/>
    </row>
    <row r="1517">
      <c r="A1517" s="32"/>
      <c r="B1517" s="32"/>
      <c r="C1517" s="32"/>
      <c r="D1517" s="32"/>
      <c r="E1517" s="32"/>
      <c r="F1517" s="32"/>
      <c r="G1517" s="32"/>
      <c r="H1517" s="32"/>
      <c r="I1517" s="32"/>
      <c r="J1517" s="32"/>
      <c r="K1517" s="32"/>
      <c r="L1517" s="32"/>
      <c r="M1517" s="32"/>
      <c r="N1517" s="32"/>
      <c r="O1517" s="32"/>
      <c r="P1517" s="32"/>
      <c r="Q1517" s="32"/>
      <c r="R1517" s="32"/>
      <c r="S1517" s="32"/>
      <c r="T1517" s="32"/>
      <c r="U1517" s="32"/>
      <c r="V1517" s="32"/>
      <c r="W1517" s="32"/>
      <c r="X1517" s="32"/>
      <c r="Y1517" s="32"/>
      <c r="Z1517" s="32"/>
    </row>
    <row r="1518">
      <c r="A1518" s="32"/>
      <c r="B1518" s="32"/>
      <c r="C1518" s="32"/>
      <c r="D1518" s="32"/>
      <c r="E1518" s="32"/>
      <c r="F1518" s="32"/>
      <c r="G1518" s="32"/>
      <c r="H1518" s="32"/>
      <c r="I1518" s="32"/>
      <c r="J1518" s="32"/>
      <c r="K1518" s="32"/>
      <c r="L1518" s="32"/>
      <c r="M1518" s="32"/>
      <c r="N1518" s="32"/>
      <c r="O1518" s="32"/>
      <c r="P1518" s="32"/>
      <c r="Q1518" s="32"/>
      <c r="R1518" s="32"/>
      <c r="S1518" s="32"/>
      <c r="T1518" s="32"/>
      <c r="U1518" s="32"/>
      <c r="V1518" s="32"/>
      <c r="W1518" s="32"/>
      <c r="X1518" s="32"/>
      <c r="Y1518" s="32"/>
      <c r="Z1518" s="32"/>
    </row>
    <row r="1519">
      <c r="A1519" s="32"/>
      <c r="B1519" s="32"/>
      <c r="C1519" s="32"/>
      <c r="D1519" s="32"/>
      <c r="E1519" s="32"/>
      <c r="F1519" s="32"/>
      <c r="G1519" s="32"/>
      <c r="H1519" s="32"/>
      <c r="I1519" s="32"/>
      <c r="J1519" s="32"/>
      <c r="K1519" s="32"/>
      <c r="L1519" s="32"/>
      <c r="M1519" s="32"/>
      <c r="N1519" s="32"/>
      <c r="O1519" s="32"/>
      <c r="P1519" s="32"/>
      <c r="Q1519" s="32"/>
      <c r="R1519" s="32"/>
      <c r="S1519" s="32"/>
      <c r="T1519" s="32"/>
      <c r="U1519" s="32"/>
      <c r="V1519" s="32"/>
      <c r="W1519" s="32"/>
      <c r="X1519" s="32"/>
      <c r="Y1519" s="32"/>
      <c r="Z1519" s="32"/>
    </row>
    <row r="1520">
      <c r="A1520" s="32"/>
      <c r="B1520" s="32"/>
      <c r="C1520" s="32"/>
      <c r="D1520" s="32"/>
      <c r="E1520" s="32"/>
      <c r="F1520" s="32"/>
      <c r="G1520" s="32"/>
      <c r="H1520" s="32"/>
      <c r="I1520" s="32"/>
      <c r="J1520" s="32"/>
      <c r="K1520" s="32"/>
      <c r="L1520" s="32"/>
      <c r="M1520" s="32"/>
      <c r="N1520" s="32"/>
      <c r="O1520" s="32"/>
      <c r="P1520" s="32"/>
      <c r="Q1520" s="32"/>
      <c r="R1520" s="32"/>
      <c r="S1520" s="32"/>
      <c r="T1520" s="32"/>
      <c r="U1520" s="32"/>
      <c r="V1520" s="32"/>
      <c r="W1520" s="32"/>
      <c r="X1520" s="32"/>
      <c r="Y1520" s="32"/>
      <c r="Z1520" s="32"/>
    </row>
    <row r="1521">
      <c r="A1521" s="32"/>
      <c r="B1521" s="32"/>
      <c r="C1521" s="32"/>
      <c r="D1521" s="32"/>
      <c r="E1521" s="32"/>
      <c r="F1521" s="32"/>
      <c r="G1521" s="32"/>
      <c r="H1521" s="32"/>
      <c r="I1521" s="32"/>
      <c r="J1521" s="32"/>
      <c r="K1521" s="32"/>
      <c r="L1521" s="32"/>
      <c r="M1521" s="32"/>
      <c r="N1521" s="32"/>
      <c r="O1521" s="32"/>
      <c r="P1521" s="32"/>
      <c r="Q1521" s="32"/>
      <c r="R1521" s="32"/>
      <c r="S1521" s="32"/>
      <c r="T1521" s="32"/>
      <c r="U1521" s="32"/>
      <c r="V1521" s="32"/>
      <c r="W1521" s="32"/>
      <c r="X1521" s="32"/>
      <c r="Y1521" s="32"/>
      <c r="Z1521" s="32"/>
    </row>
    <row r="1522">
      <c r="A1522" s="32"/>
      <c r="B1522" s="32"/>
      <c r="C1522" s="32"/>
      <c r="D1522" s="32"/>
      <c r="E1522" s="32"/>
      <c r="F1522" s="32"/>
      <c r="G1522" s="32"/>
      <c r="H1522" s="32"/>
      <c r="I1522" s="32"/>
      <c r="J1522" s="32"/>
      <c r="K1522" s="32"/>
      <c r="L1522" s="32"/>
      <c r="M1522" s="32"/>
      <c r="N1522" s="32"/>
      <c r="O1522" s="32"/>
      <c r="P1522" s="32"/>
      <c r="Q1522" s="32"/>
      <c r="R1522" s="32"/>
      <c r="S1522" s="32"/>
      <c r="T1522" s="32"/>
      <c r="U1522" s="32"/>
      <c r="V1522" s="32"/>
      <c r="W1522" s="32"/>
      <c r="X1522" s="32"/>
      <c r="Y1522" s="32"/>
      <c r="Z1522" s="32"/>
    </row>
    <row r="1523">
      <c r="A1523" s="32"/>
      <c r="B1523" s="32"/>
      <c r="C1523" s="32"/>
      <c r="D1523" s="32"/>
      <c r="E1523" s="32"/>
      <c r="F1523" s="32"/>
      <c r="G1523" s="32"/>
      <c r="H1523" s="32"/>
      <c r="I1523" s="32"/>
      <c r="J1523" s="32"/>
      <c r="K1523" s="32"/>
      <c r="L1523" s="32"/>
      <c r="M1523" s="32"/>
      <c r="N1523" s="32"/>
      <c r="O1523" s="32"/>
      <c r="P1523" s="32"/>
      <c r="Q1523" s="32"/>
      <c r="R1523" s="32"/>
      <c r="S1523" s="32"/>
      <c r="T1523" s="32"/>
      <c r="U1523" s="32"/>
      <c r="V1523" s="32"/>
      <c r="W1523" s="32"/>
      <c r="X1523" s="32"/>
      <c r="Y1523" s="32"/>
      <c r="Z1523" s="32"/>
    </row>
    <row r="1524">
      <c r="A1524" s="32"/>
      <c r="B1524" s="32"/>
      <c r="C1524" s="32"/>
      <c r="D1524" s="32"/>
      <c r="E1524" s="32"/>
      <c r="F1524" s="32"/>
      <c r="G1524" s="32"/>
      <c r="H1524" s="32"/>
      <c r="I1524" s="32"/>
      <c r="J1524" s="32"/>
      <c r="K1524" s="32"/>
      <c r="L1524" s="32"/>
      <c r="M1524" s="32"/>
      <c r="N1524" s="32"/>
      <c r="O1524" s="32"/>
      <c r="P1524" s="32"/>
      <c r="Q1524" s="32"/>
      <c r="R1524" s="32"/>
      <c r="S1524" s="32"/>
      <c r="T1524" s="32"/>
      <c r="U1524" s="32"/>
      <c r="V1524" s="32"/>
      <c r="W1524" s="32"/>
      <c r="X1524" s="32"/>
      <c r="Y1524" s="32"/>
      <c r="Z1524" s="32"/>
    </row>
    <row r="1525">
      <c r="A1525" s="32"/>
      <c r="B1525" s="32"/>
      <c r="C1525" s="32"/>
      <c r="D1525" s="32"/>
      <c r="E1525" s="32"/>
      <c r="F1525" s="32"/>
      <c r="G1525" s="32"/>
      <c r="H1525" s="32"/>
      <c r="I1525" s="32"/>
      <c r="J1525" s="32"/>
      <c r="K1525" s="32"/>
      <c r="L1525" s="32"/>
      <c r="M1525" s="32"/>
      <c r="N1525" s="32"/>
      <c r="O1525" s="32"/>
      <c r="P1525" s="32"/>
      <c r="Q1525" s="32"/>
      <c r="R1525" s="32"/>
      <c r="S1525" s="32"/>
      <c r="T1525" s="32"/>
      <c r="U1525" s="32"/>
      <c r="V1525" s="32"/>
      <c r="W1525" s="32"/>
      <c r="X1525" s="32"/>
      <c r="Y1525" s="32"/>
      <c r="Z1525" s="32"/>
    </row>
    <row r="1526">
      <c r="A1526" s="32"/>
      <c r="B1526" s="32"/>
      <c r="C1526" s="32"/>
      <c r="D1526" s="32"/>
      <c r="E1526" s="32"/>
      <c r="F1526" s="32"/>
      <c r="G1526" s="32"/>
      <c r="H1526" s="32"/>
      <c r="I1526" s="32"/>
      <c r="J1526" s="32"/>
      <c r="K1526" s="32"/>
      <c r="L1526" s="32"/>
      <c r="M1526" s="32"/>
      <c r="N1526" s="32"/>
      <c r="O1526" s="32"/>
      <c r="P1526" s="32"/>
      <c r="Q1526" s="32"/>
      <c r="R1526" s="32"/>
      <c r="S1526" s="32"/>
      <c r="T1526" s="32"/>
      <c r="U1526" s="32"/>
      <c r="V1526" s="32"/>
      <c r="W1526" s="32"/>
      <c r="X1526" s="32"/>
      <c r="Y1526" s="32"/>
      <c r="Z1526" s="32"/>
    </row>
    <row r="1527">
      <c r="A1527" s="32"/>
      <c r="B1527" s="32"/>
      <c r="C1527" s="32"/>
      <c r="D1527" s="32"/>
      <c r="E1527" s="32"/>
      <c r="F1527" s="32"/>
      <c r="G1527" s="32"/>
      <c r="H1527" s="32"/>
      <c r="I1527" s="32"/>
      <c r="J1527" s="32"/>
      <c r="K1527" s="32"/>
      <c r="L1527" s="32"/>
      <c r="M1527" s="32"/>
      <c r="N1527" s="32"/>
      <c r="O1527" s="32"/>
      <c r="P1527" s="32"/>
      <c r="Q1527" s="32"/>
      <c r="R1527" s="32"/>
      <c r="S1527" s="32"/>
      <c r="T1527" s="32"/>
      <c r="U1527" s="32"/>
      <c r="V1527" s="32"/>
      <c r="W1527" s="32"/>
      <c r="X1527" s="32"/>
      <c r="Y1527" s="32"/>
      <c r="Z1527" s="32"/>
    </row>
    <row r="1528">
      <c r="A1528" s="32"/>
      <c r="B1528" s="32"/>
      <c r="C1528" s="32"/>
      <c r="D1528" s="32"/>
      <c r="E1528" s="32"/>
      <c r="F1528" s="32"/>
      <c r="G1528" s="32"/>
      <c r="H1528" s="32"/>
      <c r="I1528" s="32"/>
      <c r="J1528" s="32"/>
      <c r="K1528" s="32"/>
      <c r="L1528" s="32"/>
      <c r="M1528" s="32"/>
      <c r="N1528" s="32"/>
      <c r="O1528" s="32"/>
      <c r="P1528" s="32"/>
      <c r="Q1528" s="32"/>
      <c r="R1528" s="32"/>
      <c r="S1528" s="32"/>
      <c r="T1528" s="32"/>
      <c r="U1528" s="32"/>
      <c r="V1528" s="32"/>
      <c r="W1528" s="32"/>
      <c r="X1528" s="32"/>
      <c r="Y1528" s="32"/>
      <c r="Z1528" s="32"/>
    </row>
    <row r="1529">
      <c r="A1529" s="32"/>
      <c r="B1529" s="32"/>
      <c r="C1529" s="32"/>
      <c r="D1529" s="32"/>
      <c r="E1529" s="32"/>
      <c r="F1529" s="32"/>
      <c r="G1529" s="32"/>
      <c r="H1529" s="32"/>
      <c r="I1529" s="32"/>
      <c r="J1529" s="32"/>
      <c r="K1529" s="32"/>
      <c r="L1529" s="32"/>
      <c r="M1529" s="32"/>
      <c r="N1529" s="32"/>
      <c r="O1529" s="32"/>
      <c r="P1529" s="32"/>
      <c r="Q1529" s="32"/>
      <c r="R1529" s="32"/>
      <c r="S1529" s="32"/>
      <c r="T1529" s="32"/>
      <c r="U1529" s="32"/>
      <c r="V1529" s="32"/>
      <c r="W1529" s="32"/>
      <c r="X1529" s="32"/>
      <c r="Y1529" s="32"/>
      <c r="Z1529" s="32"/>
    </row>
    <row r="1530">
      <c r="A1530" s="32"/>
      <c r="B1530" s="32"/>
      <c r="C1530" s="32"/>
      <c r="D1530" s="32"/>
      <c r="E1530" s="32"/>
      <c r="F1530" s="32"/>
      <c r="G1530" s="32"/>
      <c r="H1530" s="32"/>
      <c r="I1530" s="32"/>
      <c r="J1530" s="32"/>
      <c r="K1530" s="32"/>
      <c r="L1530" s="32"/>
      <c r="M1530" s="32"/>
      <c r="N1530" s="32"/>
      <c r="O1530" s="32"/>
      <c r="P1530" s="32"/>
      <c r="Q1530" s="32"/>
      <c r="R1530" s="32"/>
      <c r="S1530" s="32"/>
      <c r="T1530" s="32"/>
      <c r="U1530" s="32"/>
      <c r="V1530" s="32"/>
      <c r="W1530" s="32"/>
      <c r="X1530" s="32"/>
      <c r="Y1530" s="32"/>
      <c r="Z1530" s="32"/>
    </row>
    <row r="1531">
      <c r="A1531" s="32"/>
      <c r="B1531" s="32"/>
      <c r="C1531" s="32"/>
      <c r="D1531" s="32"/>
      <c r="E1531" s="32"/>
      <c r="F1531" s="32"/>
      <c r="G1531" s="32"/>
      <c r="H1531" s="32"/>
      <c r="I1531" s="32"/>
      <c r="J1531" s="32"/>
      <c r="K1531" s="32"/>
      <c r="L1531" s="32"/>
      <c r="M1531" s="32"/>
      <c r="N1531" s="32"/>
      <c r="O1531" s="32"/>
      <c r="P1531" s="32"/>
      <c r="Q1531" s="32"/>
      <c r="R1531" s="32"/>
      <c r="S1531" s="32"/>
      <c r="T1531" s="32"/>
      <c r="U1531" s="32"/>
      <c r="V1531" s="32"/>
      <c r="W1531" s="32"/>
      <c r="X1531" s="32"/>
      <c r="Y1531" s="32"/>
      <c r="Z1531" s="32"/>
    </row>
    <row r="1532">
      <c r="A1532" s="32"/>
      <c r="B1532" s="32"/>
      <c r="C1532" s="32"/>
      <c r="D1532" s="32"/>
      <c r="E1532" s="32"/>
      <c r="F1532" s="32"/>
      <c r="G1532" s="32"/>
      <c r="H1532" s="32"/>
      <c r="I1532" s="32"/>
      <c r="J1532" s="32"/>
      <c r="K1532" s="32"/>
      <c r="L1532" s="32"/>
      <c r="M1532" s="32"/>
      <c r="N1532" s="32"/>
      <c r="O1532" s="32"/>
      <c r="P1532" s="32"/>
      <c r="Q1532" s="32"/>
      <c r="R1532" s="32"/>
      <c r="S1532" s="32"/>
      <c r="T1532" s="32"/>
      <c r="U1532" s="32"/>
      <c r="V1532" s="32"/>
      <c r="W1532" s="32"/>
      <c r="X1532" s="32"/>
      <c r="Y1532" s="32"/>
      <c r="Z1532" s="32"/>
    </row>
    <row r="1533">
      <c r="A1533" s="32"/>
      <c r="B1533" s="32"/>
      <c r="C1533" s="32"/>
      <c r="D1533" s="32"/>
      <c r="E1533" s="32"/>
      <c r="F1533" s="32"/>
      <c r="G1533" s="32"/>
      <c r="H1533" s="32"/>
      <c r="I1533" s="32"/>
      <c r="J1533" s="32"/>
      <c r="K1533" s="32"/>
      <c r="L1533" s="32"/>
      <c r="M1533" s="32"/>
      <c r="N1533" s="32"/>
      <c r="O1533" s="32"/>
      <c r="P1533" s="32"/>
      <c r="Q1533" s="32"/>
      <c r="R1533" s="32"/>
      <c r="S1533" s="32"/>
      <c r="T1533" s="32"/>
      <c r="U1533" s="32"/>
      <c r="V1533" s="32"/>
      <c r="W1533" s="32"/>
      <c r="X1533" s="32"/>
      <c r="Y1533" s="32"/>
      <c r="Z1533" s="32"/>
    </row>
    <row r="1534">
      <c r="A1534" s="32"/>
      <c r="B1534" s="32"/>
      <c r="C1534" s="32"/>
      <c r="D1534" s="32"/>
      <c r="E1534" s="32"/>
      <c r="F1534" s="32"/>
      <c r="G1534" s="32"/>
      <c r="H1534" s="32"/>
      <c r="I1534" s="32"/>
      <c r="J1534" s="32"/>
      <c r="K1534" s="32"/>
      <c r="L1534" s="32"/>
      <c r="M1534" s="32"/>
      <c r="N1534" s="32"/>
      <c r="O1534" s="32"/>
      <c r="P1534" s="32"/>
      <c r="Q1534" s="32"/>
      <c r="R1534" s="32"/>
      <c r="S1534" s="32"/>
      <c r="T1534" s="32"/>
      <c r="U1534" s="32"/>
      <c r="V1534" s="32"/>
      <c r="W1534" s="32"/>
      <c r="X1534" s="32"/>
      <c r="Y1534" s="32"/>
      <c r="Z1534" s="32"/>
    </row>
    <row r="1535">
      <c r="A1535" s="32"/>
      <c r="B1535" s="32"/>
      <c r="C1535" s="32"/>
      <c r="D1535" s="32"/>
      <c r="E1535" s="32"/>
      <c r="F1535" s="32"/>
      <c r="G1535" s="32"/>
      <c r="H1535" s="32"/>
      <c r="I1535" s="32"/>
      <c r="J1535" s="32"/>
      <c r="K1535" s="32"/>
      <c r="L1535" s="32"/>
      <c r="M1535" s="32"/>
      <c r="N1535" s="32"/>
      <c r="O1535" s="32"/>
      <c r="P1535" s="32"/>
      <c r="Q1535" s="32"/>
      <c r="R1535" s="32"/>
      <c r="S1535" s="32"/>
      <c r="T1535" s="32"/>
      <c r="U1535" s="32"/>
      <c r="V1535" s="32"/>
      <c r="W1535" s="32"/>
      <c r="X1535" s="32"/>
      <c r="Y1535" s="32"/>
      <c r="Z1535" s="32"/>
    </row>
    <row r="1536">
      <c r="A1536" s="32"/>
      <c r="B1536" s="32"/>
      <c r="C1536" s="32"/>
      <c r="D1536" s="32"/>
      <c r="E1536" s="32"/>
      <c r="F1536" s="32"/>
      <c r="G1536" s="32"/>
      <c r="H1536" s="32"/>
      <c r="I1536" s="32"/>
      <c r="J1536" s="32"/>
      <c r="K1536" s="32"/>
      <c r="L1536" s="32"/>
      <c r="M1536" s="32"/>
      <c r="N1536" s="32"/>
      <c r="O1536" s="32"/>
      <c r="P1536" s="32"/>
      <c r="Q1536" s="32"/>
      <c r="R1536" s="32"/>
      <c r="S1536" s="32"/>
      <c r="T1536" s="32"/>
      <c r="U1536" s="32"/>
      <c r="V1536" s="32"/>
      <c r="W1536" s="32"/>
      <c r="X1536" s="32"/>
      <c r="Y1536" s="32"/>
      <c r="Z1536" s="32"/>
    </row>
    <row r="1537">
      <c r="A1537" s="32"/>
      <c r="B1537" s="32"/>
      <c r="C1537" s="32"/>
      <c r="D1537" s="32"/>
      <c r="E1537" s="32"/>
      <c r="F1537" s="32"/>
      <c r="G1537" s="32"/>
      <c r="H1537" s="32"/>
      <c r="I1537" s="32"/>
      <c r="J1537" s="32"/>
      <c r="K1537" s="32"/>
      <c r="L1537" s="32"/>
      <c r="M1537" s="32"/>
      <c r="N1537" s="32"/>
      <c r="O1537" s="32"/>
      <c r="P1537" s="32"/>
      <c r="Q1537" s="32"/>
      <c r="R1537" s="32"/>
      <c r="S1537" s="32"/>
      <c r="T1537" s="32"/>
      <c r="U1537" s="32"/>
      <c r="V1537" s="32"/>
      <c r="W1537" s="32"/>
      <c r="X1537" s="32"/>
      <c r="Y1537" s="32"/>
      <c r="Z1537" s="32"/>
    </row>
    <row r="1538">
      <c r="A1538" s="32"/>
      <c r="B1538" s="32"/>
      <c r="C1538" s="32"/>
      <c r="D1538" s="32"/>
      <c r="E1538" s="32"/>
      <c r="F1538" s="32"/>
      <c r="G1538" s="32"/>
      <c r="H1538" s="32"/>
      <c r="I1538" s="32"/>
      <c r="J1538" s="32"/>
      <c r="K1538" s="32"/>
      <c r="L1538" s="32"/>
      <c r="M1538" s="32"/>
      <c r="N1538" s="32"/>
      <c r="O1538" s="32"/>
      <c r="P1538" s="32"/>
      <c r="Q1538" s="32"/>
      <c r="R1538" s="32"/>
      <c r="S1538" s="32"/>
      <c r="T1538" s="32"/>
      <c r="U1538" s="32"/>
      <c r="V1538" s="32"/>
      <c r="W1538" s="32"/>
      <c r="X1538" s="32"/>
      <c r="Y1538" s="32"/>
      <c r="Z1538" s="32"/>
    </row>
    <row r="1539">
      <c r="A1539" s="32"/>
      <c r="B1539" s="32"/>
      <c r="C1539" s="32"/>
      <c r="D1539" s="32"/>
      <c r="E1539" s="32"/>
      <c r="F1539" s="32"/>
      <c r="G1539" s="32"/>
      <c r="H1539" s="32"/>
      <c r="I1539" s="32"/>
      <c r="J1539" s="32"/>
      <c r="K1539" s="32"/>
      <c r="L1539" s="32"/>
      <c r="M1539" s="32"/>
      <c r="N1539" s="32"/>
      <c r="O1539" s="32"/>
      <c r="P1539" s="32"/>
      <c r="Q1539" s="32"/>
      <c r="R1539" s="32"/>
      <c r="S1539" s="32"/>
      <c r="T1539" s="32"/>
      <c r="U1539" s="32"/>
      <c r="V1539" s="32"/>
      <c r="W1539" s="32"/>
      <c r="X1539" s="32"/>
      <c r="Y1539" s="32"/>
      <c r="Z1539" s="32"/>
    </row>
    <row r="1540">
      <c r="A1540" s="32"/>
      <c r="B1540" s="32"/>
      <c r="C1540" s="32"/>
      <c r="D1540" s="32"/>
      <c r="E1540" s="32"/>
      <c r="F1540" s="32"/>
      <c r="G1540" s="32"/>
      <c r="H1540" s="32"/>
      <c r="I1540" s="32"/>
      <c r="J1540" s="32"/>
      <c r="K1540" s="32"/>
      <c r="L1540" s="32"/>
      <c r="M1540" s="32"/>
      <c r="N1540" s="32"/>
      <c r="O1540" s="32"/>
      <c r="P1540" s="32"/>
      <c r="Q1540" s="32"/>
      <c r="R1540" s="32"/>
      <c r="S1540" s="32"/>
      <c r="T1540" s="32"/>
      <c r="U1540" s="32"/>
      <c r="V1540" s="32"/>
      <c r="W1540" s="32"/>
      <c r="X1540" s="32"/>
      <c r="Y1540" s="32"/>
      <c r="Z1540" s="32"/>
    </row>
    <row r="1541">
      <c r="A1541" s="32"/>
      <c r="B1541" s="32"/>
      <c r="C1541" s="32"/>
      <c r="D1541" s="32"/>
      <c r="E1541" s="32"/>
      <c r="F1541" s="32"/>
      <c r="G1541" s="32"/>
      <c r="H1541" s="32"/>
      <c r="I1541" s="32"/>
      <c r="J1541" s="32"/>
      <c r="K1541" s="32"/>
      <c r="L1541" s="32"/>
      <c r="M1541" s="32"/>
      <c r="N1541" s="32"/>
      <c r="O1541" s="32"/>
      <c r="P1541" s="32"/>
      <c r="Q1541" s="32"/>
      <c r="R1541" s="32"/>
      <c r="S1541" s="32"/>
      <c r="T1541" s="32"/>
      <c r="U1541" s="32"/>
      <c r="V1541" s="32"/>
      <c r="W1541" s="32"/>
      <c r="X1541" s="32"/>
      <c r="Y1541" s="32"/>
      <c r="Z1541" s="32"/>
    </row>
    <row r="1542">
      <c r="A1542" s="32"/>
      <c r="B1542" s="32"/>
      <c r="C1542" s="32"/>
      <c r="D1542" s="32"/>
      <c r="E1542" s="32"/>
      <c r="F1542" s="32"/>
      <c r="G1542" s="32"/>
      <c r="H1542" s="32"/>
      <c r="I1542" s="32"/>
      <c r="J1542" s="32"/>
      <c r="K1542" s="32"/>
      <c r="L1542" s="32"/>
      <c r="M1542" s="32"/>
      <c r="N1542" s="32"/>
      <c r="O1542" s="32"/>
      <c r="P1542" s="32"/>
      <c r="Q1542" s="32"/>
      <c r="R1542" s="32"/>
      <c r="S1542" s="32"/>
      <c r="T1542" s="32"/>
      <c r="U1542" s="32"/>
      <c r="V1542" s="32"/>
      <c r="W1542" s="32"/>
      <c r="X1542" s="32"/>
      <c r="Y1542" s="32"/>
      <c r="Z1542" s="32"/>
    </row>
    <row r="1543">
      <c r="A1543" s="32"/>
      <c r="B1543" s="32"/>
      <c r="C1543" s="32"/>
      <c r="D1543" s="32"/>
      <c r="E1543" s="32"/>
      <c r="F1543" s="32"/>
      <c r="G1543" s="32"/>
      <c r="H1543" s="32"/>
      <c r="I1543" s="32"/>
      <c r="J1543" s="32"/>
      <c r="K1543" s="32"/>
      <c r="L1543" s="32"/>
      <c r="M1543" s="32"/>
      <c r="N1543" s="32"/>
      <c r="O1543" s="32"/>
      <c r="P1543" s="32"/>
      <c r="Q1543" s="32"/>
      <c r="R1543" s="32"/>
      <c r="S1543" s="32"/>
      <c r="T1543" s="32"/>
      <c r="U1543" s="32"/>
      <c r="V1543" s="32"/>
      <c r="W1543" s="32"/>
      <c r="X1543" s="32"/>
      <c r="Y1543" s="32"/>
      <c r="Z1543" s="32"/>
    </row>
    <row r="1544">
      <c r="A1544" s="32"/>
      <c r="B1544" s="32"/>
      <c r="C1544" s="32"/>
      <c r="D1544" s="32"/>
      <c r="E1544" s="32"/>
      <c r="F1544" s="32"/>
      <c r="G1544" s="32"/>
      <c r="H1544" s="32"/>
      <c r="I1544" s="32"/>
      <c r="J1544" s="32"/>
      <c r="K1544" s="32"/>
      <c r="L1544" s="32"/>
      <c r="M1544" s="32"/>
      <c r="N1544" s="32"/>
      <c r="O1544" s="32"/>
      <c r="P1544" s="32"/>
      <c r="Q1544" s="32"/>
      <c r="R1544" s="32"/>
      <c r="S1544" s="32"/>
      <c r="T1544" s="32"/>
      <c r="U1544" s="32"/>
      <c r="V1544" s="32"/>
      <c r="W1544" s="32"/>
      <c r="X1544" s="32"/>
      <c r="Y1544" s="32"/>
      <c r="Z1544" s="32"/>
    </row>
    <row r="1545">
      <c r="A1545" s="32"/>
      <c r="B1545" s="32"/>
      <c r="C1545" s="32"/>
      <c r="D1545" s="32"/>
      <c r="E1545" s="32"/>
      <c r="F1545" s="32"/>
      <c r="G1545" s="32"/>
      <c r="H1545" s="32"/>
      <c r="I1545" s="32"/>
      <c r="J1545" s="32"/>
      <c r="K1545" s="32"/>
      <c r="L1545" s="32"/>
      <c r="M1545" s="32"/>
      <c r="N1545" s="32"/>
      <c r="O1545" s="32"/>
      <c r="P1545" s="32"/>
      <c r="Q1545" s="32"/>
      <c r="R1545" s="32"/>
      <c r="S1545" s="32"/>
      <c r="T1545" s="32"/>
      <c r="U1545" s="32"/>
      <c r="V1545" s="32"/>
      <c r="W1545" s="32"/>
      <c r="X1545" s="32"/>
      <c r="Y1545" s="32"/>
      <c r="Z1545" s="32"/>
    </row>
    <row r="1546">
      <c r="A1546" s="32"/>
      <c r="B1546" s="32"/>
      <c r="C1546" s="32"/>
      <c r="D1546" s="32"/>
      <c r="E1546" s="32"/>
      <c r="F1546" s="32"/>
      <c r="G1546" s="32"/>
      <c r="H1546" s="32"/>
      <c r="I1546" s="32"/>
      <c r="J1546" s="32"/>
      <c r="K1546" s="32"/>
      <c r="L1546" s="32"/>
      <c r="M1546" s="32"/>
      <c r="N1546" s="32"/>
      <c r="O1546" s="32"/>
      <c r="P1546" s="32"/>
      <c r="Q1546" s="32"/>
      <c r="R1546" s="32"/>
      <c r="S1546" s="32"/>
      <c r="T1546" s="32"/>
      <c r="U1546" s="32"/>
      <c r="V1546" s="32"/>
      <c r="W1546" s="32"/>
      <c r="X1546" s="32"/>
      <c r="Y1546" s="32"/>
      <c r="Z1546" s="32"/>
    </row>
    <row r="1547">
      <c r="A1547" s="32"/>
      <c r="B1547" s="32"/>
      <c r="C1547" s="32"/>
      <c r="D1547" s="32"/>
      <c r="E1547" s="32"/>
      <c r="F1547" s="32"/>
      <c r="G1547" s="32"/>
      <c r="H1547" s="32"/>
      <c r="I1547" s="32"/>
      <c r="J1547" s="32"/>
      <c r="K1547" s="32"/>
      <c r="L1547" s="32"/>
      <c r="M1547" s="32"/>
      <c r="N1547" s="32"/>
      <c r="O1547" s="32"/>
      <c r="P1547" s="32"/>
      <c r="Q1547" s="32"/>
      <c r="R1547" s="32"/>
      <c r="S1547" s="32"/>
      <c r="T1547" s="32"/>
      <c r="U1547" s="32"/>
      <c r="V1547" s="32"/>
      <c r="W1547" s="32"/>
      <c r="X1547" s="32"/>
      <c r="Y1547" s="32"/>
      <c r="Z1547" s="32"/>
    </row>
    <row r="1548">
      <c r="A1548" s="32"/>
      <c r="B1548" s="32"/>
      <c r="C1548" s="32"/>
      <c r="D1548" s="32"/>
      <c r="E1548" s="32"/>
      <c r="F1548" s="32"/>
      <c r="G1548" s="32"/>
      <c r="H1548" s="32"/>
      <c r="I1548" s="32"/>
      <c r="J1548" s="32"/>
      <c r="K1548" s="32"/>
      <c r="L1548" s="32"/>
      <c r="M1548" s="32"/>
      <c r="N1548" s="32"/>
      <c r="O1548" s="32"/>
      <c r="P1548" s="32"/>
      <c r="Q1548" s="32"/>
      <c r="R1548" s="32"/>
      <c r="S1548" s="32"/>
      <c r="T1548" s="32"/>
      <c r="U1548" s="32"/>
      <c r="V1548" s="32"/>
      <c r="W1548" s="32"/>
      <c r="X1548" s="32"/>
      <c r="Y1548" s="32"/>
      <c r="Z1548" s="32"/>
    </row>
    <row r="1549">
      <c r="A1549" s="32"/>
      <c r="B1549" s="32"/>
      <c r="C1549" s="32"/>
      <c r="D1549" s="32"/>
      <c r="E1549" s="32"/>
      <c r="F1549" s="32"/>
      <c r="G1549" s="32"/>
      <c r="H1549" s="32"/>
      <c r="I1549" s="32"/>
      <c r="J1549" s="32"/>
      <c r="K1549" s="32"/>
      <c r="L1549" s="32"/>
      <c r="M1549" s="32"/>
      <c r="N1549" s="32"/>
      <c r="O1549" s="32"/>
      <c r="P1549" s="32"/>
      <c r="Q1549" s="32"/>
      <c r="R1549" s="32"/>
      <c r="S1549" s="32"/>
      <c r="T1549" s="32"/>
      <c r="U1549" s="32"/>
      <c r="V1549" s="32"/>
      <c r="W1549" s="32"/>
      <c r="X1549" s="32"/>
      <c r="Y1549" s="32"/>
      <c r="Z1549" s="32"/>
    </row>
    <row r="1550">
      <c r="A1550" s="32"/>
      <c r="B1550" s="32"/>
      <c r="C1550" s="32"/>
      <c r="D1550" s="32"/>
      <c r="E1550" s="32"/>
      <c r="F1550" s="32"/>
      <c r="G1550" s="32"/>
      <c r="H1550" s="32"/>
      <c r="I1550" s="32"/>
      <c r="J1550" s="32"/>
      <c r="K1550" s="32"/>
      <c r="L1550" s="32"/>
      <c r="M1550" s="32"/>
      <c r="N1550" s="32"/>
      <c r="O1550" s="32"/>
      <c r="P1550" s="32"/>
      <c r="Q1550" s="32"/>
      <c r="R1550" s="32"/>
      <c r="S1550" s="32"/>
      <c r="T1550" s="32"/>
      <c r="U1550" s="32"/>
      <c r="V1550" s="32"/>
      <c r="W1550" s="32"/>
      <c r="X1550" s="32"/>
      <c r="Y1550" s="32"/>
      <c r="Z1550" s="32"/>
    </row>
    <row r="1551">
      <c r="A1551" s="32"/>
      <c r="B1551" s="32"/>
      <c r="C1551" s="32"/>
      <c r="D1551" s="32"/>
      <c r="E1551" s="32"/>
      <c r="F1551" s="32"/>
      <c r="G1551" s="32"/>
      <c r="H1551" s="32"/>
      <c r="I1551" s="32"/>
      <c r="J1551" s="32"/>
      <c r="K1551" s="32"/>
      <c r="L1551" s="32"/>
      <c r="M1551" s="32"/>
      <c r="N1551" s="32"/>
      <c r="O1551" s="32"/>
      <c r="P1551" s="32"/>
      <c r="Q1551" s="32"/>
      <c r="R1551" s="32"/>
      <c r="S1551" s="32"/>
      <c r="T1551" s="32"/>
      <c r="U1551" s="32"/>
      <c r="V1551" s="32"/>
      <c r="W1551" s="32"/>
      <c r="X1551" s="32"/>
      <c r="Y1551" s="32"/>
      <c r="Z1551" s="32"/>
    </row>
    <row r="1552">
      <c r="A1552" s="32"/>
      <c r="B1552" s="32"/>
      <c r="C1552" s="32"/>
      <c r="D1552" s="32"/>
      <c r="E1552" s="32"/>
      <c r="F1552" s="32"/>
      <c r="G1552" s="32"/>
      <c r="H1552" s="32"/>
      <c r="I1552" s="32"/>
      <c r="J1552" s="32"/>
      <c r="K1552" s="32"/>
      <c r="L1552" s="32"/>
      <c r="M1552" s="32"/>
      <c r="N1552" s="32"/>
      <c r="O1552" s="32"/>
      <c r="P1552" s="32"/>
      <c r="Q1552" s="32"/>
      <c r="R1552" s="32"/>
      <c r="S1552" s="32"/>
      <c r="T1552" s="32"/>
      <c r="U1552" s="32"/>
      <c r="V1552" s="32"/>
      <c r="W1552" s="32"/>
      <c r="X1552" s="32"/>
      <c r="Y1552" s="32"/>
      <c r="Z1552" s="32"/>
    </row>
    <row r="1553">
      <c r="A1553" s="32"/>
      <c r="B1553" s="32"/>
      <c r="C1553" s="32"/>
      <c r="D1553" s="32"/>
      <c r="E1553" s="32"/>
      <c r="F1553" s="32"/>
      <c r="G1553" s="32"/>
      <c r="H1553" s="32"/>
      <c r="I1553" s="32"/>
      <c r="J1553" s="32"/>
      <c r="K1553" s="32"/>
      <c r="L1553" s="32"/>
      <c r="M1553" s="32"/>
      <c r="N1553" s="32"/>
      <c r="O1553" s="32"/>
      <c r="P1553" s="32"/>
      <c r="Q1553" s="32"/>
      <c r="R1553" s="32"/>
      <c r="S1553" s="32"/>
      <c r="T1553" s="32"/>
      <c r="U1553" s="32"/>
      <c r="V1553" s="32"/>
      <c r="W1553" s="32"/>
      <c r="X1553" s="32"/>
      <c r="Y1553" s="32"/>
      <c r="Z1553" s="32"/>
    </row>
    <row r="1554">
      <c r="A1554" s="32"/>
      <c r="B1554" s="32"/>
      <c r="C1554" s="32"/>
      <c r="D1554" s="32"/>
      <c r="E1554" s="32"/>
      <c r="F1554" s="32"/>
      <c r="G1554" s="32"/>
      <c r="H1554" s="32"/>
      <c r="I1554" s="32"/>
      <c r="J1554" s="32"/>
      <c r="K1554" s="32"/>
      <c r="L1554" s="32"/>
      <c r="M1554" s="32"/>
      <c r="N1554" s="32"/>
      <c r="O1554" s="32"/>
      <c r="P1554" s="32"/>
      <c r="Q1554" s="32"/>
      <c r="R1554" s="32"/>
      <c r="S1554" s="32"/>
      <c r="T1554" s="32"/>
      <c r="U1554" s="32"/>
      <c r="V1554" s="32"/>
      <c r="W1554" s="32"/>
      <c r="X1554" s="32"/>
      <c r="Y1554" s="32"/>
      <c r="Z1554" s="32"/>
    </row>
    <row r="1555">
      <c r="A1555" s="32"/>
      <c r="B1555" s="32"/>
      <c r="C1555" s="32"/>
      <c r="D1555" s="32"/>
      <c r="E1555" s="32"/>
      <c r="F1555" s="32"/>
      <c r="G1555" s="32"/>
      <c r="H1555" s="32"/>
      <c r="I1555" s="32"/>
      <c r="J1555" s="32"/>
      <c r="K1555" s="32"/>
      <c r="L1555" s="32"/>
      <c r="M1555" s="32"/>
      <c r="N1555" s="32"/>
      <c r="O1555" s="32"/>
      <c r="P1555" s="32"/>
      <c r="Q1555" s="32"/>
      <c r="R1555" s="32"/>
      <c r="S1555" s="32"/>
      <c r="T1555" s="32"/>
      <c r="U1555" s="32"/>
      <c r="V1555" s="32"/>
      <c r="W1555" s="32"/>
      <c r="X1555" s="32"/>
      <c r="Y1555" s="32"/>
      <c r="Z1555" s="32"/>
    </row>
    <row r="1556">
      <c r="A1556" s="32"/>
      <c r="B1556" s="32"/>
      <c r="C1556" s="32"/>
      <c r="D1556" s="32"/>
      <c r="E1556" s="32"/>
      <c r="F1556" s="32"/>
      <c r="G1556" s="32"/>
      <c r="H1556" s="32"/>
      <c r="I1556" s="32"/>
      <c r="J1556" s="32"/>
      <c r="K1556" s="32"/>
      <c r="L1556" s="32"/>
      <c r="M1556" s="32"/>
      <c r="N1556" s="32"/>
      <c r="O1556" s="32"/>
      <c r="P1556" s="32"/>
      <c r="Q1556" s="32"/>
      <c r="R1556" s="32"/>
      <c r="S1556" s="32"/>
      <c r="T1556" s="32"/>
      <c r="U1556" s="32"/>
      <c r="V1556" s="32"/>
      <c r="W1556" s="32"/>
      <c r="X1556" s="32"/>
      <c r="Y1556" s="32"/>
      <c r="Z1556" s="32"/>
    </row>
    <row r="1557">
      <c r="A1557" s="32"/>
      <c r="B1557" s="32"/>
      <c r="C1557" s="32"/>
      <c r="D1557" s="32"/>
      <c r="E1557" s="32"/>
      <c r="F1557" s="32"/>
      <c r="G1557" s="32"/>
      <c r="H1557" s="32"/>
      <c r="I1557" s="32"/>
      <c r="J1557" s="32"/>
      <c r="K1557" s="32"/>
      <c r="L1557" s="32"/>
      <c r="M1557" s="32"/>
      <c r="N1557" s="32"/>
      <c r="O1557" s="32"/>
      <c r="P1557" s="32"/>
      <c r="Q1557" s="32"/>
      <c r="R1557" s="32"/>
      <c r="S1557" s="32"/>
      <c r="T1557" s="32"/>
      <c r="U1557" s="32"/>
      <c r="V1557" s="32"/>
      <c r="W1557" s="32"/>
      <c r="X1557" s="32"/>
      <c r="Y1557" s="32"/>
      <c r="Z1557" s="32"/>
    </row>
    <row r="1558">
      <c r="A1558" s="32"/>
      <c r="B1558" s="32"/>
      <c r="C1558" s="32"/>
      <c r="D1558" s="32"/>
      <c r="E1558" s="32"/>
      <c r="F1558" s="32"/>
      <c r="G1558" s="32"/>
      <c r="H1558" s="32"/>
      <c r="I1558" s="32"/>
      <c r="J1558" s="32"/>
      <c r="K1558" s="32"/>
      <c r="L1558" s="32"/>
      <c r="M1558" s="32"/>
      <c r="N1558" s="32"/>
      <c r="O1558" s="32"/>
      <c r="P1558" s="32"/>
      <c r="Q1558" s="32"/>
      <c r="R1558" s="32"/>
      <c r="S1558" s="32"/>
      <c r="T1558" s="32"/>
      <c r="U1558" s="32"/>
      <c r="V1558" s="32"/>
      <c r="W1558" s="32"/>
      <c r="X1558" s="32"/>
      <c r="Y1558" s="32"/>
      <c r="Z1558" s="32"/>
    </row>
    <row r="1559">
      <c r="A1559" s="32"/>
      <c r="B1559" s="32"/>
      <c r="C1559" s="32"/>
      <c r="D1559" s="32"/>
      <c r="E1559" s="32"/>
      <c r="F1559" s="32"/>
      <c r="G1559" s="32"/>
      <c r="H1559" s="32"/>
      <c r="I1559" s="32"/>
      <c r="J1559" s="32"/>
      <c r="K1559" s="32"/>
      <c r="L1559" s="32"/>
      <c r="M1559" s="32"/>
      <c r="N1559" s="32"/>
      <c r="O1559" s="32"/>
      <c r="P1559" s="32"/>
      <c r="Q1559" s="32"/>
      <c r="R1559" s="32"/>
      <c r="S1559" s="32"/>
      <c r="T1559" s="32"/>
      <c r="U1559" s="32"/>
      <c r="V1559" s="32"/>
      <c r="W1559" s="32"/>
      <c r="X1559" s="32"/>
      <c r="Y1559" s="32"/>
      <c r="Z1559" s="32"/>
    </row>
    <row r="1560">
      <c r="A1560" s="32"/>
      <c r="B1560" s="32"/>
      <c r="C1560" s="32"/>
      <c r="D1560" s="32"/>
      <c r="E1560" s="32"/>
      <c r="F1560" s="32"/>
      <c r="G1560" s="32"/>
      <c r="H1560" s="32"/>
      <c r="I1560" s="32"/>
      <c r="J1560" s="32"/>
      <c r="K1560" s="32"/>
      <c r="L1560" s="32"/>
      <c r="M1560" s="32"/>
      <c r="N1560" s="32"/>
      <c r="O1560" s="32"/>
      <c r="P1560" s="32"/>
      <c r="Q1560" s="32"/>
      <c r="R1560" s="32"/>
      <c r="S1560" s="32"/>
      <c r="T1560" s="32"/>
      <c r="U1560" s="32"/>
      <c r="V1560" s="32"/>
      <c r="W1560" s="32"/>
      <c r="X1560" s="32"/>
      <c r="Y1560" s="32"/>
      <c r="Z1560" s="32"/>
    </row>
    <row r="1561">
      <c r="A1561" s="32"/>
      <c r="B1561" s="32"/>
      <c r="C1561" s="32"/>
      <c r="D1561" s="32"/>
      <c r="E1561" s="32"/>
      <c r="F1561" s="32"/>
      <c r="G1561" s="32"/>
      <c r="H1561" s="32"/>
      <c r="I1561" s="32"/>
      <c r="J1561" s="32"/>
      <c r="K1561" s="32"/>
      <c r="L1561" s="32"/>
      <c r="M1561" s="32"/>
      <c r="N1561" s="32"/>
      <c r="O1561" s="32"/>
      <c r="P1561" s="32"/>
      <c r="Q1561" s="32"/>
      <c r="R1561" s="32"/>
      <c r="S1561" s="32"/>
      <c r="T1561" s="32"/>
      <c r="U1561" s="32"/>
      <c r="V1561" s="32"/>
      <c r="W1561" s="32"/>
      <c r="X1561" s="32"/>
      <c r="Y1561" s="32"/>
      <c r="Z1561" s="32"/>
    </row>
    <row r="1562">
      <c r="A1562" s="32"/>
      <c r="B1562" s="32"/>
      <c r="C1562" s="32"/>
      <c r="D1562" s="32"/>
      <c r="E1562" s="32"/>
      <c r="F1562" s="32"/>
      <c r="G1562" s="32"/>
      <c r="H1562" s="32"/>
      <c r="I1562" s="32"/>
      <c r="J1562" s="32"/>
      <c r="K1562" s="32"/>
      <c r="L1562" s="32"/>
      <c r="M1562" s="32"/>
      <c r="N1562" s="32"/>
      <c r="O1562" s="32"/>
      <c r="P1562" s="32"/>
      <c r="Q1562" s="32"/>
      <c r="R1562" s="32"/>
      <c r="S1562" s="32"/>
      <c r="T1562" s="32"/>
      <c r="U1562" s="32"/>
      <c r="V1562" s="32"/>
      <c r="W1562" s="32"/>
      <c r="X1562" s="32"/>
      <c r="Y1562" s="32"/>
      <c r="Z1562" s="32"/>
    </row>
    <row r="1563">
      <c r="A1563" s="32"/>
      <c r="B1563" s="32"/>
      <c r="C1563" s="32"/>
      <c r="D1563" s="32"/>
      <c r="E1563" s="32"/>
      <c r="F1563" s="32"/>
      <c r="G1563" s="32"/>
      <c r="H1563" s="32"/>
      <c r="I1563" s="32"/>
      <c r="J1563" s="32"/>
      <c r="K1563" s="32"/>
      <c r="L1563" s="32"/>
      <c r="M1563" s="32"/>
      <c r="N1563" s="32"/>
      <c r="O1563" s="32"/>
      <c r="P1563" s="32"/>
      <c r="Q1563" s="32"/>
      <c r="R1563" s="32"/>
      <c r="S1563" s="32"/>
      <c r="T1563" s="32"/>
      <c r="U1563" s="32"/>
      <c r="V1563" s="32"/>
      <c r="W1563" s="32"/>
      <c r="X1563" s="32"/>
      <c r="Y1563" s="32"/>
      <c r="Z1563" s="32"/>
    </row>
    <row r="1564">
      <c r="A1564" s="32"/>
      <c r="B1564" s="32"/>
      <c r="C1564" s="32"/>
      <c r="D1564" s="32"/>
      <c r="E1564" s="32"/>
      <c r="F1564" s="32"/>
      <c r="G1564" s="32"/>
      <c r="H1564" s="32"/>
      <c r="I1564" s="32"/>
      <c r="J1564" s="32"/>
      <c r="K1564" s="32"/>
      <c r="L1564" s="32"/>
      <c r="M1564" s="32"/>
      <c r="N1564" s="32"/>
      <c r="O1564" s="32"/>
      <c r="P1564" s="32"/>
      <c r="Q1564" s="32"/>
      <c r="R1564" s="32"/>
      <c r="S1564" s="32"/>
      <c r="T1564" s="32"/>
      <c r="U1564" s="32"/>
      <c r="V1564" s="32"/>
      <c r="W1564" s="32"/>
      <c r="X1564" s="32"/>
      <c r="Y1564" s="32"/>
      <c r="Z1564" s="32"/>
    </row>
    <row r="1565">
      <c r="A1565" s="32"/>
      <c r="B1565" s="32"/>
      <c r="C1565" s="32"/>
      <c r="D1565" s="32"/>
      <c r="E1565" s="32"/>
      <c r="F1565" s="32"/>
      <c r="G1565" s="32"/>
      <c r="H1565" s="32"/>
      <c r="I1565" s="32"/>
      <c r="J1565" s="32"/>
      <c r="K1565" s="32"/>
      <c r="L1565" s="32"/>
      <c r="M1565" s="32"/>
      <c r="N1565" s="32"/>
      <c r="O1565" s="32"/>
      <c r="P1565" s="32"/>
      <c r="Q1565" s="32"/>
      <c r="R1565" s="32"/>
      <c r="S1565" s="32"/>
      <c r="T1565" s="32"/>
      <c r="U1565" s="32"/>
      <c r="V1565" s="32"/>
      <c r="W1565" s="32"/>
      <c r="X1565" s="32"/>
      <c r="Y1565" s="32"/>
      <c r="Z1565" s="32"/>
    </row>
    <row r="1566">
      <c r="A1566" s="32"/>
      <c r="B1566" s="32"/>
      <c r="C1566" s="32"/>
      <c r="D1566" s="32"/>
      <c r="E1566" s="32"/>
      <c r="F1566" s="32"/>
      <c r="G1566" s="32"/>
      <c r="H1566" s="32"/>
      <c r="I1566" s="32"/>
      <c r="J1566" s="32"/>
      <c r="K1566" s="32"/>
      <c r="L1566" s="32"/>
      <c r="M1566" s="32"/>
      <c r="N1566" s="32"/>
      <c r="O1566" s="32"/>
      <c r="P1566" s="32"/>
      <c r="Q1566" s="32"/>
      <c r="R1566" s="32"/>
      <c r="S1566" s="32"/>
      <c r="T1566" s="32"/>
      <c r="U1566" s="32"/>
      <c r="V1566" s="32"/>
      <c r="W1566" s="32"/>
      <c r="X1566" s="32"/>
      <c r="Y1566" s="32"/>
      <c r="Z1566" s="32"/>
    </row>
    <row r="1567">
      <c r="A1567" s="32"/>
      <c r="B1567" s="32"/>
      <c r="C1567" s="32"/>
      <c r="D1567" s="32"/>
      <c r="E1567" s="32"/>
      <c r="F1567" s="32"/>
      <c r="G1567" s="32"/>
      <c r="H1567" s="32"/>
      <c r="I1567" s="32"/>
      <c r="J1567" s="32"/>
      <c r="K1567" s="32"/>
      <c r="L1567" s="32"/>
      <c r="M1567" s="32"/>
      <c r="N1567" s="32"/>
      <c r="O1567" s="32"/>
      <c r="P1567" s="32"/>
      <c r="Q1567" s="32"/>
      <c r="R1567" s="32"/>
      <c r="S1567" s="32"/>
      <c r="T1567" s="32"/>
      <c r="U1567" s="32"/>
      <c r="V1567" s="32"/>
      <c r="W1567" s="32"/>
      <c r="X1567" s="32"/>
      <c r="Y1567" s="32"/>
      <c r="Z1567" s="32"/>
    </row>
    <row r="1568">
      <c r="A1568" s="32"/>
      <c r="B1568" s="32"/>
      <c r="C1568" s="32"/>
      <c r="D1568" s="32"/>
      <c r="E1568" s="32"/>
      <c r="F1568" s="32"/>
      <c r="G1568" s="32"/>
      <c r="H1568" s="32"/>
      <c r="I1568" s="32"/>
      <c r="J1568" s="32"/>
      <c r="K1568" s="32"/>
      <c r="L1568" s="32"/>
      <c r="M1568" s="32"/>
      <c r="N1568" s="32"/>
      <c r="O1568" s="32"/>
      <c r="P1568" s="32"/>
      <c r="Q1568" s="32"/>
      <c r="R1568" s="32"/>
      <c r="S1568" s="32"/>
      <c r="T1568" s="32"/>
      <c r="U1568" s="32"/>
      <c r="V1568" s="32"/>
      <c r="W1568" s="32"/>
      <c r="X1568" s="32"/>
      <c r="Y1568" s="32"/>
      <c r="Z1568" s="32"/>
    </row>
    <row r="1569">
      <c r="A1569" s="32"/>
      <c r="B1569" s="32"/>
      <c r="C1569" s="32"/>
      <c r="D1569" s="32"/>
      <c r="E1569" s="32"/>
      <c r="F1569" s="32"/>
      <c r="G1569" s="32"/>
      <c r="H1569" s="32"/>
      <c r="I1569" s="32"/>
      <c r="J1569" s="32"/>
      <c r="K1569" s="32"/>
      <c r="L1569" s="32"/>
      <c r="M1569" s="32"/>
      <c r="N1569" s="32"/>
      <c r="O1569" s="32"/>
      <c r="P1569" s="32"/>
      <c r="Q1569" s="32"/>
      <c r="R1569" s="32"/>
      <c r="S1569" s="32"/>
      <c r="T1569" s="32"/>
      <c r="U1569" s="32"/>
      <c r="V1569" s="32"/>
      <c r="W1569" s="32"/>
      <c r="X1569" s="32"/>
      <c r="Y1569" s="32"/>
      <c r="Z1569" s="32"/>
    </row>
    <row r="1570">
      <c r="A1570" s="32"/>
      <c r="B1570" s="32"/>
      <c r="C1570" s="32"/>
      <c r="D1570" s="32"/>
      <c r="E1570" s="32"/>
      <c r="F1570" s="32"/>
      <c r="G1570" s="32"/>
      <c r="H1570" s="32"/>
      <c r="I1570" s="32"/>
      <c r="J1570" s="32"/>
      <c r="K1570" s="32"/>
      <c r="L1570" s="32"/>
      <c r="M1570" s="32"/>
      <c r="N1570" s="32"/>
      <c r="O1570" s="32"/>
      <c r="P1570" s="32"/>
      <c r="Q1570" s="32"/>
      <c r="R1570" s="32"/>
      <c r="S1570" s="32"/>
      <c r="T1570" s="32"/>
      <c r="U1570" s="32"/>
      <c r="V1570" s="32"/>
      <c r="W1570" s="32"/>
      <c r="X1570" s="32"/>
      <c r="Y1570" s="32"/>
      <c r="Z1570" s="32"/>
    </row>
    <row r="1571">
      <c r="A1571" s="32"/>
      <c r="B1571" s="32"/>
      <c r="C1571" s="32"/>
      <c r="D1571" s="32"/>
      <c r="E1571" s="32"/>
      <c r="F1571" s="32"/>
      <c r="G1571" s="32"/>
      <c r="H1571" s="32"/>
      <c r="I1571" s="32"/>
      <c r="J1571" s="32"/>
      <c r="K1571" s="32"/>
      <c r="L1571" s="32"/>
      <c r="M1571" s="32"/>
      <c r="N1571" s="32"/>
      <c r="O1571" s="32"/>
      <c r="P1571" s="32"/>
      <c r="Q1571" s="32"/>
      <c r="R1571" s="32"/>
      <c r="S1571" s="32"/>
      <c r="T1571" s="32"/>
      <c r="U1571" s="32"/>
      <c r="V1571" s="32"/>
      <c r="W1571" s="32"/>
      <c r="X1571" s="32"/>
      <c r="Y1571" s="32"/>
      <c r="Z1571" s="32"/>
    </row>
    <row r="1572">
      <c r="A1572" s="32"/>
      <c r="B1572" s="32"/>
      <c r="C1572" s="32"/>
      <c r="D1572" s="32"/>
      <c r="E1572" s="32"/>
      <c r="F1572" s="32"/>
      <c r="G1572" s="32"/>
      <c r="H1572" s="32"/>
      <c r="I1572" s="32"/>
      <c r="J1572" s="32"/>
      <c r="K1572" s="32"/>
      <c r="L1572" s="32"/>
      <c r="M1572" s="32"/>
      <c r="N1572" s="32"/>
      <c r="O1572" s="32"/>
      <c r="P1572" s="32"/>
      <c r="Q1572" s="32"/>
      <c r="R1572" s="32"/>
      <c r="S1572" s="32"/>
      <c r="T1572" s="32"/>
      <c r="U1572" s="32"/>
      <c r="V1572" s="32"/>
      <c r="W1572" s="32"/>
      <c r="X1572" s="32"/>
      <c r="Y1572" s="32"/>
      <c r="Z1572" s="32"/>
    </row>
    <row r="1573">
      <c r="A1573" s="32"/>
      <c r="B1573" s="32"/>
      <c r="C1573" s="32"/>
      <c r="D1573" s="32"/>
      <c r="E1573" s="32"/>
      <c r="F1573" s="32"/>
      <c r="G1573" s="32"/>
      <c r="H1573" s="32"/>
      <c r="I1573" s="32"/>
      <c r="J1573" s="32"/>
      <c r="K1573" s="32"/>
      <c r="L1573" s="32"/>
      <c r="M1573" s="32"/>
      <c r="N1573" s="32"/>
      <c r="O1573" s="32"/>
      <c r="P1573" s="32"/>
      <c r="Q1573" s="32"/>
      <c r="R1573" s="32"/>
      <c r="S1573" s="32"/>
      <c r="T1573" s="32"/>
      <c r="U1573" s="32"/>
      <c r="V1573" s="32"/>
      <c r="W1573" s="32"/>
      <c r="X1573" s="32"/>
      <c r="Y1573" s="32"/>
      <c r="Z1573" s="32"/>
    </row>
    <row r="1574">
      <c r="A1574" s="32"/>
      <c r="B1574" s="32"/>
      <c r="C1574" s="32"/>
      <c r="D1574" s="32"/>
      <c r="E1574" s="32"/>
      <c r="F1574" s="32"/>
      <c r="G1574" s="32"/>
      <c r="H1574" s="32"/>
      <c r="I1574" s="32"/>
      <c r="J1574" s="32"/>
      <c r="K1574" s="32"/>
      <c r="L1574" s="32"/>
      <c r="M1574" s="32"/>
      <c r="N1574" s="32"/>
      <c r="O1574" s="32"/>
      <c r="P1574" s="32"/>
      <c r="Q1574" s="32"/>
      <c r="R1574" s="32"/>
      <c r="S1574" s="32"/>
      <c r="T1574" s="32"/>
      <c r="U1574" s="32"/>
      <c r="V1574" s="32"/>
      <c r="W1574" s="32"/>
      <c r="X1574" s="32"/>
      <c r="Y1574" s="32"/>
      <c r="Z1574" s="32"/>
    </row>
    <row r="1575">
      <c r="A1575" s="32"/>
      <c r="B1575" s="32"/>
      <c r="C1575" s="32"/>
      <c r="D1575" s="32"/>
      <c r="E1575" s="32"/>
      <c r="F1575" s="32"/>
      <c r="G1575" s="32"/>
      <c r="H1575" s="32"/>
      <c r="I1575" s="32"/>
      <c r="J1575" s="32"/>
      <c r="K1575" s="32"/>
      <c r="L1575" s="32"/>
      <c r="M1575" s="32"/>
      <c r="N1575" s="32"/>
      <c r="O1575" s="32"/>
      <c r="P1575" s="32"/>
      <c r="Q1575" s="32"/>
      <c r="R1575" s="32"/>
      <c r="S1575" s="32"/>
      <c r="T1575" s="32"/>
      <c r="U1575" s="32"/>
      <c r="V1575" s="32"/>
      <c r="W1575" s="32"/>
      <c r="X1575" s="32"/>
      <c r="Y1575" s="32"/>
      <c r="Z1575" s="32"/>
    </row>
    <row r="1576">
      <c r="A1576" s="32"/>
      <c r="B1576" s="32"/>
      <c r="C1576" s="32"/>
      <c r="D1576" s="32"/>
      <c r="E1576" s="32"/>
      <c r="F1576" s="32"/>
      <c r="G1576" s="32"/>
      <c r="H1576" s="32"/>
      <c r="I1576" s="32"/>
      <c r="J1576" s="32"/>
      <c r="K1576" s="32"/>
      <c r="L1576" s="32"/>
      <c r="M1576" s="32"/>
      <c r="N1576" s="32"/>
      <c r="O1576" s="32"/>
      <c r="P1576" s="32"/>
      <c r="Q1576" s="32"/>
      <c r="R1576" s="32"/>
      <c r="S1576" s="32"/>
      <c r="T1576" s="32"/>
      <c r="U1576" s="32"/>
      <c r="V1576" s="32"/>
      <c r="W1576" s="32"/>
      <c r="X1576" s="32"/>
      <c r="Y1576" s="32"/>
      <c r="Z1576" s="32"/>
    </row>
    <row r="1577">
      <c r="A1577" s="32"/>
      <c r="B1577" s="32"/>
      <c r="C1577" s="32"/>
      <c r="D1577" s="32"/>
      <c r="E1577" s="32"/>
      <c r="F1577" s="32"/>
      <c r="G1577" s="32"/>
      <c r="H1577" s="32"/>
      <c r="I1577" s="32"/>
      <c r="J1577" s="32"/>
      <c r="K1577" s="32"/>
      <c r="L1577" s="32"/>
      <c r="M1577" s="32"/>
      <c r="N1577" s="32"/>
      <c r="O1577" s="32"/>
      <c r="P1577" s="32"/>
      <c r="Q1577" s="32"/>
      <c r="R1577" s="32"/>
      <c r="S1577" s="32"/>
      <c r="T1577" s="32"/>
      <c r="U1577" s="32"/>
      <c r="V1577" s="32"/>
      <c r="W1577" s="32"/>
      <c r="X1577" s="32"/>
      <c r="Y1577" s="32"/>
      <c r="Z1577" s="32"/>
    </row>
    <row r="1578">
      <c r="A1578" s="32"/>
      <c r="B1578" s="32"/>
      <c r="C1578" s="32"/>
      <c r="D1578" s="32"/>
      <c r="E1578" s="32"/>
      <c r="F1578" s="32"/>
      <c r="G1578" s="32"/>
      <c r="H1578" s="32"/>
      <c r="I1578" s="32"/>
      <c r="J1578" s="32"/>
      <c r="K1578" s="32"/>
      <c r="L1578" s="32"/>
      <c r="M1578" s="32"/>
      <c r="N1578" s="32"/>
      <c r="O1578" s="32"/>
      <c r="P1578" s="32"/>
      <c r="Q1578" s="32"/>
      <c r="R1578" s="32"/>
      <c r="S1578" s="32"/>
      <c r="T1578" s="32"/>
      <c r="U1578" s="32"/>
      <c r="V1578" s="32"/>
      <c r="W1578" s="32"/>
      <c r="X1578" s="32"/>
      <c r="Y1578" s="32"/>
      <c r="Z1578" s="32"/>
    </row>
    <row r="1579">
      <c r="A1579" s="32"/>
      <c r="B1579" s="32"/>
      <c r="C1579" s="32"/>
      <c r="D1579" s="32"/>
      <c r="E1579" s="32"/>
      <c r="F1579" s="32"/>
      <c r="G1579" s="32"/>
      <c r="H1579" s="32"/>
      <c r="I1579" s="32"/>
      <c r="J1579" s="32"/>
      <c r="K1579" s="32"/>
      <c r="L1579" s="32"/>
      <c r="M1579" s="32"/>
      <c r="N1579" s="32"/>
      <c r="O1579" s="32"/>
      <c r="P1579" s="32"/>
      <c r="Q1579" s="32"/>
      <c r="R1579" s="32"/>
      <c r="S1579" s="32"/>
      <c r="T1579" s="32"/>
      <c r="U1579" s="32"/>
      <c r="V1579" s="32"/>
      <c r="W1579" s="32"/>
      <c r="X1579" s="32"/>
      <c r="Y1579" s="32"/>
      <c r="Z1579" s="32"/>
    </row>
    <row r="1580">
      <c r="A1580" s="32"/>
      <c r="B1580" s="32"/>
      <c r="C1580" s="32"/>
      <c r="D1580" s="32"/>
      <c r="E1580" s="32"/>
      <c r="F1580" s="32"/>
      <c r="G1580" s="32"/>
      <c r="H1580" s="32"/>
      <c r="I1580" s="32"/>
      <c r="J1580" s="32"/>
      <c r="K1580" s="32"/>
      <c r="L1580" s="32"/>
      <c r="M1580" s="32"/>
      <c r="N1580" s="32"/>
      <c r="O1580" s="32"/>
      <c r="P1580" s="32"/>
      <c r="Q1580" s="32"/>
      <c r="R1580" s="32"/>
      <c r="S1580" s="32"/>
      <c r="T1580" s="32"/>
      <c r="U1580" s="32"/>
      <c r="V1580" s="32"/>
      <c r="W1580" s="32"/>
      <c r="X1580" s="32"/>
      <c r="Y1580" s="32"/>
      <c r="Z1580" s="32"/>
    </row>
    <row r="1581">
      <c r="A1581" s="32"/>
      <c r="B1581" s="32"/>
      <c r="C1581" s="32"/>
      <c r="D1581" s="32"/>
      <c r="E1581" s="32"/>
      <c r="F1581" s="32"/>
      <c r="G1581" s="32"/>
      <c r="H1581" s="32"/>
      <c r="I1581" s="32"/>
      <c r="J1581" s="32"/>
      <c r="K1581" s="32"/>
      <c r="L1581" s="32"/>
      <c r="M1581" s="32"/>
      <c r="N1581" s="32"/>
      <c r="O1581" s="32"/>
      <c r="P1581" s="32"/>
      <c r="Q1581" s="32"/>
      <c r="R1581" s="32"/>
      <c r="S1581" s="32"/>
      <c r="T1581" s="32"/>
      <c r="U1581" s="32"/>
      <c r="V1581" s="32"/>
      <c r="W1581" s="32"/>
      <c r="X1581" s="32"/>
      <c r="Y1581" s="32"/>
      <c r="Z1581" s="32"/>
    </row>
    <row r="1582">
      <c r="A1582" s="32"/>
      <c r="B1582" s="32"/>
      <c r="C1582" s="32"/>
      <c r="D1582" s="32"/>
      <c r="E1582" s="32"/>
      <c r="F1582" s="32"/>
      <c r="G1582" s="32"/>
      <c r="H1582" s="32"/>
      <c r="I1582" s="32"/>
      <c r="J1582" s="32"/>
      <c r="K1582" s="32"/>
      <c r="L1582" s="32"/>
      <c r="M1582" s="32"/>
      <c r="N1582" s="32"/>
      <c r="O1582" s="32"/>
      <c r="P1582" s="32"/>
      <c r="Q1582" s="32"/>
      <c r="R1582" s="32"/>
      <c r="S1582" s="32"/>
      <c r="T1582" s="32"/>
      <c r="U1582" s="32"/>
      <c r="V1582" s="32"/>
      <c r="W1582" s="32"/>
      <c r="X1582" s="32"/>
      <c r="Y1582" s="32"/>
      <c r="Z1582" s="32"/>
    </row>
    <row r="1583">
      <c r="A1583" s="32"/>
      <c r="B1583" s="32"/>
      <c r="C1583" s="32"/>
      <c r="D1583" s="32"/>
      <c r="E1583" s="32"/>
      <c r="F1583" s="32"/>
      <c r="G1583" s="32"/>
      <c r="H1583" s="32"/>
      <c r="I1583" s="32"/>
      <c r="J1583" s="32"/>
      <c r="K1583" s="32"/>
      <c r="L1583" s="32"/>
      <c r="M1583" s="32"/>
      <c r="N1583" s="32"/>
      <c r="O1583" s="32"/>
      <c r="P1583" s="32"/>
      <c r="Q1583" s="32"/>
      <c r="R1583" s="32"/>
      <c r="S1583" s="32"/>
      <c r="T1583" s="32"/>
      <c r="U1583" s="32"/>
      <c r="V1583" s="32"/>
      <c r="W1583" s="32"/>
      <c r="X1583" s="32"/>
      <c r="Y1583" s="32"/>
      <c r="Z1583" s="32"/>
    </row>
    <row r="1584">
      <c r="A1584" s="32"/>
      <c r="B1584" s="32"/>
      <c r="C1584" s="32"/>
      <c r="D1584" s="32"/>
      <c r="E1584" s="32"/>
      <c r="F1584" s="32"/>
      <c r="G1584" s="32"/>
      <c r="H1584" s="32"/>
      <c r="I1584" s="32"/>
      <c r="J1584" s="32"/>
      <c r="K1584" s="32"/>
      <c r="L1584" s="32"/>
      <c r="M1584" s="32"/>
      <c r="N1584" s="32"/>
      <c r="O1584" s="32"/>
      <c r="P1584" s="32"/>
      <c r="Q1584" s="32"/>
      <c r="R1584" s="32"/>
      <c r="S1584" s="32"/>
      <c r="T1584" s="32"/>
      <c r="U1584" s="32"/>
      <c r="V1584" s="32"/>
      <c r="W1584" s="32"/>
      <c r="X1584" s="32"/>
      <c r="Y1584" s="32"/>
      <c r="Z1584" s="32"/>
    </row>
    <row r="1585">
      <c r="A1585" s="32"/>
      <c r="B1585" s="32"/>
      <c r="C1585" s="32"/>
      <c r="D1585" s="32"/>
      <c r="E1585" s="32"/>
      <c r="F1585" s="32"/>
      <c r="G1585" s="32"/>
      <c r="H1585" s="32"/>
      <c r="I1585" s="32"/>
      <c r="J1585" s="32"/>
      <c r="K1585" s="32"/>
      <c r="L1585" s="32"/>
      <c r="M1585" s="32"/>
      <c r="N1585" s="32"/>
      <c r="O1585" s="32"/>
      <c r="P1585" s="32"/>
      <c r="Q1585" s="32"/>
      <c r="R1585" s="32"/>
      <c r="S1585" s="32"/>
      <c r="T1585" s="32"/>
      <c r="U1585" s="32"/>
      <c r="V1585" s="32"/>
      <c r="W1585" s="32"/>
      <c r="X1585" s="32"/>
      <c r="Y1585" s="32"/>
      <c r="Z1585" s="32"/>
    </row>
    <row r="1586">
      <c r="A1586" s="32"/>
      <c r="B1586" s="32"/>
      <c r="C1586" s="32"/>
      <c r="D1586" s="32"/>
      <c r="E1586" s="32"/>
      <c r="F1586" s="32"/>
      <c r="G1586" s="32"/>
      <c r="H1586" s="32"/>
      <c r="I1586" s="32"/>
      <c r="J1586" s="32"/>
      <c r="K1586" s="32"/>
      <c r="L1586" s="32"/>
      <c r="M1586" s="32"/>
      <c r="N1586" s="32"/>
      <c r="O1586" s="32"/>
      <c r="P1586" s="32"/>
      <c r="Q1586" s="32"/>
      <c r="R1586" s="32"/>
      <c r="S1586" s="32"/>
      <c r="T1586" s="32"/>
      <c r="U1586" s="32"/>
      <c r="V1586" s="32"/>
      <c r="W1586" s="32"/>
      <c r="X1586" s="32"/>
      <c r="Y1586" s="32"/>
      <c r="Z1586" s="32"/>
    </row>
    <row r="1587">
      <c r="A1587" s="32"/>
      <c r="B1587" s="32"/>
      <c r="C1587" s="32"/>
      <c r="D1587" s="32"/>
      <c r="E1587" s="32"/>
      <c r="F1587" s="32"/>
      <c r="G1587" s="32"/>
      <c r="H1587" s="32"/>
      <c r="I1587" s="32"/>
      <c r="J1587" s="32"/>
      <c r="K1587" s="32"/>
      <c r="L1587" s="32"/>
      <c r="M1587" s="32"/>
      <c r="N1587" s="32"/>
      <c r="O1587" s="32"/>
      <c r="P1587" s="32"/>
      <c r="Q1587" s="32"/>
      <c r="R1587" s="32"/>
      <c r="S1587" s="32"/>
      <c r="T1587" s="32"/>
      <c r="U1587" s="32"/>
      <c r="V1587" s="32"/>
      <c r="W1587" s="32"/>
      <c r="X1587" s="32"/>
      <c r="Y1587" s="32"/>
      <c r="Z1587" s="32"/>
    </row>
    <row r="1588">
      <c r="A1588" s="32"/>
      <c r="B1588" s="32"/>
      <c r="C1588" s="32"/>
      <c r="D1588" s="32"/>
      <c r="E1588" s="32"/>
      <c r="F1588" s="32"/>
      <c r="G1588" s="32"/>
      <c r="H1588" s="32"/>
      <c r="I1588" s="32"/>
      <c r="J1588" s="32"/>
      <c r="K1588" s="32"/>
      <c r="L1588" s="32"/>
      <c r="M1588" s="32"/>
      <c r="N1588" s="32"/>
      <c r="O1588" s="32"/>
      <c r="P1588" s="32"/>
      <c r="Q1588" s="32"/>
      <c r="R1588" s="32"/>
      <c r="S1588" s="32"/>
      <c r="T1588" s="32"/>
      <c r="U1588" s="32"/>
      <c r="V1588" s="32"/>
      <c r="W1588" s="32"/>
      <c r="X1588" s="32"/>
      <c r="Y1588" s="32"/>
      <c r="Z1588" s="32"/>
    </row>
    <row r="1589">
      <c r="A1589" s="32"/>
      <c r="B1589" s="32"/>
      <c r="C1589" s="32"/>
      <c r="D1589" s="32"/>
      <c r="E1589" s="32"/>
      <c r="F1589" s="32"/>
      <c r="G1589" s="32"/>
      <c r="H1589" s="32"/>
      <c r="I1589" s="32"/>
      <c r="J1589" s="32"/>
      <c r="K1589" s="32"/>
      <c r="L1589" s="32"/>
      <c r="M1589" s="32"/>
      <c r="N1589" s="32"/>
      <c r="O1589" s="32"/>
      <c r="P1589" s="32"/>
      <c r="Q1589" s="32"/>
      <c r="R1589" s="32"/>
      <c r="S1589" s="32"/>
      <c r="T1589" s="32"/>
      <c r="U1589" s="32"/>
      <c r="V1589" s="32"/>
      <c r="W1589" s="32"/>
      <c r="X1589" s="32"/>
      <c r="Y1589" s="32"/>
      <c r="Z1589" s="32"/>
    </row>
    <row r="1590">
      <c r="A1590" s="32"/>
      <c r="B1590" s="32"/>
      <c r="C1590" s="32"/>
      <c r="D1590" s="32"/>
      <c r="E1590" s="32"/>
      <c r="F1590" s="32"/>
      <c r="G1590" s="32"/>
      <c r="H1590" s="32"/>
      <c r="I1590" s="32"/>
      <c r="J1590" s="32"/>
      <c r="K1590" s="32"/>
      <c r="L1590" s="32"/>
      <c r="M1590" s="32"/>
      <c r="N1590" s="32"/>
      <c r="O1590" s="32"/>
      <c r="P1590" s="32"/>
      <c r="Q1590" s="32"/>
      <c r="R1590" s="32"/>
      <c r="S1590" s="32"/>
      <c r="T1590" s="32"/>
      <c r="U1590" s="32"/>
      <c r="V1590" s="32"/>
      <c r="W1590" s="32"/>
      <c r="X1590" s="32"/>
      <c r="Y1590" s="32"/>
      <c r="Z1590" s="32"/>
    </row>
    <row r="1591">
      <c r="A1591" s="32"/>
      <c r="B1591" s="32"/>
      <c r="C1591" s="32"/>
      <c r="D1591" s="32"/>
      <c r="E1591" s="32"/>
      <c r="F1591" s="32"/>
      <c r="G1591" s="32"/>
      <c r="H1591" s="32"/>
      <c r="I1591" s="32"/>
      <c r="J1591" s="32"/>
      <c r="K1591" s="32"/>
      <c r="L1591" s="32"/>
      <c r="M1591" s="32"/>
      <c r="N1591" s="32"/>
      <c r="O1591" s="32"/>
      <c r="P1591" s="32"/>
      <c r="Q1591" s="32"/>
      <c r="R1591" s="32"/>
      <c r="S1591" s="32"/>
      <c r="T1591" s="32"/>
      <c r="U1591" s="32"/>
      <c r="V1591" s="32"/>
      <c r="W1591" s="32"/>
      <c r="X1591" s="32"/>
      <c r="Y1591" s="32"/>
      <c r="Z1591" s="32"/>
    </row>
    <row r="1592">
      <c r="A1592" s="32"/>
      <c r="B1592" s="32"/>
      <c r="C1592" s="32"/>
      <c r="D1592" s="32"/>
      <c r="E1592" s="32"/>
      <c r="F1592" s="32"/>
      <c r="G1592" s="32"/>
      <c r="H1592" s="32"/>
      <c r="I1592" s="32"/>
      <c r="J1592" s="32"/>
      <c r="K1592" s="32"/>
      <c r="L1592" s="32"/>
      <c r="M1592" s="32"/>
      <c r="N1592" s="32"/>
      <c r="O1592" s="32"/>
      <c r="P1592" s="32"/>
      <c r="Q1592" s="32"/>
      <c r="R1592" s="32"/>
      <c r="S1592" s="32"/>
      <c r="T1592" s="32"/>
      <c r="U1592" s="32"/>
      <c r="V1592" s="32"/>
      <c r="W1592" s="32"/>
      <c r="X1592" s="32"/>
      <c r="Y1592" s="32"/>
      <c r="Z1592" s="32"/>
    </row>
    <row r="1593">
      <c r="A1593" s="32"/>
      <c r="B1593" s="32"/>
      <c r="C1593" s="32"/>
      <c r="D1593" s="32"/>
      <c r="E1593" s="32"/>
      <c r="F1593" s="32"/>
      <c r="G1593" s="32"/>
      <c r="H1593" s="32"/>
      <c r="I1593" s="32"/>
      <c r="J1593" s="32"/>
      <c r="K1593" s="32"/>
      <c r="L1593" s="32"/>
      <c r="M1593" s="32"/>
      <c r="N1593" s="32"/>
      <c r="O1593" s="32"/>
      <c r="P1593" s="32"/>
      <c r="Q1593" s="32"/>
      <c r="R1593" s="32"/>
      <c r="S1593" s="32"/>
      <c r="T1593" s="32"/>
      <c r="U1593" s="32"/>
      <c r="V1593" s="32"/>
      <c r="W1593" s="32"/>
      <c r="X1593" s="32"/>
      <c r="Y1593" s="32"/>
      <c r="Z1593" s="32"/>
    </row>
    <row r="1594">
      <c r="A1594" s="32"/>
      <c r="B1594" s="32"/>
      <c r="C1594" s="32"/>
      <c r="D1594" s="32"/>
      <c r="E1594" s="32"/>
      <c r="F1594" s="32"/>
      <c r="G1594" s="32"/>
      <c r="H1594" s="32"/>
      <c r="I1594" s="32"/>
      <c r="J1594" s="32"/>
      <c r="K1594" s="32"/>
      <c r="L1594" s="32"/>
      <c r="M1594" s="32"/>
      <c r="N1594" s="32"/>
      <c r="O1594" s="32"/>
      <c r="P1594" s="32"/>
      <c r="Q1594" s="32"/>
      <c r="R1594" s="32"/>
      <c r="S1594" s="32"/>
      <c r="T1594" s="32"/>
      <c r="U1594" s="32"/>
      <c r="V1594" s="32"/>
      <c r="W1594" s="32"/>
      <c r="X1594" s="32"/>
      <c r="Y1594" s="32"/>
      <c r="Z1594" s="32"/>
    </row>
    <row r="1595">
      <c r="A1595" s="32"/>
      <c r="B1595" s="32"/>
      <c r="C1595" s="32"/>
      <c r="D1595" s="32"/>
      <c r="E1595" s="32"/>
      <c r="F1595" s="32"/>
      <c r="G1595" s="32"/>
      <c r="H1595" s="32"/>
      <c r="I1595" s="32"/>
      <c r="J1595" s="32"/>
      <c r="K1595" s="32"/>
      <c r="L1595" s="32"/>
      <c r="M1595" s="32"/>
      <c r="N1595" s="32"/>
      <c r="O1595" s="32"/>
      <c r="P1595" s="32"/>
      <c r="Q1595" s="32"/>
      <c r="R1595" s="32"/>
      <c r="S1595" s="32"/>
      <c r="T1595" s="32"/>
      <c r="U1595" s="32"/>
      <c r="V1595" s="32"/>
      <c r="W1595" s="32"/>
      <c r="X1595" s="32"/>
      <c r="Y1595" s="32"/>
      <c r="Z1595" s="3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75"/>
    <col customWidth="1" min="2" max="2" width="103.88"/>
    <col customWidth="1" min="3" max="6" width="12.63"/>
  </cols>
  <sheetData>
    <row r="1">
      <c r="A1" s="50" t="str">
        <f>IFERROR(__xludf.DUMMYFUNCTION("IMPORTRANGE(""https://docs.google.com/spreadsheets/d/1HXoAI5UG3zq1UHqU5n7fPdbQk93qOha2VQb1r7iRi1o"",""Items!A:BJ"")"),"Name")</f>
        <v>Name</v>
      </c>
      <c r="B1" s="50" t="str">
        <f>IFERROR(__xludf.DUMMYFUNCTION("""COMPUTED_VALUE"""),"Description")</f>
        <v>Description</v>
      </c>
      <c r="C1" s="32" t="str">
        <f>IFERROR(__xludf.DUMMYFUNCTION("""COMPUTED_VALUE"""),"Type")</f>
        <v>Type</v>
      </c>
      <c r="D1" s="32" t="str">
        <f>IFERROR(__xludf.DUMMYFUNCTION("""COMPUTED_VALUE"""),"ItemLoc")</f>
        <v>ItemLoc</v>
      </c>
      <c r="E1" s="32" t="str">
        <f>IFERROR(__xludf.DUMMYFUNCTION("""COMPUTED_VALUE"""),"Needs Revising")</f>
        <v>Needs Revising</v>
      </c>
      <c r="F1" s="32"/>
      <c r="G1" s="32"/>
      <c r="H1" s="32"/>
      <c r="I1" s="32"/>
      <c r="J1" s="32"/>
      <c r="K1" s="32"/>
      <c r="L1" s="32"/>
      <c r="M1" s="32"/>
      <c r="N1" s="32"/>
      <c r="O1" s="32"/>
      <c r="P1" s="32"/>
      <c r="Q1" s="32"/>
      <c r="R1" s="32"/>
      <c r="S1" s="32"/>
      <c r="T1" s="32"/>
      <c r="U1" s="32"/>
      <c r="V1" s="32"/>
      <c r="W1" s="32"/>
      <c r="X1" s="32"/>
      <c r="Y1" s="32"/>
      <c r="Z1" s="32"/>
    </row>
    <row r="2">
      <c r="A2" s="50" t="str">
        <f>IFERROR(__xludf.DUMMYFUNCTION("""COMPUTED_VALUE"""),"Nothing")</f>
        <v>Nothing</v>
      </c>
      <c r="B2" s="50"/>
      <c r="C2" s="32"/>
      <c r="D2" s="32" t="str">
        <f>IFERROR(__xludf.DUMMYFUNCTION("""COMPUTED_VALUE"""),"Land of Spira")</f>
        <v>Land of Spira</v>
      </c>
      <c r="E2" s="32" t="b">
        <f>IFERROR(__xludf.DUMMYFUNCTION("""COMPUTED_VALUE"""),TRUE)</f>
        <v>1</v>
      </c>
      <c r="F2" s="32"/>
      <c r="G2" s="32"/>
      <c r="H2" s="32"/>
      <c r="I2" s="32"/>
      <c r="J2" s="32"/>
      <c r="K2" s="32"/>
      <c r="L2" s="32"/>
      <c r="M2" s="32"/>
      <c r="N2" s="32"/>
      <c r="O2" s="32"/>
      <c r="P2" s="32"/>
      <c r="Q2" s="32"/>
      <c r="R2" s="32"/>
      <c r="S2" s="32"/>
      <c r="T2" s="32"/>
      <c r="U2" s="32"/>
      <c r="V2" s="32"/>
      <c r="W2" s="32"/>
      <c r="X2" s="32"/>
      <c r="Y2" s="32"/>
      <c r="Z2" s="32"/>
    </row>
    <row r="3">
      <c r="A3" s="49" t="str">
        <f>IFERROR(__xludf.DUMMYFUNCTION("""COMPUTED_VALUE"""),"Slime core")</f>
        <v>Slime core</v>
      </c>
      <c r="B3" s="50" t="str">
        <f>IFERROR(__xludf.DUMMYFUNCTION("""COMPUTED_VALUE"""),"restores 5 SP; can be used to make mana potions")</f>
        <v>restores 5 SP; can be used to make mana potions</v>
      </c>
      <c r="C3" s="32" t="str">
        <f>IFERROR(__xludf.DUMMYFUNCTION("""COMPUTED_VALUE"""),"Item")</f>
        <v>Item</v>
      </c>
      <c r="D3" s="32" t="str">
        <f>IFERROR(__xludf.DUMMYFUNCTION("""COMPUTED_VALUE"""),"Land of Spira")</f>
        <v>Land of Spira</v>
      </c>
      <c r="E3" s="32" t="b">
        <f>IFERROR(__xludf.DUMMYFUNCTION("""COMPUTED_VALUE"""),FALSE)</f>
        <v>0</v>
      </c>
      <c r="F3" s="32"/>
      <c r="G3" s="32"/>
      <c r="H3" s="32"/>
      <c r="I3" s="32"/>
      <c r="J3" s="32"/>
      <c r="K3" s="32"/>
      <c r="L3" s="32"/>
      <c r="M3" s="32"/>
      <c r="N3" s="32"/>
      <c r="O3" s="32"/>
      <c r="P3" s="32"/>
      <c r="Q3" s="32"/>
      <c r="R3" s="32"/>
      <c r="S3" s="32"/>
      <c r="T3" s="32"/>
      <c r="U3" s="32"/>
      <c r="V3" s="32"/>
      <c r="W3" s="32"/>
      <c r="X3" s="32"/>
      <c r="Y3" s="32"/>
      <c r="Z3" s="32"/>
    </row>
    <row r="4">
      <c r="A4" s="49" t="str">
        <f>IFERROR(__xludf.DUMMYFUNCTION("""COMPUTED_VALUE"""),"Mysterious egg")</f>
        <v>Mysterious egg</v>
      </c>
      <c r="B4" s="49" t="str">
        <f>IFERROR(__xludf.DUMMYFUNCTION("""COMPUTED_VALUE"""),"This egg will be determined by DM/GM")</f>
        <v>This egg will be determined by DM/GM</v>
      </c>
      <c r="C4" s="32" t="str">
        <f>IFERROR(__xludf.DUMMYFUNCTION("""COMPUTED_VALUE"""),"Item")</f>
        <v>Item</v>
      </c>
      <c r="D4" s="32" t="str">
        <f>IFERROR(__xludf.DUMMYFUNCTION("""COMPUTED_VALUE"""),"Land of Spira")</f>
        <v>Land of Spira</v>
      </c>
      <c r="E4" s="32" t="b">
        <f>IFERROR(__xludf.DUMMYFUNCTION("""COMPUTED_VALUE"""),FALSE)</f>
        <v>0</v>
      </c>
      <c r="F4" s="32"/>
      <c r="G4" s="32"/>
      <c r="H4" s="32"/>
      <c r="I4" s="32"/>
      <c r="J4" s="32"/>
      <c r="K4" s="32"/>
      <c r="L4" s="32"/>
      <c r="M4" s="32"/>
      <c r="N4" s="32"/>
      <c r="O4" s="32"/>
      <c r="P4" s="32"/>
      <c r="Q4" s="32"/>
      <c r="R4" s="32"/>
      <c r="S4" s="32"/>
      <c r="T4" s="32"/>
      <c r="U4" s="32"/>
      <c r="V4" s="32"/>
      <c r="W4" s="32"/>
      <c r="X4" s="32"/>
      <c r="Y4" s="32"/>
      <c r="Z4" s="32"/>
    </row>
    <row r="5">
      <c r="A5" s="49" t="str">
        <f>IFERROR(__xludf.DUMMYFUNCTION("""COMPUTED_VALUE"""),"Emerald of Luck")</f>
        <v>Emerald of Luck</v>
      </c>
      <c r="B5" s="49" t="str">
        <f>IFERROR(__xludf.DUMMYFUNCTION("""COMPUTED_VALUE"""),"It’s said when holding one of these you feel like it's a happy spring day...")</f>
        <v>It’s said when holding one of these you feel like it's a happy spring day...</v>
      </c>
      <c r="C5" s="32" t="str">
        <f>IFERROR(__xludf.DUMMYFUNCTION("""COMPUTED_VALUE"""),"Item")</f>
        <v>Item</v>
      </c>
      <c r="D5" s="32" t="str">
        <f>IFERROR(__xludf.DUMMYFUNCTION("""COMPUTED_VALUE"""),"Land of Spira")</f>
        <v>Land of Spira</v>
      </c>
      <c r="E5" s="32" t="b">
        <f>IFERROR(__xludf.DUMMYFUNCTION("""COMPUTED_VALUE"""),FALSE)</f>
        <v>0</v>
      </c>
      <c r="F5" s="32"/>
      <c r="G5" s="32"/>
      <c r="H5" s="32"/>
      <c r="I5" s="32"/>
      <c r="J5" s="32"/>
      <c r="K5" s="32"/>
      <c r="L5" s="32"/>
      <c r="M5" s="32"/>
      <c r="N5" s="32"/>
      <c r="O5" s="32"/>
      <c r="P5" s="32"/>
      <c r="Q5" s="32"/>
      <c r="R5" s="32"/>
      <c r="S5" s="32"/>
      <c r="T5" s="32"/>
      <c r="U5" s="32"/>
      <c r="V5" s="32"/>
      <c r="W5" s="32"/>
      <c r="X5" s="32"/>
      <c r="Y5" s="32"/>
      <c r="Z5" s="32"/>
    </row>
    <row r="6">
      <c r="A6" s="50" t="str">
        <f>IFERROR(__xludf.DUMMYFUNCTION("""COMPUTED_VALUE"""),"Gold")</f>
        <v>Gold</v>
      </c>
      <c r="B6" s="27" t="str">
        <f>IFERROR(__xludf.DUMMYFUNCTION("""COMPUTED_VALUE"""),"Crafting Material, roll a d20 to see how many you get if this is a loot drop.l. Can be used to repair an item.")</f>
        <v>Crafting Material, roll a d20 to see how many you get if this is a loot drop.l. Can be used to repair an item.</v>
      </c>
      <c r="C6" s="32" t="str">
        <f>IFERROR(__xludf.DUMMYFUNCTION("""COMPUTED_VALUE"""),"Item")</f>
        <v>Item</v>
      </c>
      <c r="D6" s="32" t="str">
        <f>IFERROR(__xludf.DUMMYFUNCTION("""COMPUTED_VALUE"""),"Land of Spira")</f>
        <v>Land of Spira</v>
      </c>
      <c r="E6" s="32" t="b">
        <f>IFERROR(__xludf.DUMMYFUNCTION("""COMPUTED_VALUE"""),FALSE)</f>
        <v>0</v>
      </c>
      <c r="F6" s="32"/>
      <c r="G6" s="32"/>
      <c r="H6" s="32"/>
      <c r="I6" s="32"/>
      <c r="J6" s="32"/>
      <c r="K6" s="32"/>
      <c r="L6" s="32"/>
      <c r="M6" s="32"/>
      <c r="N6" s="32"/>
      <c r="O6" s="32"/>
      <c r="P6" s="32"/>
      <c r="Q6" s="32"/>
      <c r="R6" s="32"/>
      <c r="S6" s="32"/>
      <c r="T6" s="32"/>
      <c r="U6" s="32"/>
      <c r="V6" s="32"/>
      <c r="W6" s="32"/>
      <c r="X6" s="32"/>
      <c r="Y6" s="32"/>
      <c r="Z6" s="32"/>
    </row>
    <row r="7">
      <c r="A7" s="50" t="str">
        <f>IFERROR(__xludf.DUMMYFUNCTION("""COMPUTED_VALUE"""),"Iron")</f>
        <v>Iron</v>
      </c>
      <c r="B7" s="50" t="str">
        <f>IFERROR(__xludf.DUMMYFUNCTION("""COMPUTED_VALUE"""),"Crafting Material, roll a d20 to see how many you get if this is a loot drop.. Can be used to repair an item.")</f>
        <v>Crafting Material, roll a d20 to see how many you get if this is a loot drop.. Can be used to repair an item.</v>
      </c>
      <c r="C7" s="32" t="str">
        <f>IFERROR(__xludf.DUMMYFUNCTION("""COMPUTED_VALUE"""),"Item")</f>
        <v>Item</v>
      </c>
      <c r="D7" s="32" t="str">
        <f>IFERROR(__xludf.DUMMYFUNCTION("""COMPUTED_VALUE"""),"Land of Spira")</f>
        <v>Land of Spira</v>
      </c>
      <c r="E7" s="32" t="b">
        <f>IFERROR(__xludf.DUMMYFUNCTION("""COMPUTED_VALUE"""),FALSE)</f>
        <v>0</v>
      </c>
      <c r="F7" s="32"/>
      <c r="G7" s="32"/>
      <c r="H7" s="32"/>
      <c r="I7" s="32"/>
      <c r="J7" s="32"/>
      <c r="K7" s="32"/>
      <c r="L7" s="32"/>
      <c r="M7" s="32"/>
      <c r="N7" s="32"/>
      <c r="O7" s="32"/>
      <c r="P7" s="32"/>
      <c r="Q7" s="32"/>
      <c r="R7" s="32"/>
      <c r="S7" s="32"/>
      <c r="T7" s="32"/>
      <c r="U7" s="32"/>
      <c r="V7" s="32"/>
      <c r="W7" s="32"/>
      <c r="X7" s="32"/>
      <c r="Y7" s="32"/>
      <c r="Z7" s="32"/>
    </row>
    <row r="8">
      <c r="A8" s="50" t="str">
        <f>IFERROR(__xludf.DUMMYFUNCTION("""COMPUTED_VALUE"""),"Dragon scales")</f>
        <v>Dragon scales</v>
      </c>
      <c r="B8" s="50" t="str">
        <f>IFERROR(__xludf.DUMMYFUNCTION("""COMPUTED_VALUE"""),"Crafting Material, roll a d20 to see how many you get if this is a loot drop.. Can be used to repair an item.")</f>
        <v>Crafting Material, roll a d20 to see how many you get if this is a loot drop.. Can be used to repair an item.</v>
      </c>
      <c r="C8" s="32" t="str">
        <f>IFERROR(__xludf.DUMMYFUNCTION("""COMPUTED_VALUE"""),"Item")</f>
        <v>Item</v>
      </c>
      <c r="D8" s="32" t="str">
        <f>IFERROR(__xludf.DUMMYFUNCTION("""COMPUTED_VALUE"""),"Land of Spira")</f>
        <v>Land of Spira</v>
      </c>
      <c r="E8" s="32" t="b">
        <f>IFERROR(__xludf.DUMMYFUNCTION("""COMPUTED_VALUE"""),FALSE)</f>
        <v>0</v>
      </c>
      <c r="F8" s="32"/>
      <c r="G8" s="32"/>
      <c r="H8" s="32"/>
      <c r="I8" s="32"/>
      <c r="J8" s="32"/>
      <c r="K8" s="32"/>
      <c r="L8" s="32"/>
      <c r="M8" s="32"/>
      <c r="N8" s="32"/>
      <c r="O8" s="32"/>
      <c r="P8" s="32"/>
      <c r="Q8" s="32"/>
      <c r="R8" s="32"/>
      <c r="S8" s="32"/>
      <c r="T8" s="32"/>
      <c r="U8" s="32"/>
      <c r="V8" s="32"/>
      <c r="W8" s="32"/>
      <c r="X8" s="32"/>
      <c r="Y8" s="32"/>
      <c r="Z8" s="32"/>
    </row>
    <row r="9">
      <c r="A9" s="50" t="str">
        <f>IFERROR(__xludf.DUMMYFUNCTION("""COMPUTED_VALUE"""),"Desert Emerald")</f>
        <v>Desert Emerald</v>
      </c>
      <c r="B9" s="50" t="str">
        <f>IFERROR(__xludf.DUMMYFUNCTION("""COMPUTED_VALUE"""),"Crafting Material, roll a d20 to see how many you get if this is a loot drop.. Can be used to repair an item.")</f>
        <v>Crafting Material, roll a d20 to see how many you get if this is a loot drop.. Can be used to repair an item.</v>
      </c>
      <c r="C9" s="32" t="str">
        <f>IFERROR(__xludf.DUMMYFUNCTION("""COMPUTED_VALUE"""),"Item")</f>
        <v>Item</v>
      </c>
      <c r="D9" s="32" t="str">
        <f>IFERROR(__xludf.DUMMYFUNCTION("""COMPUTED_VALUE"""),"Land of Spira")</f>
        <v>Land of Spira</v>
      </c>
      <c r="E9" s="32" t="b">
        <f>IFERROR(__xludf.DUMMYFUNCTION("""COMPUTED_VALUE"""),FALSE)</f>
        <v>0</v>
      </c>
      <c r="F9" s="32"/>
      <c r="G9" s="32"/>
      <c r="H9" s="32"/>
      <c r="I9" s="32"/>
      <c r="J9" s="32"/>
      <c r="K9" s="32"/>
      <c r="L9" s="32"/>
      <c r="M9" s="32"/>
      <c r="N9" s="32"/>
      <c r="O9" s="32"/>
      <c r="P9" s="32"/>
      <c r="Q9" s="32"/>
      <c r="R9" s="32"/>
      <c r="S9" s="32"/>
      <c r="T9" s="32"/>
      <c r="U9" s="32"/>
      <c r="V9" s="32"/>
      <c r="W9" s="32"/>
      <c r="X9" s="32"/>
      <c r="Y9" s="32"/>
      <c r="Z9" s="32"/>
    </row>
    <row r="10">
      <c r="A10" s="50" t="str">
        <f>IFERROR(__xludf.DUMMYFUNCTION("""COMPUTED_VALUE"""),"Desert Ruby")</f>
        <v>Desert Ruby</v>
      </c>
      <c r="B10" s="50" t="str">
        <f>IFERROR(__xludf.DUMMYFUNCTION("""COMPUTED_VALUE"""),"Crafting Material, roll a d20 to see how many you get if this is a loot drop.. Can be used to repair an item.")</f>
        <v>Crafting Material, roll a d20 to see how many you get if this is a loot drop.. Can be used to repair an item.</v>
      </c>
      <c r="C10" s="32" t="str">
        <f>IFERROR(__xludf.DUMMYFUNCTION("""COMPUTED_VALUE"""),"Item")</f>
        <v>Item</v>
      </c>
      <c r="D10" s="32" t="str">
        <f>IFERROR(__xludf.DUMMYFUNCTION("""COMPUTED_VALUE"""),"Land of Spira")</f>
        <v>Land of Spira</v>
      </c>
      <c r="E10" s="32" t="b">
        <f>IFERROR(__xludf.DUMMYFUNCTION("""COMPUTED_VALUE"""),FALSE)</f>
        <v>0</v>
      </c>
      <c r="F10" s="32"/>
      <c r="G10" s="32"/>
      <c r="H10" s="32"/>
      <c r="I10" s="32"/>
      <c r="J10" s="32"/>
      <c r="K10" s="32"/>
      <c r="L10" s="32"/>
      <c r="M10" s="32"/>
      <c r="N10" s="32"/>
      <c r="O10" s="32"/>
      <c r="P10" s="32"/>
      <c r="Q10" s="32"/>
      <c r="R10" s="32"/>
      <c r="S10" s="32"/>
      <c r="T10" s="32"/>
      <c r="U10" s="32"/>
      <c r="V10" s="32"/>
      <c r="W10" s="32"/>
      <c r="X10" s="32"/>
      <c r="Y10" s="32"/>
      <c r="Z10" s="32"/>
    </row>
    <row r="11">
      <c r="A11" s="50" t="str">
        <f>IFERROR(__xludf.DUMMYFUNCTION("""COMPUTED_VALUE"""),"Diamonds")</f>
        <v>Diamonds</v>
      </c>
      <c r="B11" s="50" t="str">
        <f>IFERROR(__xludf.DUMMYFUNCTION("""COMPUTED_VALUE"""),"Crafting Material, roll a d20 to see how many you get if this is a loot drop.. Can be used to repair an item.")</f>
        <v>Crafting Material, roll a d20 to see how many you get if this is a loot drop.. Can be used to repair an item.</v>
      </c>
      <c r="C11" s="32" t="str">
        <f>IFERROR(__xludf.DUMMYFUNCTION("""COMPUTED_VALUE"""),"Item")</f>
        <v>Item</v>
      </c>
      <c r="D11" s="32" t="str">
        <f>IFERROR(__xludf.DUMMYFUNCTION("""COMPUTED_VALUE"""),"Land of Spira")</f>
        <v>Land of Spira</v>
      </c>
      <c r="E11" s="32" t="b">
        <f>IFERROR(__xludf.DUMMYFUNCTION("""COMPUTED_VALUE"""),FALSE)</f>
        <v>0</v>
      </c>
      <c r="F11" s="32"/>
      <c r="G11" s="32"/>
      <c r="H11" s="32"/>
      <c r="I11" s="32"/>
      <c r="J11" s="32"/>
      <c r="K11" s="32"/>
      <c r="L11" s="32"/>
      <c r="M11" s="32"/>
      <c r="N11" s="32"/>
      <c r="O11" s="32"/>
      <c r="P11" s="32"/>
      <c r="Q11" s="32"/>
      <c r="R11" s="32"/>
      <c r="S11" s="32"/>
      <c r="T11" s="32"/>
      <c r="U11" s="32"/>
      <c r="V11" s="32"/>
      <c r="W11" s="32"/>
      <c r="X11" s="32"/>
      <c r="Y11" s="32"/>
      <c r="Z11" s="32"/>
    </row>
    <row r="12">
      <c r="A12" s="50" t="str">
        <f>IFERROR(__xludf.DUMMYFUNCTION("""COMPUTED_VALUE"""),"Bricks")</f>
        <v>Bricks</v>
      </c>
      <c r="B12" s="27" t="str">
        <f>IFERROR(__xludf.DUMMYFUNCTION("""COMPUTED_VALUE"""),"Crafting Material, roll a d20 to see how many you get if this is a loot drop.. Can be used to repair an item.")</f>
        <v>Crafting Material, roll a d20 to see how many you get if this is a loot drop.. Can be used to repair an item.</v>
      </c>
      <c r="C12" s="32" t="str">
        <f>IFERROR(__xludf.DUMMYFUNCTION("""COMPUTED_VALUE"""),"Item")</f>
        <v>Item</v>
      </c>
      <c r="D12" s="32" t="str">
        <f>IFERROR(__xludf.DUMMYFUNCTION("""COMPUTED_VALUE"""),"Land of Spira")</f>
        <v>Land of Spira</v>
      </c>
      <c r="E12" s="32" t="b">
        <f>IFERROR(__xludf.DUMMYFUNCTION("""COMPUTED_VALUE"""),FALSE)</f>
        <v>0</v>
      </c>
      <c r="F12" s="32"/>
      <c r="G12" s="32"/>
      <c r="H12" s="32"/>
      <c r="I12" s="32"/>
      <c r="J12" s="32"/>
      <c r="K12" s="32"/>
      <c r="L12" s="32"/>
      <c r="M12" s="32"/>
      <c r="N12" s="32"/>
      <c r="O12" s="32"/>
      <c r="P12" s="32"/>
      <c r="Q12" s="32"/>
      <c r="R12" s="32"/>
      <c r="S12" s="32"/>
      <c r="T12" s="32"/>
      <c r="U12" s="32"/>
      <c r="V12" s="32"/>
      <c r="W12" s="32"/>
      <c r="X12" s="32"/>
      <c r="Y12" s="32"/>
      <c r="Z12" s="32"/>
    </row>
    <row r="13">
      <c r="A13" s="50" t="str">
        <f>IFERROR(__xludf.DUMMYFUNCTION("""COMPUTED_VALUE"""),"Obsidian")</f>
        <v>Obsidian</v>
      </c>
      <c r="B13" s="50"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32" t="str">
        <f>IFERROR(__xludf.DUMMYFUNCTION("""COMPUTED_VALUE"""),"Item")</f>
        <v>Item</v>
      </c>
      <c r="D13" s="32" t="str">
        <f>IFERROR(__xludf.DUMMYFUNCTION("""COMPUTED_VALUE"""),"Land of Spira")</f>
        <v>Land of Spira</v>
      </c>
      <c r="E13" s="32" t="b">
        <f>IFERROR(__xludf.DUMMYFUNCTION("""COMPUTED_VALUE"""),FALSE)</f>
        <v>0</v>
      </c>
      <c r="F13" s="32"/>
      <c r="G13" s="32"/>
      <c r="H13" s="32"/>
      <c r="I13" s="32"/>
      <c r="J13" s="32"/>
      <c r="K13" s="32"/>
      <c r="L13" s="32"/>
      <c r="M13" s="32"/>
      <c r="N13" s="32"/>
      <c r="O13" s="32"/>
      <c r="P13" s="32"/>
      <c r="Q13" s="32"/>
      <c r="R13" s="32"/>
      <c r="S13" s="32"/>
      <c r="T13" s="32"/>
      <c r="U13" s="32"/>
      <c r="V13" s="32"/>
      <c r="W13" s="32"/>
      <c r="X13" s="32"/>
      <c r="Y13" s="32"/>
      <c r="Z13" s="32"/>
    </row>
    <row r="14">
      <c r="A14" s="50" t="str">
        <f>IFERROR(__xludf.DUMMYFUNCTION("""COMPUTED_VALUE"""),"Sand")</f>
        <v>Sand</v>
      </c>
      <c r="B14" s="5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32" t="str">
        <f>IFERROR(__xludf.DUMMYFUNCTION("""COMPUTED_VALUE"""),"Item")</f>
        <v>Item</v>
      </c>
      <c r="D14" s="32" t="str">
        <f>IFERROR(__xludf.DUMMYFUNCTION("""COMPUTED_VALUE"""),"Land of Spira")</f>
        <v>Land of Spira</v>
      </c>
      <c r="E14" s="32" t="b">
        <f>IFERROR(__xludf.DUMMYFUNCTION("""COMPUTED_VALUE"""),FALSE)</f>
        <v>0</v>
      </c>
      <c r="F14" s="32"/>
      <c r="G14" s="32"/>
      <c r="H14" s="32"/>
      <c r="I14" s="32"/>
      <c r="J14" s="32"/>
      <c r="K14" s="32"/>
      <c r="L14" s="32"/>
      <c r="M14" s="32"/>
      <c r="N14" s="32"/>
      <c r="O14" s="32"/>
      <c r="P14" s="32"/>
      <c r="Q14" s="32"/>
      <c r="R14" s="32"/>
      <c r="S14" s="32"/>
      <c r="T14" s="32"/>
      <c r="U14" s="32"/>
      <c r="V14" s="32"/>
      <c r="W14" s="32"/>
      <c r="X14" s="32"/>
      <c r="Y14" s="32"/>
      <c r="Z14" s="32"/>
    </row>
    <row r="15">
      <c r="A15" s="50" t="str">
        <f>IFERROR(__xludf.DUMMYFUNCTION("""COMPUTED_VALUE"""),"Glowing rocks")</f>
        <v>Glowing rocks</v>
      </c>
      <c r="B15" s="50" t="str">
        <f>IFERROR(__xludf.DUMMYFUNCTION("""COMPUTED_VALUE""")," Can be forged into armor or a weapon to give it +200 additional light damage or resistance")</f>
        <v> Can be forged into armor or a weapon to give it +200 additional light damage or resistance</v>
      </c>
      <c r="C15" s="32" t="str">
        <f>IFERROR(__xludf.DUMMYFUNCTION("""COMPUTED_VALUE"""),"Item")</f>
        <v>Item</v>
      </c>
      <c r="D15" s="32" t="str">
        <f>IFERROR(__xludf.DUMMYFUNCTION("""COMPUTED_VALUE"""),"Land of Spira")</f>
        <v>Land of Spira</v>
      </c>
      <c r="E15" s="32" t="b">
        <f>IFERROR(__xludf.DUMMYFUNCTION("""COMPUTED_VALUE"""),FALSE)</f>
        <v>0</v>
      </c>
      <c r="F15" s="32"/>
      <c r="G15" s="32"/>
      <c r="H15" s="32"/>
      <c r="I15" s="32"/>
      <c r="J15" s="32"/>
      <c r="K15" s="32"/>
      <c r="L15" s="32"/>
      <c r="M15" s="32"/>
      <c r="N15" s="32"/>
      <c r="O15" s="32"/>
      <c r="P15" s="32"/>
      <c r="Q15" s="32"/>
      <c r="R15" s="32"/>
      <c r="S15" s="32"/>
      <c r="T15" s="32"/>
      <c r="U15" s="32"/>
      <c r="V15" s="32"/>
      <c r="W15" s="32"/>
      <c r="X15" s="32"/>
      <c r="Y15" s="32"/>
      <c r="Z15" s="32"/>
    </row>
    <row r="16">
      <c r="A16" s="50" t="str">
        <f>IFERROR(__xludf.DUMMYFUNCTION("""COMPUTED_VALUE"""),"Steel")</f>
        <v>Steel</v>
      </c>
      <c r="B16" s="50" t="str">
        <f>IFERROR(__xludf.DUMMYFUNCTION("""COMPUTED_VALUE"""),"Crafting Material, roll a d20 to see how many you get if this is a loot drop. Can be used to repair an item. ")</f>
        <v>Crafting Material, roll a d20 to see how many you get if this is a loot drop. Can be used to repair an item. </v>
      </c>
      <c r="C16" s="32" t="str">
        <f>IFERROR(__xludf.DUMMYFUNCTION("""COMPUTED_VALUE"""),"Item")</f>
        <v>Item</v>
      </c>
      <c r="D16" s="32" t="str">
        <f>IFERROR(__xludf.DUMMYFUNCTION("""COMPUTED_VALUE"""),"Land of Spira")</f>
        <v>Land of Spira</v>
      </c>
      <c r="E16" s="32" t="b">
        <f>IFERROR(__xludf.DUMMYFUNCTION("""COMPUTED_VALUE"""),FALSE)</f>
        <v>0</v>
      </c>
      <c r="F16" s="32"/>
      <c r="G16" s="32"/>
      <c r="H16" s="32"/>
      <c r="I16" s="32"/>
      <c r="J16" s="32"/>
      <c r="K16" s="32"/>
      <c r="L16" s="32"/>
      <c r="M16" s="32"/>
      <c r="N16" s="32"/>
      <c r="O16" s="32"/>
      <c r="P16" s="32"/>
      <c r="Q16" s="32"/>
      <c r="R16" s="32"/>
      <c r="S16" s="32"/>
      <c r="T16" s="32"/>
      <c r="U16" s="32"/>
      <c r="V16" s="32"/>
      <c r="W16" s="32"/>
      <c r="X16" s="32"/>
      <c r="Y16" s="32"/>
      <c r="Z16" s="32"/>
    </row>
    <row r="17">
      <c r="A17" s="50" t="str">
        <f>IFERROR(__xludf.DUMMYFUNCTION("""COMPUTED_VALUE"""),"Silver")</f>
        <v>Silver</v>
      </c>
      <c r="B17" s="50"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32" t="str">
        <f>IFERROR(__xludf.DUMMYFUNCTION("""COMPUTED_VALUE"""),"Item")</f>
        <v>Item</v>
      </c>
      <c r="D17" s="32" t="str">
        <f>IFERROR(__xludf.DUMMYFUNCTION("""COMPUTED_VALUE"""),"Land of Spira")</f>
        <v>Land of Spira</v>
      </c>
      <c r="E17" s="32" t="b">
        <f>IFERROR(__xludf.DUMMYFUNCTION("""COMPUTED_VALUE"""),FALSE)</f>
        <v>0</v>
      </c>
      <c r="F17" s="32"/>
      <c r="G17" s="32"/>
      <c r="H17" s="32"/>
      <c r="I17" s="32"/>
      <c r="J17" s="32"/>
      <c r="K17" s="32"/>
      <c r="L17" s="32"/>
      <c r="M17" s="32"/>
      <c r="N17" s="32"/>
      <c r="O17" s="32"/>
      <c r="P17" s="32"/>
      <c r="Q17" s="32"/>
      <c r="R17" s="32"/>
      <c r="S17" s="32"/>
      <c r="T17" s="32"/>
      <c r="U17" s="32"/>
      <c r="V17" s="32"/>
      <c r="W17" s="32"/>
      <c r="X17" s="32"/>
      <c r="Y17" s="32"/>
      <c r="Z17" s="32"/>
    </row>
    <row r="18">
      <c r="A18" s="50" t="str">
        <f>IFERROR(__xludf.DUMMYFUNCTION("""COMPUTED_VALUE"""),"Chains")</f>
        <v>Chains</v>
      </c>
      <c r="B18" s="5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32" t="str">
        <f>IFERROR(__xludf.DUMMYFUNCTION("""COMPUTED_VALUE"""),"Item")</f>
        <v>Item</v>
      </c>
      <c r="D18" s="32" t="str">
        <f>IFERROR(__xludf.DUMMYFUNCTION("""COMPUTED_VALUE"""),"Land of Spira")</f>
        <v>Land of Spira</v>
      </c>
      <c r="E18" s="32" t="b">
        <f>IFERROR(__xludf.DUMMYFUNCTION("""COMPUTED_VALUE"""),FALSE)</f>
        <v>0</v>
      </c>
      <c r="F18" s="32"/>
      <c r="G18" s="32"/>
      <c r="H18" s="32"/>
      <c r="I18" s="32"/>
      <c r="J18" s="32"/>
      <c r="K18" s="32"/>
      <c r="L18" s="32"/>
      <c r="M18" s="32"/>
      <c r="N18" s="32"/>
      <c r="O18" s="32"/>
      <c r="P18" s="32"/>
      <c r="Q18" s="32"/>
      <c r="R18" s="32"/>
      <c r="S18" s="32"/>
      <c r="T18" s="32"/>
      <c r="U18" s="32"/>
      <c r="V18" s="32"/>
      <c r="W18" s="32"/>
      <c r="X18" s="32"/>
      <c r="Y18" s="32"/>
      <c r="Z18" s="32"/>
    </row>
    <row r="19">
      <c r="A19" s="49" t="str">
        <f>IFERROR(__xludf.DUMMYFUNCTION("""COMPUTED_VALUE"""),"Steel Pickaxe ")</f>
        <v>Steel Pickaxe </v>
      </c>
      <c r="B19" s="27" t="str">
        <f>IFERROR(__xludf.DUMMYFUNCTION("""COMPUTED_VALUE"""),"40/40 Uses. Used for mining.")</f>
        <v>40/40 Uses. Used for mining.</v>
      </c>
      <c r="C19" s="32" t="str">
        <f>IFERROR(__xludf.DUMMYFUNCTION("""COMPUTED_VALUE"""),"Item")</f>
        <v>Item</v>
      </c>
      <c r="D19" s="32" t="str">
        <f>IFERROR(__xludf.DUMMYFUNCTION("""COMPUTED_VALUE"""),"Land of Spira")</f>
        <v>Land of Spira</v>
      </c>
      <c r="E19" s="32" t="b">
        <f>IFERROR(__xludf.DUMMYFUNCTION("""COMPUTED_VALUE"""),FALSE)</f>
        <v>0</v>
      </c>
      <c r="F19" s="32"/>
      <c r="G19" s="32"/>
      <c r="H19" s="32"/>
      <c r="I19" s="32"/>
      <c r="J19" s="32"/>
      <c r="K19" s="32"/>
      <c r="L19" s="32"/>
      <c r="M19" s="32"/>
      <c r="N19" s="32"/>
      <c r="O19" s="32"/>
      <c r="P19" s="32"/>
      <c r="Q19" s="32"/>
      <c r="R19" s="32"/>
      <c r="S19" s="32"/>
      <c r="T19" s="32"/>
      <c r="U19" s="32"/>
      <c r="V19" s="32"/>
      <c r="W19" s="32"/>
      <c r="X19" s="32"/>
      <c r="Y19" s="32"/>
      <c r="Z19" s="32"/>
    </row>
    <row r="20">
      <c r="A20" s="49" t="str">
        <f>IFERROR(__xludf.DUMMYFUNCTION("""COMPUTED_VALUE"""),"Haggis Bowl")</f>
        <v>Haggis Bowl</v>
      </c>
      <c r="B20" s="49" t="str">
        <f>IFERROR(__xludf.DUMMYFUNCTION("""COMPUTED_VALUE"""),"Restores 75 Hunger +50 energy")</f>
        <v>Restores 75 Hunger +50 energy</v>
      </c>
      <c r="C20" s="32" t="str">
        <f>IFERROR(__xludf.DUMMYFUNCTION("""COMPUTED_VALUE"""),"Crop")</f>
        <v>Crop</v>
      </c>
      <c r="D20" s="32" t="str">
        <f>IFERROR(__xludf.DUMMYFUNCTION("""COMPUTED_VALUE"""),"Land of Spira")</f>
        <v>Land of Spira</v>
      </c>
      <c r="E20" s="32" t="b">
        <f>IFERROR(__xludf.DUMMYFUNCTION("""COMPUTED_VALUE"""),FALSE)</f>
        <v>0</v>
      </c>
      <c r="F20" s="32"/>
      <c r="G20" s="32"/>
      <c r="H20" s="32"/>
      <c r="I20" s="32"/>
      <c r="J20" s="32"/>
      <c r="K20" s="32"/>
      <c r="L20" s="32"/>
      <c r="M20" s="32"/>
      <c r="N20" s="32"/>
      <c r="O20" s="32"/>
      <c r="P20" s="32"/>
      <c r="Q20" s="32"/>
      <c r="R20" s="32"/>
      <c r="S20" s="32"/>
      <c r="T20" s="32"/>
      <c r="U20" s="32"/>
      <c r="V20" s="32"/>
      <c r="W20" s="32"/>
      <c r="X20" s="32"/>
      <c r="Y20" s="32"/>
      <c r="Z20" s="32"/>
    </row>
    <row r="21">
      <c r="A21" s="49" t="str">
        <f>IFERROR(__xludf.DUMMYFUNCTION("""COMPUTED_VALUE"""),"Chunk of Salmon")</f>
        <v>Chunk of Salmon</v>
      </c>
      <c r="B21" s="50" t="str">
        <f>IFERROR(__xludf.DUMMYFUNCTION("""COMPUTED_VALUE"""),"Restores 10 Hunger +5 energy")</f>
        <v>Restores 10 Hunger +5 energy</v>
      </c>
      <c r="C21" s="32" t="str">
        <f>IFERROR(__xludf.DUMMYFUNCTION("""COMPUTED_VALUE"""),"Crop")</f>
        <v>Crop</v>
      </c>
      <c r="D21" s="32" t="str">
        <f>IFERROR(__xludf.DUMMYFUNCTION("""COMPUTED_VALUE"""),"Land of Spira")</f>
        <v>Land of Spira</v>
      </c>
      <c r="E21" s="32" t="b">
        <f>IFERROR(__xludf.DUMMYFUNCTION("""COMPUTED_VALUE"""),FALSE)</f>
        <v>0</v>
      </c>
      <c r="F21" s="32"/>
      <c r="G21" s="32"/>
      <c r="H21" s="32"/>
      <c r="I21" s="32"/>
      <c r="J21" s="32"/>
      <c r="K21" s="32"/>
      <c r="L21" s="32"/>
      <c r="M21" s="32"/>
      <c r="N21" s="32"/>
      <c r="O21" s="32"/>
      <c r="P21" s="32"/>
      <c r="Q21" s="32"/>
      <c r="R21" s="32"/>
      <c r="S21" s="32"/>
      <c r="T21" s="32"/>
      <c r="U21" s="32"/>
      <c r="V21" s="32"/>
      <c r="W21" s="32"/>
      <c r="X21" s="32"/>
      <c r="Y21" s="32"/>
      <c r="Z21" s="32"/>
    </row>
    <row r="22">
      <c r="A22" s="49" t="str">
        <f>IFERROR(__xludf.DUMMYFUNCTION("""COMPUTED_VALUE"""),"Dragon Jerky")</f>
        <v>Dragon Jerky</v>
      </c>
      <c r="B22" s="50" t="str">
        <f>IFERROR(__xludf.DUMMYFUNCTION("""COMPUTED_VALUE"""),"Restores 100 Hunger + 100 energy")</f>
        <v>Restores 100 Hunger + 100 energy</v>
      </c>
      <c r="C22" s="32" t="str">
        <f>IFERROR(__xludf.DUMMYFUNCTION("""COMPUTED_VALUE"""),"Crop")</f>
        <v>Crop</v>
      </c>
      <c r="D22" s="32" t="str">
        <f>IFERROR(__xludf.DUMMYFUNCTION("""COMPUTED_VALUE"""),"Land of Spira")</f>
        <v>Land of Spira</v>
      </c>
      <c r="E22" s="32" t="b">
        <f>IFERROR(__xludf.DUMMYFUNCTION("""COMPUTED_VALUE"""),FALSE)</f>
        <v>0</v>
      </c>
      <c r="F22" s="32"/>
      <c r="G22" s="32"/>
      <c r="H22" s="32"/>
      <c r="I22" s="32"/>
      <c r="J22" s="32"/>
      <c r="K22" s="32"/>
      <c r="L22" s="32"/>
      <c r="M22" s="32"/>
      <c r="N22" s="32"/>
      <c r="O22" s="32"/>
      <c r="P22" s="32"/>
      <c r="Q22" s="32"/>
      <c r="R22" s="32"/>
      <c r="S22" s="32"/>
      <c r="T22" s="32"/>
      <c r="U22" s="32"/>
      <c r="V22" s="32"/>
      <c r="W22" s="32"/>
      <c r="X22" s="32"/>
      <c r="Y22" s="32"/>
      <c r="Z22" s="32"/>
    </row>
    <row r="23">
      <c r="A23" s="49" t="str">
        <f>IFERROR(__xludf.DUMMYFUNCTION("""COMPUTED_VALUE"""),"Bacon Strip")</f>
        <v>Bacon Strip</v>
      </c>
      <c r="B23" s="50" t="str">
        <f>IFERROR(__xludf.DUMMYFUNCTION("""COMPUTED_VALUE"""),"Restores 5 Hunger +4 energy")</f>
        <v>Restores 5 Hunger +4 energy</v>
      </c>
      <c r="C23" s="32" t="str">
        <f>IFERROR(__xludf.DUMMYFUNCTION("""COMPUTED_VALUE"""),"Crop")</f>
        <v>Crop</v>
      </c>
      <c r="D23" s="32" t="str">
        <f>IFERROR(__xludf.DUMMYFUNCTION("""COMPUTED_VALUE"""),"Land of Spira")</f>
        <v>Land of Spira</v>
      </c>
      <c r="E23" s="32" t="b">
        <f>IFERROR(__xludf.DUMMYFUNCTION("""COMPUTED_VALUE"""),FALSE)</f>
        <v>0</v>
      </c>
      <c r="F23" s="32"/>
      <c r="G23" s="32"/>
      <c r="H23" s="32"/>
      <c r="I23" s="32"/>
      <c r="J23" s="32"/>
      <c r="K23" s="32"/>
      <c r="L23" s="32"/>
      <c r="M23" s="32"/>
      <c r="N23" s="32"/>
      <c r="O23" s="32"/>
      <c r="P23" s="32"/>
      <c r="Q23" s="32"/>
      <c r="R23" s="32"/>
      <c r="S23" s="32"/>
      <c r="T23" s="32"/>
      <c r="U23" s="32"/>
      <c r="V23" s="32"/>
      <c r="W23" s="32"/>
      <c r="X23" s="32"/>
      <c r="Y23" s="32"/>
      <c r="Z23" s="32"/>
    </row>
    <row r="24">
      <c r="A24" s="49" t="str">
        <f>IFERROR(__xludf.DUMMYFUNCTION("""COMPUTED_VALUE"""),"Smoked Salmon")</f>
        <v>Smoked Salmon</v>
      </c>
      <c r="B24" s="50" t="str">
        <f>IFERROR(__xludf.DUMMYFUNCTION("""COMPUTED_VALUE"""),"Restores 20 Hunger +10 energy")</f>
        <v>Restores 20 Hunger +10 energy</v>
      </c>
      <c r="C24" s="32" t="str">
        <f>IFERROR(__xludf.DUMMYFUNCTION("""COMPUTED_VALUE"""),"Crop")</f>
        <v>Crop</v>
      </c>
      <c r="D24" s="32" t="str">
        <f>IFERROR(__xludf.DUMMYFUNCTION("""COMPUTED_VALUE"""),"Land of Spira")</f>
        <v>Land of Spira</v>
      </c>
      <c r="E24" s="32" t="b">
        <f>IFERROR(__xludf.DUMMYFUNCTION("""COMPUTED_VALUE"""),FALSE)</f>
        <v>0</v>
      </c>
      <c r="F24" s="32"/>
      <c r="G24" s="32"/>
      <c r="H24" s="32"/>
      <c r="I24" s="32"/>
      <c r="J24" s="32"/>
      <c r="K24" s="32"/>
      <c r="L24" s="32"/>
      <c r="M24" s="32"/>
      <c r="N24" s="32"/>
      <c r="O24" s="32"/>
      <c r="P24" s="32"/>
      <c r="Q24" s="32"/>
      <c r="R24" s="32"/>
      <c r="S24" s="32"/>
      <c r="T24" s="32"/>
      <c r="U24" s="32"/>
      <c r="V24" s="32"/>
      <c r="W24" s="32"/>
      <c r="X24" s="32"/>
      <c r="Y24" s="32"/>
      <c r="Z24" s="32"/>
    </row>
    <row r="25">
      <c r="A25" s="49" t="str">
        <f>IFERROR(__xludf.DUMMYFUNCTION("""COMPUTED_VALUE"""),"Smoked Lamb")</f>
        <v>Smoked Lamb</v>
      </c>
      <c r="B25" s="27" t="str">
        <f>IFERROR(__xludf.DUMMYFUNCTION("""COMPUTED_VALUE"""),"Restores 25 Hunger")</f>
        <v>Restores 25 Hunger</v>
      </c>
      <c r="C25" s="32" t="str">
        <f>IFERROR(__xludf.DUMMYFUNCTION("""COMPUTED_VALUE"""),"Crop")</f>
        <v>Crop</v>
      </c>
      <c r="D25" s="32" t="str">
        <f>IFERROR(__xludf.DUMMYFUNCTION("""COMPUTED_VALUE"""),"Land of Spira")</f>
        <v>Land of Spira</v>
      </c>
      <c r="E25" s="32" t="b">
        <f>IFERROR(__xludf.DUMMYFUNCTION("""COMPUTED_VALUE"""),FALSE)</f>
        <v>0</v>
      </c>
      <c r="F25" s="32"/>
      <c r="G25" s="32"/>
      <c r="H25" s="32"/>
      <c r="I25" s="32"/>
      <c r="J25" s="32"/>
      <c r="K25" s="32"/>
      <c r="L25" s="32"/>
      <c r="M25" s="32"/>
      <c r="N25" s="32"/>
      <c r="O25" s="32"/>
      <c r="P25" s="32"/>
      <c r="Q25" s="32"/>
      <c r="R25" s="32"/>
      <c r="S25" s="32"/>
      <c r="T25" s="32"/>
      <c r="U25" s="32"/>
      <c r="V25" s="32"/>
      <c r="W25" s="32"/>
      <c r="X25" s="32"/>
      <c r="Y25" s="32"/>
      <c r="Z25" s="32"/>
    </row>
    <row r="26">
      <c r="A26" s="27" t="str">
        <f>IFERROR(__xludf.DUMMYFUNCTION("""COMPUTED_VALUE"""),"Volcanic Venison")</f>
        <v>Volcanic Venison</v>
      </c>
      <c r="B26" s="27" t="str">
        <f>IFERROR(__xludf.DUMMYFUNCTION("""COMPUTED_VALUE"""),"Restores 50 Hunger")</f>
        <v>Restores 50 Hunger</v>
      </c>
      <c r="C26" s="32" t="str">
        <f>IFERROR(__xludf.DUMMYFUNCTION("""COMPUTED_VALUE"""),"Crop")</f>
        <v>Crop</v>
      </c>
      <c r="D26" s="32" t="str">
        <f>IFERROR(__xludf.DUMMYFUNCTION("""COMPUTED_VALUE"""),"Land of Spira")</f>
        <v>Land of Spira</v>
      </c>
      <c r="E26" s="32" t="b">
        <f>IFERROR(__xludf.DUMMYFUNCTION("""COMPUTED_VALUE"""),FALSE)</f>
        <v>0</v>
      </c>
      <c r="F26" s="32"/>
      <c r="G26" s="32"/>
      <c r="H26" s="32"/>
      <c r="I26" s="32"/>
      <c r="J26" s="32"/>
      <c r="K26" s="32"/>
      <c r="L26" s="32"/>
      <c r="M26" s="32"/>
      <c r="N26" s="32"/>
      <c r="O26" s="32"/>
      <c r="P26" s="32"/>
      <c r="Q26" s="32"/>
      <c r="R26" s="32"/>
      <c r="S26" s="32"/>
      <c r="T26" s="32"/>
      <c r="U26" s="32"/>
      <c r="V26" s="32"/>
      <c r="W26" s="32"/>
      <c r="X26" s="32"/>
      <c r="Y26" s="32"/>
      <c r="Z26" s="32"/>
    </row>
    <row r="27">
      <c r="A27" s="27" t="str">
        <f>IFERROR(__xludf.DUMMYFUNCTION("""COMPUTED_VALUE"""),"Pulled Pork")</f>
        <v>Pulled Pork</v>
      </c>
      <c r="B27" s="27" t="str">
        <f>IFERROR(__xludf.DUMMYFUNCTION("""COMPUTED_VALUE"""),"Restores 40 Hunger")</f>
        <v>Restores 40 Hunger</v>
      </c>
      <c r="C27" s="32" t="str">
        <f>IFERROR(__xludf.DUMMYFUNCTION("""COMPUTED_VALUE"""),"Crop")</f>
        <v>Crop</v>
      </c>
      <c r="D27" s="32" t="str">
        <f>IFERROR(__xludf.DUMMYFUNCTION("""COMPUTED_VALUE"""),"Land of Spira")</f>
        <v>Land of Spira</v>
      </c>
      <c r="E27" s="32" t="b">
        <f>IFERROR(__xludf.DUMMYFUNCTION("""COMPUTED_VALUE"""),FALSE)</f>
        <v>0</v>
      </c>
      <c r="F27" s="32"/>
      <c r="G27" s="32"/>
      <c r="H27" s="32"/>
      <c r="I27" s="32"/>
      <c r="J27" s="32"/>
      <c r="K27" s="32"/>
      <c r="L27" s="32"/>
      <c r="M27" s="32"/>
      <c r="N27" s="32"/>
      <c r="O27" s="32"/>
      <c r="P27" s="32"/>
      <c r="Q27" s="32"/>
      <c r="R27" s="32"/>
      <c r="S27" s="32"/>
      <c r="T27" s="32"/>
      <c r="U27" s="32"/>
      <c r="V27" s="32"/>
      <c r="W27" s="32"/>
      <c r="X27" s="32"/>
      <c r="Y27" s="32"/>
      <c r="Z27" s="32"/>
    </row>
    <row r="28">
      <c r="A28" s="49" t="str">
        <f>IFERROR(__xludf.DUMMYFUNCTION("""COMPUTED_VALUE"""),"Honeyed Nordic Mead")</f>
        <v>Honeyed Nordic Mead</v>
      </c>
      <c r="B28" s="27" t="str">
        <f>IFERROR(__xludf.DUMMYFUNCTION("""COMPUTED_VALUE"""),"Restores 100 Thirst +100 energy")</f>
        <v>Restores 100 Thirst +100 energy</v>
      </c>
      <c r="C28" s="32" t="str">
        <f>IFERROR(__xludf.DUMMYFUNCTION("""COMPUTED_VALUE"""),"Item")</f>
        <v>Item</v>
      </c>
      <c r="D28" s="32" t="str">
        <f>IFERROR(__xludf.DUMMYFUNCTION("""COMPUTED_VALUE"""),"Land of Spira")</f>
        <v>Land of Spira</v>
      </c>
      <c r="E28" s="32" t="b">
        <f>IFERROR(__xludf.DUMMYFUNCTION("""COMPUTED_VALUE"""),FALSE)</f>
        <v>0</v>
      </c>
      <c r="F28" s="32"/>
      <c r="G28" s="32"/>
      <c r="H28" s="32"/>
      <c r="I28" s="32"/>
      <c r="J28" s="32"/>
      <c r="K28" s="32"/>
      <c r="L28" s="32"/>
      <c r="M28" s="32"/>
      <c r="N28" s="32"/>
      <c r="O28" s="32"/>
      <c r="P28" s="32"/>
      <c r="Q28" s="32"/>
      <c r="R28" s="32"/>
      <c r="S28" s="32"/>
      <c r="T28" s="32"/>
      <c r="U28" s="32"/>
      <c r="V28" s="32"/>
      <c r="W28" s="32"/>
      <c r="X28" s="32"/>
      <c r="Y28" s="32"/>
      <c r="Z28" s="32"/>
    </row>
    <row r="29">
      <c r="A29" s="27" t="str">
        <f>IFERROR(__xludf.DUMMYFUNCTION("""COMPUTED_VALUE"""),"Wine")</f>
        <v>Wine</v>
      </c>
      <c r="B29" s="27" t="str">
        <f>IFERROR(__xludf.DUMMYFUNCTION("""COMPUTED_VALUE"""),"Restores 25 Thirst +15 energy")</f>
        <v>Restores 25 Thirst +15 energy</v>
      </c>
      <c r="C29" s="32" t="str">
        <f>IFERROR(__xludf.DUMMYFUNCTION("""COMPUTED_VALUE"""),"Item")</f>
        <v>Item</v>
      </c>
      <c r="D29" s="32" t="str">
        <f>IFERROR(__xludf.DUMMYFUNCTION("""COMPUTED_VALUE"""),"Land of Spira")</f>
        <v>Land of Spira</v>
      </c>
      <c r="E29" s="32" t="b">
        <f>IFERROR(__xludf.DUMMYFUNCTION("""COMPUTED_VALUE"""),FALSE)</f>
        <v>0</v>
      </c>
      <c r="F29" s="32"/>
      <c r="G29" s="32"/>
      <c r="H29" s="32"/>
      <c r="I29" s="32"/>
      <c r="J29" s="32"/>
      <c r="K29" s="32"/>
      <c r="L29" s="32"/>
      <c r="M29" s="32"/>
      <c r="N29" s="32"/>
      <c r="O29" s="32"/>
      <c r="P29" s="32"/>
      <c r="Q29" s="32"/>
      <c r="R29" s="32"/>
      <c r="S29" s="32"/>
      <c r="T29" s="32"/>
      <c r="U29" s="32"/>
      <c r="V29" s="32"/>
      <c r="W29" s="32"/>
      <c r="X29" s="32"/>
      <c r="Y29" s="32"/>
      <c r="Z29" s="32"/>
    </row>
    <row r="30">
      <c r="A30" s="50" t="str">
        <f>IFERROR(__xludf.DUMMYFUNCTION("""COMPUTED_VALUE"""),"Melomel (Mead w/ fruit added)")</f>
        <v>Melomel (Mead w/ fruit added)</v>
      </c>
      <c r="B30" s="27" t="str">
        <f>IFERROR(__xludf.DUMMYFUNCTION("""COMPUTED_VALUE"""),"Restores 50 Thirst and hunger +25 energy")</f>
        <v>Restores 50 Thirst and hunger +25 energy</v>
      </c>
      <c r="C30" s="32" t="str">
        <f>IFERROR(__xludf.DUMMYFUNCTION("""COMPUTED_VALUE"""),"Crop")</f>
        <v>Crop</v>
      </c>
      <c r="D30" s="32" t="str">
        <f>IFERROR(__xludf.DUMMYFUNCTION("""COMPUTED_VALUE"""),"Land of Spira")</f>
        <v>Land of Spira</v>
      </c>
      <c r="E30" s="32" t="b">
        <f>IFERROR(__xludf.DUMMYFUNCTION("""COMPUTED_VALUE"""),FALSE)</f>
        <v>0</v>
      </c>
      <c r="F30" s="32"/>
      <c r="G30" s="32"/>
      <c r="H30" s="32"/>
      <c r="I30" s="32"/>
      <c r="J30" s="32"/>
      <c r="K30" s="32"/>
      <c r="L30" s="32"/>
      <c r="M30" s="32"/>
      <c r="N30" s="32"/>
      <c r="O30" s="32"/>
      <c r="P30" s="32"/>
      <c r="Q30" s="32"/>
      <c r="R30" s="32"/>
      <c r="S30" s="32"/>
      <c r="T30" s="32"/>
      <c r="U30" s="32"/>
      <c r="V30" s="32"/>
      <c r="W30" s="32"/>
      <c r="X30" s="32"/>
      <c r="Y30" s="32"/>
      <c r="Z30" s="32"/>
    </row>
    <row r="31">
      <c r="A31" s="27" t="str">
        <f>IFERROR(__xludf.DUMMYFUNCTION("""COMPUTED_VALUE"""),"Docile Desert Djinn Gin")</f>
        <v>Docile Desert Djinn Gin</v>
      </c>
      <c r="B31" s="27"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32" t="str">
        <f>IFERROR(__xludf.DUMMYFUNCTION("""COMPUTED_VALUE"""),"Item")</f>
        <v>Item</v>
      </c>
      <c r="D31" s="32" t="str">
        <f>IFERROR(__xludf.DUMMYFUNCTION("""COMPUTED_VALUE"""),"Land of Spira")</f>
        <v>Land of Spira</v>
      </c>
      <c r="E31" s="32" t="b">
        <f>IFERROR(__xludf.DUMMYFUNCTION("""COMPUTED_VALUE"""),FALSE)</f>
        <v>0</v>
      </c>
      <c r="F31" s="32"/>
      <c r="G31" s="32"/>
      <c r="H31" s="32"/>
      <c r="I31" s="32"/>
      <c r="J31" s="32"/>
      <c r="K31" s="32"/>
      <c r="L31" s="32"/>
      <c r="M31" s="32"/>
      <c r="N31" s="32"/>
      <c r="O31" s="32"/>
      <c r="P31" s="32"/>
      <c r="Q31" s="32"/>
      <c r="R31" s="32"/>
      <c r="S31" s="32"/>
      <c r="T31" s="32"/>
      <c r="U31" s="32"/>
      <c r="V31" s="32"/>
      <c r="W31" s="32"/>
      <c r="X31" s="32"/>
      <c r="Y31" s="32"/>
      <c r="Z31" s="32"/>
    </row>
    <row r="32">
      <c r="A32" s="27" t="str">
        <f>IFERROR(__xludf.DUMMYFUNCTION("""COMPUTED_VALUE"""),"Small Battery")</f>
        <v>Small Battery</v>
      </c>
      <c r="B32" s="27" t="str">
        <f>IFERROR(__xludf.DUMMYFUNCTION("""COMPUTED_VALUE"""),"Restores 100 energy.")</f>
        <v>Restores 100 energy.</v>
      </c>
      <c r="C32" s="32" t="str">
        <f>IFERROR(__xludf.DUMMYFUNCTION("""COMPUTED_VALUE"""),"Item")</f>
        <v>Item</v>
      </c>
      <c r="D32" s="32" t="str">
        <f>IFERROR(__xludf.DUMMYFUNCTION("""COMPUTED_VALUE"""),"Land of Spira")</f>
        <v>Land of Spira</v>
      </c>
      <c r="E32" s="32" t="b">
        <f>IFERROR(__xludf.DUMMYFUNCTION("""COMPUTED_VALUE"""),FALSE)</f>
        <v>0</v>
      </c>
      <c r="F32" s="32"/>
      <c r="G32" s="32"/>
      <c r="H32" s="32"/>
      <c r="I32" s="32"/>
      <c r="J32" s="32"/>
      <c r="K32" s="32"/>
      <c r="L32" s="32"/>
      <c r="M32" s="32"/>
      <c r="N32" s="32"/>
      <c r="O32" s="32"/>
      <c r="P32" s="32"/>
      <c r="Q32" s="32"/>
      <c r="R32" s="32"/>
      <c r="S32" s="32"/>
      <c r="T32" s="32"/>
      <c r="U32" s="32"/>
      <c r="V32" s="32"/>
      <c r="W32" s="32"/>
      <c r="X32" s="32"/>
      <c r="Y32" s="32"/>
      <c r="Z32" s="32"/>
    </row>
    <row r="33">
      <c r="A33" s="27" t="str">
        <f>IFERROR(__xludf.DUMMYFUNCTION("""COMPUTED_VALUE"""),"Medium Battery")</f>
        <v>Medium Battery</v>
      </c>
      <c r="B33" s="27" t="str">
        <f>IFERROR(__xludf.DUMMYFUNCTION("""COMPUTED_VALUE"""),"Restores 250 energy.")</f>
        <v>Restores 250 energy.</v>
      </c>
      <c r="C33" s="32" t="str">
        <f>IFERROR(__xludf.DUMMYFUNCTION("""COMPUTED_VALUE"""),"Item")</f>
        <v>Item</v>
      </c>
      <c r="D33" s="32" t="str">
        <f>IFERROR(__xludf.DUMMYFUNCTION("""COMPUTED_VALUE"""),"Land of Spira")</f>
        <v>Land of Spira</v>
      </c>
      <c r="E33" s="32" t="b">
        <f>IFERROR(__xludf.DUMMYFUNCTION("""COMPUTED_VALUE"""),FALSE)</f>
        <v>0</v>
      </c>
      <c r="F33" s="32"/>
      <c r="G33" s="32"/>
      <c r="H33" s="32"/>
      <c r="I33" s="32"/>
      <c r="J33" s="32"/>
      <c r="K33" s="32"/>
      <c r="L33" s="32"/>
      <c r="M33" s="32"/>
      <c r="N33" s="32"/>
      <c r="O33" s="32"/>
      <c r="P33" s="32"/>
      <c r="Q33" s="32"/>
      <c r="R33" s="32"/>
      <c r="S33" s="32"/>
      <c r="T33" s="32"/>
      <c r="U33" s="32"/>
      <c r="V33" s="32"/>
      <c r="W33" s="32"/>
      <c r="X33" s="32"/>
      <c r="Y33" s="32"/>
      <c r="Z33" s="32"/>
    </row>
    <row r="34">
      <c r="A34" s="27" t="str">
        <f>IFERROR(__xludf.DUMMYFUNCTION("""COMPUTED_VALUE"""),"Large Battery")</f>
        <v>Large Battery</v>
      </c>
      <c r="B34" s="27" t="str">
        <f>IFERROR(__xludf.DUMMYFUNCTION("""COMPUTED_VALUE"""),"Restores 500 energy.")</f>
        <v>Restores 500 energy.</v>
      </c>
      <c r="C34" s="32" t="str">
        <f>IFERROR(__xludf.DUMMYFUNCTION("""COMPUTED_VALUE"""),"Item")</f>
        <v>Item</v>
      </c>
      <c r="D34" s="32" t="str">
        <f>IFERROR(__xludf.DUMMYFUNCTION("""COMPUTED_VALUE"""),"Land of Spira")</f>
        <v>Land of Spira</v>
      </c>
      <c r="E34" s="32" t="b">
        <f>IFERROR(__xludf.DUMMYFUNCTION("""COMPUTED_VALUE"""),FALSE)</f>
        <v>0</v>
      </c>
      <c r="F34" s="32"/>
      <c r="G34" s="32"/>
      <c r="H34" s="32"/>
      <c r="I34" s="32"/>
      <c r="J34" s="32"/>
      <c r="K34" s="32"/>
      <c r="L34" s="32"/>
      <c r="M34" s="32"/>
      <c r="N34" s="32"/>
      <c r="O34" s="32"/>
      <c r="P34" s="32"/>
      <c r="Q34" s="32"/>
      <c r="R34" s="32"/>
      <c r="S34" s="32"/>
      <c r="T34" s="32"/>
      <c r="U34" s="32"/>
      <c r="V34" s="32"/>
      <c r="W34" s="32"/>
      <c r="X34" s="32"/>
      <c r="Y34" s="32"/>
      <c r="Z34" s="32"/>
    </row>
    <row r="35">
      <c r="A35" s="27" t="str">
        <f>IFERROR(__xludf.DUMMYFUNCTION("""COMPUTED_VALUE"""),"Wind Queen's Soul")</f>
        <v>Wind Queen's Soul</v>
      </c>
      <c r="B35" s="27" t="str">
        <f>IFERROR(__xludf.DUMMYFUNCTION("""COMPUTED_VALUE"""),"(Quest Item) It pulses with a dark energy")</f>
        <v>(Quest Item) It pulses with a dark energy</v>
      </c>
      <c r="C35" s="32" t="str">
        <f>IFERROR(__xludf.DUMMYFUNCTION("""COMPUTED_VALUE"""),"Item")</f>
        <v>Item</v>
      </c>
      <c r="D35" s="32" t="str">
        <f>IFERROR(__xludf.DUMMYFUNCTION("""COMPUTED_VALUE"""),"Land of Spira")</f>
        <v>Land of Spira</v>
      </c>
      <c r="E35" s="32" t="b">
        <f>IFERROR(__xludf.DUMMYFUNCTION("""COMPUTED_VALUE"""),FALSE)</f>
        <v>0</v>
      </c>
      <c r="F35" s="32"/>
      <c r="G35" s="32"/>
      <c r="H35" s="32"/>
      <c r="I35" s="32"/>
      <c r="J35" s="32"/>
      <c r="K35" s="32"/>
      <c r="L35" s="32"/>
      <c r="M35" s="32"/>
      <c r="N35" s="32"/>
      <c r="O35" s="32"/>
      <c r="P35" s="32"/>
      <c r="Q35" s="32"/>
      <c r="R35" s="32"/>
      <c r="S35" s="32"/>
      <c r="T35" s="32"/>
      <c r="U35" s="32"/>
      <c r="V35" s="32"/>
      <c r="W35" s="32"/>
      <c r="X35" s="32"/>
      <c r="Y35" s="32"/>
      <c r="Z35" s="32"/>
    </row>
    <row r="36">
      <c r="A36" s="49" t="str">
        <f>IFERROR(__xludf.DUMMYFUNCTION("""COMPUTED_VALUE"""),"Wave Queen's Soul")</f>
        <v>Wave Queen's Soul</v>
      </c>
      <c r="B36" s="27" t="str">
        <f>IFERROR(__xludf.DUMMYFUNCTION("""COMPUTED_VALUE"""),"(Quest Item) It pulses with a dark energy")</f>
        <v>(Quest Item) It pulses with a dark energy</v>
      </c>
      <c r="C36" s="32" t="str">
        <f>IFERROR(__xludf.DUMMYFUNCTION("""COMPUTED_VALUE"""),"Item")</f>
        <v>Item</v>
      </c>
      <c r="D36" s="32" t="str">
        <f>IFERROR(__xludf.DUMMYFUNCTION("""COMPUTED_VALUE"""),"Land of Spira")</f>
        <v>Land of Spira</v>
      </c>
      <c r="E36" s="32" t="b">
        <f>IFERROR(__xludf.DUMMYFUNCTION("""COMPUTED_VALUE"""),FALSE)</f>
        <v>0</v>
      </c>
      <c r="F36" s="32"/>
      <c r="G36" s="32"/>
      <c r="H36" s="32"/>
      <c r="I36" s="32"/>
      <c r="J36" s="32"/>
      <c r="K36" s="32"/>
      <c r="L36" s="32"/>
      <c r="M36" s="32"/>
      <c r="N36" s="32"/>
      <c r="O36" s="32"/>
      <c r="P36" s="32"/>
      <c r="Q36" s="32"/>
      <c r="R36" s="32"/>
      <c r="S36" s="32"/>
      <c r="T36" s="32"/>
      <c r="U36" s="32"/>
      <c r="V36" s="32"/>
      <c r="W36" s="32"/>
      <c r="X36" s="32"/>
      <c r="Y36" s="32"/>
      <c r="Z36" s="32"/>
    </row>
    <row r="37">
      <c r="A37" s="49" t="str">
        <f>IFERROR(__xludf.DUMMYFUNCTION("""COMPUTED_VALUE"""),"Storm King's Soul")</f>
        <v>Storm King's Soul</v>
      </c>
      <c r="B37" s="27" t="str">
        <f>IFERROR(__xludf.DUMMYFUNCTION("""COMPUTED_VALUE"""),"(Quest Item) It pulses with a dark energy")</f>
        <v>(Quest Item) It pulses with a dark energy</v>
      </c>
      <c r="C37" s="32" t="str">
        <f>IFERROR(__xludf.DUMMYFUNCTION("""COMPUTED_VALUE"""),"Item")</f>
        <v>Item</v>
      </c>
      <c r="D37" s="32" t="str">
        <f>IFERROR(__xludf.DUMMYFUNCTION("""COMPUTED_VALUE"""),"Land of Spira")</f>
        <v>Land of Spira</v>
      </c>
      <c r="E37" s="32" t="b">
        <f>IFERROR(__xludf.DUMMYFUNCTION("""COMPUTED_VALUE"""),FALSE)</f>
        <v>0</v>
      </c>
      <c r="F37" s="32"/>
      <c r="G37" s="32"/>
      <c r="H37" s="32"/>
      <c r="I37" s="32"/>
      <c r="J37" s="32"/>
      <c r="K37" s="32"/>
      <c r="L37" s="32"/>
      <c r="M37" s="32"/>
      <c r="N37" s="32"/>
      <c r="O37" s="32"/>
      <c r="P37" s="32"/>
      <c r="Q37" s="32"/>
      <c r="R37" s="32"/>
      <c r="S37" s="32"/>
      <c r="T37" s="32"/>
      <c r="U37" s="32"/>
      <c r="V37" s="32"/>
      <c r="W37" s="32"/>
      <c r="X37" s="32"/>
      <c r="Y37" s="32"/>
      <c r="Z37" s="32"/>
    </row>
    <row r="38">
      <c r="A38" s="49" t="str">
        <f>IFERROR(__xludf.DUMMYFUNCTION("""COMPUTED_VALUE"""),"Stone King's Soul")</f>
        <v>Stone King's Soul</v>
      </c>
      <c r="B38" s="27" t="str">
        <f>IFERROR(__xludf.DUMMYFUNCTION("""COMPUTED_VALUE"""),"(Quest Item) It pulses with a dark energy")</f>
        <v>(Quest Item) It pulses with a dark energy</v>
      </c>
      <c r="C38" s="32" t="str">
        <f>IFERROR(__xludf.DUMMYFUNCTION("""COMPUTED_VALUE"""),"Item")</f>
        <v>Item</v>
      </c>
      <c r="D38" s="32" t="str">
        <f>IFERROR(__xludf.DUMMYFUNCTION("""COMPUTED_VALUE"""),"Land of Spira")</f>
        <v>Land of Spira</v>
      </c>
      <c r="E38" s="32" t="b">
        <f>IFERROR(__xludf.DUMMYFUNCTION("""COMPUTED_VALUE"""),FALSE)</f>
        <v>0</v>
      </c>
      <c r="F38" s="32"/>
      <c r="G38" s="32"/>
      <c r="H38" s="32"/>
      <c r="I38" s="32"/>
      <c r="J38" s="32"/>
      <c r="K38" s="32"/>
      <c r="L38" s="32"/>
      <c r="M38" s="32"/>
      <c r="N38" s="32"/>
      <c r="O38" s="32"/>
      <c r="P38" s="32"/>
      <c r="Q38" s="32"/>
      <c r="R38" s="32"/>
      <c r="S38" s="32"/>
      <c r="T38" s="32"/>
      <c r="U38" s="32"/>
      <c r="V38" s="32"/>
      <c r="W38" s="32"/>
      <c r="X38" s="32"/>
      <c r="Y38" s="32"/>
      <c r="Z38" s="32"/>
    </row>
    <row r="39">
      <c r="A39" s="27" t="str">
        <f>IFERROR(__xludf.DUMMYFUNCTION("""COMPUTED_VALUE"""),"Inferno King Soul")</f>
        <v>Inferno King Soul</v>
      </c>
      <c r="B39" s="27" t="str">
        <f>IFERROR(__xludf.DUMMYFUNCTION("""COMPUTED_VALUE"""),"(Quest Item) It pulses with a dark energy")</f>
        <v>(Quest Item) It pulses with a dark energy</v>
      </c>
      <c r="C39" s="32" t="str">
        <f>IFERROR(__xludf.DUMMYFUNCTION("""COMPUTED_VALUE"""),"Item")</f>
        <v>Item</v>
      </c>
      <c r="D39" s="32" t="str">
        <f>IFERROR(__xludf.DUMMYFUNCTION("""COMPUTED_VALUE"""),"Land of Spira")</f>
        <v>Land of Spira</v>
      </c>
      <c r="E39" s="32" t="b">
        <f>IFERROR(__xludf.DUMMYFUNCTION("""COMPUTED_VALUE"""),FALSE)</f>
        <v>0</v>
      </c>
      <c r="F39" s="32"/>
      <c r="G39" s="32"/>
      <c r="H39" s="32"/>
      <c r="I39" s="32"/>
      <c r="J39" s="32"/>
      <c r="K39" s="32"/>
      <c r="L39" s="32"/>
      <c r="M39" s="32"/>
      <c r="N39" s="32"/>
      <c r="O39" s="32"/>
      <c r="P39" s="32"/>
      <c r="Q39" s="32"/>
      <c r="R39" s="32"/>
      <c r="S39" s="32"/>
      <c r="T39" s="32"/>
      <c r="U39" s="32"/>
      <c r="V39" s="32"/>
      <c r="W39" s="32"/>
      <c r="X39" s="32"/>
      <c r="Y39" s="32"/>
      <c r="Z39" s="32"/>
    </row>
    <row r="40">
      <c r="A40" s="27"/>
      <c r="B40" s="27"/>
      <c r="C40" s="32" t="str">
        <f>IFERROR(__xludf.DUMMYFUNCTION("""COMPUTED_VALUE"""),"Item")</f>
        <v>Item</v>
      </c>
      <c r="D40" s="32" t="str">
        <f>IFERROR(__xludf.DUMMYFUNCTION("""COMPUTED_VALUE"""),"Land of Spira")</f>
        <v>Land of Spira</v>
      </c>
      <c r="E40" s="32" t="b">
        <f>IFERROR(__xludf.DUMMYFUNCTION("""COMPUTED_VALUE"""),FALSE)</f>
        <v>0</v>
      </c>
      <c r="F40" s="32"/>
      <c r="G40" s="32"/>
      <c r="H40" s="32"/>
      <c r="I40" s="32"/>
      <c r="J40" s="32"/>
      <c r="K40" s="32"/>
      <c r="L40" s="32"/>
      <c r="M40" s="32"/>
      <c r="N40" s="32"/>
      <c r="O40" s="32"/>
      <c r="P40" s="32"/>
      <c r="Q40" s="32"/>
      <c r="R40" s="32"/>
      <c r="S40" s="32"/>
      <c r="T40" s="32"/>
      <c r="U40" s="32"/>
      <c r="V40" s="32"/>
      <c r="W40" s="32"/>
      <c r="X40" s="32"/>
      <c r="Y40" s="32"/>
      <c r="Z40" s="32"/>
    </row>
    <row r="41">
      <c r="A41" s="27"/>
      <c r="B41" s="27"/>
      <c r="C41" s="32" t="str">
        <f>IFERROR(__xludf.DUMMYFUNCTION("""COMPUTED_VALUE"""),"Item")</f>
        <v>Item</v>
      </c>
      <c r="D41" s="32" t="str">
        <f>IFERROR(__xludf.DUMMYFUNCTION("""COMPUTED_VALUE"""),"Land of Spira")</f>
        <v>Land of Spira</v>
      </c>
      <c r="E41" s="32" t="b">
        <f>IFERROR(__xludf.DUMMYFUNCTION("""COMPUTED_VALUE"""),FALSE)</f>
        <v>0</v>
      </c>
      <c r="F41" s="32"/>
      <c r="G41" s="32"/>
      <c r="H41" s="32"/>
      <c r="I41" s="32"/>
      <c r="J41" s="32"/>
      <c r="K41" s="32"/>
      <c r="L41" s="32"/>
      <c r="M41" s="32"/>
      <c r="N41" s="32"/>
      <c r="O41" s="32"/>
      <c r="P41" s="32"/>
      <c r="Q41" s="32"/>
      <c r="R41" s="32"/>
      <c r="S41" s="32"/>
      <c r="T41" s="32"/>
      <c r="U41" s="32"/>
      <c r="V41" s="32"/>
      <c r="W41" s="32"/>
      <c r="X41" s="32"/>
      <c r="Y41" s="32"/>
      <c r="Z41" s="32"/>
    </row>
    <row r="42">
      <c r="A42" s="27"/>
      <c r="B42" s="27"/>
      <c r="C42" s="32" t="str">
        <f>IFERROR(__xludf.DUMMYFUNCTION("""COMPUTED_VALUE"""),"Item")</f>
        <v>Item</v>
      </c>
      <c r="D42" s="32" t="str">
        <f>IFERROR(__xludf.DUMMYFUNCTION("""COMPUTED_VALUE"""),"Land of Spira")</f>
        <v>Land of Spira</v>
      </c>
      <c r="E42" s="32" t="b">
        <f>IFERROR(__xludf.DUMMYFUNCTION("""COMPUTED_VALUE"""),FALSE)</f>
        <v>0</v>
      </c>
      <c r="F42" s="32"/>
      <c r="G42" s="32"/>
      <c r="H42" s="32"/>
      <c r="I42" s="32"/>
      <c r="J42" s="32"/>
      <c r="K42" s="32"/>
      <c r="L42" s="32"/>
      <c r="M42" s="32"/>
      <c r="N42" s="32"/>
      <c r="O42" s="32"/>
      <c r="P42" s="32"/>
      <c r="Q42" s="32"/>
      <c r="R42" s="32"/>
      <c r="S42" s="32"/>
      <c r="T42" s="32"/>
      <c r="U42" s="32"/>
      <c r="V42" s="32"/>
      <c r="W42" s="32"/>
      <c r="X42" s="32"/>
      <c r="Y42" s="32"/>
      <c r="Z42" s="32"/>
    </row>
    <row r="43">
      <c r="A43" s="27"/>
      <c r="B43" s="27"/>
      <c r="C43" s="32" t="str">
        <f>IFERROR(__xludf.DUMMYFUNCTION("""COMPUTED_VALUE"""),"Item")</f>
        <v>Item</v>
      </c>
      <c r="D43" s="32" t="str">
        <f>IFERROR(__xludf.DUMMYFUNCTION("""COMPUTED_VALUE"""),"Land of Spira")</f>
        <v>Land of Spira</v>
      </c>
      <c r="E43" s="32" t="b">
        <f>IFERROR(__xludf.DUMMYFUNCTION("""COMPUTED_VALUE"""),FALSE)</f>
        <v>0</v>
      </c>
      <c r="F43" s="32"/>
      <c r="G43" s="32"/>
      <c r="H43" s="32"/>
      <c r="I43" s="32"/>
      <c r="J43" s="32"/>
      <c r="K43" s="32"/>
      <c r="L43" s="32"/>
      <c r="M43" s="32"/>
      <c r="N43" s="32"/>
      <c r="O43" s="32"/>
      <c r="P43" s="32"/>
      <c r="Q43" s="32"/>
      <c r="R43" s="32"/>
      <c r="S43" s="32"/>
      <c r="T43" s="32"/>
      <c r="U43" s="32"/>
      <c r="V43" s="32"/>
      <c r="W43" s="32"/>
      <c r="X43" s="32"/>
      <c r="Y43" s="32"/>
      <c r="Z43" s="32"/>
    </row>
    <row r="44">
      <c r="A44" s="27"/>
      <c r="B44" s="27"/>
      <c r="C44" s="32" t="str">
        <f>IFERROR(__xludf.DUMMYFUNCTION("""COMPUTED_VALUE"""),"Item")</f>
        <v>Item</v>
      </c>
      <c r="D44" s="32" t="str">
        <f>IFERROR(__xludf.DUMMYFUNCTION("""COMPUTED_VALUE"""),"Land of Spira")</f>
        <v>Land of Spira</v>
      </c>
      <c r="E44" s="32" t="b">
        <f>IFERROR(__xludf.DUMMYFUNCTION("""COMPUTED_VALUE"""),FALSE)</f>
        <v>0</v>
      </c>
      <c r="F44" s="32"/>
      <c r="G44" s="32"/>
      <c r="H44" s="32"/>
      <c r="I44" s="32"/>
      <c r="J44" s="32"/>
      <c r="K44" s="32"/>
      <c r="L44" s="32"/>
      <c r="M44" s="32"/>
      <c r="N44" s="32"/>
      <c r="O44" s="32"/>
      <c r="P44" s="32"/>
      <c r="Q44" s="32"/>
      <c r="R44" s="32"/>
      <c r="S44" s="32"/>
      <c r="T44" s="32"/>
      <c r="U44" s="32"/>
      <c r="V44" s="32"/>
      <c r="W44" s="32"/>
      <c r="X44" s="32"/>
      <c r="Y44" s="32"/>
      <c r="Z44" s="32"/>
    </row>
    <row r="45">
      <c r="A45" s="27"/>
      <c r="B45" s="27"/>
      <c r="C45" s="32" t="str">
        <f>IFERROR(__xludf.DUMMYFUNCTION("""COMPUTED_VALUE"""),"Item")</f>
        <v>Item</v>
      </c>
      <c r="D45" s="32" t="str">
        <f>IFERROR(__xludf.DUMMYFUNCTION("""COMPUTED_VALUE"""),"Land of Spira")</f>
        <v>Land of Spira</v>
      </c>
      <c r="E45" s="32" t="b">
        <f>IFERROR(__xludf.DUMMYFUNCTION("""COMPUTED_VALUE"""),FALSE)</f>
        <v>0</v>
      </c>
      <c r="F45" s="32"/>
      <c r="G45" s="32"/>
      <c r="H45" s="32"/>
      <c r="I45" s="32"/>
      <c r="J45" s="32"/>
      <c r="K45" s="32"/>
      <c r="L45" s="32"/>
      <c r="M45" s="32"/>
      <c r="N45" s="32"/>
      <c r="O45" s="32"/>
      <c r="P45" s="32"/>
      <c r="Q45" s="32"/>
      <c r="R45" s="32"/>
      <c r="S45" s="32"/>
      <c r="T45" s="32"/>
      <c r="U45" s="32"/>
      <c r="V45" s="32"/>
      <c r="W45" s="32"/>
      <c r="X45" s="32"/>
      <c r="Y45" s="32"/>
      <c r="Z45" s="32"/>
    </row>
    <row r="46">
      <c r="A46" s="27"/>
      <c r="B46" s="27"/>
      <c r="C46" s="32" t="str">
        <f>IFERROR(__xludf.DUMMYFUNCTION("""COMPUTED_VALUE"""),"Item")</f>
        <v>Item</v>
      </c>
      <c r="D46" s="32" t="str">
        <f>IFERROR(__xludf.DUMMYFUNCTION("""COMPUTED_VALUE"""),"Land of Spira")</f>
        <v>Land of Spira</v>
      </c>
      <c r="E46" s="32" t="b">
        <f>IFERROR(__xludf.DUMMYFUNCTION("""COMPUTED_VALUE"""),FALSE)</f>
        <v>0</v>
      </c>
      <c r="F46" s="32"/>
      <c r="G46" s="32"/>
      <c r="H46" s="32"/>
      <c r="I46" s="32"/>
      <c r="J46" s="32"/>
      <c r="K46" s="32"/>
      <c r="L46" s="32"/>
      <c r="M46" s="32"/>
      <c r="N46" s="32"/>
      <c r="O46" s="32"/>
      <c r="P46" s="32"/>
      <c r="Q46" s="32"/>
      <c r="R46" s="32"/>
      <c r="S46" s="32"/>
      <c r="T46" s="32"/>
      <c r="U46" s="32"/>
      <c r="V46" s="32"/>
      <c r="W46" s="32"/>
      <c r="X46" s="32"/>
      <c r="Y46" s="32"/>
      <c r="Z46" s="32"/>
    </row>
    <row r="47">
      <c r="A47" s="27"/>
      <c r="B47" s="27"/>
      <c r="C47" s="32" t="str">
        <f>IFERROR(__xludf.DUMMYFUNCTION("""COMPUTED_VALUE"""),"Item")</f>
        <v>Item</v>
      </c>
      <c r="D47" s="32" t="str">
        <f>IFERROR(__xludf.DUMMYFUNCTION("""COMPUTED_VALUE"""),"Land of Spira")</f>
        <v>Land of Spira</v>
      </c>
      <c r="E47" s="32" t="b">
        <f>IFERROR(__xludf.DUMMYFUNCTION("""COMPUTED_VALUE"""),FALSE)</f>
        <v>0</v>
      </c>
      <c r="F47" s="32"/>
      <c r="G47" s="32"/>
      <c r="H47" s="32"/>
      <c r="I47" s="32"/>
      <c r="J47" s="32"/>
      <c r="K47" s="32"/>
      <c r="L47" s="32"/>
      <c r="M47" s="32"/>
      <c r="N47" s="32"/>
      <c r="O47" s="32"/>
      <c r="P47" s="32"/>
      <c r="Q47" s="32"/>
      <c r="R47" s="32"/>
      <c r="S47" s="32"/>
      <c r="T47" s="32"/>
      <c r="U47" s="32"/>
      <c r="V47" s="32"/>
      <c r="W47" s="32"/>
      <c r="X47" s="32"/>
      <c r="Y47" s="32"/>
      <c r="Z47" s="32"/>
    </row>
    <row r="48">
      <c r="A48" s="27"/>
      <c r="B48" s="27"/>
      <c r="C48" s="32" t="str">
        <f>IFERROR(__xludf.DUMMYFUNCTION("""COMPUTED_VALUE"""),"Item")</f>
        <v>Item</v>
      </c>
      <c r="D48" s="32" t="str">
        <f>IFERROR(__xludf.DUMMYFUNCTION("""COMPUTED_VALUE"""),"Land of Spira")</f>
        <v>Land of Spira</v>
      </c>
      <c r="E48" s="32" t="b">
        <f>IFERROR(__xludf.DUMMYFUNCTION("""COMPUTED_VALUE"""),FALSE)</f>
        <v>0</v>
      </c>
      <c r="F48" s="32"/>
      <c r="G48" s="32"/>
      <c r="H48" s="32"/>
      <c r="I48" s="32"/>
      <c r="J48" s="32"/>
      <c r="K48" s="32"/>
      <c r="L48" s="32"/>
      <c r="M48" s="32"/>
      <c r="N48" s="32"/>
      <c r="O48" s="32"/>
      <c r="P48" s="32"/>
      <c r="Q48" s="32"/>
      <c r="R48" s="32"/>
      <c r="S48" s="32"/>
      <c r="T48" s="32"/>
      <c r="U48" s="32"/>
      <c r="V48" s="32"/>
      <c r="W48" s="32"/>
      <c r="X48" s="32"/>
      <c r="Y48" s="32"/>
      <c r="Z48" s="32"/>
    </row>
    <row r="49">
      <c r="A49" s="27" t="str">
        <f>IFERROR(__xludf.DUMMYFUNCTION("""COMPUTED_VALUE"""),"Docile Desert Djinn’s Gin")</f>
        <v>Docile Desert Djinn’s Gin</v>
      </c>
      <c r="B49" s="27"/>
      <c r="C49" s="32" t="str">
        <f>IFERROR(__xludf.DUMMYFUNCTION("""COMPUTED_VALUE"""),"Item")</f>
        <v>Item</v>
      </c>
      <c r="D49" s="32" t="str">
        <f>IFERROR(__xludf.DUMMYFUNCTION("""COMPUTED_VALUE"""),"Land of Spira")</f>
        <v>Land of Spira</v>
      </c>
      <c r="E49" s="32" t="b">
        <f>IFERROR(__xludf.DUMMYFUNCTION("""COMPUTED_VALUE"""),FALSE)</f>
        <v>0</v>
      </c>
      <c r="F49" s="32"/>
      <c r="G49" s="32"/>
      <c r="H49" s="32"/>
      <c r="I49" s="32"/>
      <c r="J49" s="32"/>
      <c r="K49" s="32"/>
      <c r="L49" s="32"/>
      <c r="M49" s="32"/>
      <c r="N49" s="32"/>
      <c r="O49" s="32"/>
      <c r="P49" s="32"/>
      <c r="Q49" s="32"/>
      <c r="R49" s="32"/>
      <c r="S49" s="32"/>
      <c r="T49" s="32"/>
      <c r="U49" s="32"/>
      <c r="V49" s="32"/>
      <c r="W49" s="32"/>
      <c r="X49" s="32"/>
      <c r="Y49" s="32"/>
      <c r="Z49" s="32"/>
    </row>
    <row r="50">
      <c r="A50" s="27" t="str">
        <f>IFERROR(__xludf.DUMMYFUNCTION("""COMPUTED_VALUE"""),"Minor Health Potion")</f>
        <v>Minor Health Potion</v>
      </c>
      <c r="B50" s="27" t="str">
        <f>IFERROR(__xludf.DUMMYFUNCTION("""COMPUTED_VALUE"""),"Restores 20HP")</f>
        <v>Restores 20HP</v>
      </c>
      <c r="C50" s="32" t="str">
        <f>IFERROR(__xludf.DUMMYFUNCTION("""COMPUTED_VALUE"""),"Item")</f>
        <v>Item</v>
      </c>
      <c r="D50" s="32" t="str">
        <f>IFERROR(__xludf.DUMMYFUNCTION("""COMPUTED_VALUE"""),"Land of Spira")</f>
        <v>Land of Spira</v>
      </c>
      <c r="E50" s="32" t="b">
        <f>IFERROR(__xludf.DUMMYFUNCTION("""COMPUTED_VALUE"""),FALSE)</f>
        <v>0</v>
      </c>
      <c r="F50" s="32"/>
      <c r="G50" s="32"/>
      <c r="H50" s="32"/>
      <c r="I50" s="32"/>
      <c r="J50" s="32"/>
      <c r="K50" s="32"/>
      <c r="L50" s="32"/>
      <c r="M50" s="32"/>
      <c r="N50" s="32"/>
      <c r="O50" s="32"/>
      <c r="P50" s="32"/>
      <c r="Q50" s="32"/>
      <c r="R50" s="32"/>
      <c r="S50" s="32"/>
      <c r="T50" s="32"/>
      <c r="U50" s="32"/>
      <c r="V50" s="32"/>
      <c r="W50" s="32"/>
      <c r="X50" s="32"/>
      <c r="Y50" s="32"/>
      <c r="Z50" s="32"/>
    </row>
    <row r="51">
      <c r="A51" s="27" t="str">
        <f>IFERROR(__xludf.DUMMYFUNCTION("""COMPUTED_VALUE"""),"Medium Health Potion")</f>
        <v>Medium Health Potion</v>
      </c>
      <c r="B51" s="27" t="str">
        <f>IFERROR(__xludf.DUMMYFUNCTION("""COMPUTED_VALUE"""),"Restores 50HP")</f>
        <v>Restores 50HP</v>
      </c>
      <c r="C51" s="32" t="str">
        <f>IFERROR(__xludf.DUMMYFUNCTION("""COMPUTED_VALUE"""),"Item")</f>
        <v>Item</v>
      </c>
      <c r="D51" s="32" t="str">
        <f>IFERROR(__xludf.DUMMYFUNCTION("""COMPUTED_VALUE"""),"Land of Spira")</f>
        <v>Land of Spira</v>
      </c>
      <c r="E51" s="32" t="b">
        <f>IFERROR(__xludf.DUMMYFUNCTION("""COMPUTED_VALUE"""),FALSE)</f>
        <v>0</v>
      </c>
      <c r="F51" s="32"/>
      <c r="G51" s="32"/>
      <c r="H51" s="32"/>
      <c r="I51" s="32"/>
      <c r="J51" s="32"/>
      <c r="K51" s="32"/>
      <c r="L51" s="32"/>
      <c r="M51" s="32"/>
      <c r="N51" s="32"/>
      <c r="O51" s="32"/>
      <c r="P51" s="32"/>
      <c r="Q51" s="32"/>
      <c r="R51" s="32"/>
      <c r="S51" s="32"/>
      <c r="T51" s="32"/>
      <c r="U51" s="32"/>
      <c r="V51" s="32"/>
      <c r="W51" s="32"/>
      <c r="X51" s="32"/>
      <c r="Y51" s="32"/>
      <c r="Z51" s="32"/>
    </row>
    <row r="52">
      <c r="A52" s="49" t="str">
        <f>IFERROR(__xludf.DUMMYFUNCTION("""COMPUTED_VALUE"""),"Max Health Potion")</f>
        <v>Max Health Potion</v>
      </c>
      <c r="B52" s="50" t="str">
        <f>IFERROR(__xludf.DUMMYFUNCTION("""COMPUTED_VALUE"""),"Restores 100HP")</f>
        <v>Restores 100HP</v>
      </c>
      <c r="C52" s="32" t="str">
        <f>IFERROR(__xludf.DUMMYFUNCTION("""COMPUTED_VALUE"""),"Item")</f>
        <v>Item</v>
      </c>
      <c r="D52" s="32" t="str">
        <f>IFERROR(__xludf.DUMMYFUNCTION("""COMPUTED_VALUE"""),"Land of Spira")</f>
        <v>Land of Spira</v>
      </c>
      <c r="E52" s="32" t="b">
        <f>IFERROR(__xludf.DUMMYFUNCTION("""COMPUTED_VALUE"""),FALSE)</f>
        <v>0</v>
      </c>
      <c r="F52" s="32"/>
      <c r="G52" s="32"/>
      <c r="H52" s="32"/>
      <c r="I52" s="32"/>
      <c r="J52" s="32"/>
      <c r="K52" s="32"/>
      <c r="L52" s="32"/>
      <c r="M52" s="32"/>
      <c r="N52" s="32"/>
      <c r="O52" s="32"/>
      <c r="P52" s="32"/>
      <c r="Q52" s="32"/>
      <c r="R52" s="32"/>
      <c r="S52" s="32"/>
      <c r="T52" s="32"/>
      <c r="U52" s="32"/>
      <c r="V52" s="32"/>
      <c r="W52" s="32"/>
      <c r="X52" s="32"/>
      <c r="Y52" s="32"/>
      <c r="Z52" s="32"/>
    </row>
    <row r="53">
      <c r="A53" s="49" t="str">
        <f>IFERROR(__xludf.DUMMYFUNCTION("""COMPUTED_VALUE"""),"Minor Mana Potion")</f>
        <v>Minor Mana Potion</v>
      </c>
      <c r="B53" s="50" t="str">
        <f>IFERROR(__xludf.DUMMYFUNCTION("""COMPUTED_VALUE"""),"Restores 20SP")</f>
        <v>Restores 20SP</v>
      </c>
      <c r="C53" s="32" t="str">
        <f>IFERROR(__xludf.DUMMYFUNCTION("""COMPUTED_VALUE"""),"Item")</f>
        <v>Item</v>
      </c>
      <c r="D53" s="32" t="str">
        <f>IFERROR(__xludf.DUMMYFUNCTION("""COMPUTED_VALUE"""),"Land of Spira")</f>
        <v>Land of Spira</v>
      </c>
      <c r="E53" s="32" t="b">
        <f>IFERROR(__xludf.DUMMYFUNCTION("""COMPUTED_VALUE"""),FALSE)</f>
        <v>0</v>
      </c>
      <c r="F53" s="32"/>
      <c r="G53" s="32"/>
      <c r="H53" s="32"/>
      <c r="I53" s="32"/>
      <c r="J53" s="32"/>
      <c r="K53" s="32"/>
      <c r="L53" s="32"/>
      <c r="M53" s="32"/>
      <c r="N53" s="32"/>
      <c r="O53" s="32"/>
      <c r="P53" s="32"/>
      <c r="Q53" s="32"/>
      <c r="R53" s="32"/>
      <c r="S53" s="32"/>
      <c r="T53" s="32"/>
      <c r="U53" s="32"/>
      <c r="V53" s="32"/>
      <c r="W53" s="32"/>
      <c r="X53" s="32"/>
      <c r="Y53" s="32"/>
      <c r="Z53" s="32"/>
    </row>
    <row r="54">
      <c r="A54" s="50" t="str">
        <f>IFERROR(__xludf.DUMMYFUNCTION("""COMPUTED_VALUE"""),"Medium Mana Potion")</f>
        <v>Medium Mana Potion</v>
      </c>
      <c r="B54" s="27" t="str">
        <f>IFERROR(__xludf.DUMMYFUNCTION("""COMPUTED_VALUE"""),"Restores 50SP")</f>
        <v>Restores 50SP</v>
      </c>
      <c r="C54" s="32" t="str">
        <f>IFERROR(__xludf.DUMMYFUNCTION("""COMPUTED_VALUE"""),"Item")</f>
        <v>Item</v>
      </c>
      <c r="D54" s="32" t="str">
        <f>IFERROR(__xludf.DUMMYFUNCTION("""COMPUTED_VALUE"""),"Land of Spira")</f>
        <v>Land of Spira</v>
      </c>
      <c r="E54" s="32" t="b">
        <f>IFERROR(__xludf.DUMMYFUNCTION("""COMPUTED_VALUE"""),FALSE)</f>
        <v>0</v>
      </c>
      <c r="F54" s="32"/>
      <c r="G54" s="32"/>
      <c r="H54" s="32"/>
      <c r="I54" s="32"/>
      <c r="J54" s="32"/>
      <c r="K54" s="32"/>
      <c r="L54" s="32"/>
      <c r="M54" s="32"/>
      <c r="N54" s="32"/>
      <c r="O54" s="32"/>
      <c r="P54" s="32"/>
      <c r="Q54" s="32"/>
      <c r="R54" s="32"/>
      <c r="S54" s="32"/>
      <c r="T54" s="32"/>
      <c r="U54" s="32"/>
      <c r="V54" s="32"/>
      <c r="W54" s="32"/>
      <c r="X54" s="32"/>
      <c r="Y54" s="32"/>
      <c r="Z54" s="32"/>
    </row>
    <row r="55">
      <c r="A55" s="50" t="str">
        <f>IFERROR(__xludf.DUMMYFUNCTION("""COMPUTED_VALUE"""),"Max Mana Potion")</f>
        <v>Max Mana Potion</v>
      </c>
      <c r="B55" s="27" t="str">
        <f>IFERROR(__xludf.DUMMYFUNCTION("""COMPUTED_VALUE"""),"Restores 100SP")</f>
        <v>Restores 100SP</v>
      </c>
      <c r="C55" s="32" t="str">
        <f>IFERROR(__xludf.DUMMYFUNCTION("""COMPUTED_VALUE"""),"Item")</f>
        <v>Item</v>
      </c>
      <c r="D55" s="32" t="str">
        <f>IFERROR(__xludf.DUMMYFUNCTION("""COMPUTED_VALUE"""),"Land of Spira")</f>
        <v>Land of Spira</v>
      </c>
      <c r="E55" s="32" t="b">
        <f>IFERROR(__xludf.DUMMYFUNCTION("""COMPUTED_VALUE"""),FALSE)</f>
        <v>0</v>
      </c>
      <c r="F55" s="32"/>
      <c r="G55" s="32"/>
      <c r="H55" s="32"/>
      <c r="I55" s="32"/>
      <c r="J55" s="32"/>
      <c r="K55" s="32"/>
      <c r="L55" s="32"/>
      <c r="M55" s="32"/>
      <c r="N55" s="32"/>
      <c r="O55" s="32"/>
      <c r="P55" s="32"/>
      <c r="Q55" s="32"/>
      <c r="R55" s="32"/>
      <c r="S55" s="32"/>
      <c r="T55" s="32"/>
      <c r="U55" s="32"/>
      <c r="V55" s="32"/>
      <c r="W55" s="32"/>
      <c r="X55" s="32"/>
      <c r="Y55" s="32"/>
      <c r="Z55" s="32"/>
    </row>
    <row r="56">
      <c r="A56" s="50" t="str">
        <f>IFERROR(__xludf.DUMMYFUNCTION("""COMPUTED_VALUE"""),"Potion of Multishot")</f>
        <v>Potion of Multishot</v>
      </c>
      <c r="B56" s="27" t="str">
        <f>IFERROR(__xludf.DUMMYFUNCTION("""COMPUTED_VALUE"""),"Allows multishot use without consuming mana")</f>
        <v>Allows multishot use without consuming mana</v>
      </c>
      <c r="C56" s="32" t="str">
        <f>IFERROR(__xludf.DUMMYFUNCTION("""COMPUTED_VALUE"""),"Item")</f>
        <v>Item</v>
      </c>
      <c r="D56" s="32" t="str">
        <f>IFERROR(__xludf.DUMMYFUNCTION("""COMPUTED_VALUE"""),"Land of Spira")</f>
        <v>Land of Spira</v>
      </c>
      <c r="E56" s="32" t="b">
        <f>IFERROR(__xludf.DUMMYFUNCTION("""COMPUTED_VALUE"""),FALSE)</f>
        <v>0</v>
      </c>
      <c r="F56" s="32"/>
      <c r="G56" s="32"/>
      <c r="H56" s="32"/>
      <c r="I56" s="32"/>
      <c r="J56" s="32"/>
      <c r="K56" s="32"/>
      <c r="L56" s="32"/>
      <c r="M56" s="32"/>
      <c r="N56" s="32"/>
      <c r="O56" s="32"/>
      <c r="P56" s="32"/>
      <c r="Q56" s="32"/>
      <c r="R56" s="32"/>
      <c r="S56" s="32"/>
      <c r="T56" s="32"/>
      <c r="U56" s="32"/>
      <c r="V56" s="32"/>
      <c r="W56" s="32"/>
      <c r="X56" s="32"/>
      <c r="Y56" s="32"/>
      <c r="Z56" s="32"/>
    </row>
    <row r="57">
      <c r="A57" s="50" t="str">
        <f>IFERROR(__xludf.DUMMYFUNCTION("""COMPUTED_VALUE"""),"Potion of Eel Nado")</f>
        <v>Potion of Eel Nado</v>
      </c>
      <c r="B57" s="27" t="str">
        <f>IFERROR(__xludf.DUMMYFUNCTION("""COMPUTED_VALUE"""),"Allows use of Eel Nado without consuming mana")</f>
        <v>Allows use of Eel Nado without consuming mana</v>
      </c>
      <c r="C57" s="32" t="str">
        <f>IFERROR(__xludf.DUMMYFUNCTION("""COMPUTED_VALUE"""),"Item")</f>
        <v>Item</v>
      </c>
      <c r="D57" s="32" t="str">
        <f>IFERROR(__xludf.DUMMYFUNCTION("""COMPUTED_VALUE"""),"Land of Spira")</f>
        <v>Land of Spira</v>
      </c>
      <c r="E57" s="32" t="b">
        <f>IFERROR(__xludf.DUMMYFUNCTION("""COMPUTED_VALUE"""),FALSE)</f>
        <v>0</v>
      </c>
      <c r="F57" s="32"/>
      <c r="G57" s="32"/>
      <c r="H57" s="32"/>
      <c r="I57" s="32"/>
      <c r="J57" s="32"/>
      <c r="K57" s="32"/>
      <c r="L57" s="32"/>
      <c r="M57" s="32"/>
      <c r="N57" s="32"/>
      <c r="O57" s="32"/>
      <c r="P57" s="32"/>
      <c r="Q57" s="32"/>
      <c r="R57" s="32"/>
      <c r="S57" s="32"/>
      <c r="T57" s="32"/>
      <c r="U57" s="32"/>
      <c r="V57" s="32"/>
      <c r="W57" s="32"/>
      <c r="X57" s="32"/>
      <c r="Y57" s="32"/>
      <c r="Z57" s="32"/>
    </row>
    <row r="58">
      <c r="A58" s="50" t="str">
        <f>IFERROR(__xludf.DUMMYFUNCTION("""COMPUTED_VALUE"""),"Potion of Minor Health")</f>
        <v>Potion of Minor Health</v>
      </c>
      <c r="B58" s="27" t="str">
        <f>IFERROR(__xludf.DUMMYFUNCTION("""COMPUTED_VALUE"""),"Restores 10 Health")</f>
        <v>Restores 10 Health</v>
      </c>
      <c r="C58" s="32" t="str">
        <f>IFERROR(__xludf.DUMMYFUNCTION("""COMPUTED_VALUE"""),"Item")</f>
        <v>Item</v>
      </c>
      <c r="D58" s="32" t="str">
        <f>IFERROR(__xludf.DUMMYFUNCTION("""COMPUTED_VALUE"""),"Land of Spira")</f>
        <v>Land of Spira</v>
      </c>
      <c r="E58" s="32" t="b">
        <f>IFERROR(__xludf.DUMMYFUNCTION("""COMPUTED_VALUE"""),FALSE)</f>
        <v>0</v>
      </c>
      <c r="F58" s="32"/>
      <c r="G58" s="32"/>
      <c r="H58" s="32"/>
      <c r="I58" s="32"/>
      <c r="J58" s="32"/>
      <c r="K58" s="32"/>
      <c r="L58" s="32"/>
      <c r="M58" s="32"/>
      <c r="N58" s="32"/>
      <c r="O58" s="32"/>
      <c r="P58" s="32"/>
      <c r="Q58" s="32"/>
      <c r="R58" s="32"/>
      <c r="S58" s="32"/>
      <c r="T58" s="32"/>
      <c r="U58" s="32"/>
      <c r="V58" s="32"/>
      <c r="W58" s="32"/>
      <c r="X58" s="32"/>
      <c r="Y58" s="32"/>
      <c r="Z58" s="32"/>
    </row>
    <row r="59">
      <c r="A59" s="50" t="str">
        <f>IFERROR(__xludf.DUMMYFUNCTION("""COMPUTED_VALUE"""),"Potion of Health")</f>
        <v>Potion of Health</v>
      </c>
      <c r="B59" s="27" t="str">
        <f>IFERROR(__xludf.DUMMYFUNCTION("""COMPUTED_VALUE"""),"Restores 50 Health")</f>
        <v>Restores 50 Health</v>
      </c>
      <c r="C59" s="32" t="str">
        <f>IFERROR(__xludf.DUMMYFUNCTION("""COMPUTED_VALUE"""),"Item")</f>
        <v>Item</v>
      </c>
      <c r="D59" s="32" t="str">
        <f>IFERROR(__xludf.DUMMYFUNCTION("""COMPUTED_VALUE"""),"Land of Spira")</f>
        <v>Land of Spira</v>
      </c>
      <c r="E59" s="32" t="b">
        <f>IFERROR(__xludf.DUMMYFUNCTION("""COMPUTED_VALUE"""),FALSE)</f>
        <v>0</v>
      </c>
      <c r="F59" s="32"/>
      <c r="G59" s="32"/>
      <c r="H59" s="32"/>
      <c r="I59" s="32"/>
      <c r="J59" s="32"/>
      <c r="K59" s="32"/>
      <c r="L59" s="32"/>
      <c r="M59" s="32"/>
      <c r="N59" s="32"/>
      <c r="O59" s="32"/>
      <c r="P59" s="32"/>
      <c r="Q59" s="32"/>
      <c r="R59" s="32"/>
      <c r="S59" s="32"/>
      <c r="T59" s="32"/>
      <c r="U59" s="32"/>
      <c r="V59" s="32"/>
      <c r="W59" s="32"/>
      <c r="X59" s="32"/>
      <c r="Y59" s="32"/>
      <c r="Z59" s="32"/>
    </row>
    <row r="60">
      <c r="A60" s="50" t="str">
        <f>IFERROR(__xludf.DUMMYFUNCTION("""COMPUTED_VALUE"""),"Potion of Major Health")</f>
        <v>Potion of Major Health</v>
      </c>
      <c r="B60" s="27" t="str">
        <f>IFERROR(__xludf.DUMMYFUNCTION("""COMPUTED_VALUE"""),"Restores 100 Health")</f>
        <v>Restores 100 Health</v>
      </c>
      <c r="C60" s="32" t="str">
        <f>IFERROR(__xludf.DUMMYFUNCTION("""COMPUTED_VALUE"""),"Item")</f>
        <v>Item</v>
      </c>
      <c r="D60" s="32" t="str">
        <f>IFERROR(__xludf.DUMMYFUNCTION("""COMPUTED_VALUE"""),"Land of Spira")</f>
        <v>Land of Spira</v>
      </c>
      <c r="E60" s="32" t="b">
        <f>IFERROR(__xludf.DUMMYFUNCTION("""COMPUTED_VALUE"""),FALSE)</f>
        <v>0</v>
      </c>
      <c r="F60" s="32"/>
      <c r="G60" s="32"/>
      <c r="H60" s="32"/>
      <c r="I60" s="32"/>
      <c r="J60" s="32"/>
      <c r="K60" s="32"/>
      <c r="L60" s="32"/>
      <c r="M60" s="32"/>
      <c r="N60" s="32"/>
      <c r="O60" s="32"/>
      <c r="P60" s="32"/>
      <c r="Q60" s="32"/>
      <c r="R60" s="32"/>
      <c r="S60" s="32"/>
      <c r="T60" s="32"/>
      <c r="U60" s="32"/>
      <c r="V60" s="32"/>
      <c r="W60" s="32"/>
      <c r="X60" s="32"/>
      <c r="Y60" s="32"/>
      <c r="Z60" s="32"/>
    </row>
    <row r="61">
      <c r="A61" s="49"/>
      <c r="B61" s="27"/>
      <c r="C61" s="32" t="str">
        <f>IFERROR(__xludf.DUMMYFUNCTION("""COMPUTED_VALUE"""),"Item")</f>
        <v>Item</v>
      </c>
      <c r="D61" s="32" t="str">
        <f>IFERROR(__xludf.DUMMYFUNCTION("""COMPUTED_VALUE"""),"Land of Spira")</f>
        <v>Land of Spira</v>
      </c>
      <c r="E61" s="32" t="b">
        <f>IFERROR(__xludf.DUMMYFUNCTION("""COMPUTED_VALUE"""),FALSE)</f>
        <v>0</v>
      </c>
      <c r="F61" s="32"/>
      <c r="G61" s="32"/>
      <c r="H61" s="32"/>
      <c r="I61" s="32"/>
      <c r="J61" s="32"/>
      <c r="K61" s="32"/>
      <c r="L61" s="32"/>
      <c r="M61" s="32"/>
      <c r="N61" s="32"/>
      <c r="O61" s="32"/>
      <c r="P61" s="32"/>
      <c r="Q61" s="32"/>
      <c r="R61" s="32"/>
      <c r="S61" s="32"/>
      <c r="T61" s="32"/>
      <c r="U61" s="32"/>
      <c r="V61" s="32"/>
      <c r="W61" s="32"/>
      <c r="X61" s="32"/>
      <c r="Y61" s="32"/>
      <c r="Z61" s="32"/>
    </row>
    <row r="62">
      <c r="A62" s="27" t="str">
        <f>IFERROR(__xludf.DUMMYFUNCTION("""COMPUTED_VALUE"""),"Potion of Minor Mana")</f>
        <v>Potion of Minor Mana</v>
      </c>
      <c r="B62" s="27" t="str">
        <f>IFERROR(__xludf.DUMMYFUNCTION("""COMPUTED_VALUE"""),"Restores 10 SP")</f>
        <v>Restores 10 SP</v>
      </c>
      <c r="C62" s="32" t="str">
        <f>IFERROR(__xludf.DUMMYFUNCTION("""COMPUTED_VALUE"""),"Item")</f>
        <v>Item</v>
      </c>
      <c r="D62" s="32" t="str">
        <f>IFERROR(__xludf.DUMMYFUNCTION("""COMPUTED_VALUE"""),"Land of Spira")</f>
        <v>Land of Spira</v>
      </c>
      <c r="E62" s="32" t="b">
        <f>IFERROR(__xludf.DUMMYFUNCTION("""COMPUTED_VALUE"""),FALSE)</f>
        <v>0</v>
      </c>
      <c r="F62" s="32"/>
      <c r="G62" s="32"/>
      <c r="H62" s="32"/>
      <c r="I62" s="32"/>
      <c r="J62" s="32"/>
      <c r="K62" s="32"/>
      <c r="L62" s="32"/>
      <c r="M62" s="32"/>
      <c r="N62" s="32"/>
      <c r="O62" s="32"/>
      <c r="P62" s="32"/>
      <c r="Q62" s="32"/>
      <c r="R62" s="32"/>
      <c r="S62" s="32"/>
      <c r="T62" s="32"/>
      <c r="U62" s="32"/>
      <c r="V62" s="32"/>
      <c r="W62" s="32"/>
      <c r="X62" s="32"/>
      <c r="Y62" s="32"/>
      <c r="Z62" s="32"/>
    </row>
    <row r="63">
      <c r="A63" s="27" t="str">
        <f>IFERROR(__xludf.DUMMYFUNCTION("""COMPUTED_VALUE"""),"Potion of Mana")</f>
        <v>Potion of Mana</v>
      </c>
      <c r="B63" s="27" t="str">
        <f>IFERROR(__xludf.DUMMYFUNCTION("""COMPUTED_VALUE"""),"Restores 50 SP")</f>
        <v>Restores 50 SP</v>
      </c>
      <c r="C63" s="32" t="str">
        <f>IFERROR(__xludf.DUMMYFUNCTION("""COMPUTED_VALUE"""),"Item")</f>
        <v>Item</v>
      </c>
      <c r="D63" s="32" t="str">
        <f>IFERROR(__xludf.DUMMYFUNCTION("""COMPUTED_VALUE"""),"Land of Spira")</f>
        <v>Land of Spira</v>
      </c>
      <c r="E63" s="32" t="b">
        <f>IFERROR(__xludf.DUMMYFUNCTION("""COMPUTED_VALUE"""),FALSE)</f>
        <v>0</v>
      </c>
      <c r="F63" s="32"/>
      <c r="G63" s="32"/>
      <c r="H63" s="32"/>
      <c r="I63" s="32"/>
      <c r="J63" s="32"/>
      <c r="K63" s="32"/>
      <c r="L63" s="32"/>
      <c r="M63" s="32"/>
      <c r="N63" s="32"/>
      <c r="O63" s="32"/>
      <c r="P63" s="32"/>
      <c r="Q63" s="32"/>
      <c r="R63" s="32"/>
      <c r="S63" s="32"/>
      <c r="T63" s="32"/>
      <c r="U63" s="32"/>
      <c r="V63" s="32"/>
      <c r="W63" s="32"/>
      <c r="X63" s="32"/>
      <c r="Y63" s="32"/>
      <c r="Z63" s="32"/>
    </row>
    <row r="64">
      <c r="A64" s="27" t="str">
        <f>IFERROR(__xludf.DUMMYFUNCTION("""COMPUTED_VALUE"""),"Potion of Extreme Mana")</f>
        <v>Potion of Extreme Mana</v>
      </c>
      <c r="B64" s="27" t="str">
        <f>IFERROR(__xludf.DUMMYFUNCTION("""COMPUTED_VALUE"""),"Restores 100 SP")</f>
        <v>Restores 100 SP</v>
      </c>
      <c r="C64" s="32" t="str">
        <f>IFERROR(__xludf.DUMMYFUNCTION("""COMPUTED_VALUE"""),"Item")</f>
        <v>Item</v>
      </c>
      <c r="D64" s="32" t="str">
        <f>IFERROR(__xludf.DUMMYFUNCTION("""COMPUTED_VALUE"""),"Land of Spira")</f>
        <v>Land of Spira</v>
      </c>
      <c r="E64" s="32" t="b">
        <f>IFERROR(__xludf.DUMMYFUNCTION("""COMPUTED_VALUE"""),FALSE)</f>
        <v>0</v>
      </c>
      <c r="F64" s="32"/>
      <c r="G64" s="32"/>
      <c r="H64" s="32"/>
      <c r="I64" s="32"/>
      <c r="J64" s="32"/>
      <c r="K64" s="32"/>
      <c r="L64" s="32"/>
      <c r="M64" s="32"/>
      <c r="N64" s="32"/>
      <c r="O64" s="32"/>
      <c r="P64" s="32"/>
      <c r="Q64" s="32"/>
      <c r="R64" s="32"/>
      <c r="S64" s="32"/>
      <c r="T64" s="32"/>
      <c r="U64" s="32"/>
      <c r="V64" s="32"/>
      <c r="W64" s="32"/>
      <c r="X64" s="32"/>
      <c r="Y64" s="32"/>
      <c r="Z64" s="32"/>
    </row>
    <row r="65">
      <c r="A65" s="27" t="str">
        <f>IFERROR(__xludf.DUMMYFUNCTION("""COMPUTED_VALUE"""),"Potion of Invigoration")</f>
        <v>Potion of Invigoration</v>
      </c>
      <c r="B65" s="27" t="str">
        <f>IFERROR(__xludf.DUMMYFUNCTION("""COMPUTED_VALUE"""),"Restores 50 SP each turn for 3 rounds")</f>
        <v>Restores 50 SP each turn for 3 rounds</v>
      </c>
      <c r="C65" s="32" t="str">
        <f>IFERROR(__xludf.DUMMYFUNCTION("""COMPUTED_VALUE"""),"Item")</f>
        <v>Item</v>
      </c>
      <c r="D65" s="32" t="str">
        <f>IFERROR(__xludf.DUMMYFUNCTION("""COMPUTED_VALUE"""),"Land of Spira")</f>
        <v>Land of Spira</v>
      </c>
      <c r="E65" s="32" t="b">
        <f>IFERROR(__xludf.DUMMYFUNCTION("""COMPUTED_VALUE"""),FALSE)</f>
        <v>0</v>
      </c>
      <c r="F65" s="32"/>
      <c r="G65" s="32"/>
      <c r="H65" s="32"/>
      <c r="I65" s="32"/>
      <c r="J65" s="32"/>
      <c r="K65" s="32"/>
      <c r="L65" s="32"/>
      <c r="M65" s="32"/>
      <c r="N65" s="32"/>
      <c r="O65" s="32"/>
      <c r="P65" s="32"/>
      <c r="Q65" s="32"/>
      <c r="R65" s="32"/>
      <c r="S65" s="32"/>
      <c r="T65" s="32"/>
      <c r="U65" s="32"/>
      <c r="V65" s="32"/>
      <c r="W65" s="32"/>
      <c r="X65" s="32"/>
      <c r="Y65" s="32"/>
      <c r="Z65" s="32"/>
    </row>
    <row r="66">
      <c r="A66" s="27" t="str">
        <f>IFERROR(__xludf.DUMMYFUNCTION("""COMPUTED_VALUE"""),"Potion of Invulnerability")</f>
        <v>Potion of Invulnerability</v>
      </c>
      <c r="B66" s="27" t="str">
        <f>IFERROR(__xludf.DUMMYFUNCTION("""COMPUTED_VALUE"""),"Immune to damage for 3 rounds")</f>
        <v>Immune to damage for 3 rounds</v>
      </c>
      <c r="C66" s="32" t="str">
        <f>IFERROR(__xludf.DUMMYFUNCTION("""COMPUTED_VALUE"""),"Item")</f>
        <v>Item</v>
      </c>
      <c r="D66" s="32" t="str">
        <f>IFERROR(__xludf.DUMMYFUNCTION("""COMPUTED_VALUE"""),"Land of Spira")</f>
        <v>Land of Spira</v>
      </c>
      <c r="E66" s="32" t="b">
        <f>IFERROR(__xludf.DUMMYFUNCTION("""COMPUTED_VALUE"""),FALSE)</f>
        <v>0</v>
      </c>
      <c r="F66" s="32"/>
      <c r="G66" s="32"/>
      <c r="H66" s="32"/>
      <c r="I66" s="32"/>
      <c r="J66" s="32"/>
      <c r="K66" s="32"/>
      <c r="L66" s="32"/>
      <c r="M66" s="32"/>
      <c r="N66" s="32"/>
      <c r="O66" s="32"/>
      <c r="P66" s="32"/>
      <c r="Q66" s="32"/>
      <c r="R66" s="32"/>
      <c r="S66" s="32"/>
      <c r="T66" s="32"/>
      <c r="U66" s="32"/>
      <c r="V66" s="32"/>
      <c r="W66" s="32"/>
      <c r="X66" s="32"/>
      <c r="Y66" s="32"/>
      <c r="Z66" s="32"/>
    </row>
    <row r="67">
      <c r="A67" s="27" t="str">
        <f>IFERROR(__xludf.DUMMYFUNCTION("""COMPUTED_VALUE"""),"Potion of Stun Resist")</f>
        <v>Potion of Stun Resist</v>
      </c>
      <c r="B67" s="27" t="str">
        <f>IFERROR(__xludf.DUMMYFUNCTION("""COMPUTED_VALUE"""),"Immune to Stun for 3 rounds")</f>
        <v>Immune to Stun for 3 rounds</v>
      </c>
      <c r="C67" s="32" t="str">
        <f>IFERROR(__xludf.DUMMYFUNCTION("""COMPUTED_VALUE"""),"Item")</f>
        <v>Item</v>
      </c>
      <c r="D67" s="32" t="str">
        <f>IFERROR(__xludf.DUMMYFUNCTION("""COMPUTED_VALUE"""),"Land of Spira")</f>
        <v>Land of Spira</v>
      </c>
      <c r="E67" s="32" t="b">
        <f>IFERROR(__xludf.DUMMYFUNCTION("""COMPUTED_VALUE"""),FALSE)</f>
        <v>0</v>
      </c>
      <c r="F67" s="32"/>
      <c r="G67" s="32"/>
      <c r="H67" s="32"/>
      <c r="I67" s="32"/>
      <c r="J67" s="32"/>
      <c r="K67" s="32"/>
      <c r="L67" s="32"/>
      <c r="M67" s="32"/>
      <c r="N67" s="32"/>
      <c r="O67" s="32"/>
      <c r="P67" s="32"/>
      <c r="Q67" s="32"/>
      <c r="R67" s="32"/>
      <c r="S67" s="32"/>
      <c r="T67" s="32"/>
      <c r="U67" s="32"/>
      <c r="V67" s="32"/>
      <c r="W67" s="32"/>
      <c r="X67" s="32"/>
      <c r="Y67" s="32"/>
      <c r="Z67" s="32"/>
    </row>
    <row r="68">
      <c r="A68" s="27" t="str">
        <f>IFERROR(__xludf.DUMMYFUNCTION("""COMPUTED_VALUE"""),"Potion Of Sobriety")</f>
        <v>Potion Of Sobriety</v>
      </c>
      <c r="B68" s="27"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32" t="str">
        <f>IFERROR(__xludf.DUMMYFUNCTION("""COMPUTED_VALUE"""),"Item")</f>
        <v>Item</v>
      </c>
      <c r="D68" s="32" t="str">
        <f>IFERROR(__xludf.DUMMYFUNCTION("""COMPUTED_VALUE"""),"Land of Spira")</f>
        <v>Land of Spira</v>
      </c>
      <c r="E68" s="32" t="b">
        <f>IFERROR(__xludf.DUMMYFUNCTION("""COMPUTED_VALUE"""),FALSE)</f>
        <v>0</v>
      </c>
      <c r="F68" s="32"/>
      <c r="G68" s="32"/>
      <c r="H68" s="32"/>
      <c r="I68" s="32"/>
      <c r="J68" s="32"/>
      <c r="K68" s="32"/>
      <c r="L68" s="32"/>
      <c r="M68" s="32"/>
      <c r="N68" s="32"/>
      <c r="O68" s="32"/>
      <c r="P68" s="32"/>
      <c r="Q68" s="32"/>
      <c r="R68" s="32"/>
      <c r="S68" s="32"/>
      <c r="T68" s="32"/>
      <c r="U68" s="32"/>
      <c r="V68" s="32"/>
      <c r="W68" s="32"/>
      <c r="X68" s="32"/>
      <c r="Y68" s="32"/>
      <c r="Z68" s="32"/>
    </row>
    <row r="69">
      <c r="A69" s="27" t="str">
        <f>IFERROR(__xludf.DUMMYFUNCTION("""COMPUTED_VALUE"""),"Legendary Tome")</f>
        <v>Legendary Tome</v>
      </c>
      <c r="B69" s="27" t="str">
        <f>IFERROR(__xludf.DUMMYFUNCTION("""COMPUTED_VALUE"""),"(Quest item)")</f>
        <v>(Quest item)</v>
      </c>
      <c r="C69" s="32" t="str">
        <f>IFERROR(__xludf.DUMMYFUNCTION("""COMPUTED_VALUE"""),"Item")</f>
        <v>Item</v>
      </c>
      <c r="D69" s="32" t="str">
        <f>IFERROR(__xludf.DUMMYFUNCTION("""COMPUTED_VALUE"""),"Land of Spira")</f>
        <v>Land of Spira</v>
      </c>
      <c r="E69" s="32" t="b">
        <f>IFERROR(__xludf.DUMMYFUNCTION("""COMPUTED_VALUE"""),FALSE)</f>
        <v>0</v>
      </c>
      <c r="F69" s="32"/>
      <c r="G69" s="32"/>
      <c r="H69" s="32"/>
      <c r="I69" s="32"/>
      <c r="J69" s="32"/>
      <c r="K69" s="32"/>
      <c r="L69" s="32"/>
      <c r="M69" s="32"/>
      <c r="N69" s="32"/>
      <c r="O69" s="32"/>
      <c r="P69" s="32"/>
      <c r="Q69" s="32"/>
      <c r="R69" s="32"/>
      <c r="S69" s="32"/>
      <c r="T69" s="32"/>
      <c r="U69" s="32"/>
      <c r="V69" s="32"/>
      <c r="W69" s="32"/>
      <c r="X69" s="32"/>
      <c r="Y69" s="32"/>
      <c r="Z69" s="32"/>
    </row>
    <row r="70">
      <c r="A70" s="27" t="str">
        <f>IFERROR(__xludf.DUMMYFUNCTION("""COMPUTED_VALUE"""),"Murky Emerald")</f>
        <v>Murky Emerald</v>
      </c>
      <c r="B70" s="27" t="str">
        <f>IFERROR(__xludf.DUMMYFUNCTION("""COMPUTED_VALUE"""),"Crafting Material, roll a d20 to see how many you get if this is a loot drop.")</f>
        <v>Crafting Material, roll a d20 to see how many you get if this is a loot drop.</v>
      </c>
      <c r="C70" s="32" t="str">
        <f>IFERROR(__xludf.DUMMYFUNCTION("""COMPUTED_VALUE"""),"Item")</f>
        <v>Item</v>
      </c>
      <c r="D70" s="32" t="str">
        <f>IFERROR(__xludf.DUMMYFUNCTION("""COMPUTED_VALUE"""),"Land of Spira")</f>
        <v>Land of Spira</v>
      </c>
      <c r="E70" s="32" t="b">
        <f>IFERROR(__xludf.DUMMYFUNCTION("""COMPUTED_VALUE"""),FALSE)</f>
        <v>0</v>
      </c>
      <c r="F70" s="32"/>
      <c r="G70" s="32"/>
      <c r="H70" s="32"/>
      <c r="I70" s="32"/>
      <c r="J70" s="32"/>
      <c r="K70" s="32"/>
      <c r="L70" s="32"/>
      <c r="M70" s="32"/>
      <c r="N70" s="32"/>
      <c r="O70" s="32"/>
      <c r="P70" s="32"/>
      <c r="Q70" s="32"/>
      <c r="R70" s="32"/>
      <c r="S70" s="32"/>
      <c r="T70" s="32"/>
      <c r="U70" s="32"/>
      <c r="V70" s="32"/>
      <c r="W70" s="32"/>
      <c r="X70" s="32"/>
      <c r="Y70" s="32"/>
      <c r="Z70" s="32"/>
    </row>
    <row r="71">
      <c r="A71" s="27" t="str">
        <f>IFERROR(__xludf.DUMMYFUNCTION("""COMPUTED_VALUE"""),"Foul Night Swamp water vile")</f>
        <v>Foul Night Swamp water vile</v>
      </c>
      <c r="B71" s="27" t="str">
        <f>IFERROR(__xludf.DUMMYFUNCTION("""COMPUTED_VALUE"""),"Immunity to Nature for 3 rounds.")</f>
        <v>Immunity to Nature for 3 rounds.</v>
      </c>
      <c r="C71" s="32" t="str">
        <f>IFERROR(__xludf.DUMMYFUNCTION("""COMPUTED_VALUE"""),"Item")</f>
        <v>Item</v>
      </c>
      <c r="D71" s="32" t="str">
        <f>IFERROR(__xludf.DUMMYFUNCTION("""COMPUTED_VALUE"""),"Land of Spira")</f>
        <v>Land of Spira</v>
      </c>
      <c r="E71" s="32" t="b">
        <f>IFERROR(__xludf.DUMMYFUNCTION("""COMPUTED_VALUE"""),FALSE)</f>
        <v>0</v>
      </c>
      <c r="F71" s="32"/>
      <c r="G71" s="32"/>
      <c r="H71" s="32"/>
      <c r="I71" s="32"/>
      <c r="J71" s="32"/>
      <c r="K71" s="32"/>
      <c r="L71" s="32"/>
      <c r="M71" s="32"/>
      <c r="N71" s="32"/>
      <c r="O71" s="32"/>
      <c r="P71" s="32"/>
      <c r="Q71" s="32"/>
      <c r="R71" s="32"/>
      <c r="S71" s="32"/>
      <c r="T71" s="32"/>
      <c r="U71" s="32"/>
      <c r="V71" s="32"/>
      <c r="W71" s="32"/>
      <c r="X71" s="32"/>
      <c r="Y71" s="32"/>
      <c r="Z71" s="32"/>
    </row>
    <row r="72">
      <c r="A72" s="27" t="str">
        <f>IFERROR(__xludf.DUMMYFUNCTION("""COMPUTED_VALUE"""),"Foul Night Foul Smelling potion")</f>
        <v>Foul Night Foul Smelling potion</v>
      </c>
      <c r="B72" s="27" t="str">
        <f>IFERROR(__xludf.DUMMYFUNCTION("""COMPUTED_VALUE"""),"2500 damage and 2500 nature damage and 500 poison damage for 3 rounds")</f>
        <v>2500 damage and 2500 nature damage and 500 poison damage for 3 rounds</v>
      </c>
      <c r="C72" s="32" t="str">
        <f>IFERROR(__xludf.DUMMYFUNCTION("""COMPUTED_VALUE"""),"Item")</f>
        <v>Item</v>
      </c>
      <c r="D72" s="32" t="str">
        <f>IFERROR(__xludf.DUMMYFUNCTION("""COMPUTED_VALUE"""),"Land of Spira")</f>
        <v>Land of Spira</v>
      </c>
      <c r="E72" s="32" t="b">
        <f>IFERROR(__xludf.DUMMYFUNCTION("""COMPUTED_VALUE"""),FALSE)</f>
        <v>0</v>
      </c>
      <c r="F72" s="32"/>
      <c r="G72" s="32"/>
      <c r="H72" s="32"/>
      <c r="I72" s="32"/>
      <c r="J72" s="32"/>
      <c r="K72" s="32"/>
      <c r="L72" s="32"/>
      <c r="M72" s="32"/>
      <c r="N72" s="32"/>
      <c r="O72" s="32"/>
      <c r="P72" s="32"/>
      <c r="Q72" s="32"/>
      <c r="R72" s="32"/>
      <c r="S72" s="32"/>
      <c r="T72" s="32"/>
      <c r="U72" s="32"/>
      <c r="V72" s="32"/>
      <c r="W72" s="32"/>
      <c r="X72" s="32"/>
      <c r="Y72" s="32"/>
      <c r="Z72" s="32"/>
    </row>
    <row r="73">
      <c r="A73" s="27" t="str">
        <f>IFERROR(__xludf.DUMMYFUNCTION("""COMPUTED_VALUE"""),"Swampy Seaweed")</f>
        <v>Swampy Seaweed</v>
      </c>
      <c r="B73" s="27" t="str">
        <f>IFERROR(__xludf.DUMMYFUNCTION("""COMPUTED_VALUE""")," Restores 5000 HP and SP.")</f>
        <v> Restores 5000 HP and SP.</v>
      </c>
      <c r="C73" s="32" t="str">
        <f>IFERROR(__xludf.DUMMYFUNCTION("""COMPUTED_VALUE"""),"Item")</f>
        <v>Item</v>
      </c>
      <c r="D73" s="32" t="str">
        <f>IFERROR(__xludf.DUMMYFUNCTION("""COMPUTED_VALUE"""),"Land of Spira")</f>
        <v>Land of Spira</v>
      </c>
      <c r="E73" s="32" t="b">
        <f>IFERROR(__xludf.DUMMYFUNCTION("""COMPUTED_VALUE"""),FALSE)</f>
        <v>0</v>
      </c>
      <c r="F73" s="32"/>
      <c r="G73" s="32"/>
      <c r="H73" s="32"/>
      <c r="I73" s="32"/>
      <c r="J73" s="32"/>
      <c r="K73" s="32"/>
      <c r="L73" s="32"/>
      <c r="M73" s="32"/>
      <c r="N73" s="32"/>
      <c r="O73" s="32"/>
      <c r="P73" s="32"/>
      <c r="Q73" s="32"/>
      <c r="R73" s="32"/>
      <c r="S73" s="32"/>
      <c r="T73" s="32"/>
      <c r="U73" s="32"/>
      <c r="V73" s="32"/>
      <c r="W73" s="32"/>
      <c r="X73" s="32"/>
      <c r="Y73" s="32"/>
      <c r="Z73" s="32"/>
    </row>
    <row r="74">
      <c r="A74" s="49" t="str">
        <f>IFERROR(__xludf.DUMMYFUNCTION("""COMPUTED_VALUE"""),"Foul Night Swamp Bubble Grenade")</f>
        <v>Foul Night Swamp Bubble Grenade</v>
      </c>
      <c r="B74" s="27" t="str">
        <f>IFERROR(__xludf.DUMMYFUNCTION("""COMPUTED_VALUE"""),"Poison 10,000 for 3 rounds.")</f>
        <v>Poison 10,000 for 3 rounds.</v>
      </c>
      <c r="C74" s="32" t="str">
        <f>IFERROR(__xludf.DUMMYFUNCTION("""COMPUTED_VALUE"""),"Item")</f>
        <v>Item</v>
      </c>
      <c r="D74" s="32" t="str">
        <f>IFERROR(__xludf.DUMMYFUNCTION("""COMPUTED_VALUE"""),"Land of Spira")</f>
        <v>Land of Spira</v>
      </c>
      <c r="E74" s="32" t="b">
        <f>IFERROR(__xludf.DUMMYFUNCTION("""COMPUTED_VALUE"""),FALSE)</f>
        <v>0</v>
      </c>
      <c r="F74" s="32"/>
      <c r="G74" s="32"/>
      <c r="H74" s="32"/>
      <c r="I74" s="32"/>
      <c r="J74" s="32"/>
      <c r="K74" s="32"/>
      <c r="L74" s="32"/>
      <c r="M74" s="32"/>
      <c r="N74" s="32"/>
      <c r="O74" s="32"/>
      <c r="P74" s="32"/>
      <c r="Q74" s="32"/>
      <c r="R74" s="32"/>
      <c r="S74" s="32"/>
      <c r="T74" s="32"/>
      <c r="U74" s="32"/>
      <c r="V74" s="32"/>
      <c r="W74" s="32"/>
      <c r="X74" s="32"/>
      <c r="Y74" s="32"/>
      <c r="Z74" s="32"/>
    </row>
    <row r="75">
      <c r="A75" s="49" t="str">
        <f>IFERROR(__xludf.DUMMYFUNCTION("""COMPUTED_VALUE"""),"Block of Ice")</f>
        <v>Block of Ice</v>
      </c>
      <c r="B75" s="49" t="str">
        <f>IFERROR(__xludf.DUMMYFUNCTION("""COMPUTED_VALUE"""),"Crafting Material, roll a d20 to see how many you get if this is a loot drop.")</f>
        <v>Crafting Material, roll a d20 to see how many you get if this is a loot drop.</v>
      </c>
      <c r="C75" s="32" t="str">
        <f>IFERROR(__xludf.DUMMYFUNCTION("""COMPUTED_VALUE"""),"Item")</f>
        <v>Item</v>
      </c>
      <c r="D75" s="32" t="str">
        <f>IFERROR(__xludf.DUMMYFUNCTION("""COMPUTED_VALUE"""),"Land of Spira")</f>
        <v>Land of Spira</v>
      </c>
      <c r="E75" s="32" t="b">
        <f>IFERROR(__xludf.DUMMYFUNCTION("""COMPUTED_VALUE"""),FALSE)</f>
        <v>0</v>
      </c>
      <c r="F75" s="32"/>
      <c r="G75" s="32"/>
      <c r="H75" s="32"/>
      <c r="I75" s="32"/>
      <c r="J75" s="32"/>
      <c r="K75" s="32"/>
      <c r="L75" s="32"/>
      <c r="M75" s="32"/>
      <c r="N75" s="32"/>
      <c r="O75" s="32"/>
      <c r="P75" s="32"/>
      <c r="Q75" s="32"/>
      <c r="R75" s="32"/>
      <c r="S75" s="32"/>
      <c r="T75" s="32"/>
      <c r="U75" s="32"/>
      <c r="V75" s="32"/>
      <c r="W75" s="32"/>
      <c r="X75" s="32"/>
      <c r="Y75" s="32"/>
      <c r="Z75" s="32"/>
    </row>
    <row r="76">
      <c r="A76" s="49" t="str">
        <f>IFERROR(__xludf.DUMMYFUNCTION("""COMPUTED_VALUE"""),"Frost Kings Map")</f>
        <v>Frost Kings Map</v>
      </c>
      <c r="B76" s="49" t="str">
        <f>IFERROR(__xludf.DUMMYFUNCTION("""COMPUTED_VALUE"""),"Special quest item. Speak to the frost king for more info.")</f>
        <v>Special quest item. Speak to the frost king for more info.</v>
      </c>
      <c r="C76" s="32" t="str">
        <f>IFERROR(__xludf.DUMMYFUNCTION("""COMPUTED_VALUE"""),"Item")</f>
        <v>Item</v>
      </c>
      <c r="D76" s="32" t="str">
        <f>IFERROR(__xludf.DUMMYFUNCTION("""COMPUTED_VALUE"""),"Land of Spira")</f>
        <v>Land of Spira</v>
      </c>
      <c r="E76" s="32" t="b">
        <f>IFERROR(__xludf.DUMMYFUNCTION("""COMPUTED_VALUE"""),FALSE)</f>
        <v>0</v>
      </c>
      <c r="F76" s="32"/>
      <c r="G76" s="32"/>
      <c r="H76" s="32"/>
      <c r="I76" s="32"/>
      <c r="J76" s="32"/>
      <c r="K76" s="32"/>
      <c r="L76" s="32"/>
      <c r="M76" s="32"/>
      <c r="N76" s="32"/>
      <c r="O76" s="32"/>
      <c r="P76" s="32"/>
      <c r="Q76" s="32"/>
      <c r="R76" s="32"/>
      <c r="S76" s="32"/>
      <c r="T76" s="32"/>
      <c r="U76" s="32"/>
      <c r="V76" s="32"/>
      <c r="W76" s="32"/>
      <c r="X76" s="32"/>
      <c r="Y76" s="32"/>
      <c r="Z76" s="32"/>
    </row>
    <row r="77">
      <c r="A77" s="49" t="str">
        <f>IFERROR(__xludf.DUMMYFUNCTION("""COMPUTED_VALUE"""),"Bacon")</f>
        <v>Bacon</v>
      </c>
      <c r="B77" s="27" t="str">
        <f>IFERROR(__xludf.DUMMYFUNCTION("""COMPUTED_VALUE"""),"Restores 5 health and 5 hunger")</f>
        <v>Restores 5 health and 5 hunger</v>
      </c>
      <c r="C77" s="32" t="str">
        <f>IFERROR(__xludf.DUMMYFUNCTION("""COMPUTED_VALUE"""),"Crop")</f>
        <v>Crop</v>
      </c>
      <c r="D77" s="32" t="str">
        <f>IFERROR(__xludf.DUMMYFUNCTION("""COMPUTED_VALUE"""),"Land of Spira")</f>
        <v>Land of Spira</v>
      </c>
      <c r="E77" s="32" t="b">
        <f>IFERROR(__xludf.DUMMYFUNCTION("""COMPUTED_VALUE"""),FALSE)</f>
        <v>0</v>
      </c>
      <c r="F77" s="32"/>
      <c r="G77" s="32"/>
      <c r="H77" s="32"/>
      <c r="I77" s="32"/>
      <c r="J77" s="32"/>
      <c r="K77" s="32"/>
      <c r="L77" s="32"/>
      <c r="M77" s="32"/>
      <c r="N77" s="32"/>
      <c r="O77" s="32"/>
      <c r="P77" s="32"/>
      <c r="Q77" s="32"/>
      <c r="R77" s="32"/>
      <c r="S77" s="32"/>
      <c r="T77" s="32"/>
      <c r="U77" s="32"/>
      <c r="V77" s="32"/>
      <c r="W77" s="32"/>
      <c r="X77" s="32"/>
      <c r="Y77" s="32"/>
      <c r="Z77" s="32"/>
    </row>
    <row r="78">
      <c r="A78" s="49" t="str">
        <f>IFERROR(__xludf.DUMMYFUNCTION("""COMPUTED_VALUE"""),"Bread")</f>
        <v>Bread</v>
      </c>
      <c r="B78" s="27" t="str">
        <f>IFERROR(__xludf.DUMMYFUNCTION("""COMPUTED_VALUE"""),"10 Hunger")</f>
        <v>10 Hunger</v>
      </c>
      <c r="C78" s="32" t="str">
        <f>IFERROR(__xludf.DUMMYFUNCTION("""COMPUTED_VALUE"""),"Crop")</f>
        <v>Crop</v>
      </c>
      <c r="D78" s="32" t="str">
        <f>IFERROR(__xludf.DUMMYFUNCTION("""COMPUTED_VALUE"""),"Land of Spira")</f>
        <v>Land of Spira</v>
      </c>
      <c r="E78" s="32" t="b">
        <f>IFERROR(__xludf.DUMMYFUNCTION("""COMPUTED_VALUE"""),FALSE)</f>
        <v>0</v>
      </c>
      <c r="F78" s="32"/>
      <c r="G78" s="32"/>
      <c r="H78" s="32"/>
      <c r="I78" s="32"/>
      <c r="J78" s="32"/>
      <c r="K78" s="32"/>
      <c r="L78" s="32"/>
      <c r="M78" s="32"/>
      <c r="N78" s="32"/>
      <c r="O78" s="32"/>
      <c r="P78" s="32"/>
      <c r="Q78" s="32"/>
      <c r="R78" s="32"/>
      <c r="S78" s="32"/>
      <c r="T78" s="32"/>
      <c r="U78" s="32"/>
      <c r="V78" s="32"/>
      <c r="W78" s="32"/>
      <c r="X78" s="32"/>
      <c r="Y78" s="32"/>
      <c r="Z78" s="32"/>
    </row>
    <row r="79">
      <c r="A79" s="49" t="str">
        <f>IFERROR(__xludf.DUMMYFUNCTION("""COMPUTED_VALUE"""),"Unknown dried meat")</f>
        <v>Unknown dried meat</v>
      </c>
      <c r="B79" s="27" t="str">
        <f>IFERROR(__xludf.DUMMYFUNCTION("""COMPUTED_VALUE"""),"15 Hunger, 5% chance to lose 10 HP")</f>
        <v>15 Hunger, 5% chance to lose 10 HP</v>
      </c>
      <c r="C79" s="32" t="str">
        <f>IFERROR(__xludf.DUMMYFUNCTION("""COMPUTED_VALUE"""),"Crop")</f>
        <v>Crop</v>
      </c>
      <c r="D79" s="32" t="str">
        <f>IFERROR(__xludf.DUMMYFUNCTION("""COMPUTED_VALUE"""),"Land of Spira")</f>
        <v>Land of Spira</v>
      </c>
      <c r="E79" s="32" t="b">
        <f>IFERROR(__xludf.DUMMYFUNCTION("""COMPUTED_VALUE"""),FALSE)</f>
        <v>0</v>
      </c>
      <c r="F79" s="32"/>
      <c r="G79" s="32"/>
      <c r="H79" s="32"/>
      <c r="I79" s="32"/>
      <c r="J79" s="32"/>
      <c r="K79" s="32"/>
      <c r="L79" s="32"/>
      <c r="M79" s="32"/>
      <c r="N79" s="32"/>
      <c r="O79" s="32"/>
      <c r="P79" s="32"/>
      <c r="Q79" s="32"/>
      <c r="R79" s="32"/>
      <c r="S79" s="32"/>
      <c r="T79" s="32"/>
      <c r="U79" s="32"/>
      <c r="V79" s="32"/>
      <c r="W79" s="32"/>
      <c r="X79" s="32"/>
      <c r="Y79" s="32"/>
      <c r="Z79" s="32"/>
    </row>
    <row r="80">
      <c r="A80" s="49" t="str">
        <f>IFERROR(__xludf.DUMMYFUNCTION("""COMPUTED_VALUE"""),"Water")</f>
        <v>Water</v>
      </c>
      <c r="B80" s="27" t="str">
        <f>IFERROR(__xludf.DUMMYFUNCTION("""COMPUTED_VALUE"""),"10 Thirst")</f>
        <v>10 Thirst</v>
      </c>
      <c r="C80" s="32" t="str">
        <f>IFERROR(__xludf.DUMMYFUNCTION("""COMPUTED_VALUE"""),"Item")</f>
        <v>Item</v>
      </c>
      <c r="D80" s="32" t="str">
        <f>IFERROR(__xludf.DUMMYFUNCTION("""COMPUTED_VALUE"""),"Land of Spira")</f>
        <v>Land of Spira</v>
      </c>
      <c r="E80" s="32" t="b">
        <f>IFERROR(__xludf.DUMMYFUNCTION("""COMPUTED_VALUE"""),FALSE)</f>
        <v>0</v>
      </c>
      <c r="F80" s="32"/>
      <c r="G80" s="32"/>
      <c r="H80" s="32"/>
      <c r="I80" s="32"/>
      <c r="J80" s="32"/>
      <c r="K80" s="32"/>
      <c r="L80" s="32"/>
      <c r="M80" s="32"/>
      <c r="N80" s="32"/>
      <c r="O80" s="32"/>
      <c r="P80" s="32"/>
      <c r="Q80" s="32"/>
      <c r="R80" s="32"/>
      <c r="S80" s="32"/>
      <c r="T80" s="32"/>
      <c r="U80" s="32"/>
      <c r="V80" s="32"/>
      <c r="W80" s="32"/>
      <c r="X80" s="32"/>
      <c r="Y80" s="32"/>
      <c r="Z80" s="32"/>
    </row>
    <row r="81">
      <c r="A81" s="49" t="str">
        <f>IFERROR(__xludf.DUMMYFUNCTION("""COMPUTED_VALUE"""),"Rum")</f>
        <v>Rum</v>
      </c>
      <c r="B81" s="27" t="str">
        <f>IFERROR(__xludf.DUMMYFUNCTION("""COMPUTED_VALUE"""),"50 Thirst, -1 SP")</f>
        <v>50 Thirst, -1 SP</v>
      </c>
      <c r="C81" s="32" t="str">
        <f>IFERROR(__xludf.DUMMYFUNCTION("""COMPUTED_VALUE"""),"Item")</f>
        <v>Item</v>
      </c>
      <c r="D81" s="32" t="str">
        <f>IFERROR(__xludf.DUMMYFUNCTION("""COMPUTED_VALUE"""),"Land of Spira")</f>
        <v>Land of Spira</v>
      </c>
      <c r="E81" s="32" t="b">
        <f>IFERROR(__xludf.DUMMYFUNCTION("""COMPUTED_VALUE"""),FALSE)</f>
        <v>0</v>
      </c>
      <c r="F81" s="32"/>
      <c r="G81" s="32"/>
      <c r="H81" s="32"/>
      <c r="I81" s="32"/>
      <c r="J81" s="32"/>
      <c r="K81" s="32"/>
      <c r="L81" s="32"/>
      <c r="M81" s="32"/>
      <c r="N81" s="32"/>
      <c r="O81" s="32"/>
      <c r="P81" s="32"/>
      <c r="Q81" s="32"/>
      <c r="R81" s="32"/>
      <c r="S81" s="32"/>
      <c r="T81" s="32"/>
      <c r="U81" s="32"/>
      <c r="V81" s="32"/>
      <c r="W81" s="32"/>
      <c r="X81" s="32"/>
      <c r="Y81" s="32"/>
      <c r="Z81" s="32"/>
    </row>
    <row r="82">
      <c r="A82" s="49" t="str">
        <f>IFERROR(__xludf.DUMMYFUNCTION("""COMPUTED_VALUE"""),"Spirits")</f>
        <v>Spirits</v>
      </c>
      <c r="B82" s="27" t="str">
        <f>IFERROR(__xludf.DUMMYFUNCTION("""COMPUTED_VALUE"""),"20 Thirst, +2 SP")</f>
        <v>20 Thirst, +2 SP</v>
      </c>
      <c r="C82" s="32" t="str">
        <f>IFERROR(__xludf.DUMMYFUNCTION("""COMPUTED_VALUE"""),"Item")</f>
        <v>Item</v>
      </c>
      <c r="D82" s="32" t="str">
        <f>IFERROR(__xludf.DUMMYFUNCTION("""COMPUTED_VALUE"""),"Land of Spira")</f>
        <v>Land of Spira</v>
      </c>
      <c r="E82" s="32" t="b">
        <f>IFERROR(__xludf.DUMMYFUNCTION("""COMPUTED_VALUE"""),FALSE)</f>
        <v>0</v>
      </c>
      <c r="F82" s="32"/>
      <c r="G82" s="32"/>
      <c r="H82" s="32"/>
      <c r="I82" s="32"/>
      <c r="J82" s="32"/>
      <c r="K82" s="32"/>
      <c r="L82" s="32"/>
      <c r="M82" s="32"/>
      <c r="N82" s="32"/>
      <c r="O82" s="32"/>
      <c r="P82" s="32"/>
      <c r="Q82" s="32"/>
      <c r="R82" s="32"/>
      <c r="S82" s="32"/>
      <c r="T82" s="32"/>
      <c r="U82" s="32"/>
      <c r="V82" s="32"/>
      <c r="W82" s="32"/>
      <c r="X82" s="32"/>
      <c r="Y82" s="32"/>
      <c r="Z82" s="32"/>
    </row>
    <row r="83">
      <c r="A83" s="49" t="str">
        <f>IFERROR(__xludf.DUMMYFUNCTION("""COMPUTED_VALUE"""),"Yeast")</f>
        <v>Yeast</v>
      </c>
      <c r="B83" s="50" t="str">
        <f>IFERROR(__xludf.DUMMYFUNCTION("""COMPUTED_VALUE"""),"Crafting Material, roll a d20 to see how many you get if this is a loot drop.")</f>
        <v>Crafting Material, roll a d20 to see how many you get if this is a loot drop.</v>
      </c>
      <c r="C83" s="32" t="str">
        <f>IFERROR(__xludf.DUMMYFUNCTION("""COMPUTED_VALUE"""),"Item")</f>
        <v>Item</v>
      </c>
      <c r="D83" s="32" t="str">
        <f>IFERROR(__xludf.DUMMYFUNCTION("""COMPUTED_VALUE"""),"Land of Spira")</f>
        <v>Land of Spira</v>
      </c>
      <c r="E83" s="32" t="b">
        <f>IFERROR(__xludf.DUMMYFUNCTION("""COMPUTED_VALUE"""),FALSE)</f>
        <v>0</v>
      </c>
      <c r="F83" s="32"/>
      <c r="G83" s="32"/>
      <c r="H83" s="32"/>
      <c r="I83" s="32"/>
      <c r="J83" s="32"/>
      <c r="K83" s="32"/>
      <c r="L83" s="32"/>
      <c r="M83" s="32"/>
      <c r="N83" s="32"/>
      <c r="O83" s="32"/>
      <c r="P83" s="32"/>
      <c r="Q83" s="32"/>
      <c r="R83" s="32"/>
      <c r="S83" s="32"/>
      <c r="T83" s="32"/>
      <c r="U83" s="32"/>
      <c r="V83" s="32"/>
      <c r="W83" s="32"/>
      <c r="X83" s="32"/>
      <c r="Y83" s="32"/>
      <c r="Z83" s="32"/>
    </row>
    <row r="84">
      <c r="A84" s="27" t="str">
        <f>IFERROR(__xludf.DUMMYFUNCTION("""COMPUTED_VALUE"""),"Mead")</f>
        <v>Mead</v>
      </c>
      <c r="B84" s="49" t="str">
        <f>IFERROR(__xludf.DUMMYFUNCTION("""COMPUTED_VALUE"""),"25 Thirst")</f>
        <v>25 Thirst</v>
      </c>
      <c r="C84" s="32" t="str">
        <f>IFERROR(__xludf.DUMMYFUNCTION("""COMPUTED_VALUE"""),"Item")</f>
        <v>Item</v>
      </c>
      <c r="D84" s="32" t="str">
        <f>IFERROR(__xludf.DUMMYFUNCTION("""COMPUTED_VALUE"""),"Land of Spira")</f>
        <v>Land of Spira</v>
      </c>
      <c r="E84" s="32" t="b">
        <f>IFERROR(__xludf.DUMMYFUNCTION("""COMPUTED_VALUE"""),FALSE)</f>
        <v>0</v>
      </c>
      <c r="F84" s="32"/>
      <c r="G84" s="32"/>
      <c r="H84" s="32"/>
      <c r="I84" s="32"/>
      <c r="J84" s="32"/>
      <c r="K84" s="32"/>
      <c r="L84" s="32"/>
      <c r="M84" s="32"/>
      <c r="N84" s="32"/>
      <c r="O84" s="32"/>
      <c r="P84" s="32"/>
      <c r="Q84" s="32"/>
      <c r="R84" s="32"/>
      <c r="S84" s="32"/>
      <c r="T84" s="32"/>
      <c r="U84" s="32"/>
      <c r="V84" s="32"/>
      <c r="W84" s="32"/>
      <c r="X84" s="32"/>
      <c r="Y84" s="32"/>
      <c r="Z84" s="32"/>
    </row>
    <row r="85">
      <c r="A85" s="50" t="str">
        <f>IFERROR(__xludf.DUMMYFUNCTION("""COMPUTED_VALUE"""),"Water Tome Rank 9")</f>
        <v>Water Tome Rank 9</v>
      </c>
      <c r="B85" s="42" t="str">
        <f>IFERROR(__xludf.DUMMYFUNCTION("""COMPUTED_VALUE"""),"Can use up to Rank 9 Water Spells")</f>
        <v>Can use up to Rank 9 Water Spells</v>
      </c>
      <c r="C85" s="32" t="str">
        <f>IFERROR(__xludf.DUMMYFUNCTION("""COMPUTED_VALUE"""),"Item")</f>
        <v>Item</v>
      </c>
      <c r="D85" s="32" t="str">
        <f>IFERROR(__xludf.DUMMYFUNCTION("""COMPUTED_VALUE"""),"Land of Spira")</f>
        <v>Land of Spira</v>
      </c>
      <c r="E85" s="32" t="b">
        <f>IFERROR(__xludf.DUMMYFUNCTION("""COMPUTED_VALUE"""),FALSE)</f>
        <v>0</v>
      </c>
      <c r="F85" s="32"/>
      <c r="G85" s="32"/>
      <c r="H85" s="32"/>
      <c r="I85" s="32"/>
      <c r="J85" s="32"/>
      <c r="K85" s="32"/>
      <c r="L85" s="32"/>
      <c r="M85" s="32"/>
      <c r="N85" s="32"/>
      <c r="O85" s="32"/>
      <c r="P85" s="32"/>
      <c r="Q85" s="32"/>
      <c r="R85" s="32"/>
      <c r="S85" s="32"/>
      <c r="T85" s="32"/>
      <c r="U85" s="32"/>
      <c r="V85" s="32"/>
      <c r="W85" s="32"/>
      <c r="X85" s="32"/>
      <c r="Y85" s="32"/>
      <c r="Z85" s="32"/>
    </row>
    <row r="86">
      <c r="A86" s="42" t="str">
        <f>IFERROR(__xludf.DUMMYFUNCTION("""COMPUTED_VALUE"""),"Dragon Flute")</f>
        <v>Dragon Flute</v>
      </c>
      <c r="B86" s="27"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32" t="str">
        <f>IFERROR(__xludf.DUMMYFUNCTION("""COMPUTED_VALUE"""),"Item")</f>
        <v>Item</v>
      </c>
      <c r="D86" s="32" t="str">
        <f>IFERROR(__xludf.DUMMYFUNCTION("""COMPUTED_VALUE"""),"Land of Spira")</f>
        <v>Land of Spira</v>
      </c>
      <c r="E86" s="32" t="b">
        <f>IFERROR(__xludf.DUMMYFUNCTION("""COMPUTED_VALUE"""),FALSE)</f>
        <v>0</v>
      </c>
      <c r="F86" s="32"/>
      <c r="G86" s="32"/>
      <c r="H86" s="32"/>
      <c r="I86" s="32"/>
      <c r="J86" s="32"/>
      <c r="K86" s="32"/>
      <c r="L86" s="32"/>
      <c r="M86" s="32"/>
      <c r="N86" s="32"/>
      <c r="O86" s="32"/>
      <c r="P86" s="32"/>
      <c r="Q86" s="32"/>
      <c r="R86" s="32"/>
      <c r="S86" s="32"/>
      <c r="T86" s="32"/>
      <c r="U86" s="32"/>
      <c r="V86" s="32"/>
      <c r="W86" s="32"/>
      <c r="X86" s="32"/>
      <c r="Y86" s="32"/>
      <c r="Z86" s="32"/>
    </row>
    <row r="87">
      <c r="A87" s="50" t="str">
        <f>IFERROR(__xludf.DUMMYFUNCTION("""COMPUTED_VALUE"""),"Last Resort Potion")</f>
        <v>Last Resort Potion</v>
      </c>
      <c r="B87" s="50"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32" t="str">
        <f>IFERROR(__xludf.DUMMYFUNCTION("""COMPUTED_VALUE"""),"Item")</f>
        <v>Item</v>
      </c>
      <c r="D87" s="32" t="str">
        <f>IFERROR(__xludf.DUMMYFUNCTION("""COMPUTED_VALUE"""),"Land of Spira")</f>
        <v>Land of Spira</v>
      </c>
      <c r="E87" s="32" t="b">
        <f>IFERROR(__xludf.DUMMYFUNCTION("""COMPUTED_VALUE"""),FALSE)</f>
        <v>0</v>
      </c>
      <c r="F87" s="32"/>
      <c r="G87" s="32"/>
      <c r="H87" s="32"/>
      <c r="I87" s="32"/>
      <c r="J87" s="32"/>
      <c r="K87" s="32"/>
      <c r="L87" s="32"/>
      <c r="M87" s="32"/>
      <c r="N87" s="32"/>
      <c r="O87" s="32"/>
      <c r="P87" s="32"/>
      <c r="Q87" s="32"/>
      <c r="R87" s="32"/>
      <c r="S87" s="32"/>
      <c r="T87" s="32"/>
      <c r="U87" s="32"/>
      <c r="V87" s="32"/>
      <c r="W87" s="32"/>
      <c r="X87" s="32"/>
      <c r="Y87" s="32"/>
      <c r="Z87" s="32"/>
    </row>
    <row r="88">
      <c r="A88" s="42" t="str">
        <f>IFERROR(__xludf.DUMMYFUNCTION("""COMPUTED_VALUE"""),"Fish in a Bottle")</f>
        <v>Fish in a Bottle</v>
      </c>
      <c r="B88" s="50" t="str">
        <f>IFERROR(__xludf.DUMMYFUNCTION("""COMPUTED_VALUE"""),"Consume to regain 50HP and 50SP")</f>
        <v>Consume to regain 50HP and 50SP</v>
      </c>
      <c r="C88" s="32" t="str">
        <f>IFERROR(__xludf.DUMMYFUNCTION("""COMPUTED_VALUE"""),"Item")</f>
        <v>Item</v>
      </c>
      <c r="D88" s="32" t="str">
        <f>IFERROR(__xludf.DUMMYFUNCTION("""COMPUTED_VALUE"""),"Land of Spira")</f>
        <v>Land of Spira</v>
      </c>
      <c r="E88" s="32" t="b">
        <f>IFERROR(__xludf.DUMMYFUNCTION("""COMPUTED_VALUE"""),FALSE)</f>
        <v>0</v>
      </c>
      <c r="F88" s="32"/>
      <c r="G88" s="32"/>
      <c r="H88" s="32"/>
      <c r="I88" s="32"/>
      <c r="J88" s="32"/>
      <c r="K88" s="32"/>
      <c r="L88" s="32"/>
      <c r="M88" s="32"/>
      <c r="N88" s="32"/>
      <c r="O88" s="32"/>
      <c r="P88" s="32"/>
      <c r="Q88" s="32"/>
      <c r="R88" s="32"/>
      <c r="S88" s="32"/>
      <c r="T88" s="32"/>
      <c r="U88" s="32"/>
      <c r="V88" s="32"/>
      <c r="W88" s="32"/>
      <c r="X88" s="32"/>
      <c r="Y88" s="32"/>
      <c r="Z88" s="32"/>
    </row>
    <row r="89">
      <c r="A89" s="46"/>
      <c r="B89" s="27"/>
      <c r="C89" s="32"/>
      <c r="D89" s="32"/>
      <c r="E89" s="32" t="b">
        <f>IFERROR(__xludf.DUMMYFUNCTION("""COMPUTED_VALUE"""),FALSE)</f>
        <v>0</v>
      </c>
      <c r="F89" s="32"/>
      <c r="G89" s="32"/>
      <c r="H89" s="32"/>
      <c r="I89" s="32"/>
      <c r="J89" s="32"/>
      <c r="K89" s="32"/>
      <c r="L89" s="32"/>
      <c r="M89" s="32"/>
      <c r="N89" s="32"/>
      <c r="O89" s="32"/>
      <c r="P89" s="32"/>
      <c r="Q89" s="32"/>
      <c r="R89" s="32"/>
      <c r="S89" s="32"/>
      <c r="T89" s="32"/>
      <c r="U89" s="32"/>
      <c r="V89" s="32"/>
      <c r="W89" s="32"/>
      <c r="X89" s="32"/>
      <c r="Y89" s="32"/>
      <c r="Z89" s="32"/>
    </row>
    <row r="90">
      <c r="A90" s="27" t="str">
        <f>IFERROR(__xludf.DUMMYFUNCTION("""COMPUTED_VALUE"""),"Barrel of Poisonous Water")</f>
        <v>Barrel of Poisonous Water</v>
      </c>
      <c r="B90" s="50" t="str">
        <f>IFERROR(__xludf.DUMMYFUNCTION("""COMPUTED_VALUE"""),"POISON THE QUEEN!")</f>
        <v>POISON THE QUEEN!</v>
      </c>
      <c r="C90" s="32" t="str">
        <f>IFERROR(__xludf.DUMMYFUNCTION("""COMPUTED_VALUE"""),"Item")</f>
        <v>Item</v>
      </c>
      <c r="D90" s="32" t="str">
        <f>IFERROR(__xludf.DUMMYFUNCTION("""COMPUTED_VALUE"""),"Land of Spira")</f>
        <v>Land of Spira</v>
      </c>
      <c r="E90" s="32" t="b">
        <f>IFERROR(__xludf.DUMMYFUNCTION("""COMPUTED_VALUE"""),FALSE)</f>
        <v>0</v>
      </c>
      <c r="F90" s="32"/>
      <c r="G90" s="32"/>
      <c r="H90" s="32"/>
      <c r="I90" s="32"/>
      <c r="J90" s="32"/>
      <c r="K90" s="32"/>
      <c r="L90" s="32"/>
      <c r="M90" s="32"/>
      <c r="N90" s="32"/>
      <c r="O90" s="32"/>
      <c r="P90" s="32"/>
      <c r="Q90" s="32"/>
      <c r="R90" s="32"/>
      <c r="S90" s="32"/>
      <c r="T90" s="32"/>
      <c r="U90" s="32"/>
      <c r="V90" s="32"/>
      <c r="W90" s="32"/>
      <c r="X90" s="32"/>
      <c r="Y90" s="32"/>
      <c r="Z90" s="32"/>
    </row>
    <row r="91">
      <c r="A91" s="27" t="str">
        <f>IFERROR(__xludf.DUMMYFUNCTION("""COMPUTED_VALUE"""),"Live Worm")</f>
        <v>Live Worm</v>
      </c>
      <c r="B91" s="27" t="str">
        <f>IFERROR(__xludf.DUMMYFUNCTION("""COMPUTED_VALUE"""),"Can be used as bait. 1 use per worm")</f>
        <v>Can be used as bait. 1 use per worm</v>
      </c>
      <c r="C91" s="32" t="str">
        <f>IFERROR(__xludf.DUMMYFUNCTION("""COMPUTED_VALUE"""),"Item")</f>
        <v>Item</v>
      </c>
      <c r="D91" s="32" t="str">
        <f>IFERROR(__xludf.DUMMYFUNCTION("""COMPUTED_VALUE"""),"Land of Spira")</f>
        <v>Land of Spira</v>
      </c>
      <c r="E91" s="32" t="b">
        <f>IFERROR(__xludf.DUMMYFUNCTION("""COMPUTED_VALUE"""),FALSE)</f>
        <v>0</v>
      </c>
      <c r="F91" s="32"/>
      <c r="G91" s="32"/>
      <c r="H91" s="32"/>
      <c r="I91" s="32"/>
      <c r="J91" s="32"/>
      <c r="K91" s="32"/>
      <c r="L91" s="32"/>
      <c r="M91" s="32"/>
      <c r="N91" s="32"/>
      <c r="O91" s="32"/>
      <c r="P91" s="32"/>
      <c r="Q91" s="32"/>
      <c r="R91" s="32"/>
      <c r="S91" s="32"/>
      <c r="T91" s="32"/>
      <c r="U91" s="32"/>
      <c r="V91" s="32"/>
      <c r="W91" s="32"/>
      <c r="X91" s="32"/>
      <c r="Y91" s="32"/>
      <c r="Z91" s="32"/>
    </row>
    <row r="92">
      <c r="A92" s="50" t="str">
        <f>IFERROR(__xludf.DUMMYFUNCTION("""COMPUTED_VALUE"""),"Iron Fishing Pole")</f>
        <v>Iron Fishing Pole</v>
      </c>
      <c r="B92" s="50" t="str">
        <f>IFERROR(__xludf.DUMMYFUNCTION("""COMPUTED_VALUE"""),"20/20 Uses. Used for fishing.")</f>
        <v>20/20 Uses. Used for fishing.</v>
      </c>
      <c r="C92" s="32" t="str">
        <f>IFERROR(__xludf.DUMMYFUNCTION("""COMPUTED_VALUE"""),"Item")</f>
        <v>Item</v>
      </c>
      <c r="D92" s="32" t="str">
        <f>IFERROR(__xludf.DUMMYFUNCTION("""COMPUTED_VALUE"""),"Land of Spira")</f>
        <v>Land of Spira</v>
      </c>
      <c r="E92" s="32" t="b">
        <f>IFERROR(__xludf.DUMMYFUNCTION("""COMPUTED_VALUE"""),FALSE)</f>
        <v>0</v>
      </c>
      <c r="F92" s="32"/>
      <c r="G92" s="32"/>
      <c r="H92" s="32"/>
      <c r="I92" s="32"/>
      <c r="J92" s="32"/>
      <c r="K92" s="32"/>
      <c r="L92" s="32"/>
      <c r="M92" s="32"/>
      <c r="N92" s="32"/>
      <c r="O92" s="32"/>
      <c r="P92" s="32"/>
      <c r="Q92" s="32"/>
      <c r="R92" s="32"/>
      <c r="S92" s="32"/>
      <c r="T92" s="32"/>
      <c r="U92" s="32"/>
      <c r="V92" s="32"/>
      <c r="W92" s="32"/>
      <c r="X92" s="32"/>
      <c r="Y92" s="32"/>
      <c r="Z92" s="32"/>
    </row>
    <row r="93">
      <c r="A93" s="27" t="str">
        <f>IFERROR(__xludf.DUMMYFUNCTION("""COMPUTED_VALUE"""),"Fishing Lure Beginner")</f>
        <v>Fishing Lure Beginner</v>
      </c>
      <c r="B93" s="27" t="str">
        <f>IFERROR(__xludf.DUMMYFUNCTION("""COMPUTED_VALUE"""),"Used for fishing competition, add a +1 or -1 to your fishing rolls")</f>
        <v>Used for fishing competition, add a +1 or -1 to your fishing rolls</v>
      </c>
      <c r="C93" s="32" t="str">
        <f>IFERROR(__xludf.DUMMYFUNCTION("""COMPUTED_VALUE"""),"Item")</f>
        <v>Item</v>
      </c>
      <c r="D93" s="32" t="str">
        <f>IFERROR(__xludf.DUMMYFUNCTION("""COMPUTED_VALUE"""),"Land of Spira")</f>
        <v>Land of Spira</v>
      </c>
      <c r="E93" s="32" t="b">
        <f>IFERROR(__xludf.DUMMYFUNCTION("""COMPUTED_VALUE"""),FALSE)</f>
        <v>0</v>
      </c>
      <c r="F93" s="32"/>
      <c r="G93" s="32"/>
      <c r="H93" s="32"/>
      <c r="I93" s="32"/>
      <c r="J93" s="32"/>
      <c r="K93" s="32"/>
      <c r="L93" s="32"/>
      <c r="M93" s="32"/>
      <c r="N93" s="32"/>
      <c r="O93" s="32"/>
      <c r="P93" s="32"/>
      <c r="Q93" s="32"/>
      <c r="R93" s="32"/>
      <c r="S93" s="32"/>
      <c r="T93" s="32"/>
      <c r="U93" s="32"/>
      <c r="V93" s="32"/>
      <c r="W93" s="32"/>
      <c r="X93" s="32"/>
      <c r="Y93" s="32"/>
      <c r="Z93" s="32"/>
    </row>
    <row r="94">
      <c r="A94" s="50" t="str">
        <f>IFERROR(__xludf.DUMMYFUNCTION("""COMPUTED_VALUE"""),"Fishing Lure Moderate")</f>
        <v>Fishing Lure Moderate</v>
      </c>
      <c r="B94" s="50" t="str">
        <f>IFERROR(__xludf.DUMMYFUNCTION("""COMPUTED_VALUE"""),"Used for fishing competition, add a +3 or -3 to your fishing rolls")</f>
        <v>Used for fishing competition, add a +3 or -3 to your fishing rolls</v>
      </c>
      <c r="C94" s="32" t="str">
        <f>IFERROR(__xludf.DUMMYFUNCTION("""COMPUTED_VALUE"""),"Item")</f>
        <v>Item</v>
      </c>
      <c r="D94" s="32" t="str">
        <f>IFERROR(__xludf.DUMMYFUNCTION("""COMPUTED_VALUE"""),"Land of Spira")</f>
        <v>Land of Spira</v>
      </c>
      <c r="E94" s="32" t="b">
        <f>IFERROR(__xludf.DUMMYFUNCTION("""COMPUTED_VALUE"""),FALSE)</f>
        <v>0</v>
      </c>
      <c r="F94" s="32"/>
      <c r="G94" s="32"/>
      <c r="H94" s="32"/>
      <c r="I94" s="32"/>
      <c r="J94" s="32"/>
      <c r="K94" s="32"/>
      <c r="L94" s="32"/>
      <c r="M94" s="32"/>
      <c r="N94" s="32"/>
      <c r="O94" s="32"/>
      <c r="P94" s="32"/>
      <c r="Q94" s="32"/>
      <c r="R94" s="32"/>
      <c r="S94" s="32"/>
      <c r="T94" s="32"/>
      <c r="U94" s="32"/>
      <c r="V94" s="32"/>
      <c r="W94" s="32"/>
      <c r="X94" s="32"/>
      <c r="Y94" s="32"/>
      <c r="Z94" s="32"/>
    </row>
    <row r="95">
      <c r="A95" s="50" t="str">
        <f>IFERROR(__xludf.DUMMYFUNCTION("""COMPUTED_VALUE"""),"Fishing Lure Expert")</f>
        <v>Fishing Lure Expert</v>
      </c>
      <c r="B95" s="50" t="str">
        <f>IFERROR(__xludf.DUMMYFUNCTION("""COMPUTED_VALUE"""),"Used for fishing competition, add a +5 or -5 to your fishing rolls")</f>
        <v>Used for fishing competition, add a +5 or -5 to your fishing rolls</v>
      </c>
      <c r="C95" s="32" t="str">
        <f>IFERROR(__xludf.DUMMYFUNCTION("""COMPUTED_VALUE"""),"Item")</f>
        <v>Item</v>
      </c>
      <c r="D95" s="32" t="str">
        <f>IFERROR(__xludf.DUMMYFUNCTION("""COMPUTED_VALUE"""),"Land of Spira")</f>
        <v>Land of Spira</v>
      </c>
      <c r="E95" s="32" t="b">
        <f>IFERROR(__xludf.DUMMYFUNCTION("""COMPUTED_VALUE"""),FALSE)</f>
        <v>0</v>
      </c>
      <c r="F95" s="32"/>
      <c r="G95" s="32"/>
      <c r="H95" s="32"/>
      <c r="I95" s="32"/>
      <c r="J95" s="32"/>
      <c r="K95" s="32"/>
      <c r="L95" s="32"/>
      <c r="M95" s="32"/>
      <c r="N95" s="32"/>
      <c r="O95" s="32"/>
      <c r="P95" s="32"/>
      <c r="Q95" s="32"/>
      <c r="R95" s="32"/>
      <c r="S95" s="32"/>
      <c r="T95" s="32"/>
      <c r="U95" s="32"/>
      <c r="V95" s="32"/>
      <c r="W95" s="32"/>
      <c r="X95" s="32"/>
      <c r="Y95" s="32"/>
      <c r="Z95" s="32"/>
    </row>
    <row r="96">
      <c r="A96" s="50" t="str">
        <f>IFERROR(__xludf.DUMMYFUNCTION("""COMPUTED_VALUE"""),"Fossilized Water Dragon Bones")</f>
        <v>Fossilized Water Dragon Bones</v>
      </c>
      <c r="B96" s="27" t="str">
        <f>IFERROR(__xludf.DUMMYFUNCTION("""COMPUTED_VALUE"""),"Crafting Material, roll a d20 to see how many you get if this is a loot drop.")</f>
        <v>Crafting Material, roll a d20 to see how many you get if this is a loot drop.</v>
      </c>
      <c r="C96" s="32" t="str">
        <f>IFERROR(__xludf.DUMMYFUNCTION("""COMPUTED_VALUE"""),"Item")</f>
        <v>Item</v>
      </c>
      <c r="D96" s="32" t="str">
        <f>IFERROR(__xludf.DUMMYFUNCTION("""COMPUTED_VALUE"""),"Land of Spira")</f>
        <v>Land of Spira</v>
      </c>
      <c r="E96" s="32" t="b">
        <f>IFERROR(__xludf.DUMMYFUNCTION("""COMPUTED_VALUE"""),FALSE)</f>
        <v>0</v>
      </c>
      <c r="F96" s="32"/>
      <c r="G96" s="32"/>
      <c r="H96" s="32"/>
      <c r="I96" s="32"/>
      <c r="J96" s="32"/>
      <c r="K96" s="32"/>
      <c r="L96" s="32"/>
      <c r="M96" s="32"/>
      <c r="N96" s="32"/>
      <c r="O96" s="32"/>
      <c r="P96" s="32"/>
      <c r="Q96" s="32"/>
      <c r="R96" s="32"/>
      <c r="S96" s="32"/>
      <c r="T96" s="32"/>
      <c r="U96" s="32"/>
      <c r="V96" s="32"/>
      <c r="W96" s="32"/>
      <c r="X96" s="32"/>
      <c r="Y96" s="32"/>
      <c r="Z96" s="32"/>
    </row>
    <row r="97">
      <c r="A97" s="50" t="str">
        <f>IFERROR(__xludf.DUMMYFUNCTION("""COMPUTED_VALUE"""),"Return Home Gem")</f>
        <v>Return Home Gem</v>
      </c>
      <c r="B97" s="50" t="str">
        <f>IFERROR(__xludf.DUMMYFUNCTION("""COMPUTED_VALUE"""),"Only one per player in backpack. Instantly teleports you to the last town you were at without fail.")</f>
        <v>Only one per player in backpack. Instantly teleports you to the last town you were at without fail.</v>
      </c>
      <c r="C97" s="32" t="str">
        <f>IFERROR(__xludf.DUMMYFUNCTION("""COMPUTED_VALUE"""),"Item")</f>
        <v>Item</v>
      </c>
      <c r="D97" s="32" t="str">
        <f>IFERROR(__xludf.DUMMYFUNCTION("""COMPUTED_VALUE"""),"Land of Spira")</f>
        <v>Land of Spira</v>
      </c>
      <c r="E97" s="32" t="b">
        <f>IFERROR(__xludf.DUMMYFUNCTION("""COMPUTED_VALUE"""),FALSE)</f>
        <v>0</v>
      </c>
      <c r="F97" s="32"/>
      <c r="G97" s="32"/>
      <c r="H97" s="32"/>
      <c r="I97" s="32"/>
      <c r="J97" s="32"/>
      <c r="K97" s="32"/>
      <c r="L97" s="32"/>
      <c r="M97" s="32"/>
      <c r="N97" s="32"/>
      <c r="O97" s="32"/>
      <c r="P97" s="32"/>
      <c r="Q97" s="32"/>
      <c r="R97" s="32"/>
      <c r="S97" s="32"/>
      <c r="T97" s="32"/>
      <c r="U97" s="32"/>
      <c r="V97" s="32"/>
      <c r="W97" s="32"/>
      <c r="X97" s="32"/>
      <c r="Y97" s="32"/>
      <c r="Z97" s="32"/>
    </row>
    <row r="98">
      <c r="A98" s="50" t="str">
        <f>IFERROR(__xludf.DUMMYFUNCTION("""COMPUTED_VALUE"""),"Immunity to water potion temp")</f>
        <v>Immunity to water potion temp</v>
      </c>
      <c r="B98" s="50" t="str">
        <f>IFERROR(__xludf.DUMMYFUNCTION("""COMPUTED_VALUE"""),"Immune to water based attacks for one battle (does not count as a turn)")</f>
        <v>Immune to water based attacks for one battle (does not count as a turn)</v>
      </c>
      <c r="C98" s="32" t="str">
        <f>IFERROR(__xludf.DUMMYFUNCTION("""COMPUTED_VALUE"""),"Item")</f>
        <v>Item</v>
      </c>
      <c r="D98" s="32" t="str">
        <f>IFERROR(__xludf.DUMMYFUNCTION("""COMPUTED_VALUE"""),"Land of Spira")</f>
        <v>Land of Spira</v>
      </c>
      <c r="E98" s="32" t="b">
        <f>IFERROR(__xludf.DUMMYFUNCTION("""COMPUTED_VALUE"""),FALSE)</f>
        <v>0</v>
      </c>
      <c r="F98" s="32"/>
      <c r="G98" s="32"/>
      <c r="H98" s="32"/>
      <c r="I98" s="32"/>
      <c r="J98" s="32"/>
      <c r="K98" s="32"/>
      <c r="L98" s="32"/>
      <c r="M98" s="32"/>
      <c r="N98" s="32"/>
      <c r="O98" s="32"/>
      <c r="P98" s="32"/>
      <c r="Q98" s="32"/>
      <c r="R98" s="32"/>
      <c r="S98" s="32"/>
      <c r="T98" s="32"/>
      <c r="U98" s="32"/>
      <c r="V98" s="32"/>
      <c r="W98" s="32"/>
      <c r="X98" s="32"/>
      <c r="Y98" s="32"/>
      <c r="Z98" s="32"/>
    </row>
    <row r="99">
      <c r="A99" s="50" t="str">
        <f>IFERROR(__xludf.DUMMYFUNCTION("""COMPUTED_VALUE"""),"Legendary Sea Monster Meat")</f>
        <v>Legendary Sea Monster Meat</v>
      </c>
      <c r="B99" s="50"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32" t="str">
        <f>IFERROR(__xludf.DUMMYFUNCTION("""COMPUTED_VALUE"""),"Item")</f>
        <v>Item</v>
      </c>
      <c r="D99" s="32" t="str">
        <f>IFERROR(__xludf.DUMMYFUNCTION("""COMPUTED_VALUE"""),"Land of Spira")</f>
        <v>Land of Spira</v>
      </c>
      <c r="E99" s="32" t="b">
        <f>IFERROR(__xludf.DUMMYFUNCTION("""COMPUTED_VALUE"""),FALSE)</f>
        <v>0</v>
      </c>
      <c r="F99" s="32"/>
      <c r="G99" s="32"/>
      <c r="H99" s="32"/>
      <c r="I99" s="32"/>
      <c r="J99" s="32"/>
      <c r="K99" s="32"/>
      <c r="L99" s="32"/>
      <c r="M99" s="32"/>
      <c r="N99" s="32"/>
      <c r="O99" s="32"/>
      <c r="P99" s="32"/>
      <c r="Q99" s="32"/>
      <c r="R99" s="32"/>
      <c r="S99" s="32"/>
      <c r="T99" s="32"/>
      <c r="U99" s="32"/>
      <c r="V99" s="32"/>
      <c r="W99" s="32"/>
      <c r="X99" s="32"/>
      <c r="Y99" s="32"/>
      <c r="Z99" s="32"/>
    </row>
    <row r="100">
      <c r="A100" s="50" t="str">
        <f>IFERROR(__xludf.DUMMYFUNCTION("""COMPUTED_VALUE"""),"Scroll of The Sea Monster")</f>
        <v>Scroll of The Sea Monster</v>
      </c>
      <c r="B100" s="50" t="str">
        <f>IFERROR(__xludf.DUMMYFUNCTION("""COMPUTED_VALUE"""),"X2 to water damage for the caster until end of battle, water spells also become unblockable for 3 rounds.")</f>
        <v>X2 to water damage for the caster until end of battle, water spells also become unblockable for 3 rounds.</v>
      </c>
      <c r="C100" s="32" t="str">
        <f>IFERROR(__xludf.DUMMYFUNCTION("""COMPUTED_VALUE"""),"Item")</f>
        <v>Item</v>
      </c>
      <c r="D100" s="32" t="str">
        <f>IFERROR(__xludf.DUMMYFUNCTION("""COMPUTED_VALUE"""),"Land of Spira")</f>
        <v>Land of Spira</v>
      </c>
      <c r="E100" s="32" t="b">
        <f>IFERROR(__xludf.DUMMYFUNCTION("""COMPUTED_VALUE"""),FALSE)</f>
        <v>0</v>
      </c>
      <c r="F100" s="32"/>
      <c r="G100" s="32"/>
      <c r="H100" s="32"/>
      <c r="I100" s="32"/>
      <c r="J100" s="32"/>
      <c r="K100" s="32"/>
      <c r="L100" s="32"/>
      <c r="M100" s="32"/>
      <c r="N100" s="32"/>
      <c r="O100" s="32"/>
      <c r="P100" s="32"/>
      <c r="Q100" s="32"/>
      <c r="R100" s="32"/>
      <c r="S100" s="32"/>
      <c r="T100" s="32"/>
      <c r="U100" s="32"/>
      <c r="V100" s="32"/>
      <c r="W100" s="32"/>
      <c r="X100" s="32"/>
      <c r="Y100" s="32"/>
      <c r="Z100" s="32"/>
    </row>
    <row r="101">
      <c r="A101" s="50" t="str">
        <f>IFERROR(__xludf.DUMMYFUNCTION("""COMPUTED_VALUE"""),"Paper scraps")</f>
        <v>Paper scraps</v>
      </c>
      <c r="B101" s="50" t="str">
        <f>IFERROR(__xludf.DUMMYFUNCTION("""COMPUTED_VALUE"""),"Crafting Material, roll a d20 to see how many you get if this is a loot drop.")</f>
        <v>Crafting Material, roll a d20 to see how many you get if this is a loot drop.</v>
      </c>
      <c r="C101" s="32" t="str">
        <f>IFERROR(__xludf.DUMMYFUNCTION("""COMPUTED_VALUE"""),"Item")</f>
        <v>Item</v>
      </c>
      <c r="D101" s="32" t="str">
        <f>IFERROR(__xludf.DUMMYFUNCTION("""COMPUTED_VALUE"""),"Land of Spira")</f>
        <v>Land of Spira</v>
      </c>
      <c r="E101" s="32" t="b">
        <f>IFERROR(__xludf.DUMMYFUNCTION("""COMPUTED_VALUE"""),FALSE)</f>
        <v>0</v>
      </c>
      <c r="F101" s="32"/>
      <c r="G101" s="32"/>
      <c r="H101" s="32"/>
      <c r="I101" s="32"/>
      <c r="J101" s="32"/>
      <c r="K101" s="32"/>
      <c r="L101" s="32"/>
      <c r="M101" s="32"/>
      <c r="N101" s="32"/>
      <c r="O101" s="32"/>
      <c r="P101" s="32"/>
      <c r="Q101" s="32"/>
      <c r="R101" s="32"/>
      <c r="S101" s="32"/>
      <c r="T101" s="32"/>
      <c r="U101" s="32"/>
      <c r="V101" s="32"/>
      <c r="W101" s="32"/>
      <c r="X101" s="32"/>
      <c r="Y101" s="32"/>
      <c r="Z101" s="32"/>
    </row>
    <row r="102">
      <c r="A102" s="42" t="str">
        <f>IFERROR(__xludf.DUMMYFUNCTION("""COMPUTED_VALUE"""),"Blank piece of paper")</f>
        <v>Blank piece of paper</v>
      </c>
      <c r="B102" s="27" t="str">
        <f>IFERROR(__xludf.DUMMYFUNCTION("""COMPUTED_VALUE"""),"Crafting Material, roll a d20 to see how many you get if this is a loot drop.")</f>
        <v>Crafting Material, roll a d20 to see how many you get if this is a loot drop.</v>
      </c>
      <c r="C102" s="32" t="str">
        <f>IFERROR(__xludf.DUMMYFUNCTION("""COMPUTED_VALUE"""),"Item")</f>
        <v>Item</v>
      </c>
      <c r="D102" s="32" t="str">
        <f>IFERROR(__xludf.DUMMYFUNCTION("""COMPUTED_VALUE"""),"Land of Spira")</f>
        <v>Land of Spira</v>
      </c>
      <c r="E102" s="32" t="b">
        <f>IFERROR(__xludf.DUMMYFUNCTION("""COMPUTED_VALUE"""),FALSE)</f>
        <v>0</v>
      </c>
      <c r="F102" s="32"/>
      <c r="G102" s="32"/>
      <c r="H102" s="32"/>
      <c r="I102" s="32"/>
      <c r="J102" s="32"/>
      <c r="K102" s="32"/>
      <c r="L102" s="32"/>
      <c r="M102" s="32"/>
      <c r="N102" s="32"/>
      <c r="O102" s="32"/>
      <c r="P102" s="32"/>
      <c r="Q102" s="32"/>
      <c r="R102" s="32"/>
      <c r="S102" s="32"/>
      <c r="T102" s="32"/>
      <c r="U102" s="32"/>
      <c r="V102" s="32"/>
      <c r="W102" s="32"/>
      <c r="X102" s="32"/>
      <c r="Y102" s="32"/>
      <c r="Z102" s="32"/>
    </row>
    <row r="103">
      <c r="A103" s="42" t="str">
        <f>IFERROR(__xludf.DUMMYFUNCTION("""COMPUTED_VALUE"""),"Broken pistol")</f>
        <v>Broken pistol</v>
      </c>
      <c r="B103" s="42" t="str">
        <f>IFERROR(__xludf.DUMMYFUNCTION("""COMPUTED_VALUE"""),"Crafting Material, roll a d20 to see how many you get if this is a loot drop.")</f>
        <v>Crafting Material, roll a d20 to see how many you get if this is a loot drop.</v>
      </c>
      <c r="C103" s="32" t="str">
        <f>IFERROR(__xludf.DUMMYFUNCTION("""COMPUTED_VALUE"""),"Item")</f>
        <v>Item</v>
      </c>
      <c r="D103" s="32" t="str">
        <f>IFERROR(__xludf.DUMMYFUNCTION("""COMPUTED_VALUE"""),"Land of Spira")</f>
        <v>Land of Spira</v>
      </c>
      <c r="E103" s="32" t="b">
        <f>IFERROR(__xludf.DUMMYFUNCTION("""COMPUTED_VALUE"""),FALSE)</f>
        <v>0</v>
      </c>
      <c r="F103" s="32"/>
      <c r="G103" s="32"/>
      <c r="H103" s="32"/>
      <c r="I103" s="32"/>
      <c r="J103" s="32"/>
      <c r="K103" s="32"/>
      <c r="L103" s="32"/>
      <c r="M103" s="32"/>
      <c r="N103" s="32"/>
      <c r="O103" s="32"/>
      <c r="P103" s="32"/>
      <c r="Q103" s="32"/>
      <c r="R103" s="32"/>
      <c r="S103" s="32"/>
      <c r="T103" s="32"/>
      <c r="U103" s="32"/>
      <c r="V103" s="32"/>
      <c r="W103" s="32"/>
      <c r="X103" s="32"/>
      <c r="Y103" s="32"/>
      <c r="Z103" s="32"/>
    </row>
    <row r="104">
      <c r="A104" s="50" t="str">
        <f>IFERROR(__xludf.DUMMYFUNCTION("""COMPUTED_VALUE"""),"Cannon Ball")</f>
        <v>Cannon Ball</v>
      </c>
      <c r="B104" s="42" t="str">
        <f>IFERROR(__xludf.DUMMYFUNCTION("""COMPUTED_VALUE"""),"Cannon Ammunition, +1000 damage. roll a d20 to see how many you get if this is a loot drop.")</f>
        <v>Cannon Ammunition, +1000 damage. roll a d20 to see how many you get if this is a loot drop.</v>
      </c>
      <c r="C104" s="32" t="str">
        <f>IFERROR(__xludf.DUMMYFUNCTION("""COMPUTED_VALUE"""),"Item")</f>
        <v>Item</v>
      </c>
      <c r="D104" s="32" t="str">
        <f>IFERROR(__xludf.DUMMYFUNCTION("""COMPUTED_VALUE"""),"Land of Spira")</f>
        <v>Land of Spira</v>
      </c>
      <c r="E104" s="32" t="b">
        <f>IFERROR(__xludf.DUMMYFUNCTION("""COMPUTED_VALUE"""),FALSE)</f>
        <v>0</v>
      </c>
      <c r="F104" s="32"/>
      <c r="G104" s="32"/>
      <c r="H104" s="32"/>
      <c r="I104" s="32"/>
      <c r="J104" s="32"/>
      <c r="K104" s="32"/>
      <c r="L104" s="32"/>
      <c r="M104" s="32"/>
      <c r="N104" s="32"/>
      <c r="O104" s="32"/>
      <c r="P104" s="32"/>
      <c r="Q104" s="32"/>
      <c r="R104" s="32"/>
      <c r="S104" s="32"/>
      <c r="T104" s="32"/>
      <c r="U104" s="32"/>
      <c r="V104" s="32"/>
      <c r="W104" s="32"/>
      <c r="X104" s="32"/>
      <c r="Y104" s="32"/>
      <c r="Z104" s="32"/>
    </row>
    <row r="105">
      <c r="A105" s="50" t="str">
        <f>IFERROR(__xludf.DUMMYFUNCTION("""COMPUTED_VALUE"""),"Blank Book")</f>
        <v>Blank Book</v>
      </c>
      <c r="B105" s="42" t="str">
        <f>IFERROR(__xludf.DUMMYFUNCTION("""COMPUTED_VALUE"""),"Crafting Material, roll a d20 to see how many you get.")</f>
        <v>Crafting Material, roll a d20 to see how many you get.</v>
      </c>
      <c r="C105" s="32" t="str">
        <f>IFERROR(__xludf.DUMMYFUNCTION("""COMPUTED_VALUE"""),"Item")</f>
        <v>Item</v>
      </c>
      <c r="D105" s="32" t="str">
        <f>IFERROR(__xludf.DUMMYFUNCTION("""COMPUTED_VALUE"""),"Land of Spira")</f>
        <v>Land of Spira</v>
      </c>
      <c r="E105" s="32" t="b">
        <f>IFERROR(__xludf.DUMMYFUNCTION("""COMPUTED_VALUE"""),FALSE)</f>
        <v>0</v>
      </c>
      <c r="F105" s="32"/>
      <c r="G105" s="32"/>
      <c r="H105" s="32"/>
      <c r="I105" s="32"/>
      <c r="J105" s="32"/>
      <c r="K105" s="32"/>
      <c r="L105" s="32"/>
      <c r="M105" s="32"/>
      <c r="N105" s="32"/>
      <c r="O105" s="32"/>
      <c r="P105" s="32"/>
      <c r="Q105" s="32"/>
      <c r="R105" s="32"/>
      <c r="S105" s="32"/>
      <c r="T105" s="32"/>
      <c r="U105" s="32"/>
      <c r="V105" s="32"/>
      <c r="W105" s="32"/>
      <c r="X105" s="32"/>
      <c r="Y105" s="32"/>
      <c r="Z105" s="32"/>
    </row>
    <row r="106">
      <c r="A106" s="42" t="str">
        <f>IFERROR(__xludf.DUMMYFUNCTION("""COMPUTED_VALUE"""),"Bronze")</f>
        <v>Bronze</v>
      </c>
      <c r="B106" s="42" t="str">
        <f>IFERROR(__xludf.DUMMYFUNCTION("""COMPUTED_VALUE"""),"Crafting Material, roll a d20 to see how many you get.")</f>
        <v>Crafting Material, roll a d20 to see how many you get.</v>
      </c>
      <c r="C106" s="32" t="str">
        <f>IFERROR(__xludf.DUMMYFUNCTION("""COMPUTED_VALUE"""),"Item")</f>
        <v>Item</v>
      </c>
      <c r="D106" s="32" t="str">
        <f>IFERROR(__xludf.DUMMYFUNCTION("""COMPUTED_VALUE"""),"Land of Spira")</f>
        <v>Land of Spira</v>
      </c>
      <c r="E106" s="32" t="b">
        <f>IFERROR(__xludf.DUMMYFUNCTION("""COMPUTED_VALUE"""),FALSE)</f>
        <v>0</v>
      </c>
      <c r="F106" s="32"/>
      <c r="G106" s="32"/>
      <c r="H106" s="32"/>
      <c r="I106" s="32"/>
      <c r="J106" s="32"/>
      <c r="K106" s="32"/>
      <c r="L106" s="32"/>
      <c r="M106" s="32"/>
      <c r="N106" s="32"/>
      <c r="O106" s="32"/>
      <c r="P106" s="32"/>
      <c r="Q106" s="32"/>
      <c r="R106" s="32"/>
      <c r="S106" s="32"/>
      <c r="T106" s="32"/>
      <c r="U106" s="32"/>
      <c r="V106" s="32"/>
      <c r="W106" s="32"/>
      <c r="X106" s="32"/>
      <c r="Y106" s="32"/>
      <c r="Z106" s="32"/>
    </row>
    <row r="107">
      <c r="A107" s="42" t="str">
        <f>IFERROR(__xludf.DUMMYFUNCTION("""COMPUTED_VALUE"""),"Diamond")</f>
        <v>Diamond</v>
      </c>
      <c r="B107" s="42" t="str">
        <f>IFERROR(__xludf.DUMMYFUNCTION("""COMPUTED_VALUE"""),"Crafting Material, roll a d20 to see how many you get.")</f>
        <v>Crafting Material, roll a d20 to see how many you get.</v>
      </c>
      <c r="C107" s="32" t="str">
        <f>IFERROR(__xludf.DUMMYFUNCTION("""COMPUTED_VALUE"""),"Item")</f>
        <v>Item</v>
      </c>
      <c r="D107" s="32" t="str">
        <f>IFERROR(__xludf.DUMMYFUNCTION("""COMPUTED_VALUE"""),"Land of Spira")</f>
        <v>Land of Spira</v>
      </c>
      <c r="E107" s="32" t="b">
        <f>IFERROR(__xludf.DUMMYFUNCTION("""COMPUTED_VALUE"""),FALSE)</f>
        <v>0</v>
      </c>
      <c r="F107" s="32"/>
      <c r="G107" s="32"/>
      <c r="H107" s="32"/>
      <c r="I107" s="32"/>
      <c r="J107" s="32"/>
      <c r="K107" s="32"/>
      <c r="L107" s="32"/>
      <c r="M107" s="32"/>
      <c r="N107" s="32"/>
      <c r="O107" s="32"/>
      <c r="P107" s="32"/>
      <c r="Q107" s="32"/>
      <c r="R107" s="32"/>
      <c r="S107" s="32"/>
      <c r="T107" s="32"/>
      <c r="U107" s="32"/>
      <c r="V107" s="32"/>
      <c r="W107" s="32"/>
      <c r="X107" s="32"/>
      <c r="Y107" s="32"/>
      <c r="Z107" s="32"/>
    </row>
    <row r="108">
      <c r="A108" s="42" t="str">
        <f>IFERROR(__xludf.DUMMYFUNCTION("""COMPUTED_VALUE"""),"Wood")</f>
        <v>Wood</v>
      </c>
      <c r="B108" s="42" t="str">
        <f>IFERROR(__xludf.DUMMYFUNCTION("""COMPUTED_VALUE"""),"Crafting Material, roll a d20 to see how many you get.")</f>
        <v>Crafting Material, roll a d20 to see how many you get.</v>
      </c>
      <c r="C108" s="32" t="str">
        <f>IFERROR(__xludf.DUMMYFUNCTION("""COMPUTED_VALUE"""),"Item")</f>
        <v>Item</v>
      </c>
      <c r="D108" s="32" t="str">
        <f>IFERROR(__xludf.DUMMYFUNCTION("""COMPUTED_VALUE"""),"Land of Spira")</f>
        <v>Land of Spira</v>
      </c>
      <c r="E108" s="32" t="b">
        <f>IFERROR(__xludf.DUMMYFUNCTION("""COMPUTED_VALUE"""),FALSE)</f>
        <v>0</v>
      </c>
      <c r="F108" s="32"/>
      <c r="G108" s="32"/>
      <c r="H108" s="32"/>
      <c r="I108" s="32"/>
      <c r="J108" s="32"/>
      <c r="K108" s="32"/>
      <c r="L108" s="32"/>
      <c r="M108" s="32"/>
      <c r="N108" s="32"/>
      <c r="O108" s="32"/>
      <c r="P108" s="32"/>
      <c r="Q108" s="32"/>
      <c r="R108" s="32"/>
      <c r="S108" s="32"/>
      <c r="T108" s="32"/>
      <c r="U108" s="32"/>
      <c r="V108" s="32"/>
      <c r="W108" s="32"/>
      <c r="X108" s="32"/>
      <c r="Y108" s="32"/>
      <c r="Z108" s="32"/>
    </row>
    <row r="109">
      <c r="A109" s="50" t="str">
        <f>IFERROR(__xludf.DUMMYFUNCTION("""COMPUTED_VALUE"""),"Stone")</f>
        <v>Stone</v>
      </c>
      <c r="B109" s="42" t="str">
        <f>IFERROR(__xludf.DUMMYFUNCTION("""COMPUTED_VALUE"""),"Crafting Material, roll a d20 to see how many you get.")</f>
        <v>Crafting Material, roll a d20 to see how many you get.</v>
      </c>
      <c r="C109" s="32" t="str">
        <f>IFERROR(__xludf.DUMMYFUNCTION("""COMPUTED_VALUE"""),"Item")</f>
        <v>Item</v>
      </c>
      <c r="D109" s="32" t="str">
        <f>IFERROR(__xludf.DUMMYFUNCTION("""COMPUTED_VALUE"""),"Land of Spira")</f>
        <v>Land of Spira</v>
      </c>
      <c r="E109" s="32" t="b">
        <f>IFERROR(__xludf.DUMMYFUNCTION("""COMPUTED_VALUE"""),FALSE)</f>
        <v>0</v>
      </c>
      <c r="F109" s="32"/>
      <c r="G109" s="32"/>
      <c r="H109" s="32"/>
      <c r="I109" s="32"/>
      <c r="J109" s="32"/>
      <c r="K109" s="32"/>
      <c r="L109" s="32"/>
      <c r="M109" s="32"/>
      <c r="N109" s="32"/>
      <c r="O109" s="32"/>
      <c r="P109" s="32"/>
      <c r="Q109" s="32"/>
      <c r="R109" s="32"/>
      <c r="S109" s="32"/>
      <c r="T109" s="32"/>
      <c r="U109" s="32"/>
      <c r="V109" s="32"/>
      <c r="W109" s="32"/>
      <c r="X109" s="32"/>
      <c r="Y109" s="32"/>
      <c r="Z109" s="32"/>
    </row>
    <row r="110">
      <c r="A110" s="42" t="str">
        <f>IFERROR(__xludf.DUMMYFUNCTION("""COMPUTED_VALUE"""),"Raw Meat")</f>
        <v>Raw Meat</v>
      </c>
      <c r="B110" s="42" t="str">
        <f>IFERROR(__xludf.DUMMYFUNCTION("""COMPUTED_VALUE"""),"-100 Hunger")</f>
        <v>-100 Hunger</v>
      </c>
      <c r="C110" s="32" t="str">
        <f>IFERROR(__xludf.DUMMYFUNCTION("""COMPUTED_VALUE"""),"Crop")</f>
        <v>Crop</v>
      </c>
      <c r="D110" s="32" t="str">
        <f>IFERROR(__xludf.DUMMYFUNCTION("""COMPUTED_VALUE"""),"Land of Spira")</f>
        <v>Land of Spira</v>
      </c>
      <c r="E110" s="32" t="b">
        <f>IFERROR(__xludf.DUMMYFUNCTION("""COMPUTED_VALUE"""),FALSE)</f>
        <v>0</v>
      </c>
      <c r="F110" s="32"/>
      <c r="G110" s="32"/>
      <c r="H110" s="32"/>
      <c r="I110" s="32"/>
      <c r="J110" s="32"/>
      <c r="K110" s="32"/>
      <c r="L110" s="32"/>
      <c r="M110" s="32"/>
      <c r="N110" s="32"/>
      <c r="O110" s="32"/>
      <c r="P110" s="32"/>
      <c r="Q110" s="32"/>
      <c r="R110" s="32"/>
      <c r="S110" s="32"/>
      <c r="T110" s="32"/>
      <c r="U110" s="32"/>
      <c r="V110" s="32"/>
      <c r="W110" s="32"/>
      <c r="X110" s="32"/>
      <c r="Y110" s="32"/>
      <c r="Z110" s="32"/>
    </row>
    <row r="111">
      <c r="A111" s="42" t="str">
        <f>IFERROR(__xludf.DUMMYFUNCTION("""COMPUTED_VALUE"""),"Cooked Meat")</f>
        <v>Cooked Meat</v>
      </c>
      <c r="B111" s="42" t="str">
        <f>IFERROR(__xludf.DUMMYFUNCTION("""COMPUTED_VALUE"""),"Restores 35 Hunger")</f>
        <v>Restores 35 Hunger</v>
      </c>
      <c r="C111" s="32" t="str">
        <f>IFERROR(__xludf.DUMMYFUNCTION("""COMPUTED_VALUE"""),"Crop")</f>
        <v>Crop</v>
      </c>
      <c r="D111" s="32" t="str">
        <f>IFERROR(__xludf.DUMMYFUNCTION("""COMPUTED_VALUE"""),"Land of Spira")</f>
        <v>Land of Spira</v>
      </c>
      <c r="E111" s="32" t="b">
        <f>IFERROR(__xludf.DUMMYFUNCTION("""COMPUTED_VALUE"""),FALSE)</f>
        <v>0</v>
      </c>
      <c r="F111" s="32"/>
      <c r="G111" s="32"/>
      <c r="H111" s="32"/>
      <c r="I111" s="32"/>
      <c r="J111" s="32"/>
      <c r="K111" s="32"/>
      <c r="L111" s="32"/>
      <c r="M111" s="32"/>
      <c r="N111" s="32"/>
      <c r="O111" s="32"/>
      <c r="P111" s="32"/>
      <c r="Q111" s="32"/>
      <c r="R111" s="32"/>
      <c r="S111" s="32"/>
      <c r="T111" s="32"/>
      <c r="U111" s="32"/>
      <c r="V111" s="32"/>
      <c r="W111" s="32"/>
      <c r="X111" s="32"/>
      <c r="Y111" s="32"/>
      <c r="Z111" s="32"/>
    </row>
    <row r="112">
      <c r="A112" s="42" t="str">
        <f>IFERROR(__xludf.DUMMYFUNCTION("""COMPUTED_VALUE"""),"Dried Meat")</f>
        <v>Dried Meat</v>
      </c>
      <c r="B112" s="42" t="str">
        <f>IFERROR(__xludf.DUMMYFUNCTION("""COMPUTED_VALUE"""),"25 Hunger")</f>
        <v>25 Hunger</v>
      </c>
      <c r="C112" s="32" t="str">
        <f>IFERROR(__xludf.DUMMYFUNCTION("""COMPUTED_VALUE"""),"Crop")</f>
        <v>Crop</v>
      </c>
      <c r="D112" s="32" t="str">
        <f>IFERROR(__xludf.DUMMYFUNCTION("""COMPUTED_VALUE"""),"Land of Spira")</f>
        <v>Land of Spira</v>
      </c>
      <c r="E112" s="32" t="b">
        <f>IFERROR(__xludf.DUMMYFUNCTION("""COMPUTED_VALUE"""),FALSE)</f>
        <v>0</v>
      </c>
      <c r="F112" s="32"/>
      <c r="G112" s="32"/>
      <c r="H112" s="32"/>
      <c r="I112" s="32"/>
      <c r="J112" s="32"/>
      <c r="K112" s="32"/>
      <c r="L112" s="32"/>
      <c r="M112" s="32"/>
      <c r="N112" s="32"/>
      <c r="O112" s="32"/>
      <c r="P112" s="32"/>
      <c r="Q112" s="32"/>
      <c r="R112" s="32"/>
      <c r="S112" s="32"/>
      <c r="T112" s="32"/>
      <c r="U112" s="32"/>
      <c r="V112" s="32"/>
      <c r="W112" s="32"/>
      <c r="X112" s="32"/>
      <c r="Y112" s="32"/>
      <c r="Z112" s="32"/>
    </row>
    <row r="113">
      <c r="A113" s="42" t="str">
        <f>IFERROR(__xludf.DUMMYFUNCTION("""COMPUTED_VALUE"""),"Medium Rare Steak")</f>
        <v>Medium Rare Steak</v>
      </c>
      <c r="B113" s="42" t="str">
        <f>IFERROR(__xludf.DUMMYFUNCTION("""COMPUTED_VALUE"""),"Restores 30 Hunger and 5 HP")</f>
        <v>Restores 30 Hunger and 5 HP</v>
      </c>
      <c r="C113" s="32" t="str">
        <f>IFERROR(__xludf.DUMMYFUNCTION("""COMPUTED_VALUE"""),"Crop")</f>
        <v>Crop</v>
      </c>
      <c r="D113" s="32" t="str">
        <f>IFERROR(__xludf.DUMMYFUNCTION("""COMPUTED_VALUE"""),"Land of Spira")</f>
        <v>Land of Spira</v>
      </c>
      <c r="E113" s="32" t="b">
        <f>IFERROR(__xludf.DUMMYFUNCTION("""COMPUTED_VALUE"""),FALSE)</f>
        <v>0</v>
      </c>
      <c r="F113" s="32"/>
      <c r="G113" s="32"/>
      <c r="H113" s="32"/>
      <c r="I113" s="32"/>
      <c r="J113" s="32"/>
      <c r="K113" s="32"/>
      <c r="L113" s="32"/>
      <c r="M113" s="32"/>
      <c r="N113" s="32"/>
      <c r="O113" s="32"/>
      <c r="P113" s="32"/>
      <c r="Q113" s="32"/>
      <c r="R113" s="32"/>
      <c r="S113" s="32"/>
      <c r="T113" s="32"/>
      <c r="U113" s="32"/>
      <c r="V113" s="32"/>
      <c r="W113" s="32"/>
      <c r="X113" s="32"/>
      <c r="Y113" s="32"/>
      <c r="Z113" s="32"/>
    </row>
    <row r="114">
      <c r="A114" s="42" t="str">
        <f>IFERROR(__xludf.DUMMYFUNCTION("""COMPUTED_VALUE"""),"Well Done Steak")</f>
        <v>Well Done Steak</v>
      </c>
      <c r="B114" s="42" t="str">
        <f>IFERROR(__xludf.DUMMYFUNCTION("""COMPUTED_VALUE"""),"10 Hunger and 3 HP are restored each turn for the next three turns")</f>
        <v>10 Hunger and 3 HP are restored each turn for the next three turns</v>
      </c>
      <c r="C114" s="32" t="str">
        <f>IFERROR(__xludf.DUMMYFUNCTION("""COMPUTED_VALUE"""),"Crop")</f>
        <v>Crop</v>
      </c>
      <c r="D114" s="32" t="str">
        <f>IFERROR(__xludf.DUMMYFUNCTION("""COMPUTED_VALUE"""),"Land of Spira")</f>
        <v>Land of Spira</v>
      </c>
      <c r="E114" s="32" t="b">
        <f>IFERROR(__xludf.DUMMYFUNCTION("""COMPUTED_VALUE"""),FALSE)</f>
        <v>0</v>
      </c>
      <c r="F114" s="32"/>
      <c r="G114" s="32"/>
      <c r="H114" s="32"/>
      <c r="I114" s="32"/>
      <c r="J114" s="32"/>
      <c r="K114" s="32"/>
      <c r="L114" s="32"/>
      <c r="M114" s="32"/>
      <c r="N114" s="32"/>
      <c r="O114" s="32"/>
      <c r="P114" s="32"/>
      <c r="Q114" s="32"/>
      <c r="R114" s="32"/>
      <c r="S114" s="32"/>
      <c r="T114" s="32"/>
      <c r="U114" s="32"/>
      <c r="V114" s="32"/>
      <c r="W114" s="32"/>
      <c r="X114" s="32"/>
      <c r="Y114" s="32"/>
      <c r="Z114" s="32"/>
    </row>
    <row r="115">
      <c r="A115" s="42" t="str">
        <f>IFERROR(__xludf.DUMMYFUNCTION("""COMPUTED_VALUE"""),"Kebab")</f>
        <v>Kebab</v>
      </c>
      <c r="B115" s="42" t="str">
        <f>IFERROR(__xludf.DUMMYFUNCTION("""COMPUTED_VALUE"""),"Restores 10 Hunger, 5 HP, and 15 SP")</f>
        <v>Restores 10 Hunger, 5 HP, and 15 SP</v>
      </c>
      <c r="C115" s="32" t="str">
        <f>IFERROR(__xludf.DUMMYFUNCTION("""COMPUTED_VALUE"""),"Crop")</f>
        <v>Crop</v>
      </c>
      <c r="D115" s="32" t="str">
        <f>IFERROR(__xludf.DUMMYFUNCTION("""COMPUTED_VALUE"""),"Land of Spira")</f>
        <v>Land of Spira</v>
      </c>
      <c r="E115" s="32" t="b">
        <f>IFERROR(__xludf.DUMMYFUNCTION("""COMPUTED_VALUE"""),FALSE)</f>
        <v>0</v>
      </c>
      <c r="F115" s="32"/>
      <c r="G115" s="32"/>
      <c r="H115" s="32"/>
      <c r="I115" s="32"/>
      <c r="J115" s="32"/>
      <c r="K115" s="32"/>
      <c r="L115" s="32"/>
      <c r="M115" s="32"/>
      <c r="N115" s="32"/>
      <c r="O115" s="32"/>
      <c r="P115" s="32"/>
      <c r="Q115" s="32"/>
      <c r="R115" s="32"/>
      <c r="S115" s="32"/>
      <c r="T115" s="32"/>
      <c r="U115" s="32"/>
      <c r="V115" s="32"/>
      <c r="W115" s="32"/>
      <c r="X115" s="32"/>
      <c r="Y115" s="32"/>
      <c r="Z115" s="32"/>
    </row>
    <row r="116">
      <c r="A116" s="42" t="str">
        <f>IFERROR(__xludf.DUMMYFUNCTION("""COMPUTED_VALUE"""),"Melon Bread")</f>
        <v>Melon Bread</v>
      </c>
      <c r="B116" s="42" t="str">
        <f>IFERROR(__xludf.DUMMYFUNCTION("""COMPUTED_VALUE"""),"15 Hunger")</f>
        <v>15 Hunger</v>
      </c>
      <c r="C116" s="32" t="str">
        <f>IFERROR(__xludf.DUMMYFUNCTION("""COMPUTED_VALUE"""),"Crop")</f>
        <v>Crop</v>
      </c>
      <c r="D116" s="32" t="str">
        <f>IFERROR(__xludf.DUMMYFUNCTION("""COMPUTED_VALUE"""),"Land of Spira")</f>
        <v>Land of Spira</v>
      </c>
      <c r="E116" s="32" t="b">
        <f>IFERROR(__xludf.DUMMYFUNCTION("""COMPUTED_VALUE"""),FALSE)</f>
        <v>0</v>
      </c>
      <c r="F116" s="32"/>
      <c r="G116" s="32"/>
      <c r="H116" s="32"/>
      <c r="I116" s="32"/>
      <c r="J116" s="32"/>
      <c r="K116" s="32"/>
      <c r="L116" s="32"/>
      <c r="M116" s="32"/>
      <c r="N116" s="32"/>
      <c r="O116" s="32"/>
      <c r="P116" s="32"/>
      <c r="Q116" s="32"/>
      <c r="R116" s="32"/>
      <c r="S116" s="32"/>
      <c r="T116" s="32"/>
      <c r="U116" s="32"/>
      <c r="V116" s="32"/>
      <c r="W116" s="32"/>
      <c r="X116" s="32"/>
      <c r="Y116" s="32"/>
      <c r="Z116" s="32"/>
    </row>
    <row r="117">
      <c r="A117" s="50" t="str">
        <f>IFERROR(__xludf.DUMMYFUNCTION("""COMPUTED_VALUE"""),"Cake")</f>
        <v>Cake</v>
      </c>
      <c r="B117" s="42" t="str">
        <f>IFERROR(__xludf.DUMMYFUNCTION("""COMPUTED_VALUE"""),"8 uses, each use restores 20 Hunger")</f>
        <v>8 uses, each use restores 20 Hunger</v>
      </c>
      <c r="C117" s="32" t="str">
        <f>IFERROR(__xludf.DUMMYFUNCTION("""COMPUTED_VALUE"""),"Crop")</f>
        <v>Crop</v>
      </c>
      <c r="D117" s="32" t="str">
        <f>IFERROR(__xludf.DUMMYFUNCTION("""COMPUTED_VALUE"""),"Land of Spira")</f>
        <v>Land of Spira</v>
      </c>
      <c r="E117" s="32" t="b">
        <f>IFERROR(__xludf.DUMMYFUNCTION("""COMPUTED_VALUE"""),FALSE)</f>
        <v>0</v>
      </c>
      <c r="F117" s="32"/>
      <c r="G117" s="32"/>
      <c r="H117" s="32"/>
      <c r="I117" s="32"/>
      <c r="J117" s="32"/>
      <c r="K117" s="32"/>
      <c r="L117" s="32"/>
      <c r="M117" s="32"/>
      <c r="N117" s="32"/>
      <c r="O117" s="32"/>
      <c r="P117" s="32"/>
      <c r="Q117" s="32"/>
      <c r="R117" s="32"/>
      <c r="S117" s="32"/>
      <c r="T117" s="32"/>
      <c r="U117" s="32"/>
      <c r="V117" s="32"/>
      <c r="W117" s="32"/>
      <c r="X117" s="32"/>
      <c r="Y117" s="32"/>
      <c r="Z117" s="32"/>
    </row>
    <row r="118">
      <c r="A118" s="42" t="str">
        <f>IFERROR(__xludf.DUMMYFUNCTION("""COMPUTED_VALUE"""),"Cherry Pie")</f>
        <v>Cherry Pie</v>
      </c>
      <c r="B118" s="42" t="str">
        <f>IFERROR(__xludf.DUMMYFUNCTION("""COMPUTED_VALUE"""),"4 uses, restores 20 Hunger, 10 HP, and 5 SP with each use")</f>
        <v>4 uses, restores 20 Hunger, 10 HP, and 5 SP with each use</v>
      </c>
      <c r="C118" s="32" t="str">
        <f>IFERROR(__xludf.DUMMYFUNCTION("""COMPUTED_VALUE"""),"Crop")</f>
        <v>Crop</v>
      </c>
      <c r="D118" s="32" t="str">
        <f>IFERROR(__xludf.DUMMYFUNCTION("""COMPUTED_VALUE"""),"Land of Spira")</f>
        <v>Land of Spira</v>
      </c>
      <c r="E118" s="32" t="b">
        <f>IFERROR(__xludf.DUMMYFUNCTION("""COMPUTED_VALUE"""),FALSE)</f>
        <v>0</v>
      </c>
      <c r="F118" s="32"/>
      <c r="G118" s="32"/>
      <c r="H118" s="32"/>
      <c r="I118" s="32"/>
      <c r="J118" s="32"/>
      <c r="K118" s="32"/>
      <c r="L118" s="32"/>
      <c r="M118" s="32"/>
      <c r="N118" s="32"/>
      <c r="O118" s="32"/>
      <c r="P118" s="32"/>
      <c r="Q118" s="32"/>
      <c r="R118" s="32"/>
      <c r="S118" s="32"/>
      <c r="T118" s="32"/>
      <c r="U118" s="32"/>
      <c r="V118" s="32"/>
      <c r="W118" s="32"/>
      <c r="X118" s="32"/>
      <c r="Y118" s="32"/>
      <c r="Z118" s="32"/>
    </row>
    <row r="119">
      <c r="A119" s="50" t="str">
        <f>IFERROR(__xludf.DUMMYFUNCTION("""COMPUTED_VALUE"""),"Saltwater")</f>
        <v>Saltwater</v>
      </c>
      <c r="B119" s="42" t="str">
        <f>IFERROR(__xludf.DUMMYFUNCTION("""COMPUTED_VALUE"""),"Crafting Material, roll a d20 to see how many you get if this is a loot drop.")</f>
        <v>Crafting Material, roll a d20 to see how many you get if this is a loot drop.</v>
      </c>
      <c r="C119" s="32" t="str">
        <f>IFERROR(__xludf.DUMMYFUNCTION("""COMPUTED_VALUE"""),"Item")</f>
        <v>Item</v>
      </c>
      <c r="D119" s="32" t="str">
        <f>IFERROR(__xludf.DUMMYFUNCTION("""COMPUTED_VALUE"""),"Land of Spira")</f>
        <v>Land of Spira</v>
      </c>
      <c r="E119" s="32" t="b">
        <f>IFERROR(__xludf.DUMMYFUNCTION("""COMPUTED_VALUE"""),FALSE)</f>
        <v>0</v>
      </c>
      <c r="F119" s="32"/>
      <c r="G119" s="32"/>
      <c r="H119" s="32"/>
      <c r="I119" s="32"/>
      <c r="J119" s="32"/>
      <c r="K119" s="32"/>
      <c r="L119" s="32"/>
      <c r="M119" s="32"/>
      <c r="N119" s="32"/>
      <c r="O119" s="32"/>
      <c r="P119" s="32"/>
      <c r="Q119" s="32"/>
      <c r="R119" s="32"/>
      <c r="S119" s="32"/>
      <c r="T119" s="32"/>
      <c r="U119" s="32"/>
      <c r="V119" s="32"/>
      <c r="W119" s="32"/>
      <c r="X119" s="32"/>
      <c r="Y119" s="32"/>
      <c r="Z119" s="32"/>
    </row>
    <row r="120">
      <c r="A120" s="50" t="str">
        <f>IFERROR(__xludf.DUMMYFUNCTION("""COMPUTED_VALUE"""),"Fisherman’s Lucky Totem")</f>
        <v>Fisherman’s Lucky Totem</v>
      </c>
      <c r="B120" s="42" t="str">
        <f>IFERROR(__xludf.DUMMYFUNCTION("""COMPUTED_VALUE"""),"This will Guarantee you 1 fish from a quest")</f>
        <v>This will Guarantee you 1 fish from a quest</v>
      </c>
      <c r="C120" s="32" t="str">
        <f>IFERROR(__xludf.DUMMYFUNCTION("""COMPUTED_VALUE"""),"Item")</f>
        <v>Item</v>
      </c>
      <c r="D120" s="32" t="str">
        <f>IFERROR(__xludf.DUMMYFUNCTION("""COMPUTED_VALUE"""),"Land of Spira")</f>
        <v>Land of Spira</v>
      </c>
      <c r="E120" s="32" t="b">
        <f>IFERROR(__xludf.DUMMYFUNCTION("""COMPUTED_VALUE"""),FALSE)</f>
        <v>0</v>
      </c>
      <c r="F120" s="32"/>
      <c r="G120" s="32"/>
      <c r="H120" s="32"/>
      <c r="I120" s="32"/>
      <c r="J120" s="32"/>
      <c r="K120" s="32"/>
      <c r="L120" s="32"/>
      <c r="M120" s="32"/>
      <c r="N120" s="32"/>
      <c r="O120" s="32"/>
      <c r="P120" s="32"/>
      <c r="Q120" s="32"/>
      <c r="R120" s="32"/>
      <c r="S120" s="32"/>
      <c r="T120" s="32"/>
      <c r="U120" s="32"/>
      <c r="V120" s="32"/>
      <c r="W120" s="32"/>
      <c r="X120" s="32"/>
      <c r="Y120" s="32"/>
      <c r="Z120" s="32"/>
    </row>
    <row r="121">
      <c r="A121" s="50" t="str">
        <f>IFERROR(__xludf.DUMMYFUNCTION("""COMPUTED_VALUE"""),"The Fish Pendant")</f>
        <v>The Fish Pendant</v>
      </c>
      <c r="B121" s="42" t="str">
        <f>IFERROR(__xludf.DUMMYFUNCTION("""COMPUTED_VALUE"""),"Choose the rarity of the fish when fishing during a quest.")</f>
        <v>Choose the rarity of the fish when fishing during a quest.</v>
      </c>
      <c r="C121" s="32" t="str">
        <f>IFERROR(__xludf.DUMMYFUNCTION("""COMPUTED_VALUE"""),"Item")</f>
        <v>Item</v>
      </c>
      <c r="D121" s="32" t="str">
        <f>IFERROR(__xludf.DUMMYFUNCTION("""COMPUTED_VALUE"""),"Land of Spira")</f>
        <v>Land of Spira</v>
      </c>
      <c r="E121" s="32" t="b">
        <f>IFERROR(__xludf.DUMMYFUNCTION("""COMPUTED_VALUE"""),FALSE)</f>
        <v>0</v>
      </c>
      <c r="F121" s="32"/>
      <c r="G121" s="32"/>
      <c r="H121" s="32"/>
      <c r="I121" s="32"/>
      <c r="J121" s="32"/>
      <c r="K121" s="32"/>
      <c r="L121" s="32"/>
      <c r="M121" s="32"/>
      <c r="N121" s="32"/>
      <c r="O121" s="32"/>
      <c r="P121" s="32"/>
      <c r="Q121" s="32"/>
      <c r="R121" s="32"/>
      <c r="S121" s="32"/>
      <c r="T121" s="32"/>
      <c r="U121" s="32"/>
      <c r="V121" s="32"/>
      <c r="W121" s="32"/>
      <c r="X121" s="32"/>
      <c r="Y121" s="32"/>
      <c r="Z121" s="32"/>
    </row>
    <row r="122">
      <c r="A122" s="42" t="str">
        <f>IFERROR(__xludf.DUMMYFUNCTION("""COMPUTED_VALUE"""),"Fish Stone")</f>
        <v>Fish Stone</v>
      </c>
      <c r="B122" s="42" t="str">
        <f>IFERROR(__xludf.DUMMYFUNCTION("""COMPUTED_VALUE"""),"if you catch this when fishing you get 2 of the fish you caught with this item.")</f>
        <v>if you catch this when fishing you get 2 of the fish you caught with this item.</v>
      </c>
      <c r="C122" s="32" t="str">
        <f>IFERROR(__xludf.DUMMYFUNCTION("""COMPUTED_VALUE"""),"Item")</f>
        <v>Item</v>
      </c>
      <c r="D122" s="32" t="str">
        <f>IFERROR(__xludf.DUMMYFUNCTION("""COMPUTED_VALUE"""),"Land of Spira")</f>
        <v>Land of Spira</v>
      </c>
      <c r="E122" s="32" t="b">
        <f>IFERROR(__xludf.DUMMYFUNCTION("""COMPUTED_VALUE"""),FALSE)</f>
        <v>0</v>
      </c>
      <c r="F122" s="32"/>
      <c r="G122" s="32"/>
      <c r="H122" s="32"/>
      <c r="I122" s="32"/>
      <c r="J122" s="32"/>
      <c r="K122" s="32"/>
      <c r="L122" s="32"/>
      <c r="M122" s="32"/>
      <c r="N122" s="32"/>
      <c r="O122" s="32"/>
      <c r="P122" s="32"/>
      <c r="Q122" s="32"/>
      <c r="R122" s="32"/>
      <c r="S122" s="32"/>
      <c r="T122" s="32"/>
      <c r="U122" s="32"/>
      <c r="V122" s="32"/>
      <c r="W122" s="32"/>
      <c r="X122" s="32"/>
      <c r="Y122" s="32"/>
      <c r="Z122" s="32"/>
    </row>
    <row r="123">
      <c r="A123" s="50" t="str">
        <f>IFERROR(__xludf.DUMMYFUNCTION("""COMPUTED_VALUE"""),"Pumpkin")</f>
        <v>Pumpkin</v>
      </c>
      <c r="B123" s="50" t="str">
        <f>IFERROR(__xludf.DUMMYFUNCTION("""COMPUTED_VALUE"""),"100 hunger for self and up to 2 party members.")</f>
        <v>100 hunger for self and up to 2 party members.</v>
      </c>
      <c r="C123" s="32" t="str">
        <f>IFERROR(__xludf.DUMMYFUNCTION("""COMPUTED_VALUE"""),"Crop")</f>
        <v>Crop</v>
      </c>
      <c r="D123" s="32" t="str">
        <f>IFERROR(__xludf.DUMMYFUNCTION("""COMPUTED_VALUE"""),"Land of Spira")</f>
        <v>Land of Spira</v>
      </c>
      <c r="E123" s="32" t="b">
        <f>IFERROR(__xludf.DUMMYFUNCTION("""COMPUTED_VALUE"""),FALSE)</f>
        <v>0</v>
      </c>
      <c r="F123" s="32"/>
      <c r="G123" s="32"/>
      <c r="H123" s="32"/>
      <c r="I123" s="32"/>
      <c r="J123" s="32"/>
      <c r="K123" s="32"/>
      <c r="L123" s="32"/>
      <c r="M123" s="32"/>
      <c r="N123" s="32"/>
      <c r="O123" s="32"/>
      <c r="P123" s="32"/>
      <c r="Q123" s="32"/>
      <c r="R123" s="32"/>
      <c r="S123" s="32"/>
      <c r="T123" s="32"/>
      <c r="U123" s="32"/>
      <c r="V123" s="32"/>
      <c r="W123" s="32"/>
      <c r="X123" s="32"/>
      <c r="Y123" s="32"/>
      <c r="Z123" s="32"/>
    </row>
    <row r="124">
      <c r="A124" s="50" t="str">
        <f>IFERROR(__xludf.DUMMYFUNCTION("""COMPUTED_VALUE"""),"Premium Pumpkin")</f>
        <v>Premium Pumpkin</v>
      </c>
      <c r="B124" s="50" t="str">
        <f>IFERROR(__xludf.DUMMYFUNCTION("""COMPUTED_VALUE"""),"200 hunger for self and up to 2 party members.")</f>
        <v>200 hunger for self and up to 2 party members.</v>
      </c>
      <c r="C124" s="32" t="str">
        <f>IFERROR(__xludf.DUMMYFUNCTION("""COMPUTED_VALUE"""),"Crop")</f>
        <v>Crop</v>
      </c>
      <c r="D124" s="32" t="str">
        <f>IFERROR(__xludf.DUMMYFUNCTION("""COMPUTED_VALUE"""),"Land of Spira")</f>
        <v>Land of Spira</v>
      </c>
      <c r="E124" s="32" t="b">
        <f>IFERROR(__xludf.DUMMYFUNCTION("""COMPUTED_VALUE"""),FALSE)</f>
        <v>0</v>
      </c>
      <c r="F124" s="32"/>
      <c r="G124" s="32"/>
      <c r="H124" s="32"/>
      <c r="I124" s="32"/>
      <c r="J124" s="32"/>
      <c r="K124" s="32"/>
      <c r="L124" s="32"/>
      <c r="M124" s="32"/>
      <c r="N124" s="32"/>
      <c r="O124" s="32"/>
      <c r="P124" s="32"/>
      <c r="Q124" s="32"/>
      <c r="R124" s="32"/>
      <c r="S124" s="32"/>
      <c r="T124" s="32"/>
      <c r="U124" s="32"/>
      <c r="V124" s="32"/>
      <c r="W124" s="32"/>
      <c r="X124" s="32"/>
      <c r="Y124" s="32"/>
      <c r="Z124" s="32"/>
    </row>
    <row r="125">
      <c r="A125" s="50" t="str">
        <f>IFERROR(__xludf.DUMMYFUNCTION("""COMPUTED_VALUE"""),"Pumpkin Soup")</f>
        <v>Pumpkin Soup</v>
      </c>
      <c r="B125" s="50" t="str">
        <f>IFERROR(__xludf.DUMMYFUNCTION("""COMPUTED_VALUE"""),"100 hunger for self and up to 4 party members.")</f>
        <v>100 hunger for self and up to 4 party members.</v>
      </c>
      <c r="C125" s="32" t="str">
        <f>IFERROR(__xludf.DUMMYFUNCTION("""COMPUTED_VALUE"""),"Crop")</f>
        <v>Crop</v>
      </c>
      <c r="D125" s="32" t="str">
        <f>IFERROR(__xludf.DUMMYFUNCTION("""COMPUTED_VALUE"""),"Land of Spira")</f>
        <v>Land of Spira</v>
      </c>
      <c r="E125" s="32" t="b">
        <f>IFERROR(__xludf.DUMMYFUNCTION("""COMPUTED_VALUE"""),FALSE)</f>
        <v>0</v>
      </c>
      <c r="F125" s="32"/>
      <c r="G125" s="32"/>
      <c r="H125" s="32"/>
      <c r="I125" s="32"/>
      <c r="J125" s="32"/>
      <c r="K125" s="32"/>
      <c r="L125" s="32"/>
      <c r="M125" s="32"/>
      <c r="N125" s="32"/>
      <c r="O125" s="32"/>
      <c r="P125" s="32"/>
      <c r="Q125" s="32"/>
      <c r="R125" s="32"/>
      <c r="S125" s="32"/>
      <c r="T125" s="32"/>
      <c r="U125" s="32"/>
      <c r="V125" s="32"/>
      <c r="W125" s="32"/>
      <c r="X125" s="32"/>
      <c r="Y125" s="32"/>
      <c r="Z125" s="32"/>
    </row>
    <row r="126">
      <c r="A126" s="50" t="str">
        <f>IFERROR(__xludf.DUMMYFUNCTION("""COMPUTED_VALUE"""),"Premium Pumpkin Soup")</f>
        <v>Premium Pumpkin Soup</v>
      </c>
      <c r="B126" s="50" t="str">
        <f>IFERROR(__xludf.DUMMYFUNCTION("""COMPUTED_VALUE"""),"200 hunger for self and up to 4 party members.")</f>
        <v>200 hunger for self and up to 4 party members.</v>
      </c>
      <c r="C126" s="32" t="str">
        <f>IFERROR(__xludf.DUMMYFUNCTION("""COMPUTED_VALUE"""),"Crop")</f>
        <v>Crop</v>
      </c>
      <c r="D126" s="32" t="str">
        <f>IFERROR(__xludf.DUMMYFUNCTION("""COMPUTED_VALUE"""),"Land of Spira")</f>
        <v>Land of Spira</v>
      </c>
      <c r="E126" s="32" t="b">
        <f>IFERROR(__xludf.DUMMYFUNCTION("""COMPUTED_VALUE"""),FALSE)</f>
        <v>0</v>
      </c>
      <c r="F126" s="32"/>
      <c r="G126" s="32"/>
      <c r="H126" s="32"/>
      <c r="I126" s="32"/>
      <c r="J126" s="32"/>
      <c r="K126" s="32"/>
      <c r="L126" s="32"/>
      <c r="M126" s="32"/>
      <c r="N126" s="32"/>
      <c r="O126" s="32"/>
      <c r="P126" s="32"/>
      <c r="Q126" s="32"/>
      <c r="R126" s="32"/>
      <c r="S126" s="32"/>
      <c r="T126" s="32"/>
      <c r="U126" s="32"/>
      <c r="V126" s="32"/>
      <c r="W126" s="32"/>
      <c r="X126" s="32"/>
      <c r="Y126" s="32"/>
      <c r="Z126" s="32"/>
    </row>
    <row r="127">
      <c r="A127" s="50" t="str">
        <f>IFERROR(__xludf.DUMMYFUNCTION("""COMPUTED_VALUE"""),"Forbidden Book")</f>
        <v>Forbidden Book</v>
      </c>
      <c r="B127" s="50" t="str">
        <f>IFERROR(__xludf.DUMMYFUNCTION("""COMPUTED_VALUE"""),"A forbidden book. if the guards see it in your inventory they will autmatically confiscate it and arrest you.")</f>
        <v>A forbidden book. if the guards see it in your inventory they will autmatically confiscate it and arrest you.</v>
      </c>
      <c r="C127" s="32" t="str">
        <f>IFERROR(__xludf.DUMMYFUNCTION("""COMPUTED_VALUE"""),"Item")</f>
        <v>Item</v>
      </c>
      <c r="D127" s="32" t="str">
        <f>IFERROR(__xludf.DUMMYFUNCTION("""COMPUTED_VALUE"""),"Land of Spira")</f>
        <v>Land of Spira</v>
      </c>
      <c r="E127" s="32" t="b">
        <f>IFERROR(__xludf.DUMMYFUNCTION("""COMPUTED_VALUE"""),FALSE)</f>
        <v>0</v>
      </c>
      <c r="F127" s="32"/>
      <c r="G127" s="32"/>
      <c r="H127" s="32"/>
      <c r="I127" s="32"/>
      <c r="J127" s="32"/>
      <c r="K127" s="32"/>
      <c r="L127" s="32"/>
      <c r="M127" s="32"/>
      <c r="N127" s="32"/>
      <c r="O127" s="32"/>
      <c r="P127" s="32"/>
      <c r="Q127" s="32"/>
      <c r="R127" s="32"/>
      <c r="S127" s="32"/>
      <c r="T127" s="32"/>
      <c r="U127" s="32"/>
      <c r="V127" s="32"/>
      <c r="W127" s="32"/>
      <c r="X127" s="32"/>
      <c r="Y127" s="32"/>
      <c r="Z127" s="32"/>
    </row>
    <row r="128">
      <c r="A128" s="50" t="str">
        <f>IFERROR(__xludf.DUMMYFUNCTION("""COMPUTED_VALUE"""),"a random stick")</f>
        <v>a random stick</v>
      </c>
      <c r="B128" s="50" t="str">
        <f>IFERROR(__xludf.DUMMYFUNCTION("""COMPUTED_VALUE"""),"A random stick the shopkeeper found out back")</f>
        <v>A random stick the shopkeeper found out back</v>
      </c>
      <c r="C128" s="32" t="str">
        <f>IFERROR(__xludf.DUMMYFUNCTION("""COMPUTED_VALUE"""),"Item")</f>
        <v>Item</v>
      </c>
      <c r="D128" s="32" t="str">
        <f>IFERROR(__xludf.DUMMYFUNCTION("""COMPUTED_VALUE"""),"Land of Spira")</f>
        <v>Land of Spira</v>
      </c>
      <c r="E128" s="32" t="b">
        <f>IFERROR(__xludf.DUMMYFUNCTION("""COMPUTED_VALUE"""),FALSE)</f>
        <v>0</v>
      </c>
      <c r="F128" s="32"/>
      <c r="G128" s="32"/>
      <c r="H128" s="32"/>
      <c r="I128" s="32"/>
      <c r="J128" s="32"/>
      <c r="K128" s="32"/>
      <c r="L128" s="32"/>
      <c r="M128" s="32"/>
      <c r="N128" s="32"/>
      <c r="O128" s="32"/>
      <c r="P128" s="32"/>
      <c r="Q128" s="32"/>
      <c r="R128" s="32"/>
      <c r="S128" s="32"/>
      <c r="T128" s="32"/>
      <c r="U128" s="32"/>
      <c r="V128" s="32"/>
      <c r="W128" s="32"/>
      <c r="X128" s="32"/>
      <c r="Y128" s="32"/>
      <c r="Z128" s="32"/>
    </row>
    <row r="129">
      <c r="A129" s="50" t="str">
        <f>IFERROR(__xludf.DUMMYFUNCTION("""COMPUTED_VALUE"""),"Rank 9 Storm Tome")</f>
        <v>Rank 9 Storm Tome</v>
      </c>
      <c r="B129" s="50" t="str">
        <f>IFERROR(__xludf.DUMMYFUNCTION("""COMPUTED_VALUE"""),"Can use up to Rank 9 Storm Spells")</f>
        <v>Can use up to Rank 9 Storm Spells</v>
      </c>
      <c r="C129" s="32" t="str">
        <f>IFERROR(__xludf.DUMMYFUNCTION("""COMPUTED_VALUE"""),"Item")</f>
        <v>Item</v>
      </c>
      <c r="D129" s="32" t="str">
        <f>IFERROR(__xludf.DUMMYFUNCTION("""COMPUTED_VALUE"""),"Land of Spira")</f>
        <v>Land of Spira</v>
      </c>
      <c r="E129" s="32" t="b">
        <f>IFERROR(__xludf.DUMMYFUNCTION("""COMPUTED_VALUE"""),FALSE)</f>
        <v>0</v>
      </c>
      <c r="F129" s="32"/>
      <c r="G129" s="32"/>
      <c r="H129" s="32"/>
      <c r="I129" s="32"/>
      <c r="J129" s="32"/>
      <c r="K129" s="32"/>
      <c r="L129" s="32"/>
      <c r="M129" s="32"/>
      <c r="N129" s="32"/>
      <c r="O129" s="32"/>
      <c r="P129" s="32"/>
      <c r="Q129" s="32"/>
      <c r="R129" s="32"/>
      <c r="S129" s="32"/>
      <c r="T129" s="32"/>
      <c r="U129" s="32"/>
      <c r="V129" s="32"/>
      <c r="W129" s="32"/>
      <c r="X129" s="32"/>
      <c r="Y129" s="32"/>
      <c r="Z129" s="32"/>
    </row>
    <row r="130">
      <c r="A130" s="50"/>
      <c r="B130" s="50"/>
      <c r="C130" s="32"/>
      <c r="D130" s="32"/>
      <c r="E130" s="32" t="b">
        <f>IFERROR(__xludf.DUMMYFUNCTION("""COMPUTED_VALUE"""),FALSE)</f>
        <v>0</v>
      </c>
      <c r="F130" s="32"/>
      <c r="G130" s="32"/>
      <c r="H130" s="32"/>
      <c r="I130" s="32"/>
      <c r="J130" s="32"/>
      <c r="K130" s="32"/>
      <c r="L130" s="32"/>
      <c r="M130" s="32"/>
      <c r="N130" s="32"/>
      <c r="O130" s="32"/>
      <c r="P130" s="32"/>
      <c r="Q130" s="32"/>
      <c r="R130" s="32"/>
      <c r="S130" s="32"/>
      <c r="T130" s="32"/>
      <c r="U130" s="32"/>
      <c r="V130" s="32"/>
      <c r="W130" s="32"/>
      <c r="X130" s="32"/>
      <c r="Y130" s="32"/>
      <c r="Z130" s="32"/>
    </row>
    <row r="131">
      <c r="A131" s="50" t="str">
        <f>IFERROR(__xludf.DUMMYFUNCTION("""COMPUTED_VALUE"""),"Common Tree Branch")</f>
        <v>Common Tree Branch</v>
      </c>
      <c r="B131" s="50" t="str">
        <f>IFERROR(__xludf.DUMMYFUNCTION("""COMPUTED_VALUE"""),"When thrown, each enemy has a 25% chance to be distracted, skipping their next turn")</f>
        <v>When thrown, each enemy has a 25% chance to be distracted, skipping their next turn</v>
      </c>
      <c r="C131" s="32" t="str">
        <f>IFERROR(__xludf.DUMMYFUNCTION("""COMPUTED_VALUE"""),"Item")</f>
        <v>Item</v>
      </c>
      <c r="D131" s="32" t="str">
        <f>IFERROR(__xludf.DUMMYFUNCTION("""COMPUTED_VALUE"""),"Land of Spira")</f>
        <v>Land of Spira</v>
      </c>
      <c r="E131" s="32" t="b">
        <f>IFERROR(__xludf.DUMMYFUNCTION("""COMPUTED_VALUE"""),FALSE)</f>
        <v>0</v>
      </c>
      <c r="F131" s="32"/>
      <c r="G131" s="32"/>
      <c r="H131" s="32"/>
      <c r="I131" s="32"/>
      <c r="J131" s="32"/>
      <c r="K131" s="32"/>
      <c r="L131" s="32"/>
      <c r="M131" s="32"/>
      <c r="N131" s="32"/>
      <c r="O131" s="32"/>
      <c r="P131" s="32"/>
      <c r="Q131" s="32"/>
      <c r="R131" s="32"/>
      <c r="S131" s="32"/>
      <c r="T131" s="32"/>
      <c r="U131" s="32"/>
      <c r="V131" s="32"/>
      <c r="W131" s="32"/>
      <c r="X131" s="32"/>
      <c r="Y131" s="32"/>
      <c r="Z131" s="32"/>
    </row>
    <row r="132">
      <c r="A132" s="27" t="str">
        <f>IFERROR(__xludf.DUMMYFUNCTION("""COMPUTED_VALUE"""),"Uncommon Tree branch")</f>
        <v>Uncommon Tree branch</v>
      </c>
      <c r="B132" s="27"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32" t="str">
        <f>IFERROR(__xludf.DUMMYFUNCTION("""COMPUTED_VALUE"""),"Item")</f>
        <v>Item</v>
      </c>
      <c r="D132" s="32" t="str">
        <f>IFERROR(__xludf.DUMMYFUNCTION("""COMPUTED_VALUE"""),"Land of Spira")</f>
        <v>Land of Spira</v>
      </c>
      <c r="E132" s="32" t="b">
        <f>IFERROR(__xludf.DUMMYFUNCTION("""COMPUTED_VALUE"""),FALSE)</f>
        <v>0</v>
      </c>
      <c r="F132" s="32"/>
      <c r="G132" s="32"/>
      <c r="H132" s="32"/>
      <c r="I132" s="32"/>
      <c r="J132" s="32"/>
      <c r="K132" s="32"/>
      <c r="L132" s="32"/>
      <c r="M132" s="32"/>
      <c r="N132" s="32"/>
      <c r="O132" s="32"/>
      <c r="P132" s="32"/>
      <c r="Q132" s="32"/>
      <c r="R132" s="32"/>
      <c r="S132" s="32"/>
      <c r="T132" s="32"/>
      <c r="U132" s="32"/>
      <c r="V132" s="32"/>
      <c r="W132" s="32"/>
      <c r="X132" s="32"/>
      <c r="Y132" s="32"/>
      <c r="Z132" s="32"/>
    </row>
    <row r="133">
      <c r="A133" s="27" t="str">
        <f>IFERROR(__xludf.DUMMYFUNCTION("""COMPUTED_VALUE"""),"Stale bread")</f>
        <v>Stale bread</v>
      </c>
      <c r="B133" s="27" t="str">
        <f>IFERROR(__xludf.DUMMYFUNCTION("""COMPUTED_VALUE"""),"Recovers 9 hunger")</f>
        <v>Recovers 9 hunger</v>
      </c>
      <c r="C133" s="32" t="str">
        <f>IFERROR(__xludf.DUMMYFUNCTION("""COMPUTED_VALUE"""),"Crop")</f>
        <v>Crop</v>
      </c>
      <c r="D133" s="32" t="str">
        <f>IFERROR(__xludf.DUMMYFUNCTION("""COMPUTED_VALUE"""),"Land of Spira")</f>
        <v>Land of Spira</v>
      </c>
      <c r="E133" s="32" t="b">
        <f>IFERROR(__xludf.DUMMYFUNCTION("""COMPUTED_VALUE"""),FALSE)</f>
        <v>0</v>
      </c>
      <c r="F133" s="32"/>
      <c r="G133" s="32"/>
      <c r="H133" s="32"/>
      <c r="I133" s="32"/>
      <c r="J133" s="32"/>
      <c r="K133" s="32"/>
      <c r="L133" s="32"/>
      <c r="M133" s="32"/>
      <c r="N133" s="32"/>
      <c r="O133" s="32"/>
      <c r="P133" s="32"/>
      <c r="Q133" s="32"/>
      <c r="R133" s="32"/>
      <c r="S133" s="32"/>
      <c r="T133" s="32"/>
      <c r="U133" s="32"/>
      <c r="V133" s="32"/>
      <c r="W133" s="32"/>
      <c r="X133" s="32"/>
      <c r="Y133" s="32"/>
      <c r="Z133" s="32"/>
    </row>
    <row r="134">
      <c r="A134" s="27" t="str">
        <f>IFERROR(__xludf.DUMMYFUNCTION("""COMPUTED_VALUE"""),"Coal")</f>
        <v>Coal</v>
      </c>
      <c r="B134" s="27" t="str">
        <f>IFERROR(__xludf.DUMMYFUNCTION("""COMPUTED_VALUE"""),"Crafting Material, roll a d20 to see how many you get if this is a loot drop.")</f>
        <v>Crafting Material, roll a d20 to see how many you get if this is a loot drop.</v>
      </c>
      <c r="C134" s="32" t="str">
        <f>IFERROR(__xludf.DUMMYFUNCTION("""COMPUTED_VALUE"""),"Item")</f>
        <v>Item</v>
      </c>
      <c r="D134" s="32" t="str">
        <f>IFERROR(__xludf.DUMMYFUNCTION("""COMPUTED_VALUE"""),"Land of Spira")</f>
        <v>Land of Spira</v>
      </c>
      <c r="E134" s="32" t="b">
        <f>IFERROR(__xludf.DUMMYFUNCTION("""COMPUTED_VALUE"""),FALSE)</f>
        <v>0</v>
      </c>
      <c r="F134" s="32"/>
      <c r="G134" s="32"/>
      <c r="H134" s="32"/>
      <c r="I134" s="32"/>
      <c r="J134" s="32"/>
      <c r="K134" s="32"/>
      <c r="L134" s="32"/>
      <c r="M134" s="32"/>
      <c r="N134" s="32"/>
      <c r="O134" s="32"/>
      <c r="P134" s="32"/>
      <c r="Q134" s="32"/>
      <c r="R134" s="32"/>
      <c r="S134" s="32"/>
      <c r="T134" s="32"/>
      <c r="U134" s="32"/>
      <c r="V134" s="32"/>
      <c r="W134" s="32"/>
      <c r="X134" s="32"/>
      <c r="Y134" s="32"/>
      <c r="Z134" s="32"/>
    </row>
    <row r="135">
      <c r="A135" s="27"/>
      <c r="B135" s="27"/>
      <c r="C135" s="32" t="str">
        <f>IFERROR(__xludf.DUMMYFUNCTION("""COMPUTED_VALUE"""),"Item")</f>
        <v>Item</v>
      </c>
      <c r="D135" s="32" t="str">
        <f>IFERROR(__xludf.DUMMYFUNCTION("""COMPUTED_VALUE"""),"Land of Spira")</f>
        <v>Land of Spira</v>
      </c>
      <c r="E135" s="32" t="b">
        <f>IFERROR(__xludf.DUMMYFUNCTION("""COMPUTED_VALUE"""),FALSE)</f>
        <v>0</v>
      </c>
      <c r="F135" s="32"/>
      <c r="G135" s="32"/>
      <c r="H135" s="32"/>
      <c r="I135" s="32"/>
      <c r="J135" s="32"/>
      <c r="K135" s="32"/>
      <c r="L135" s="32"/>
      <c r="M135" s="32"/>
      <c r="N135" s="32"/>
      <c r="O135" s="32"/>
      <c r="P135" s="32"/>
      <c r="Q135" s="32"/>
      <c r="R135" s="32"/>
      <c r="S135" s="32"/>
      <c r="T135" s="32"/>
      <c r="U135" s="32"/>
      <c r="V135" s="32"/>
      <c r="W135" s="32"/>
      <c r="X135" s="32"/>
      <c r="Y135" s="32"/>
      <c r="Z135" s="32"/>
    </row>
    <row r="136">
      <c r="A136" s="27"/>
      <c r="B136" s="27"/>
      <c r="C136" s="32" t="str">
        <f>IFERROR(__xludf.DUMMYFUNCTION("""COMPUTED_VALUE"""),"Item")</f>
        <v>Item</v>
      </c>
      <c r="D136" s="32" t="str">
        <f>IFERROR(__xludf.DUMMYFUNCTION("""COMPUTED_VALUE"""),"Land of Spira")</f>
        <v>Land of Spira</v>
      </c>
      <c r="E136" s="32" t="b">
        <f>IFERROR(__xludf.DUMMYFUNCTION("""COMPUTED_VALUE"""),FALSE)</f>
        <v>0</v>
      </c>
      <c r="F136" s="32"/>
      <c r="G136" s="32"/>
      <c r="H136" s="32"/>
      <c r="I136" s="32"/>
      <c r="J136" s="32"/>
      <c r="K136" s="32"/>
      <c r="L136" s="32"/>
      <c r="M136" s="32"/>
      <c r="N136" s="32"/>
      <c r="O136" s="32"/>
      <c r="P136" s="32"/>
      <c r="Q136" s="32"/>
      <c r="R136" s="32"/>
      <c r="S136" s="32"/>
      <c r="T136" s="32"/>
      <c r="U136" s="32"/>
      <c r="V136" s="32"/>
      <c r="W136" s="32"/>
      <c r="X136" s="32"/>
      <c r="Y136" s="32"/>
      <c r="Z136" s="32"/>
    </row>
    <row r="137">
      <c r="A137" s="27"/>
      <c r="B137" s="27"/>
      <c r="C137" s="32" t="str">
        <f>IFERROR(__xludf.DUMMYFUNCTION("""COMPUTED_VALUE"""),"Item")</f>
        <v>Item</v>
      </c>
      <c r="D137" s="32" t="str">
        <f>IFERROR(__xludf.DUMMYFUNCTION("""COMPUTED_VALUE"""),"Land of Spira")</f>
        <v>Land of Spira</v>
      </c>
      <c r="E137" s="32" t="b">
        <f>IFERROR(__xludf.DUMMYFUNCTION("""COMPUTED_VALUE"""),FALSE)</f>
        <v>0</v>
      </c>
      <c r="F137" s="32"/>
      <c r="G137" s="32"/>
      <c r="H137" s="32"/>
      <c r="I137" s="32"/>
      <c r="J137" s="32"/>
      <c r="K137" s="32"/>
      <c r="L137" s="32"/>
      <c r="M137" s="32"/>
      <c r="N137" s="32"/>
      <c r="O137" s="32"/>
      <c r="P137" s="32"/>
      <c r="Q137" s="32"/>
      <c r="R137" s="32"/>
      <c r="S137" s="32"/>
      <c r="T137" s="32"/>
      <c r="U137" s="32"/>
      <c r="V137" s="32"/>
      <c r="W137" s="32"/>
      <c r="X137" s="32"/>
      <c r="Y137" s="32"/>
      <c r="Z137" s="32"/>
    </row>
    <row r="138">
      <c r="A138" s="27" t="str">
        <f>IFERROR(__xludf.DUMMYFUNCTION("""COMPUTED_VALUE"""),"Red Coral Gem")</f>
        <v>Red Coral Gem</v>
      </c>
      <c r="B138" s="27" t="str">
        <f>IFERROR(__xludf.DUMMYFUNCTION("""COMPUTED_VALUE"""),"500 Fire dmg or Resistance")</f>
        <v>500 Fire dmg or Resistance</v>
      </c>
      <c r="C138" s="32" t="str">
        <f>IFERROR(__xludf.DUMMYFUNCTION("""COMPUTED_VALUE"""),"Item")</f>
        <v>Item</v>
      </c>
      <c r="D138" s="32" t="str">
        <f>IFERROR(__xludf.DUMMYFUNCTION("""COMPUTED_VALUE"""),"Land of Spira")</f>
        <v>Land of Spira</v>
      </c>
      <c r="E138" s="32" t="b">
        <f>IFERROR(__xludf.DUMMYFUNCTION("""COMPUTED_VALUE"""),FALSE)</f>
        <v>0</v>
      </c>
      <c r="F138" s="32"/>
      <c r="G138" s="32"/>
      <c r="H138" s="32"/>
      <c r="I138" s="32"/>
      <c r="J138" s="32"/>
      <c r="K138" s="32"/>
      <c r="L138" s="32"/>
      <c r="M138" s="32"/>
      <c r="N138" s="32"/>
      <c r="O138" s="32"/>
      <c r="P138" s="32"/>
      <c r="Q138" s="32"/>
      <c r="R138" s="32"/>
      <c r="S138" s="32"/>
      <c r="T138" s="32"/>
      <c r="U138" s="32"/>
      <c r="V138" s="32"/>
      <c r="W138" s="32"/>
      <c r="X138" s="32"/>
      <c r="Y138" s="32"/>
      <c r="Z138" s="32"/>
    </row>
    <row r="139">
      <c r="A139" s="27" t="str">
        <f>IFERROR(__xludf.DUMMYFUNCTION("""COMPUTED_VALUE"""),"Blue Coral Gem")</f>
        <v>Blue Coral Gem</v>
      </c>
      <c r="B139" s="27" t="str">
        <f>IFERROR(__xludf.DUMMYFUNCTION("""COMPUTED_VALUE"""),"500 Water dmg or Resistance")</f>
        <v>500 Water dmg or Resistance</v>
      </c>
      <c r="C139" s="32" t="str">
        <f>IFERROR(__xludf.DUMMYFUNCTION("""COMPUTED_VALUE"""),"Item")</f>
        <v>Item</v>
      </c>
      <c r="D139" s="32" t="str">
        <f>IFERROR(__xludf.DUMMYFUNCTION("""COMPUTED_VALUE"""),"Land of Spira")</f>
        <v>Land of Spira</v>
      </c>
      <c r="E139" s="32" t="b">
        <f>IFERROR(__xludf.DUMMYFUNCTION("""COMPUTED_VALUE"""),FALSE)</f>
        <v>0</v>
      </c>
      <c r="F139" s="32"/>
      <c r="G139" s="32"/>
      <c r="H139" s="32"/>
      <c r="I139" s="32"/>
      <c r="J139" s="32"/>
      <c r="K139" s="32"/>
      <c r="L139" s="32"/>
      <c r="M139" s="32"/>
      <c r="N139" s="32"/>
      <c r="O139" s="32"/>
      <c r="P139" s="32"/>
      <c r="Q139" s="32"/>
      <c r="R139" s="32"/>
      <c r="S139" s="32"/>
      <c r="T139" s="32"/>
      <c r="U139" s="32"/>
      <c r="V139" s="32"/>
      <c r="W139" s="32"/>
      <c r="X139" s="32"/>
      <c r="Y139" s="32"/>
      <c r="Z139" s="32"/>
    </row>
    <row r="140">
      <c r="A140" s="27" t="str">
        <f>IFERROR(__xludf.DUMMYFUNCTION("""COMPUTED_VALUE"""),"Yellow Coral Gem")</f>
        <v>Yellow Coral Gem</v>
      </c>
      <c r="B140" s="27" t="str">
        <f>IFERROR(__xludf.DUMMYFUNCTION("""COMPUTED_VALUE"""),"500 Strom dmg or Resistance")</f>
        <v>500 Strom dmg or Resistance</v>
      </c>
      <c r="C140" s="32" t="str">
        <f>IFERROR(__xludf.DUMMYFUNCTION("""COMPUTED_VALUE"""),"Item")</f>
        <v>Item</v>
      </c>
      <c r="D140" s="32" t="str">
        <f>IFERROR(__xludf.DUMMYFUNCTION("""COMPUTED_VALUE"""),"Land of Spira")</f>
        <v>Land of Spira</v>
      </c>
      <c r="E140" s="32" t="b">
        <f>IFERROR(__xludf.DUMMYFUNCTION("""COMPUTED_VALUE"""),FALSE)</f>
        <v>0</v>
      </c>
      <c r="F140" s="32"/>
      <c r="G140" s="32"/>
      <c r="H140" s="32"/>
      <c r="I140" s="32"/>
      <c r="J140" s="32"/>
      <c r="K140" s="32"/>
      <c r="L140" s="32"/>
      <c r="M140" s="32"/>
      <c r="N140" s="32"/>
      <c r="O140" s="32"/>
      <c r="P140" s="32"/>
      <c r="Q140" s="32"/>
      <c r="R140" s="32"/>
      <c r="S140" s="32"/>
      <c r="T140" s="32"/>
      <c r="U140" s="32"/>
      <c r="V140" s="32"/>
      <c r="W140" s="32"/>
      <c r="X140" s="32"/>
      <c r="Y140" s="32"/>
      <c r="Z140" s="32"/>
    </row>
    <row r="141">
      <c r="A141" s="50" t="str">
        <f>IFERROR(__xludf.DUMMYFUNCTION("""COMPUTED_VALUE"""),"Green Coral Gem")</f>
        <v>Green Coral Gem</v>
      </c>
      <c r="B141" s="50" t="str">
        <f>IFERROR(__xludf.DUMMYFUNCTION("""COMPUTED_VALUE"""),"500 nature dmg or Resistance")</f>
        <v>500 nature dmg or Resistance</v>
      </c>
      <c r="C141" s="32" t="str">
        <f>IFERROR(__xludf.DUMMYFUNCTION("""COMPUTED_VALUE"""),"Item")</f>
        <v>Item</v>
      </c>
      <c r="D141" s="32" t="str">
        <f>IFERROR(__xludf.DUMMYFUNCTION("""COMPUTED_VALUE"""),"Land of Spira")</f>
        <v>Land of Spira</v>
      </c>
      <c r="E141" s="32" t="b">
        <f>IFERROR(__xludf.DUMMYFUNCTION("""COMPUTED_VALUE"""),FALSE)</f>
        <v>0</v>
      </c>
      <c r="F141" s="32"/>
      <c r="G141" s="32"/>
      <c r="H141" s="32"/>
      <c r="I141" s="32"/>
      <c r="J141" s="32"/>
      <c r="K141" s="32"/>
      <c r="L141" s="32"/>
      <c r="M141" s="32"/>
      <c r="N141" s="32"/>
      <c r="O141" s="32"/>
      <c r="P141" s="32"/>
      <c r="Q141" s="32"/>
      <c r="R141" s="32"/>
      <c r="S141" s="32"/>
      <c r="T141" s="32"/>
      <c r="U141" s="32"/>
      <c r="V141" s="32"/>
      <c r="W141" s="32"/>
      <c r="X141" s="32"/>
      <c r="Y141" s="32"/>
      <c r="Z141" s="32"/>
    </row>
    <row r="142">
      <c r="A142" s="42" t="str">
        <f>IFERROR(__xludf.DUMMYFUNCTION("""COMPUTED_VALUE"""),"White Coral Gem")</f>
        <v>White Coral Gem</v>
      </c>
      <c r="B142" s="27" t="str">
        <f>IFERROR(__xludf.DUMMYFUNCTION("""COMPUTED_VALUE"""),"500 Spirit dmg or Resistance")</f>
        <v>500 Spirit dmg or Resistance</v>
      </c>
      <c r="C142" s="32" t="str">
        <f>IFERROR(__xludf.DUMMYFUNCTION("""COMPUTED_VALUE"""),"Item")</f>
        <v>Item</v>
      </c>
      <c r="D142" s="32" t="str">
        <f>IFERROR(__xludf.DUMMYFUNCTION("""COMPUTED_VALUE"""),"Land of Spira")</f>
        <v>Land of Spira</v>
      </c>
      <c r="E142" s="32" t="b">
        <f>IFERROR(__xludf.DUMMYFUNCTION("""COMPUTED_VALUE"""),FALSE)</f>
        <v>0</v>
      </c>
      <c r="F142" s="32"/>
      <c r="G142" s="32"/>
      <c r="H142" s="32"/>
      <c r="I142" s="32"/>
      <c r="J142" s="32"/>
      <c r="K142" s="32"/>
      <c r="L142" s="32"/>
      <c r="M142" s="32"/>
      <c r="N142" s="32"/>
      <c r="O142" s="32"/>
      <c r="P142" s="32"/>
      <c r="Q142" s="32"/>
      <c r="R142" s="32"/>
      <c r="S142" s="32"/>
      <c r="T142" s="32"/>
      <c r="U142" s="32"/>
      <c r="V142" s="32"/>
      <c r="W142" s="32"/>
      <c r="X142" s="32"/>
      <c r="Y142" s="32"/>
      <c r="Z142" s="32"/>
    </row>
    <row r="143">
      <c r="A143" s="27" t="str">
        <f>IFERROR(__xludf.DUMMYFUNCTION("""COMPUTED_VALUE"""),"Black Coral Gem")</f>
        <v>Black Coral Gem</v>
      </c>
      <c r="B143" s="27" t="str">
        <f>IFERROR(__xludf.DUMMYFUNCTION("""COMPUTED_VALUE"""),"500 Dark dmg or Resistance")</f>
        <v>500 Dark dmg or Resistance</v>
      </c>
      <c r="C143" s="32" t="str">
        <f>IFERROR(__xludf.DUMMYFUNCTION("""COMPUTED_VALUE"""),"Item")</f>
        <v>Item</v>
      </c>
      <c r="D143" s="32" t="str">
        <f>IFERROR(__xludf.DUMMYFUNCTION("""COMPUTED_VALUE"""),"Land of Spira")</f>
        <v>Land of Spira</v>
      </c>
      <c r="E143" s="32" t="b">
        <f>IFERROR(__xludf.DUMMYFUNCTION("""COMPUTED_VALUE"""),FALSE)</f>
        <v>0</v>
      </c>
      <c r="F143" s="32"/>
      <c r="G143" s="32"/>
      <c r="H143" s="32"/>
      <c r="I143" s="32"/>
      <c r="J143" s="32"/>
      <c r="K143" s="32"/>
      <c r="L143" s="32"/>
      <c r="M143" s="32"/>
      <c r="N143" s="32"/>
      <c r="O143" s="32"/>
      <c r="P143" s="32"/>
      <c r="Q143" s="32"/>
      <c r="R143" s="32"/>
      <c r="S143" s="32"/>
      <c r="T143" s="32"/>
      <c r="U143" s="32"/>
      <c r="V143" s="32"/>
      <c r="W143" s="32"/>
      <c r="X143" s="32"/>
      <c r="Y143" s="32"/>
      <c r="Z143" s="32"/>
    </row>
    <row r="144">
      <c r="A144" s="27" t="str">
        <f>IFERROR(__xludf.DUMMYFUNCTION("""COMPUTED_VALUE"""),"Pink Coral Gem")</f>
        <v>Pink Coral Gem</v>
      </c>
      <c r="B144" s="27" t="str">
        <f>IFERROR(__xludf.DUMMYFUNCTION("""COMPUTED_VALUE"""),"500 dmg or resistance")</f>
        <v>500 dmg or resistance</v>
      </c>
      <c r="C144" s="32" t="str">
        <f>IFERROR(__xludf.DUMMYFUNCTION("""COMPUTED_VALUE"""),"Item")</f>
        <v>Item</v>
      </c>
      <c r="D144" s="32" t="str">
        <f>IFERROR(__xludf.DUMMYFUNCTION("""COMPUTED_VALUE"""),"Land of Spira")</f>
        <v>Land of Spira</v>
      </c>
      <c r="E144" s="32" t="b">
        <f>IFERROR(__xludf.DUMMYFUNCTION("""COMPUTED_VALUE"""),FALSE)</f>
        <v>0</v>
      </c>
      <c r="F144" s="32"/>
      <c r="G144" s="32"/>
      <c r="H144" s="32"/>
      <c r="I144" s="32"/>
      <c r="J144" s="32"/>
      <c r="K144" s="32"/>
      <c r="L144" s="32"/>
      <c r="M144" s="32"/>
      <c r="N144" s="32"/>
      <c r="O144" s="32"/>
      <c r="P144" s="32"/>
      <c r="Q144" s="32"/>
      <c r="R144" s="32"/>
      <c r="S144" s="32"/>
      <c r="T144" s="32"/>
      <c r="U144" s="32"/>
      <c r="V144" s="32"/>
      <c r="W144" s="32"/>
      <c r="X144" s="32"/>
      <c r="Y144" s="32"/>
      <c r="Z144" s="32"/>
    </row>
    <row r="145">
      <c r="A145" s="27" t="str">
        <f>IFERROR(__xludf.DUMMYFUNCTION("""COMPUTED_VALUE"""),"Coral")</f>
        <v>Coral</v>
      </c>
      <c r="B145" s="27" t="str">
        <f>IFERROR(__xludf.DUMMYFUNCTION("""COMPUTED_VALUE"""),"Crafting Material, roll a d20 to see how many you get if this is a loot drop.")</f>
        <v>Crafting Material, roll a d20 to see how many you get if this is a loot drop.</v>
      </c>
      <c r="C145" s="32" t="str">
        <f>IFERROR(__xludf.DUMMYFUNCTION("""COMPUTED_VALUE"""),"Item")</f>
        <v>Item</v>
      </c>
      <c r="D145" s="32" t="str">
        <f>IFERROR(__xludf.DUMMYFUNCTION("""COMPUTED_VALUE"""),"Land of Spira")</f>
        <v>Land of Spira</v>
      </c>
      <c r="E145" s="32" t="b">
        <f>IFERROR(__xludf.DUMMYFUNCTION("""COMPUTED_VALUE"""),FALSE)</f>
        <v>0</v>
      </c>
      <c r="F145" s="32"/>
      <c r="G145" s="32"/>
      <c r="H145" s="32"/>
      <c r="I145" s="32"/>
      <c r="J145" s="32"/>
      <c r="K145" s="32"/>
      <c r="L145" s="32"/>
      <c r="M145" s="32"/>
      <c r="N145" s="32"/>
      <c r="O145" s="32"/>
      <c r="P145" s="32"/>
      <c r="Q145" s="32"/>
      <c r="R145" s="32"/>
      <c r="S145" s="32"/>
      <c r="T145" s="32"/>
      <c r="U145" s="32"/>
      <c r="V145" s="32"/>
      <c r="W145" s="32"/>
      <c r="X145" s="32"/>
      <c r="Y145" s="32"/>
      <c r="Z145" s="32"/>
    </row>
    <row r="146">
      <c r="A146" s="50" t="str">
        <f>IFERROR(__xludf.DUMMYFUNCTION("""COMPUTED_VALUE"""),"Ivory")</f>
        <v>Ivory</v>
      </c>
      <c r="B146" s="27" t="str">
        <f>IFERROR(__xludf.DUMMYFUNCTION("""COMPUTED_VALUE"""),"Crafting Material, roll a d20 to see how many you get if this is a loot drop.")</f>
        <v>Crafting Material, roll a d20 to see how many you get if this is a loot drop.</v>
      </c>
      <c r="C146" s="32" t="str">
        <f>IFERROR(__xludf.DUMMYFUNCTION("""COMPUTED_VALUE"""),"Item")</f>
        <v>Item</v>
      </c>
      <c r="D146" s="32" t="str">
        <f>IFERROR(__xludf.DUMMYFUNCTION("""COMPUTED_VALUE"""),"Land of Spira")</f>
        <v>Land of Spira</v>
      </c>
      <c r="E146" s="32" t="b">
        <f>IFERROR(__xludf.DUMMYFUNCTION("""COMPUTED_VALUE"""),FALSE)</f>
        <v>0</v>
      </c>
      <c r="F146" s="32"/>
      <c r="G146" s="32"/>
      <c r="H146" s="32"/>
      <c r="I146" s="32"/>
      <c r="J146" s="32"/>
      <c r="K146" s="32"/>
      <c r="L146" s="32"/>
      <c r="M146" s="32"/>
      <c r="N146" s="32"/>
      <c r="O146" s="32"/>
      <c r="P146" s="32"/>
      <c r="Q146" s="32"/>
      <c r="R146" s="32"/>
      <c r="S146" s="32"/>
      <c r="T146" s="32"/>
      <c r="U146" s="32"/>
      <c r="V146" s="32"/>
      <c r="W146" s="32"/>
      <c r="X146" s="32"/>
      <c r="Y146" s="32"/>
      <c r="Z146" s="32"/>
    </row>
    <row r="147">
      <c r="A147" s="50" t="str">
        <f>IFERROR(__xludf.DUMMYFUNCTION("""COMPUTED_VALUE"""),"Onyx")</f>
        <v>Onyx</v>
      </c>
      <c r="B147" s="27" t="str">
        <f>IFERROR(__xludf.DUMMYFUNCTION("""COMPUTED_VALUE"""),"Crafting Material, roll a d20 to see how many you get if this is a loot drop.")</f>
        <v>Crafting Material, roll a d20 to see how many you get if this is a loot drop.</v>
      </c>
      <c r="C147" s="32" t="str">
        <f>IFERROR(__xludf.DUMMYFUNCTION("""COMPUTED_VALUE"""),"Item")</f>
        <v>Item</v>
      </c>
      <c r="D147" s="32" t="str">
        <f>IFERROR(__xludf.DUMMYFUNCTION("""COMPUTED_VALUE"""),"Land of Spira")</f>
        <v>Land of Spira</v>
      </c>
      <c r="E147" s="32" t="b">
        <f>IFERROR(__xludf.DUMMYFUNCTION("""COMPUTED_VALUE"""),FALSE)</f>
        <v>0</v>
      </c>
      <c r="F147" s="32"/>
      <c r="G147" s="32"/>
      <c r="H147" s="32"/>
      <c r="I147" s="32"/>
      <c r="J147" s="32"/>
      <c r="K147" s="32"/>
      <c r="L147" s="32"/>
      <c r="M147" s="32"/>
      <c r="N147" s="32"/>
      <c r="O147" s="32"/>
      <c r="P147" s="32"/>
      <c r="Q147" s="32"/>
      <c r="R147" s="32"/>
      <c r="S147" s="32"/>
      <c r="T147" s="32"/>
      <c r="U147" s="32"/>
      <c r="V147" s="32"/>
      <c r="W147" s="32"/>
      <c r="X147" s="32"/>
      <c r="Y147" s="32"/>
      <c r="Z147" s="32"/>
    </row>
    <row r="148">
      <c r="A148" s="50" t="str">
        <f>IFERROR(__xludf.DUMMYFUNCTION("""COMPUTED_VALUE"""),"Jade")</f>
        <v>Jade</v>
      </c>
      <c r="B148" s="27" t="str">
        <f>IFERROR(__xludf.DUMMYFUNCTION("""COMPUTED_VALUE"""),"Crafting Material, roll a d20 to see how many you get if this is a loot drop.")</f>
        <v>Crafting Material, roll a d20 to see how many you get if this is a loot drop.</v>
      </c>
      <c r="C148" s="32" t="str">
        <f>IFERROR(__xludf.DUMMYFUNCTION("""COMPUTED_VALUE"""),"Item")</f>
        <v>Item</v>
      </c>
      <c r="D148" s="32" t="str">
        <f>IFERROR(__xludf.DUMMYFUNCTION("""COMPUTED_VALUE"""),"Land of Spira")</f>
        <v>Land of Spira</v>
      </c>
      <c r="E148" s="32" t="b">
        <f>IFERROR(__xludf.DUMMYFUNCTION("""COMPUTED_VALUE"""),FALSE)</f>
        <v>0</v>
      </c>
      <c r="F148" s="32"/>
      <c r="G148" s="32"/>
      <c r="H148" s="32"/>
      <c r="I148" s="32"/>
      <c r="J148" s="32"/>
      <c r="K148" s="32"/>
      <c r="L148" s="32"/>
      <c r="M148" s="32"/>
      <c r="N148" s="32"/>
      <c r="O148" s="32"/>
      <c r="P148" s="32"/>
      <c r="Q148" s="32"/>
      <c r="R148" s="32"/>
      <c r="S148" s="32"/>
      <c r="T148" s="32"/>
      <c r="U148" s="32"/>
      <c r="V148" s="32"/>
      <c r="W148" s="32"/>
      <c r="X148" s="32"/>
      <c r="Y148" s="32"/>
      <c r="Z148" s="32"/>
    </row>
    <row r="149">
      <c r="A149" s="50" t="str">
        <f>IFERROR(__xludf.DUMMYFUNCTION("""COMPUTED_VALUE"""),"Emerald")</f>
        <v>Emerald</v>
      </c>
      <c r="B149" s="27" t="str">
        <f>IFERROR(__xludf.DUMMYFUNCTION("""COMPUTED_VALUE"""),"Crafting Material, roll a d20 to see how many you get if this is a loot drop.")</f>
        <v>Crafting Material, roll a d20 to see how many you get if this is a loot drop.</v>
      </c>
      <c r="C149" s="32" t="str">
        <f>IFERROR(__xludf.DUMMYFUNCTION("""COMPUTED_VALUE"""),"Item")</f>
        <v>Item</v>
      </c>
      <c r="D149" s="32" t="str">
        <f>IFERROR(__xludf.DUMMYFUNCTION("""COMPUTED_VALUE"""),"Land of Spira")</f>
        <v>Land of Spira</v>
      </c>
      <c r="E149" s="32" t="b">
        <f>IFERROR(__xludf.DUMMYFUNCTION("""COMPUTED_VALUE"""),FALSE)</f>
        <v>0</v>
      </c>
      <c r="F149" s="32"/>
      <c r="G149" s="32"/>
      <c r="H149" s="32"/>
      <c r="I149" s="32"/>
      <c r="J149" s="32"/>
      <c r="K149" s="32"/>
      <c r="L149" s="32"/>
      <c r="M149" s="32"/>
      <c r="N149" s="32"/>
      <c r="O149" s="32"/>
      <c r="P149" s="32"/>
      <c r="Q149" s="32"/>
      <c r="R149" s="32"/>
      <c r="S149" s="32"/>
      <c r="T149" s="32"/>
      <c r="U149" s="32"/>
      <c r="V149" s="32"/>
      <c r="W149" s="32"/>
      <c r="X149" s="32"/>
      <c r="Y149" s="32"/>
      <c r="Z149" s="32"/>
    </row>
    <row r="150">
      <c r="A150" s="50" t="str">
        <f>IFERROR(__xludf.DUMMYFUNCTION("""COMPUTED_VALUE"""),"Ruby")</f>
        <v>Ruby</v>
      </c>
      <c r="B150" s="27" t="str">
        <f>IFERROR(__xludf.DUMMYFUNCTION("""COMPUTED_VALUE"""),"Crafting Material, roll a d20 to see how many you get if this is a loot drop.")</f>
        <v>Crafting Material, roll a d20 to see how many you get if this is a loot drop.</v>
      </c>
      <c r="C150" s="32" t="str">
        <f>IFERROR(__xludf.DUMMYFUNCTION("""COMPUTED_VALUE"""),"Item")</f>
        <v>Item</v>
      </c>
      <c r="D150" s="32" t="str">
        <f>IFERROR(__xludf.DUMMYFUNCTION("""COMPUTED_VALUE"""),"Land of Spira")</f>
        <v>Land of Spira</v>
      </c>
      <c r="E150" s="32" t="b">
        <f>IFERROR(__xludf.DUMMYFUNCTION("""COMPUTED_VALUE"""),FALSE)</f>
        <v>0</v>
      </c>
      <c r="F150" s="32"/>
      <c r="G150" s="32"/>
      <c r="H150" s="32"/>
      <c r="I150" s="32"/>
      <c r="J150" s="32"/>
      <c r="K150" s="32"/>
      <c r="L150" s="32"/>
      <c r="M150" s="32"/>
      <c r="N150" s="32"/>
      <c r="O150" s="32"/>
      <c r="P150" s="32"/>
      <c r="Q150" s="32"/>
      <c r="R150" s="32"/>
      <c r="S150" s="32"/>
      <c r="T150" s="32"/>
      <c r="U150" s="32"/>
      <c r="V150" s="32"/>
      <c r="W150" s="32"/>
      <c r="X150" s="32"/>
      <c r="Y150" s="32"/>
      <c r="Z150" s="32"/>
    </row>
    <row r="151">
      <c r="A151" s="50" t="str">
        <f>IFERROR(__xludf.DUMMYFUNCTION("""COMPUTED_VALUE"""),"Sapphire")</f>
        <v>Sapphire</v>
      </c>
      <c r="B151" s="27" t="str">
        <f>IFERROR(__xludf.DUMMYFUNCTION("""COMPUTED_VALUE"""),"Crafting Material, roll a d20 to see how many you get if this is a loot drop.")</f>
        <v>Crafting Material, roll a d20 to see how many you get if this is a loot drop.</v>
      </c>
      <c r="C151" s="32" t="str">
        <f>IFERROR(__xludf.DUMMYFUNCTION("""COMPUTED_VALUE"""),"Item")</f>
        <v>Item</v>
      </c>
      <c r="D151" s="32" t="str">
        <f>IFERROR(__xludf.DUMMYFUNCTION("""COMPUTED_VALUE"""),"Land of Spira")</f>
        <v>Land of Spira</v>
      </c>
      <c r="E151" s="32" t="b">
        <f>IFERROR(__xludf.DUMMYFUNCTION("""COMPUTED_VALUE"""),FALSE)</f>
        <v>0</v>
      </c>
      <c r="F151" s="32"/>
      <c r="G151" s="32"/>
      <c r="H151" s="32"/>
      <c r="I151" s="32"/>
      <c r="J151" s="32"/>
      <c r="K151" s="32"/>
      <c r="L151" s="32"/>
      <c r="M151" s="32"/>
      <c r="N151" s="32"/>
      <c r="O151" s="32"/>
      <c r="P151" s="32"/>
      <c r="Q151" s="32"/>
      <c r="R151" s="32"/>
      <c r="S151" s="32"/>
      <c r="T151" s="32"/>
      <c r="U151" s="32"/>
      <c r="V151" s="32"/>
      <c r="W151" s="32"/>
      <c r="X151" s="32"/>
      <c r="Y151" s="32"/>
      <c r="Z151" s="32"/>
    </row>
    <row r="152">
      <c r="A152" s="50" t="str">
        <f>IFERROR(__xludf.DUMMYFUNCTION("""COMPUTED_VALUE"""),"Candy Corn")</f>
        <v>Candy Corn</v>
      </c>
      <c r="B152" s="27" t="str">
        <f>IFERROR(__xludf.DUMMYFUNCTION("""COMPUTED_VALUE"""),"Gun ammunition. 5000 damage, +5000 fire damage.")</f>
        <v>Gun ammunition. 5000 damage, +5000 fire damage.</v>
      </c>
      <c r="C152" s="32" t="str">
        <f>IFERROR(__xludf.DUMMYFUNCTION("""COMPUTED_VALUE"""),"Item")</f>
        <v>Item</v>
      </c>
      <c r="D152" s="32" t="str">
        <f>IFERROR(__xludf.DUMMYFUNCTION("""COMPUTED_VALUE"""),"Land of Spira")</f>
        <v>Land of Spira</v>
      </c>
      <c r="E152" s="32" t="b">
        <f>IFERROR(__xludf.DUMMYFUNCTION("""COMPUTED_VALUE"""),FALSE)</f>
        <v>0</v>
      </c>
      <c r="F152" s="32"/>
      <c r="G152" s="32"/>
      <c r="H152" s="32"/>
      <c r="I152" s="32"/>
      <c r="J152" s="32"/>
      <c r="K152" s="32"/>
      <c r="L152" s="32"/>
      <c r="M152" s="32"/>
      <c r="N152" s="32"/>
      <c r="O152" s="32"/>
      <c r="P152" s="32"/>
      <c r="Q152" s="32"/>
      <c r="R152" s="32"/>
      <c r="S152" s="32"/>
      <c r="T152" s="32"/>
      <c r="U152" s="32"/>
      <c r="V152" s="32"/>
      <c r="W152" s="32"/>
      <c r="X152" s="32"/>
      <c r="Y152" s="32"/>
      <c r="Z152" s="32"/>
    </row>
    <row r="153">
      <c r="A153" s="50" t="str">
        <f>IFERROR(__xludf.DUMMYFUNCTION("""COMPUTED_VALUE"""),"Pumpkin Arrow")</f>
        <v>Pumpkin Arrow</v>
      </c>
      <c r="B153" s="27" t="str">
        <f>IFERROR(__xludf.DUMMYFUNCTION("""COMPUTED_VALUE"""),"Bow Ammunition. +5000 fire damage. roll a d20 to see how many you get if this is a loot drop.")</f>
        <v>Bow Ammunition. +5000 fire damage. roll a d20 to see how many you get if this is a loot drop.</v>
      </c>
      <c r="C153" s="32" t="str">
        <f>IFERROR(__xludf.DUMMYFUNCTION("""COMPUTED_VALUE"""),"Item")</f>
        <v>Item</v>
      </c>
      <c r="D153" s="32" t="str">
        <f>IFERROR(__xludf.DUMMYFUNCTION("""COMPUTED_VALUE"""),"Land of Spira")</f>
        <v>Land of Spira</v>
      </c>
      <c r="E153" s="32" t="b">
        <f>IFERROR(__xludf.DUMMYFUNCTION("""COMPUTED_VALUE"""),FALSE)</f>
        <v>0</v>
      </c>
      <c r="F153" s="32"/>
      <c r="G153" s="32"/>
      <c r="H153" s="32"/>
      <c r="I153" s="32"/>
      <c r="J153" s="32"/>
      <c r="K153" s="32"/>
      <c r="L153" s="32"/>
      <c r="M153" s="32"/>
      <c r="N153" s="32"/>
      <c r="O153" s="32"/>
      <c r="P153" s="32"/>
      <c r="Q153" s="32"/>
      <c r="R153" s="32"/>
      <c r="S153" s="32"/>
      <c r="T153" s="32"/>
      <c r="U153" s="32"/>
      <c r="V153" s="32"/>
      <c r="W153" s="32"/>
      <c r="X153" s="32"/>
      <c r="Y153" s="32"/>
      <c r="Z153" s="32"/>
    </row>
    <row r="154">
      <c r="A154" s="47" t="str">
        <f>IFERROR(__xludf.DUMMYFUNCTION("""COMPUTED_VALUE"""),"Candy Corn Gem")</f>
        <v>Candy Corn Gem</v>
      </c>
      <c r="B154" s="50" t="str">
        <f>IFERROR(__xludf.DUMMYFUNCTION("""COMPUTED_VALUE"""),"(Can be turned in for Halloween Coins Decided by the current DM / GM )")</f>
        <v>(Can be turned in for Halloween Coins Decided by the current DM / GM )</v>
      </c>
      <c r="C154" s="32" t="str">
        <f>IFERROR(__xludf.DUMMYFUNCTION("""COMPUTED_VALUE"""),"Item")</f>
        <v>Item</v>
      </c>
      <c r="D154" s="32" t="str">
        <f>IFERROR(__xludf.DUMMYFUNCTION("""COMPUTED_VALUE"""),"Land of Spira")</f>
        <v>Land of Spira</v>
      </c>
      <c r="E154" s="32" t="b">
        <f>IFERROR(__xludf.DUMMYFUNCTION("""COMPUTED_VALUE"""),FALSE)</f>
        <v>0</v>
      </c>
      <c r="F154" s="32"/>
      <c r="G154" s="32"/>
      <c r="H154" s="32"/>
      <c r="I154" s="32"/>
      <c r="J154" s="32"/>
      <c r="K154" s="32"/>
      <c r="L154" s="32"/>
      <c r="M154" s="32"/>
      <c r="N154" s="32"/>
      <c r="O154" s="32"/>
      <c r="P154" s="32"/>
      <c r="Q154" s="32"/>
      <c r="R154" s="32"/>
      <c r="S154" s="32"/>
      <c r="T154" s="32"/>
      <c r="U154" s="32"/>
      <c r="V154" s="32"/>
      <c r="W154" s="32"/>
      <c r="X154" s="32"/>
      <c r="Y154" s="32"/>
      <c r="Z154" s="32"/>
    </row>
    <row r="155">
      <c r="A155" s="50" t="str">
        <f>IFERROR(__xludf.DUMMYFUNCTION("""COMPUTED_VALUE"""),"Steel Arrow")</f>
        <v>Steel Arrow</v>
      </c>
      <c r="B155" s="27" t="str">
        <f>IFERROR(__xludf.DUMMYFUNCTION("""COMPUTED_VALUE"""),"Bow Ammunition. +100 damage. roll a d20 to see how many you get if this is a loot drop.")</f>
        <v>Bow Ammunition. +100 damage. roll a d20 to see how many you get if this is a loot drop.</v>
      </c>
      <c r="C155" s="32" t="str">
        <f>IFERROR(__xludf.DUMMYFUNCTION("""COMPUTED_VALUE"""),"Item")</f>
        <v>Item</v>
      </c>
      <c r="D155" s="32" t="str">
        <f>IFERROR(__xludf.DUMMYFUNCTION("""COMPUTED_VALUE"""),"Land of Spira")</f>
        <v>Land of Spira</v>
      </c>
      <c r="E155" s="32" t="b">
        <f>IFERROR(__xludf.DUMMYFUNCTION("""COMPUTED_VALUE"""),FALSE)</f>
        <v>0</v>
      </c>
      <c r="F155" s="32"/>
      <c r="G155" s="32"/>
      <c r="H155" s="32"/>
      <c r="I155" s="32"/>
      <c r="J155" s="32"/>
      <c r="K155" s="32"/>
      <c r="L155" s="32"/>
      <c r="M155" s="32"/>
      <c r="N155" s="32"/>
      <c r="O155" s="32"/>
      <c r="P155" s="32"/>
      <c r="Q155" s="32"/>
      <c r="R155" s="32"/>
      <c r="S155" s="32"/>
      <c r="T155" s="32"/>
      <c r="U155" s="32"/>
      <c r="V155" s="32"/>
      <c r="W155" s="32"/>
      <c r="X155" s="32"/>
      <c r="Y155" s="32"/>
      <c r="Z155" s="32"/>
    </row>
    <row r="156">
      <c r="A156" s="50" t="str">
        <f>IFERROR(__xludf.DUMMYFUNCTION("""COMPUTED_VALUE"""),"Bone Key")</f>
        <v>Bone Key</v>
      </c>
      <c r="B156" s="50" t="str">
        <f>IFERROR(__xludf.DUMMYFUNCTION("""COMPUTED_VALUE"""),"Opens bone chest")</f>
        <v>Opens bone chest</v>
      </c>
      <c r="C156" s="32" t="str">
        <f>IFERROR(__xludf.DUMMYFUNCTION("""COMPUTED_VALUE"""),"Item")</f>
        <v>Item</v>
      </c>
      <c r="D156" s="32" t="str">
        <f>IFERROR(__xludf.DUMMYFUNCTION("""COMPUTED_VALUE"""),"Land of Spira")</f>
        <v>Land of Spira</v>
      </c>
      <c r="E156" s="32" t="b">
        <f>IFERROR(__xludf.DUMMYFUNCTION("""COMPUTED_VALUE"""),FALSE)</f>
        <v>0</v>
      </c>
      <c r="F156" s="32"/>
      <c r="G156" s="32"/>
      <c r="H156" s="32"/>
      <c r="I156" s="32"/>
      <c r="J156" s="32"/>
      <c r="K156" s="32"/>
      <c r="L156" s="32"/>
      <c r="M156" s="32"/>
      <c r="N156" s="32"/>
      <c r="O156" s="32"/>
      <c r="P156" s="32"/>
      <c r="Q156" s="32"/>
      <c r="R156" s="32"/>
      <c r="S156" s="32"/>
      <c r="T156" s="32"/>
      <c r="U156" s="32"/>
      <c r="V156" s="32"/>
      <c r="W156" s="32"/>
      <c r="X156" s="32"/>
      <c r="Y156" s="32"/>
      <c r="Z156" s="32"/>
    </row>
    <row r="157">
      <c r="A157" s="50" t="str">
        <f>IFERROR(__xludf.DUMMYFUNCTION("""COMPUTED_VALUE"""),"Bone")</f>
        <v>Bone</v>
      </c>
      <c r="B157" s="50" t="str">
        <f>IFERROR(__xludf.DUMMYFUNCTION("""COMPUTED_VALUE"""),"Crafting Material, roll a d20 to see how many you get if this is a loot drop.")</f>
        <v>Crafting Material, roll a d20 to see how many you get if this is a loot drop.</v>
      </c>
      <c r="C157" s="32" t="str">
        <f>IFERROR(__xludf.DUMMYFUNCTION("""COMPUTED_VALUE"""),"Item")</f>
        <v>Item</v>
      </c>
      <c r="D157" s="32" t="str">
        <f>IFERROR(__xludf.DUMMYFUNCTION("""COMPUTED_VALUE"""),"Land of Spira")</f>
        <v>Land of Spira</v>
      </c>
      <c r="E157" s="32" t="b">
        <f>IFERROR(__xludf.DUMMYFUNCTION("""COMPUTED_VALUE"""),FALSE)</f>
        <v>0</v>
      </c>
      <c r="F157" s="32"/>
      <c r="G157" s="32"/>
      <c r="H157" s="32"/>
      <c r="I157" s="32"/>
      <c r="J157" s="32"/>
      <c r="K157" s="32"/>
      <c r="L157" s="32"/>
      <c r="M157" s="32"/>
      <c r="N157" s="32"/>
      <c r="O157" s="32"/>
      <c r="P157" s="32"/>
      <c r="Q157" s="32"/>
      <c r="R157" s="32"/>
      <c r="S157" s="32"/>
      <c r="T157" s="32"/>
      <c r="U157" s="32"/>
      <c r="V157" s="32"/>
      <c r="W157" s="32"/>
      <c r="X157" s="32"/>
      <c r="Y157" s="32"/>
      <c r="Z157" s="32"/>
    </row>
    <row r="158">
      <c r="A158" s="50" t="str">
        <f>IFERROR(__xludf.DUMMYFUNCTION("""COMPUTED_VALUE"""),"Bone Chest")</f>
        <v>Bone Chest</v>
      </c>
      <c r="B158" s="50" t="str">
        <f>IFERROR(__xludf.DUMMYFUNCTION("""COMPUTED_VALUE"""),"Determine the tier by a d10 roll.")</f>
        <v>Determine the tier by a d10 roll.</v>
      </c>
      <c r="C158" s="32" t="str">
        <f>IFERROR(__xludf.DUMMYFUNCTION("""COMPUTED_VALUE"""),"Item")</f>
        <v>Item</v>
      </c>
      <c r="D158" s="32" t="str">
        <f>IFERROR(__xludf.DUMMYFUNCTION("""COMPUTED_VALUE"""),"Land of Spira")</f>
        <v>Land of Spira</v>
      </c>
      <c r="E158" s="32" t="b">
        <f>IFERROR(__xludf.DUMMYFUNCTION("""COMPUTED_VALUE"""),FALSE)</f>
        <v>0</v>
      </c>
      <c r="F158" s="32"/>
      <c r="G158" s="32"/>
      <c r="H158" s="32"/>
      <c r="I158" s="32"/>
      <c r="J158" s="32"/>
      <c r="K158" s="32"/>
      <c r="L158" s="32"/>
      <c r="M158" s="32"/>
      <c r="N158" s="32"/>
      <c r="O158" s="32"/>
      <c r="P158" s="32"/>
      <c r="Q158" s="32"/>
      <c r="R158" s="32"/>
      <c r="S158" s="32"/>
      <c r="T158" s="32"/>
      <c r="U158" s="32"/>
      <c r="V158" s="32"/>
      <c r="W158" s="32"/>
      <c r="X158" s="32"/>
      <c r="Y158" s="32"/>
      <c r="Z158" s="32"/>
    </row>
    <row r="159">
      <c r="A159" s="50" t="str">
        <f>IFERROR(__xludf.DUMMYFUNCTION("""COMPUTED_VALUE"""),"Viking Key")</f>
        <v>Viking Key</v>
      </c>
      <c r="B159" s="50" t="str">
        <f>IFERROR(__xludf.DUMMYFUNCTION("""COMPUTED_VALUE"""),"Opens the Viking Chest")</f>
        <v>Opens the Viking Chest</v>
      </c>
      <c r="C159" s="32" t="str">
        <f>IFERROR(__xludf.DUMMYFUNCTION("""COMPUTED_VALUE"""),"Item")</f>
        <v>Item</v>
      </c>
      <c r="D159" s="32" t="str">
        <f>IFERROR(__xludf.DUMMYFUNCTION("""COMPUTED_VALUE"""),"Land of Spira")</f>
        <v>Land of Spira</v>
      </c>
      <c r="E159" s="32" t="b">
        <f>IFERROR(__xludf.DUMMYFUNCTION("""COMPUTED_VALUE"""),FALSE)</f>
        <v>0</v>
      </c>
      <c r="F159" s="32"/>
      <c r="G159" s="32"/>
      <c r="H159" s="32"/>
      <c r="I159" s="32"/>
      <c r="J159" s="32"/>
      <c r="K159" s="32"/>
      <c r="L159" s="32"/>
      <c r="M159" s="32"/>
      <c r="N159" s="32"/>
      <c r="O159" s="32"/>
      <c r="P159" s="32"/>
      <c r="Q159" s="32"/>
      <c r="R159" s="32"/>
      <c r="S159" s="32"/>
      <c r="T159" s="32"/>
      <c r="U159" s="32"/>
      <c r="V159" s="32"/>
      <c r="W159" s="32"/>
      <c r="X159" s="32"/>
      <c r="Y159" s="32"/>
      <c r="Z159" s="32"/>
    </row>
    <row r="160">
      <c r="A160" s="50" t="str">
        <f>IFERROR(__xludf.DUMMYFUNCTION("""COMPUTED_VALUE"""),"Viking Chest")</f>
        <v>Viking Chest</v>
      </c>
      <c r="B160" s="50" t="str">
        <f>IFERROR(__xludf.DUMMYFUNCTION("""COMPUTED_VALUE"""),"Determine the tier by a d10 roll.")</f>
        <v>Determine the tier by a d10 roll.</v>
      </c>
      <c r="C160" s="32" t="str">
        <f>IFERROR(__xludf.DUMMYFUNCTION("""COMPUTED_VALUE"""),"Item")</f>
        <v>Item</v>
      </c>
      <c r="D160" s="32" t="str">
        <f>IFERROR(__xludf.DUMMYFUNCTION("""COMPUTED_VALUE"""),"Land of Spira")</f>
        <v>Land of Spira</v>
      </c>
      <c r="E160" s="32" t="b">
        <f>IFERROR(__xludf.DUMMYFUNCTION("""COMPUTED_VALUE"""),FALSE)</f>
        <v>0</v>
      </c>
      <c r="F160" s="32"/>
      <c r="G160" s="32"/>
      <c r="H160" s="32"/>
      <c r="I160" s="32"/>
      <c r="J160" s="32"/>
      <c r="K160" s="32"/>
      <c r="L160" s="32"/>
      <c r="M160" s="32"/>
      <c r="N160" s="32"/>
      <c r="O160" s="32"/>
      <c r="P160" s="32"/>
      <c r="Q160" s="32"/>
      <c r="R160" s="32"/>
      <c r="S160" s="32"/>
      <c r="T160" s="32"/>
      <c r="U160" s="32"/>
      <c r="V160" s="32"/>
      <c r="W160" s="32"/>
      <c r="X160" s="32"/>
      <c r="Y160" s="32"/>
      <c r="Z160" s="32"/>
    </row>
    <row r="161">
      <c r="A161" s="50" t="str">
        <f>IFERROR(__xludf.DUMMYFUNCTION("""COMPUTED_VALUE"""),"Vikings Cove Key")</f>
        <v>Vikings Cove Key</v>
      </c>
      <c r="B161" s="50" t="str">
        <f>IFERROR(__xludf.DUMMYFUNCTION("""COMPUTED_VALUE"""),"Gain access to Vikings Cove")</f>
        <v>Gain access to Vikings Cove</v>
      </c>
      <c r="C161" s="32" t="str">
        <f>IFERROR(__xludf.DUMMYFUNCTION("""COMPUTED_VALUE"""),"Item")</f>
        <v>Item</v>
      </c>
      <c r="D161" s="32" t="str">
        <f>IFERROR(__xludf.DUMMYFUNCTION("""COMPUTED_VALUE"""),"Land of Spira")</f>
        <v>Land of Spira</v>
      </c>
      <c r="E161" s="32" t="b">
        <f>IFERROR(__xludf.DUMMYFUNCTION("""COMPUTED_VALUE"""),FALSE)</f>
        <v>0</v>
      </c>
      <c r="F161" s="32"/>
      <c r="G161" s="32"/>
      <c r="H161" s="32"/>
      <c r="I161" s="32"/>
      <c r="J161" s="32"/>
      <c r="K161" s="32"/>
      <c r="L161" s="32"/>
      <c r="M161" s="32"/>
      <c r="N161" s="32"/>
      <c r="O161" s="32"/>
      <c r="P161" s="32"/>
      <c r="Q161" s="32"/>
      <c r="R161" s="32"/>
      <c r="S161" s="32"/>
      <c r="T161" s="32"/>
      <c r="U161" s="32"/>
      <c r="V161" s="32"/>
      <c r="W161" s="32"/>
      <c r="X161" s="32"/>
      <c r="Y161" s="32"/>
      <c r="Z161" s="32"/>
    </row>
    <row r="162">
      <c r="A162" s="27" t="str">
        <f>IFERROR(__xludf.DUMMYFUNCTION("""COMPUTED_VALUE"""),"Baboon meat")</f>
        <v>Baboon meat</v>
      </c>
      <c r="B162" s="27" t="str">
        <f>IFERROR(__xludf.DUMMYFUNCTION("""COMPUTED_VALUE""")," +2 hunger")</f>
        <v> +2 hunger</v>
      </c>
      <c r="C162" s="32" t="str">
        <f>IFERROR(__xludf.DUMMYFUNCTION("""COMPUTED_VALUE"""),"Crop")</f>
        <v>Crop</v>
      </c>
      <c r="D162" s="32" t="str">
        <f>IFERROR(__xludf.DUMMYFUNCTION("""COMPUTED_VALUE"""),"Land of Spira")</f>
        <v>Land of Spira</v>
      </c>
      <c r="E162" s="32" t="b">
        <f>IFERROR(__xludf.DUMMYFUNCTION("""COMPUTED_VALUE"""),FALSE)</f>
        <v>0</v>
      </c>
      <c r="F162" s="32"/>
      <c r="G162" s="32"/>
      <c r="H162" s="32"/>
      <c r="I162" s="32"/>
      <c r="J162" s="32"/>
      <c r="K162" s="32"/>
      <c r="L162" s="32"/>
      <c r="M162" s="32"/>
      <c r="N162" s="32"/>
      <c r="O162" s="32"/>
      <c r="P162" s="32"/>
      <c r="Q162" s="32"/>
      <c r="R162" s="32"/>
      <c r="S162" s="32"/>
      <c r="T162" s="32"/>
      <c r="U162" s="32"/>
      <c r="V162" s="32"/>
      <c r="W162" s="32"/>
      <c r="X162" s="32"/>
      <c r="Y162" s="32"/>
      <c r="Z162" s="32"/>
    </row>
    <row r="163">
      <c r="A163" s="27" t="str">
        <f>IFERROR(__xludf.DUMMYFUNCTION("""COMPUTED_VALUE"""),"Eagle Feathers")</f>
        <v>Eagle Feathers</v>
      </c>
      <c r="B163" s="27" t="str">
        <f>IFERROR(__xludf.DUMMYFUNCTION("""COMPUTED_VALUE"""),"Crafting Material, roll a d20 to see how many you get if this is a loot drop.")</f>
        <v>Crafting Material, roll a d20 to see how many you get if this is a loot drop.</v>
      </c>
      <c r="C163" s="32" t="str">
        <f>IFERROR(__xludf.DUMMYFUNCTION("""COMPUTED_VALUE"""),"Item")</f>
        <v>Item</v>
      </c>
      <c r="D163" s="32" t="str">
        <f>IFERROR(__xludf.DUMMYFUNCTION("""COMPUTED_VALUE"""),"Land of Spira")</f>
        <v>Land of Spira</v>
      </c>
      <c r="E163" s="32" t="b">
        <f>IFERROR(__xludf.DUMMYFUNCTION("""COMPUTED_VALUE"""),FALSE)</f>
        <v>0</v>
      </c>
      <c r="F163" s="32"/>
      <c r="G163" s="32"/>
      <c r="H163" s="32"/>
      <c r="I163" s="32"/>
      <c r="J163" s="32"/>
      <c r="K163" s="32"/>
      <c r="L163" s="32"/>
      <c r="M163" s="32"/>
      <c r="N163" s="32"/>
      <c r="O163" s="32"/>
      <c r="P163" s="32"/>
      <c r="Q163" s="32"/>
      <c r="R163" s="32"/>
      <c r="S163" s="32"/>
      <c r="T163" s="32"/>
      <c r="U163" s="32"/>
      <c r="V163" s="32"/>
      <c r="W163" s="32"/>
      <c r="X163" s="32"/>
      <c r="Y163" s="32"/>
      <c r="Z163" s="32"/>
    </row>
    <row r="164">
      <c r="A164" s="27" t="str">
        <f>IFERROR(__xludf.DUMMYFUNCTION("""COMPUTED_VALUE"""),"The Cycle")</f>
        <v>The Cycle</v>
      </c>
      <c r="B164" s="27"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32" t="str">
        <f>IFERROR(__xludf.DUMMYFUNCTION("""COMPUTED_VALUE"""),"Item")</f>
        <v>Item</v>
      </c>
      <c r="D164" s="32" t="str">
        <f>IFERROR(__xludf.DUMMYFUNCTION("""COMPUTED_VALUE"""),"Land of Spira")</f>
        <v>Land of Spira</v>
      </c>
      <c r="E164" s="32" t="b">
        <f>IFERROR(__xludf.DUMMYFUNCTION("""COMPUTED_VALUE"""),FALSE)</f>
        <v>0</v>
      </c>
      <c r="F164" s="32"/>
      <c r="G164" s="32"/>
      <c r="H164" s="32"/>
      <c r="I164" s="32"/>
      <c r="J164" s="32"/>
      <c r="K164" s="32"/>
      <c r="L164" s="32"/>
      <c r="M164" s="32"/>
      <c r="N164" s="32"/>
      <c r="O164" s="32"/>
      <c r="P164" s="32"/>
      <c r="Q164" s="32"/>
      <c r="R164" s="32"/>
      <c r="S164" s="32"/>
      <c r="T164" s="32"/>
      <c r="U164" s="32"/>
      <c r="V164" s="32"/>
      <c r="W164" s="32"/>
      <c r="X164" s="32"/>
      <c r="Y164" s="32"/>
      <c r="Z164" s="32"/>
    </row>
    <row r="165">
      <c r="A165" s="27" t="str">
        <f>IFERROR(__xludf.DUMMYFUNCTION("""COMPUTED_VALUE"""),"Scale")</f>
        <v>Scale</v>
      </c>
      <c r="B165" s="27" t="str">
        <f>IFERROR(__xludf.DUMMYFUNCTION("""COMPUTED_VALUE"""),"can be added to armor to give it +1 Earth resistance, once added to armor it can’t be removed")</f>
        <v>can be added to armor to give it +1 Earth resistance, once added to armor it can’t be removed</v>
      </c>
      <c r="C165" s="32" t="str">
        <f>IFERROR(__xludf.DUMMYFUNCTION("""COMPUTED_VALUE"""),"Item")</f>
        <v>Item</v>
      </c>
      <c r="D165" s="32" t="str">
        <f>IFERROR(__xludf.DUMMYFUNCTION("""COMPUTED_VALUE"""),"Land of Spira")</f>
        <v>Land of Spira</v>
      </c>
      <c r="E165" s="32" t="b">
        <f>IFERROR(__xludf.DUMMYFUNCTION("""COMPUTED_VALUE"""),FALSE)</f>
        <v>0</v>
      </c>
      <c r="F165" s="32"/>
      <c r="G165" s="32"/>
      <c r="H165" s="32"/>
      <c r="I165" s="32"/>
      <c r="J165" s="32"/>
      <c r="K165" s="32"/>
      <c r="L165" s="32"/>
      <c r="M165" s="32"/>
      <c r="N165" s="32"/>
      <c r="O165" s="32"/>
      <c r="P165" s="32"/>
      <c r="Q165" s="32"/>
      <c r="R165" s="32"/>
      <c r="S165" s="32"/>
      <c r="T165" s="32"/>
      <c r="U165" s="32"/>
      <c r="V165" s="32"/>
      <c r="W165" s="32"/>
      <c r="X165" s="32"/>
      <c r="Y165" s="32"/>
      <c r="Z165" s="32"/>
    </row>
    <row r="166">
      <c r="A166" s="27" t="str">
        <f>IFERROR(__xludf.DUMMYFUNCTION("""COMPUTED_VALUE"""),"Egg")</f>
        <v>Egg</v>
      </c>
      <c r="B166" s="27" t="str">
        <f>IFERROR(__xludf.DUMMYFUNCTION("""COMPUTED_VALUE"""),"Will hatch in X/X days.")</f>
        <v>Will hatch in X/X days.</v>
      </c>
      <c r="C166" s="32" t="str">
        <f>IFERROR(__xludf.DUMMYFUNCTION("""COMPUTED_VALUE"""),"Item")</f>
        <v>Item</v>
      </c>
      <c r="D166" s="32" t="str">
        <f>IFERROR(__xludf.DUMMYFUNCTION("""COMPUTED_VALUE"""),"Land of Spira")</f>
        <v>Land of Spira</v>
      </c>
      <c r="E166" s="32" t="b">
        <f>IFERROR(__xludf.DUMMYFUNCTION("""COMPUTED_VALUE"""),FALSE)</f>
        <v>0</v>
      </c>
      <c r="F166" s="32"/>
      <c r="G166" s="32"/>
      <c r="H166" s="32"/>
      <c r="I166" s="32"/>
      <c r="J166" s="32"/>
      <c r="K166" s="32"/>
      <c r="L166" s="32"/>
      <c r="M166" s="32"/>
      <c r="N166" s="32"/>
      <c r="O166" s="32"/>
      <c r="P166" s="32"/>
      <c r="Q166" s="32"/>
      <c r="R166" s="32"/>
      <c r="S166" s="32"/>
      <c r="T166" s="32"/>
      <c r="U166" s="32"/>
      <c r="V166" s="32"/>
      <c r="W166" s="32"/>
      <c r="X166" s="32"/>
      <c r="Y166" s="32"/>
      <c r="Z166" s="32"/>
    </row>
    <row r="167">
      <c r="A167" s="27" t="str">
        <f>IFERROR(__xludf.DUMMYFUNCTION("""COMPUTED_VALUE"""),"Soul")</f>
        <v>Soul</v>
      </c>
      <c r="B167" s="27"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32" t="str">
        <f>IFERROR(__xludf.DUMMYFUNCTION("""COMPUTED_VALUE"""),"Item")</f>
        <v>Item</v>
      </c>
      <c r="D167" s="32" t="str">
        <f>IFERROR(__xludf.DUMMYFUNCTION("""COMPUTED_VALUE"""),"Land of Spira")</f>
        <v>Land of Spira</v>
      </c>
      <c r="E167" s="32" t="b">
        <f>IFERROR(__xludf.DUMMYFUNCTION("""COMPUTED_VALUE"""),FALSE)</f>
        <v>0</v>
      </c>
      <c r="F167" s="32"/>
      <c r="G167" s="32"/>
      <c r="H167" s="32"/>
      <c r="I167" s="32"/>
      <c r="J167" s="32"/>
      <c r="K167" s="32"/>
      <c r="L167" s="32"/>
      <c r="M167" s="32"/>
      <c r="N167" s="32"/>
      <c r="O167" s="32"/>
      <c r="P167" s="32"/>
      <c r="Q167" s="32"/>
      <c r="R167" s="32"/>
      <c r="S167" s="32"/>
      <c r="T167" s="32"/>
      <c r="U167" s="32"/>
      <c r="V167" s="32"/>
      <c r="W167" s="32"/>
      <c r="X167" s="32"/>
      <c r="Y167" s="32"/>
      <c r="Z167" s="32"/>
    </row>
    <row r="168">
      <c r="A168" s="27" t="str">
        <f>IFERROR(__xludf.DUMMYFUNCTION("""COMPUTED_VALUE"""),"Crystal")</f>
        <v>Crystal</v>
      </c>
      <c r="B168" s="27" t="str">
        <f>IFERROR(__xludf.DUMMYFUNCTION("""COMPUTED_VALUE"""),"Crafting Material, roll a d20 to see how many you get if this is a loot drop.")</f>
        <v>Crafting Material, roll a d20 to see how many you get if this is a loot drop.</v>
      </c>
      <c r="C168" s="32" t="str">
        <f>IFERROR(__xludf.DUMMYFUNCTION("""COMPUTED_VALUE"""),"Item")</f>
        <v>Item</v>
      </c>
      <c r="D168" s="32" t="str">
        <f>IFERROR(__xludf.DUMMYFUNCTION("""COMPUTED_VALUE"""),"Land of Spira")</f>
        <v>Land of Spira</v>
      </c>
      <c r="E168" s="32" t="b">
        <f>IFERROR(__xludf.DUMMYFUNCTION("""COMPUTED_VALUE"""),FALSE)</f>
        <v>0</v>
      </c>
      <c r="F168" s="32"/>
      <c r="G168" s="32"/>
      <c r="H168" s="32"/>
      <c r="I168" s="32"/>
      <c r="J168" s="32"/>
      <c r="K168" s="32"/>
      <c r="L168" s="32"/>
      <c r="M168" s="32"/>
      <c r="N168" s="32"/>
      <c r="O168" s="32"/>
      <c r="P168" s="32"/>
      <c r="Q168" s="32"/>
      <c r="R168" s="32"/>
      <c r="S168" s="32"/>
      <c r="T168" s="32"/>
      <c r="U168" s="32"/>
      <c r="V168" s="32"/>
      <c r="W168" s="32"/>
      <c r="X168" s="32"/>
      <c r="Y168" s="32"/>
      <c r="Z168" s="32"/>
    </row>
    <row r="169">
      <c r="A169" s="27" t="str">
        <f>IFERROR(__xludf.DUMMYFUNCTION("""COMPUTED_VALUE"""),"Delta Gems")</f>
        <v>Delta Gems</v>
      </c>
      <c r="B169" s="27" t="str">
        <f>IFERROR(__xludf.DUMMYFUNCTION("""COMPUTED_VALUE"""),"Crafting Material, roll a d20 to see how many you get if this is a loot drop.")</f>
        <v>Crafting Material, roll a d20 to see how many you get if this is a loot drop.</v>
      </c>
      <c r="C169" s="32" t="str">
        <f>IFERROR(__xludf.DUMMYFUNCTION("""COMPUTED_VALUE"""),"Item")</f>
        <v>Item</v>
      </c>
      <c r="D169" s="32" t="str">
        <f>IFERROR(__xludf.DUMMYFUNCTION("""COMPUTED_VALUE"""),"Land of Spira")</f>
        <v>Land of Spira</v>
      </c>
      <c r="E169" s="32" t="b">
        <f>IFERROR(__xludf.DUMMYFUNCTION("""COMPUTED_VALUE"""),FALSE)</f>
        <v>0</v>
      </c>
      <c r="F169" s="32"/>
      <c r="G169" s="32"/>
      <c r="H169" s="32"/>
      <c r="I169" s="32"/>
      <c r="J169" s="32"/>
      <c r="K169" s="32"/>
      <c r="L169" s="32"/>
      <c r="M169" s="32"/>
      <c r="N169" s="32"/>
      <c r="O169" s="32"/>
      <c r="P169" s="32"/>
      <c r="Q169" s="32"/>
      <c r="R169" s="32"/>
      <c r="S169" s="32"/>
      <c r="T169" s="32"/>
      <c r="U169" s="32"/>
      <c r="V169" s="32"/>
      <c r="W169" s="32"/>
      <c r="X169" s="32"/>
      <c r="Y169" s="32"/>
      <c r="Z169" s="32"/>
    </row>
    <row r="170">
      <c r="A170" s="27" t="str">
        <f>IFERROR(__xludf.DUMMYFUNCTION("""COMPUTED_VALUE"""),"Fire Diamonds")</f>
        <v>Fire Diamonds</v>
      </c>
      <c r="B170" s="27" t="str">
        <f>IFERROR(__xludf.DUMMYFUNCTION("""COMPUTED_VALUE"""),"Crafting Material, roll a d20 to see how many you get if this is a loot drop.")</f>
        <v>Crafting Material, roll a d20 to see how many you get if this is a loot drop.</v>
      </c>
      <c r="C170" s="32" t="str">
        <f>IFERROR(__xludf.DUMMYFUNCTION("""COMPUTED_VALUE"""),"Item")</f>
        <v>Item</v>
      </c>
      <c r="D170" s="32" t="str">
        <f>IFERROR(__xludf.DUMMYFUNCTION("""COMPUTED_VALUE"""),"Land of Spira")</f>
        <v>Land of Spira</v>
      </c>
      <c r="E170" s="32" t="b">
        <f>IFERROR(__xludf.DUMMYFUNCTION("""COMPUTED_VALUE"""),FALSE)</f>
        <v>0</v>
      </c>
      <c r="F170" s="32"/>
      <c r="G170" s="32"/>
      <c r="H170" s="32"/>
      <c r="I170" s="32"/>
      <c r="J170" s="32"/>
      <c r="K170" s="32"/>
      <c r="L170" s="32"/>
      <c r="M170" s="32"/>
      <c r="N170" s="32"/>
      <c r="O170" s="32"/>
      <c r="P170" s="32"/>
      <c r="Q170" s="32"/>
      <c r="R170" s="32"/>
      <c r="S170" s="32"/>
      <c r="T170" s="32"/>
      <c r="U170" s="32"/>
      <c r="V170" s="32"/>
      <c r="W170" s="32"/>
      <c r="X170" s="32"/>
      <c r="Y170" s="32"/>
      <c r="Z170" s="32"/>
    </row>
    <row r="171">
      <c r="A171" s="27" t="str">
        <f>IFERROR(__xludf.DUMMYFUNCTION("""COMPUTED_VALUE"""),"plant containing the ‘instant death status effect’")</f>
        <v>plant containing the ‘instant death status effect’</v>
      </c>
      <c r="B171" s="27" t="str">
        <f>IFERROR(__xludf.DUMMYFUNCTION("""COMPUTED_VALUE"""),"Quest item")</f>
        <v>Quest item</v>
      </c>
      <c r="C171" s="32" t="str">
        <f>IFERROR(__xludf.DUMMYFUNCTION("""COMPUTED_VALUE"""),"Item")</f>
        <v>Item</v>
      </c>
      <c r="D171" s="32" t="str">
        <f>IFERROR(__xludf.DUMMYFUNCTION("""COMPUTED_VALUE"""),"Land of Spira")</f>
        <v>Land of Spira</v>
      </c>
      <c r="E171" s="32" t="b">
        <f>IFERROR(__xludf.DUMMYFUNCTION("""COMPUTED_VALUE"""),FALSE)</f>
        <v>0</v>
      </c>
      <c r="F171" s="32"/>
      <c r="G171" s="32"/>
      <c r="H171" s="32"/>
      <c r="I171" s="32"/>
      <c r="J171" s="32"/>
      <c r="K171" s="32"/>
      <c r="L171" s="32"/>
      <c r="M171" s="32"/>
      <c r="N171" s="32"/>
      <c r="O171" s="32"/>
      <c r="P171" s="32"/>
      <c r="Q171" s="32"/>
      <c r="R171" s="32"/>
      <c r="S171" s="32"/>
      <c r="T171" s="32"/>
      <c r="U171" s="32"/>
      <c r="V171" s="32"/>
      <c r="W171" s="32"/>
      <c r="X171" s="32"/>
      <c r="Y171" s="32"/>
      <c r="Z171" s="32"/>
    </row>
    <row r="172">
      <c r="A172" s="27"/>
      <c r="B172" s="27"/>
      <c r="C172" s="32"/>
      <c r="D172" s="32"/>
      <c r="E172" s="32" t="b">
        <f>IFERROR(__xludf.DUMMYFUNCTION("""COMPUTED_VALUE"""),FALSE)</f>
        <v>0</v>
      </c>
      <c r="F172" s="32"/>
      <c r="G172" s="32"/>
      <c r="H172" s="32"/>
      <c r="I172" s="32"/>
      <c r="J172" s="32"/>
      <c r="K172" s="32"/>
      <c r="L172" s="32"/>
      <c r="M172" s="32"/>
      <c r="N172" s="32"/>
      <c r="O172" s="32"/>
      <c r="P172" s="32"/>
      <c r="Q172" s="32"/>
      <c r="R172" s="32"/>
      <c r="S172" s="32"/>
      <c r="T172" s="32"/>
      <c r="U172" s="32"/>
      <c r="V172" s="32"/>
      <c r="W172" s="32"/>
      <c r="X172" s="32"/>
      <c r="Y172" s="32"/>
      <c r="Z172" s="32"/>
    </row>
    <row r="173">
      <c r="A173" s="27" t="str">
        <f>IFERROR(__xludf.DUMMYFUNCTION("""COMPUTED_VALUE"""),"Potion of Cure Curse")</f>
        <v>Potion of Cure Curse</v>
      </c>
      <c r="B173" s="27" t="str">
        <f>IFERROR(__xludf.DUMMYFUNCTION("""COMPUTED_VALUE"""),"Curse Antidote")</f>
        <v>Curse Antidote</v>
      </c>
      <c r="C173" s="32" t="str">
        <f>IFERROR(__xludf.DUMMYFUNCTION("""COMPUTED_VALUE"""),"Item")</f>
        <v>Item</v>
      </c>
      <c r="D173" s="32" t="str">
        <f>IFERROR(__xludf.DUMMYFUNCTION("""COMPUTED_VALUE"""),"Land of Spira")</f>
        <v>Land of Spira</v>
      </c>
      <c r="E173" s="32" t="b">
        <f>IFERROR(__xludf.DUMMYFUNCTION("""COMPUTED_VALUE"""),FALSE)</f>
        <v>0</v>
      </c>
      <c r="F173" s="32"/>
      <c r="G173" s="32"/>
      <c r="H173" s="32"/>
      <c r="I173" s="32"/>
      <c r="J173" s="32"/>
      <c r="K173" s="32"/>
      <c r="L173" s="32"/>
      <c r="M173" s="32"/>
      <c r="N173" s="32"/>
      <c r="O173" s="32"/>
      <c r="P173" s="32"/>
      <c r="Q173" s="32"/>
      <c r="R173" s="32"/>
      <c r="S173" s="32"/>
      <c r="T173" s="32"/>
      <c r="U173" s="32"/>
      <c r="V173" s="32"/>
      <c r="W173" s="32"/>
      <c r="X173" s="32"/>
      <c r="Y173" s="32"/>
      <c r="Z173" s="32"/>
    </row>
    <row r="174">
      <c r="A174" s="27" t="str">
        <f>IFERROR(__xludf.DUMMYFUNCTION("""COMPUTED_VALUE"""),"Glowing Blue Jelly")</f>
        <v>Glowing Blue Jelly</v>
      </c>
      <c r="B174" s="27" t="str">
        <f>IFERROR(__xludf.DUMMYFUNCTION("""COMPUTED_VALUE"""),"Crafting Material, roll a d20 to see how many you get if this is a loot drop.")</f>
        <v>Crafting Material, roll a d20 to see how many you get if this is a loot drop.</v>
      </c>
      <c r="C174" s="32" t="str">
        <f>IFERROR(__xludf.DUMMYFUNCTION("""COMPUTED_VALUE"""),"Item")</f>
        <v>Item</v>
      </c>
      <c r="D174" s="32" t="str">
        <f>IFERROR(__xludf.DUMMYFUNCTION("""COMPUTED_VALUE"""),"Land of Spira")</f>
        <v>Land of Spira</v>
      </c>
      <c r="E174" s="32" t="b">
        <f>IFERROR(__xludf.DUMMYFUNCTION("""COMPUTED_VALUE"""),FALSE)</f>
        <v>0</v>
      </c>
      <c r="F174" s="32"/>
      <c r="G174" s="32"/>
      <c r="H174" s="32"/>
      <c r="I174" s="32"/>
      <c r="J174" s="32"/>
      <c r="K174" s="32"/>
      <c r="L174" s="32"/>
      <c r="M174" s="32"/>
      <c r="N174" s="32"/>
      <c r="O174" s="32"/>
      <c r="P174" s="32"/>
      <c r="Q174" s="32"/>
      <c r="R174" s="32"/>
      <c r="S174" s="32"/>
      <c r="T174" s="32"/>
      <c r="U174" s="32"/>
      <c r="V174" s="32"/>
      <c r="W174" s="32"/>
      <c r="X174" s="32"/>
      <c r="Y174" s="32"/>
      <c r="Z174" s="32"/>
    </row>
    <row r="175">
      <c r="A175" s="27" t="str">
        <f>IFERROR(__xludf.DUMMYFUNCTION("""COMPUTED_VALUE"""),"Feather")</f>
        <v>Feather</v>
      </c>
      <c r="B175" s="27" t="str">
        <f>IFERROR(__xludf.DUMMYFUNCTION("""COMPUTED_VALUE"""),"Crafting Material, roll a d20 to see how many you get if this is a loot drop.")</f>
        <v>Crafting Material, roll a d20 to see how many you get if this is a loot drop.</v>
      </c>
      <c r="C175" s="32" t="str">
        <f>IFERROR(__xludf.DUMMYFUNCTION("""COMPUTED_VALUE"""),"Item")</f>
        <v>Item</v>
      </c>
      <c r="D175" s="32" t="str">
        <f>IFERROR(__xludf.DUMMYFUNCTION("""COMPUTED_VALUE"""),"Land of Spira")</f>
        <v>Land of Spira</v>
      </c>
      <c r="E175" s="32" t="b">
        <f>IFERROR(__xludf.DUMMYFUNCTION("""COMPUTED_VALUE"""),FALSE)</f>
        <v>0</v>
      </c>
      <c r="F175" s="32"/>
      <c r="G175" s="32"/>
      <c r="H175" s="32"/>
      <c r="I175" s="32"/>
      <c r="J175" s="32"/>
      <c r="K175" s="32"/>
      <c r="L175" s="32"/>
      <c r="M175" s="32"/>
      <c r="N175" s="32"/>
      <c r="O175" s="32"/>
      <c r="P175" s="32"/>
      <c r="Q175" s="32"/>
      <c r="R175" s="32"/>
      <c r="S175" s="32"/>
      <c r="T175" s="32"/>
      <c r="U175" s="32"/>
      <c r="V175" s="32"/>
      <c r="W175" s="32"/>
      <c r="X175" s="32"/>
      <c r="Y175" s="32"/>
      <c r="Z175" s="32"/>
    </row>
    <row r="176">
      <c r="A176" s="50" t="str">
        <f>IFERROR(__xludf.DUMMYFUNCTION("""COMPUTED_VALUE"""),"Talon")</f>
        <v>Talon</v>
      </c>
      <c r="B176" s="50" t="str">
        <f>IFERROR(__xludf.DUMMYFUNCTION("""COMPUTED_VALUE"""),"Crafting Material, roll a d20 to see how many you get if this is a loot drop.")</f>
        <v>Crafting Material, roll a d20 to see how many you get if this is a loot drop.</v>
      </c>
      <c r="C176" s="32" t="str">
        <f>IFERROR(__xludf.DUMMYFUNCTION("""COMPUTED_VALUE"""),"Item")</f>
        <v>Item</v>
      </c>
      <c r="D176" s="32" t="str">
        <f>IFERROR(__xludf.DUMMYFUNCTION("""COMPUTED_VALUE"""),"Land of Spira")</f>
        <v>Land of Spira</v>
      </c>
      <c r="E176" s="32" t="b">
        <f>IFERROR(__xludf.DUMMYFUNCTION("""COMPUTED_VALUE"""),FALSE)</f>
        <v>0</v>
      </c>
      <c r="F176" s="32"/>
      <c r="G176" s="32"/>
      <c r="H176" s="32"/>
      <c r="I176" s="32"/>
      <c r="J176" s="32"/>
      <c r="K176" s="32"/>
      <c r="L176" s="32"/>
      <c r="M176" s="32"/>
      <c r="N176" s="32"/>
      <c r="O176" s="32"/>
      <c r="P176" s="32"/>
      <c r="Q176" s="32"/>
      <c r="R176" s="32"/>
      <c r="S176" s="32"/>
      <c r="T176" s="32"/>
      <c r="U176" s="32"/>
      <c r="V176" s="32"/>
      <c r="W176" s="32"/>
      <c r="X176" s="32"/>
      <c r="Y176" s="32"/>
      <c r="Z176" s="32"/>
    </row>
    <row r="177">
      <c r="A177" s="50" t="str">
        <f>IFERROR(__xludf.DUMMYFUNCTION("""COMPUTED_VALUE"""),"Eyeball")</f>
        <v>Eyeball</v>
      </c>
      <c r="B177" s="50" t="str">
        <f>IFERROR(__xludf.DUMMYFUNCTION("""COMPUTED_VALUE"""),"Crafting Material, roll a d20 to see how many you get if this is a loot drop.")</f>
        <v>Crafting Material, roll a d20 to see how many you get if this is a loot drop.</v>
      </c>
      <c r="C177" s="32" t="str">
        <f>IFERROR(__xludf.DUMMYFUNCTION("""COMPUTED_VALUE"""),"Item")</f>
        <v>Item</v>
      </c>
      <c r="D177" s="32" t="str">
        <f>IFERROR(__xludf.DUMMYFUNCTION("""COMPUTED_VALUE"""),"Land of Spira")</f>
        <v>Land of Spira</v>
      </c>
      <c r="E177" s="32" t="b">
        <f>IFERROR(__xludf.DUMMYFUNCTION("""COMPUTED_VALUE"""),FALSE)</f>
        <v>0</v>
      </c>
      <c r="F177" s="32"/>
      <c r="G177" s="32"/>
      <c r="H177" s="32"/>
      <c r="I177" s="32"/>
      <c r="J177" s="32"/>
      <c r="K177" s="32"/>
      <c r="L177" s="32"/>
      <c r="M177" s="32"/>
      <c r="N177" s="32"/>
      <c r="O177" s="32"/>
      <c r="P177" s="32"/>
      <c r="Q177" s="32"/>
      <c r="R177" s="32"/>
      <c r="S177" s="32"/>
      <c r="T177" s="32"/>
      <c r="U177" s="32"/>
      <c r="V177" s="32"/>
      <c r="W177" s="32"/>
      <c r="X177" s="32"/>
      <c r="Y177" s="32"/>
      <c r="Z177" s="32"/>
    </row>
    <row r="178">
      <c r="A178" s="42" t="str">
        <f>IFERROR(__xludf.DUMMYFUNCTION("""COMPUTED_VALUE"""),"Spider Egg")</f>
        <v>Spider Egg</v>
      </c>
      <c r="B178" s="42" t="str">
        <f>IFERROR(__xludf.DUMMYFUNCTION("""COMPUTED_VALUE"""),"Crafting Material, roll a d20 to see how many you get if this is a loot drop.")</f>
        <v>Crafting Material, roll a d20 to see how many you get if this is a loot drop.</v>
      </c>
      <c r="C178" s="32" t="str">
        <f>IFERROR(__xludf.DUMMYFUNCTION("""COMPUTED_VALUE"""),"Item")</f>
        <v>Item</v>
      </c>
      <c r="D178" s="32" t="str">
        <f>IFERROR(__xludf.DUMMYFUNCTION("""COMPUTED_VALUE"""),"Land of Spira")</f>
        <v>Land of Spira</v>
      </c>
      <c r="E178" s="32" t="b">
        <f>IFERROR(__xludf.DUMMYFUNCTION("""COMPUTED_VALUE"""),FALSE)</f>
        <v>0</v>
      </c>
      <c r="F178" s="32"/>
      <c r="G178" s="32"/>
      <c r="H178" s="32"/>
      <c r="I178" s="32"/>
      <c r="J178" s="32"/>
      <c r="K178" s="32"/>
      <c r="L178" s="32"/>
      <c r="M178" s="32"/>
      <c r="N178" s="32"/>
      <c r="O178" s="32"/>
      <c r="P178" s="32"/>
      <c r="Q178" s="32"/>
      <c r="R178" s="32"/>
      <c r="S178" s="32"/>
      <c r="T178" s="32"/>
      <c r="U178" s="32"/>
      <c r="V178" s="32"/>
      <c r="W178" s="32"/>
      <c r="X178" s="32"/>
      <c r="Y178" s="32"/>
      <c r="Z178" s="32"/>
    </row>
    <row r="179">
      <c r="A179" s="42" t="str">
        <f>IFERROR(__xludf.DUMMYFUNCTION("""COMPUTED_VALUE"""),"Giant Spider Exoskeleton")</f>
        <v>Giant Spider Exoskeleton</v>
      </c>
      <c r="B179" s="42" t="str">
        <f>IFERROR(__xludf.DUMMYFUNCTION("""COMPUTED_VALUE"""),"Crafting Material, roll a d20 to see how many you get if this is a loot drop.")</f>
        <v>Crafting Material, roll a d20 to see how many you get if this is a loot drop.</v>
      </c>
      <c r="C179" s="32" t="str">
        <f>IFERROR(__xludf.DUMMYFUNCTION("""COMPUTED_VALUE"""),"Item")</f>
        <v>Item</v>
      </c>
      <c r="D179" s="32" t="str">
        <f>IFERROR(__xludf.DUMMYFUNCTION("""COMPUTED_VALUE"""),"Land of Spira")</f>
        <v>Land of Spira</v>
      </c>
      <c r="E179" s="32" t="b">
        <f>IFERROR(__xludf.DUMMYFUNCTION("""COMPUTED_VALUE"""),FALSE)</f>
        <v>0</v>
      </c>
      <c r="F179" s="32"/>
      <c r="G179" s="32"/>
      <c r="H179" s="32"/>
      <c r="I179" s="32"/>
      <c r="J179" s="32"/>
      <c r="K179" s="32"/>
      <c r="L179" s="32"/>
      <c r="M179" s="32"/>
      <c r="N179" s="32"/>
      <c r="O179" s="32"/>
      <c r="P179" s="32"/>
      <c r="Q179" s="32"/>
      <c r="R179" s="32"/>
      <c r="S179" s="32"/>
      <c r="T179" s="32"/>
      <c r="U179" s="32"/>
      <c r="V179" s="32"/>
      <c r="W179" s="32"/>
      <c r="X179" s="32"/>
      <c r="Y179" s="32"/>
      <c r="Z179" s="32"/>
    </row>
    <row r="180">
      <c r="A180" s="52" t="str">
        <f>IFERROR(__xludf.DUMMYFUNCTION("""COMPUTED_VALUE"""),"Giant Spider Poison")</f>
        <v>Giant Spider Poison</v>
      </c>
      <c r="B180" s="52" t="str">
        <f>IFERROR(__xludf.DUMMYFUNCTION("""COMPUTED_VALUE"""),"Crafting Material, roll a d20 to see how many you get if this is a loot drop.")</f>
        <v>Crafting Material, roll a d20 to see how many you get if this is a loot drop.</v>
      </c>
      <c r="C180" s="32" t="str">
        <f>IFERROR(__xludf.DUMMYFUNCTION("""COMPUTED_VALUE"""),"Item")</f>
        <v>Item</v>
      </c>
      <c r="D180" s="32" t="str">
        <f>IFERROR(__xludf.DUMMYFUNCTION("""COMPUTED_VALUE"""),"Land of Spira")</f>
        <v>Land of Spira</v>
      </c>
      <c r="E180" s="32" t="b">
        <f>IFERROR(__xludf.DUMMYFUNCTION("""COMPUTED_VALUE"""),FALSE)</f>
        <v>0</v>
      </c>
      <c r="F180" s="32"/>
      <c r="G180" s="32"/>
      <c r="H180" s="32"/>
      <c r="I180" s="32"/>
      <c r="J180" s="32"/>
      <c r="K180" s="32"/>
      <c r="L180" s="32"/>
      <c r="M180" s="32"/>
      <c r="N180" s="32"/>
      <c r="O180" s="32"/>
      <c r="P180" s="32"/>
      <c r="Q180" s="32"/>
      <c r="R180" s="32"/>
      <c r="S180" s="32"/>
      <c r="T180" s="32"/>
      <c r="U180" s="32"/>
      <c r="V180" s="32"/>
      <c r="W180" s="32"/>
      <c r="X180" s="32"/>
      <c r="Y180" s="32"/>
      <c r="Z180" s="32"/>
    </row>
    <row r="181">
      <c r="A181" s="50" t="str">
        <f>IFERROR(__xludf.DUMMYFUNCTION("""COMPUTED_VALUE"""),"Poison Gem")</f>
        <v>Poison Gem</v>
      </c>
      <c r="B181" s="50" t="str">
        <f>IFERROR(__xludf.DUMMYFUNCTION("""COMPUTED_VALUE"""),"Crafting Material, roll a d20 to see how many you get if this is a loot drop.")</f>
        <v>Crafting Material, roll a d20 to see how many you get if this is a loot drop.</v>
      </c>
      <c r="C181" s="32" t="str">
        <f>IFERROR(__xludf.DUMMYFUNCTION("""COMPUTED_VALUE"""),"Item")</f>
        <v>Item</v>
      </c>
      <c r="D181" s="32" t="str">
        <f>IFERROR(__xludf.DUMMYFUNCTION("""COMPUTED_VALUE"""),"Land of Spira")</f>
        <v>Land of Spira</v>
      </c>
      <c r="E181" s="32" t="b">
        <f>IFERROR(__xludf.DUMMYFUNCTION("""COMPUTED_VALUE"""),FALSE)</f>
        <v>0</v>
      </c>
      <c r="F181" s="32"/>
      <c r="G181" s="32"/>
      <c r="H181" s="32"/>
      <c r="I181" s="32"/>
      <c r="J181" s="32"/>
      <c r="K181" s="32"/>
      <c r="L181" s="32"/>
      <c r="M181" s="32"/>
      <c r="N181" s="32"/>
      <c r="O181" s="32"/>
      <c r="P181" s="32"/>
      <c r="Q181" s="32"/>
      <c r="R181" s="32"/>
      <c r="S181" s="32"/>
      <c r="T181" s="32"/>
      <c r="U181" s="32"/>
      <c r="V181" s="32"/>
      <c r="W181" s="32"/>
      <c r="X181" s="32"/>
      <c r="Y181" s="32"/>
      <c r="Z181" s="32"/>
    </row>
    <row r="182">
      <c r="A182" s="50" t="str">
        <f>IFERROR(__xludf.DUMMYFUNCTION("""COMPUTED_VALUE"""),"Returning Arrow")</f>
        <v>Returning Arrow</v>
      </c>
      <c r="B182" s="50" t="str">
        <f>IFERROR(__xludf.DUMMYFUNCTION("""COMPUTED_VALUE"""),"Bow Ammunition. +500 damage.  returns to the user. roll a d20 to see how many you get if this is a loot drop.")</f>
        <v>Bow Ammunition. +500 damage.  returns to the user. roll a d20 to see how many you get if this is a loot drop.</v>
      </c>
      <c r="C182" s="32" t="str">
        <f>IFERROR(__xludf.DUMMYFUNCTION("""COMPUTED_VALUE"""),"Item")</f>
        <v>Item</v>
      </c>
      <c r="D182" s="32" t="str">
        <f>IFERROR(__xludf.DUMMYFUNCTION("""COMPUTED_VALUE"""),"Land of Spira")</f>
        <v>Land of Spira</v>
      </c>
      <c r="E182" s="32" t="b">
        <f>IFERROR(__xludf.DUMMYFUNCTION("""COMPUTED_VALUE"""),FALSE)</f>
        <v>0</v>
      </c>
      <c r="F182" s="32"/>
      <c r="G182" s="32"/>
      <c r="H182" s="32"/>
      <c r="I182" s="32"/>
      <c r="J182" s="32"/>
      <c r="K182" s="32"/>
      <c r="L182" s="32"/>
      <c r="M182" s="32"/>
      <c r="N182" s="32"/>
      <c r="O182" s="32"/>
      <c r="P182" s="32"/>
      <c r="Q182" s="32"/>
      <c r="R182" s="32"/>
      <c r="S182" s="32"/>
      <c r="T182" s="32"/>
      <c r="U182" s="32"/>
      <c r="V182" s="32"/>
      <c r="W182" s="32"/>
      <c r="X182" s="32"/>
      <c r="Y182" s="32"/>
      <c r="Z182" s="32"/>
    </row>
    <row r="183">
      <c r="A183" s="50" t="str">
        <f>IFERROR(__xludf.DUMMYFUNCTION("""COMPUTED_VALUE"""),"Shadow Fluid")</f>
        <v>Shadow Fluid</v>
      </c>
      <c r="B183" s="50" t="str">
        <f>IFERROR(__xludf.DUMMYFUNCTION("""COMPUTED_VALUE"""),"Crafting Material, roll a d20 to see how many you get if this is a loot drop.")</f>
        <v>Crafting Material, roll a d20 to see how many you get if this is a loot drop.</v>
      </c>
      <c r="C183" s="32" t="str">
        <f>IFERROR(__xludf.DUMMYFUNCTION("""COMPUTED_VALUE"""),"Item")</f>
        <v>Item</v>
      </c>
      <c r="D183" s="32" t="str">
        <f>IFERROR(__xludf.DUMMYFUNCTION("""COMPUTED_VALUE"""),"Land of Spira")</f>
        <v>Land of Spira</v>
      </c>
      <c r="E183" s="32" t="b">
        <f>IFERROR(__xludf.DUMMYFUNCTION("""COMPUTED_VALUE"""),FALSE)</f>
        <v>0</v>
      </c>
      <c r="F183" s="32"/>
      <c r="G183" s="32"/>
      <c r="H183" s="32"/>
      <c r="I183" s="32"/>
      <c r="J183" s="32"/>
      <c r="K183" s="32"/>
      <c r="L183" s="32"/>
      <c r="M183" s="32"/>
      <c r="N183" s="32"/>
      <c r="O183" s="32"/>
      <c r="P183" s="32"/>
      <c r="Q183" s="32"/>
      <c r="R183" s="32"/>
      <c r="S183" s="32"/>
      <c r="T183" s="32"/>
      <c r="U183" s="32"/>
      <c r="V183" s="32"/>
      <c r="W183" s="32"/>
      <c r="X183" s="32"/>
      <c r="Y183" s="32"/>
      <c r="Z183" s="32"/>
    </row>
    <row r="184">
      <c r="A184" s="50" t="str">
        <f>IFERROR(__xludf.DUMMYFUNCTION("""COMPUTED_VALUE"""),"Skull")</f>
        <v>Skull</v>
      </c>
      <c r="B184" s="50" t="str">
        <f>IFERROR(__xludf.DUMMYFUNCTION("""COMPUTED_VALUE"""),"Crafting Material, roll a d20 to see how many you get if this is a loot drop.")</f>
        <v>Crafting Material, roll a d20 to see how many you get if this is a loot drop.</v>
      </c>
      <c r="C184" s="32" t="str">
        <f>IFERROR(__xludf.DUMMYFUNCTION("""COMPUTED_VALUE"""),"Item")</f>
        <v>Item</v>
      </c>
      <c r="D184" s="32" t="str">
        <f>IFERROR(__xludf.DUMMYFUNCTION("""COMPUTED_VALUE"""),"Land of Spira")</f>
        <v>Land of Spira</v>
      </c>
      <c r="E184" s="32" t="b">
        <f>IFERROR(__xludf.DUMMYFUNCTION("""COMPUTED_VALUE"""),FALSE)</f>
        <v>0</v>
      </c>
      <c r="F184" s="32"/>
      <c r="G184" s="32"/>
      <c r="H184" s="32"/>
      <c r="I184" s="32"/>
      <c r="J184" s="32"/>
      <c r="K184" s="32"/>
      <c r="L184" s="32"/>
      <c r="M184" s="32"/>
      <c r="N184" s="32"/>
      <c r="O184" s="32"/>
      <c r="P184" s="32"/>
      <c r="Q184" s="32"/>
      <c r="R184" s="32"/>
      <c r="S184" s="32"/>
      <c r="T184" s="32"/>
      <c r="U184" s="32"/>
      <c r="V184" s="32"/>
      <c r="W184" s="32"/>
      <c r="X184" s="32"/>
      <c r="Y184" s="32"/>
      <c r="Z184" s="32"/>
    </row>
    <row r="185">
      <c r="A185" s="50" t="str">
        <f>IFERROR(__xludf.DUMMYFUNCTION("""COMPUTED_VALUE"""),"pumpkin gem")</f>
        <v>pumpkin gem</v>
      </c>
      <c r="B185" s="50" t="str">
        <f>IFERROR(__xludf.DUMMYFUNCTION("""COMPUTED_VALUE"""),"Crafting Material, roll a d20 to see how many you get if this is a loot drop.")</f>
        <v>Crafting Material, roll a d20 to see how many you get if this is a loot drop.</v>
      </c>
      <c r="C185" s="32" t="str">
        <f>IFERROR(__xludf.DUMMYFUNCTION("""COMPUTED_VALUE"""),"Item")</f>
        <v>Item</v>
      </c>
      <c r="D185" s="32" t="str">
        <f>IFERROR(__xludf.DUMMYFUNCTION("""COMPUTED_VALUE"""),"Land of Spira")</f>
        <v>Land of Spira</v>
      </c>
      <c r="E185" s="32" t="b">
        <f>IFERROR(__xludf.DUMMYFUNCTION("""COMPUTED_VALUE"""),FALSE)</f>
        <v>0</v>
      </c>
      <c r="F185" s="32"/>
      <c r="G185" s="32"/>
      <c r="H185" s="32"/>
      <c r="I185" s="32"/>
      <c r="J185" s="32"/>
      <c r="K185" s="32"/>
      <c r="L185" s="32"/>
      <c r="M185" s="32"/>
      <c r="N185" s="32"/>
      <c r="O185" s="32"/>
      <c r="P185" s="32"/>
      <c r="Q185" s="32"/>
      <c r="R185" s="32"/>
      <c r="S185" s="32"/>
      <c r="T185" s="32"/>
      <c r="U185" s="32"/>
      <c r="V185" s="32"/>
      <c r="W185" s="32"/>
      <c r="X185" s="32"/>
      <c r="Y185" s="32"/>
      <c r="Z185" s="32"/>
    </row>
    <row r="186">
      <c r="A186" s="50" t="str">
        <f>IFERROR(__xludf.DUMMYFUNCTION("""COMPUTED_VALUE"""),"Rotton Flesh")</f>
        <v>Rotton Flesh</v>
      </c>
      <c r="B186" s="50" t="str">
        <f>IFERROR(__xludf.DUMMYFUNCTION("""COMPUTED_VALUE"""),"-100 Hunger if you are not undead. +200 hunger and energy if you are undead.")</f>
        <v>-100 Hunger if you are not undead. +200 hunger and energy if you are undead.</v>
      </c>
      <c r="C186" s="32" t="str">
        <f>IFERROR(__xludf.DUMMYFUNCTION("""COMPUTED_VALUE"""),"Crop")</f>
        <v>Crop</v>
      </c>
      <c r="D186" s="32" t="str">
        <f>IFERROR(__xludf.DUMMYFUNCTION("""COMPUTED_VALUE"""),"Land of Spira")</f>
        <v>Land of Spira</v>
      </c>
      <c r="E186" s="32" t="b">
        <f>IFERROR(__xludf.DUMMYFUNCTION("""COMPUTED_VALUE"""),FALSE)</f>
        <v>0</v>
      </c>
      <c r="F186" s="32"/>
      <c r="G186" s="32"/>
      <c r="H186" s="32"/>
      <c r="I186" s="32"/>
      <c r="J186" s="32"/>
      <c r="K186" s="32"/>
      <c r="L186" s="32"/>
      <c r="M186" s="32"/>
      <c r="N186" s="32"/>
      <c r="O186" s="32"/>
      <c r="P186" s="32"/>
      <c r="Q186" s="32"/>
      <c r="R186" s="32"/>
      <c r="S186" s="32"/>
      <c r="T186" s="32"/>
      <c r="U186" s="32"/>
      <c r="V186" s="32"/>
      <c r="W186" s="32"/>
      <c r="X186" s="32"/>
      <c r="Y186" s="32"/>
      <c r="Z186" s="32"/>
    </row>
    <row r="187">
      <c r="A187" s="50" t="str">
        <f>IFERROR(__xludf.DUMMYFUNCTION("""COMPUTED_VALUE"""),"Bag of Sand")</f>
        <v>Bag of Sand</v>
      </c>
      <c r="B187" s="50" t="str">
        <f>IFERROR(__xludf.DUMMYFUNCTION("""COMPUTED_VALUE"""),"Crafting Material, roll a d20 to see how many you get if this is a loot drop.")</f>
        <v>Crafting Material, roll a d20 to see how many you get if this is a loot drop.</v>
      </c>
      <c r="C187" s="32" t="str">
        <f>IFERROR(__xludf.DUMMYFUNCTION("""COMPUTED_VALUE"""),"Item")</f>
        <v>Item</v>
      </c>
      <c r="D187" s="32" t="str">
        <f>IFERROR(__xludf.DUMMYFUNCTION("""COMPUTED_VALUE"""),"Land of Spira")</f>
        <v>Land of Spira</v>
      </c>
      <c r="E187" s="32" t="b">
        <f>IFERROR(__xludf.DUMMYFUNCTION("""COMPUTED_VALUE"""),FALSE)</f>
        <v>0</v>
      </c>
      <c r="F187" s="32"/>
      <c r="G187" s="32"/>
      <c r="H187" s="32"/>
      <c r="I187" s="32"/>
      <c r="J187" s="32"/>
      <c r="K187" s="32"/>
      <c r="L187" s="32"/>
      <c r="M187" s="32"/>
      <c r="N187" s="32"/>
      <c r="O187" s="32"/>
      <c r="P187" s="32"/>
      <c r="Q187" s="32"/>
      <c r="R187" s="32"/>
      <c r="S187" s="32"/>
      <c r="T187" s="32"/>
      <c r="U187" s="32"/>
      <c r="V187" s="32"/>
      <c r="W187" s="32"/>
      <c r="X187" s="32"/>
      <c r="Y187" s="32"/>
      <c r="Z187" s="32"/>
    </row>
    <row r="188">
      <c r="A188" s="50" t="str">
        <f>IFERROR(__xludf.DUMMYFUNCTION("""COMPUTED_VALUE"""),"Glowing Red eye")</f>
        <v>Glowing Red eye</v>
      </c>
      <c r="B188" s="50" t="str">
        <f>IFERROR(__xludf.DUMMYFUNCTION("""COMPUTED_VALUE""")," +10SP")</f>
        <v> +10SP</v>
      </c>
      <c r="C188" s="32" t="str">
        <f>IFERROR(__xludf.DUMMYFUNCTION("""COMPUTED_VALUE"""),"Item")</f>
        <v>Item</v>
      </c>
      <c r="D188" s="32" t="str">
        <f>IFERROR(__xludf.DUMMYFUNCTION("""COMPUTED_VALUE"""),"Land of Spira")</f>
        <v>Land of Spira</v>
      </c>
      <c r="E188" s="32" t="b">
        <f>IFERROR(__xludf.DUMMYFUNCTION("""COMPUTED_VALUE"""),FALSE)</f>
        <v>0</v>
      </c>
      <c r="F188" s="32"/>
      <c r="G188" s="32"/>
      <c r="H188" s="32"/>
      <c r="I188" s="32"/>
      <c r="J188" s="32"/>
      <c r="K188" s="32"/>
      <c r="L188" s="32"/>
      <c r="M188" s="32"/>
      <c r="N188" s="32"/>
      <c r="O188" s="32"/>
      <c r="P188" s="32"/>
      <c r="Q188" s="32"/>
      <c r="R188" s="32"/>
      <c r="S188" s="32"/>
      <c r="T188" s="32"/>
      <c r="U188" s="32"/>
      <c r="V188" s="32"/>
      <c r="W188" s="32"/>
      <c r="X188" s="32"/>
      <c r="Y188" s="32"/>
      <c r="Z188" s="32"/>
    </row>
    <row r="189">
      <c r="A189" s="50" t="str">
        <f>IFERROR(__xludf.DUMMYFUNCTION("""COMPUTED_VALUE"""),"Sand Gem")</f>
        <v>Sand Gem</v>
      </c>
      <c r="B189" s="50" t="str">
        <f>IFERROR(__xludf.DUMMYFUNCTION("""COMPUTED_VALUE"""),"Crafting Material, roll a d20 to see how many you get if this is a loot drop.")</f>
        <v>Crafting Material, roll a d20 to see how many you get if this is a loot drop.</v>
      </c>
      <c r="C189" s="32" t="str">
        <f>IFERROR(__xludf.DUMMYFUNCTION("""COMPUTED_VALUE"""),"Item")</f>
        <v>Item</v>
      </c>
      <c r="D189" s="32" t="str">
        <f>IFERROR(__xludf.DUMMYFUNCTION("""COMPUTED_VALUE"""),"Land of Spira")</f>
        <v>Land of Spira</v>
      </c>
      <c r="E189" s="32" t="b">
        <f>IFERROR(__xludf.DUMMYFUNCTION("""COMPUTED_VALUE"""),FALSE)</f>
        <v>0</v>
      </c>
      <c r="F189" s="32"/>
      <c r="G189" s="32"/>
      <c r="H189" s="32"/>
      <c r="I189" s="32"/>
      <c r="J189" s="32"/>
      <c r="K189" s="32"/>
      <c r="L189" s="32"/>
      <c r="M189" s="32"/>
      <c r="N189" s="32"/>
      <c r="O189" s="32"/>
      <c r="P189" s="32"/>
      <c r="Q189" s="32"/>
      <c r="R189" s="32"/>
      <c r="S189" s="32"/>
      <c r="T189" s="32"/>
      <c r="U189" s="32"/>
      <c r="V189" s="32"/>
      <c r="W189" s="32"/>
      <c r="X189" s="32"/>
      <c r="Y189" s="32"/>
      <c r="Z189" s="32"/>
    </row>
    <row r="190">
      <c r="A190" s="50" t="str">
        <f>IFERROR(__xludf.DUMMYFUNCTION("""COMPUTED_VALUE"""),"Poison water")</f>
        <v>Poison water</v>
      </c>
      <c r="B190" s="50"/>
      <c r="C190" s="32" t="str">
        <f>IFERROR(__xludf.DUMMYFUNCTION("""COMPUTED_VALUE"""),"Item")</f>
        <v>Item</v>
      </c>
      <c r="D190" s="32" t="str">
        <f>IFERROR(__xludf.DUMMYFUNCTION("""COMPUTED_VALUE"""),"Land of Spira")</f>
        <v>Land of Spira</v>
      </c>
      <c r="E190" s="32" t="b">
        <f>IFERROR(__xludf.DUMMYFUNCTION("""COMPUTED_VALUE"""),FALSE)</f>
        <v>0</v>
      </c>
      <c r="F190" s="32"/>
      <c r="G190" s="32"/>
      <c r="H190" s="32"/>
      <c r="I190" s="32"/>
      <c r="J190" s="32"/>
      <c r="K190" s="32"/>
      <c r="L190" s="32"/>
      <c r="M190" s="32"/>
      <c r="N190" s="32"/>
      <c r="O190" s="32"/>
      <c r="P190" s="32"/>
      <c r="Q190" s="32"/>
      <c r="R190" s="32"/>
      <c r="S190" s="32"/>
      <c r="T190" s="32"/>
      <c r="U190" s="32"/>
      <c r="V190" s="32"/>
      <c r="W190" s="32"/>
      <c r="X190" s="32"/>
      <c r="Y190" s="32"/>
      <c r="Z190" s="32"/>
    </row>
    <row r="191">
      <c r="A191" s="50" t="str">
        <f>IFERROR(__xludf.DUMMYFUNCTION("""COMPUTED_VALUE"""),"Poison Mushroom")</f>
        <v>Poison Mushroom</v>
      </c>
      <c r="B191" s="50" t="str">
        <f>IFERROR(__xludf.DUMMYFUNCTION("""COMPUTED_VALUE"""),"-100 Hunger, Causes poison 100 for 10 days of travel.")</f>
        <v>-100 Hunger, Causes poison 100 for 10 days of travel.</v>
      </c>
      <c r="C191" s="32" t="str">
        <f>IFERROR(__xludf.DUMMYFUNCTION("""COMPUTED_VALUE"""),"Crop")</f>
        <v>Crop</v>
      </c>
      <c r="D191" s="32" t="str">
        <f>IFERROR(__xludf.DUMMYFUNCTION("""COMPUTED_VALUE"""),"Land of Spira")</f>
        <v>Land of Spira</v>
      </c>
      <c r="E191" s="32" t="b">
        <f>IFERROR(__xludf.DUMMYFUNCTION("""COMPUTED_VALUE"""),FALSE)</f>
        <v>0</v>
      </c>
      <c r="F191" s="32"/>
      <c r="G191" s="32"/>
      <c r="H191" s="32"/>
      <c r="I191" s="32"/>
      <c r="J191" s="32"/>
      <c r="K191" s="32"/>
      <c r="L191" s="32"/>
      <c r="M191" s="32"/>
      <c r="N191" s="32"/>
      <c r="O191" s="32"/>
      <c r="P191" s="32"/>
      <c r="Q191" s="32"/>
      <c r="R191" s="32"/>
      <c r="S191" s="32"/>
      <c r="T191" s="32"/>
      <c r="U191" s="32"/>
      <c r="V191" s="32"/>
      <c r="W191" s="32"/>
      <c r="X191" s="32"/>
      <c r="Y191" s="32"/>
      <c r="Z191" s="32"/>
    </row>
    <row r="192">
      <c r="A192" s="50" t="str">
        <f>IFERROR(__xludf.DUMMYFUNCTION("""COMPUTED_VALUE"""),"Vile of Poison")</f>
        <v>Vile of Poison</v>
      </c>
      <c r="B192" s="50" t="str">
        <f>IFERROR(__xludf.DUMMYFUNCTION("""COMPUTED_VALUE"""),"Crafting Material, roll a d20 to see how many you get if this is a loot drop.")</f>
        <v>Crafting Material, roll a d20 to see how many you get if this is a loot drop.</v>
      </c>
      <c r="C192" s="32" t="str">
        <f>IFERROR(__xludf.DUMMYFUNCTION("""COMPUTED_VALUE"""),"Item")</f>
        <v>Item</v>
      </c>
      <c r="D192" s="32" t="str">
        <f>IFERROR(__xludf.DUMMYFUNCTION("""COMPUTED_VALUE"""),"Land of Spira")</f>
        <v>Land of Spira</v>
      </c>
      <c r="E192" s="32" t="b">
        <f>IFERROR(__xludf.DUMMYFUNCTION("""COMPUTED_VALUE"""),FALSE)</f>
        <v>0</v>
      </c>
      <c r="F192" s="32"/>
      <c r="G192" s="32"/>
      <c r="H192" s="32"/>
      <c r="I192" s="32"/>
      <c r="J192" s="32"/>
      <c r="K192" s="32"/>
      <c r="L192" s="32"/>
      <c r="M192" s="32"/>
      <c r="N192" s="32"/>
      <c r="O192" s="32"/>
      <c r="P192" s="32"/>
      <c r="Q192" s="32"/>
      <c r="R192" s="32"/>
      <c r="S192" s="32"/>
      <c r="T192" s="32"/>
      <c r="U192" s="32"/>
      <c r="V192" s="32"/>
      <c r="W192" s="32"/>
      <c r="X192" s="32"/>
      <c r="Y192" s="32"/>
      <c r="Z192" s="32"/>
    </row>
    <row r="193">
      <c r="A193" s="50" t="str">
        <f>IFERROR(__xludf.DUMMYFUNCTION("""COMPUTED_VALUE"""),"Explosive Arrow")</f>
        <v>Explosive Arrow</v>
      </c>
      <c r="B193" s="50"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32" t="str">
        <f>IFERROR(__xludf.DUMMYFUNCTION("""COMPUTED_VALUE"""),"Item")</f>
        <v>Item</v>
      </c>
      <c r="D193" s="32" t="str">
        <f>IFERROR(__xludf.DUMMYFUNCTION("""COMPUTED_VALUE"""),"Land of Spira")</f>
        <v>Land of Spira</v>
      </c>
      <c r="E193" s="32" t="b">
        <f>IFERROR(__xludf.DUMMYFUNCTION("""COMPUTED_VALUE"""),FALSE)</f>
        <v>0</v>
      </c>
      <c r="F193" s="32"/>
      <c r="G193" s="32"/>
      <c r="H193" s="32"/>
      <c r="I193" s="32"/>
      <c r="J193" s="32"/>
      <c r="K193" s="32"/>
      <c r="L193" s="32"/>
      <c r="M193" s="32"/>
      <c r="N193" s="32"/>
      <c r="O193" s="32"/>
      <c r="P193" s="32"/>
      <c r="Q193" s="32"/>
      <c r="R193" s="32"/>
      <c r="S193" s="32"/>
      <c r="T193" s="32"/>
      <c r="U193" s="32"/>
      <c r="V193" s="32"/>
      <c r="W193" s="32"/>
      <c r="X193" s="32"/>
      <c r="Y193" s="32"/>
      <c r="Z193" s="32"/>
    </row>
    <row r="194">
      <c r="A194" s="50" t="str">
        <f>IFERROR(__xludf.DUMMYFUNCTION("""COMPUTED_VALUE"""),"Frost diamond")</f>
        <v>Frost diamond</v>
      </c>
      <c r="B194" s="50" t="str">
        <f>IFERROR(__xludf.DUMMYFUNCTION("""COMPUTED_VALUE"""),"Crafting Material, roll a d20 to see how many you get if this is a loot drop.")</f>
        <v>Crafting Material, roll a d20 to see how many you get if this is a loot drop.</v>
      </c>
      <c r="C194" s="32" t="str">
        <f>IFERROR(__xludf.DUMMYFUNCTION("""COMPUTED_VALUE"""),"Item")</f>
        <v>Item</v>
      </c>
      <c r="D194" s="32" t="str">
        <f>IFERROR(__xludf.DUMMYFUNCTION("""COMPUTED_VALUE"""),"Land of Spira")</f>
        <v>Land of Spira</v>
      </c>
      <c r="E194" s="32" t="b">
        <f>IFERROR(__xludf.DUMMYFUNCTION("""COMPUTED_VALUE"""),FALSE)</f>
        <v>0</v>
      </c>
      <c r="F194" s="32"/>
      <c r="G194" s="32"/>
      <c r="H194" s="32"/>
      <c r="I194" s="32"/>
      <c r="J194" s="32"/>
      <c r="K194" s="32"/>
      <c r="L194" s="32"/>
      <c r="M194" s="32"/>
      <c r="N194" s="32"/>
      <c r="O194" s="32"/>
      <c r="P194" s="32"/>
      <c r="Q194" s="32"/>
      <c r="R194" s="32"/>
      <c r="S194" s="32"/>
      <c r="T194" s="32"/>
      <c r="U194" s="32"/>
      <c r="V194" s="32"/>
      <c r="W194" s="32"/>
      <c r="X194" s="32"/>
      <c r="Y194" s="32"/>
      <c r="Z194" s="32"/>
    </row>
    <row r="195">
      <c r="A195" s="50" t="str">
        <f>IFERROR(__xludf.DUMMYFUNCTION("""COMPUTED_VALUE"""),"Big Frost Owl Feathers")</f>
        <v>Big Frost Owl Feathers</v>
      </c>
      <c r="B195" s="50" t="str">
        <f>IFERROR(__xludf.DUMMYFUNCTION("""COMPUTED_VALUE"""),"Crafting Material, roll a d20 to see how many you get if this is a loot drop.")</f>
        <v>Crafting Material, roll a d20 to see how many you get if this is a loot drop.</v>
      </c>
      <c r="C195" s="32" t="str">
        <f>IFERROR(__xludf.DUMMYFUNCTION("""COMPUTED_VALUE"""),"Item")</f>
        <v>Item</v>
      </c>
      <c r="D195" s="32" t="str">
        <f>IFERROR(__xludf.DUMMYFUNCTION("""COMPUTED_VALUE"""),"Land of Spira")</f>
        <v>Land of Spira</v>
      </c>
      <c r="E195" s="32" t="b">
        <f>IFERROR(__xludf.DUMMYFUNCTION("""COMPUTED_VALUE"""),FALSE)</f>
        <v>0</v>
      </c>
      <c r="F195" s="32"/>
      <c r="G195" s="32"/>
      <c r="H195" s="32"/>
      <c r="I195" s="32"/>
      <c r="J195" s="32"/>
      <c r="K195" s="32"/>
      <c r="L195" s="32"/>
      <c r="M195" s="32"/>
      <c r="N195" s="32"/>
      <c r="O195" s="32"/>
      <c r="P195" s="32"/>
      <c r="Q195" s="32"/>
      <c r="R195" s="32"/>
      <c r="S195" s="32"/>
      <c r="T195" s="32"/>
      <c r="U195" s="32"/>
      <c r="V195" s="32"/>
      <c r="W195" s="32"/>
      <c r="X195" s="32"/>
      <c r="Y195" s="32"/>
      <c r="Z195" s="32"/>
    </row>
    <row r="196">
      <c r="A196" s="50" t="str">
        <f>IFERROR(__xludf.DUMMYFUNCTION("""COMPUTED_VALUE"""),"Big Frost Owl egg")</f>
        <v>Big Frost Owl egg</v>
      </c>
      <c r="B196" s="50"/>
      <c r="C196" s="32" t="str">
        <f>IFERROR(__xludf.DUMMYFUNCTION("""COMPUTED_VALUE"""),"Item")</f>
        <v>Item</v>
      </c>
      <c r="D196" s="32" t="str">
        <f>IFERROR(__xludf.DUMMYFUNCTION("""COMPUTED_VALUE"""),"Land of Spira")</f>
        <v>Land of Spira</v>
      </c>
      <c r="E196" s="32" t="b">
        <f>IFERROR(__xludf.DUMMYFUNCTION("""COMPUTED_VALUE"""),FALSE)</f>
        <v>0</v>
      </c>
      <c r="F196" s="32"/>
      <c r="G196" s="32"/>
      <c r="H196" s="32"/>
      <c r="I196" s="32"/>
      <c r="J196" s="32"/>
      <c r="K196" s="32"/>
      <c r="L196" s="32"/>
      <c r="M196" s="32"/>
      <c r="N196" s="32"/>
      <c r="O196" s="32"/>
      <c r="P196" s="32"/>
      <c r="Q196" s="32"/>
      <c r="R196" s="32"/>
      <c r="S196" s="32"/>
      <c r="T196" s="32"/>
      <c r="U196" s="32"/>
      <c r="V196" s="32"/>
      <c r="W196" s="32"/>
      <c r="X196" s="32"/>
      <c r="Y196" s="32"/>
      <c r="Z196" s="32"/>
    </row>
    <row r="197">
      <c r="A197" s="50" t="str">
        <f>IFERROR(__xludf.DUMMYFUNCTION("""COMPUTED_VALUE"""),"Giant Frost Diamond")</f>
        <v>Giant Frost Diamond</v>
      </c>
      <c r="B197" s="50" t="str">
        <f>IFERROR(__xludf.DUMMYFUNCTION("""COMPUTED_VALUE"""),"Crafting Material, roll a d20 to see how many you get if this is a loot drop.")</f>
        <v>Crafting Material, roll a d20 to see how many you get if this is a loot drop.</v>
      </c>
      <c r="C197" s="32" t="str">
        <f>IFERROR(__xludf.DUMMYFUNCTION("""COMPUTED_VALUE"""),"Item")</f>
        <v>Item</v>
      </c>
      <c r="D197" s="32" t="str">
        <f>IFERROR(__xludf.DUMMYFUNCTION("""COMPUTED_VALUE"""),"Land of Spira")</f>
        <v>Land of Spira</v>
      </c>
      <c r="E197" s="32" t="b">
        <f>IFERROR(__xludf.DUMMYFUNCTION("""COMPUTED_VALUE"""),FALSE)</f>
        <v>0</v>
      </c>
      <c r="F197" s="32"/>
      <c r="G197" s="32"/>
      <c r="H197" s="32"/>
      <c r="I197" s="32"/>
      <c r="J197" s="32"/>
      <c r="K197" s="32"/>
      <c r="L197" s="32"/>
      <c r="M197" s="32"/>
      <c r="N197" s="32"/>
      <c r="O197" s="32"/>
      <c r="P197" s="32"/>
      <c r="Q197" s="32"/>
      <c r="R197" s="32"/>
      <c r="S197" s="32"/>
      <c r="T197" s="32"/>
      <c r="U197" s="32"/>
      <c r="V197" s="32"/>
      <c r="W197" s="32"/>
      <c r="X197" s="32"/>
      <c r="Y197" s="32"/>
      <c r="Z197" s="32"/>
    </row>
    <row r="198">
      <c r="A198" s="50" t="str">
        <f>IFERROR(__xludf.DUMMYFUNCTION("""COMPUTED_VALUE"""),"Gold Brick")</f>
        <v>Gold Brick</v>
      </c>
      <c r="B198" s="50" t="str">
        <f>IFERROR(__xludf.DUMMYFUNCTION("""COMPUTED_VALUE"""),"Crafting Material, roll a d20 to see how many you get if this is a loot drop.")</f>
        <v>Crafting Material, roll a d20 to see how many you get if this is a loot drop.</v>
      </c>
      <c r="C198" s="32" t="str">
        <f>IFERROR(__xludf.DUMMYFUNCTION("""COMPUTED_VALUE"""),"Item")</f>
        <v>Item</v>
      </c>
      <c r="D198" s="32" t="str">
        <f>IFERROR(__xludf.DUMMYFUNCTION("""COMPUTED_VALUE"""),"Land of Spira")</f>
        <v>Land of Spira</v>
      </c>
      <c r="E198" s="32" t="b">
        <f>IFERROR(__xludf.DUMMYFUNCTION("""COMPUTED_VALUE"""),FALSE)</f>
        <v>0</v>
      </c>
      <c r="F198" s="32"/>
      <c r="G198" s="32"/>
      <c r="H198" s="32"/>
      <c r="I198" s="32"/>
      <c r="J198" s="32"/>
      <c r="K198" s="32"/>
      <c r="L198" s="32"/>
      <c r="M198" s="32"/>
      <c r="N198" s="32"/>
      <c r="O198" s="32"/>
      <c r="P198" s="32"/>
      <c r="Q198" s="32"/>
      <c r="R198" s="32"/>
      <c r="S198" s="32"/>
      <c r="T198" s="32"/>
      <c r="U198" s="32"/>
      <c r="V198" s="32"/>
      <c r="W198" s="32"/>
      <c r="X198" s="32"/>
      <c r="Y198" s="32"/>
      <c r="Z198" s="32"/>
    </row>
    <row r="199">
      <c r="A199" s="50" t="str">
        <f>IFERROR(__xludf.DUMMYFUNCTION("""COMPUTED_VALUE"""),"Arrow of Mutiplying ")</f>
        <v>Arrow of Mutiplying </v>
      </c>
      <c r="B199" s="50"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32" t="str">
        <f>IFERROR(__xludf.DUMMYFUNCTION("""COMPUTED_VALUE"""),"Item")</f>
        <v>Item</v>
      </c>
      <c r="D199" s="32" t="str">
        <f>IFERROR(__xludf.DUMMYFUNCTION("""COMPUTED_VALUE"""),"Land of Spira")</f>
        <v>Land of Spira</v>
      </c>
      <c r="E199" s="32" t="b">
        <f>IFERROR(__xludf.DUMMYFUNCTION("""COMPUTED_VALUE"""),FALSE)</f>
        <v>0</v>
      </c>
      <c r="F199" s="32"/>
      <c r="G199" s="32"/>
      <c r="H199" s="32"/>
      <c r="I199" s="32"/>
      <c r="J199" s="32"/>
      <c r="K199" s="32"/>
      <c r="L199" s="32"/>
      <c r="M199" s="32"/>
      <c r="N199" s="32"/>
      <c r="O199" s="32"/>
      <c r="P199" s="32"/>
      <c r="Q199" s="32"/>
      <c r="R199" s="32"/>
      <c r="S199" s="32"/>
      <c r="T199" s="32"/>
      <c r="U199" s="32"/>
      <c r="V199" s="32"/>
      <c r="W199" s="32"/>
      <c r="X199" s="32"/>
      <c r="Y199" s="32"/>
      <c r="Z199" s="32"/>
    </row>
    <row r="200">
      <c r="A200" s="50" t="str">
        <f>IFERROR(__xludf.DUMMYFUNCTION("""COMPUTED_VALUE"""),"Water Gem")</f>
        <v>Water Gem</v>
      </c>
      <c r="B200" s="50" t="str">
        <f>IFERROR(__xludf.DUMMYFUNCTION("""COMPUTED_VALUE"""),"Crafting Material, roll a d20 to see how many you get if this is a loot drop.")</f>
        <v>Crafting Material, roll a d20 to see how many you get if this is a loot drop.</v>
      </c>
      <c r="C200" s="32" t="str">
        <f>IFERROR(__xludf.DUMMYFUNCTION("""COMPUTED_VALUE"""),"Item")</f>
        <v>Item</v>
      </c>
      <c r="D200" s="32" t="str">
        <f>IFERROR(__xludf.DUMMYFUNCTION("""COMPUTED_VALUE"""),"Land of Spira")</f>
        <v>Land of Spira</v>
      </c>
      <c r="E200" s="32" t="b">
        <f>IFERROR(__xludf.DUMMYFUNCTION("""COMPUTED_VALUE"""),FALSE)</f>
        <v>0</v>
      </c>
      <c r="F200" s="32"/>
      <c r="G200" s="32"/>
      <c r="H200" s="32"/>
      <c r="I200" s="32"/>
      <c r="J200" s="32"/>
      <c r="K200" s="32"/>
      <c r="L200" s="32"/>
      <c r="M200" s="32"/>
      <c r="N200" s="32"/>
      <c r="O200" s="32"/>
      <c r="P200" s="32"/>
      <c r="Q200" s="32"/>
      <c r="R200" s="32"/>
      <c r="S200" s="32"/>
      <c r="T200" s="32"/>
      <c r="U200" s="32"/>
      <c r="V200" s="32"/>
      <c r="W200" s="32"/>
      <c r="X200" s="32"/>
      <c r="Y200" s="32"/>
      <c r="Z200" s="32"/>
    </row>
    <row r="201">
      <c r="A201" s="50" t="str">
        <f>IFERROR(__xludf.DUMMYFUNCTION("""COMPUTED_VALUE"""),"Goose Meat")</f>
        <v>Goose Meat</v>
      </c>
      <c r="B201" s="50" t="str">
        <f>IFERROR(__xludf.DUMMYFUNCTION("""COMPUTED_VALUE"""),"-200 hunger to any character that is not owner by Hunter Gooseman. +500 Hunger to any character Hunter Owns.")</f>
        <v>-200 hunger to any character that is not owner by Hunter Gooseman. +500 Hunger to any character Hunter Owns.</v>
      </c>
      <c r="C201" s="32" t="str">
        <f>IFERROR(__xludf.DUMMYFUNCTION("""COMPUTED_VALUE"""),"Crop")</f>
        <v>Crop</v>
      </c>
      <c r="D201" s="32" t="str">
        <f>IFERROR(__xludf.DUMMYFUNCTION("""COMPUTED_VALUE"""),"Land of Spira")</f>
        <v>Land of Spira</v>
      </c>
      <c r="E201" s="32" t="b">
        <f>IFERROR(__xludf.DUMMYFUNCTION("""COMPUTED_VALUE"""),FALSE)</f>
        <v>0</v>
      </c>
      <c r="F201" s="32"/>
      <c r="G201" s="32"/>
      <c r="H201" s="32"/>
      <c r="I201" s="32"/>
      <c r="J201" s="32"/>
      <c r="K201" s="32"/>
      <c r="L201" s="32"/>
      <c r="M201" s="32"/>
      <c r="N201" s="32"/>
      <c r="O201" s="32"/>
      <c r="P201" s="32"/>
      <c r="Q201" s="32"/>
      <c r="R201" s="32"/>
      <c r="S201" s="32"/>
      <c r="T201" s="32"/>
      <c r="U201" s="32"/>
      <c r="V201" s="32"/>
      <c r="W201" s="32"/>
      <c r="X201" s="32"/>
      <c r="Y201" s="32"/>
      <c r="Z201" s="32"/>
    </row>
    <row r="202">
      <c r="A202" s="50" t="str">
        <f>IFERROR(__xludf.DUMMYFUNCTION("""COMPUTED_VALUE"""),"Mysterious Gem")</f>
        <v>Mysterious Gem</v>
      </c>
      <c r="B202" s="50" t="str">
        <f>IFERROR(__xludf.DUMMYFUNCTION("""COMPUTED_VALUE"""),"Crafting Material, roll a d20 to see how many you get if this is a loot drop.")</f>
        <v>Crafting Material, roll a d20 to see how many you get if this is a loot drop.</v>
      </c>
      <c r="C202" s="32" t="str">
        <f>IFERROR(__xludf.DUMMYFUNCTION("""COMPUTED_VALUE"""),"Item")</f>
        <v>Item</v>
      </c>
      <c r="D202" s="32" t="str">
        <f>IFERROR(__xludf.DUMMYFUNCTION("""COMPUTED_VALUE"""),"Land of Spira")</f>
        <v>Land of Spira</v>
      </c>
      <c r="E202" s="32" t="b">
        <f>IFERROR(__xludf.DUMMYFUNCTION("""COMPUTED_VALUE"""),FALSE)</f>
        <v>0</v>
      </c>
      <c r="F202" s="32"/>
      <c r="G202" s="32"/>
      <c r="H202" s="32"/>
      <c r="I202" s="32"/>
      <c r="J202" s="32"/>
      <c r="K202" s="32"/>
      <c r="L202" s="32"/>
      <c r="M202" s="32"/>
      <c r="N202" s="32"/>
      <c r="O202" s="32"/>
      <c r="P202" s="32"/>
      <c r="Q202" s="32"/>
      <c r="R202" s="32"/>
      <c r="S202" s="32"/>
      <c r="T202" s="32"/>
      <c r="U202" s="32"/>
      <c r="V202" s="32"/>
      <c r="W202" s="32"/>
      <c r="X202" s="32"/>
      <c r="Y202" s="32"/>
      <c r="Z202" s="32"/>
    </row>
    <row r="203">
      <c r="A203" s="50" t="str">
        <f>IFERROR(__xludf.DUMMYFUNCTION("""COMPUTED_VALUE"""),"Turtle Shell")</f>
        <v>Turtle Shell</v>
      </c>
      <c r="B203" s="50" t="str">
        <f>IFERROR(__xludf.DUMMYFUNCTION("""COMPUTED_VALUE"""),"Crafting Material, roll a d20 to see how many you get if this is a loot drop.")</f>
        <v>Crafting Material, roll a d20 to see how many you get if this is a loot drop.</v>
      </c>
      <c r="C203" s="32" t="str">
        <f>IFERROR(__xludf.DUMMYFUNCTION("""COMPUTED_VALUE"""),"Item")</f>
        <v>Item</v>
      </c>
      <c r="D203" s="32" t="str">
        <f>IFERROR(__xludf.DUMMYFUNCTION("""COMPUTED_VALUE"""),"Land of Spira")</f>
        <v>Land of Spira</v>
      </c>
      <c r="E203" s="32" t="b">
        <f>IFERROR(__xludf.DUMMYFUNCTION("""COMPUTED_VALUE"""),FALSE)</f>
        <v>0</v>
      </c>
      <c r="F203" s="32"/>
      <c r="G203" s="32"/>
      <c r="H203" s="32"/>
      <c r="I203" s="32"/>
      <c r="J203" s="32"/>
      <c r="K203" s="32"/>
      <c r="L203" s="32"/>
      <c r="M203" s="32"/>
      <c r="N203" s="32"/>
      <c r="O203" s="32"/>
      <c r="P203" s="32"/>
      <c r="Q203" s="32"/>
      <c r="R203" s="32"/>
      <c r="S203" s="32"/>
      <c r="T203" s="32"/>
      <c r="U203" s="32"/>
      <c r="V203" s="32"/>
      <c r="W203" s="32"/>
      <c r="X203" s="32"/>
      <c r="Y203" s="32"/>
      <c r="Z203" s="32"/>
    </row>
    <row r="204">
      <c r="A204" s="50" t="str">
        <f>IFERROR(__xludf.DUMMYFUNCTION("""COMPUTED_VALUE"""),"Pumpkin Diamond")</f>
        <v>Pumpkin Diamond</v>
      </c>
      <c r="B204" s="50" t="str">
        <f>IFERROR(__xludf.DUMMYFUNCTION("""COMPUTED_VALUE"""),"Crafting Material, roll a d20 to see how many you get if this is a loot drop.")</f>
        <v>Crafting Material, roll a d20 to see how many you get if this is a loot drop.</v>
      </c>
      <c r="C204" s="32" t="str">
        <f>IFERROR(__xludf.DUMMYFUNCTION("""COMPUTED_VALUE"""),"Item")</f>
        <v>Item</v>
      </c>
      <c r="D204" s="32" t="str">
        <f>IFERROR(__xludf.DUMMYFUNCTION("""COMPUTED_VALUE"""),"Land of Spira")</f>
        <v>Land of Spira</v>
      </c>
      <c r="E204" s="32" t="b">
        <f>IFERROR(__xludf.DUMMYFUNCTION("""COMPUTED_VALUE"""),FALSE)</f>
        <v>0</v>
      </c>
      <c r="F204" s="32"/>
      <c r="G204" s="32"/>
      <c r="H204" s="32"/>
      <c r="I204" s="32"/>
      <c r="J204" s="32"/>
      <c r="K204" s="32"/>
      <c r="L204" s="32"/>
      <c r="M204" s="32"/>
      <c r="N204" s="32"/>
      <c r="O204" s="32"/>
      <c r="P204" s="32"/>
      <c r="Q204" s="32"/>
      <c r="R204" s="32"/>
      <c r="S204" s="32"/>
      <c r="T204" s="32"/>
      <c r="U204" s="32"/>
      <c r="V204" s="32"/>
      <c r="W204" s="32"/>
      <c r="X204" s="32"/>
      <c r="Y204" s="32"/>
      <c r="Z204" s="32"/>
    </row>
    <row r="205">
      <c r="A205" s="50" t="str">
        <f>IFERROR(__xludf.DUMMYFUNCTION("""COMPUTED_VALUE"""),"Shadow Diamond")</f>
        <v>Shadow Diamond</v>
      </c>
      <c r="B205" s="50" t="str">
        <f>IFERROR(__xludf.DUMMYFUNCTION("""COMPUTED_VALUE"""),"Crafting Material, roll a d20 to see how many you get if this is a loot drop.")</f>
        <v>Crafting Material, roll a d20 to see how many you get if this is a loot drop.</v>
      </c>
      <c r="C205" s="32" t="str">
        <f>IFERROR(__xludf.DUMMYFUNCTION("""COMPUTED_VALUE"""),"Item")</f>
        <v>Item</v>
      </c>
      <c r="D205" s="32" t="str">
        <f>IFERROR(__xludf.DUMMYFUNCTION("""COMPUTED_VALUE"""),"Land of Spira")</f>
        <v>Land of Spira</v>
      </c>
      <c r="E205" s="32" t="b">
        <f>IFERROR(__xludf.DUMMYFUNCTION("""COMPUTED_VALUE"""),FALSE)</f>
        <v>0</v>
      </c>
      <c r="F205" s="32"/>
      <c r="G205" s="32"/>
      <c r="H205" s="32"/>
      <c r="I205" s="32"/>
      <c r="J205" s="32"/>
      <c r="K205" s="32"/>
      <c r="L205" s="32"/>
      <c r="M205" s="32"/>
      <c r="N205" s="32"/>
      <c r="O205" s="32"/>
      <c r="P205" s="32"/>
      <c r="Q205" s="32"/>
      <c r="R205" s="32"/>
      <c r="S205" s="32"/>
      <c r="T205" s="32"/>
      <c r="U205" s="32"/>
      <c r="V205" s="32"/>
      <c r="W205" s="32"/>
      <c r="X205" s="32"/>
      <c r="Y205" s="32"/>
      <c r="Z205" s="32"/>
    </row>
    <row r="206">
      <c r="A206" s="50" t="str">
        <f>IFERROR(__xludf.DUMMYFUNCTION("""COMPUTED_VALUE"""),"Rank 6 Earth tome")</f>
        <v>Rank 6 Earth tome</v>
      </c>
      <c r="B206" s="50" t="str">
        <f>IFERROR(__xludf.DUMMYFUNCTION("""COMPUTED_VALUE"""),"Allows use of up to Rank 6 Earth Powers")</f>
        <v>Allows use of up to Rank 6 Earth Powers</v>
      </c>
      <c r="C206" s="32" t="str">
        <f>IFERROR(__xludf.DUMMYFUNCTION("""COMPUTED_VALUE"""),"Item")</f>
        <v>Item</v>
      </c>
      <c r="D206" s="32" t="str">
        <f>IFERROR(__xludf.DUMMYFUNCTION("""COMPUTED_VALUE"""),"Land of Spira")</f>
        <v>Land of Spira</v>
      </c>
      <c r="E206" s="32" t="b">
        <f>IFERROR(__xludf.DUMMYFUNCTION("""COMPUTED_VALUE"""),FALSE)</f>
        <v>0</v>
      </c>
      <c r="F206" s="32"/>
      <c r="G206" s="32"/>
      <c r="H206" s="32"/>
      <c r="I206" s="32"/>
      <c r="J206" s="32"/>
      <c r="K206" s="32"/>
      <c r="L206" s="32"/>
      <c r="M206" s="32"/>
      <c r="N206" s="32"/>
      <c r="O206" s="32"/>
      <c r="P206" s="32"/>
      <c r="Q206" s="32"/>
      <c r="R206" s="32"/>
      <c r="S206" s="32"/>
      <c r="T206" s="32"/>
      <c r="U206" s="32"/>
      <c r="V206" s="32"/>
      <c r="W206" s="32"/>
      <c r="X206" s="32"/>
      <c r="Y206" s="32"/>
      <c r="Z206" s="32"/>
    </row>
    <row r="207">
      <c r="A207" s="50" t="str">
        <f>IFERROR(__xludf.DUMMYFUNCTION("""COMPUTED_VALUE"""),"Demon Claw")</f>
        <v>Demon Claw</v>
      </c>
      <c r="B207" s="50" t="str">
        <f>IFERROR(__xludf.DUMMYFUNCTION("""COMPUTED_VALUE"""),"Crafting Material, roll a d20 to see how many you get if this is a loot drop.")</f>
        <v>Crafting Material, roll a d20 to see how many you get if this is a loot drop.</v>
      </c>
      <c r="C207" s="32" t="str">
        <f>IFERROR(__xludf.DUMMYFUNCTION("""COMPUTED_VALUE"""),"Item")</f>
        <v>Item</v>
      </c>
      <c r="D207" s="32" t="str">
        <f>IFERROR(__xludf.DUMMYFUNCTION("""COMPUTED_VALUE"""),"Land of Spira")</f>
        <v>Land of Spira</v>
      </c>
      <c r="E207" s="32" t="b">
        <f>IFERROR(__xludf.DUMMYFUNCTION("""COMPUTED_VALUE"""),FALSE)</f>
        <v>0</v>
      </c>
      <c r="F207" s="32"/>
      <c r="G207" s="32"/>
      <c r="H207" s="32"/>
      <c r="I207" s="32"/>
      <c r="J207" s="32"/>
      <c r="K207" s="32"/>
      <c r="L207" s="32"/>
      <c r="M207" s="32"/>
      <c r="N207" s="32"/>
      <c r="O207" s="32"/>
      <c r="P207" s="32"/>
      <c r="Q207" s="32"/>
      <c r="R207" s="32"/>
      <c r="S207" s="32"/>
      <c r="T207" s="32"/>
      <c r="U207" s="32"/>
      <c r="V207" s="32"/>
      <c r="W207" s="32"/>
      <c r="X207" s="32"/>
      <c r="Y207" s="32"/>
      <c r="Z207" s="32"/>
    </row>
    <row r="208">
      <c r="A208" s="50" t="str">
        <f>IFERROR(__xludf.DUMMYFUNCTION("""COMPUTED_VALUE"""),"Golden Bug")</f>
        <v>Golden Bug</v>
      </c>
      <c r="B208" s="50" t="str">
        <f>IFERROR(__xludf.DUMMYFUNCTION("""COMPUTED_VALUE"""),"Crafting Material, roll a d20 to see how many you get if this is a loot drop.")</f>
        <v>Crafting Material, roll a d20 to see how many you get if this is a loot drop.</v>
      </c>
      <c r="C208" s="32" t="str">
        <f>IFERROR(__xludf.DUMMYFUNCTION("""COMPUTED_VALUE"""),"Item")</f>
        <v>Item</v>
      </c>
      <c r="D208" s="32" t="str">
        <f>IFERROR(__xludf.DUMMYFUNCTION("""COMPUTED_VALUE"""),"Land of Spira")</f>
        <v>Land of Spira</v>
      </c>
      <c r="E208" s="32" t="b">
        <f>IFERROR(__xludf.DUMMYFUNCTION("""COMPUTED_VALUE"""),FALSE)</f>
        <v>0</v>
      </c>
      <c r="F208" s="32"/>
      <c r="G208" s="32"/>
      <c r="H208" s="32"/>
      <c r="I208" s="32"/>
      <c r="J208" s="32"/>
      <c r="K208" s="32"/>
      <c r="L208" s="32"/>
      <c r="M208" s="32"/>
      <c r="N208" s="32"/>
      <c r="O208" s="32"/>
      <c r="P208" s="32"/>
      <c r="Q208" s="32"/>
      <c r="R208" s="32"/>
      <c r="S208" s="32"/>
      <c r="T208" s="32"/>
      <c r="U208" s="32"/>
      <c r="V208" s="32"/>
      <c r="W208" s="32"/>
      <c r="X208" s="32"/>
      <c r="Y208" s="32"/>
      <c r="Z208" s="32"/>
    </row>
    <row r="209">
      <c r="A209" s="50" t="str">
        <f>IFERROR(__xludf.DUMMYFUNCTION("""COMPUTED_VALUE"""),"Dragon Orb")</f>
        <v>Dragon Orb</v>
      </c>
      <c r="B209" s="50" t="str">
        <f>IFERROR(__xludf.DUMMYFUNCTION("""COMPUTED_VALUE"""),"Crafting Material, roll a d20 to see how many you get if this is a loot drop.")</f>
        <v>Crafting Material, roll a d20 to see how many you get if this is a loot drop.</v>
      </c>
      <c r="C209" s="32" t="str">
        <f>IFERROR(__xludf.DUMMYFUNCTION("""COMPUTED_VALUE"""),"Item")</f>
        <v>Item</v>
      </c>
      <c r="D209" s="32" t="str">
        <f>IFERROR(__xludf.DUMMYFUNCTION("""COMPUTED_VALUE"""),"Land of Spira")</f>
        <v>Land of Spira</v>
      </c>
      <c r="E209" s="32" t="b">
        <f>IFERROR(__xludf.DUMMYFUNCTION("""COMPUTED_VALUE"""),FALSE)</f>
        <v>0</v>
      </c>
      <c r="F209" s="32"/>
      <c r="G209" s="32"/>
      <c r="H209" s="32"/>
      <c r="I209" s="32"/>
      <c r="J209" s="32"/>
      <c r="K209" s="32"/>
      <c r="L209" s="32"/>
      <c r="M209" s="32"/>
      <c r="N209" s="32"/>
      <c r="O209" s="32"/>
      <c r="P209" s="32"/>
      <c r="Q209" s="32"/>
      <c r="R209" s="32"/>
      <c r="S209" s="32"/>
      <c r="T209" s="32"/>
      <c r="U209" s="32"/>
      <c r="V209" s="32"/>
      <c r="W209" s="32"/>
      <c r="X209" s="32"/>
      <c r="Y209" s="32"/>
      <c r="Z209" s="32"/>
    </row>
    <row r="210">
      <c r="A210" s="50" t="str">
        <f>IFERROR(__xludf.DUMMYFUNCTION("""COMPUTED_VALUE"""),"Water potion")</f>
        <v>Water potion</v>
      </c>
      <c r="B210" s="50" t="str">
        <f>IFERROR(__xludf.DUMMYFUNCTION("""COMPUTED_VALUE"""),"Gives water immunity for 1 round")</f>
        <v>Gives water immunity for 1 round</v>
      </c>
      <c r="C210" s="32" t="str">
        <f>IFERROR(__xludf.DUMMYFUNCTION("""COMPUTED_VALUE"""),"Item")</f>
        <v>Item</v>
      </c>
      <c r="D210" s="32" t="str">
        <f>IFERROR(__xludf.DUMMYFUNCTION("""COMPUTED_VALUE"""),"Land of Spira")</f>
        <v>Land of Spira</v>
      </c>
      <c r="E210" s="32" t="b">
        <f>IFERROR(__xludf.DUMMYFUNCTION("""COMPUTED_VALUE"""),FALSE)</f>
        <v>0</v>
      </c>
      <c r="F210" s="32"/>
      <c r="G210" s="32"/>
      <c r="H210" s="32"/>
      <c r="I210" s="32"/>
      <c r="J210" s="32"/>
      <c r="K210" s="32"/>
      <c r="L210" s="32"/>
      <c r="M210" s="32"/>
      <c r="N210" s="32"/>
      <c r="O210" s="32"/>
      <c r="P210" s="32"/>
      <c r="Q210" s="32"/>
      <c r="R210" s="32"/>
      <c r="S210" s="32"/>
      <c r="T210" s="32"/>
      <c r="U210" s="32"/>
      <c r="V210" s="32"/>
      <c r="W210" s="32"/>
      <c r="X210" s="32"/>
      <c r="Y210" s="32"/>
      <c r="Z210" s="32"/>
    </row>
    <row r="211">
      <c r="A211" s="50" t="str">
        <f>IFERROR(__xludf.DUMMYFUNCTION("""COMPUTED_VALUE"""),"Jellyfish Stinger")</f>
        <v>Jellyfish Stinger</v>
      </c>
      <c r="B211" s="50" t="str">
        <f>IFERROR(__xludf.DUMMYFUNCTION("""COMPUTED_VALUE"""),"Crafting Material, roll a d20 to see how many you get if this is a loot drop.")</f>
        <v>Crafting Material, roll a d20 to see how many you get if this is a loot drop.</v>
      </c>
      <c r="C211" s="32" t="str">
        <f>IFERROR(__xludf.DUMMYFUNCTION("""COMPUTED_VALUE"""),"Item")</f>
        <v>Item</v>
      </c>
      <c r="D211" s="32" t="str">
        <f>IFERROR(__xludf.DUMMYFUNCTION("""COMPUTED_VALUE"""),"Land of Spira")</f>
        <v>Land of Spira</v>
      </c>
      <c r="E211" s="32" t="b">
        <f>IFERROR(__xludf.DUMMYFUNCTION("""COMPUTED_VALUE"""),FALSE)</f>
        <v>0</v>
      </c>
      <c r="F211" s="32"/>
      <c r="G211" s="32"/>
      <c r="H211" s="32"/>
      <c r="I211" s="32"/>
      <c r="J211" s="32"/>
      <c r="K211" s="32"/>
      <c r="L211" s="32"/>
      <c r="M211" s="32"/>
      <c r="N211" s="32"/>
      <c r="O211" s="32"/>
      <c r="P211" s="32"/>
      <c r="Q211" s="32"/>
      <c r="R211" s="32"/>
      <c r="S211" s="32"/>
      <c r="T211" s="32"/>
      <c r="U211" s="32"/>
      <c r="V211" s="32"/>
      <c r="W211" s="32"/>
      <c r="X211" s="32"/>
      <c r="Y211" s="32"/>
      <c r="Z211" s="32"/>
    </row>
    <row r="212">
      <c r="A212" s="50" t="str">
        <f>IFERROR(__xludf.DUMMYFUNCTION("""COMPUTED_VALUE"""),"Bee Stinger ")</f>
        <v>Bee Stinger </v>
      </c>
      <c r="B212" s="50" t="str">
        <f>IFERROR(__xludf.DUMMYFUNCTION("""COMPUTED_VALUE"""),"Crafting Material, roll a d20 to see how many you get if this is a loot drop.")</f>
        <v>Crafting Material, roll a d20 to see how many you get if this is a loot drop.</v>
      </c>
      <c r="C212" s="32" t="str">
        <f>IFERROR(__xludf.DUMMYFUNCTION("""COMPUTED_VALUE"""),"Item")</f>
        <v>Item</v>
      </c>
      <c r="D212" s="32" t="str">
        <f>IFERROR(__xludf.DUMMYFUNCTION("""COMPUTED_VALUE"""),"Land of Spira")</f>
        <v>Land of Spira</v>
      </c>
      <c r="E212" s="32" t="b">
        <f>IFERROR(__xludf.DUMMYFUNCTION("""COMPUTED_VALUE"""),FALSE)</f>
        <v>0</v>
      </c>
      <c r="F212" s="32"/>
      <c r="G212" s="32"/>
      <c r="H212" s="32"/>
      <c r="I212" s="32"/>
      <c r="J212" s="32"/>
      <c r="K212" s="32"/>
      <c r="L212" s="32"/>
      <c r="M212" s="32"/>
      <c r="N212" s="32"/>
      <c r="O212" s="32"/>
      <c r="P212" s="32"/>
      <c r="Q212" s="32"/>
      <c r="R212" s="32"/>
      <c r="S212" s="32"/>
      <c r="T212" s="32"/>
      <c r="U212" s="32"/>
      <c r="V212" s="32"/>
      <c r="W212" s="32"/>
      <c r="X212" s="32"/>
      <c r="Y212" s="32"/>
      <c r="Z212" s="32"/>
    </row>
    <row r="213">
      <c r="A213" s="50" t="str">
        <f>IFERROR(__xludf.DUMMYFUNCTION("""COMPUTED_VALUE"""),"Squid Ink")</f>
        <v>Squid Ink</v>
      </c>
      <c r="B213" s="50" t="str">
        <f>IFERROR(__xludf.DUMMYFUNCTION("""COMPUTED_VALUE"""),"Crafting Material, roll a d20 to see how many you get if this is a loot drop.")</f>
        <v>Crafting Material, roll a d20 to see how many you get if this is a loot drop.</v>
      </c>
      <c r="C213" s="32" t="str">
        <f>IFERROR(__xludf.DUMMYFUNCTION("""COMPUTED_VALUE"""),"Item")</f>
        <v>Item</v>
      </c>
      <c r="D213" s="32" t="str">
        <f>IFERROR(__xludf.DUMMYFUNCTION("""COMPUTED_VALUE"""),"Land of Spira")</f>
        <v>Land of Spira</v>
      </c>
      <c r="E213" s="32" t="b">
        <f>IFERROR(__xludf.DUMMYFUNCTION("""COMPUTED_VALUE"""),FALSE)</f>
        <v>0</v>
      </c>
      <c r="F213" s="32"/>
      <c r="G213" s="32"/>
      <c r="H213" s="32"/>
      <c r="I213" s="32"/>
      <c r="J213" s="32"/>
      <c r="K213" s="32"/>
      <c r="L213" s="32"/>
      <c r="M213" s="32"/>
      <c r="N213" s="32"/>
      <c r="O213" s="32"/>
      <c r="P213" s="32"/>
      <c r="Q213" s="32"/>
      <c r="R213" s="32"/>
      <c r="S213" s="32"/>
      <c r="T213" s="32"/>
      <c r="U213" s="32"/>
      <c r="V213" s="32"/>
      <c r="W213" s="32"/>
      <c r="X213" s="32"/>
      <c r="Y213" s="32"/>
      <c r="Z213" s="32"/>
    </row>
    <row r="214">
      <c r="A214" s="50" t="str">
        <f>IFERROR(__xludf.DUMMYFUNCTION("""COMPUTED_VALUE"""),"Potion of Water Breathing")</f>
        <v>Potion of Water Breathing</v>
      </c>
      <c r="B214" s="50" t="str">
        <f>IFERROR(__xludf.DUMMYFUNCTION("""COMPUTED_VALUE"""),"Immune to water for for 3 rounds in battle or 3 days of travel.")</f>
        <v>Immune to water for for 3 rounds in battle or 3 days of travel.</v>
      </c>
      <c r="C214" s="32" t="str">
        <f>IFERROR(__xludf.DUMMYFUNCTION("""COMPUTED_VALUE"""),"Item")</f>
        <v>Item</v>
      </c>
      <c r="D214" s="32" t="str">
        <f>IFERROR(__xludf.DUMMYFUNCTION("""COMPUTED_VALUE"""),"Land of Spira")</f>
        <v>Land of Spira</v>
      </c>
      <c r="E214" s="32" t="b">
        <f>IFERROR(__xludf.DUMMYFUNCTION("""COMPUTED_VALUE"""),FALSE)</f>
        <v>0</v>
      </c>
      <c r="F214" s="32"/>
      <c r="G214" s="32"/>
      <c r="H214" s="32"/>
      <c r="I214" s="32"/>
      <c r="J214" s="32"/>
      <c r="K214" s="32"/>
      <c r="L214" s="32"/>
      <c r="M214" s="32"/>
      <c r="N214" s="32"/>
      <c r="O214" s="32"/>
      <c r="P214" s="32"/>
      <c r="Q214" s="32"/>
      <c r="R214" s="32"/>
      <c r="S214" s="32"/>
      <c r="T214" s="32"/>
      <c r="U214" s="32"/>
      <c r="V214" s="32"/>
      <c r="W214" s="32"/>
      <c r="X214" s="32"/>
      <c r="Y214" s="32"/>
      <c r="Z214" s="32"/>
    </row>
    <row r="215">
      <c r="A215" s="50" t="str">
        <f>IFERROR(__xludf.DUMMYFUNCTION("""COMPUTED_VALUE"""),"Shark Fin")</f>
        <v>Shark Fin</v>
      </c>
      <c r="B215" s="50" t="str">
        <f>IFERROR(__xludf.DUMMYFUNCTION("""COMPUTED_VALUE"""),"Restores 10 Hunger, +1 ATK until rest")</f>
        <v>Restores 10 Hunger, +1 ATK until rest</v>
      </c>
      <c r="C215" s="32" t="str">
        <f>IFERROR(__xludf.DUMMYFUNCTION("""COMPUTED_VALUE"""),"Crop")</f>
        <v>Crop</v>
      </c>
      <c r="D215" s="32" t="str">
        <f>IFERROR(__xludf.DUMMYFUNCTION("""COMPUTED_VALUE"""),"Land of Spira")</f>
        <v>Land of Spira</v>
      </c>
      <c r="E215" s="32" t="b">
        <f>IFERROR(__xludf.DUMMYFUNCTION("""COMPUTED_VALUE"""),FALSE)</f>
        <v>0</v>
      </c>
      <c r="F215" s="32"/>
      <c r="G215" s="32"/>
      <c r="H215" s="32"/>
      <c r="I215" s="32"/>
      <c r="J215" s="32"/>
      <c r="K215" s="32"/>
      <c r="L215" s="32"/>
      <c r="M215" s="32"/>
      <c r="N215" s="32"/>
      <c r="O215" s="32"/>
      <c r="P215" s="32"/>
      <c r="Q215" s="32"/>
      <c r="R215" s="32"/>
      <c r="S215" s="32"/>
      <c r="T215" s="32"/>
      <c r="U215" s="32"/>
      <c r="V215" s="32"/>
      <c r="W215" s="32"/>
      <c r="X215" s="32"/>
      <c r="Y215" s="32"/>
      <c r="Z215" s="32"/>
    </row>
    <row r="216">
      <c r="A216" s="50" t="str">
        <f>IFERROR(__xludf.DUMMYFUNCTION("""COMPUTED_VALUE"""),"Shark Teeth")</f>
        <v>Shark Teeth</v>
      </c>
      <c r="B216" s="50" t="str">
        <f>IFERROR(__xludf.DUMMYFUNCTION("""COMPUTED_VALUE"""),"100 = permanently increase Atk by 1")</f>
        <v>100 = permanently increase Atk by 1</v>
      </c>
      <c r="C216" s="32" t="str">
        <f>IFERROR(__xludf.DUMMYFUNCTION("""COMPUTED_VALUE"""),"Item")</f>
        <v>Item</v>
      </c>
      <c r="D216" s="32" t="str">
        <f>IFERROR(__xludf.DUMMYFUNCTION("""COMPUTED_VALUE"""),"Land of Spira")</f>
        <v>Land of Spira</v>
      </c>
      <c r="E216" s="32" t="b">
        <f>IFERROR(__xludf.DUMMYFUNCTION("""COMPUTED_VALUE"""),FALSE)</f>
        <v>0</v>
      </c>
      <c r="F216" s="32"/>
      <c r="G216" s="32"/>
      <c r="H216" s="32"/>
      <c r="I216" s="32"/>
      <c r="J216" s="32"/>
      <c r="K216" s="32"/>
      <c r="L216" s="32"/>
      <c r="M216" s="32"/>
      <c r="N216" s="32"/>
      <c r="O216" s="32"/>
      <c r="P216" s="32"/>
      <c r="Q216" s="32"/>
      <c r="R216" s="32"/>
      <c r="S216" s="32"/>
      <c r="T216" s="32"/>
      <c r="U216" s="32"/>
      <c r="V216" s="32"/>
      <c r="W216" s="32"/>
      <c r="X216" s="32"/>
      <c r="Y216" s="32"/>
      <c r="Z216" s="32"/>
    </row>
    <row r="217">
      <c r="A217" s="50" t="str">
        <f>IFERROR(__xludf.DUMMYFUNCTION("""COMPUTED_VALUE"""),"Fish")</f>
        <v>Fish</v>
      </c>
      <c r="B217" s="50" t="str">
        <f>IFERROR(__xludf.DUMMYFUNCTION("""COMPUTED_VALUE"""),"5 Hunger, +100 water Resist until rest")</f>
        <v>5 Hunger, +100 water Resist until rest</v>
      </c>
      <c r="C217" s="32" t="str">
        <f>IFERROR(__xludf.DUMMYFUNCTION("""COMPUTED_VALUE"""),"Crop")</f>
        <v>Crop</v>
      </c>
      <c r="D217" s="32" t="str">
        <f>IFERROR(__xludf.DUMMYFUNCTION("""COMPUTED_VALUE"""),"Land of Spira")</f>
        <v>Land of Spira</v>
      </c>
      <c r="E217" s="32" t="b">
        <f>IFERROR(__xludf.DUMMYFUNCTION("""COMPUTED_VALUE"""),FALSE)</f>
        <v>0</v>
      </c>
      <c r="F217" s="32"/>
      <c r="G217" s="32"/>
      <c r="H217" s="32"/>
      <c r="I217" s="32"/>
      <c r="J217" s="32"/>
      <c r="K217" s="32"/>
      <c r="L217" s="32"/>
      <c r="M217" s="32"/>
      <c r="N217" s="32"/>
      <c r="O217" s="32"/>
      <c r="P217" s="32"/>
      <c r="Q217" s="32"/>
      <c r="R217" s="32"/>
      <c r="S217" s="32"/>
      <c r="T217" s="32"/>
      <c r="U217" s="32"/>
      <c r="V217" s="32"/>
      <c r="W217" s="32"/>
      <c r="X217" s="32"/>
      <c r="Y217" s="32"/>
      <c r="Z217" s="32"/>
    </row>
    <row r="218">
      <c r="A218" s="50" t="str">
        <f>IFERROR(__xludf.DUMMYFUNCTION("""COMPUTED_VALUE"""),"Huge Teeth")</f>
        <v>Huge Teeth</v>
      </c>
      <c r="B218" s="50" t="str">
        <f>IFERROR(__xludf.DUMMYFUNCTION("""COMPUTED_VALUE"""),"Worth 1000G at a shop.")</f>
        <v>Worth 1000G at a shop.</v>
      </c>
      <c r="C218" s="32" t="str">
        <f>IFERROR(__xludf.DUMMYFUNCTION("""COMPUTED_VALUE"""),"Item")</f>
        <v>Item</v>
      </c>
      <c r="D218" s="32" t="str">
        <f>IFERROR(__xludf.DUMMYFUNCTION("""COMPUTED_VALUE"""),"Land of Spira")</f>
        <v>Land of Spira</v>
      </c>
      <c r="E218" s="32" t="b">
        <f>IFERROR(__xludf.DUMMYFUNCTION("""COMPUTED_VALUE"""),FALSE)</f>
        <v>0</v>
      </c>
      <c r="F218" s="32"/>
      <c r="G218" s="32"/>
      <c r="H218" s="32"/>
      <c r="I218" s="32"/>
      <c r="J218" s="32"/>
      <c r="K218" s="32"/>
      <c r="L218" s="32"/>
      <c r="M218" s="32"/>
      <c r="N218" s="32"/>
      <c r="O218" s="32"/>
      <c r="P218" s="32"/>
      <c r="Q218" s="32"/>
      <c r="R218" s="32"/>
      <c r="S218" s="32"/>
      <c r="T218" s="32"/>
      <c r="U218" s="32"/>
      <c r="V218" s="32"/>
      <c r="W218" s="32"/>
      <c r="X218" s="32"/>
      <c r="Y218" s="32"/>
      <c r="Z218" s="32"/>
    </row>
    <row r="219">
      <c r="A219" s="50" t="str">
        <f>IFERROR(__xludf.DUMMYFUNCTION("""COMPUTED_VALUE"""),"Enchanted Teeth")</f>
        <v>Enchanted Teeth</v>
      </c>
      <c r="B219" s="50" t="str">
        <f>IFERROR(__xludf.DUMMYFUNCTION("""COMPUTED_VALUE"""),"Worth 5000G at a shop.")</f>
        <v>Worth 5000G at a shop.</v>
      </c>
      <c r="C219" s="32" t="str">
        <f>IFERROR(__xludf.DUMMYFUNCTION("""COMPUTED_VALUE"""),"Item")</f>
        <v>Item</v>
      </c>
      <c r="D219" s="32" t="str">
        <f>IFERROR(__xludf.DUMMYFUNCTION("""COMPUTED_VALUE"""),"Land of Spira")</f>
        <v>Land of Spira</v>
      </c>
      <c r="E219" s="32" t="b">
        <f>IFERROR(__xludf.DUMMYFUNCTION("""COMPUTED_VALUE"""),FALSE)</f>
        <v>0</v>
      </c>
      <c r="F219" s="32"/>
      <c r="G219" s="32"/>
      <c r="H219" s="32"/>
      <c r="I219" s="32"/>
      <c r="J219" s="32"/>
      <c r="K219" s="32"/>
      <c r="L219" s="32"/>
      <c r="M219" s="32"/>
      <c r="N219" s="32"/>
      <c r="O219" s="32"/>
      <c r="P219" s="32"/>
      <c r="Q219" s="32"/>
      <c r="R219" s="32"/>
      <c r="S219" s="32"/>
      <c r="T219" s="32"/>
      <c r="U219" s="32"/>
      <c r="V219" s="32"/>
      <c r="W219" s="32"/>
      <c r="X219" s="32"/>
      <c r="Y219" s="32"/>
      <c r="Z219" s="32"/>
    </row>
    <row r="220">
      <c r="A220" s="50"/>
      <c r="B220" s="50"/>
      <c r="C220" s="32" t="str">
        <f>IFERROR(__xludf.DUMMYFUNCTION("""COMPUTED_VALUE"""),"Item")</f>
        <v>Item</v>
      </c>
      <c r="D220" s="32" t="str">
        <f>IFERROR(__xludf.DUMMYFUNCTION("""COMPUTED_VALUE"""),"Land of Spira")</f>
        <v>Land of Spira</v>
      </c>
      <c r="E220" s="32" t="b">
        <f>IFERROR(__xludf.DUMMYFUNCTION("""COMPUTED_VALUE"""),FALSE)</f>
        <v>0</v>
      </c>
      <c r="F220" s="32"/>
      <c r="G220" s="32"/>
      <c r="H220" s="32"/>
      <c r="I220" s="32"/>
      <c r="J220" s="32"/>
      <c r="K220" s="32"/>
      <c r="L220" s="32"/>
      <c r="M220" s="32"/>
      <c r="N220" s="32"/>
      <c r="O220" s="32"/>
      <c r="P220" s="32"/>
      <c r="Q220" s="32"/>
      <c r="R220" s="32"/>
      <c r="S220" s="32"/>
      <c r="T220" s="32"/>
      <c r="U220" s="32"/>
      <c r="V220" s="32"/>
      <c r="W220" s="32"/>
      <c r="X220" s="32"/>
      <c r="Y220" s="32"/>
      <c r="Z220" s="32"/>
    </row>
    <row r="221">
      <c r="A221" s="50" t="str">
        <f>IFERROR(__xludf.DUMMYFUNCTION("""COMPUTED_VALUE"""),"Sea Dinosaur Bones")</f>
        <v>Sea Dinosaur Bones</v>
      </c>
      <c r="B221" s="50" t="str">
        <f>IFERROR(__xludf.DUMMYFUNCTION("""COMPUTED_VALUE"""),"Crafting Material, roll a d20 to see how many you get if this is a loot drop.")</f>
        <v>Crafting Material, roll a d20 to see how many you get if this is a loot drop.</v>
      </c>
      <c r="C221" s="32" t="str">
        <f>IFERROR(__xludf.DUMMYFUNCTION("""COMPUTED_VALUE"""),"Item")</f>
        <v>Item</v>
      </c>
      <c r="D221" s="32" t="str">
        <f>IFERROR(__xludf.DUMMYFUNCTION("""COMPUTED_VALUE"""),"Land of Spira")</f>
        <v>Land of Spira</v>
      </c>
      <c r="E221" s="32" t="b">
        <f>IFERROR(__xludf.DUMMYFUNCTION("""COMPUTED_VALUE"""),FALSE)</f>
        <v>0</v>
      </c>
      <c r="F221" s="32"/>
      <c r="G221" s="32"/>
      <c r="H221" s="32"/>
      <c r="I221" s="32"/>
      <c r="J221" s="32"/>
      <c r="K221" s="32"/>
      <c r="L221" s="32"/>
      <c r="M221" s="32"/>
      <c r="N221" s="32"/>
      <c r="O221" s="32"/>
      <c r="P221" s="32"/>
      <c r="Q221" s="32"/>
      <c r="R221" s="32"/>
      <c r="S221" s="32"/>
      <c r="T221" s="32"/>
      <c r="U221" s="32"/>
      <c r="V221" s="32"/>
      <c r="W221" s="32"/>
      <c r="X221" s="32"/>
      <c r="Y221" s="32"/>
      <c r="Z221" s="32"/>
    </row>
    <row r="222">
      <c r="A222" s="50" t="str">
        <f>IFERROR(__xludf.DUMMYFUNCTION("""COMPUTED_VALUE"""),"Ancient Sea Dinosaur Egg")</f>
        <v>Ancient Sea Dinosaur Egg</v>
      </c>
      <c r="B222" s="50"/>
      <c r="C222" s="32" t="str">
        <f>IFERROR(__xludf.DUMMYFUNCTION("""COMPUTED_VALUE"""),"Item")</f>
        <v>Item</v>
      </c>
      <c r="D222" s="32" t="str">
        <f>IFERROR(__xludf.DUMMYFUNCTION("""COMPUTED_VALUE"""),"Land of Spira")</f>
        <v>Land of Spira</v>
      </c>
      <c r="E222" s="32" t="b">
        <f>IFERROR(__xludf.DUMMYFUNCTION("""COMPUTED_VALUE"""),FALSE)</f>
        <v>0</v>
      </c>
      <c r="F222" s="32"/>
      <c r="G222" s="32"/>
      <c r="H222" s="32"/>
      <c r="I222" s="32"/>
      <c r="J222" s="32"/>
      <c r="K222" s="32"/>
      <c r="L222" s="32"/>
      <c r="M222" s="32"/>
      <c r="N222" s="32"/>
      <c r="O222" s="32"/>
      <c r="P222" s="32"/>
      <c r="Q222" s="32"/>
      <c r="R222" s="32"/>
      <c r="S222" s="32"/>
      <c r="T222" s="32"/>
      <c r="U222" s="32"/>
      <c r="V222" s="32"/>
      <c r="W222" s="32"/>
      <c r="X222" s="32"/>
      <c r="Y222" s="32"/>
      <c r="Z222" s="32"/>
    </row>
    <row r="223">
      <c r="A223" s="50" t="str">
        <f>IFERROR(__xludf.DUMMYFUNCTION("""COMPUTED_VALUE"""),"Water Abyss Key")</f>
        <v>Water Abyss Key</v>
      </c>
      <c r="B223" s="50" t="str">
        <f>IFERROR(__xludf.DUMMYFUNCTION("""COMPUTED_VALUE"""),"Gain access to the Abyss Dungeon. Cannot be duplicated")</f>
        <v>Gain access to the Abyss Dungeon. Cannot be duplicated</v>
      </c>
      <c r="C223" s="32" t="str">
        <f>IFERROR(__xludf.DUMMYFUNCTION("""COMPUTED_VALUE"""),"Item")</f>
        <v>Item</v>
      </c>
      <c r="D223" s="32" t="str">
        <f>IFERROR(__xludf.DUMMYFUNCTION("""COMPUTED_VALUE"""),"Land of Spira")</f>
        <v>Land of Spira</v>
      </c>
      <c r="E223" s="32" t="b">
        <f>IFERROR(__xludf.DUMMYFUNCTION("""COMPUTED_VALUE"""),FALSE)</f>
        <v>0</v>
      </c>
      <c r="F223" s="32"/>
      <c r="G223" s="32"/>
      <c r="H223" s="32"/>
      <c r="I223" s="32"/>
      <c r="J223" s="32"/>
      <c r="K223" s="32"/>
      <c r="L223" s="32"/>
      <c r="M223" s="32"/>
      <c r="N223" s="32"/>
      <c r="O223" s="32"/>
      <c r="P223" s="32"/>
      <c r="Q223" s="32"/>
      <c r="R223" s="32"/>
      <c r="S223" s="32"/>
      <c r="T223" s="32"/>
      <c r="U223" s="32"/>
      <c r="V223" s="32"/>
      <c r="W223" s="32"/>
      <c r="X223" s="32"/>
      <c r="Y223" s="32"/>
      <c r="Z223" s="32"/>
    </row>
    <row r="224">
      <c r="A224" s="50" t="str">
        <f>IFERROR(__xludf.DUMMYFUNCTION("""COMPUTED_VALUE"""),"Fire Diamond")</f>
        <v>Fire Diamond</v>
      </c>
      <c r="B224" s="50" t="str">
        <f>IFERROR(__xludf.DUMMYFUNCTION("""COMPUTED_VALUE"""),"Crafting Material, roll a d20 to see how many you get if this is a loot drop.")</f>
        <v>Crafting Material, roll a d20 to see how many you get if this is a loot drop.</v>
      </c>
      <c r="C224" s="32" t="str">
        <f>IFERROR(__xludf.DUMMYFUNCTION("""COMPUTED_VALUE"""),"Item")</f>
        <v>Item</v>
      </c>
      <c r="D224" s="32" t="str">
        <f>IFERROR(__xludf.DUMMYFUNCTION("""COMPUTED_VALUE"""),"Land of Spira")</f>
        <v>Land of Spira</v>
      </c>
      <c r="E224" s="32" t="b">
        <f>IFERROR(__xludf.DUMMYFUNCTION("""COMPUTED_VALUE"""),FALSE)</f>
        <v>0</v>
      </c>
      <c r="F224" s="32"/>
      <c r="G224" s="32"/>
      <c r="H224" s="32"/>
      <c r="I224" s="32"/>
      <c r="J224" s="32"/>
      <c r="K224" s="32"/>
      <c r="L224" s="32"/>
      <c r="M224" s="32"/>
      <c r="N224" s="32"/>
      <c r="O224" s="32"/>
      <c r="P224" s="32"/>
      <c r="Q224" s="32"/>
      <c r="R224" s="32"/>
      <c r="S224" s="32"/>
      <c r="T224" s="32"/>
      <c r="U224" s="32"/>
      <c r="V224" s="32"/>
      <c r="W224" s="32"/>
      <c r="X224" s="32"/>
      <c r="Y224" s="32"/>
      <c r="Z224" s="32"/>
    </row>
    <row r="225">
      <c r="A225" s="50" t="str">
        <f>IFERROR(__xludf.DUMMYFUNCTION("""COMPUTED_VALUE"""),"Giant Fire Diamond")</f>
        <v>Giant Fire Diamond</v>
      </c>
      <c r="B225" s="50" t="str">
        <f>IFERROR(__xludf.DUMMYFUNCTION("""COMPUTED_VALUE"""),"Crafting Material, roll a d20 to see how many you get if this is a loot drop.")</f>
        <v>Crafting Material, roll a d20 to see how many you get if this is a loot drop.</v>
      </c>
      <c r="C225" s="32" t="str">
        <f>IFERROR(__xludf.DUMMYFUNCTION("""COMPUTED_VALUE"""),"Item")</f>
        <v>Item</v>
      </c>
      <c r="D225" s="32" t="str">
        <f>IFERROR(__xludf.DUMMYFUNCTION("""COMPUTED_VALUE"""),"Land of Spira")</f>
        <v>Land of Spira</v>
      </c>
      <c r="E225" s="32" t="b">
        <f>IFERROR(__xludf.DUMMYFUNCTION("""COMPUTED_VALUE"""),FALSE)</f>
        <v>0</v>
      </c>
      <c r="F225" s="32"/>
      <c r="G225" s="32"/>
      <c r="H225" s="32"/>
      <c r="I225" s="32"/>
      <c r="J225" s="32"/>
      <c r="K225" s="32"/>
      <c r="L225" s="32"/>
      <c r="M225" s="32"/>
      <c r="N225" s="32"/>
      <c r="O225" s="32"/>
      <c r="P225" s="32"/>
      <c r="Q225" s="32"/>
      <c r="R225" s="32"/>
      <c r="S225" s="32"/>
      <c r="T225" s="32"/>
      <c r="U225" s="32"/>
      <c r="V225" s="32"/>
      <c r="W225" s="32"/>
      <c r="X225" s="32"/>
      <c r="Y225" s="32"/>
      <c r="Z225" s="32"/>
    </row>
    <row r="226">
      <c r="A226" s="50" t="str">
        <f>IFERROR(__xludf.DUMMYFUNCTION("""COMPUTED_VALUE"""),"Heatmore Flame Golem Soul")</f>
        <v>Heatmore Flame Golem Soul</v>
      </c>
      <c r="B226" s="50"/>
      <c r="C226" s="32" t="str">
        <f>IFERROR(__xludf.DUMMYFUNCTION("""COMPUTED_VALUE"""),"Item")</f>
        <v>Item</v>
      </c>
      <c r="D226" s="32" t="str">
        <f>IFERROR(__xludf.DUMMYFUNCTION("""COMPUTED_VALUE"""),"Land of Spira")</f>
        <v>Land of Spira</v>
      </c>
      <c r="E226" s="32" t="b">
        <f>IFERROR(__xludf.DUMMYFUNCTION("""COMPUTED_VALUE"""),FALSE)</f>
        <v>0</v>
      </c>
      <c r="F226" s="32"/>
      <c r="G226" s="32"/>
      <c r="H226" s="32"/>
      <c r="I226" s="32"/>
      <c r="J226" s="32"/>
      <c r="K226" s="32"/>
      <c r="L226" s="32"/>
      <c r="M226" s="32"/>
      <c r="N226" s="32"/>
      <c r="O226" s="32"/>
      <c r="P226" s="32"/>
      <c r="Q226" s="32"/>
      <c r="R226" s="32"/>
      <c r="S226" s="32"/>
      <c r="T226" s="32"/>
      <c r="U226" s="32"/>
      <c r="V226" s="32"/>
      <c r="W226" s="32"/>
      <c r="X226" s="32"/>
      <c r="Y226" s="32"/>
      <c r="Z226" s="32"/>
    </row>
    <row r="227">
      <c r="A227" s="50" t="str">
        <f>IFERROR(__xludf.DUMMYFUNCTION("""COMPUTED_VALUE"""),"Flaming Feathers")</f>
        <v>Flaming Feathers</v>
      </c>
      <c r="B227" s="50" t="str">
        <f>IFERROR(__xludf.DUMMYFUNCTION("""COMPUTED_VALUE"""),"Crafting Material, roll a d20 to see how many you get if this is a loot drop.")</f>
        <v>Crafting Material, roll a d20 to see how many you get if this is a loot drop.</v>
      </c>
      <c r="C227" s="32" t="str">
        <f>IFERROR(__xludf.DUMMYFUNCTION("""COMPUTED_VALUE"""),"Item")</f>
        <v>Item</v>
      </c>
      <c r="D227" s="32" t="str">
        <f>IFERROR(__xludf.DUMMYFUNCTION("""COMPUTED_VALUE"""),"Land of Spira")</f>
        <v>Land of Spira</v>
      </c>
      <c r="E227" s="32" t="b">
        <f>IFERROR(__xludf.DUMMYFUNCTION("""COMPUTED_VALUE"""),FALSE)</f>
        <v>0</v>
      </c>
      <c r="F227" s="32"/>
      <c r="G227" s="32"/>
      <c r="H227" s="32"/>
      <c r="I227" s="32"/>
      <c r="J227" s="32"/>
      <c r="K227" s="32"/>
      <c r="L227" s="32"/>
      <c r="M227" s="32"/>
      <c r="N227" s="32"/>
      <c r="O227" s="32"/>
      <c r="P227" s="32"/>
      <c r="Q227" s="32"/>
      <c r="R227" s="32"/>
      <c r="S227" s="32"/>
      <c r="T227" s="32"/>
      <c r="U227" s="32"/>
      <c r="V227" s="32"/>
      <c r="W227" s="32"/>
      <c r="X227" s="32"/>
      <c r="Y227" s="32"/>
      <c r="Z227" s="32"/>
    </row>
    <row r="228">
      <c r="A228" s="50" t="str">
        <f>IFERROR(__xludf.DUMMYFUNCTION("""COMPUTED_VALUE"""),"Flaming Horns")</f>
        <v>Flaming Horns</v>
      </c>
      <c r="B228" s="50" t="str">
        <f>IFERROR(__xludf.DUMMYFUNCTION("""COMPUTED_VALUE"""),"Crafting Material, roll a d20 to see how many you get if this is a loot drop.")</f>
        <v>Crafting Material, roll a d20 to see how many you get if this is a loot drop.</v>
      </c>
      <c r="C228" s="32" t="str">
        <f>IFERROR(__xludf.DUMMYFUNCTION("""COMPUTED_VALUE"""),"Item")</f>
        <v>Item</v>
      </c>
      <c r="D228" s="32" t="str">
        <f>IFERROR(__xludf.DUMMYFUNCTION("""COMPUTED_VALUE"""),"Land of Spira")</f>
        <v>Land of Spira</v>
      </c>
      <c r="E228" s="32" t="b">
        <f>IFERROR(__xludf.DUMMYFUNCTION("""COMPUTED_VALUE"""),FALSE)</f>
        <v>0</v>
      </c>
      <c r="F228" s="32"/>
      <c r="G228" s="32"/>
      <c r="H228" s="32"/>
      <c r="I228" s="32"/>
      <c r="J228" s="32"/>
      <c r="K228" s="32"/>
      <c r="L228" s="32"/>
      <c r="M228" s="32"/>
      <c r="N228" s="32"/>
      <c r="O228" s="32"/>
      <c r="P228" s="32"/>
      <c r="Q228" s="32"/>
      <c r="R228" s="32"/>
      <c r="S228" s="32"/>
      <c r="T228" s="32"/>
      <c r="U228" s="32"/>
      <c r="V228" s="32"/>
      <c r="W228" s="32"/>
      <c r="X228" s="32"/>
      <c r="Y228" s="32"/>
      <c r="Z228" s="32"/>
    </row>
    <row r="229">
      <c r="A229" s="50" t="str">
        <f>IFERROR(__xludf.DUMMYFUNCTION("""COMPUTED_VALUE"""),"Cooked Yak Meat")</f>
        <v>Cooked Yak Meat</v>
      </c>
      <c r="B229" s="50" t="str">
        <f>IFERROR(__xludf.DUMMYFUNCTION("""COMPUTED_VALUE"""),"Restores 10 hunger and energy")</f>
        <v>Restores 10 hunger and energy</v>
      </c>
      <c r="C229" s="32" t="str">
        <f>IFERROR(__xludf.DUMMYFUNCTION("""COMPUTED_VALUE"""),"Crop")</f>
        <v>Crop</v>
      </c>
      <c r="D229" s="32" t="str">
        <f>IFERROR(__xludf.DUMMYFUNCTION("""COMPUTED_VALUE"""),"Land of Spira")</f>
        <v>Land of Spira</v>
      </c>
      <c r="E229" s="32" t="b">
        <f>IFERROR(__xludf.DUMMYFUNCTION("""COMPUTED_VALUE"""),FALSE)</f>
        <v>0</v>
      </c>
      <c r="F229" s="32"/>
      <c r="G229" s="32"/>
      <c r="H229" s="32"/>
      <c r="I229" s="32"/>
      <c r="J229" s="32"/>
      <c r="K229" s="32"/>
      <c r="L229" s="32"/>
      <c r="M229" s="32"/>
      <c r="N229" s="32"/>
      <c r="O229" s="32"/>
      <c r="P229" s="32"/>
      <c r="Q229" s="32"/>
      <c r="R229" s="32"/>
      <c r="S229" s="32"/>
      <c r="T229" s="32"/>
      <c r="U229" s="32"/>
      <c r="V229" s="32"/>
      <c r="W229" s="32"/>
      <c r="X229" s="32"/>
      <c r="Y229" s="32"/>
      <c r="Z229" s="32"/>
    </row>
    <row r="230">
      <c r="A230" s="50" t="str">
        <f>IFERROR(__xludf.DUMMYFUNCTION("""COMPUTED_VALUE"""),"Leaf Of The Ancient Tree Of Flames")</f>
        <v>Leaf Of The Ancient Tree Of Flames</v>
      </c>
      <c r="B230" s="50" t="str">
        <f>IFERROR(__xludf.DUMMYFUNCTION("""COMPUTED_VALUE"""),"Gain 1 free fire power of choosing. (Can only be obtained once per player)")</f>
        <v>Gain 1 free fire power of choosing. (Can only be obtained once per player)</v>
      </c>
      <c r="C230" s="32" t="str">
        <f>IFERROR(__xludf.DUMMYFUNCTION("""COMPUTED_VALUE"""),"Item")</f>
        <v>Item</v>
      </c>
      <c r="D230" s="32" t="str">
        <f>IFERROR(__xludf.DUMMYFUNCTION("""COMPUTED_VALUE"""),"Land of Spira")</f>
        <v>Land of Spira</v>
      </c>
      <c r="E230" s="32" t="b">
        <f>IFERROR(__xludf.DUMMYFUNCTION("""COMPUTED_VALUE"""),FALSE)</f>
        <v>0</v>
      </c>
      <c r="F230" s="32"/>
      <c r="G230" s="32"/>
      <c r="H230" s="32"/>
      <c r="I230" s="32"/>
      <c r="J230" s="32"/>
      <c r="K230" s="32"/>
      <c r="L230" s="32"/>
      <c r="M230" s="32"/>
      <c r="N230" s="32"/>
      <c r="O230" s="32"/>
      <c r="P230" s="32"/>
      <c r="Q230" s="32"/>
      <c r="R230" s="32"/>
      <c r="S230" s="32"/>
      <c r="T230" s="32"/>
      <c r="U230" s="32"/>
      <c r="V230" s="32"/>
      <c r="W230" s="32"/>
      <c r="X230" s="32"/>
      <c r="Y230" s="32"/>
      <c r="Z230" s="32"/>
    </row>
    <row r="231">
      <c r="A231" s="50" t="str">
        <f>IFERROR(__xludf.DUMMYFUNCTION("""COMPUTED_VALUE"""),"Ancient Volcanic Worm Egg")</f>
        <v>Ancient Volcanic Worm Egg</v>
      </c>
      <c r="B231" s="50"/>
      <c r="C231" s="32" t="str">
        <f>IFERROR(__xludf.DUMMYFUNCTION("""COMPUTED_VALUE"""),"Item")</f>
        <v>Item</v>
      </c>
      <c r="D231" s="32" t="str">
        <f>IFERROR(__xludf.DUMMYFUNCTION("""COMPUTED_VALUE"""),"Land of Spira")</f>
        <v>Land of Spira</v>
      </c>
      <c r="E231" s="32" t="b">
        <f>IFERROR(__xludf.DUMMYFUNCTION("""COMPUTED_VALUE"""),FALSE)</f>
        <v>0</v>
      </c>
      <c r="F231" s="32"/>
      <c r="G231" s="32"/>
      <c r="H231" s="32"/>
      <c r="I231" s="32"/>
      <c r="J231" s="32"/>
      <c r="K231" s="32"/>
      <c r="L231" s="32"/>
      <c r="M231" s="32"/>
      <c r="N231" s="32"/>
      <c r="O231" s="32"/>
      <c r="P231" s="32"/>
      <c r="Q231" s="32"/>
      <c r="R231" s="32"/>
      <c r="S231" s="32"/>
      <c r="T231" s="32"/>
      <c r="U231" s="32"/>
      <c r="V231" s="32"/>
      <c r="W231" s="32"/>
      <c r="X231" s="32"/>
      <c r="Y231" s="32"/>
      <c r="Z231" s="32"/>
    </row>
    <row r="232">
      <c r="A232" s="50" t="str">
        <f>IFERROR(__xludf.DUMMYFUNCTION("""COMPUTED_VALUE"""),"Ancient Volcanic Worm Core")</f>
        <v>Ancient Volcanic Worm Core</v>
      </c>
      <c r="B232" s="50" t="str">
        <f>IFERROR(__xludf.DUMMYFUNCTION("""COMPUTED_VALUE"""),"Consume to gain permanent 2000 fire resistance. (Can only obtain 1 per player)")</f>
        <v>Consume to gain permanent 2000 fire resistance. (Can only obtain 1 per player)</v>
      </c>
      <c r="C232" s="32" t="str">
        <f>IFERROR(__xludf.DUMMYFUNCTION("""COMPUTED_VALUE"""),"Item")</f>
        <v>Item</v>
      </c>
      <c r="D232" s="32" t="str">
        <f>IFERROR(__xludf.DUMMYFUNCTION("""COMPUTED_VALUE"""),"Land of Spira")</f>
        <v>Land of Spira</v>
      </c>
      <c r="E232" s="32" t="b">
        <f>IFERROR(__xludf.DUMMYFUNCTION("""COMPUTED_VALUE"""),FALSE)</f>
        <v>0</v>
      </c>
      <c r="F232" s="32"/>
      <c r="G232" s="32"/>
      <c r="H232" s="32"/>
      <c r="I232" s="32"/>
      <c r="J232" s="32"/>
      <c r="K232" s="32"/>
      <c r="L232" s="32"/>
      <c r="M232" s="32"/>
      <c r="N232" s="32"/>
      <c r="O232" s="32"/>
      <c r="P232" s="32"/>
      <c r="Q232" s="32"/>
      <c r="R232" s="32"/>
      <c r="S232" s="32"/>
      <c r="T232" s="32"/>
      <c r="U232" s="32"/>
      <c r="V232" s="32"/>
      <c r="W232" s="32"/>
      <c r="X232" s="32"/>
      <c r="Y232" s="32"/>
      <c r="Z232" s="32"/>
    </row>
    <row r="233">
      <c r="A233" s="50" t="str">
        <f>IFERROR(__xludf.DUMMYFUNCTION("""COMPUTED_VALUE"""),"Lava Tiger Skin")</f>
        <v>Lava Tiger Skin</v>
      </c>
      <c r="B233" s="50" t="str">
        <f>IFERROR(__xludf.DUMMYFUNCTION("""COMPUTED_VALUE"""),"Crafting Material, roll a d20 to see how many you get if this is a loot drop.")</f>
        <v>Crafting Material, roll a d20 to see how many you get if this is a loot drop.</v>
      </c>
      <c r="C233" s="32" t="str">
        <f>IFERROR(__xludf.DUMMYFUNCTION("""COMPUTED_VALUE"""),"Item")</f>
        <v>Item</v>
      </c>
      <c r="D233" s="32" t="str">
        <f>IFERROR(__xludf.DUMMYFUNCTION("""COMPUTED_VALUE"""),"Land of Spira")</f>
        <v>Land of Spira</v>
      </c>
      <c r="E233" s="32" t="b">
        <f>IFERROR(__xludf.DUMMYFUNCTION("""COMPUTED_VALUE"""),FALSE)</f>
        <v>0</v>
      </c>
      <c r="F233" s="32"/>
      <c r="G233" s="32"/>
      <c r="H233" s="32"/>
      <c r="I233" s="32"/>
      <c r="J233" s="32"/>
      <c r="K233" s="32"/>
      <c r="L233" s="32"/>
      <c r="M233" s="32"/>
      <c r="N233" s="32"/>
      <c r="O233" s="32"/>
      <c r="P233" s="32"/>
      <c r="Q233" s="32"/>
      <c r="R233" s="32"/>
      <c r="S233" s="32"/>
      <c r="T233" s="32"/>
      <c r="U233" s="32"/>
      <c r="V233" s="32"/>
      <c r="W233" s="32"/>
      <c r="X233" s="32"/>
      <c r="Y233" s="32"/>
      <c r="Z233" s="32"/>
    </row>
    <row r="234">
      <c r="A234" s="50" t="str">
        <f>IFERROR(__xludf.DUMMYFUNCTION("""COMPUTED_VALUE"""),"Cooked Tiger Meat")</f>
        <v>Cooked Tiger Meat</v>
      </c>
      <c r="B234" s="50" t="str">
        <f>IFERROR(__xludf.DUMMYFUNCTION("""COMPUTED_VALUE"""),"restores 20 hunger and energy")</f>
        <v>restores 20 hunger and energy</v>
      </c>
      <c r="C234" s="32" t="str">
        <f>IFERROR(__xludf.DUMMYFUNCTION("""COMPUTED_VALUE"""),"Crop")</f>
        <v>Crop</v>
      </c>
      <c r="D234" s="32" t="str">
        <f>IFERROR(__xludf.DUMMYFUNCTION("""COMPUTED_VALUE"""),"Land of Spira")</f>
        <v>Land of Spira</v>
      </c>
      <c r="E234" s="32" t="b">
        <f>IFERROR(__xludf.DUMMYFUNCTION("""COMPUTED_VALUE"""),FALSE)</f>
        <v>0</v>
      </c>
      <c r="F234" s="32"/>
      <c r="G234" s="32"/>
      <c r="H234" s="32"/>
      <c r="I234" s="32"/>
      <c r="J234" s="32"/>
      <c r="K234" s="32"/>
      <c r="L234" s="32"/>
      <c r="M234" s="32"/>
      <c r="N234" s="32"/>
      <c r="O234" s="32"/>
      <c r="P234" s="32"/>
      <c r="Q234" s="32"/>
      <c r="R234" s="32"/>
      <c r="S234" s="32"/>
      <c r="T234" s="32"/>
      <c r="U234" s="32"/>
      <c r="V234" s="32"/>
      <c r="W234" s="32"/>
      <c r="X234" s="32"/>
      <c r="Y234" s="32"/>
      <c r="Z234" s="32"/>
    </row>
    <row r="235">
      <c r="A235" s="50" t="str">
        <f>IFERROR(__xludf.DUMMYFUNCTION("""COMPUTED_VALUE"""),"Liches Eye")</f>
        <v>Liches Eye</v>
      </c>
      <c r="B235" s="50" t="str">
        <f>IFERROR(__xludf.DUMMYFUNCTION("""COMPUTED_VALUE"""),"Consumable, 100= permanent +5 to accuracy")</f>
        <v>Consumable, 100= permanent +5 to accuracy</v>
      </c>
      <c r="C235" s="32" t="str">
        <f>IFERROR(__xludf.DUMMYFUNCTION("""COMPUTED_VALUE"""),"Item")</f>
        <v>Item</v>
      </c>
      <c r="D235" s="32" t="str">
        <f>IFERROR(__xludf.DUMMYFUNCTION("""COMPUTED_VALUE"""),"Land of Spira")</f>
        <v>Land of Spira</v>
      </c>
      <c r="E235" s="32" t="b">
        <f>IFERROR(__xludf.DUMMYFUNCTION("""COMPUTED_VALUE"""),FALSE)</f>
        <v>0</v>
      </c>
      <c r="F235" s="32"/>
      <c r="G235" s="32"/>
      <c r="H235" s="32"/>
      <c r="I235" s="32"/>
      <c r="J235" s="32"/>
      <c r="K235" s="32"/>
      <c r="L235" s="32"/>
      <c r="M235" s="32"/>
      <c r="N235" s="32"/>
      <c r="O235" s="32"/>
      <c r="P235" s="32"/>
      <c r="Q235" s="32"/>
      <c r="R235" s="32"/>
      <c r="S235" s="32"/>
      <c r="T235" s="32"/>
      <c r="U235" s="32"/>
      <c r="V235" s="32"/>
      <c r="W235" s="32"/>
      <c r="X235" s="32"/>
      <c r="Y235" s="32"/>
      <c r="Z235" s="32"/>
    </row>
    <row r="236">
      <c r="A236" s="50" t="str">
        <f>IFERROR(__xludf.DUMMYFUNCTION("""COMPUTED_VALUE"""),"Rank 9 Fire Tome")</f>
        <v>Rank 9 Fire Tome</v>
      </c>
      <c r="B236" s="50" t="str">
        <f>IFERROR(__xludf.DUMMYFUNCTION("""COMPUTED_VALUE"""),"Can only obtain 1 per player")</f>
        <v>Can only obtain 1 per player</v>
      </c>
      <c r="C236" s="32" t="str">
        <f>IFERROR(__xludf.DUMMYFUNCTION("""COMPUTED_VALUE"""),"Item")</f>
        <v>Item</v>
      </c>
      <c r="D236" s="32" t="str">
        <f>IFERROR(__xludf.DUMMYFUNCTION("""COMPUTED_VALUE"""),"Land of Spira")</f>
        <v>Land of Spira</v>
      </c>
      <c r="E236" s="32" t="b">
        <f>IFERROR(__xludf.DUMMYFUNCTION("""COMPUTED_VALUE"""),FALSE)</f>
        <v>0</v>
      </c>
      <c r="F236" s="32"/>
      <c r="G236" s="32"/>
      <c r="H236" s="32"/>
      <c r="I236" s="32"/>
      <c r="J236" s="32"/>
      <c r="K236" s="32"/>
      <c r="L236" s="32"/>
      <c r="M236" s="32"/>
      <c r="N236" s="32"/>
      <c r="O236" s="32"/>
      <c r="P236" s="32"/>
      <c r="Q236" s="32"/>
      <c r="R236" s="32"/>
      <c r="S236" s="32"/>
      <c r="T236" s="32"/>
      <c r="U236" s="32"/>
      <c r="V236" s="32"/>
      <c r="W236" s="32"/>
      <c r="X236" s="32"/>
      <c r="Y236" s="32"/>
      <c r="Z236" s="32"/>
    </row>
    <row r="237">
      <c r="A237" s="50" t="str">
        <f>IFERROR(__xludf.DUMMYFUNCTION("""COMPUTED_VALUE"""),"Ancient Fire Serpent Egg")</f>
        <v>Ancient Fire Serpent Egg</v>
      </c>
      <c r="B237" s="50"/>
      <c r="C237" s="32" t="str">
        <f>IFERROR(__xludf.DUMMYFUNCTION("""COMPUTED_VALUE"""),"Item")</f>
        <v>Item</v>
      </c>
      <c r="D237" s="32" t="str">
        <f>IFERROR(__xludf.DUMMYFUNCTION("""COMPUTED_VALUE"""),"Land of Spira")</f>
        <v>Land of Spira</v>
      </c>
      <c r="E237" s="32" t="b">
        <f>IFERROR(__xludf.DUMMYFUNCTION("""COMPUTED_VALUE"""),FALSE)</f>
        <v>0</v>
      </c>
      <c r="F237" s="32"/>
      <c r="G237" s="32"/>
      <c r="H237" s="32"/>
      <c r="I237" s="32"/>
      <c r="J237" s="32"/>
      <c r="K237" s="32"/>
      <c r="L237" s="32"/>
      <c r="M237" s="32"/>
      <c r="N237" s="32"/>
      <c r="O237" s="32"/>
      <c r="P237" s="32"/>
      <c r="Q237" s="32"/>
      <c r="R237" s="32"/>
      <c r="S237" s="32"/>
      <c r="T237" s="32"/>
      <c r="U237" s="32"/>
      <c r="V237" s="32"/>
      <c r="W237" s="32"/>
      <c r="X237" s="32"/>
      <c r="Y237" s="32"/>
      <c r="Z237" s="32"/>
    </row>
    <row r="238">
      <c r="A238" s="50" t="str">
        <f>IFERROR(__xludf.DUMMYFUNCTION("""COMPUTED_VALUE"""),"Demons Eye")</f>
        <v>Demons Eye</v>
      </c>
      <c r="B238" s="50" t="str">
        <f>IFERROR(__xludf.DUMMYFUNCTION("""COMPUTED_VALUE"""),"Crafting Material, roll a d20 to see how many you get if this is a loot drop.")</f>
        <v>Crafting Material, roll a d20 to see how many you get if this is a loot drop.</v>
      </c>
      <c r="C238" s="32" t="str">
        <f>IFERROR(__xludf.DUMMYFUNCTION("""COMPUTED_VALUE"""),"Item")</f>
        <v>Item</v>
      </c>
      <c r="D238" s="32" t="str">
        <f>IFERROR(__xludf.DUMMYFUNCTION("""COMPUTED_VALUE"""),"Land of Spira")</f>
        <v>Land of Spira</v>
      </c>
      <c r="E238" s="32" t="b">
        <f>IFERROR(__xludf.DUMMYFUNCTION("""COMPUTED_VALUE"""),FALSE)</f>
        <v>0</v>
      </c>
      <c r="F238" s="32"/>
      <c r="G238" s="32"/>
      <c r="H238" s="32"/>
      <c r="I238" s="32"/>
      <c r="J238" s="32"/>
      <c r="K238" s="32"/>
      <c r="L238" s="32"/>
      <c r="M238" s="32"/>
      <c r="N238" s="32"/>
      <c r="O238" s="32"/>
      <c r="P238" s="32"/>
      <c r="Q238" s="32"/>
      <c r="R238" s="32"/>
      <c r="S238" s="32"/>
      <c r="T238" s="32"/>
      <c r="U238" s="32"/>
      <c r="V238" s="32"/>
      <c r="W238" s="32"/>
      <c r="X238" s="32"/>
      <c r="Y238" s="32"/>
      <c r="Z238" s="32"/>
    </row>
    <row r="239">
      <c r="A239" s="50" t="str">
        <f>IFERROR(__xludf.DUMMYFUNCTION("""COMPUTED_VALUE"""),"Demon Core")</f>
        <v>Demon Core</v>
      </c>
      <c r="B239" s="50" t="str">
        <f>IFERROR(__xludf.DUMMYFUNCTION("""COMPUTED_VALUE"""),"Consumable, 1 free chaos power of choice. (Can only obtain 1 per player)")</f>
        <v>Consumable, 1 free chaos power of choice. (Can only obtain 1 per player)</v>
      </c>
      <c r="C239" s="32" t="str">
        <f>IFERROR(__xludf.DUMMYFUNCTION("""COMPUTED_VALUE"""),"Item")</f>
        <v>Item</v>
      </c>
      <c r="D239" s="32" t="str">
        <f>IFERROR(__xludf.DUMMYFUNCTION("""COMPUTED_VALUE"""),"Land of Spira")</f>
        <v>Land of Spira</v>
      </c>
      <c r="E239" s="32" t="b">
        <f>IFERROR(__xludf.DUMMYFUNCTION("""COMPUTED_VALUE"""),FALSE)</f>
        <v>0</v>
      </c>
      <c r="F239" s="32"/>
      <c r="G239" s="32"/>
      <c r="H239" s="32"/>
      <c r="I239" s="32"/>
      <c r="J239" s="32"/>
      <c r="K239" s="32"/>
      <c r="L239" s="32"/>
      <c r="M239" s="32"/>
      <c r="N239" s="32"/>
      <c r="O239" s="32"/>
      <c r="P239" s="32"/>
      <c r="Q239" s="32"/>
      <c r="R239" s="32"/>
      <c r="S239" s="32"/>
      <c r="T239" s="32"/>
      <c r="U239" s="32"/>
      <c r="V239" s="32"/>
      <c r="W239" s="32"/>
      <c r="X239" s="32"/>
      <c r="Y239" s="32"/>
      <c r="Z239" s="32"/>
    </row>
    <row r="240">
      <c r="A240" s="50" t="str">
        <f>IFERROR(__xludf.DUMMYFUNCTION("""COMPUTED_VALUE"""),"Sentinel Core")</f>
        <v>Sentinel Core</v>
      </c>
      <c r="B240" s="50" t="str">
        <f>IFERROR(__xludf.DUMMYFUNCTION("""COMPUTED_VALUE"""),"Summon an Ancient Fire Sentinel to battle, Level determined by DM/GM. Can only be used once.")</f>
        <v>Summon an Ancient Fire Sentinel to battle, Level determined by DM/GM. Can only be used once.</v>
      </c>
      <c r="C240" s="32" t="str">
        <f>IFERROR(__xludf.DUMMYFUNCTION("""COMPUTED_VALUE"""),"Item")</f>
        <v>Item</v>
      </c>
      <c r="D240" s="32" t="str">
        <f>IFERROR(__xludf.DUMMYFUNCTION("""COMPUTED_VALUE"""),"Land of Spira")</f>
        <v>Land of Spira</v>
      </c>
      <c r="E240" s="32" t="b">
        <f>IFERROR(__xludf.DUMMYFUNCTION("""COMPUTED_VALUE"""),FALSE)</f>
        <v>0</v>
      </c>
      <c r="F240" s="32"/>
      <c r="G240" s="32"/>
      <c r="H240" s="32"/>
      <c r="I240" s="32"/>
      <c r="J240" s="32"/>
      <c r="K240" s="32"/>
      <c r="L240" s="32"/>
      <c r="M240" s="32"/>
      <c r="N240" s="32"/>
      <c r="O240" s="32"/>
      <c r="P240" s="32"/>
      <c r="Q240" s="32"/>
      <c r="R240" s="32"/>
      <c r="S240" s="32"/>
      <c r="T240" s="32"/>
      <c r="U240" s="32"/>
      <c r="V240" s="32"/>
      <c r="W240" s="32"/>
      <c r="X240" s="32"/>
      <c r="Y240" s="32"/>
      <c r="Z240" s="32"/>
    </row>
    <row r="241">
      <c r="A241" s="50" t="str">
        <f>IFERROR(__xludf.DUMMYFUNCTION("""COMPUTED_VALUE"""),"Fire Gem")</f>
        <v>Fire Gem</v>
      </c>
      <c r="B241" s="50" t="str">
        <f>IFERROR(__xludf.DUMMYFUNCTION("""COMPUTED_VALUE"""),"Crafting Material, roll a d20 to see how many you get if this is a loot drop.")</f>
        <v>Crafting Material, roll a d20 to see how many you get if this is a loot drop.</v>
      </c>
      <c r="C241" s="32" t="str">
        <f>IFERROR(__xludf.DUMMYFUNCTION("""COMPUTED_VALUE"""),"Item")</f>
        <v>Item</v>
      </c>
      <c r="D241" s="32" t="str">
        <f>IFERROR(__xludf.DUMMYFUNCTION("""COMPUTED_VALUE"""),"Land of Spira")</f>
        <v>Land of Spira</v>
      </c>
      <c r="E241" s="32" t="b">
        <f>IFERROR(__xludf.DUMMYFUNCTION("""COMPUTED_VALUE"""),FALSE)</f>
        <v>0</v>
      </c>
      <c r="F241" s="32"/>
      <c r="G241" s="32"/>
      <c r="H241" s="32"/>
      <c r="I241" s="32"/>
      <c r="J241" s="32"/>
      <c r="K241" s="32"/>
      <c r="L241" s="32"/>
      <c r="M241" s="32"/>
      <c r="N241" s="32"/>
      <c r="O241" s="32"/>
      <c r="P241" s="32"/>
      <c r="Q241" s="32"/>
      <c r="R241" s="32"/>
      <c r="S241" s="32"/>
      <c r="T241" s="32"/>
      <c r="U241" s="32"/>
      <c r="V241" s="32"/>
      <c r="W241" s="32"/>
      <c r="X241" s="32"/>
      <c r="Y241" s="32"/>
      <c r="Z241" s="32"/>
    </row>
    <row r="242">
      <c r="A242" s="50" t="str">
        <f>IFERROR(__xludf.DUMMYFUNCTION("""COMPUTED_VALUE"""),"Aquatic Diamond")</f>
        <v>Aquatic Diamond</v>
      </c>
      <c r="B242" s="50" t="str">
        <f>IFERROR(__xludf.DUMMYFUNCTION("""COMPUTED_VALUE"""),"Crafting Material, roll a d20 to see how many you get if this is a loot drop.")</f>
        <v>Crafting Material, roll a d20 to see how many you get if this is a loot drop.</v>
      </c>
      <c r="C242" s="32" t="str">
        <f>IFERROR(__xludf.DUMMYFUNCTION("""COMPUTED_VALUE"""),"Item")</f>
        <v>Item</v>
      </c>
      <c r="D242" s="32" t="str">
        <f>IFERROR(__xludf.DUMMYFUNCTION("""COMPUTED_VALUE"""),"Land of Spira")</f>
        <v>Land of Spira</v>
      </c>
      <c r="E242" s="32" t="b">
        <f>IFERROR(__xludf.DUMMYFUNCTION("""COMPUTED_VALUE"""),FALSE)</f>
        <v>0</v>
      </c>
      <c r="F242" s="32"/>
      <c r="G242" s="32"/>
      <c r="H242" s="32"/>
      <c r="I242" s="32"/>
      <c r="J242" s="32"/>
      <c r="K242" s="32"/>
      <c r="L242" s="32"/>
      <c r="M242" s="32"/>
      <c r="N242" s="32"/>
      <c r="O242" s="32"/>
      <c r="P242" s="32"/>
      <c r="Q242" s="32"/>
      <c r="R242" s="32"/>
      <c r="S242" s="32"/>
      <c r="T242" s="32"/>
      <c r="U242" s="32"/>
      <c r="V242" s="32"/>
      <c r="W242" s="32"/>
      <c r="X242" s="32"/>
      <c r="Y242" s="32"/>
      <c r="Z242" s="32"/>
    </row>
    <row r="243">
      <c r="A243" s="50" t="str">
        <f>IFERROR(__xludf.DUMMYFUNCTION("""COMPUTED_VALUE"""),"Corrupted Twilight Knight Soul")</f>
        <v>Corrupted Twilight Knight Soul</v>
      </c>
      <c r="B243" s="50"/>
      <c r="C243" s="32" t="str">
        <f>IFERROR(__xludf.DUMMYFUNCTION("""COMPUTED_VALUE"""),"Item")</f>
        <v>Item</v>
      </c>
      <c r="D243" s="32" t="str">
        <f>IFERROR(__xludf.DUMMYFUNCTION("""COMPUTED_VALUE"""),"Land of Spira")</f>
        <v>Land of Spira</v>
      </c>
      <c r="E243" s="32" t="b">
        <f>IFERROR(__xludf.DUMMYFUNCTION("""COMPUTED_VALUE"""),FALSE)</f>
        <v>0</v>
      </c>
      <c r="F243" s="32"/>
      <c r="G243" s="32"/>
      <c r="H243" s="32"/>
      <c r="I243" s="32"/>
      <c r="J243" s="32"/>
      <c r="K243" s="32"/>
      <c r="L243" s="32"/>
      <c r="M243" s="32"/>
      <c r="N243" s="32"/>
      <c r="O243" s="32"/>
      <c r="P243" s="32"/>
      <c r="Q243" s="32"/>
      <c r="R243" s="32"/>
      <c r="S243" s="32"/>
      <c r="T243" s="32"/>
      <c r="U243" s="32"/>
      <c r="V243" s="32"/>
      <c r="W243" s="32"/>
      <c r="X243" s="32"/>
      <c r="Y243" s="32"/>
      <c r="Z243" s="32"/>
    </row>
    <row r="244">
      <c r="A244" s="50" t="str">
        <f>IFERROR(__xludf.DUMMYFUNCTION("""COMPUTED_VALUE"""),"Hay")</f>
        <v>Hay</v>
      </c>
      <c r="B244" s="50" t="str">
        <f>IFERROR(__xludf.DUMMYFUNCTION("""COMPUTED_VALUE"""),"Restores 5 hunger.")</f>
        <v>Restores 5 hunger.</v>
      </c>
      <c r="C244" s="32" t="str">
        <f>IFERROR(__xludf.DUMMYFUNCTION("""COMPUTED_VALUE"""),"Crop")</f>
        <v>Crop</v>
      </c>
      <c r="D244" s="32" t="str">
        <f>IFERROR(__xludf.DUMMYFUNCTION("""COMPUTED_VALUE"""),"Land of Spira")</f>
        <v>Land of Spira</v>
      </c>
      <c r="E244" s="32" t="b">
        <f>IFERROR(__xludf.DUMMYFUNCTION("""COMPUTED_VALUE"""),FALSE)</f>
        <v>0</v>
      </c>
      <c r="F244" s="32"/>
      <c r="G244" s="32"/>
      <c r="H244" s="32"/>
      <c r="I244" s="32"/>
      <c r="J244" s="32"/>
      <c r="K244" s="32"/>
      <c r="L244" s="32"/>
      <c r="M244" s="32"/>
      <c r="N244" s="32"/>
      <c r="O244" s="32"/>
      <c r="P244" s="32"/>
      <c r="Q244" s="32"/>
      <c r="R244" s="32"/>
      <c r="S244" s="32"/>
      <c r="T244" s="32"/>
      <c r="U244" s="32"/>
      <c r="V244" s="32"/>
      <c r="W244" s="32"/>
      <c r="X244" s="32"/>
      <c r="Y244" s="32"/>
      <c r="Z244" s="32"/>
    </row>
    <row r="245">
      <c r="A245" s="50" t="str">
        <f>IFERROR(__xludf.DUMMYFUNCTION("""COMPUTED_VALUE"""),"Shadow Suit of armor Soul")</f>
        <v>Shadow Suit of armor Soul</v>
      </c>
      <c r="B245" s="50"/>
      <c r="C245" s="32" t="str">
        <f>IFERROR(__xludf.DUMMYFUNCTION("""COMPUTED_VALUE"""),"Item")</f>
        <v>Item</v>
      </c>
      <c r="D245" s="32" t="str">
        <f>IFERROR(__xludf.DUMMYFUNCTION("""COMPUTED_VALUE"""),"Land of Spira")</f>
        <v>Land of Spira</v>
      </c>
      <c r="E245" s="32" t="b">
        <f>IFERROR(__xludf.DUMMYFUNCTION("""COMPUTED_VALUE"""),FALSE)</f>
        <v>0</v>
      </c>
      <c r="F245" s="32"/>
      <c r="G245" s="32"/>
      <c r="H245" s="32"/>
      <c r="I245" s="32"/>
      <c r="J245" s="32"/>
      <c r="K245" s="32"/>
      <c r="L245" s="32"/>
      <c r="M245" s="32"/>
      <c r="N245" s="32"/>
      <c r="O245" s="32"/>
      <c r="P245" s="32"/>
      <c r="Q245" s="32"/>
      <c r="R245" s="32"/>
      <c r="S245" s="32"/>
      <c r="T245" s="32"/>
      <c r="U245" s="32"/>
      <c r="V245" s="32"/>
      <c r="W245" s="32"/>
      <c r="X245" s="32"/>
      <c r="Y245" s="32"/>
      <c r="Z245" s="32"/>
    </row>
    <row r="246">
      <c r="A246" s="50" t="str">
        <f>IFERROR(__xludf.DUMMYFUNCTION("""COMPUTED_VALUE"""),"Mana Potion")</f>
        <v>Mana Potion</v>
      </c>
      <c r="B246" s="50" t="str">
        <f>IFERROR(__xludf.DUMMYFUNCTION("""COMPUTED_VALUE"""),"Regain 10 SP")</f>
        <v>Regain 10 SP</v>
      </c>
      <c r="C246" s="32" t="str">
        <f>IFERROR(__xludf.DUMMYFUNCTION("""COMPUTED_VALUE"""),"Item")</f>
        <v>Item</v>
      </c>
      <c r="D246" s="32" t="str">
        <f>IFERROR(__xludf.DUMMYFUNCTION("""COMPUTED_VALUE"""),"Land of Spira")</f>
        <v>Land of Spira</v>
      </c>
      <c r="E246" s="32" t="b">
        <f>IFERROR(__xludf.DUMMYFUNCTION("""COMPUTED_VALUE"""),FALSE)</f>
        <v>0</v>
      </c>
      <c r="F246" s="32"/>
      <c r="G246" s="32"/>
      <c r="H246" s="32"/>
      <c r="I246" s="32"/>
      <c r="J246" s="32"/>
      <c r="K246" s="32"/>
      <c r="L246" s="32"/>
      <c r="M246" s="32"/>
      <c r="N246" s="32"/>
      <c r="O246" s="32"/>
      <c r="P246" s="32"/>
      <c r="Q246" s="32"/>
      <c r="R246" s="32"/>
      <c r="S246" s="32"/>
      <c r="T246" s="32"/>
      <c r="U246" s="32"/>
      <c r="V246" s="32"/>
      <c r="W246" s="32"/>
      <c r="X246" s="32"/>
      <c r="Y246" s="32"/>
      <c r="Z246" s="32"/>
    </row>
    <row r="247">
      <c r="A247" s="50" t="str">
        <f>IFERROR(__xludf.DUMMYFUNCTION("""COMPUTED_VALUE"""),"Werewolf Pelt")</f>
        <v>Werewolf Pelt</v>
      </c>
      <c r="B247" s="50" t="str">
        <f>IFERROR(__xludf.DUMMYFUNCTION("""COMPUTED_VALUE"""),"Crafting Material, roll a d20 to see how many you get if this is a loot drop.")</f>
        <v>Crafting Material, roll a d20 to see how many you get if this is a loot drop.</v>
      </c>
      <c r="C247" s="32" t="str">
        <f>IFERROR(__xludf.DUMMYFUNCTION("""COMPUTED_VALUE"""),"Item")</f>
        <v>Item</v>
      </c>
      <c r="D247" s="32" t="str">
        <f>IFERROR(__xludf.DUMMYFUNCTION("""COMPUTED_VALUE"""),"Land of Spira")</f>
        <v>Land of Spira</v>
      </c>
      <c r="E247" s="32" t="b">
        <f>IFERROR(__xludf.DUMMYFUNCTION("""COMPUTED_VALUE"""),FALSE)</f>
        <v>0</v>
      </c>
      <c r="F247" s="32"/>
      <c r="G247" s="32"/>
      <c r="H247" s="32"/>
      <c r="I247" s="32"/>
      <c r="J247" s="32"/>
      <c r="K247" s="32"/>
      <c r="L247" s="32"/>
      <c r="M247" s="32"/>
      <c r="N247" s="32"/>
      <c r="O247" s="32"/>
      <c r="P247" s="32"/>
      <c r="Q247" s="32"/>
      <c r="R247" s="32"/>
      <c r="S247" s="32"/>
      <c r="T247" s="32"/>
      <c r="U247" s="32"/>
      <c r="V247" s="32"/>
      <c r="W247" s="32"/>
      <c r="X247" s="32"/>
      <c r="Y247" s="32"/>
      <c r="Z247" s="32"/>
    </row>
    <row r="248">
      <c r="A248" s="50" t="str">
        <f>IFERROR(__xludf.DUMMYFUNCTION("""COMPUTED_VALUE"""),"Halloween Emerald")</f>
        <v>Halloween Emerald</v>
      </c>
      <c r="B248" s="50" t="str">
        <f>IFERROR(__xludf.DUMMYFUNCTION("""COMPUTED_VALUE"""),"Crafting Material, roll a d20 to see how many you get if this is a loot drop.")</f>
        <v>Crafting Material, roll a d20 to see how many you get if this is a loot drop.</v>
      </c>
      <c r="C248" s="32" t="str">
        <f>IFERROR(__xludf.DUMMYFUNCTION("""COMPUTED_VALUE"""),"Item")</f>
        <v>Item</v>
      </c>
      <c r="D248" s="32" t="str">
        <f>IFERROR(__xludf.DUMMYFUNCTION("""COMPUTED_VALUE"""),"Halloween Kingdom")</f>
        <v>Halloween Kingdom</v>
      </c>
      <c r="E248" s="32" t="b">
        <f>IFERROR(__xludf.DUMMYFUNCTION("""COMPUTED_VALUE"""),FALSE)</f>
        <v>0</v>
      </c>
      <c r="F248" s="32"/>
      <c r="G248" s="32"/>
      <c r="H248" s="32"/>
      <c r="I248" s="32"/>
      <c r="J248" s="32"/>
      <c r="K248" s="32"/>
      <c r="L248" s="32"/>
      <c r="M248" s="32"/>
      <c r="N248" s="32"/>
      <c r="O248" s="32"/>
      <c r="P248" s="32"/>
      <c r="Q248" s="32"/>
      <c r="R248" s="32"/>
      <c r="S248" s="32"/>
      <c r="T248" s="32"/>
      <c r="U248" s="32"/>
      <c r="V248" s="32"/>
      <c r="W248" s="32"/>
      <c r="X248" s="32"/>
      <c r="Y248" s="32"/>
      <c r="Z248" s="32"/>
    </row>
    <row r="249">
      <c r="A249" s="50" t="str">
        <f>IFERROR(__xludf.DUMMYFUNCTION("""COMPUTED_VALUE"""),"Giant Halloween Diamond")</f>
        <v>Giant Halloween Diamond</v>
      </c>
      <c r="B249" s="50" t="str">
        <f>IFERROR(__xludf.DUMMYFUNCTION("""COMPUTED_VALUE"""),"Crafting Material, roll a d20 to see how many you get if this is a loot drop.")</f>
        <v>Crafting Material, roll a d20 to see how many you get if this is a loot drop.</v>
      </c>
      <c r="C249" s="32" t="str">
        <f>IFERROR(__xludf.DUMMYFUNCTION("""COMPUTED_VALUE"""),"Item")</f>
        <v>Item</v>
      </c>
      <c r="D249" s="32" t="str">
        <f>IFERROR(__xludf.DUMMYFUNCTION("""COMPUTED_VALUE"""),"Halloween Kingdom")</f>
        <v>Halloween Kingdom</v>
      </c>
      <c r="E249" s="32" t="b">
        <f>IFERROR(__xludf.DUMMYFUNCTION("""COMPUTED_VALUE"""),FALSE)</f>
        <v>0</v>
      </c>
      <c r="F249" s="32"/>
      <c r="G249" s="32"/>
      <c r="H249" s="32"/>
      <c r="I249" s="32"/>
      <c r="J249" s="32"/>
      <c r="K249" s="32"/>
      <c r="L249" s="32"/>
      <c r="M249" s="32"/>
      <c r="N249" s="32"/>
      <c r="O249" s="32"/>
      <c r="P249" s="32"/>
      <c r="Q249" s="32"/>
      <c r="R249" s="32"/>
      <c r="S249" s="32"/>
      <c r="T249" s="32"/>
      <c r="U249" s="32"/>
      <c r="V249" s="32"/>
      <c r="W249" s="32"/>
      <c r="X249" s="32"/>
      <c r="Y249" s="32"/>
      <c r="Z249" s="32"/>
    </row>
    <row r="250">
      <c r="A250" s="50" t="str">
        <f>IFERROR(__xludf.DUMMYFUNCTION("""COMPUTED_VALUE"""),"Rank 9 Twilight Tome")</f>
        <v>Rank 9 Twilight Tome</v>
      </c>
      <c r="B250" s="50" t="str">
        <f>IFERROR(__xludf.DUMMYFUNCTION("""COMPUTED_VALUE"""),"Allows use of up to Rank 9 Twilight Powers")</f>
        <v>Allows use of up to Rank 9 Twilight Powers</v>
      </c>
      <c r="C250" s="32" t="str">
        <f>IFERROR(__xludf.DUMMYFUNCTION("""COMPUTED_VALUE"""),"Item")</f>
        <v>Item</v>
      </c>
      <c r="D250" s="32" t="str">
        <f>IFERROR(__xludf.DUMMYFUNCTION("""COMPUTED_VALUE"""),"Land of Spira")</f>
        <v>Land of Spira</v>
      </c>
      <c r="E250" s="32" t="b">
        <f>IFERROR(__xludf.DUMMYFUNCTION("""COMPUTED_VALUE"""),FALSE)</f>
        <v>0</v>
      </c>
      <c r="F250" s="32"/>
      <c r="G250" s="32"/>
      <c r="H250" s="32"/>
      <c r="I250" s="32"/>
      <c r="J250" s="32"/>
      <c r="K250" s="32"/>
      <c r="L250" s="32"/>
      <c r="M250" s="32"/>
      <c r="N250" s="32"/>
      <c r="O250" s="32"/>
      <c r="P250" s="32"/>
      <c r="Q250" s="32"/>
      <c r="R250" s="32"/>
      <c r="S250" s="32"/>
      <c r="T250" s="32"/>
      <c r="U250" s="32"/>
      <c r="V250" s="32"/>
      <c r="W250" s="32"/>
      <c r="X250" s="32"/>
      <c r="Y250" s="32"/>
      <c r="Z250" s="32"/>
    </row>
    <row r="251">
      <c r="A251" s="50" t="str">
        <f>IFERROR(__xludf.DUMMYFUNCTION("""COMPUTED_VALUE"""),"Stasis Tome Rank 9")</f>
        <v>Stasis Tome Rank 9</v>
      </c>
      <c r="B251" s="50" t="str">
        <f>IFERROR(__xludf.DUMMYFUNCTION("""COMPUTED_VALUE"""),"Allows use of up to Rank 9 Stasis Powers")</f>
        <v>Allows use of up to Rank 9 Stasis Powers</v>
      </c>
      <c r="C251" s="32" t="str">
        <f>IFERROR(__xludf.DUMMYFUNCTION("""COMPUTED_VALUE"""),"Item")</f>
        <v>Item</v>
      </c>
      <c r="D251" s="32" t="str">
        <f>IFERROR(__xludf.DUMMYFUNCTION("""COMPUTED_VALUE"""),"Land of Spira")</f>
        <v>Land of Spira</v>
      </c>
      <c r="E251" s="32" t="b">
        <f>IFERROR(__xludf.DUMMYFUNCTION("""COMPUTED_VALUE"""),FALSE)</f>
        <v>0</v>
      </c>
      <c r="F251" s="32"/>
      <c r="G251" s="32"/>
      <c r="H251" s="32"/>
      <c r="I251" s="32"/>
      <c r="J251" s="32"/>
      <c r="K251" s="32"/>
      <c r="L251" s="32"/>
      <c r="M251" s="32"/>
      <c r="N251" s="32"/>
      <c r="O251" s="32"/>
      <c r="P251" s="32"/>
      <c r="Q251" s="32"/>
      <c r="R251" s="32"/>
      <c r="S251" s="32"/>
      <c r="T251" s="32"/>
      <c r="U251" s="32"/>
      <c r="V251" s="32"/>
      <c r="W251" s="32"/>
      <c r="X251" s="32"/>
      <c r="Y251" s="32"/>
      <c r="Z251" s="32"/>
    </row>
    <row r="252">
      <c r="A252" s="50" t="str">
        <f>IFERROR(__xludf.DUMMYFUNCTION("""COMPUTED_VALUE"""),"Celestial Core")</f>
        <v>Celestial Core</v>
      </c>
      <c r="B252" s="50" t="str">
        <f>IFERROR(__xludf.DUMMYFUNCTION("""COMPUTED_VALUE"""),"Crafting Material, roll a d20 to see how many you get if this is a loot drop.")</f>
        <v>Crafting Material, roll a d20 to see how many you get if this is a loot drop.</v>
      </c>
      <c r="C252" s="32" t="str">
        <f>IFERROR(__xludf.DUMMYFUNCTION("""COMPUTED_VALUE"""),"Item")</f>
        <v>Item</v>
      </c>
      <c r="D252" s="32" t="str">
        <f>IFERROR(__xludf.DUMMYFUNCTION("""COMPUTED_VALUE"""),"Land of Spira")</f>
        <v>Land of Spira</v>
      </c>
      <c r="E252" s="32" t="b">
        <f>IFERROR(__xludf.DUMMYFUNCTION("""COMPUTED_VALUE"""),FALSE)</f>
        <v>0</v>
      </c>
      <c r="F252" s="32"/>
      <c r="G252" s="32"/>
      <c r="H252" s="32"/>
      <c r="I252" s="32"/>
      <c r="J252" s="32"/>
      <c r="K252" s="32"/>
      <c r="L252" s="32"/>
      <c r="M252" s="32"/>
      <c r="N252" s="32"/>
      <c r="O252" s="32"/>
      <c r="P252" s="32"/>
      <c r="Q252" s="32"/>
      <c r="R252" s="32"/>
      <c r="S252" s="32"/>
      <c r="T252" s="32"/>
      <c r="U252" s="32"/>
      <c r="V252" s="32"/>
      <c r="W252" s="32"/>
      <c r="X252" s="32"/>
      <c r="Y252" s="32"/>
      <c r="Z252" s="32"/>
    </row>
    <row r="253">
      <c r="A253" s="50" t="str">
        <f>IFERROR(__xludf.DUMMYFUNCTION("""COMPUTED_VALUE"""),"Vampires Tooth")</f>
        <v>Vampires Tooth</v>
      </c>
      <c r="B253" s="50" t="str">
        <f>IFERROR(__xludf.DUMMYFUNCTION("""COMPUTED_VALUE"""),"Crafting Material, roll a d20 to see how many you get if this is a loot drop.")</f>
        <v>Crafting Material, roll a d20 to see how many you get if this is a loot drop.</v>
      </c>
      <c r="C253" s="32" t="str">
        <f>IFERROR(__xludf.DUMMYFUNCTION("""COMPUTED_VALUE"""),"Item")</f>
        <v>Item</v>
      </c>
      <c r="D253" s="32" t="str">
        <f>IFERROR(__xludf.DUMMYFUNCTION("""COMPUTED_VALUE"""),"Land of Spira")</f>
        <v>Land of Spira</v>
      </c>
      <c r="E253" s="32" t="b">
        <f>IFERROR(__xludf.DUMMYFUNCTION("""COMPUTED_VALUE"""),FALSE)</f>
        <v>0</v>
      </c>
      <c r="F253" s="32"/>
      <c r="G253" s="32"/>
      <c r="H253" s="32"/>
      <c r="I253" s="32"/>
      <c r="J253" s="32"/>
      <c r="K253" s="32"/>
      <c r="L253" s="32"/>
      <c r="M253" s="32"/>
      <c r="N253" s="32"/>
      <c r="O253" s="32"/>
      <c r="P253" s="32"/>
      <c r="Q253" s="32"/>
      <c r="R253" s="32"/>
      <c r="S253" s="32"/>
      <c r="T253" s="32"/>
      <c r="U253" s="32"/>
      <c r="V253" s="32"/>
      <c r="W253" s="32"/>
      <c r="X253" s="32"/>
      <c r="Y253" s="32"/>
      <c r="Z253" s="32"/>
    </row>
    <row r="254">
      <c r="A254" s="50" t="str">
        <f>IFERROR(__xludf.DUMMYFUNCTION("""COMPUTED_VALUE"""),"Cursed Statue Of Knowing")</f>
        <v>Cursed Statue Of Knowing</v>
      </c>
      <c r="B254" s="50" t="str">
        <f>IFERROR(__xludf.DUMMYFUNCTION("""COMPUTED_VALUE"""),"Quest item.")</f>
        <v>Quest item.</v>
      </c>
      <c r="C254" s="32" t="str">
        <f>IFERROR(__xludf.DUMMYFUNCTION("""COMPUTED_VALUE"""),"Item")</f>
        <v>Item</v>
      </c>
      <c r="D254" s="32" t="str">
        <f>IFERROR(__xludf.DUMMYFUNCTION("""COMPUTED_VALUE"""),"Land of Spira")</f>
        <v>Land of Spira</v>
      </c>
      <c r="E254" s="32" t="b">
        <f>IFERROR(__xludf.DUMMYFUNCTION("""COMPUTED_VALUE"""),FALSE)</f>
        <v>0</v>
      </c>
      <c r="F254" s="32"/>
      <c r="G254" s="32"/>
      <c r="H254" s="32"/>
      <c r="I254" s="32"/>
      <c r="J254" s="32"/>
      <c r="K254" s="32"/>
      <c r="L254" s="32"/>
      <c r="M254" s="32"/>
      <c r="N254" s="32"/>
      <c r="O254" s="32"/>
      <c r="P254" s="32"/>
      <c r="Q254" s="32"/>
      <c r="R254" s="32"/>
      <c r="S254" s="32"/>
      <c r="T254" s="32"/>
      <c r="U254" s="32"/>
      <c r="V254" s="32"/>
      <c r="W254" s="32"/>
      <c r="X254" s="32"/>
      <c r="Y254" s="32"/>
      <c r="Z254" s="32"/>
    </row>
    <row r="255">
      <c r="A255" s="50" t="str">
        <f>IFERROR(__xludf.DUMMYFUNCTION("""COMPUTED_VALUE"""),"Orb Of Shadows")</f>
        <v>Orb Of Shadows</v>
      </c>
      <c r="B255" s="50" t="str">
        <f>IFERROR(__xludf.DUMMYFUNCTION("""COMPUTED_VALUE"""),"Quest item.")</f>
        <v>Quest item.</v>
      </c>
      <c r="C255" s="32" t="str">
        <f>IFERROR(__xludf.DUMMYFUNCTION("""COMPUTED_VALUE"""),"Item")</f>
        <v>Item</v>
      </c>
      <c r="D255" s="32" t="str">
        <f>IFERROR(__xludf.DUMMYFUNCTION("""COMPUTED_VALUE"""),"Land of Spira")</f>
        <v>Land of Spira</v>
      </c>
      <c r="E255" s="32" t="b">
        <f>IFERROR(__xludf.DUMMYFUNCTION("""COMPUTED_VALUE"""),FALSE)</f>
        <v>0</v>
      </c>
      <c r="F255" s="32"/>
      <c r="G255" s="32"/>
      <c r="H255" s="32"/>
      <c r="I255" s="32"/>
      <c r="J255" s="32"/>
      <c r="K255" s="32"/>
      <c r="L255" s="32"/>
      <c r="M255" s="32"/>
      <c r="N255" s="32"/>
      <c r="O255" s="32"/>
      <c r="P255" s="32"/>
      <c r="Q255" s="32"/>
      <c r="R255" s="32"/>
      <c r="S255" s="32"/>
      <c r="T255" s="32"/>
      <c r="U255" s="32"/>
      <c r="V255" s="32"/>
      <c r="W255" s="32"/>
      <c r="X255" s="32"/>
      <c r="Y255" s="32"/>
      <c r="Z255" s="32"/>
    </row>
    <row r="256">
      <c r="A256" s="50" t="str">
        <f>IFERROR(__xludf.DUMMYFUNCTION("""COMPUTED_VALUE"""),"Blessed Torch")</f>
        <v>Blessed Torch</v>
      </c>
      <c r="B256" s="50" t="str">
        <f>IFERROR(__xludf.DUMMYFUNCTION("""COMPUTED_VALUE"""),"Lights a bonfire. (guaranteed drop)")</f>
        <v>Lights a bonfire. (guaranteed drop)</v>
      </c>
      <c r="C256" s="32" t="str">
        <f>IFERROR(__xludf.DUMMYFUNCTION("""COMPUTED_VALUE"""),"Item")</f>
        <v>Item</v>
      </c>
      <c r="D256" s="32" t="str">
        <f>IFERROR(__xludf.DUMMYFUNCTION("""COMPUTED_VALUE"""),"Land of Spira")</f>
        <v>Land of Spira</v>
      </c>
      <c r="E256" s="32" t="b">
        <f>IFERROR(__xludf.DUMMYFUNCTION("""COMPUTED_VALUE"""),FALSE)</f>
        <v>0</v>
      </c>
      <c r="F256" s="32"/>
      <c r="G256" s="32"/>
      <c r="H256" s="32"/>
      <c r="I256" s="32"/>
      <c r="J256" s="32"/>
      <c r="K256" s="32"/>
      <c r="L256" s="32"/>
      <c r="M256" s="32"/>
      <c r="N256" s="32"/>
      <c r="O256" s="32"/>
      <c r="P256" s="32"/>
      <c r="Q256" s="32"/>
      <c r="R256" s="32"/>
      <c r="S256" s="32"/>
      <c r="T256" s="32"/>
      <c r="U256" s="32"/>
      <c r="V256" s="32"/>
      <c r="W256" s="32"/>
      <c r="X256" s="32"/>
      <c r="Y256" s="32"/>
      <c r="Z256" s="32"/>
    </row>
    <row r="257">
      <c r="A257" s="50" t="str">
        <f>IFERROR(__xludf.DUMMYFUNCTION("""COMPUTED_VALUE"""),"Pebble of Fertility")</f>
        <v>Pebble of Fertility</v>
      </c>
      <c r="B257" s="50" t="str">
        <f>IFERROR(__xludf.DUMMYFUNCTION("""COMPUTED_VALUE"""),"double the loot when consumed before battle.")</f>
        <v>double the loot when consumed before battle.</v>
      </c>
      <c r="C257" s="32" t="str">
        <f>IFERROR(__xludf.DUMMYFUNCTION("""COMPUTED_VALUE"""),"Item")</f>
        <v>Item</v>
      </c>
      <c r="D257" s="32" t="str">
        <f>IFERROR(__xludf.DUMMYFUNCTION("""COMPUTED_VALUE"""),"Land of Spira")</f>
        <v>Land of Spira</v>
      </c>
      <c r="E257" s="32" t="b">
        <f>IFERROR(__xludf.DUMMYFUNCTION("""COMPUTED_VALUE"""),FALSE)</f>
        <v>0</v>
      </c>
      <c r="F257" s="32"/>
      <c r="G257" s="32"/>
      <c r="H257" s="32"/>
      <c r="I257" s="32"/>
      <c r="J257" s="32"/>
      <c r="K257" s="32"/>
      <c r="L257" s="32"/>
      <c r="M257" s="32"/>
      <c r="N257" s="32"/>
      <c r="O257" s="32"/>
      <c r="P257" s="32"/>
      <c r="Q257" s="32"/>
      <c r="R257" s="32"/>
      <c r="S257" s="32"/>
      <c r="T257" s="32"/>
      <c r="U257" s="32"/>
      <c r="V257" s="32"/>
      <c r="W257" s="32"/>
      <c r="X257" s="32"/>
      <c r="Y257" s="32"/>
      <c r="Z257" s="32"/>
    </row>
    <row r="258">
      <c r="A258" s="50" t="str">
        <f>IFERROR(__xludf.DUMMYFUNCTION("""COMPUTED_VALUE"""),"Forest Faery Egg")</f>
        <v>Forest Faery Egg</v>
      </c>
      <c r="B258" s="50" t="str">
        <f>IFERROR(__xludf.DUMMYFUNCTION("""COMPUTED_VALUE"""),"Gives a Faery companion (60) (must be in a forest for the egg to hatch)")</f>
        <v>Gives a Faery companion (60) (must be in a forest for the egg to hatch)</v>
      </c>
      <c r="C258" s="32" t="str">
        <f>IFERROR(__xludf.DUMMYFUNCTION("""COMPUTED_VALUE"""),"Item")</f>
        <v>Item</v>
      </c>
      <c r="D258" s="32" t="str">
        <f>IFERROR(__xludf.DUMMYFUNCTION("""COMPUTED_VALUE"""),"Land of Spira")</f>
        <v>Land of Spira</v>
      </c>
      <c r="E258" s="32" t="b">
        <f>IFERROR(__xludf.DUMMYFUNCTION("""COMPUTED_VALUE"""),FALSE)</f>
        <v>0</v>
      </c>
      <c r="F258" s="32"/>
      <c r="G258" s="32"/>
      <c r="H258" s="32"/>
      <c r="I258" s="32"/>
      <c r="J258" s="32"/>
      <c r="K258" s="32"/>
      <c r="L258" s="32"/>
      <c r="M258" s="32"/>
      <c r="N258" s="32"/>
      <c r="O258" s="32"/>
      <c r="P258" s="32"/>
      <c r="Q258" s="32"/>
      <c r="R258" s="32"/>
      <c r="S258" s="32"/>
      <c r="T258" s="32"/>
      <c r="U258" s="32"/>
      <c r="V258" s="32"/>
      <c r="W258" s="32"/>
      <c r="X258" s="32"/>
      <c r="Y258" s="32"/>
      <c r="Z258" s="32"/>
    </row>
    <row r="259">
      <c r="A259" s="50" t="str">
        <f>IFERROR(__xludf.DUMMYFUNCTION("""COMPUTED_VALUE"""),"Pandan flower")</f>
        <v>Pandan flower</v>
      </c>
      <c r="B259" s="50" t="str">
        <f>IFERROR(__xludf.DUMMYFUNCTION("""COMPUTED_VALUE"""),"Cures 1 curse")</f>
        <v>Cures 1 curse</v>
      </c>
      <c r="C259" s="32" t="str">
        <f>IFERROR(__xludf.DUMMYFUNCTION("""COMPUTED_VALUE"""),"Item")</f>
        <v>Item</v>
      </c>
      <c r="D259" s="32" t="str">
        <f>IFERROR(__xludf.DUMMYFUNCTION("""COMPUTED_VALUE"""),"Land of Spira")</f>
        <v>Land of Spira</v>
      </c>
      <c r="E259" s="32" t="b">
        <f>IFERROR(__xludf.DUMMYFUNCTION("""COMPUTED_VALUE"""),FALSE)</f>
        <v>0</v>
      </c>
      <c r="F259" s="32"/>
      <c r="G259" s="32"/>
      <c r="H259" s="32"/>
      <c r="I259" s="32"/>
      <c r="J259" s="32"/>
      <c r="K259" s="32"/>
      <c r="L259" s="32"/>
      <c r="M259" s="32"/>
      <c r="N259" s="32"/>
      <c r="O259" s="32"/>
      <c r="P259" s="32"/>
      <c r="Q259" s="32"/>
      <c r="R259" s="32"/>
      <c r="S259" s="32"/>
      <c r="T259" s="32"/>
      <c r="U259" s="32"/>
      <c r="V259" s="32"/>
      <c r="W259" s="32"/>
      <c r="X259" s="32"/>
      <c r="Y259" s="32"/>
      <c r="Z259" s="32"/>
    </row>
    <row r="260">
      <c r="A260" s="50" t="str">
        <f>IFERROR(__xludf.DUMMYFUNCTION("""COMPUTED_VALUE"""),"Rank 5 Earth Tome")</f>
        <v>Rank 5 Earth Tome</v>
      </c>
      <c r="B260" s="50" t="str">
        <f>IFERROR(__xludf.DUMMYFUNCTION("""COMPUTED_VALUE"""),"Allows use of up to Rank 5 Earth Powers")</f>
        <v>Allows use of up to Rank 5 Earth Powers</v>
      </c>
      <c r="C260" s="32" t="str">
        <f>IFERROR(__xludf.DUMMYFUNCTION("""COMPUTED_VALUE"""),"Item")</f>
        <v>Item</v>
      </c>
      <c r="D260" s="32" t="str">
        <f>IFERROR(__xludf.DUMMYFUNCTION("""COMPUTED_VALUE"""),"Land of Spira")</f>
        <v>Land of Spira</v>
      </c>
      <c r="E260" s="32" t="b">
        <f>IFERROR(__xludf.DUMMYFUNCTION("""COMPUTED_VALUE"""),FALSE)</f>
        <v>0</v>
      </c>
      <c r="F260" s="32"/>
      <c r="G260" s="32"/>
      <c r="H260" s="32"/>
      <c r="I260" s="32"/>
      <c r="J260" s="32"/>
      <c r="K260" s="32"/>
      <c r="L260" s="32"/>
      <c r="M260" s="32"/>
      <c r="N260" s="32"/>
      <c r="O260" s="32"/>
      <c r="P260" s="32"/>
      <c r="Q260" s="32"/>
      <c r="R260" s="32"/>
      <c r="S260" s="32"/>
      <c r="T260" s="32"/>
      <c r="U260" s="32"/>
      <c r="V260" s="32"/>
      <c r="W260" s="32"/>
      <c r="X260" s="32"/>
      <c r="Y260" s="32"/>
      <c r="Z260" s="32"/>
    </row>
    <row r="261">
      <c r="A261" s="50" t="str">
        <f>IFERROR(__xludf.DUMMYFUNCTION("""COMPUTED_VALUE"""),"Earth Gem")</f>
        <v>Earth Gem</v>
      </c>
      <c r="B261" s="50" t="str">
        <f>IFERROR(__xludf.DUMMYFUNCTION("""COMPUTED_VALUE"""),"Crafting Material, roll a d20 to see how many you get if this is a loot drop.")</f>
        <v>Crafting Material, roll a d20 to see how many you get if this is a loot drop.</v>
      </c>
      <c r="C261" s="32" t="str">
        <f>IFERROR(__xludf.DUMMYFUNCTION("""COMPUTED_VALUE"""),"Item")</f>
        <v>Item</v>
      </c>
      <c r="D261" s="32" t="str">
        <f>IFERROR(__xludf.DUMMYFUNCTION("""COMPUTED_VALUE"""),"Land of Spira")</f>
        <v>Land of Spira</v>
      </c>
      <c r="E261" s="32" t="b">
        <f>IFERROR(__xludf.DUMMYFUNCTION("""COMPUTED_VALUE"""),FALSE)</f>
        <v>0</v>
      </c>
      <c r="F261" s="32"/>
      <c r="G261" s="32"/>
      <c r="H261" s="32"/>
      <c r="I261" s="32"/>
      <c r="J261" s="32"/>
      <c r="K261" s="32"/>
      <c r="L261" s="32"/>
      <c r="M261" s="32"/>
      <c r="N261" s="32"/>
      <c r="O261" s="32"/>
      <c r="P261" s="32"/>
      <c r="Q261" s="32"/>
      <c r="R261" s="32"/>
      <c r="S261" s="32"/>
      <c r="T261" s="32"/>
      <c r="U261" s="32"/>
      <c r="V261" s="32"/>
      <c r="W261" s="32"/>
      <c r="X261" s="32"/>
      <c r="Y261" s="32"/>
      <c r="Z261" s="32"/>
    </row>
    <row r="262">
      <c r="A262" s="50" t="str">
        <f>IFERROR(__xludf.DUMMYFUNCTION("""COMPUTED_VALUE"""),"Key Of Knowledge")</f>
        <v>Key Of Knowledge</v>
      </c>
      <c r="B262" s="50" t="str">
        <f>IFERROR(__xludf.DUMMYFUNCTION("""COMPUTED_VALUE"""),"grants access to the room of knowledge")</f>
        <v>grants access to the room of knowledge</v>
      </c>
      <c r="C262" s="32" t="str">
        <f>IFERROR(__xludf.DUMMYFUNCTION("""COMPUTED_VALUE"""),"Item")</f>
        <v>Item</v>
      </c>
      <c r="D262" s="32" t="str">
        <f>IFERROR(__xludf.DUMMYFUNCTION("""COMPUTED_VALUE"""),"Land of Spira")</f>
        <v>Land of Spira</v>
      </c>
      <c r="E262" s="32" t="b">
        <f>IFERROR(__xludf.DUMMYFUNCTION("""COMPUTED_VALUE"""),FALSE)</f>
        <v>0</v>
      </c>
      <c r="F262" s="32"/>
      <c r="G262" s="32"/>
      <c r="H262" s="32"/>
      <c r="I262" s="32"/>
      <c r="J262" s="32"/>
      <c r="K262" s="32"/>
      <c r="L262" s="32"/>
      <c r="M262" s="32"/>
      <c r="N262" s="32"/>
      <c r="O262" s="32"/>
      <c r="P262" s="32"/>
      <c r="Q262" s="32"/>
      <c r="R262" s="32"/>
      <c r="S262" s="32"/>
      <c r="T262" s="32"/>
      <c r="U262" s="32"/>
      <c r="V262" s="32"/>
      <c r="W262" s="32"/>
      <c r="X262" s="32"/>
      <c r="Y262" s="32"/>
      <c r="Z262" s="32"/>
    </row>
    <row r="263">
      <c r="A263" s="50" t="str">
        <f>IFERROR(__xludf.DUMMYFUNCTION("""COMPUTED_VALUE"""),"Medallion 1")</f>
        <v>Medallion 1</v>
      </c>
      <c r="B263" s="50" t="str">
        <f>IFERROR(__xludf.DUMMYFUNCTION("""COMPUTED_VALUE"""),"Grants access to the Ruins of Mana.")</f>
        <v>Grants access to the Ruins of Mana.</v>
      </c>
      <c r="C263" s="32" t="str">
        <f>IFERROR(__xludf.DUMMYFUNCTION("""COMPUTED_VALUE"""),"Item")</f>
        <v>Item</v>
      </c>
      <c r="D263" s="32" t="str">
        <f>IFERROR(__xludf.DUMMYFUNCTION("""COMPUTED_VALUE"""),"Land of Spira")</f>
        <v>Land of Spira</v>
      </c>
      <c r="E263" s="32" t="b">
        <f>IFERROR(__xludf.DUMMYFUNCTION("""COMPUTED_VALUE"""),FALSE)</f>
        <v>0</v>
      </c>
      <c r="F263" s="32"/>
      <c r="G263" s="32"/>
      <c r="H263" s="32"/>
      <c r="I263" s="32"/>
      <c r="J263" s="32"/>
      <c r="K263" s="32"/>
      <c r="L263" s="32"/>
      <c r="M263" s="32"/>
      <c r="N263" s="32"/>
      <c r="O263" s="32"/>
      <c r="P263" s="32"/>
      <c r="Q263" s="32"/>
      <c r="R263" s="32"/>
      <c r="S263" s="32"/>
      <c r="T263" s="32"/>
      <c r="U263" s="32"/>
      <c r="V263" s="32"/>
      <c r="W263" s="32"/>
      <c r="X263" s="32"/>
      <c r="Y263" s="32"/>
      <c r="Z263" s="32"/>
    </row>
    <row r="264">
      <c r="A264" s="50" t="str">
        <f>IFERROR(__xludf.DUMMYFUNCTION("""COMPUTED_VALUE"""),"Medallion 2")</f>
        <v>Medallion 2</v>
      </c>
      <c r="B264" s="50" t="str">
        <f>IFERROR(__xludf.DUMMYFUNCTION("""COMPUTED_VALUE"""),"Grants access to the Ruins of Mana.")</f>
        <v>Grants access to the Ruins of Mana.</v>
      </c>
      <c r="C264" s="32" t="str">
        <f>IFERROR(__xludf.DUMMYFUNCTION("""COMPUTED_VALUE"""),"Item")</f>
        <v>Item</v>
      </c>
      <c r="D264" s="32" t="str">
        <f>IFERROR(__xludf.DUMMYFUNCTION("""COMPUTED_VALUE"""),"Land of Spira")</f>
        <v>Land of Spira</v>
      </c>
      <c r="E264" s="32" t="b">
        <f>IFERROR(__xludf.DUMMYFUNCTION("""COMPUTED_VALUE"""),FALSE)</f>
        <v>0</v>
      </c>
      <c r="F264" s="32"/>
      <c r="G264" s="32"/>
      <c r="H264" s="32"/>
      <c r="I264" s="32"/>
      <c r="J264" s="32"/>
      <c r="K264" s="32"/>
      <c r="L264" s="32"/>
      <c r="M264" s="32"/>
      <c r="N264" s="32"/>
      <c r="O264" s="32"/>
      <c r="P264" s="32"/>
      <c r="Q264" s="32"/>
      <c r="R264" s="32"/>
      <c r="S264" s="32"/>
      <c r="T264" s="32"/>
      <c r="U264" s="32"/>
      <c r="V264" s="32"/>
      <c r="W264" s="32"/>
      <c r="X264" s="32"/>
      <c r="Y264" s="32"/>
      <c r="Z264" s="32"/>
    </row>
    <row r="265">
      <c r="A265" s="50" t="str">
        <f>IFERROR(__xludf.DUMMYFUNCTION("""COMPUTED_VALUE"""),"Medallion 3")</f>
        <v>Medallion 3</v>
      </c>
      <c r="B265" s="50" t="str">
        <f>IFERROR(__xludf.DUMMYFUNCTION("""COMPUTED_VALUE"""),"Grants access to the Ruins of Mana.")</f>
        <v>Grants access to the Ruins of Mana.</v>
      </c>
      <c r="C265" s="32" t="str">
        <f>IFERROR(__xludf.DUMMYFUNCTION("""COMPUTED_VALUE"""),"Item")</f>
        <v>Item</v>
      </c>
      <c r="D265" s="32" t="str">
        <f>IFERROR(__xludf.DUMMYFUNCTION("""COMPUTED_VALUE"""),"Land of Spira")</f>
        <v>Land of Spira</v>
      </c>
      <c r="E265" s="32" t="b">
        <f>IFERROR(__xludf.DUMMYFUNCTION("""COMPUTED_VALUE"""),FALSE)</f>
        <v>0</v>
      </c>
      <c r="F265" s="32"/>
      <c r="G265" s="32"/>
      <c r="H265" s="32"/>
      <c r="I265" s="32"/>
      <c r="J265" s="32"/>
      <c r="K265" s="32"/>
      <c r="L265" s="32"/>
      <c r="M265" s="32"/>
      <c r="N265" s="32"/>
      <c r="O265" s="32"/>
      <c r="P265" s="32"/>
      <c r="Q265" s="32"/>
      <c r="R265" s="32"/>
      <c r="S265" s="32"/>
      <c r="T265" s="32"/>
      <c r="U265" s="32"/>
      <c r="V265" s="32"/>
      <c r="W265" s="32"/>
      <c r="X265" s="32"/>
      <c r="Y265" s="32"/>
      <c r="Z265" s="32"/>
    </row>
    <row r="266">
      <c r="A266" s="50" t="str">
        <f>IFERROR(__xludf.DUMMYFUNCTION("""COMPUTED_VALUE"""),"Medallion 4")</f>
        <v>Medallion 4</v>
      </c>
      <c r="B266" s="50" t="str">
        <f>IFERROR(__xludf.DUMMYFUNCTION("""COMPUTED_VALUE"""),"Grants access to the Ruins of Mana.")</f>
        <v>Grants access to the Ruins of Mana.</v>
      </c>
      <c r="C266" s="32" t="str">
        <f>IFERROR(__xludf.DUMMYFUNCTION("""COMPUTED_VALUE"""),"Item")</f>
        <v>Item</v>
      </c>
      <c r="D266" s="32" t="str">
        <f>IFERROR(__xludf.DUMMYFUNCTION("""COMPUTED_VALUE"""),"Land of Spira")</f>
        <v>Land of Spira</v>
      </c>
      <c r="E266" s="32" t="b">
        <f>IFERROR(__xludf.DUMMYFUNCTION("""COMPUTED_VALUE"""),FALSE)</f>
        <v>0</v>
      </c>
      <c r="F266" s="32"/>
      <c r="G266" s="32"/>
      <c r="H266" s="32"/>
      <c r="I266" s="32"/>
      <c r="J266" s="32"/>
      <c r="K266" s="32"/>
      <c r="L266" s="32"/>
      <c r="M266" s="32"/>
      <c r="N266" s="32"/>
      <c r="O266" s="32"/>
      <c r="P266" s="32"/>
      <c r="Q266" s="32"/>
      <c r="R266" s="32"/>
      <c r="S266" s="32"/>
      <c r="T266" s="32"/>
      <c r="U266" s="32"/>
      <c r="V266" s="32"/>
      <c r="W266" s="32"/>
      <c r="X266" s="32"/>
      <c r="Y266" s="32"/>
      <c r="Z266" s="32"/>
    </row>
    <row r="267">
      <c r="A267" s="50" t="str">
        <f>IFERROR(__xludf.DUMMYFUNCTION("""COMPUTED_VALUE"""),"Enchanted Ice Gem")</f>
        <v>Enchanted Ice Gem</v>
      </c>
      <c r="B267" s="50"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32" t="str">
        <f>IFERROR(__xludf.DUMMYFUNCTION("""COMPUTED_VALUE"""),"Item")</f>
        <v>Item</v>
      </c>
      <c r="D267" s="32" t="str">
        <f>IFERROR(__xludf.DUMMYFUNCTION("""COMPUTED_VALUE"""),"Land of Spira")</f>
        <v>Land of Spira</v>
      </c>
      <c r="E267" s="32" t="b">
        <f>IFERROR(__xludf.DUMMYFUNCTION("""COMPUTED_VALUE"""),FALSE)</f>
        <v>0</v>
      </c>
      <c r="F267" s="32"/>
      <c r="G267" s="32"/>
      <c r="H267" s="32"/>
      <c r="I267" s="32"/>
      <c r="J267" s="32"/>
      <c r="K267" s="32"/>
      <c r="L267" s="32"/>
      <c r="M267" s="32"/>
      <c r="N267" s="32"/>
      <c r="O267" s="32"/>
      <c r="P267" s="32"/>
      <c r="Q267" s="32"/>
      <c r="R267" s="32"/>
      <c r="S267" s="32"/>
      <c r="T267" s="32"/>
      <c r="U267" s="32"/>
      <c r="V267" s="32"/>
      <c r="W267" s="32"/>
      <c r="X267" s="32"/>
      <c r="Y267" s="32"/>
      <c r="Z267" s="32"/>
    </row>
    <row r="268">
      <c r="A268" s="50" t="str">
        <f>IFERROR(__xludf.DUMMYFUNCTION("""COMPUTED_VALUE"""),"Carnelian Crystal")</f>
        <v>Carnelian Crystal</v>
      </c>
      <c r="B268" s="50" t="str">
        <f>IFERROR(__xludf.DUMMYFUNCTION("""COMPUTED_VALUE"""),"Can be forged into armor, one crystal max inside forged equipment. +2 Mobility  ")</f>
        <v>Can be forged into armor, one crystal max inside forged equipment. +2 Mobility  </v>
      </c>
      <c r="C268" s="32" t="str">
        <f>IFERROR(__xludf.DUMMYFUNCTION("""COMPUTED_VALUE"""),"Item")</f>
        <v>Item</v>
      </c>
      <c r="D268" s="32" t="str">
        <f>IFERROR(__xludf.DUMMYFUNCTION("""COMPUTED_VALUE"""),"Land of Spira")</f>
        <v>Land of Spira</v>
      </c>
      <c r="E268" s="32" t="b">
        <f>IFERROR(__xludf.DUMMYFUNCTION("""COMPUTED_VALUE"""),FALSE)</f>
        <v>0</v>
      </c>
      <c r="F268" s="32"/>
      <c r="G268" s="32"/>
      <c r="H268" s="32"/>
      <c r="I268" s="32"/>
      <c r="J268" s="32"/>
      <c r="K268" s="32"/>
      <c r="L268" s="32"/>
      <c r="M268" s="32"/>
      <c r="N268" s="32"/>
      <c r="O268" s="32"/>
      <c r="P268" s="32"/>
      <c r="Q268" s="32"/>
      <c r="R268" s="32"/>
      <c r="S268" s="32"/>
      <c r="T268" s="32"/>
      <c r="U268" s="32"/>
      <c r="V268" s="32"/>
      <c r="W268" s="32"/>
      <c r="X268" s="32"/>
      <c r="Y268" s="32"/>
      <c r="Z268" s="32"/>
    </row>
    <row r="269">
      <c r="A269" s="50" t="str">
        <f>IFERROR(__xludf.DUMMYFUNCTION("""COMPUTED_VALUE"""),"Citrine Crystal")</f>
        <v>Citrine Crystal</v>
      </c>
      <c r="B269" s="50"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32" t="str">
        <f>IFERROR(__xludf.DUMMYFUNCTION("""COMPUTED_VALUE"""),"Item")</f>
        <v>Item</v>
      </c>
      <c r="D269" s="32" t="str">
        <f>IFERROR(__xludf.DUMMYFUNCTION("""COMPUTED_VALUE"""),"Land of Spira")</f>
        <v>Land of Spira</v>
      </c>
      <c r="E269" s="32" t="b">
        <f>IFERROR(__xludf.DUMMYFUNCTION("""COMPUTED_VALUE"""),FALSE)</f>
        <v>0</v>
      </c>
      <c r="F269" s="32"/>
      <c r="G269" s="32"/>
      <c r="H269" s="32"/>
      <c r="I269" s="32"/>
      <c r="J269" s="32"/>
      <c r="K269" s="32"/>
      <c r="L269" s="32"/>
      <c r="M269" s="32"/>
      <c r="N269" s="32"/>
      <c r="O269" s="32"/>
      <c r="P269" s="32"/>
      <c r="Q269" s="32"/>
      <c r="R269" s="32"/>
      <c r="S269" s="32"/>
      <c r="T269" s="32"/>
      <c r="U269" s="32"/>
      <c r="V269" s="32"/>
      <c r="W269" s="32"/>
      <c r="X269" s="32"/>
      <c r="Y269" s="32"/>
      <c r="Z269" s="32"/>
    </row>
    <row r="270">
      <c r="A270" s="50" t="str">
        <f>IFERROR(__xludf.DUMMYFUNCTION("""COMPUTED_VALUE"""),"Tiger's Eye Crystal")</f>
        <v>Tiger's Eye Crystal</v>
      </c>
      <c r="B270" s="50"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32" t="str">
        <f>IFERROR(__xludf.DUMMYFUNCTION("""COMPUTED_VALUE"""),"Item")</f>
        <v>Item</v>
      </c>
      <c r="D270" s="32" t="str">
        <f>IFERROR(__xludf.DUMMYFUNCTION("""COMPUTED_VALUE"""),"Land of Spira")</f>
        <v>Land of Spira</v>
      </c>
      <c r="E270" s="32" t="b">
        <f>IFERROR(__xludf.DUMMYFUNCTION("""COMPUTED_VALUE"""),FALSE)</f>
        <v>0</v>
      </c>
      <c r="F270" s="32"/>
      <c r="G270" s="32"/>
      <c r="H270" s="32"/>
      <c r="I270" s="32"/>
      <c r="J270" s="32"/>
      <c r="K270" s="32"/>
      <c r="L270" s="32"/>
      <c r="M270" s="32"/>
      <c r="N270" s="32"/>
      <c r="O270" s="32"/>
      <c r="P270" s="32"/>
      <c r="Q270" s="32"/>
      <c r="R270" s="32"/>
      <c r="S270" s="32"/>
      <c r="T270" s="32"/>
      <c r="U270" s="32"/>
      <c r="V270" s="32"/>
      <c r="W270" s="32"/>
      <c r="X270" s="32"/>
      <c r="Y270" s="32"/>
      <c r="Z270" s="32"/>
    </row>
    <row r="271">
      <c r="A271" s="50" t="str">
        <f>IFERROR(__xludf.DUMMYFUNCTION("""COMPUTED_VALUE"""),"Lodestone Crystal")</f>
        <v>Lodestone Crystal</v>
      </c>
      <c r="B271" s="50" t="str">
        <f>IFERROR(__xludf.DUMMYFUNCTION("""COMPUTED_VALUE"""),"Can be forged into a weapon, one crystal max inside forged equipment. absorbs the first attack of each battle.")</f>
        <v>Can be forged into a weapon, one crystal max inside forged equipment. absorbs the first attack of each battle.</v>
      </c>
      <c r="C271" s="32" t="str">
        <f>IFERROR(__xludf.DUMMYFUNCTION("""COMPUTED_VALUE"""),"Item")</f>
        <v>Item</v>
      </c>
      <c r="D271" s="32" t="str">
        <f>IFERROR(__xludf.DUMMYFUNCTION("""COMPUTED_VALUE"""),"Land of Spira")</f>
        <v>Land of Spira</v>
      </c>
      <c r="E271" s="32" t="b">
        <f>IFERROR(__xludf.DUMMYFUNCTION("""COMPUTED_VALUE"""),FALSE)</f>
        <v>0</v>
      </c>
      <c r="F271" s="32"/>
      <c r="G271" s="32"/>
      <c r="H271" s="32"/>
      <c r="I271" s="32"/>
      <c r="J271" s="32"/>
      <c r="K271" s="32"/>
      <c r="L271" s="32"/>
      <c r="M271" s="32"/>
      <c r="N271" s="32"/>
      <c r="O271" s="32"/>
      <c r="P271" s="32"/>
      <c r="Q271" s="32"/>
      <c r="R271" s="32"/>
      <c r="S271" s="32"/>
      <c r="T271" s="32"/>
      <c r="U271" s="32"/>
      <c r="V271" s="32"/>
      <c r="W271" s="32"/>
      <c r="X271" s="32"/>
      <c r="Y271" s="32"/>
      <c r="Z271" s="32"/>
    </row>
    <row r="272">
      <c r="A272" s="50" t="str">
        <f>IFERROR(__xludf.DUMMYFUNCTION("""COMPUTED_VALUE"""),"Peridot Crystal")</f>
        <v>Peridot Crystal</v>
      </c>
      <c r="B272" s="50" t="str">
        <f>IFERROR(__xludf.DUMMYFUNCTION("""COMPUTED_VALUE"""),"Can be forged into a armor, one crystal max inside forged equipment. +300HP per round.")</f>
        <v>Can be forged into a armor, one crystal max inside forged equipment. +300HP per round.</v>
      </c>
      <c r="C272" s="32" t="str">
        <f>IFERROR(__xludf.DUMMYFUNCTION("""COMPUTED_VALUE"""),"Item")</f>
        <v>Item</v>
      </c>
      <c r="D272" s="32" t="str">
        <f>IFERROR(__xludf.DUMMYFUNCTION("""COMPUTED_VALUE"""),"Land of Spira")</f>
        <v>Land of Spira</v>
      </c>
      <c r="E272" s="32" t="b">
        <f>IFERROR(__xludf.DUMMYFUNCTION("""COMPUTED_VALUE"""),FALSE)</f>
        <v>0</v>
      </c>
      <c r="F272" s="32"/>
      <c r="G272" s="32"/>
      <c r="H272" s="32"/>
      <c r="I272" s="32"/>
      <c r="J272" s="32"/>
      <c r="K272" s="32"/>
      <c r="L272" s="32"/>
      <c r="M272" s="32"/>
      <c r="N272" s="32"/>
      <c r="O272" s="32"/>
      <c r="P272" s="32"/>
      <c r="Q272" s="32"/>
      <c r="R272" s="32"/>
      <c r="S272" s="32"/>
      <c r="T272" s="32"/>
      <c r="U272" s="32"/>
      <c r="V272" s="32"/>
      <c r="W272" s="32"/>
      <c r="X272" s="32"/>
      <c r="Y272" s="32"/>
      <c r="Z272" s="32"/>
    </row>
    <row r="273">
      <c r="A273" s="50" t="str">
        <f>IFERROR(__xludf.DUMMYFUNCTION("""COMPUTED_VALUE"""),"Golden Topaz")</f>
        <v>Golden Topaz</v>
      </c>
      <c r="B273" s="50"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32" t="str">
        <f>IFERROR(__xludf.DUMMYFUNCTION("""COMPUTED_VALUE"""),"Item")</f>
        <v>Item</v>
      </c>
      <c r="D273" s="32" t="str">
        <f>IFERROR(__xludf.DUMMYFUNCTION("""COMPUTED_VALUE"""),"Land of Spira")</f>
        <v>Land of Spira</v>
      </c>
      <c r="E273" s="32" t="b">
        <f>IFERROR(__xludf.DUMMYFUNCTION("""COMPUTED_VALUE"""),FALSE)</f>
        <v>0</v>
      </c>
      <c r="F273" s="32"/>
      <c r="G273" s="32"/>
      <c r="H273" s="32"/>
      <c r="I273" s="32"/>
      <c r="J273" s="32"/>
      <c r="K273" s="32"/>
      <c r="L273" s="32"/>
      <c r="M273" s="32"/>
      <c r="N273" s="32"/>
      <c r="O273" s="32"/>
      <c r="P273" s="32"/>
      <c r="Q273" s="32"/>
      <c r="R273" s="32"/>
      <c r="S273" s="32"/>
      <c r="T273" s="32"/>
      <c r="U273" s="32"/>
      <c r="V273" s="32"/>
      <c r="W273" s="32"/>
      <c r="X273" s="32"/>
      <c r="Y273" s="32"/>
      <c r="Z273" s="32"/>
    </row>
    <row r="274">
      <c r="A274" s="50" t="str">
        <f>IFERROR(__xludf.DUMMYFUNCTION("""COMPUTED_VALUE"""),"Sea Crystal ")</f>
        <v>Sea Crystal </v>
      </c>
      <c r="B274" s="50"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32" t="str">
        <f>IFERROR(__xludf.DUMMYFUNCTION("""COMPUTED_VALUE"""),"Item")</f>
        <v>Item</v>
      </c>
      <c r="D274" s="32" t="str">
        <f>IFERROR(__xludf.DUMMYFUNCTION("""COMPUTED_VALUE"""),"Land of The Forgotten")</f>
        <v>Land of The Forgotten</v>
      </c>
      <c r="E274" s="32" t="b">
        <f>IFERROR(__xludf.DUMMYFUNCTION("""COMPUTED_VALUE"""),FALSE)</f>
        <v>0</v>
      </c>
      <c r="F274" s="32"/>
      <c r="G274" s="32"/>
      <c r="H274" s="32"/>
      <c r="I274" s="32"/>
      <c r="J274" s="32"/>
      <c r="K274" s="32"/>
      <c r="L274" s="32"/>
      <c r="M274" s="32"/>
      <c r="N274" s="32"/>
      <c r="O274" s="32"/>
      <c r="P274" s="32"/>
      <c r="Q274" s="32"/>
      <c r="R274" s="32"/>
      <c r="S274" s="32"/>
      <c r="T274" s="32"/>
      <c r="U274" s="32"/>
      <c r="V274" s="32"/>
      <c r="W274" s="32"/>
      <c r="X274" s="32"/>
      <c r="Y274" s="32"/>
      <c r="Z274" s="32"/>
    </row>
    <row r="275">
      <c r="A275" s="50" t="str">
        <f>IFERROR(__xludf.DUMMYFUNCTION("""COMPUTED_VALUE"""),"The Root Of Nature")</f>
        <v>The Root Of Nature</v>
      </c>
      <c r="B275" s="50"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32" t="str">
        <f>IFERROR(__xludf.DUMMYFUNCTION("""COMPUTED_VALUE"""),"Item")</f>
        <v>Item</v>
      </c>
      <c r="D275" s="32" t="str">
        <f>IFERROR(__xludf.DUMMYFUNCTION("""COMPUTED_VALUE"""),"Land of The Forgotten")</f>
        <v>Land of The Forgotten</v>
      </c>
      <c r="E275" s="32" t="b">
        <f>IFERROR(__xludf.DUMMYFUNCTION("""COMPUTED_VALUE"""),FALSE)</f>
        <v>0</v>
      </c>
      <c r="F275" s="32"/>
      <c r="G275" s="32"/>
      <c r="H275" s="32"/>
      <c r="I275" s="32"/>
      <c r="J275" s="32"/>
      <c r="K275" s="32"/>
      <c r="L275" s="32"/>
      <c r="M275" s="32"/>
      <c r="N275" s="32"/>
      <c r="O275" s="32"/>
      <c r="P275" s="32"/>
      <c r="Q275" s="32"/>
      <c r="R275" s="32"/>
      <c r="S275" s="32"/>
      <c r="T275" s="32"/>
      <c r="U275" s="32"/>
      <c r="V275" s="32"/>
      <c r="W275" s="32"/>
      <c r="X275" s="32"/>
      <c r="Y275" s="32"/>
      <c r="Z275" s="32"/>
    </row>
    <row r="276">
      <c r="A276" s="50" t="str">
        <f>IFERROR(__xludf.DUMMYFUNCTION("""COMPUTED_VALUE"""),"Rich Sand")</f>
        <v>Rich Sand</v>
      </c>
      <c r="B276" s="50" t="str">
        <f>IFERROR(__xludf.DUMMYFUNCTION("""COMPUTED_VALUE"""),"can be forged into armor to give the user an immunity to earth and X10 earth damage. Cannot be duplicated.")</f>
        <v>can be forged into armor to give the user an immunity to earth and X10 earth damage. Cannot be duplicated.</v>
      </c>
      <c r="C276" s="32" t="str">
        <f>IFERROR(__xludf.DUMMYFUNCTION("""COMPUTED_VALUE"""),"Item")</f>
        <v>Item</v>
      </c>
      <c r="D276" s="32" t="str">
        <f>IFERROR(__xludf.DUMMYFUNCTION("""COMPUTED_VALUE"""),"Land of The Forgotten")</f>
        <v>Land of The Forgotten</v>
      </c>
      <c r="E276" s="32" t="b">
        <f>IFERROR(__xludf.DUMMYFUNCTION("""COMPUTED_VALUE"""),FALSE)</f>
        <v>0</v>
      </c>
      <c r="F276" s="32"/>
      <c r="G276" s="32"/>
      <c r="H276" s="32"/>
      <c r="I276" s="32"/>
      <c r="J276" s="32"/>
      <c r="K276" s="32"/>
      <c r="L276" s="32"/>
      <c r="M276" s="32"/>
      <c r="N276" s="32"/>
      <c r="O276" s="32"/>
      <c r="P276" s="32"/>
      <c r="Q276" s="32"/>
      <c r="R276" s="32"/>
      <c r="S276" s="32"/>
      <c r="T276" s="32"/>
      <c r="U276" s="32"/>
      <c r="V276" s="32"/>
      <c r="W276" s="32"/>
      <c r="X276" s="32"/>
      <c r="Y276" s="32"/>
      <c r="Z276" s="32"/>
    </row>
    <row r="277">
      <c r="A277" s="50" t="str">
        <f>IFERROR(__xludf.DUMMYFUNCTION("""COMPUTED_VALUE"""),"Sacred Sap")</f>
        <v>Sacred Sap</v>
      </c>
      <c r="B277" s="50" t="str">
        <f>IFERROR(__xludf.DUMMYFUNCTION("""COMPUTED_VALUE"""),"Can be brewed into a potion then consumed to gain 200 levels. Cannot be duplicated.")</f>
        <v>Can be brewed into a potion then consumed to gain 200 levels. Cannot be duplicated.</v>
      </c>
      <c r="C277" s="32" t="str">
        <f>IFERROR(__xludf.DUMMYFUNCTION("""COMPUTED_VALUE"""),"Item")</f>
        <v>Item</v>
      </c>
      <c r="D277" s="32" t="str">
        <f>IFERROR(__xludf.DUMMYFUNCTION("""COMPUTED_VALUE"""),"Land of The Forgotten")</f>
        <v>Land of The Forgotten</v>
      </c>
      <c r="E277" s="32" t="b">
        <f>IFERROR(__xludf.DUMMYFUNCTION("""COMPUTED_VALUE"""),FALSE)</f>
        <v>0</v>
      </c>
      <c r="F277" s="32"/>
      <c r="G277" s="32"/>
      <c r="H277" s="32"/>
      <c r="I277" s="32"/>
      <c r="J277" s="32"/>
      <c r="K277" s="32"/>
      <c r="L277" s="32"/>
      <c r="M277" s="32"/>
      <c r="N277" s="32"/>
      <c r="O277" s="32"/>
      <c r="P277" s="32"/>
      <c r="Q277" s="32"/>
      <c r="R277" s="32"/>
      <c r="S277" s="32"/>
      <c r="T277" s="32"/>
      <c r="U277" s="32"/>
      <c r="V277" s="32"/>
      <c r="W277" s="32"/>
      <c r="X277" s="32"/>
      <c r="Y277" s="32"/>
      <c r="Z277" s="32"/>
    </row>
    <row r="278">
      <c r="A278" s="50" t="str">
        <f>IFERROR(__xludf.DUMMYFUNCTION("""COMPUTED_VALUE"""),"Frozen Shard")</f>
        <v>Frozen Shard</v>
      </c>
      <c r="B278" s="50"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32" t="str">
        <f>IFERROR(__xludf.DUMMYFUNCTION("""COMPUTED_VALUE"""),"Item")</f>
        <v>Item</v>
      </c>
      <c r="D278" s="32" t="str">
        <f>IFERROR(__xludf.DUMMYFUNCTION("""COMPUTED_VALUE"""),"Land of The Forgotten")</f>
        <v>Land of The Forgotten</v>
      </c>
      <c r="E278" s="32" t="b">
        <f>IFERROR(__xludf.DUMMYFUNCTION("""COMPUTED_VALUE"""),FALSE)</f>
        <v>0</v>
      </c>
      <c r="F278" s="32"/>
      <c r="G278" s="32"/>
      <c r="H278" s="32"/>
      <c r="I278" s="32"/>
      <c r="J278" s="32"/>
      <c r="K278" s="32"/>
      <c r="L278" s="32"/>
      <c r="M278" s="32"/>
      <c r="N278" s="32"/>
      <c r="O278" s="32"/>
      <c r="P278" s="32"/>
      <c r="Q278" s="32"/>
      <c r="R278" s="32"/>
      <c r="S278" s="32"/>
      <c r="T278" s="32"/>
      <c r="U278" s="32"/>
      <c r="V278" s="32"/>
      <c r="W278" s="32"/>
      <c r="X278" s="32"/>
      <c r="Y278" s="32"/>
      <c r="Z278" s="32"/>
    </row>
    <row r="279">
      <c r="A279" s="50" t="str">
        <f>IFERROR(__xludf.DUMMYFUNCTION("""COMPUTED_VALUE"""),"Tome of Chaotic Darkness")</f>
        <v>Tome of Chaotic Darkness</v>
      </c>
      <c r="B279" s="50" t="str">
        <f>IFERROR(__xludf.DUMMYFUNCTION("""COMPUTED_VALUE"""),"Allows use of up to Rank 9 Dark and Chaos Powers.")</f>
        <v>Allows use of up to Rank 9 Dark and Chaos Powers.</v>
      </c>
      <c r="C279" s="32" t="str">
        <f>IFERROR(__xludf.DUMMYFUNCTION("""COMPUTED_VALUE"""),"Item")</f>
        <v>Item</v>
      </c>
      <c r="D279" s="32" t="str">
        <f>IFERROR(__xludf.DUMMYFUNCTION("""COMPUTED_VALUE"""),"Abstara")</f>
        <v>Abstara</v>
      </c>
      <c r="E279" s="32" t="b">
        <f>IFERROR(__xludf.DUMMYFUNCTION("""COMPUTED_VALUE"""),TRUE)</f>
        <v>1</v>
      </c>
      <c r="F279" s="32"/>
      <c r="G279" s="32"/>
      <c r="H279" s="32"/>
      <c r="I279" s="32"/>
      <c r="J279" s="32"/>
      <c r="K279" s="32"/>
      <c r="L279" s="32"/>
      <c r="M279" s="32"/>
      <c r="N279" s="32"/>
      <c r="O279" s="32"/>
      <c r="P279" s="32"/>
      <c r="Q279" s="32"/>
      <c r="R279" s="32"/>
      <c r="S279" s="32"/>
      <c r="T279" s="32"/>
      <c r="U279" s="32"/>
      <c r="V279" s="32"/>
      <c r="W279" s="32"/>
      <c r="X279" s="32"/>
      <c r="Y279" s="32"/>
      <c r="Z279" s="32"/>
    </row>
    <row r="280">
      <c r="A280" s="50" t="str">
        <f>IFERROR(__xludf.DUMMYFUNCTION("""COMPUTED_VALUE"""),"The Land of The Forgotten Map")</f>
        <v>The Land of The Forgotten Map</v>
      </c>
      <c r="B280" s="50" t="str">
        <f>IFERROR(__xludf.DUMMYFUNCTION("""COMPUTED_VALUE"""),"Shows you where to find The Land of The Forgotten.")</f>
        <v>Shows you where to find The Land of The Forgotten.</v>
      </c>
      <c r="C280" s="32" t="str">
        <f>IFERROR(__xludf.DUMMYFUNCTION("""COMPUTED_VALUE"""),"Item")</f>
        <v>Item</v>
      </c>
      <c r="D280" s="32" t="str">
        <f>IFERROR(__xludf.DUMMYFUNCTION("""COMPUTED_VALUE"""),"Land of The Forgotten")</f>
        <v>Land of The Forgotten</v>
      </c>
      <c r="E280" s="32" t="b">
        <f>IFERROR(__xludf.DUMMYFUNCTION("""COMPUTED_VALUE"""),TRUE)</f>
        <v>1</v>
      </c>
      <c r="F280" s="32"/>
      <c r="G280" s="32"/>
      <c r="H280" s="32"/>
      <c r="I280" s="32"/>
      <c r="J280" s="32"/>
      <c r="K280" s="32"/>
      <c r="L280" s="32"/>
      <c r="M280" s="32"/>
      <c r="N280" s="32"/>
      <c r="O280" s="32"/>
      <c r="P280" s="32"/>
      <c r="Q280" s="32"/>
      <c r="R280" s="32"/>
      <c r="S280" s="32"/>
      <c r="T280" s="32"/>
      <c r="U280" s="32"/>
      <c r="V280" s="32"/>
      <c r="W280" s="32"/>
      <c r="X280" s="32"/>
      <c r="Y280" s="32"/>
      <c r="Z280" s="32"/>
    </row>
    <row r="281">
      <c r="A281" s="50" t="str">
        <f>IFERROR(__xludf.DUMMYFUNCTION("""COMPUTED_VALUE"""),"Corn On The Cob")</f>
        <v>Corn On The Cob</v>
      </c>
      <c r="B281" s="50" t="str">
        <f>IFERROR(__xludf.DUMMYFUNCTION("""COMPUTED_VALUE"""),"Restores 10 hunger.")</f>
        <v>Restores 10 hunger.</v>
      </c>
      <c r="C281" s="32" t="str">
        <f>IFERROR(__xludf.DUMMYFUNCTION("""COMPUTED_VALUE"""),"Crop")</f>
        <v>Crop</v>
      </c>
      <c r="D281" s="32" t="str">
        <f>IFERROR(__xludf.DUMMYFUNCTION("""COMPUTED_VALUE"""),"Land of Spira")</f>
        <v>Land of Spira</v>
      </c>
      <c r="E281" s="32" t="b">
        <f>IFERROR(__xludf.DUMMYFUNCTION("""COMPUTED_VALUE"""),TRUE)</f>
        <v>1</v>
      </c>
      <c r="F281" s="32"/>
      <c r="G281" s="32"/>
      <c r="H281" s="32"/>
      <c r="I281" s="32"/>
      <c r="J281" s="32"/>
      <c r="K281" s="32"/>
      <c r="L281" s="32"/>
      <c r="M281" s="32"/>
      <c r="N281" s="32"/>
      <c r="O281" s="32"/>
      <c r="P281" s="32"/>
      <c r="Q281" s="32"/>
      <c r="R281" s="32"/>
      <c r="S281" s="32"/>
      <c r="T281" s="32"/>
      <c r="U281" s="32"/>
      <c r="V281" s="32"/>
      <c r="W281" s="32"/>
      <c r="X281" s="32"/>
      <c r="Y281" s="32"/>
      <c r="Z281" s="32"/>
    </row>
    <row r="282">
      <c r="A282" s="50" t="str">
        <f>IFERROR(__xludf.DUMMYFUNCTION("""COMPUTED_VALUE"""),"Festival Bread Loaf")</f>
        <v>Festival Bread Loaf</v>
      </c>
      <c r="B282" s="50" t="str">
        <f>IFERROR(__xludf.DUMMYFUNCTION("""COMPUTED_VALUE"""),"Restores 30 hunger and decreases 10 thirst.")</f>
        <v>Restores 30 hunger and decreases 10 thirst.</v>
      </c>
      <c r="C282" s="32" t="str">
        <f>IFERROR(__xludf.DUMMYFUNCTION("""COMPUTED_VALUE"""),"Crop")</f>
        <v>Crop</v>
      </c>
      <c r="D282" s="32" t="str">
        <f>IFERROR(__xludf.DUMMYFUNCTION("""COMPUTED_VALUE"""),"Land of Spira")</f>
        <v>Land of Spira</v>
      </c>
      <c r="E282" s="32" t="b">
        <f>IFERROR(__xludf.DUMMYFUNCTION("""COMPUTED_VALUE"""),FALSE)</f>
        <v>0</v>
      </c>
      <c r="F282" s="32"/>
      <c r="G282" s="32"/>
      <c r="H282" s="32"/>
      <c r="I282" s="32"/>
      <c r="J282" s="32"/>
      <c r="K282" s="32"/>
      <c r="L282" s="32"/>
      <c r="M282" s="32"/>
      <c r="N282" s="32"/>
      <c r="O282" s="32"/>
      <c r="P282" s="32"/>
      <c r="Q282" s="32"/>
      <c r="R282" s="32"/>
      <c r="S282" s="32"/>
      <c r="T282" s="32"/>
      <c r="U282" s="32"/>
      <c r="V282" s="32"/>
      <c r="W282" s="32"/>
      <c r="X282" s="32"/>
      <c r="Y282" s="32"/>
      <c r="Z282" s="32"/>
    </row>
    <row r="283">
      <c r="A283" s="50" t="str">
        <f>IFERROR(__xludf.DUMMYFUNCTION("""COMPUTED_VALUE"""),"Fruit Cake")</f>
        <v>Fruit Cake</v>
      </c>
      <c r="B283" s="50" t="str">
        <f>IFERROR(__xludf.DUMMYFUNCTION("""COMPUTED_VALUE"""),"Restores 20 energy and hunger")</f>
        <v>Restores 20 energy and hunger</v>
      </c>
      <c r="C283" s="32" t="str">
        <f>IFERROR(__xludf.DUMMYFUNCTION("""COMPUTED_VALUE"""),"Crop")</f>
        <v>Crop</v>
      </c>
      <c r="D283" s="32" t="str">
        <f>IFERROR(__xludf.DUMMYFUNCTION("""COMPUTED_VALUE"""),"Land of Spira")</f>
        <v>Land of Spira</v>
      </c>
      <c r="E283" s="32" t="b">
        <f>IFERROR(__xludf.DUMMYFUNCTION("""COMPUTED_VALUE"""),TRUE)</f>
        <v>1</v>
      </c>
      <c r="F283" s="32"/>
      <c r="G283" s="32"/>
      <c r="H283" s="32"/>
      <c r="I283" s="32"/>
      <c r="J283" s="32"/>
      <c r="K283" s="32"/>
      <c r="L283" s="32"/>
      <c r="M283" s="32"/>
      <c r="N283" s="32"/>
      <c r="O283" s="32"/>
      <c r="P283" s="32"/>
      <c r="Q283" s="32"/>
      <c r="R283" s="32"/>
      <c r="S283" s="32"/>
      <c r="T283" s="32"/>
      <c r="U283" s="32"/>
      <c r="V283" s="32"/>
      <c r="W283" s="32"/>
      <c r="X283" s="32"/>
      <c r="Y283" s="32"/>
      <c r="Z283" s="32"/>
    </row>
    <row r="284">
      <c r="A284" s="50" t="str">
        <f>IFERROR(__xludf.DUMMYFUNCTION("""COMPUTED_VALUE"""),"Festival Mead")</f>
        <v>Festival Mead</v>
      </c>
      <c r="B284" s="50" t="str">
        <f>IFERROR(__xludf.DUMMYFUNCTION("""COMPUTED_VALUE"""),"Restores 20 thirst.")</f>
        <v>Restores 20 thirst.</v>
      </c>
      <c r="C284" s="32" t="str">
        <f>IFERROR(__xludf.DUMMYFUNCTION("""COMPUTED_VALUE"""),"Item")</f>
        <v>Item</v>
      </c>
      <c r="D284" s="32" t="str">
        <f>IFERROR(__xludf.DUMMYFUNCTION("""COMPUTED_VALUE"""),"Land of Spira")</f>
        <v>Land of Spira</v>
      </c>
      <c r="E284" s="32" t="b">
        <f>IFERROR(__xludf.DUMMYFUNCTION("""COMPUTED_VALUE"""),TRUE)</f>
        <v>1</v>
      </c>
      <c r="F284" s="32"/>
      <c r="G284" s="32"/>
      <c r="H284" s="32"/>
      <c r="I284" s="32"/>
      <c r="J284" s="32"/>
      <c r="K284" s="32"/>
      <c r="L284" s="32"/>
      <c r="M284" s="32"/>
      <c r="N284" s="32"/>
      <c r="O284" s="32"/>
      <c r="P284" s="32"/>
      <c r="Q284" s="32"/>
      <c r="R284" s="32"/>
      <c r="S284" s="32"/>
      <c r="T284" s="32"/>
      <c r="U284" s="32"/>
      <c r="V284" s="32"/>
      <c r="W284" s="32"/>
      <c r="X284" s="32"/>
      <c r="Y284" s="32"/>
      <c r="Z284" s="32"/>
    </row>
    <row r="285">
      <c r="A285" s="50" t="str">
        <f>IFERROR(__xludf.DUMMYFUNCTION("""COMPUTED_VALUE"""),"Lemonade")</f>
        <v>Lemonade</v>
      </c>
      <c r="B285" s="50" t="str">
        <f>IFERROR(__xludf.DUMMYFUNCTION("""COMPUTED_VALUE"""),"Restores 10 thirst and energy.")</f>
        <v>Restores 10 thirst and energy.</v>
      </c>
      <c r="C285" s="32" t="str">
        <f>IFERROR(__xludf.DUMMYFUNCTION("""COMPUTED_VALUE"""),"Item")</f>
        <v>Item</v>
      </c>
      <c r="D285" s="32" t="str">
        <f>IFERROR(__xludf.DUMMYFUNCTION("""COMPUTED_VALUE"""),"Land of Spira")</f>
        <v>Land of Spira</v>
      </c>
      <c r="E285" s="32" t="b">
        <f>IFERROR(__xludf.DUMMYFUNCTION("""COMPUTED_VALUE"""),TRUE)</f>
        <v>1</v>
      </c>
      <c r="F285" s="32"/>
      <c r="G285" s="32"/>
      <c r="H285" s="32"/>
      <c r="I285" s="32"/>
      <c r="J285" s="32"/>
      <c r="K285" s="32"/>
      <c r="L285" s="32"/>
      <c r="M285" s="32"/>
      <c r="N285" s="32"/>
      <c r="O285" s="32"/>
      <c r="P285" s="32"/>
      <c r="Q285" s="32"/>
      <c r="R285" s="32"/>
      <c r="S285" s="32"/>
      <c r="T285" s="32"/>
      <c r="U285" s="32"/>
      <c r="V285" s="32"/>
      <c r="W285" s="32"/>
      <c r="X285" s="32"/>
      <c r="Y285" s="32"/>
      <c r="Z285" s="32"/>
    </row>
    <row r="286">
      <c r="A286" s="50" t="str">
        <f>IFERROR(__xludf.DUMMYFUNCTION("""COMPUTED_VALUE"""),"Forbidden Amulet Shard")</f>
        <v>Forbidden Amulet Shard</v>
      </c>
      <c r="B286" s="50"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32" t="str">
        <f>IFERROR(__xludf.DUMMYFUNCTION("""COMPUTED_VALUE"""),"Item")</f>
        <v>Item</v>
      </c>
      <c r="D286" s="32" t="str">
        <f>IFERROR(__xludf.DUMMYFUNCTION("""COMPUTED_VALUE"""),"Halloween Kingdom")</f>
        <v>Halloween Kingdom</v>
      </c>
      <c r="E286" s="32" t="b">
        <f>IFERROR(__xludf.DUMMYFUNCTION("""COMPUTED_VALUE"""),TRUE)</f>
        <v>1</v>
      </c>
      <c r="F286" s="32"/>
      <c r="G286" s="32"/>
      <c r="H286" s="32"/>
      <c r="I286" s="32"/>
      <c r="J286" s="32"/>
      <c r="K286" s="32"/>
      <c r="L286" s="32"/>
      <c r="M286" s="32"/>
      <c r="N286" s="32"/>
      <c r="O286" s="32"/>
      <c r="P286" s="32"/>
      <c r="Q286" s="32"/>
      <c r="R286" s="32"/>
      <c r="S286" s="32"/>
      <c r="T286" s="32"/>
      <c r="U286" s="32"/>
      <c r="V286" s="32"/>
      <c r="W286" s="32"/>
      <c r="X286" s="32"/>
      <c r="Y286" s="32"/>
      <c r="Z286" s="32"/>
    </row>
    <row r="287">
      <c r="A287" s="50" t="str">
        <f>IFERROR(__xludf.DUMMYFUNCTION("""COMPUTED_VALUE"""),"The Forbidden Amulet of The Halloween Kingdom.")</f>
        <v>The Forbidden Amulet of The Halloween Kingdom.</v>
      </c>
      <c r="B287" s="50" t="str">
        <f>IFERROR(__xludf.DUMMYFUNCTION("""COMPUTED_VALUE"""),"An amulet used to break the barrier on Lord Dreadfuls castle in the Halloween Kingdom.")</f>
        <v>An amulet used to break the barrier on Lord Dreadfuls castle in the Halloween Kingdom.</v>
      </c>
      <c r="C287" s="32" t="str">
        <f>IFERROR(__xludf.DUMMYFUNCTION("""COMPUTED_VALUE"""),"Item")</f>
        <v>Item</v>
      </c>
      <c r="D287" s="32" t="str">
        <f>IFERROR(__xludf.DUMMYFUNCTION("""COMPUTED_VALUE"""),"Halloween Kingdom")</f>
        <v>Halloween Kingdom</v>
      </c>
      <c r="E287" s="32" t="b">
        <f>IFERROR(__xludf.DUMMYFUNCTION("""COMPUTED_VALUE"""),TRUE)</f>
        <v>1</v>
      </c>
      <c r="F287" s="32"/>
      <c r="G287" s="32"/>
      <c r="H287" s="32"/>
      <c r="I287" s="32"/>
      <c r="J287" s="32"/>
      <c r="K287" s="32"/>
      <c r="L287" s="32"/>
      <c r="M287" s="32"/>
      <c r="N287" s="32"/>
      <c r="O287" s="32"/>
      <c r="P287" s="32"/>
      <c r="Q287" s="32"/>
      <c r="R287" s="32"/>
      <c r="S287" s="32"/>
      <c r="T287" s="32"/>
      <c r="U287" s="32"/>
      <c r="V287" s="32"/>
      <c r="W287" s="32"/>
      <c r="X287" s="32"/>
      <c r="Y287" s="32"/>
      <c r="Z287" s="32"/>
    </row>
    <row r="288">
      <c r="A288" s="50" t="str">
        <f>IFERROR(__xludf.DUMMYFUNCTION("""COMPUTED_VALUE"""),"Slime Jelly")</f>
        <v>Slime Jelly</v>
      </c>
      <c r="B288" s="50" t="str">
        <f>IFERROR(__xludf.DUMMYFUNCTION("""COMPUTED_VALUE"""),"Restores 50 HP, 75 Mana, 50 Hunger, and 50 Thirst, -30 Energy cause it tastes bad")</f>
        <v>Restores 50 HP, 75 Mana, 50 Hunger, and 50 Thirst, -30 Energy cause it tastes bad</v>
      </c>
      <c r="C288" s="32" t="str">
        <f>IFERROR(__xludf.DUMMYFUNCTION("""COMPUTED_VALUE"""),"Crop")</f>
        <v>Crop</v>
      </c>
      <c r="D288" s="32" t="str">
        <f>IFERROR(__xludf.DUMMYFUNCTION("""COMPUTED_VALUE"""),"Land of Spira")</f>
        <v>Land of Spira</v>
      </c>
      <c r="E288" s="32" t="b">
        <f>IFERROR(__xludf.DUMMYFUNCTION("""COMPUTED_VALUE"""),FALSE)</f>
        <v>0</v>
      </c>
      <c r="F288" s="32"/>
      <c r="G288" s="32"/>
      <c r="H288" s="32"/>
      <c r="I288" s="32"/>
      <c r="J288" s="32"/>
      <c r="K288" s="32"/>
      <c r="L288" s="32"/>
      <c r="M288" s="32"/>
      <c r="N288" s="32"/>
      <c r="O288" s="32"/>
      <c r="P288" s="32"/>
      <c r="Q288" s="32"/>
      <c r="R288" s="32"/>
      <c r="S288" s="32"/>
      <c r="T288" s="32"/>
      <c r="U288" s="32"/>
      <c r="V288" s="32"/>
      <c r="W288" s="32"/>
      <c r="X288" s="32"/>
      <c r="Y288" s="32"/>
      <c r="Z288" s="32"/>
    </row>
    <row r="289">
      <c r="A289" s="50" t="str">
        <f>IFERROR(__xludf.DUMMYFUNCTION("""COMPUTED_VALUE"""),"Broken Robot")</f>
        <v>Broken Robot</v>
      </c>
      <c r="B289" s="50" t="str">
        <f>IFERROR(__xludf.DUMMYFUNCTION("""COMPUTED_VALUE"""),"An item that is purchased and given to a mysterious cloaked figure. ")</f>
        <v>An item that is purchased and given to a mysterious cloaked figure. </v>
      </c>
      <c r="C289" s="32" t="str">
        <f>IFERROR(__xludf.DUMMYFUNCTION("""COMPUTED_VALUE"""),"Item")</f>
        <v>Item</v>
      </c>
      <c r="D289" s="32" t="str">
        <f>IFERROR(__xludf.DUMMYFUNCTION("""COMPUTED_VALUE"""),"Land of Spira")</f>
        <v>Land of Spira</v>
      </c>
      <c r="E289" s="32" t="b">
        <f>IFERROR(__xludf.DUMMYFUNCTION("""COMPUTED_VALUE"""),FALSE)</f>
        <v>0</v>
      </c>
      <c r="F289" s="32"/>
      <c r="G289" s="32"/>
      <c r="H289" s="32"/>
      <c r="I289" s="32"/>
      <c r="J289" s="32"/>
      <c r="K289" s="32"/>
      <c r="L289" s="32"/>
      <c r="M289" s="32"/>
      <c r="N289" s="32"/>
      <c r="O289" s="32"/>
      <c r="P289" s="32"/>
      <c r="Q289" s="32"/>
      <c r="R289" s="32"/>
      <c r="S289" s="32"/>
      <c r="T289" s="32"/>
      <c r="U289" s="32"/>
      <c r="V289" s="32"/>
      <c r="W289" s="32"/>
      <c r="X289" s="32"/>
      <c r="Y289" s="32"/>
      <c r="Z289" s="32"/>
    </row>
    <row r="290">
      <c r="A290" s="50" t="str">
        <f>IFERROR(__xludf.DUMMYFUNCTION("""COMPUTED_VALUE"""),"Boar Hide")</f>
        <v>Boar Hide</v>
      </c>
      <c r="B290" s="50" t="str">
        <f>IFERROR(__xludf.DUMMYFUNCTION("""COMPUTED_VALUE"""),"Crafting Material, roll a d20 to see how many you get if this is a loot drop.")</f>
        <v>Crafting Material, roll a d20 to see how many you get if this is a loot drop.</v>
      </c>
      <c r="C290" s="32" t="str">
        <f>IFERROR(__xludf.DUMMYFUNCTION("""COMPUTED_VALUE"""),"Item")</f>
        <v>Item</v>
      </c>
      <c r="D290" s="32" t="str">
        <f>IFERROR(__xludf.DUMMYFUNCTION("""COMPUTED_VALUE"""),"Land of Spira")</f>
        <v>Land of Spira</v>
      </c>
      <c r="E290" s="32" t="b">
        <f>IFERROR(__xludf.DUMMYFUNCTION("""COMPUTED_VALUE"""),TRUE)</f>
        <v>1</v>
      </c>
      <c r="F290" s="32"/>
      <c r="G290" s="32"/>
      <c r="H290" s="32"/>
      <c r="I290" s="32"/>
      <c r="J290" s="32"/>
      <c r="K290" s="32"/>
      <c r="L290" s="32"/>
      <c r="M290" s="32"/>
      <c r="N290" s="32"/>
      <c r="O290" s="32"/>
      <c r="P290" s="32"/>
      <c r="Q290" s="32"/>
      <c r="R290" s="32"/>
      <c r="S290" s="32"/>
      <c r="T290" s="32"/>
      <c r="U290" s="32"/>
      <c r="V290" s="32"/>
      <c r="W290" s="32"/>
      <c r="X290" s="32"/>
      <c r="Y290" s="32"/>
      <c r="Z290" s="32"/>
    </row>
    <row r="291">
      <c r="A291" s="50" t="str">
        <f>IFERROR(__xludf.DUMMYFUNCTION("""COMPUTED_VALUE"""),"Bullet")</f>
        <v>Bullet</v>
      </c>
      <c r="B291" s="50" t="str">
        <f>IFERROR(__xludf.DUMMYFUNCTION("""COMPUTED_VALUE"""),"Firearm Ammunition. +100 damage. roll a d20 to see how many you get if this is a loot drop.")</f>
        <v>Firearm Ammunition. +100 damage. roll a d20 to see how many you get if this is a loot drop.</v>
      </c>
      <c r="C291" s="32" t="str">
        <f>IFERROR(__xludf.DUMMYFUNCTION("""COMPUTED_VALUE"""),"Item")</f>
        <v>Item</v>
      </c>
      <c r="D291" s="32" t="str">
        <f>IFERROR(__xludf.DUMMYFUNCTION("""COMPUTED_VALUE"""),"Land of Spira")</f>
        <v>Land of Spira</v>
      </c>
      <c r="E291" s="32" t="b">
        <f>IFERROR(__xludf.DUMMYFUNCTION("""COMPUTED_VALUE"""),TRUE)</f>
        <v>1</v>
      </c>
      <c r="F291" s="32"/>
      <c r="G291" s="32"/>
      <c r="H291" s="32"/>
      <c r="I291" s="32"/>
      <c r="J291" s="32"/>
      <c r="K291" s="32"/>
      <c r="L291" s="32"/>
      <c r="M291" s="32"/>
      <c r="N291" s="32"/>
      <c r="O291" s="32"/>
      <c r="P291" s="32"/>
      <c r="Q291" s="32"/>
      <c r="R291" s="32"/>
      <c r="S291" s="32"/>
      <c r="T291" s="32"/>
      <c r="U291" s="32"/>
      <c r="V291" s="32"/>
      <c r="W291" s="32"/>
      <c r="X291" s="32"/>
      <c r="Y291" s="32"/>
      <c r="Z291" s="32"/>
    </row>
    <row r="292">
      <c r="A292" s="50" t="str">
        <f>IFERROR(__xludf.DUMMYFUNCTION("""COMPUTED_VALUE"""),"The Ancient Medallion of Frost")</f>
        <v>The Ancient Medallion of Frost</v>
      </c>
      <c r="B292" s="50" t="str">
        <f>IFERROR(__xludf.DUMMYFUNCTION("""COMPUTED_VALUE"""),"The key to getting into the final tower of the winter event.")</f>
        <v>The key to getting into the final tower of the winter event.</v>
      </c>
      <c r="C292" s="32" t="str">
        <f>IFERROR(__xludf.DUMMYFUNCTION("""COMPUTED_VALUE"""),"Item")</f>
        <v>Item</v>
      </c>
      <c r="D292" s="32" t="str">
        <f>IFERROR(__xludf.DUMMYFUNCTION("""COMPUTED_VALUE"""),"Land of Spira")</f>
        <v>Land of Spira</v>
      </c>
      <c r="E292" s="32" t="b">
        <f>IFERROR(__xludf.DUMMYFUNCTION("""COMPUTED_VALUE"""),FALSE)</f>
        <v>0</v>
      </c>
      <c r="F292" s="32"/>
      <c r="G292" s="32"/>
      <c r="H292" s="32"/>
      <c r="I292" s="32"/>
      <c r="J292" s="32"/>
      <c r="K292" s="32"/>
      <c r="L292" s="32"/>
      <c r="M292" s="32"/>
      <c r="N292" s="32"/>
      <c r="O292" s="32"/>
      <c r="P292" s="32"/>
      <c r="Q292" s="32"/>
      <c r="R292" s="32"/>
      <c r="S292" s="32"/>
      <c r="T292" s="32"/>
      <c r="U292" s="32"/>
      <c r="V292" s="32"/>
      <c r="W292" s="32"/>
      <c r="X292" s="32"/>
      <c r="Y292" s="32"/>
      <c r="Z292" s="32"/>
    </row>
    <row r="293">
      <c r="A293" s="50" t="str">
        <f>IFERROR(__xludf.DUMMYFUNCTION("""COMPUTED_VALUE"""),"Gargoyle Stone Tablet")</f>
        <v>Gargoyle Stone Tablet</v>
      </c>
      <c r="B293" s="50" t="str">
        <f>IFERROR(__xludf.DUMMYFUNCTION("""COMPUTED_VALUE"""),"Tells you the Location of 3 Tiny Gargoyles. This item can only be used once.")</f>
        <v>Tells you the Location of 3 Tiny Gargoyles. This item can only be used once.</v>
      </c>
      <c r="C293" s="32" t="str">
        <f>IFERROR(__xludf.DUMMYFUNCTION("""COMPUTED_VALUE"""),"Item")</f>
        <v>Item</v>
      </c>
      <c r="D293" s="32" t="str">
        <f>IFERROR(__xludf.DUMMYFUNCTION("""COMPUTED_VALUE"""),"Abstara")</f>
        <v>Abstara</v>
      </c>
      <c r="E293" s="32" t="b">
        <f>IFERROR(__xludf.DUMMYFUNCTION("""COMPUTED_VALUE"""),FALSE)</f>
        <v>0</v>
      </c>
      <c r="F293" s="32"/>
      <c r="G293" s="32"/>
      <c r="H293" s="32"/>
      <c r="I293" s="32"/>
      <c r="J293" s="32"/>
      <c r="K293" s="32"/>
      <c r="L293" s="32"/>
      <c r="M293" s="32"/>
      <c r="N293" s="32"/>
      <c r="O293" s="32"/>
      <c r="P293" s="32"/>
      <c r="Q293" s="32"/>
      <c r="R293" s="32"/>
      <c r="S293" s="32"/>
      <c r="T293" s="32"/>
      <c r="U293" s="32"/>
      <c r="V293" s="32"/>
      <c r="W293" s="32"/>
      <c r="X293" s="32"/>
      <c r="Y293" s="32"/>
      <c r="Z293" s="32"/>
    </row>
    <row r="294">
      <c r="A294" s="50" t="str">
        <f>IFERROR(__xludf.DUMMYFUNCTION("""COMPUTED_VALUE"""),"Map of the Gargoyle’s")</f>
        <v>Map of the Gargoyle’s</v>
      </c>
      <c r="B294" s="50" t="str">
        <f>IFERROR(__xludf.DUMMYFUNCTION("""COMPUTED_VALUE"""),"Allows Use to see Special Gargoyle’s")</f>
        <v>Allows Use to see Special Gargoyle’s</v>
      </c>
      <c r="C294" s="32" t="str">
        <f>IFERROR(__xludf.DUMMYFUNCTION("""COMPUTED_VALUE"""),"Item")</f>
        <v>Item</v>
      </c>
      <c r="D294" s="32" t="str">
        <f>IFERROR(__xludf.DUMMYFUNCTION("""COMPUTED_VALUE"""),"Abstara")</f>
        <v>Abstara</v>
      </c>
      <c r="E294" s="32" t="b">
        <f>IFERROR(__xludf.DUMMYFUNCTION("""COMPUTED_VALUE"""),TRUE)</f>
        <v>1</v>
      </c>
      <c r="F294" s="32"/>
      <c r="G294" s="32"/>
      <c r="H294" s="32"/>
      <c r="I294" s="32"/>
      <c r="J294" s="32"/>
      <c r="K294" s="32"/>
      <c r="L294" s="32"/>
      <c r="M294" s="32"/>
      <c r="N294" s="32"/>
      <c r="O294" s="32"/>
      <c r="P294" s="32"/>
      <c r="Q294" s="32"/>
      <c r="R294" s="32"/>
      <c r="S294" s="32"/>
      <c r="T294" s="32"/>
      <c r="U294" s="32"/>
      <c r="V294" s="32"/>
      <c r="W294" s="32"/>
      <c r="X294" s="32"/>
      <c r="Y294" s="32"/>
      <c r="Z294" s="32"/>
    </row>
    <row r="295">
      <c r="A295" s="50" t="str">
        <f>IFERROR(__xludf.DUMMYFUNCTION("""COMPUTED_VALUE"""),"The Tome of Abstara")</f>
        <v>The Tome of Abstara</v>
      </c>
      <c r="B295" s="50" t="str">
        <f>IFERROR(__xludf.DUMMYFUNCTION("""COMPUTED_VALUE"""),"Can use up to Rank 9 Fire, Chaos, and Dark spells.")</f>
        <v>Can use up to Rank 9 Fire, Chaos, and Dark spells.</v>
      </c>
      <c r="C295" s="32" t="str">
        <f>IFERROR(__xludf.DUMMYFUNCTION("""COMPUTED_VALUE"""),"Item")</f>
        <v>Item</v>
      </c>
      <c r="D295" s="32" t="str">
        <f>IFERROR(__xludf.DUMMYFUNCTION("""COMPUTED_VALUE"""),"Abstara")</f>
        <v>Abstara</v>
      </c>
      <c r="E295" s="32" t="b">
        <f>IFERROR(__xludf.DUMMYFUNCTION("""COMPUTED_VALUE"""),FALSE)</f>
        <v>0</v>
      </c>
      <c r="F295" s="32"/>
      <c r="G295" s="32"/>
      <c r="H295" s="32"/>
      <c r="I295" s="32"/>
      <c r="J295" s="32"/>
      <c r="K295" s="32"/>
      <c r="L295" s="32"/>
      <c r="M295" s="32"/>
      <c r="N295" s="32"/>
      <c r="O295" s="32"/>
      <c r="P295" s="32"/>
      <c r="Q295" s="32"/>
      <c r="R295" s="32"/>
      <c r="S295" s="32"/>
      <c r="T295" s="32"/>
      <c r="U295" s="32"/>
      <c r="V295" s="32"/>
      <c r="W295" s="32"/>
      <c r="X295" s="32"/>
      <c r="Y295" s="32"/>
      <c r="Z295" s="32"/>
    </row>
    <row r="296">
      <c r="A296" s="50" t="str">
        <f>IFERROR(__xludf.DUMMYFUNCTION("""COMPUTED_VALUE"""),"Gargoyle’s Fishing Pole")</f>
        <v>Gargoyle’s Fishing Pole</v>
      </c>
      <c r="B296" s="50" t="str">
        <f>IFERROR(__xludf.DUMMYFUNCTION("""COMPUTED_VALUE"""),"500/500 Uses. Used for lava fishing. Made of Stone.")</f>
        <v>500/500 Uses. Used for lava fishing. Made of Stone.</v>
      </c>
      <c r="C296" s="32" t="str">
        <f>IFERROR(__xludf.DUMMYFUNCTION("""COMPUTED_VALUE"""),"Item")</f>
        <v>Item</v>
      </c>
      <c r="D296" s="32" t="str">
        <f>IFERROR(__xludf.DUMMYFUNCTION("""COMPUTED_VALUE"""),"Abstara")</f>
        <v>Abstara</v>
      </c>
      <c r="E296" s="32" t="b">
        <f>IFERROR(__xludf.DUMMYFUNCTION("""COMPUTED_VALUE"""),FALSE)</f>
        <v>0</v>
      </c>
      <c r="F296" s="32"/>
      <c r="G296" s="32"/>
      <c r="H296" s="32"/>
      <c r="I296" s="32"/>
      <c r="J296" s="32"/>
      <c r="K296" s="32"/>
      <c r="L296" s="32"/>
      <c r="M296" s="32"/>
      <c r="N296" s="32"/>
      <c r="O296" s="32"/>
      <c r="P296" s="32"/>
      <c r="Q296" s="32"/>
      <c r="R296" s="32"/>
      <c r="S296" s="32"/>
      <c r="T296" s="32"/>
      <c r="U296" s="32"/>
      <c r="V296" s="32"/>
      <c r="W296" s="32"/>
      <c r="X296" s="32"/>
      <c r="Y296" s="32"/>
      <c r="Z296" s="32"/>
    </row>
    <row r="297">
      <c r="A297" s="50" t="str">
        <f>IFERROR(__xludf.DUMMYFUNCTION("""COMPUTED_VALUE"""),"Stone Worm")</f>
        <v>Stone Worm</v>
      </c>
      <c r="B297" s="50" t="str">
        <f>IFERROR(__xludf.DUMMYFUNCTION("""COMPUTED_VALUE"""),"Fishing bait. Used for lava fishing.")</f>
        <v>Fishing bait. Used for lava fishing.</v>
      </c>
      <c r="C297" s="32" t="str">
        <f>IFERROR(__xludf.DUMMYFUNCTION("""COMPUTED_VALUE"""),"Item")</f>
        <v>Item</v>
      </c>
      <c r="D297" s="32" t="str">
        <f>IFERROR(__xludf.DUMMYFUNCTION("""COMPUTED_VALUE"""),"Abstara")</f>
        <v>Abstara</v>
      </c>
      <c r="E297" s="32" t="b">
        <f>IFERROR(__xludf.DUMMYFUNCTION("""COMPUTED_VALUE"""),TRUE)</f>
        <v>1</v>
      </c>
      <c r="F297" s="32"/>
      <c r="G297" s="32"/>
      <c r="H297" s="32"/>
      <c r="I297" s="32"/>
      <c r="J297" s="32"/>
      <c r="K297" s="32"/>
      <c r="L297" s="32"/>
      <c r="M297" s="32"/>
      <c r="N297" s="32"/>
      <c r="O297" s="32"/>
      <c r="P297" s="32"/>
      <c r="Q297" s="32"/>
      <c r="R297" s="32"/>
      <c r="S297" s="32"/>
      <c r="T297" s="32"/>
      <c r="U297" s="32"/>
      <c r="V297" s="32"/>
      <c r="W297" s="32"/>
      <c r="X297" s="32"/>
      <c r="Y297" s="32"/>
      <c r="Z297" s="32"/>
    </row>
    <row r="298">
      <c r="A298" s="50" t="str">
        <f>IFERROR(__xludf.DUMMYFUNCTION("""COMPUTED_VALUE"""),"Rock Soup")</f>
        <v>Rock Soup</v>
      </c>
      <c r="B298" s="50" t="str">
        <f>IFERROR(__xludf.DUMMYFUNCTION("""COMPUTED_VALUE"""),"25 Hunger and +15 Thirst")</f>
        <v>25 Hunger and +15 Thirst</v>
      </c>
      <c r="C298" s="32" t="str">
        <f>IFERROR(__xludf.DUMMYFUNCTION("""COMPUTED_VALUE"""),"Crop")</f>
        <v>Crop</v>
      </c>
      <c r="D298" s="32" t="str">
        <f>IFERROR(__xludf.DUMMYFUNCTION("""COMPUTED_VALUE"""),"Abstara")</f>
        <v>Abstara</v>
      </c>
      <c r="E298" s="32" t="b">
        <f>IFERROR(__xludf.DUMMYFUNCTION("""COMPUTED_VALUE"""),TRUE)</f>
        <v>1</v>
      </c>
      <c r="F298" s="32"/>
      <c r="G298" s="32"/>
      <c r="H298" s="32"/>
      <c r="I298" s="32"/>
      <c r="J298" s="32"/>
      <c r="K298" s="32"/>
      <c r="L298" s="32"/>
      <c r="M298" s="32"/>
      <c r="N298" s="32"/>
      <c r="O298" s="32"/>
      <c r="P298" s="32"/>
      <c r="Q298" s="32"/>
      <c r="R298" s="32"/>
      <c r="S298" s="32"/>
      <c r="T298" s="32"/>
      <c r="U298" s="32"/>
      <c r="V298" s="32"/>
      <c r="W298" s="32"/>
      <c r="X298" s="32"/>
      <c r="Y298" s="32"/>
      <c r="Z298" s="32"/>
    </row>
    <row r="299">
      <c r="A299" s="50" t="str">
        <f>IFERROR(__xludf.DUMMYFUNCTION("""COMPUTED_VALUE"""),"Gargoyle’s slumbering mead")</f>
        <v>Gargoyle’s slumbering mead</v>
      </c>
      <c r="B299" s="50" t="str">
        <f>IFERROR(__xludf.DUMMYFUNCTION("""COMPUTED_VALUE"""),"100 Thirst +100 Energy")</f>
        <v>100 Thirst +100 Energy</v>
      </c>
      <c r="C299" s="32" t="str">
        <f>IFERROR(__xludf.DUMMYFUNCTION("""COMPUTED_VALUE"""),"Item")</f>
        <v>Item</v>
      </c>
      <c r="D299" s="32" t="str">
        <f>IFERROR(__xludf.DUMMYFUNCTION("""COMPUTED_VALUE"""),"Abstara")</f>
        <v>Abstara</v>
      </c>
      <c r="E299" s="32" t="b">
        <f>IFERROR(__xludf.DUMMYFUNCTION("""COMPUTED_VALUE"""),FALSE)</f>
        <v>0</v>
      </c>
      <c r="F299" s="32"/>
      <c r="G299" s="32"/>
      <c r="H299" s="32"/>
      <c r="I299" s="32"/>
      <c r="J299" s="32"/>
      <c r="K299" s="32"/>
      <c r="L299" s="32"/>
      <c r="M299" s="32"/>
      <c r="N299" s="32"/>
      <c r="O299" s="32"/>
      <c r="P299" s="32"/>
      <c r="Q299" s="32"/>
      <c r="R299" s="32"/>
      <c r="S299" s="32"/>
      <c r="T299" s="32"/>
      <c r="U299" s="32"/>
      <c r="V299" s="32"/>
      <c r="W299" s="32"/>
      <c r="X299" s="32"/>
      <c r="Y299" s="32"/>
      <c r="Z299" s="32"/>
    </row>
    <row r="300">
      <c r="A300" s="50" t="str">
        <f>IFERROR(__xludf.DUMMYFUNCTION("""COMPUTED_VALUE"""),"Dark rum")</f>
        <v>Dark rum</v>
      </c>
      <c r="B300" s="50" t="str">
        <f>IFERROR(__xludf.DUMMYFUNCTION("""COMPUTED_VALUE"""),"200 Thirst +200 Energy")</f>
        <v>200 Thirst +200 Energy</v>
      </c>
      <c r="C300" s="32" t="str">
        <f>IFERROR(__xludf.DUMMYFUNCTION("""COMPUTED_VALUE"""),"Item")</f>
        <v>Item</v>
      </c>
      <c r="D300" s="32" t="str">
        <f>IFERROR(__xludf.DUMMYFUNCTION("""COMPUTED_VALUE"""),"Abstara")</f>
        <v>Abstara</v>
      </c>
      <c r="E300" s="32" t="b">
        <f>IFERROR(__xludf.DUMMYFUNCTION("""COMPUTED_VALUE"""),TRUE)</f>
        <v>1</v>
      </c>
      <c r="F300" s="32"/>
      <c r="G300" s="32"/>
      <c r="H300" s="32"/>
      <c r="I300" s="32"/>
      <c r="J300" s="32"/>
      <c r="K300" s="32"/>
      <c r="L300" s="32"/>
      <c r="M300" s="32"/>
      <c r="N300" s="32"/>
      <c r="O300" s="32"/>
      <c r="P300" s="32"/>
      <c r="Q300" s="32"/>
      <c r="R300" s="32"/>
      <c r="S300" s="32"/>
      <c r="T300" s="32"/>
      <c r="U300" s="32"/>
      <c r="V300" s="32"/>
      <c r="W300" s="32"/>
      <c r="X300" s="32"/>
      <c r="Y300" s="32"/>
      <c r="Z300" s="32"/>
    </row>
    <row r="301">
      <c r="A301" s="50" t="str">
        <f>IFERROR(__xludf.DUMMYFUNCTION("""COMPUTED_VALUE"""),"Blank steak")</f>
        <v>Blank steak</v>
      </c>
      <c r="B301" s="50" t="str">
        <f>IFERROR(__xludf.DUMMYFUNCTION("""COMPUTED_VALUE"""),"25 Hunger")</f>
        <v>25 Hunger</v>
      </c>
      <c r="C301" s="32" t="str">
        <f>IFERROR(__xludf.DUMMYFUNCTION("""COMPUTED_VALUE"""),"Crop")</f>
        <v>Crop</v>
      </c>
      <c r="D301" s="32" t="str">
        <f>IFERROR(__xludf.DUMMYFUNCTION("""COMPUTED_VALUE"""),"Abstara")</f>
        <v>Abstara</v>
      </c>
      <c r="E301" s="32" t="b">
        <f>IFERROR(__xludf.DUMMYFUNCTION("""COMPUTED_VALUE"""),FALSE)</f>
        <v>0</v>
      </c>
      <c r="F301" s="32"/>
      <c r="G301" s="32"/>
      <c r="H301" s="32"/>
      <c r="I301" s="32"/>
      <c r="J301" s="32"/>
      <c r="K301" s="32"/>
      <c r="L301" s="32"/>
      <c r="M301" s="32"/>
      <c r="N301" s="32"/>
      <c r="O301" s="32"/>
      <c r="P301" s="32"/>
      <c r="Q301" s="32"/>
      <c r="R301" s="32"/>
      <c r="S301" s="32"/>
      <c r="T301" s="32"/>
      <c r="U301" s="32"/>
      <c r="V301" s="32"/>
      <c r="W301" s="32"/>
      <c r="X301" s="32"/>
      <c r="Y301" s="32"/>
      <c r="Z301" s="32"/>
    </row>
    <row r="302">
      <c r="A302" s="50" t="str">
        <f>IFERROR(__xludf.DUMMYFUNCTION("""COMPUTED_VALUE"""),"Geode jello")</f>
        <v>Geode jello</v>
      </c>
      <c r="B302" s="50" t="str">
        <f>IFERROR(__xludf.DUMMYFUNCTION("""COMPUTED_VALUE"""),"20 Thirst")</f>
        <v>20 Thirst</v>
      </c>
      <c r="C302" s="32" t="str">
        <f>IFERROR(__xludf.DUMMYFUNCTION("""COMPUTED_VALUE"""),"Item")</f>
        <v>Item</v>
      </c>
      <c r="D302" s="32" t="str">
        <f>IFERROR(__xludf.DUMMYFUNCTION("""COMPUTED_VALUE"""),"Abstara")</f>
        <v>Abstara</v>
      </c>
      <c r="E302" s="32" t="b">
        <f>IFERROR(__xludf.DUMMYFUNCTION("""COMPUTED_VALUE"""),FALSE)</f>
        <v>0</v>
      </c>
      <c r="F302" s="32"/>
      <c r="G302" s="32"/>
      <c r="H302" s="32"/>
      <c r="I302" s="32"/>
      <c r="J302" s="32"/>
      <c r="K302" s="32"/>
      <c r="L302" s="32"/>
      <c r="M302" s="32"/>
      <c r="N302" s="32"/>
      <c r="O302" s="32"/>
      <c r="P302" s="32"/>
      <c r="Q302" s="32"/>
      <c r="R302" s="32"/>
      <c r="S302" s="32"/>
      <c r="T302" s="32"/>
      <c r="U302" s="32"/>
      <c r="V302" s="32"/>
      <c r="W302" s="32"/>
      <c r="X302" s="32"/>
      <c r="Y302" s="32"/>
      <c r="Z302" s="32"/>
    </row>
    <row r="303">
      <c r="A303" s="50" t="str">
        <f>IFERROR(__xludf.DUMMYFUNCTION("""COMPUTED_VALUE"""),"Black baked potatoes")</f>
        <v>Black baked potatoes</v>
      </c>
      <c r="B303" s="50" t="str">
        <f>IFERROR(__xludf.DUMMYFUNCTION("""COMPUTED_VALUE"""),"50 Hunger")</f>
        <v>50 Hunger</v>
      </c>
      <c r="C303" s="32" t="str">
        <f>IFERROR(__xludf.DUMMYFUNCTION("""COMPUTED_VALUE"""),"Crop")</f>
        <v>Crop</v>
      </c>
      <c r="D303" s="32" t="str">
        <f>IFERROR(__xludf.DUMMYFUNCTION("""COMPUTED_VALUE"""),"Abstara")</f>
        <v>Abstara</v>
      </c>
      <c r="E303" s="32" t="b">
        <f>IFERROR(__xludf.DUMMYFUNCTION("""COMPUTED_VALUE"""),FALSE)</f>
        <v>0</v>
      </c>
      <c r="F303" s="32"/>
      <c r="G303" s="32"/>
      <c r="H303" s="32"/>
      <c r="I303" s="32"/>
      <c r="J303" s="32"/>
      <c r="K303" s="32"/>
      <c r="L303" s="32"/>
      <c r="M303" s="32"/>
      <c r="N303" s="32"/>
      <c r="O303" s="32"/>
      <c r="P303" s="32"/>
      <c r="Q303" s="32"/>
      <c r="R303" s="32"/>
      <c r="S303" s="32"/>
      <c r="T303" s="32"/>
      <c r="U303" s="32"/>
      <c r="V303" s="32"/>
      <c r="W303" s="32"/>
      <c r="X303" s="32"/>
      <c r="Y303" s="32"/>
      <c r="Z303" s="32"/>
    </row>
    <row r="304">
      <c r="A304" s="50" t="str">
        <f>IFERROR(__xludf.DUMMYFUNCTION("""COMPUTED_VALUE"""),"Human Steak")</f>
        <v>Human Steak</v>
      </c>
      <c r="B304" s="50" t="str">
        <f>IFERROR(__xludf.DUMMYFUNCTION("""COMPUTED_VALUE"""),"300 Hunger")</f>
        <v>300 Hunger</v>
      </c>
      <c r="C304" s="32" t="str">
        <f>IFERROR(__xludf.DUMMYFUNCTION("""COMPUTED_VALUE"""),"Crop")</f>
        <v>Crop</v>
      </c>
      <c r="D304" s="32" t="str">
        <f>IFERROR(__xludf.DUMMYFUNCTION("""COMPUTED_VALUE"""),"Abstara")</f>
        <v>Abstara</v>
      </c>
      <c r="E304" s="32" t="b">
        <f>IFERROR(__xludf.DUMMYFUNCTION("""COMPUTED_VALUE"""),TRUE)</f>
        <v>1</v>
      </c>
      <c r="F304" s="32"/>
      <c r="G304" s="32"/>
      <c r="H304" s="32"/>
      <c r="I304" s="32"/>
      <c r="J304" s="32"/>
      <c r="K304" s="32"/>
      <c r="L304" s="32"/>
      <c r="M304" s="32"/>
      <c r="N304" s="32"/>
      <c r="O304" s="32"/>
      <c r="P304" s="32"/>
      <c r="Q304" s="32"/>
      <c r="R304" s="32"/>
      <c r="S304" s="32"/>
      <c r="T304" s="32"/>
      <c r="U304" s="32"/>
      <c r="V304" s="32"/>
      <c r="W304" s="32"/>
      <c r="X304" s="32"/>
      <c r="Y304" s="32"/>
      <c r="Z304" s="32"/>
    </row>
    <row r="305">
      <c r="A305" s="50" t="str">
        <f>IFERROR(__xludf.DUMMYFUNCTION("""COMPUTED_VALUE"""),"Black Sheep mutton")</f>
        <v>Black Sheep mutton</v>
      </c>
      <c r="B305" s="50" t="str">
        <f>IFERROR(__xludf.DUMMYFUNCTION("""COMPUTED_VALUE"""),"250 Hunger")</f>
        <v>250 Hunger</v>
      </c>
      <c r="C305" s="32" t="str">
        <f>IFERROR(__xludf.DUMMYFUNCTION("""COMPUTED_VALUE"""),"Crop")</f>
        <v>Crop</v>
      </c>
      <c r="D305" s="32" t="str">
        <f>IFERROR(__xludf.DUMMYFUNCTION("""COMPUTED_VALUE"""),"Abstara")</f>
        <v>Abstara</v>
      </c>
      <c r="E305" s="32" t="b">
        <f>IFERROR(__xludf.DUMMYFUNCTION("""COMPUTED_VALUE"""),FALSE)</f>
        <v>0</v>
      </c>
      <c r="F305" s="32"/>
      <c r="G305" s="32"/>
      <c r="H305" s="32"/>
      <c r="I305" s="32"/>
      <c r="J305" s="32"/>
      <c r="K305" s="32"/>
      <c r="L305" s="32"/>
      <c r="M305" s="32"/>
      <c r="N305" s="32"/>
      <c r="O305" s="32"/>
      <c r="P305" s="32"/>
      <c r="Q305" s="32"/>
      <c r="R305" s="32"/>
      <c r="S305" s="32"/>
      <c r="T305" s="32"/>
      <c r="U305" s="32"/>
      <c r="V305" s="32"/>
      <c r="W305" s="32"/>
      <c r="X305" s="32"/>
      <c r="Y305" s="32"/>
      <c r="Z305" s="32"/>
    </row>
    <row r="306">
      <c r="A306" s="50" t="str">
        <f>IFERROR(__xludf.DUMMYFUNCTION("""COMPUTED_VALUE"""),"Ebony Caviar")</f>
        <v>Ebony Caviar</v>
      </c>
      <c r="B306" s="50" t="str">
        <f>IFERROR(__xludf.DUMMYFUNCTION("""COMPUTED_VALUE"""),"100 Hunger +105 Energy")</f>
        <v>100 Hunger +105 Energy</v>
      </c>
      <c r="C306" s="32" t="str">
        <f>IFERROR(__xludf.DUMMYFUNCTION("""COMPUTED_VALUE"""),"Crop")</f>
        <v>Crop</v>
      </c>
      <c r="D306" s="32" t="str">
        <f>IFERROR(__xludf.DUMMYFUNCTION("""COMPUTED_VALUE"""),"Abstara")</f>
        <v>Abstara</v>
      </c>
      <c r="E306" s="32" t="b">
        <f>IFERROR(__xludf.DUMMYFUNCTION("""COMPUTED_VALUE"""),FALSE)</f>
        <v>0</v>
      </c>
      <c r="F306" s="32"/>
      <c r="G306" s="32"/>
      <c r="H306" s="32"/>
      <c r="I306" s="32"/>
      <c r="J306" s="32"/>
      <c r="K306" s="32"/>
      <c r="L306" s="32"/>
      <c r="M306" s="32"/>
      <c r="N306" s="32"/>
      <c r="O306" s="32"/>
      <c r="P306" s="32"/>
      <c r="Q306" s="32"/>
      <c r="R306" s="32"/>
      <c r="S306" s="32"/>
      <c r="T306" s="32"/>
      <c r="U306" s="32"/>
      <c r="V306" s="32"/>
      <c r="W306" s="32"/>
      <c r="X306" s="32"/>
      <c r="Y306" s="32"/>
      <c r="Z306" s="32"/>
    </row>
    <row r="307">
      <c r="A307" s="50" t="str">
        <f>IFERROR(__xludf.DUMMYFUNCTION("""COMPUTED_VALUE"""),"Black Kale")</f>
        <v>Black Kale</v>
      </c>
      <c r="B307" s="50" t="str">
        <f>IFERROR(__xludf.DUMMYFUNCTION("""COMPUTED_VALUE"""),"140 Hunger")</f>
        <v>140 Hunger</v>
      </c>
      <c r="C307" s="32" t="str">
        <f>IFERROR(__xludf.DUMMYFUNCTION("""COMPUTED_VALUE"""),"Crop")</f>
        <v>Crop</v>
      </c>
      <c r="D307" s="32" t="str">
        <f>IFERROR(__xludf.DUMMYFUNCTION("""COMPUTED_VALUE"""),"Abstara")</f>
        <v>Abstara</v>
      </c>
      <c r="E307" s="32" t="b">
        <f>IFERROR(__xludf.DUMMYFUNCTION("""COMPUTED_VALUE"""),FALSE)</f>
        <v>0</v>
      </c>
      <c r="F307" s="32"/>
      <c r="G307" s="32"/>
      <c r="H307" s="32"/>
      <c r="I307" s="32"/>
      <c r="J307" s="32"/>
      <c r="K307" s="32"/>
      <c r="L307" s="32"/>
      <c r="M307" s="32"/>
      <c r="N307" s="32"/>
      <c r="O307" s="32"/>
      <c r="P307" s="32"/>
      <c r="Q307" s="32"/>
      <c r="R307" s="32"/>
      <c r="S307" s="32"/>
      <c r="T307" s="32"/>
      <c r="U307" s="32"/>
      <c r="V307" s="32"/>
      <c r="W307" s="32"/>
      <c r="X307" s="32"/>
      <c r="Y307" s="32"/>
      <c r="Z307" s="32"/>
    </row>
    <row r="308">
      <c r="A308" s="50" t="str">
        <f>IFERROR(__xludf.DUMMYFUNCTION("""COMPUTED_VALUE"""),"Smokey Champagne")</f>
        <v>Smokey Champagne</v>
      </c>
      <c r="B308" s="50" t="str">
        <f>IFERROR(__xludf.DUMMYFUNCTION("""COMPUTED_VALUE"""),"140 Thirst")</f>
        <v>140 Thirst</v>
      </c>
      <c r="C308" s="32" t="str">
        <f>IFERROR(__xludf.DUMMYFUNCTION("""COMPUTED_VALUE"""),"Item")</f>
        <v>Item</v>
      </c>
      <c r="D308" s="32" t="str">
        <f>IFERROR(__xludf.DUMMYFUNCTION("""COMPUTED_VALUE"""),"Abstara")</f>
        <v>Abstara</v>
      </c>
      <c r="E308" s="32" t="b">
        <f>IFERROR(__xludf.DUMMYFUNCTION("""COMPUTED_VALUE"""),FALSE)</f>
        <v>0</v>
      </c>
      <c r="F308" s="32"/>
      <c r="G308" s="32"/>
      <c r="H308" s="32"/>
      <c r="I308" s="32"/>
      <c r="J308" s="32"/>
      <c r="K308" s="32"/>
      <c r="L308" s="32"/>
      <c r="M308" s="32"/>
      <c r="N308" s="32"/>
      <c r="O308" s="32"/>
      <c r="P308" s="32"/>
      <c r="Q308" s="32"/>
      <c r="R308" s="32"/>
      <c r="S308" s="32"/>
      <c r="T308" s="32"/>
      <c r="U308" s="32"/>
      <c r="V308" s="32"/>
      <c r="W308" s="32"/>
      <c r="X308" s="32"/>
      <c r="Y308" s="32"/>
      <c r="Z308" s="32"/>
    </row>
    <row r="309">
      <c r="A309" s="50" t="str">
        <f>IFERROR(__xludf.DUMMYFUNCTION("""COMPUTED_VALUE"""),"Dead Island iced tea")</f>
        <v>Dead Island iced tea</v>
      </c>
      <c r="B309" s="50" t="str">
        <f>IFERROR(__xludf.DUMMYFUNCTION("""COMPUTED_VALUE"""),"150 Thirst +125 Energy")</f>
        <v>150 Thirst +125 Energy</v>
      </c>
      <c r="C309" s="32" t="str">
        <f>IFERROR(__xludf.DUMMYFUNCTION("""COMPUTED_VALUE"""),"Item")</f>
        <v>Item</v>
      </c>
      <c r="D309" s="32" t="str">
        <f>IFERROR(__xludf.DUMMYFUNCTION("""COMPUTED_VALUE"""),"Abstara")</f>
        <v>Abstara</v>
      </c>
      <c r="E309" s="32" t="b">
        <f>IFERROR(__xludf.DUMMYFUNCTION("""COMPUTED_VALUE"""),FALSE)</f>
        <v>0</v>
      </c>
      <c r="F309" s="32"/>
      <c r="G309" s="32"/>
      <c r="H309" s="32"/>
      <c r="I309" s="32"/>
      <c r="J309" s="32"/>
      <c r="K309" s="32"/>
      <c r="L309" s="32"/>
      <c r="M309" s="32"/>
      <c r="N309" s="32"/>
      <c r="O309" s="32"/>
      <c r="P309" s="32"/>
      <c r="Q309" s="32"/>
      <c r="R309" s="32"/>
      <c r="S309" s="32"/>
      <c r="T309" s="32"/>
      <c r="U309" s="32"/>
      <c r="V309" s="32"/>
      <c r="W309" s="32"/>
      <c r="X309" s="32"/>
      <c r="Y309" s="32"/>
      <c r="Z309" s="32"/>
    </row>
    <row r="310">
      <c r="A310" s="50" t="str">
        <f>IFERROR(__xludf.DUMMYFUNCTION("""COMPUTED_VALUE"""),"Black russian")</f>
        <v>Black russian</v>
      </c>
      <c r="B310" s="50" t="str">
        <f>IFERROR(__xludf.DUMMYFUNCTION("""COMPUTED_VALUE"""),"200 Thirst +200 Energy")</f>
        <v>200 Thirst +200 Energy</v>
      </c>
      <c r="C310" s="32" t="str">
        <f>IFERROR(__xludf.DUMMYFUNCTION("""COMPUTED_VALUE"""),"Item")</f>
        <v>Item</v>
      </c>
      <c r="D310" s="32" t="str">
        <f>IFERROR(__xludf.DUMMYFUNCTION("""COMPUTED_VALUE"""),"Abstara")</f>
        <v>Abstara</v>
      </c>
      <c r="E310" s="32" t="b">
        <f>IFERROR(__xludf.DUMMYFUNCTION("""COMPUTED_VALUE"""),FALSE)</f>
        <v>0</v>
      </c>
      <c r="F310" s="32"/>
      <c r="G310" s="32"/>
      <c r="H310" s="32"/>
      <c r="I310" s="32"/>
      <c r="J310" s="32"/>
      <c r="K310" s="32"/>
      <c r="L310" s="32"/>
      <c r="M310" s="32"/>
      <c r="N310" s="32"/>
      <c r="O310" s="32"/>
      <c r="P310" s="32"/>
      <c r="Q310" s="32"/>
      <c r="R310" s="32"/>
      <c r="S310" s="32"/>
      <c r="T310" s="32"/>
      <c r="U310" s="32"/>
      <c r="V310" s="32"/>
      <c r="W310" s="32"/>
      <c r="X310" s="32"/>
      <c r="Y310" s="32"/>
      <c r="Z310" s="32"/>
    </row>
    <row r="311">
      <c r="A311" s="50" t="str">
        <f>IFERROR(__xludf.DUMMYFUNCTION("""COMPUTED_VALUE"""),"Obsidian Lobster")</f>
        <v>Obsidian Lobster</v>
      </c>
      <c r="B311" s="50" t="str">
        <f>IFERROR(__xludf.DUMMYFUNCTION("""COMPUTED_VALUE"""),"200 Hunger +200 Energy")</f>
        <v>200 Hunger +200 Energy</v>
      </c>
      <c r="C311" s="32" t="str">
        <f>IFERROR(__xludf.DUMMYFUNCTION("""COMPUTED_VALUE"""),"Crop")</f>
        <v>Crop</v>
      </c>
      <c r="D311" s="32" t="str">
        <f>IFERROR(__xludf.DUMMYFUNCTION("""COMPUTED_VALUE"""),"Abstara")</f>
        <v>Abstara</v>
      </c>
      <c r="E311" s="32" t="b">
        <f>IFERROR(__xludf.DUMMYFUNCTION("""COMPUTED_VALUE"""),FALSE)</f>
        <v>0</v>
      </c>
      <c r="F311" s="32"/>
      <c r="G311" s="32"/>
      <c r="H311" s="32"/>
      <c r="I311" s="32"/>
      <c r="J311" s="32"/>
      <c r="K311" s="32"/>
      <c r="L311" s="32"/>
      <c r="M311" s="32"/>
      <c r="N311" s="32"/>
      <c r="O311" s="32"/>
      <c r="P311" s="32"/>
      <c r="Q311" s="32"/>
      <c r="R311" s="32"/>
      <c r="S311" s="32"/>
      <c r="T311" s="32"/>
      <c r="U311" s="32"/>
      <c r="V311" s="32"/>
      <c r="W311" s="32"/>
      <c r="X311" s="32"/>
      <c r="Y311" s="32"/>
      <c r="Z311" s="32"/>
    </row>
    <row r="312">
      <c r="A312" s="50" t="str">
        <f>IFERROR(__xludf.DUMMYFUNCTION("""COMPUTED_VALUE"""),"Charcoal Truffles")</f>
        <v>Charcoal Truffles</v>
      </c>
      <c r="B312" s="50" t="str">
        <f>IFERROR(__xludf.DUMMYFUNCTION("""COMPUTED_VALUE"""),"100 Hunger +100 Energy")</f>
        <v>100 Hunger +100 Energy</v>
      </c>
      <c r="C312" s="32" t="str">
        <f>IFERROR(__xludf.DUMMYFUNCTION("""COMPUTED_VALUE"""),"Crop")</f>
        <v>Crop</v>
      </c>
      <c r="D312" s="32" t="str">
        <f>IFERROR(__xludf.DUMMYFUNCTION("""COMPUTED_VALUE"""),"Abstara")</f>
        <v>Abstara</v>
      </c>
      <c r="E312" s="32" t="b">
        <f>IFERROR(__xludf.DUMMYFUNCTION("""COMPUTED_VALUE"""),FALSE)</f>
        <v>0</v>
      </c>
      <c r="F312" s="32"/>
      <c r="G312" s="32"/>
      <c r="H312" s="32"/>
      <c r="I312" s="32"/>
      <c r="J312" s="32"/>
      <c r="K312" s="32"/>
      <c r="L312" s="32"/>
      <c r="M312" s="32"/>
      <c r="N312" s="32"/>
      <c r="O312" s="32"/>
      <c r="P312" s="32"/>
      <c r="Q312" s="32"/>
      <c r="R312" s="32"/>
      <c r="S312" s="32"/>
      <c r="T312" s="32"/>
      <c r="U312" s="32"/>
      <c r="V312" s="32"/>
      <c r="W312" s="32"/>
      <c r="X312" s="32"/>
      <c r="Y312" s="32"/>
      <c r="Z312" s="32"/>
    </row>
    <row r="313">
      <c r="A313" s="50" t="str">
        <f>IFERROR(__xludf.DUMMYFUNCTION("""COMPUTED_VALUE"""),"Italian spaghetti and meatballs")</f>
        <v>Italian spaghetti and meatballs</v>
      </c>
      <c r="B313" s="50" t="str">
        <f>IFERROR(__xludf.DUMMYFUNCTION("""COMPUTED_VALUE"""),"Full HP, Energy, Hunger, Thirst")</f>
        <v>Full HP, Energy, Hunger, Thirst</v>
      </c>
      <c r="C313" s="32" t="str">
        <f>IFERROR(__xludf.DUMMYFUNCTION("""COMPUTED_VALUE"""),"Crop")</f>
        <v>Crop</v>
      </c>
      <c r="D313" s="32" t="str">
        <f>IFERROR(__xludf.DUMMYFUNCTION("""COMPUTED_VALUE"""),"Abstara")</f>
        <v>Abstara</v>
      </c>
      <c r="E313" s="32" t="b">
        <f>IFERROR(__xludf.DUMMYFUNCTION("""COMPUTED_VALUE"""),FALSE)</f>
        <v>0</v>
      </c>
      <c r="F313" s="32"/>
      <c r="G313" s="32"/>
      <c r="H313" s="32"/>
      <c r="I313" s="32"/>
      <c r="J313" s="32"/>
      <c r="K313" s="32"/>
      <c r="L313" s="32"/>
      <c r="M313" s="32"/>
      <c r="N313" s="32"/>
      <c r="O313" s="32"/>
      <c r="P313" s="32"/>
      <c r="Q313" s="32"/>
      <c r="R313" s="32"/>
      <c r="S313" s="32"/>
      <c r="T313" s="32"/>
      <c r="U313" s="32"/>
      <c r="V313" s="32"/>
      <c r="W313" s="32"/>
      <c r="X313" s="32"/>
      <c r="Y313" s="32"/>
      <c r="Z313" s="32"/>
    </row>
    <row r="314">
      <c r="A314" s="50" t="str">
        <f>IFERROR(__xludf.DUMMYFUNCTION("""COMPUTED_VALUE"""),"Enclosed Spirits (enchantment)")</f>
        <v>Enclosed Spirits (enchantment)</v>
      </c>
      <c r="B314" s="50" t="str">
        <f>IFERROR(__xludf.DUMMYFUNCTION("""COMPUTED_VALUE"""),"Add 1000 Spirit damage or resistance to any Spirit related Weapon or armor.")</f>
        <v>Add 1000 Spirit damage or resistance to any Spirit related Weapon or armor.</v>
      </c>
      <c r="C314" s="32" t="str">
        <f>IFERROR(__xludf.DUMMYFUNCTION("""COMPUTED_VALUE"""),"Item")</f>
        <v>Item</v>
      </c>
      <c r="D314" s="32" t="str">
        <f>IFERROR(__xludf.DUMMYFUNCTION("""COMPUTED_VALUE"""),"Abstara")</f>
        <v>Abstara</v>
      </c>
      <c r="E314" s="32" t="b">
        <f>IFERROR(__xludf.DUMMYFUNCTION("""COMPUTED_VALUE"""),FALSE)</f>
        <v>0</v>
      </c>
      <c r="F314" s="32"/>
      <c r="G314" s="32"/>
      <c r="H314" s="32"/>
      <c r="I314" s="32"/>
      <c r="J314" s="32"/>
      <c r="K314" s="32"/>
      <c r="L314" s="32"/>
      <c r="M314" s="32"/>
      <c r="N314" s="32"/>
      <c r="O314" s="32"/>
      <c r="P314" s="32"/>
      <c r="Q314" s="32"/>
      <c r="R314" s="32"/>
      <c r="S314" s="32"/>
      <c r="T314" s="32"/>
      <c r="U314" s="32"/>
      <c r="V314" s="32"/>
      <c r="W314" s="32"/>
      <c r="X314" s="32"/>
      <c r="Y314" s="32"/>
      <c r="Z314" s="32"/>
    </row>
    <row r="315">
      <c r="A315" s="50" t="str">
        <f>IFERROR(__xludf.DUMMYFUNCTION("""COMPUTED_VALUE"""),"Goat’s eye")</f>
        <v>Goat’s eye</v>
      </c>
      <c r="B315" s="50" t="str">
        <f>IFERROR(__xludf.DUMMYFUNCTION("""COMPUTED_VALUE"""),"Crafting Material, roll a d20 to see how many you get if this is a loot drop.")</f>
        <v>Crafting Material, roll a d20 to see how many you get if this is a loot drop.</v>
      </c>
      <c r="C315" s="32" t="str">
        <f>IFERROR(__xludf.DUMMYFUNCTION("""COMPUTED_VALUE"""),"Item")</f>
        <v>Item</v>
      </c>
      <c r="D315" s="32" t="str">
        <f>IFERROR(__xludf.DUMMYFUNCTION("""COMPUTED_VALUE"""),"Abstara")</f>
        <v>Abstara</v>
      </c>
      <c r="E315" s="32" t="b">
        <f>IFERROR(__xludf.DUMMYFUNCTION("""COMPUTED_VALUE"""),FALSE)</f>
        <v>0</v>
      </c>
      <c r="F315" s="32"/>
      <c r="G315" s="32"/>
      <c r="H315" s="32"/>
      <c r="I315" s="32"/>
      <c r="J315" s="32"/>
      <c r="K315" s="32"/>
      <c r="L315" s="32"/>
      <c r="M315" s="32"/>
      <c r="N315" s="32"/>
      <c r="O315" s="32"/>
      <c r="P315" s="32"/>
      <c r="Q315" s="32"/>
      <c r="R315" s="32"/>
      <c r="S315" s="32"/>
      <c r="T315" s="32"/>
      <c r="U315" s="32"/>
      <c r="V315" s="32"/>
      <c r="W315" s="32"/>
      <c r="X315" s="32"/>
      <c r="Y315" s="32"/>
      <c r="Z315" s="32"/>
    </row>
    <row r="316">
      <c r="A316" s="50" t="str">
        <f>IFERROR(__xludf.DUMMYFUNCTION("""COMPUTED_VALUE"""),"Heart of the Demon")</f>
        <v>Heart of the Demon</v>
      </c>
      <c r="B316" s="50" t="str">
        <f>IFERROR(__xludf.DUMMYFUNCTION("""COMPUTED_VALUE"""),"Crafting Material, roll a d20 to see how many you get if this is a loot drop.")</f>
        <v>Crafting Material, roll a d20 to see how many you get if this is a loot drop.</v>
      </c>
      <c r="C316" s="32" t="str">
        <f>IFERROR(__xludf.DUMMYFUNCTION("""COMPUTED_VALUE"""),"Item")</f>
        <v>Item</v>
      </c>
      <c r="D316" s="32" t="str">
        <f>IFERROR(__xludf.DUMMYFUNCTION("""COMPUTED_VALUE"""),"Abstara")</f>
        <v>Abstara</v>
      </c>
      <c r="E316" s="32" t="b">
        <f>IFERROR(__xludf.DUMMYFUNCTION("""COMPUTED_VALUE"""),FALSE)</f>
        <v>0</v>
      </c>
      <c r="F316" s="32"/>
      <c r="G316" s="32"/>
      <c r="H316" s="32"/>
      <c r="I316" s="32"/>
      <c r="J316" s="32"/>
      <c r="K316" s="32"/>
      <c r="L316" s="32"/>
      <c r="M316" s="32"/>
      <c r="N316" s="32"/>
      <c r="O316" s="32"/>
      <c r="P316" s="32"/>
      <c r="Q316" s="32"/>
      <c r="R316" s="32"/>
      <c r="S316" s="32"/>
      <c r="T316" s="32"/>
      <c r="U316" s="32"/>
      <c r="V316" s="32"/>
      <c r="W316" s="32"/>
      <c r="X316" s="32"/>
      <c r="Y316" s="32"/>
      <c r="Z316" s="32"/>
    </row>
    <row r="317">
      <c r="A317" s="50" t="str">
        <f>IFERROR(__xludf.DUMMYFUNCTION("""COMPUTED_VALUE"""),"Tooth of the Volcanic Serpent")</f>
        <v>Tooth of the Volcanic Serpent</v>
      </c>
      <c r="B317" s="50" t="str">
        <f>IFERROR(__xludf.DUMMYFUNCTION("""COMPUTED_VALUE"""),"Crafting Material, roll a d20 to see how many you get if this is a loot drop.")</f>
        <v>Crafting Material, roll a d20 to see how many you get if this is a loot drop.</v>
      </c>
      <c r="C317" s="32" t="str">
        <f>IFERROR(__xludf.DUMMYFUNCTION("""COMPUTED_VALUE"""),"Item")</f>
        <v>Item</v>
      </c>
      <c r="D317" s="32" t="str">
        <f>IFERROR(__xludf.DUMMYFUNCTION("""COMPUTED_VALUE"""),"Abstara")</f>
        <v>Abstara</v>
      </c>
      <c r="E317" s="32" t="b">
        <f>IFERROR(__xludf.DUMMYFUNCTION("""COMPUTED_VALUE"""),FALSE)</f>
        <v>0</v>
      </c>
      <c r="F317" s="32"/>
      <c r="G317" s="32"/>
      <c r="H317" s="32"/>
      <c r="I317" s="32"/>
      <c r="J317" s="32"/>
      <c r="K317" s="32"/>
      <c r="L317" s="32"/>
      <c r="M317" s="32"/>
      <c r="N317" s="32"/>
      <c r="O317" s="32"/>
      <c r="P317" s="32"/>
      <c r="Q317" s="32"/>
      <c r="R317" s="32"/>
      <c r="S317" s="32"/>
      <c r="T317" s="32"/>
      <c r="U317" s="32"/>
      <c r="V317" s="32"/>
      <c r="W317" s="32"/>
      <c r="X317" s="32"/>
      <c r="Y317" s="32"/>
      <c r="Z317" s="32"/>
    </row>
    <row r="318">
      <c r="A318" s="50" t="str">
        <f>IFERROR(__xludf.DUMMYFUNCTION("""COMPUTED_VALUE"""),"Fire Jaguars Leather Skin")</f>
        <v>Fire Jaguars Leather Skin</v>
      </c>
      <c r="B318" s="50" t="str">
        <f>IFERROR(__xludf.DUMMYFUNCTION("""COMPUTED_VALUE"""),"Crafting Material, roll a d20 to see how many you get if this is a loot drop.")</f>
        <v>Crafting Material, roll a d20 to see how many you get if this is a loot drop.</v>
      </c>
      <c r="C318" s="32" t="str">
        <f>IFERROR(__xludf.DUMMYFUNCTION("""COMPUTED_VALUE"""),"Item")</f>
        <v>Item</v>
      </c>
      <c r="D318" s="32" t="str">
        <f>IFERROR(__xludf.DUMMYFUNCTION("""COMPUTED_VALUE"""),"Abstara")</f>
        <v>Abstara</v>
      </c>
      <c r="E318" s="32" t="b">
        <f>IFERROR(__xludf.DUMMYFUNCTION("""COMPUTED_VALUE"""),FALSE)</f>
        <v>0</v>
      </c>
      <c r="F318" s="32"/>
      <c r="G318" s="32"/>
      <c r="H318" s="32"/>
      <c r="I318" s="32"/>
      <c r="J318" s="32"/>
      <c r="K318" s="32"/>
      <c r="L318" s="32"/>
      <c r="M318" s="32"/>
      <c r="N318" s="32"/>
      <c r="O318" s="32"/>
      <c r="P318" s="32"/>
      <c r="Q318" s="32"/>
      <c r="R318" s="32"/>
      <c r="S318" s="32"/>
      <c r="T318" s="32"/>
      <c r="U318" s="32"/>
      <c r="V318" s="32"/>
      <c r="W318" s="32"/>
      <c r="X318" s="32"/>
      <c r="Y318" s="32"/>
      <c r="Z318" s="32"/>
    </row>
    <row r="319">
      <c r="A319" s="50" t="str">
        <f>IFERROR(__xludf.DUMMYFUNCTION("""COMPUTED_VALUE"""),"Black Lake Soup")</f>
        <v>Black Lake Soup</v>
      </c>
      <c r="B319" s="50" t="str">
        <f>IFERROR(__xludf.DUMMYFUNCTION("""COMPUTED_VALUE"""),"500 Thirst and 400 Hunger")</f>
        <v>500 Thirst and 400 Hunger</v>
      </c>
      <c r="C319" s="32" t="str">
        <f>IFERROR(__xludf.DUMMYFUNCTION("""COMPUTED_VALUE"""),"Crop")</f>
        <v>Crop</v>
      </c>
      <c r="D319" s="32" t="str">
        <f>IFERROR(__xludf.DUMMYFUNCTION("""COMPUTED_VALUE"""),"Abstara")</f>
        <v>Abstara</v>
      </c>
      <c r="E319" s="32" t="b">
        <f>IFERROR(__xludf.DUMMYFUNCTION("""COMPUTED_VALUE"""),FALSE)</f>
        <v>0</v>
      </c>
      <c r="F319" s="32"/>
      <c r="G319" s="32"/>
      <c r="H319" s="32"/>
      <c r="I319" s="32"/>
      <c r="J319" s="32"/>
      <c r="K319" s="32"/>
      <c r="L319" s="32"/>
      <c r="M319" s="32"/>
      <c r="N319" s="32"/>
      <c r="O319" s="32"/>
      <c r="P319" s="32"/>
      <c r="Q319" s="32"/>
      <c r="R319" s="32"/>
      <c r="S319" s="32"/>
      <c r="T319" s="32"/>
      <c r="U319" s="32"/>
      <c r="V319" s="32"/>
      <c r="W319" s="32"/>
      <c r="X319" s="32"/>
      <c r="Y319" s="32"/>
      <c r="Z319" s="32"/>
    </row>
    <row r="320">
      <c r="A320" s="50" t="str">
        <f>IFERROR(__xludf.DUMMYFUNCTION("""COMPUTED_VALUE"""),"Basilisk Veal")</f>
        <v>Basilisk Veal</v>
      </c>
      <c r="B320" s="50" t="str">
        <f>IFERROR(__xludf.DUMMYFUNCTION("""COMPUTED_VALUE"""),"500 Hunger")</f>
        <v>500 Hunger</v>
      </c>
      <c r="C320" s="32" t="str">
        <f>IFERROR(__xludf.DUMMYFUNCTION("""COMPUTED_VALUE"""),"Crop")</f>
        <v>Crop</v>
      </c>
      <c r="D320" s="32" t="str">
        <f>IFERROR(__xludf.DUMMYFUNCTION("""COMPUTED_VALUE"""),"Abstara")</f>
        <v>Abstara</v>
      </c>
      <c r="E320" s="32" t="b">
        <f>IFERROR(__xludf.DUMMYFUNCTION("""COMPUTED_VALUE"""),FALSE)</f>
        <v>0</v>
      </c>
      <c r="F320" s="32"/>
      <c r="G320" s="32"/>
      <c r="H320" s="32"/>
      <c r="I320" s="32"/>
      <c r="J320" s="32"/>
      <c r="K320" s="32"/>
      <c r="L320" s="32"/>
      <c r="M320" s="32"/>
      <c r="N320" s="32"/>
      <c r="O320" s="32"/>
      <c r="P320" s="32"/>
      <c r="Q320" s="32"/>
      <c r="R320" s="32"/>
      <c r="S320" s="32"/>
      <c r="T320" s="32"/>
      <c r="U320" s="32"/>
      <c r="V320" s="32"/>
      <c r="W320" s="32"/>
      <c r="X320" s="32"/>
      <c r="Y320" s="32"/>
      <c r="Z320" s="32"/>
    </row>
    <row r="321">
      <c r="A321" s="50" t="str">
        <f>IFERROR(__xludf.DUMMYFUNCTION("""COMPUTED_VALUE"""),"Black Cactus juice")</f>
        <v>Black Cactus juice</v>
      </c>
      <c r="B321" s="50" t="str">
        <f>IFERROR(__xludf.DUMMYFUNCTION("""COMPUTED_VALUE"""),"500 Thirst")</f>
        <v>500 Thirst</v>
      </c>
      <c r="C321" s="32" t="str">
        <f>IFERROR(__xludf.DUMMYFUNCTION("""COMPUTED_VALUE"""),"Item")</f>
        <v>Item</v>
      </c>
      <c r="D321" s="32" t="str">
        <f>IFERROR(__xludf.DUMMYFUNCTION("""COMPUTED_VALUE"""),"Abstara")</f>
        <v>Abstara</v>
      </c>
      <c r="E321" s="32" t="b">
        <f>IFERROR(__xludf.DUMMYFUNCTION("""COMPUTED_VALUE"""),TRUE)</f>
        <v>1</v>
      </c>
      <c r="F321" s="32"/>
      <c r="G321" s="32"/>
      <c r="H321" s="32"/>
      <c r="I321" s="32"/>
      <c r="J321" s="32"/>
      <c r="K321" s="32"/>
      <c r="L321" s="32"/>
      <c r="M321" s="32"/>
      <c r="N321" s="32"/>
      <c r="O321" s="32"/>
      <c r="P321" s="32"/>
      <c r="Q321" s="32"/>
      <c r="R321" s="32"/>
      <c r="S321" s="32"/>
      <c r="T321" s="32"/>
      <c r="U321" s="32"/>
      <c r="V321" s="32"/>
      <c r="W321" s="32"/>
      <c r="X321" s="32"/>
      <c r="Y321" s="32"/>
      <c r="Z321" s="32"/>
    </row>
    <row r="322">
      <c r="A322" s="50" t="str">
        <f>IFERROR(__xludf.DUMMYFUNCTION("""COMPUTED_VALUE"""),"Black Lake Purified Water")</f>
        <v>Black Lake Purified Water</v>
      </c>
      <c r="B322" s="50" t="str">
        <f>IFERROR(__xludf.DUMMYFUNCTION("""COMPUTED_VALUE"""),"650 Thirst")</f>
        <v>650 Thirst</v>
      </c>
      <c r="C322" s="32" t="str">
        <f>IFERROR(__xludf.DUMMYFUNCTION("""COMPUTED_VALUE"""),"Item")</f>
        <v>Item</v>
      </c>
      <c r="D322" s="32" t="str">
        <f>IFERROR(__xludf.DUMMYFUNCTION("""COMPUTED_VALUE"""),"Abstara")</f>
        <v>Abstara</v>
      </c>
      <c r="E322" s="32" t="b">
        <f>IFERROR(__xludf.DUMMYFUNCTION("""COMPUTED_VALUE"""),FALSE)</f>
        <v>0</v>
      </c>
      <c r="F322" s="32"/>
      <c r="G322" s="32"/>
      <c r="H322" s="32"/>
      <c r="I322" s="32"/>
      <c r="J322" s="32"/>
      <c r="K322" s="32"/>
      <c r="L322" s="32"/>
      <c r="M322" s="32"/>
      <c r="N322" s="32"/>
      <c r="O322" s="32"/>
      <c r="P322" s="32"/>
      <c r="Q322" s="32"/>
      <c r="R322" s="32"/>
      <c r="S322" s="32"/>
      <c r="T322" s="32"/>
      <c r="U322" s="32"/>
      <c r="V322" s="32"/>
      <c r="W322" s="32"/>
      <c r="X322" s="32"/>
      <c r="Y322" s="32"/>
      <c r="Z322" s="32"/>
    </row>
    <row r="323">
      <c r="A323" s="50" t="str">
        <f>IFERROR(__xludf.DUMMYFUNCTION("""COMPUTED_VALUE"""),"Neutralized Basilisk Venom Shot")</f>
        <v>Neutralized Basilisk Venom Shot</v>
      </c>
      <c r="B323" s="50" t="str">
        <f>IFERROR(__xludf.DUMMYFUNCTION("""COMPUTED_VALUE"""),"1000 Thirst")</f>
        <v>1000 Thirst</v>
      </c>
      <c r="C323" s="32" t="str">
        <f>IFERROR(__xludf.DUMMYFUNCTION("""COMPUTED_VALUE"""),"Item")</f>
        <v>Item</v>
      </c>
      <c r="D323" s="32" t="str">
        <f>IFERROR(__xludf.DUMMYFUNCTION("""COMPUTED_VALUE"""),"Abstara")</f>
        <v>Abstara</v>
      </c>
      <c r="E323" s="32" t="b">
        <f>IFERROR(__xludf.DUMMYFUNCTION("""COMPUTED_VALUE"""),FALSE)</f>
        <v>0</v>
      </c>
      <c r="F323" s="32"/>
      <c r="G323" s="32"/>
      <c r="H323" s="32"/>
      <c r="I323" s="32"/>
      <c r="J323" s="32"/>
      <c r="K323" s="32"/>
      <c r="L323" s="32"/>
      <c r="M323" s="32"/>
      <c r="N323" s="32"/>
      <c r="O323" s="32"/>
      <c r="P323" s="32"/>
      <c r="Q323" s="32"/>
      <c r="R323" s="32"/>
      <c r="S323" s="32"/>
      <c r="T323" s="32"/>
      <c r="U323" s="32"/>
      <c r="V323" s="32"/>
      <c r="W323" s="32"/>
      <c r="X323" s="32"/>
      <c r="Y323" s="32"/>
      <c r="Z323" s="32"/>
    </row>
    <row r="324">
      <c r="A324" s="50" t="str">
        <f>IFERROR(__xludf.DUMMYFUNCTION("""COMPUTED_VALUE"""),"Ebony Mushrooms")</f>
        <v>Ebony Mushrooms</v>
      </c>
      <c r="B324" s="50" t="str">
        <f>IFERROR(__xludf.DUMMYFUNCTION("""COMPUTED_VALUE"""),"250 Hunger")</f>
        <v>250 Hunger</v>
      </c>
      <c r="C324" s="32" t="str">
        <f>IFERROR(__xludf.DUMMYFUNCTION("""COMPUTED_VALUE"""),"Crop")</f>
        <v>Crop</v>
      </c>
      <c r="D324" s="32" t="str">
        <f>IFERROR(__xludf.DUMMYFUNCTION("""COMPUTED_VALUE"""),"Abstara")</f>
        <v>Abstara</v>
      </c>
      <c r="E324" s="32" t="b">
        <f>IFERROR(__xludf.DUMMYFUNCTION("""COMPUTED_VALUE"""),TRUE)</f>
        <v>1</v>
      </c>
      <c r="F324" s="32"/>
      <c r="G324" s="32"/>
      <c r="H324" s="32"/>
      <c r="I324" s="32"/>
      <c r="J324" s="32"/>
      <c r="K324" s="32"/>
      <c r="L324" s="32"/>
      <c r="M324" s="32"/>
      <c r="N324" s="32"/>
      <c r="O324" s="32"/>
      <c r="P324" s="32"/>
      <c r="Q324" s="32"/>
      <c r="R324" s="32"/>
      <c r="S324" s="32"/>
      <c r="T324" s="32"/>
      <c r="U324" s="32"/>
      <c r="V324" s="32"/>
      <c r="W324" s="32"/>
      <c r="X324" s="32"/>
      <c r="Y324" s="32"/>
      <c r="Z324" s="32"/>
    </row>
    <row r="325">
      <c r="A325" s="50" t="str">
        <f>IFERROR(__xludf.DUMMYFUNCTION("""COMPUTED_VALUE"""),"Black Sludge")</f>
        <v>Black Sludge</v>
      </c>
      <c r="B325" s="50" t="str">
        <f>IFERROR(__xludf.DUMMYFUNCTION("""COMPUTED_VALUE"""),"Make a fail/succeed roll
Success - +500 Hunger and Thirst
Fail - -250 Hunger and Thirst From Vomiting.")</f>
        <v>Make a fail/succeed roll
Success - +500 Hunger and Thirst
Fail - -250 Hunger and Thirst From Vomiting.</v>
      </c>
      <c r="C325" s="32" t="str">
        <f>IFERROR(__xludf.DUMMYFUNCTION("""COMPUTED_VALUE"""),"Crop")</f>
        <v>Crop</v>
      </c>
      <c r="D325" s="32" t="str">
        <f>IFERROR(__xludf.DUMMYFUNCTION("""COMPUTED_VALUE"""),"Abstara")</f>
        <v>Abstara</v>
      </c>
      <c r="E325" s="32" t="b">
        <f>IFERROR(__xludf.DUMMYFUNCTION("""COMPUTED_VALUE"""),FALSE)</f>
        <v>0</v>
      </c>
      <c r="F325" s="32"/>
      <c r="G325" s="32"/>
      <c r="H325" s="32"/>
      <c r="I325" s="32"/>
      <c r="J325" s="32"/>
      <c r="K325" s="32"/>
      <c r="L325" s="32"/>
      <c r="M325" s="32"/>
      <c r="N325" s="32"/>
      <c r="O325" s="32"/>
      <c r="P325" s="32"/>
      <c r="Q325" s="32"/>
      <c r="R325" s="32"/>
      <c r="S325" s="32"/>
      <c r="T325" s="32"/>
      <c r="U325" s="32"/>
      <c r="V325" s="32"/>
      <c r="W325" s="32"/>
      <c r="X325" s="32"/>
      <c r="Y325" s="32"/>
      <c r="Z325" s="32"/>
    </row>
    <row r="326">
      <c r="A326" s="50" t="str">
        <f>IFERROR(__xludf.DUMMYFUNCTION("""COMPUTED_VALUE"""),"Black Sepent Dragon Scales")</f>
        <v>Black Sepent Dragon Scales</v>
      </c>
      <c r="B326" s="50" t="str">
        <f>IFERROR(__xludf.DUMMYFUNCTION("""COMPUTED_VALUE"""),"Crafting Material, roll a d20 to see how many you get if this is a loot drop.")</f>
        <v>Crafting Material, roll a d20 to see how many you get if this is a loot drop.</v>
      </c>
      <c r="C326" s="32" t="str">
        <f>IFERROR(__xludf.DUMMYFUNCTION("""COMPUTED_VALUE"""),"Item")</f>
        <v>Item</v>
      </c>
      <c r="D326" s="32" t="str">
        <f>IFERROR(__xludf.DUMMYFUNCTION("""COMPUTED_VALUE"""),"Abstara")</f>
        <v>Abstara</v>
      </c>
      <c r="E326" s="32" t="b">
        <f>IFERROR(__xludf.DUMMYFUNCTION("""COMPUTED_VALUE"""),FALSE)</f>
        <v>0</v>
      </c>
      <c r="F326" s="32"/>
      <c r="G326" s="32"/>
      <c r="H326" s="32"/>
      <c r="I326" s="32"/>
      <c r="J326" s="32"/>
      <c r="K326" s="32"/>
      <c r="L326" s="32"/>
      <c r="M326" s="32"/>
      <c r="N326" s="32"/>
      <c r="O326" s="32"/>
      <c r="P326" s="32"/>
      <c r="Q326" s="32"/>
      <c r="R326" s="32"/>
      <c r="S326" s="32"/>
      <c r="T326" s="32"/>
      <c r="U326" s="32"/>
      <c r="V326" s="32"/>
      <c r="W326" s="32"/>
      <c r="X326" s="32"/>
      <c r="Y326" s="32"/>
      <c r="Z326" s="32"/>
    </row>
    <row r="327">
      <c r="A327" s="50" t="str">
        <f>IFERROR(__xludf.DUMMYFUNCTION("""COMPUTED_VALUE"""),"Chaotic Shadow Dragon Scales")</f>
        <v>Chaotic Shadow Dragon Scales</v>
      </c>
      <c r="B327" s="50" t="str">
        <f>IFERROR(__xludf.DUMMYFUNCTION("""COMPUTED_VALUE"""),"Crafting Material, roll a d20 to see how many you get if this is a loot drop.")</f>
        <v>Crafting Material, roll a d20 to see how many you get if this is a loot drop.</v>
      </c>
      <c r="C327" s="32" t="str">
        <f>IFERROR(__xludf.DUMMYFUNCTION("""COMPUTED_VALUE"""),"Item")</f>
        <v>Item</v>
      </c>
      <c r="D327" s="32" t="str">
        <f>IFERROR(__xludf.DUMMYFUNCTION("""COMPUTED_VALUE"""),"Land of Spira")</f>
        <v>Land of Spira</v>
      </c>
      <c r="E327" s="32" t="b">
        <f>IFERROR(__xludf.DUMMYFUNCTION("""COMPUTED_VALUE"""),FALSE)</f>
        <v>0</v>
      </c>
      <c r="F327" s="32"/>
      <c r="G327" s="32"/>
      <c r="H327" s="32"/>
      <c r="I327" s="32"/>
      <c r="J327" s="32"/>
      <c r="K327" s="32"/>
      <c r="L327" s="32"/>
      <c r="M327" s="32"/>
      <c r="N327" s="32"/>
      <c r="O327" s="32"/>
      <c r="P327" s="32"/>
      <c r="Q327" s="32"/>
      <c r="R327" s="32"/>
      <c r="S327" s="32"/>
      <c r="T327" s="32"/>
      <c r="U327" s="32"/>
      <c r="V327" s="32"/>
      <c r="W327" s="32"/>
      <c r="X327" s="32"/>
      <c r="Y327" s="32"/>
      <c r="Z327" s="32"/>
    </row>
    <row r="328">
      <c r="A328" s="50" t="str">
        <f>IFERROR(__xludf.DUMMYFUNCTION("""COMPUTED_VALUE"""),"Chaotic Shadow Dragon Skull")</f>
        <v>Chaotic Shadow Dragon Skull</v>
      </c>
      <c r="B328" s="50" t="str">
        <f>IFERROR(__xludf.DUMMYFUNCTION("""COMPUTED_VALUE"""),"can be consumed to obtain 1 free dark or chaos power. (Only one per character)")</f>
        <v>can be consumed to obtain 1 free dark or chaos power. (Only one per character)</v>
      </c>
      <c r="C328" s="32" t="str">
        <f>IFERROR(__xludf.DUMMYFUNCTION("""COMPUTED_VALUE"""),"Item")</f>
        <v>Item</v>
      </c>
      <c r="D328" s="32" t="str">
        <f>IFERROR(__xludf.DUMMYFUNCTION("""COMPUTED_VALUE"""),"Land of Spira")</f>
        <v>Land of Spira</v>
      </c>
      <c r="E328" s="32" t="b">
        <f>IFERROR(__xludf.DUMMYFUNCTION("""COMPUTED_VALUE"""),FALSE)</f>
        <v>0</v>
      </c>
      <c r="F328" s="32"/>
      <c r="G328" s="32"/>
      <c r="H328" s="32"/>
      <c r="I328" s="32"/>
      <c r="J328" s="32"/>
      <c r="K328" s="32"/>
      <c r="L328" s="32"/>
      <c r="M328" s="32"/>
      <c r="N328" s="32"/>
      <c r="O328" s="32"/>
      <c r="P328" s="32"/>
      <c r="Q328" s="32"/>
      <c r="R328" s="32"/>
      <c r="S328" s="32"/>
      <c r="T328" s="32"/>
      <c r="U328" s="32"/>
      <c r="V328" s="32"/>
      <c r="W328" s="32"/>
      <c r="X328" s="32"/>
      <c r="Y328" s="32"/>
      <c r="Z328" s="32"/>
    </row>
    <row r="329">
      <c r="A329" s="50" t="str">
        <f>IFERROR(__xludf.DUMMYFUNCTION("""COMPUTED_VALUE"""),"Sharp Teeth")</f>
        <v>Sharp Teeth</v>
      </c>
      <c r="B329" s="50" t="str">
        <f>IFERROR(__xludf.DUMMYFUNCTION("""COMPUTED_VALUE"""),"Consumable, 100 sharp teeth = permanantly increase attack by 1.")</f>
        <v>Consumable, 100 sharp teeth = permanantly increase attack by 1.</v>
      </c>
      <c r="C329" s="32" t="str">
        <f>IFERROR(__xludf.DUMMYFUNCTION("""COMPUTED_VALUE"""),"Item")</f>
        <v>Item</v>
      </c>
      <c r="D329" s="32" t="str">
        <f>IFERROR(__xludf.DUMMYFUNCTION("""COMPUTED_VALUE"""),"Land of Spira")</f>
        <v>Land of Spira</v>
      </c>
      <c r="E329" s="32" t="b">
        <f>IFERROR(__xludf.DUMMYFUNCTION("""COMPUTED_VALUE"""),FALSE)</f>
        <v>0</v>
      </c>
      <c r="F329" s="32"/>
      <c r="G329" s="32"/>
      <c r="H329" s="32"/>
      <c r="I329" s="32"/>
      <c r="J329" s="32"/>
      <c r="K329" s="32"/>
      <c r="L329" s="32"/>
      <c r="M329" s="32"/>
      <c r="N329" s="32"/>
      <c r="O329" s="32"/>
      <c r="P329" s="32"/>
      <c r="Q329" s="32"/>
      <c r="R329" s="32"/>
      <c r="S329" s="32"/>
      <c r="T329" s="32"/>
      <c r="U329" s="32"/>
      <c r="V329" s="32"/>
      <c r="W329" s="32"/>
      <c r="X329" s="32"/>
      <c r="Y329" s="32"/>
      <c r="Z329" s="32"/>
    </row>
    <row r="330">
      <c r="A330" s="50" t="str">
        <f>IFERROR(__xludf.DUMMYFUNCTION("""COMPUTED_VALUE"""),"Letter from the Warden")</f>
        <v>Letter from the Warden</v>
      </c>
      <c r="B330" s="50" t="str">
        <f>IFERROR(__xludf.DUMMYFUNCTION("""COMPUTED_VALUE"""),"Get out of jail for free. Can only be used once, Cannot be duplicated.")</f>
        <v>Get out of jail for free. Can only be used once, Cannot be duplicated.</v>
      </c>
      <c r="C330" s="32" t="str">
        <f>IFERROR(__xludf.DUMMYFUNCTION("""COMPUTED_VALUE"""),"Item")</f>
        <v>Item</v>
      </c>
      <c r="D330" s="32" t="str">
        <f>IFERROR(__xludf.DUMMYFUNCTION("""COMPUTED_VALUE"""),"Land of Spira")</f>
        <v>Land of Spira</v>
      </c>
      <c r="E330" s="32" t="b">
        <f>IFERROR(__xludf.DUMMYFUNCTION("""COMPUTED_VALUE"""),FALSE)</f>
        <v>0</v>
      </c>
      <c r="F330" s="32"/>
      <c r="G330" s="32"/>
      <c r="H330" s="32"/>
      <c r="I330" s="32"/>
      <c r="J330" s="32"/>
      <c r="K330" s="32"/>
      <c r="L330" s="32"/>
      <c r="M330" s="32"/>
      <c r="N330" s="32"/>
      <c r="O330" s="32"/>
      <c r="P330" s="32"/>
      <c r="Q330" s="32"/>
      <c r="R330" s="32"/>
      <c r="S330" s="32"/>
      <c r="T330" s="32"/>
      <c r="U330" s="32"/>
      <c r="V330" s="32"/>
      <c r="W330" s="32"/>
      <c r="X330" s="32"/>
      <c r="Y330" s="32"/>
      <c r="Z330" s="32"/>
    </row>
    <row r="331">
      <c r="A331" s="50" t="str">
        <f>IFERROR(__xludf.DUMMYFUNCTION("""COMPUTED_VALUE"""),"Rank 9 Light Tome")</f>
        <v>Rank 9 Light Tome</v>
      </c>
      <c r="B331" s="50" t="str">
        <f>IFERROR(__xludf.DUMMYFUNCTION("""COMPUTED_VALUE"""),"Allows you to use up to Rank 9 Light Powers.")</f>
        <v>Allows you to use up to Rank 9 Light Powers.</v>
      </c>
      <c r="C331" s="32" t="str">
        <f>IFERROR(__xludf.DUMMYFUNCTION("""COMPUTED_VALUE"""),"Item")</f>
        <v>Item</v>
      </c>
      <c r="D331" s="32" t="str">
        <f>IFERROR(__xludf.DUMMYFUNCTION("""COMPUTED_VALUE"""),"Land of Spira")</f>
        <v>Land of Spira</v>
      </c>
      <c r="E331" s="32" t="b">
        <f>IFERROR(__xludf.DUMMYFUNCTION("""COMPUTED_VALUE"""),TRUE)</f>
        <v>1</v>
      </c>
      <c r="F331" s="32"/>
      <c r="G331" s="32"/>
      <c r="H331" s="32"/>
      <c r="I331" s="32"/>
      <c r="J331" s="32"/>
      <c r="K331" s="32"/>
      <c r="L331" s="32"/>
      <c r="M331" s="32"/>
      <c r="N331" s="32"/>
      <c r="O331" s="32"/>
      <c r="P331" s="32"/>
      <c r="Q331" s="32"/>
      <c r="R331" s="32"/>
      <c r="S331" s="32"/>
      <c r="T331" s="32"/>
      <c r="U331" s="32"/>
      <c r="V331" s="32"/>
      <c r="W331" s="32"/>
      <c r="X331" s="32"/>
      <c r="Y331" s="32"/>
      <c r="Z331" s="32"/>
    </row>
    <row r="332">
      <c r="A332" s="50" t="str">
        <f>IFERROR(__xludf.DUMMYFUNCTION("""COMPUTED_VALUE"""),"Lesser Healing Potion")</f>
        <v>Lesser Healing Potion</v>
      </c>
      <c r="B332" s="50" t="str">
        <f>IFERROR(__xludf.DUMMYFUNCTION("""COMPUTED_VALUE"""),": + +25HP")</f>
        <v>: + +25HP</v>
      </c>
      <c r="C332" s="32" t="str">
        <f>IFERROR(__xludf.DUMMYFUNCTION("""COMPUTED_VALUE"""),"Item")</f>
        <v>Item</v>
      </c>
      <c r="D332" s="32" t="str">
        <f>IFERROR(__xludf.DUMMYFUNCTION("""COMPUTED_VALUE"""),"Land of Spira")</f>
        <v>Land of Spira</v>
      </c>
      <c r="E332" s="32" t="b">
        <f>IFERROR(__xludf.DUMMYFUNCTION("""COMPUTED_VALUE"""),TRUE)</f>
        <v>1</v>
      </c>
      <c r="F332" s="32"/>
      <c r="G332" s="32"/>
      <c r="H332" s="32"/>
      <c r="I332" s="32"/>
      <c r="J332" s="32"/>
      <c r="K332" s="32"/>
      <c r="L332" s="32"/>
      <c r="M332" s="32"/>
      <c r="N332" s="32"/>
      <c r="O332" s="32"/>
      <c r="P332" s="32"/>
      <c r="Q332" s="32"/>
      <c r="R332" s="32"/>
      <c r="S332" s="32"/>
      <c r="T332" s="32"/>
      <c r="U332" s="32"/>
      <c r="V332" s="32"/>
      <c r="W332" s="32"/>
      <c r="X332" s="32"/>
      <c r="Y332" s="32"/>
      <c r="Z332" s="32"/>
    </row>
    <row r="333">
      <c r="A333" s="50" t="str">
        <f>IFERROR(__xludf.DUMMYFUNCTION("""COMPUTED_VALUE"""),"Blackhorn Healing Potion")</f>
        <v>Blackhorn Healing Potion</v>
      </c>
      <c r="B333" s="50" t="str">
        <f>IFERROR(__xludf.DUMMYFUNCTION("""COMPUTED_VALUE"""),": + +75HP")</f>
        <v>: + +75HP</v>
      </c>
      <c r="C333" s="32" t="str">
        <f>IFERROR(__xludf.DUMMYFUNCTION("""COMPUTED_VALUE"""),"Item")</f>
        <v>Item</v>
      </c>
      <c r="D333" s="32" t="str">
        <f>IFERROR(__xludf.DUMMYFUNCTION("""COMPUTED_VALUE"""),"Land of Spira")</f>
        <v>Land of Spira</v>
      </c>
      <c r="E333" s="32" t="b">
        <f>IFERROR(__xludf.DUMMYFUNCTION("""COMPUTED_VALUE"""),FALSE)</f>
        <v>0</v>
      </c>
      <c r="F333" s="32"/>
      <c r="G333" s="32"/>
      <c r="H333" s="32"/>
      <c r="I333" s="32"/>
      <c r="J333" s="32"/>
      <c r="K333" s="32"/>
      <c r="L333" s="32"/>
      <c r="M333" s="32"/>
      <c r="N333" s="32"/>
      <c r="O333" s="32"/>
      <c r="P333" s="32"/>
      <c r="Q333" s="32"/>
      <c r="R333" s="32"/>
      <c r="S333" s="32"/>
      <c r="T333" s="32"/>
      <c r="U333" s="32"/>
      <c r="V333" s="32"/>
      <c r="W333" s="32"/>
      <c r="X333" s="32"/>
      <c r="Y333" s="32"/>
      <c r="Z333" s="32"/>
    </row>
    <row r="334">
      <c r="A334" s="50" t="str">
        <f>IFERROR(__xludf.DUMMYFUNCTION("""COMPUTED_VALUE"""),"Greater Healing Potion")</f>
        <v>Greater Healing Potion</v>
      </c>
      <c r="B334" s="50" t="str">
        <f>IFERROR(__xludf.DUMMYFUNCTION("""COMPUTED_VALUE"""),": + +100HP")</f>
        <v>: + +100HP</v>
      </c>
      <c r="C334" s="32" t="str">
        <f>IFERROR(__xludf.DUMMYFUNCTION("""COMPUTED_VALUE"""),"Item")</f>
        <v>Item</v>
      </c>
      <c r="D334" s="32" t="str">
        <f>IFERROR(__xludf.DUMMYFUNCTION("""COMPUTED_VALUE"""),"Land of Spira")</f>
        <v>Land of Spira</v>
      </c>
      <c r="E334" s="32" t="b">
        <f>IFERROR(__xludf.DUMMYFUNCTION("""COMPUTED_VALUE"""),TRUE)</f>
        <v>1</v>
      </c>
      <c r="F334" s="32"/>
      <c r="G334" s="32"/>
      <c r="H334" s="32"/>
      <c r="I334" s="32"/>
      <c r="J334" s="32"/>
      <c r="K334" s="32"/>
      <c r="L334" s="32"/>
      <c r="M334" s="32"/>
      <c r="N334" s="32"/>
      <c r="O334" s="32"/>
      <c r="P334" s="32"/>
      <c r="Q334" s="32"/>
      <c r="R334" s="32"/>
      <c r="S334" s="32"/>
      <c r="T334" s="32"/>
      <c r="U334" s="32"/>
      <c r="V334" s="32"/>
      <c r="W334" s="32"/>
      <c r="X334" s="32"/>
      <c r="Y334" s="32"/>
      <c r="Z334" s="32"/>
    </row>
    <row r="335">
      <c r="A335" s="50" t="str">
        <f>IFERROR(__xludf.DUMMYFUNCTION("""COMPUTED_VALUE"""),"Awkward Potion")</f>
        <v>Awkward Potion</v>
      </c>
      <c r="B335" s="50" t="str">
        <f>IFERROR(__xludf.DUMMYFUNCTION("""COMPUTED_VALUE"""),": + +100HP And 100 SP")</f>
        <v>: + +100HP And 100 SP</v>
      </c>
      <c r="C335" s="32" t="str">
        <f>IFERROR(__xludf.DUMMYFUNCTION("""COMPUTED_VALUE"""),"Item")</f>
        <v>Item</v>
      </c>
      <c r="D335" s="32" t="str">
        <f>IFERROR(__xludf.DUMMYFUNCTION("""COMPUTED_VALUE"""),"Land of Spira")</f>
        <v>Land of Spira</v>
      </c>
      <c r="E335" s="32" t="b">
        <f>IFERROR(__xludf.DUMMYFUNCTION("""COMPUTED_VALUE"""),TRUE)</f>
        <v>1</v>
      </c>
      <c r="F335" s="32"/>
      <c r="G335" s="32"/>
      <c r="H335" s="32"/>
      <c r="I335" s="32"/>
      <c r="J335" s="32"/>
      <c r="K335" s="32"/>
      <c r="L335" s="32"/>
      <c r="M335" s="32"/>
      <c r="N335" s="32"/>
      <c r="O335" s="32"/>
      <c r="P335" s="32"/>
      <c r="Q335" s="32"/>
      <c r="R335" s="32"/>
      <c r="S335" s="32"/>
      <c r="T335" s="32"/>
      <c r="U335" s="32"/>
      <c r="V335" s="32"/>
      <c r="W335" s="32"/>
      <c r="X335" s="32"/>
      <c r="Y335" s="32"/>
      <c r="Z335" s="32"/>
    </row>
    <row r="336">
      <c r="A336" s="50" t="str">
        <f>IFERROR(__xludf.DUMMYFUNCTION("""COMPUTED_VALUE"""),"Defensive Potion")</f>
        <v>Defensive Potion</v>
      </c>
      <c r="B336" s="50" t="str">
        <f>IFERROR(__xludf.DUMMYFUNCTION("""COMPUTED_VALUE"""),": + +1000 def for 3 rounds")</f>
        <v>: + +1000 def for 3 rounds</v>
      </c>
      <c r="C336" s="32" t="str">
        <f>IFERROR(__xludf.DUMMYFUNCTION("""COMPUTED_VALUE"""),"Item")</f>
        <v>Item</v>
      </c>
      <c r="D336" s="32" t="str">
        <f>IFERROR(__xludf.DUMMYFUNCTION("""COMPUTED_VALUE"""),"Land of Spira")</f>
        <v>Land of Spira</v>
      </c>
      <c r="E336" s="32" t="b">
        <f>IFERROR(__xludf.DUMMYFUNCTION("""COMPUTED_VALUE"""),TRUE)</f>
        <v>1</v>
      </c>
      <c r="F336" s="32"/>
      <c r="G336" s="32"/>
      <c r="H336" s="32"/>
      <c r="I336" s="32"/>
      <c r="J336" s="32"/>
      <c r="K336" s="32"/>
      <c r="L336" s="32"/>
      <c r="M336" s="32"/>
      <c r="N336" s="32"/>
      <c r="O336" s="32"/>
      <c r="P336" s="32"/>
      <c r="Q336" s="32"/>
      <c r="R336" s="32"/>
      <c r="S336" s="32"/>
      <c r="T336" s="32"/>
      <c r="U336" s="32"/>
      <c r="V336" s="32"/>
      <c r="W336" s="32"/>
      <c r="X336" s="32"/>
      <c r="Y336" s="32"/>
      <c r="Z336" s="32"/>
    </row>
    <row r="337">
      <c r="A337" s="50" t="str">
        <f>IFERROR(__xludf.DUMMYFUNCTION("""COMPUTED_VALUE"""),"Offensive Potion")</f>
        <v>Offensive Potion</v>
      </c>
      <c r="B337" s="50" t="str">
        <f>IFERROR(__xludf.DUMMYFUNCTION("""COMPUTED_VALUE"""),": + +1000 atk for 3 rounds")</f>
        <v>: + +1000 atk for 3 rounds</v>
      </c>
      <c r="C337" s="32" t="str">
        <f>IFERROR(__xludf.DUMMYFUNCTION("""COMPUTED_VALUE"""),"Item")</f>
        <v>Item</v>
      </c>
      <c r="D337" s="32" t="str">
        <f>IFERROR(__xludf.DUMMYFUNCTION("""COMPUTED_VALUE"""),"Land of Spira")</f>
        <v>Land of Spira</v>
      </c>
      <c r="E337" s="32" t="b">
        <f>IFERROR(__xludf.DUMMYFUNCTION("""COMPUTED_VALUE"""),FALSE)</f>
        <v>0</v>
      </c>
      <c r="F337" s="32"/>
      <c r="G337" s="32"/>
      <c r="H337" s="32"/>
      <c r="I337" s="32"/>
      <c r="J337" s="32"/>
      <c r="K337" s="32"/>
      <c r="L337" s="32"/>
      <c r="M337" s="32"/>
      <c r="N337" s="32"/>
      <c r="O337" s="32"/>
      <c r="P337" s="32"/>
      <c r="Q337" s="32"/>
      <c r="R337" s="32"/>
      <c r="S337" s="32"/>
      <c r="T337" s="32"/>
      <c r="U337" s="32"/>
      <c r="V337" s="32"/>
      <c r="W337" s="32"/>
      <c r="X337" s="32"/>
      <c r="Y337" s="32"/>
      <c r="Z337" s="32"/>
    </row>
    <row r="338">
      <c r="A338" s="50" t="str">
        <f>IFERROR(__xludf.DUMMYFUNCTION("""COMPUTED_VALUE"""),"Potion of Swift")</f>
        <v>Potion of Swift</v>
      </c>
      <c r="B338" s="50" t="str">
        <f>IFERROR(__xludf.DUMMYFUNCTION("""COMPUTED_VALUE"""),": + +add 5 evasion for 3 rounds")</f>
        <v>: + +add 5 evasion for 3 rounds</v>
      </c>
      <c r="C338" s="32" t="str">
        <f>IFERROR(__xludf.DUMMYFUNCTION("""COMPUTED_VALUE"""),"Item")</f>
        <v>Item</v>
      </c>
      <c r="D338" s="32" t="str">
        <f>IFERROR(__xludf.DUMMYFUNCTION("""COMPUTED_VALUE"""),"Land of Spira")</f>
        <v>Land of Spira</v>
      </c>
      <c r="E338" s="32" t="b">
        <f>IFERROR(__xludf.DUMMYFUNCTION("""COMPUTED_VALUE"""),TRUE)</f>
        <v>1</v>
      </c>
      <c r="F338" s="32"/>
      <c r="G338" s="32"/>
      <c r="H338" s="32"/>
      <c r="I338" s="32"/>
      <c r="J338" s="32"/>
      <c r="K338" s="32"/>
      <c r="L338" s="32"/>
      <c r="M338" s="32"/>
      <c r="N338" s="32"/>
      <c r="O338" s="32"/>
      <c r="P338" s="32"/>
      <c r="Q338" s="32"/>
      <c r="R338" s="32"/>
      <c r="S338" s="32"/>
      <c r="T338" s="32"/>
      <c r="U338" s="32"/>
      <c r="V338" s="32"/>
      <c r="W338" s="32"/>
      <c r="X338" s="32"/>
      <c r="Y338" s="32"/>
      <c r="Z338" s="32"/>
    </row>
    <row r="339">
      <c r="A339" s="50" t="str">
        <f>IFERROR(__xludf.DUMMYFUNCTION("""COMPUTED_VALUE"""),"Potion of Mana Regeneration")</f>
        <v>Potion of Mana Regeneration</v>
      </c>
      <c r="B339" s="50" t="str">
        <f>IFERROR(__xludf.DUMMYFUNCTION("""COMPUTED_VALUE"""),": + +500SP p/r for 3 rounds")</f>
        <v>: + +500SP p/r for 3 rounds</v>
      </c>
      <c r="C339" s="32" t="str">
        <f>IFERROR(__xludf.DUMMYFUNCTION("""COMPUTED_VALUE"""),"Item")</f>
        <v>Item</v>
      </c>
      <c r="D339" s="32" t="str">
        <f>IFERROR(__xludf.DUMMYFUNCTION("""COMPUTED_VALUE"""),"Land of Spira")</f>
        <v>Land of Spira</v>
      </c>
      <c r="E339" s="32" t="b">
        <f>IFERROR(__xludf.DUMMYFUNCTION("""COMPUTED_VALUE"""),FALSE)</f>
        <v>0</v>
      </c>
      <c r="F339" s="32"/>
      <c r="G339" s="32"/>
      <c r="H339" s="32"/>
      <c r="I339" s="32"/>
      <c r="J339" s="32"/>
      <c r="K339" s="32"/>
      <c r="L339" s="32"/>
      <c r="M339" s="32"/>
      <c r="N339" s="32"/>
      <c r="O339" s="32"/>
      <c r="P339" s="32"/>
      <c r="Q339" s="32"/>
      <c r="R339" s="32"/>
      <c r="S339" s="32"/>
      <c r="T339" s="32"/>
      <c r="U339" s="32"/>
      <c r="V339" s="32"/>
      <c r="W339" s="32"/>
      <c r="X339" s="32"/>
      <c r="Y339" s="32"/>
      <c r="Z339" s="32"/>
    </row>
    <row r="340">
      <c r="A340" s="50" t="str">
        <f>IFERROR(__xludf.DUMMYFUNCTION("""COMPUTED_VALUE"""),"Potion of Thorns")</f>
        <v>Potion of Thorns</v>
      </c>
      <c r="B340" s="50" t="str">
        <f>IFERROR(__xludf.DUMMYFUNCTION("""COMPUTED_VALUE"""),": + +When a target deals damage to you they take the same amount of damage back.")</f>
        <v>: + +When a target deals damage to you they take the same amount of damage back.</v>
      </c>
      <c r="C340" s="32" t="str">
        <f>IFERROR(__xludf.DUMMYFUNCTION("""COMPUTED_VALUE"""),"Item")</f>
        <v>Item</v>
      </c>
      <c r="D340" s="32" t="str">
        <f>IFERROR(__xludf.DUMMYFUNCTION("""COMPUTED_VALUE"""),"Land of Spira")</f>
        <v>Land of Spira</v>
      </c>
      <c r="E340" s="32" t="b">
        <f>IFERROR(__xludf.DUMMYFUNCTION("""COMPUTED_VALUE"""),FALSE)</f>
        <v>0</v>
      </c>
      <c r="F340" s="32"/>
      <c r="G340" s="32"/>
      <c r="H340" s="32"/>
      <c r="I340" s="32"/>
      <c r="J340" s="32"/>
      <c r="K340" s="32"/>
      <c r="L340" s="32"/>
      <c r="M340" s="32"/>
      <c r="N340" s="32"/>
      <c r="O340" s="32"/>
      <c r="P340" s="32"/>
      <c r="Q340" s="32"/>
      <c r="R340" s="32"/>
      <c r="S340" s="32"/>
      <c r="T340" s="32"/>
      <c r="U340" s="32"/>
      <c r="V340" s="32"/>
      <c r="W340" s="32"/>
      <c r="X340" s="32"/>
      <c r="Y340" s="32"/>
      <c r="Z340" s="32"/>
    </row>
    <row r="341">
      <c r="A341" s="50" t="str">
        <f>IFERROR(__xludf.DUMMYFUNCTION("""COMPUTED_VALUE"""),"Potion of Resistance")</f>
        <v>Potion of Resistance</v>
      </c>
      <c r="B341" s="50" t="str">
        <f>IFERROR(__xludf.DUMMYFUNCTION("""COMPUTED_VALUE"""),": + +1000 resistance to all attacks for 3 rounds.")</f>
        <v>: + +1000 resistance to all attacks for 3 rounds.</v>
      </c>
      <c r="C341" s="32" t="str">
        <f>IFERROR(__xludf.DUMMYFUNCTION("""COMPUTED_VALUE"""),"Item")</f>
        <v>Item</v>
      </c>
      <c r="D341" s="32" t="str">
        <f>IFERROR(__xludf.DUMMYFUNCTION("""COMPUTED_VALUE"""),"Land of Spira")</f>
        <v>Land of Spira</v>
      </c>
      <c r="E341" s="32" t="b">
        <f>IFERROR(__xludf.DUMMYFUNCTION("""COMPUTED_VALUE"""),FALSE)</f>
        <v>0</v>
      </c>
      <c r="F341" s="32"/>
      <c r="G341" s="32"/>
      <c r="H341" s="32"/>
      <c r="I341" s="32"/>
      <c r="J341" s="32"/>
      <c r="K341" s="32"/>
      <c r="L341" s="32"/>
      <c r="M341" s="32"/>
      <c r="N341" s="32"/>
      <c r="O341" s="32"/>
      <c r="P341" s="32"/>
      <c r="Q341" s="32"/>
      <c r="R341" s="32"/>
      <c r="S341" s="32"/>
      <c r="T341" s="32"/>
      <c r="U341" s="32"/>
      <c r="V341" s="32"/>
      <c r="W341" s="32"/>
      <c r="X341" s="32"/>
      <c r="Y341" s="32"/>
      <c r="Z341" s="32"/>
    </row>
    <row r="342">
      <c r="A342" s="50" t="str">
        <f>IFERROR(__xludf.DUMMYFUNCTION("""COMPUTED_VALUE"""),"Potion of Speed")</f>
        <v>Potion of Speed</v>
      </c>
      <c r="B342" s="50" t="str">
        <f>IFERROR(__xludf.DUMMYFUNCTION("""COMPUTED_VALUE"""),": + +Allows 2 additional turns in one on your next turn.")</f>
        <v>: + +Allows 2 additional turns in one on your next turn.</v>
      </c>
      <c r="C342" s="32" t="str">
        <f>IFERROR(__xludf.DUMMYFUNCTION("""COMPUTED_VALUE"""),"Item")</f>
        <v>Item</v>
      </c>
      <c r="D342" s="32" t="str">
        <f>IFERROR(__xludf.DUMMYFUNCTION("""COMPUTED_VALUE"""),"Land of Spira")</f>
        <v>Land of Spira</v>
      </c>
      <c r="E342" s="32" t="b">
        <f>IFERROR(__xludf.DUMMYFUNCTION("""COMPUTED_VALUE"""),FALSE)</f>
        <v>0</v>
      </c>
      <c r="F342" s="32"/>
      <c r="G342" s="32"/>
      <c r="H342" s="32"/>
      <c r="I342" s="32"/>
      <c r="J342" s="32"/>
      <c r="K342" s="32"/>
      <c r="L342" s="32"/>
      <c r="M342" s="32"/>
      <c r="N342" s="32"/>
      <c r="O342" s="32"/>
      <c r="P342" s="32"/>
      <c r="Q342" s="32"/>
      <c r="R342" s="32"/>
      <c r="S342" s="32"/>
      <c r="T342" s="32"/>
      <c r="U342" s="32"/>
      <c r="V342" s="32"/>
      <c r="W342" s="32"/>
      <c r="X342" s="32"/>
      <c r="Y342" s="32"/>
      <c r="Z342" s="32"/>
    </row>
    <row r="343">
      <c r="A343" s="50" t="str">
        <f>IFERROR(__xludf.DUMMYFUNCTION("""COMPUTED_VALUE"""),"Potion of Luck")</f>
        <v>Potion of Luck</v>
      </c>
      <c r="B343" s="50" t="str">
        <f>IFERROR(__xludf.DUMMYFUNCTION("""COMPUTED_VALUE"""),": + +Allows you to get an enemies highest loot role (Must be used during battle)")</f>
        <v>: + +Allows you to get an enemies highest loot role (Must be used during battle)</v>
      </c>
      <c r="C343" s="32" t="str">
        <f>IFERROR(__xludf.DUMMYFUNCTION("""COMPUTED_VALUE"""),"Item")</f>
        <v>Item</v>
      </c>
      <c r="D343" s="32" t="str">
        <f>IFERROR(__xludf.DUMMYFUNCTION("""COMPUTED_VALUE"""),"Land of Spira")</f>
        <v>Land of Spira</v>
      </c>
      <c r="E343" s="32" t="b">
        <f>IFERROR(__xludf.DUMMYFUNCTION("""COMPUTED_VALUE"""),TRUE)</f>
        <v>1</v>
      </c>
      <c r="F343" s="32"/>
      <c r="G343" s="32"/>
      <c r="H343" s="32"/>
      <c r="I343" s="32"/>
      <c r="J343" s="32"/>
      <c r="K343" s="32"/>
      <c r="L343" s="32"/>
      <c r="M343" s="32"/>
      <c r="N343" s="32"/>
      <c r="O343" s="32"/>
      <c r="P343" s="32"/>
      <c r="Q343" s="32"/>
      <c r="R343" s="32"/>
      <c r="S343" s="32"/>
      <c r="T343" s="32"/>
      <c r="U343" s="32"/>
      <c r="V343" s="32"/>
      <c r="W343" s="32"/>
      <c r="X343" s="32"/>
      <c r="Y343" s="32"/>
      <c r="Z343" s="32"/>
    </row>
    <row r="344">
      <c r="A344" s="50" t="str">
        <f>IFERROR(__xludf.DUMMYFUNCTION("""COMPUTED_VALUE"""),"Potion of Regeneration")</f>
        <v>Potion of Regeneration</v>
      </c>
      <c r="B344" s="50" t="str">
        <f>IFERROR(__xludf.DUMMYFUNCTION("""COMPUTED_VALUE"""),": + +500HP p/r for 3 rounds.")</f>
        <v>: + +500HP p/r for 3 rounds.</v>
      </c>
      <c r="C344" s="32" t="str">
        <f>IFERROR(__xludf.DUMMYFUNCTION("""COMPUTED_VALUE"""),"Item")</f>
        <v>Item</v>
      </c>
      <c r="D344" s="32" t="str">
        <f>IFERROR(__xludf.DUMMYFUNCTION("""COMPUTED_VALUE"""),"Land of Spira")</f>
        <v>Land of Spira</v>
      </c>
      <c r="E344" s="32" t="b">
        <f>IFERROR(__xludf.DUMMYFUNCTION("""COMPUTED_VALUE"""),FALSE)</f>
        <v>0</v>
      </c>
      <c r="F344" s="32"/>
      <c r="G344" s="32"/>
      <c r="H344" s="32"/>
      <c r="I344" s="32"/>
      <c r="J344" s="32"/>
      <c r="K344" s="32"/>
      <c r="L344" s="32"/>
      <c r="M344" s="32"/>
      <c r="N344" s="32"/>
      <c r="O344" s="32"/>
      <c r="P344" s="32"/>
      <c r="Q344" s="32"/>
      <c r="R344" s="32"/>
      <c r="S344" s="32"/>
      <c r="T344" s="32"/>
      <c r="U344" s="32"/>
      <c r="V344" s="32"/>
      <c r="W344" s="32"/>
      <c r="X344" s="32"/>
      <c r="Y344" s="32"/>
      <c r="Z344" s="32"/>
    </row>
    <row r="345">
      <c r="A345" s="50" t="str">
        <f>IFERROR(__xludf.DUMMYFUNCTION("""COMPUTED_VALUE"""),"Potion of Immunity")</f>
        <v>Potion of Immunity</v>
      </c>
      <c r="B345" s="50" t="str">
        <f>IFERROR(__xludf.DUMMYFUNCTION("""COMPUTED_VALUE"""),": + +Gain immunity to all attacks for 3 rounds.")</f>
        <v>: + +Gain immunity to all attacks for 3 rounds.</v>
      </c>
      <c r="C345" s="32" t="str">
        <f>IFERROR(__xludf.DUMMYFUNCTION("""COMPUTED_VALUE"""),"Item")</f>
        <v>Item</v>
      </c>
      <c r="D345" s="32" t="str">
        <f>IFERROR(__xludf.DUMMYFUNCTION("""COMPUTED_VALUE"""),"Land of Spira")</f>
        <v>Land of Spira</v>
      </c>
      <c r="E345" s="32" t="b">
        <f>IFERROR(__xludf.DUMMYFUNCTION("""COMPUTED_VALUE"""),TRUE)</f>
        <v>1</v>
      </c>
      <c r="F345" s="32"/>
      <c r="G345" s="32"/>
      <c r="H345" s="32"/>
      <c r="I345" s="32"/>
      <c r="J345" s="32"/>
      <c r="K345" s="32"/>
      <c r="L345" s="32"/>
      <c r="M345" s="32"/>
      <c r="N345" s="32"/>
      <c r="O345" s="32"/>
      <c r="P345" s="32"/>
      <c r="Q345" s="32"/>
      <c r="R345" s="32"/>
      <c r="S345" s="32"/>
      <c r="T345" s="32"/>
      <c r="U345" s="32"/>
      <c r="V345" s="32"/>
      <c r="W345" s="32"/>
      <c r="X345" s="32"/>
      <c r="Y345" s="32"/>
      <c r="Z345" s="32"/>
    </row>
    <row r="346">
      <c r="A346" s="50" t="str">
        <f>IFERROR(__xludf.DUMMYFUNCTION("""COMPUTED_VALUE"""),"Apple")</f>
        <v>Apple</v>
      </c>
      <c r="B346" s="50" t="str">
        <f>IFERROR(__xludf.DUMMYFUNCTION("""COMPUTED_VALUE"""),"5 hunger and thirst.")</f>
        <v>5 hunger and thirst.</v>
      </c>
      <c r="C346" s="32" t="str">
        <f>IFERROR(__xludf.DUMMYFUNCTION("""COMPUTED_VALUE"""),"Crop")</f>
        <v>Crop</v>
      </c>
      <c r="D346" s="32" t="str">
        <f>IFERROR(__xludf.DUMMYFUNCTION("""COMPUTED_VALUE"""),"Land of Spira")</f>
        <v>Land of Spira</v>
      </c>
      <c r="E346" s="32" t="b">
        <f>IFERROR(__xludf.DUMMYFUNCTION("""COMPUTED_VALUE"""),FALSE)</f>
        <v>0</v>
      </c>
      <c r="F346" s="32"/>
      <c r="G346" s="32"/>
      <c r="H346" s="32"/>
      <c r="I346" s="32"/>
      <c r="J346" s="32"/>
      <c r="K346" s="32"/>
      <c r="L346" s="32"/>
      <c r="M346" s="32"/>
      <c r="N346" s="32"/>
      <c r="O346" s="32"/>
      <c r="P346" s="32"/>
      <c r="Q346" s="32"/>
      <c r="R346" s="32"/>
      <c r="S346" s="32"/>
      <c r="T346" s="32"/>
      <c r="U346" s="32"/>
      <c r="V346" s="32"/>
      <c r="W346" s="32"/>
      <c r="X346" s="32"/>
      <c r="Y346" s="32"/>
      <c r="Z346" s="32"/>
    </row>
    <row r="347">
      <c r="A347" s="50" t="str">
        <f>IFERROR(__xludf.DUMMYFUNCTION("""COMPUTED_VALUE"""),"Watermelon")</f>
        <v>Watermelon</v>
      </c>
      <c r="B347" s="50" t="str">
        <f>IFERROR(__xludf.DUMMYFUNCTION("""COMPUTED_VALUE"""),"100 hunger, thirst, and energy. Feeds self and up to 2 party members.")</f>
        <v>100 hunger, thirst, and energy. Feeds self and up to 2 party members.</v>
      </c>
      <c r="C347" s="32" t="str">
        <f>IFERROR(__xludf.DUMMYFUNCTION("""COMPUTED_VALUE"""),"Crop")</f>
        <v>Crop</v>
      </c>
      <c r="D347" s="32" t="str">
        <f>IFERROR(__xludf.DUMMYFUNCTION("""COMPUTED_VALUE"""),"Land of Spira")</f>
        <v>Land of Spira</v>
      </c>
      <c r="E347" s="32" t="b">
        <f>IFERROR(__xludf.DUMMYFUNCTION("""COMPUTED_VALUE"""),TRUE)</f>
        <v>1</v>
      </c>
      <c r="F347" s="32"/>
      <c r="G347" s="32"/>
      <c r="H347" s="32"/>
      <c r="I347" s="32"/>
      <c r="J347" s="32"/>
      <c r="K347" s="32"/>
      <c r="L347" s="32"/>
      <c r="M347" s="32"/>
      <c r="N347" s="32"/>
      <c r="O347" s="32"/>
      <c r="P347" s="32"/>
      <c r="Q347" s="32"/>
      <c r="R347" s="32"/>
      <c r="S347" s="32"/>
      <c r="T347" s="32"/>
      <c r="U347" s="32"/>
      <c r="V347" s="32"/>
      <c r="W347" s="32"/>
      <c r="X347" s="32"/>
      <c r="Y347" s="32"/>
      <c r="Z347" s="32"/>
    </row>
    <row r="348">
      <c r="A348" s="50" t="str">
        <f>IFERROR(__xludf.DUMMYFUNCTION("""COMPUTED_VALUE"""),"Orange")</f>
        <v>Orange</v>
      </c>
      <c r="B348" s="50" t="str">
        <f>IFERROR(__xludf.DUMMYFUNCTION("""COMPUTED_VALUE"""),"5 hunger and thirst.")</f>
        <v>5 hunger and thirst.</v>
      </c>
      <c r="C348" s="32" t="str">
        <f>IFERROR(__xludf.DUMMYFUNCTION("""COMPUTED_VALUE"""),"Crop")</f>
        <v>Crop</v>
      </c>
      <c r="D348" s="32" t="str">
        <f>IFERROR(__xludf.DUMMYFUNCTION("""COMPUTED_VALUE"""),"Land of Spira")</f>
        <v>Land of Spira</v>
      </c>
      <c r="E348" s="32" t="b">
        <f>IFERROR(__xludf.DUMMYFUNCTION("""COMPUTED_VALUE"""),FALSE)</f>
        <v>0</v>
      </c>
      <c r="F348" s="32"/>
      <c r="G348" s="32"/>
      <c r="H348" s="32"/>
      <c r="I348" s="32"/>
      <c r="J348" s="32"/>
      <c r="K348" s="32"/>
      <c r="L348" s="32"/>
      <c r="M348" s="32"/>
      <c r="N348" s="32"/>
      <c r="O348" s="32"/>
      <c r="P348" s="32"/>
      <c r="Q348" s="32"/>
      <c r="R348" s="32"/>
      <c r="S348" s="32"/>
      <c r="T348" s="32"/>
      <c r="U348" s="32"/>
      <c r="V348" s="32"/>
      <c r="W348" s="32"/>
      <c r="X348" s="32"/>
      <c r="Y348" s="32"/>
      <c r="Z348" s="32"/>
    </row>
    <row r="349">
      <c r="A349" s="50" t="str">
        <f>IFERROR(__xludf.DUMMYFUNCTION("""COMPUTED_VALUE"""),"Pear")</f>
        <v>Pear</v>
      </c>
      <c r="B349" s="50" t="str">
        <f>IFERROR(__xludf.DUMMYFUNCTION("""COMPUTED_VALUE"""),"5 hunger and thirst.")</f>
        <v>5 hunger and thirst.</v>
      </c>
      <c r="C349" s="32" t="str">
        <f>IFERROR(__xludf.DUMMYFUNCTION("""COMPUTED_VALUE"""),"Crop")</f>
        <v>Crop</v>
      </c>
      <c r="D349" s="32" t="str">
        <f>IFERROR(__xludf.DUMMYFUNCTION("""COMPUTED_VALUE"""),"Land of Spira")</f>
        <v>Land of Spira</v>
      </c>
      <c r="E349" s="32" t="b">
        <f>IFERROR(__xludf.DUMMYFUNCTION("""COMPUTED_VALUE"""),TRUE)</f>
        <v>1</v>
      </c>
      <c r="F349" s="32"/>
      <c r="G349" s="32"/>
      <c r="H349" s="32"/>
      <c r="I349" s="32"/>
      <c r="J349" s="32"/>
      <c r="K349" s="32"/>
      <c r="L349" s="32"/>
      <c r="M349" s="32"/>
      <c r="N349" s="32"/>
      <c r="O349" s="32"/>
      <c r="P349" s="32"/>
      <c r="Q349" s="32"/>
      <c r="R349" s="32"/>
      <c r="S349" s="32"/>
      <c r="T349" s="32"/>
      <c r="U349" s="32"/>
      <c r="V349" s="32"/>
      <c r="W349" s="32"/>
      <c r="X349" s="32"/>
      <c r="Y349" s="32"/>
      <c r="Z349" s="32"/>
    </row>
    <row r="350">
      <c r="A350" s="50" t="str">
        <f>IFERROR(__xludf.DUMMYFUNCTION("""COMPUTED_VALUE"""),"Cherry")</f>
        <v>Cherry</v>
      </c>
      <c r="B350" s="50" t="str">
        <f>IFERROR(__xludf.DUMMYFUNCTION("""COMPUTED_VALUE"""),"5 hunger and thirst.")</f>
        <v>5 hunger and thirst.</v>
      </c>
      <c r="C350" s="32" t="str">
        <f>IFERROR(__xludf.DUMMYFUNCTION("""COMPUTED_VALUE"""),"Crop")</f>
        <v>Crop</v>
      </c>
      <c r="D350" s="32" t="str">
        <f>IFERROR(__xludf.DUMMYFUNCTION("""COMPUTED_VALUE"""),"Land of Spira")</f>
        <v>Land of Spira</v>
      </c>
      <c r="E350" s="32" t="b">
        <f>IFERROR(__xludf.DUMMYFUNCTION("""COMPUTED_VALUE"""),FALSE)</f>
        <v>0</v>
      </c>
      <c r="F350" s="32"/>
      <c r="G350" s="32"/>
      <c r="H350" s="32"/>
      <c r="I350" s="32"/>
      <c r="J350" s="32"/>
      <c r="K350" s="32"/>
      <c r="L350" s="32"/>
      <c r="M350" s="32"/>
      <c r="N350" s="32"/>
      <c r="O350" s="32"/>
      <c r="P350" s="32"/>
      <c r="Q350" s="32"/>
      <c r="R350" s="32"/>
      <c r="S350" s="32"/>
      <c r="T350" s="32"/>
      <c r="U350" s="32"/>
      <c r="V350" s="32"/>
      <c r="W350" s="32"/>
      <c r="X350" s="32"/>
      <c r="Y350" s="32"/>
      <c r="Z350" s="32"/>
    </row>
    <row r="351">
      <c r="A351" s="50" t="str">
        <f>IFERROR(__xludf.DUMMYFUNCTION("""COMPUTED_VALUE"""),"Strawberries")</f>
        <v>Strawberries</v>
      </c>
      <c r="B351" s="50" t="str">
        <f>IFERROR(__xludf.DUMMYFUNCTION("""COMPUTED_VALUE"""),"5 hunger and thirst.")</f>
        <v>5 hunger and thirst.</v>
      </c>
      <c r="C351" s="32" t="str">
        <f>IFERROR(__xludf.DUMMYFUNCTION("""COMPUTED_VALUE"""),"Crop")</f>
        <v>Crop</v>
      </c>
      <c r="D351" s="32" t="str">
        <f>IFERROR(__xludf.DUMMYFUNCTION("""COMPUTED_VALUE"""),"Land of Spira")</f>
        <v>Land of Spira</v>
      </c>
      <c r="E351" s="32" t="b">
        <f>IFERROR(__xludf.DUMMYFUNCTION("""COMPUTED_VALUE"""),FALSE)</f>
        <v>0</v>
      </c>
      <c r="F351" s="32"/>
      <c r="G351" s="32"/>
      <c r="H351" s="32"/>
      <c r="I351" s="32"/>
      <c r="J351" s="32"/>
      <c r="K351" s="32"/>
      <c r="L351" s="32"/>
      <c r="M351" s="32"/>
      <c r="N351" s="32"/>
      <c r="O351" s="32"/>
      <c r="P351" s="32"/>
      <c r="Q351" s="32"/>
      <c r="R351" s="32"/>
      <c r="S351" s="32"/>
      <c r="T351" s="32"/>
      <c r="U351" s="32"/>
      <c r="V351" s="32"/>
      <c r="W351" s="32"/>
      <c r="X351" s="32"/>
      <c r="Y351" s="32"/>
      <c r="Z351" s="32"/>
    </row>
    <row r="352">
      <c r="A352" s="50" t="str">
        <f>IFERROR(__xludf.DUMMYFUNCTION("""COMPUTED_VALUE"""),"Nectarine")</f>
        <v>Nectarine</v>
      </c>
      <c r="B352" s="50" t="str">
        <f>IFERROR(__xludf.DUMMYFUNCTION("""COMPUTED_VALUE"""),"5 hunger and thirst.")</f>
        <v>5 hunger and thirst.</v>
      </c>
      <c r="C352" s="32" t="str">
        <f>IFERROR(__xludf.DUMMYFUNCTION("""COMPUTED_VALUE"""),"Crop")</f>
        <v>Crop</v>
      </c>
      <c r="D352" s="32" t="str">
        <f>IFERROR(__xludf.DUMMYFUNCTION("""COMPUTED_VALUE"""),"Land of Spira")</f>
        <v>Land of Spira</v>
      </c>
      <c r="E352" s="32" t="b">
        <f>IFERROR(__xludf.DUMMYFUNCTION("""COMPUTED_VALUE"""),FALSE)</f>
        <v>0</v>
      </c>
      <c r="F352" s="32"/>
      <c r="G352" s="32"/>
      <c r="H352" s="32"/>
      <c r="I352" s="32"/>
      <c r="J352" s="32"/>
      <c r="K352" s="32"/>
      <c r="L352" s="32"/>
      <c r="M352" s="32"/>
      <c r="N352" s="32"/>
      <c r="O352" s="32"/>
      <c r="P352" s="32"/>
      <c r="Q352" s="32"/>
      <c r="R352" s="32"/>
      <c r="S352" s="32"/>
      <c r="T352" s="32"/>
      <c r="U352" s="32"/>
      <c r="V352" s="32"/>
      <c r="W352" s="32"/>
      <c r="X352" s="32"/>
      <c r="Y352" s="32"/>
      <c r="Z352" s="32"/>
    </row>
    <row r="353">
      <c r="A353" s="50" t="str">
        <f>IFERROR(__xludf.DUMMYFUNCTION("""COMPUTED_VALUE"""),"Grapes")</f>
        <v>Grapes</v>
      </c>
      <c r="B353" s="50" t="str">
        <f>IFERROR(__xludf.DUMMYFUNCTION("""COMPUTED_VALUE"""),"5 hunger and thirst.")</f>
        <v>5 hunger and thirst.</v>
      </c>
      <c r="C353" s="32" t="str">
        <f>IFERROR(__xludf.DUMMYFUNCTION("""COMPUTED_VALUE"""),"Crop")</f>
        <v>Crop</v>
      </c>
      <c r="D353" s="32" t="str">
        <f>IFERROR(__xludf.DUMMYFUNCTION("""COMPUTED_VALUE"""),"Land of Spira")</f>
        <v>Land of Spira</v>
      </c>
      <c r="E353" s="32" t="b">
        <f>IFERROR(__xludf.DUMMYFUNCTION("""COMPUTED_VALUE"""),FALSE)</f>
        <v>0</v>
      </c>
      <c r="F353" s="32"/>
      <c r="G353" s="32"/>
      <c r="H353" s="32"/>
      <c r="I353" s="32"/>
      <c r="J353" s="32"/>
      <c r="K353" s="32"/>
      <c r="L353" s="32"/>
      <c r="M353" s="32"/>
      <c r="N353" s="32"/>
      <c r="O353" s="32"/>
      <c r="P353" s="32"/>
      <c r="Q353" s="32"/>
      <c r="R353" s="32"/>
      <c r="S353" s="32"/>
      <c r="T353" s="32"/>
      <c r="U353" s="32"/>
      <c r="V353" s="32"/>
      <c r="W353" s="32"/>
      <c r="X353" s="32"/>
      <c r="Y353" s="32"/>
      <c r="Z353" s="32"/>
    </row>
    <row r="354">
      <c r="A354" s="50" t="str">
        <f>IFERROR(__xludf.DUMMYFUNCTION("""COMPUTED_VALUE"""),"Mango")</f>
        <v>Mango</v>
      </c>
      <c r="B354" s="50" t="str">
        <f>IFERROR(__xludf.DUMMYFUNCTION("""COMPUTED_VALUE"""),"5 hunger and thirst.")</f>
        <v>5 hunger and thirst.</v>
      </c>
      <c r="C354" s="32" t="str">
        <f>IFERROR(__xludf.DUMMYFUNCTION("""COMPUTED_VALUE"""),"Crop")</f>
        <v>Crop</v>
      </c>
      <c r="D354" s="32" t="str">
        <f>IFERROR(__xludf.DUMMYFUNCTION("""COMPUTED_VALUE"""),"Land of Spira")</f>
        <v>Land of Spira</v>
      </c>
      <c r="E354" s="32" t="b">
        <f>IFERROR(__xludf.DUMMYFUNCTION("""COMPUTED_VALUE"""),TRUE)</f>
        <v>1</v>
      </c>
      <c r="F354" s="32"/>
      <c r="G354" s="32"/>
      <c r="H354" s="32"/>
      <c r="I354" s="32"/>
      <c r="J354" s="32"/>
      <c r="K354" s="32"/>
      <c r="L354" s="32"/>
      <c r="M354" s="32"/>
      <c r="N354" s="32"/>
      <c r="O354" s="32"/>
      <c r="P354" s="32"/>
      <c r="Q354" s="32"/>
      <c r="R354" s="32"/>
      <c r="S354" s="32"/>
      <c r="T354" s="32"/>
      <c r="U354" s="32"/>
      <c r="V354" s="32"/>
      <c r="W354" s="32"/>
      <c r="X354" s="32"/>
      <c r="Y354" s="32"/>
      <c r="Z354" s="32"/>
    </row>
    <row r="355">
      <c r="A355" s="50" t="str">
        <f>IFERROR(__xludf.DUMMYFUNCTION("""COMPUTED_VALUE"""),"Blueberries")</f>
        <v>Blueberries</v>
      </c>
      <c r="B355" s="50" t="str">
        <f>IFERROR(__xludf.DUMMYFUNCTION("""COMPUTED_VALUE"""),"5 hunger and thirst.")</f>
        <v>5 hunger and thirst.</v>
      </c>
      <c r="C355" s="32" t="str">
        <f>IFERROR(__xludf.DUMMYFUNCTION("""COMPUTED_VALUE"""),"Crop")</f>
        <v>Crop</v>
      </c>
      <c r="D355" s="32" t="str">
        <f>IFERROR(__xludf.DUMMYFUNCTION("""COMPUTED_VALUE"""),"Land of Spira")</f>
        <v>Land of Spira</v>
      </c>
      <c r="E355" s="32" t="b">
        <f>IFERROR(__xludf.DUMMYFUNCTION("""COMPUTED_VALUE"""),FALSE)</f>
        <v>0</v>
      </c>
      <c r="F355" s="32"/>
      <c r="G355" s="32"/>
      <c r="H355" s="32"/>
      <c r="I355" s="32"/>
      <c r="J355" s="32"/>
      <c r="K355" s="32"/>
      <c r="L355" s="32"/>
      <c r="M355" s="32"/>
      <c r="N355" s="32"/>
      <c r="O355" s="32"/>
      <c r="P355" s="32"/>
      <c r="Q355" s="32"/>
      <c r="R355" s="32"/>
      <c r="S355" s="32"/>
      <c r="T355" s="32"/>
      <c r="U355" s="32"/>
      <c r="V355" s="32"/>
      <c r="W355" s="32"/>
      <c r="X355" s="32"/>
      <c r="Y355" s="32"/>
      <c r="Z355" s="32"/>
    </row>
    <row r="356">
      <c r="A356" s="50" t="str">
        <f>IFERROR(__xludf.DUMMYFUNCTION("""COMPUTED_VALUE"""),"Pomegranate")</f>
        <v>Pomegranate</v>
      </c>
      <c r="B356" s="50" t="str">
        <f>IFERROR(__xludf.DUMMYFUNCTION("""COMPUTED_VALUE"""),"10 hunger and thirst.")</f>
        <v>10 hunger and thirst.</v>
      </c>
      <c r="C356" s="32" t="str">
        <f>IFERROR(__xludf.DUMMYFUNCTION("""COMPUTED_VALUE"""),"Crop")</f>
        <v>Crop</v>
      </c>
      <c r="D356" s="32" t="str">
        <f>IFERROR(__xludf.DUMMYFUNCTION("""COMPUTED_VALUE"""),"Land of Spira")</f>
        <v>Land of Spira</v>
      </c>
      <c r="E356" s="32" t="b">
        <f>IFERROR(__xludf.DUMMYFUNCTION("""COMPUTED_VALUE"""),FALSE)</f>
        <v>0</v>
      </c>
      <c r="F356" s="32"/>
      <c r="G356" s="32"/>
      <c r="H356" s="32"/>
      <c r="I356" s="32"/>
      <c r="J356" s="32"/>
      <c r="K356" s="32"/>
      <c r="L356" s="32"/>
      <c r="M356" s="32"/>
      <c r="N356" s="32"/>
      <c r="O356" s="32"/>
      <c r="P356" s="32"/>
      <c r="Q356" s="32"/>
      <c r="R356" s="32"/>
      <c r="S356" s="32"/>
      <c r="T356" s="32"/>
      <c r="U356" s="32"/>
      <c r="V356" s="32"/>
      <c r="W356" s="32"/>
      <c r="X356" s="32"/>
      <c r="Y356" s="32"/>
      <c r="Z356" s="32"/>
    </row>
    <row r="357">
      <c r="A357" s="50" t="str">
        <f>IFERROR(__xludf.DUMMYFUNCTION("""COMPUTED_VALUE"""),"StarFruit")</f>
        <v>StarFruit</v>
      </c>
      <c r="B357" s="50" t="str">
        <f>IFERROR(__xludf.DUMMYFUNCTION("""COMPUTED_VALUE"""),"5 hunger and thirst.")</f>
        <v>5 hunger and thirst.</v>
      </c>
      <c r="C357" s="32" t="str">
        <f>IFERROR(__xludf.DUMMYFUNCTION("""COMPUTED_VALUE"""),"Crop")</f>
        <v>Crop</v>
      </c>
      <c r="D357" s="32" t="str">
        <f>IFERROR(__xludf.DUMMYFUNCTION("""COMPUTED_VALUE"""),"Land of Spira")</f>
        <v>Land of Spira</v>
      </c>
      <c r="E357" s="32" t="b">
        <f>IFERROR(__xludf.DUMMYFUNCTION("""COMPUTED_VALUE"""),FALSE)</f>
        <v>0</v>
      </c>
      <c r="F357" s="32"/>
      <c r="G357" s="32"/>
      <c r="H357" s="32"/>
      <c r="I357" s="32"/>
      <c r="J357" s="32"/>
      <c r="K357" s="32"/>
      <c r="L357" s="32"/>
      <c r="M357" s="32"/>
      <c r="N357" s="32"/>
      <c r="O357" s="32"/>
      <c r="P357" s="32"/>
      <c r="Q357" s="32"/>
      <c r="R357" s="32"/>
      <c r="S357" s="32"/>
      <c r="T357" s="32"/>
      <c r="U357" s="32"/>
      <c r="V357" s="32"/>
      <c r="W357" s="32"/>
      <c r="X357" s="32"/>
      <c r="Y357" s="32"/>
      <c r="Z357" s="32"/>
    </row>
    <row r="358">
      <c r="A358" s="50" t="str">
        <f>IFERROR(__xludf.DUMMYFUNCTION("""COMPUTED_VALUE"""),"Plum")</f>
        <v>Plum</v>
      </c>
      <c r="B358" s="50" t="str">
        <f>IFERROR(__xludf.DUMMYFUNCTION("""COMPUTED_VALUE"""),"5 hunger and thirst.")</f>
        <v>5 hunger and thirst.</v>
      </c>
      <c r="C358" s="32" t="str">
        <f>IFERROR(__xludf.DUMMYFUNCTION("""COMPUTED_VALUE"""),"Crop")</f>
        <v>Crop</v>
      </c>
      <c r="D358" s="32" t="str">
        <f>IFERROR(__xludf.DUMMYFUNCTION("""COMPUTED_VALUE"""),"Land of Spira")</f>
        <v>Land of Spira</v>
      </c>
      <c r="E358" s="32" t="b">
        <f>IFERROR(__xludf.DUMMYFUNCTION("""COMPUTED_VALUE"""),FALSE)</f>
        <v>0</v>
      </c>
      <c r="F358" s="32"/>
      <c r="G358" s="32"/>
      <c r="H358" s="32"/>
      <c r="I358" s="32"/>
      <c r="J358" s="32"/>
      <c r="K358" s="32"/>
      <c r="L358" s="32"/>
      <c r="M358" s="32"/>
      <c r="N358" s="32"/>
      <c r="O358" s="32"/>
      <c r="P358" s="32"/>
      <c r="Q358" s="32"/>
      <c r="R358" s="32"/>
      <c r="S358" s="32"/>
      <c r="T358" s="32"/>
      <c r="U358" s="32"/>
      <c r="V358" s="32"/>
      <c r="W358" s="32"/>
      <c r="X358" s="32"/>
      <c r="Y358" s="32"/>
      <c r="Z358" s="32"/>
    </row>
    <row r="359">
      <c r="A359" s="50" t="str">
        <f>IFERROR(__xludf.DUMMYFUNCTION("""COMPUTED_VALUE"""),"Bananas")</f>
        <v>Bananas</v>
      </c>
      <c r="B359" s="50" t="str">
        <f>IFERROR(__xludf.DUMMYFUNCTION("""COMPUTED_VALUE"""),"10 hunger.")</f>
        <v>10 hunger.</v>
      </c>
      <c r="C359" s="32" t="str">
        <f>IFERROR(__xludf.DUMMYFUNCTION("""COMPUTED_VALUE"""),"Crop")</f>
        <v>Crop</v>
      </c>
      <c r="D359" s="32" t="str">
        <f>IFERROR(__xludf.DUMMYFUNCTION("""COMPUTED_VALUE"""),"Land of Spira")</f>
        <v>Land of Spira</v>
      </c>
      <c r="E359" s="32" t="b">
        <f>IFERROR(__xludf.DUMMYFUNCTION("""COMPUTED_VALUE"""),FALSE)</f>
        <v>0</v>
      </c>
      <c r="F359" s="32"/>
      <c r="G359" s="32"/>
      <c r="H359" s="32"/>
      <c r="I359" s="32"/>
      <c r="J359" s="32"/>
      <c r="K359" s="32"/>
      <c r="L359" s="32"/>
      <c r="M359" s="32"/>
      <c r="N359" s="32"/>
      <c r="O359" s="32"/>
      <c r="P359" s="32"/>
      <c r="Q359" s="32"/>
      <c r="R359" s="32"/>
      <c r="S359" s="32"/>
      <c r="T359" s="32"/>
      <c r="U359" s="32"/>
      <c r="V359" s="32"/>
      <c r="W359" s="32"/>
      <c r="X359" s="32"/>
      <c r="Y359" s="32"/>
      <c r="Z359" s="32"/>
    </row>
    <row r="360">
      <c r="A360" s="50" t="str">
        <f>IFERROR(__xludf.DUMMYFUNCTION("""COMPUTED_VALUE"""),"Raspberry")</f>
        <v>Raspberry</v>
      </c>
      <c r="B360" s="50" t="str">
        <f>IFERROR(__xludf.DUMMYFUNCTION("""COMPUTED_VALUE"""),"5 hunger and thirst.")</f>
        <v>5 hunger and thirst.</v>
      </c>
      <c r="C360" s="32" t="str">
        <f>IFERROR(__xludf.DUMMYFUNCTION("""COMPUTED_VALUE"""),"Crop")</f>
        <v>Crop</v>
      </c>
      <c r="D360" s="32" t="str">
        <f>IFERROR(__xludf.DUMMYFUNCTION("""COMPUTED_VALUE"""),"Land of Spira")</f>
        <v>Land of Spira</v>
      </c>
      <c r="E360" s="32" t="b">
        <f>IFERROR(__xludf.DUMMYFUNCTION("""COMPUTED_VALUE"""),TRUE)</f>
        <v>1</v>
      </c>
      <c r="F360" s="32"/>
      <c r="G360" s="32"/>
      <c r="H360" s="32"/>
      <c r="I360" s="32"/>
      <c r="J360" s="32"/>
      <c r="K360" s="32"/>
      <c r="L360" s="32"/>
      <c r="M360" s="32"/>
      <c r="N360" s="32"/>
      <c r="O360" s="32"/>
      <c r="P360" s="32"/>
      <c r="Q360" s="32"/>
      <c r="R360" s="32"/>
      <c r="S360" s="32"/>
      <c r="T360" s="32"/>
      <c r="U360" s="32"/>
      <c r="V360" s="32"/>
      <c r="W360" s="32"/>
      <c r="X360" s="32"/>
      <c r="Y360" s="32"/>
      <c r="Z360" s="32"/>
    </row>
    <row r="361">
      <c r="A361" s="50" t="str">
        <f>IFERROR(__xludf.DUMMYFUNCTION("""COMPUTED_VALUE"""),"Mandarin")</f>
        <v>Mandarin</v>
      </c>
      <c r="B361" s="50" t="str">
        <f>IFERROR(__xludf.DUMMYFUNCTION("""COMPUTED_VALUE"""),"5 hunger and thirst.")</f>
        <v>5 hunger and thirst.</v>
      </c>
      <c r="C361" s="32" t="str">
        <f>IFERROR(__xludf.DUMMYFUNCTION("""COMPUTED_VALUE"""),"Crop")</f>
        <v>Crop</v>
      </c>
      <c r="D361" s="32" t="str">
        <f>IFERROR(__xludf.DUMMYFUNCTION("""COMPUTED_VALUE"""),"Land of Spira")</f>
        <v>Land of Spira</v>
      </c>
      <c r="E361" s="32" t="b">
        <f>IFERROR(__xludf.DUMMYFUNCTION("""COMPUTED_VALUE"""),FALSE)</f>
        <v>0</v>
      </c>
      <c r="F361" s="32"/>
      <c r="G361" s="32"/>
      <c r="H361" s="32"/>
      <c r="I361" s="32"/>
      <c r="J361" s="32"/>
      <c r="K361" s="32"/>
      <c r="L361" s="32"/>
      <c r="M361" s="32"/>
      <c r="N361" s="32"/>
      <c r="O361" s="32"/>
      <c r="P361" s="32"/>
      <c r="Q361" s="32"/>
      <c r="R361" s="32"/>
      <c r="S361" s="32"/>
      <c r="T361" s="32"/>
      <c r="U361" s="32"/>
      <c r="V361" s="32"/>
      <c r="W361" s="32"/>
      <c r="X361" s="32"/>
      <c r="Y361" s="32"/>
      <c r="Z361" s="32"/>
    </row>
    <row r="362">
      <c r="A362" s="50" t="str">
        <f>IFERROR(__xludf.DUMMYFUNCTION("""COMPUTED_VALUE"""),"Jackfruit")</f>
        <v>Jackfruit</v>
      </c>
      <c r="B362" s="50" t="str">
        <f>IFERROR(__xludf.DUMMYFUNCTION("""COMPUTED_VALUE"""),"5 hunger and thirst.")</f>
        <v>5 hunger and thirst.</v>
      </c>
      <c r="C362" s="32" t="str">
        <f>IFERROR(__xludf.DUMMYFUNCTION("""COMPUTED_VALUE"""),"Crop")</f>
        <v>Crop</v>
      </c>
      <c r="D362" s="32" t="str">
        <f>IFERROR(__xludf.DUMMYFUNCTION("""COMPUTED_VALUE"""),"Land of Spira")</f>
        <v>Land of Spira</v>
      </c>
      <c r="E362" s="32" t="b">
        <f>IFERROR(__xludf.DUMMYFUNCTION("""COMPUTED_VALUE"""),FALSE)</f>
        <v>0</v>
      </c>
      <c r="F362" s="32"/>
      <c r="G362" s="32"/>
      <c r="H362" s="32"/>
      <c r="I362" s="32"/>
      <c r="J362" s="32"/>
      <c r="K362" s="32"/>
      <c r="L362" s="32"/>
      <c r="M362" s="32"/>
      <c r="N362" s="32"/>
      <c r="O362" s="32"/>
      <c r="P362" s="32"/>
      <c r="Q362" s="32"/>
      <c r="R362" s="32"/>
      <c r="S362" s="32"/>
      <c r="T362" s="32"/>
      <c r="U362" s="32"/>
      <c r="V362" s="32"/>
      <c r="W362" s="32"/>
      <c r="X362" s="32"/>
      <c r="Y362" s="32"/>
      <c r="Z362" s="32"/>
    </row>
    <row r="363">
      <c r="A363" s="50" t="str">
        <f>IFERROR(__xludf.DUMMYFUNCTION("""COMPUTED_VALUE"""),"Papaya")</f>
        <v>Papaya</v>
      </c>
      <c r="B363" s="50" t="str">
        <f>IFERROR(__xludf.DUMMYFUNCTION("""COMPUTED_VALUE"""),"10 hunger and thirst.")</f>
        <v>10 hunger and thirst.</v>
      </c>
      <c r="C363" s="32" t="str">
        <f>IFERROR(__xludf.DUMMYFUNCTION("""COMPUTED_VALUE"""),"Crop")</f>
        <v>Crop</v>
      </c>
      <c r="D363" s="32" t="str">
        <f>IFERROR(__xludf.DUMMYFUNCTION("""COMPUTED_VALUE"""),"Land of Spira")</f>
        <v>Land of Spira</v>
      </c>
      <c r="E363" s="32" t="b">
        <f>IFERROR(__xludf.DUMMYFUNCTION("""COMPUTED_VALUE"""),TRUE)</f>
        <v>1</v>
      </c>
      <c r="F363" s="32"/>
      <c r="G363" s="32"/>
      <c r="H363" s="32"/>
      <c r="I363" s="32"/>
      <c r="J363" s="32"/>
      <c r="K363" s="32"/>
      <c r="L363" s="32"/>
      <c r="M363" s="32"/>
      <c r="N363" s="32"/>
      <c r="O363" s="32"/>
      <c r="P363" s="32"/>
      <c r="Q363" s="32"/>
      <c r="R363" s="32"/>
      <c r="S363" s="32"/>
      <c r="T363" s="32"/>
      <c r="U363" s="32"/>
      <c r="V363" s="32"/>
      <c r="W363" s="32"/>
      <c r="X363" s="32"/>
      <c r="Y363" s="32"/>
      <c r="Z363" s="32"/>
    </row>
    <row r="364">
      <c r="A364" s="50" t="str">
        <f>IFERROR(__xludf.DUMMYFUNCTION("""COMPUTED_VALUE"""),"Kiwi")</f>
        <v>Kiwi</v>
      </c>
      <c r="B364" s="50" t="str">
        <f>IFERROR(__xludf.DUMMYFUNCTION("""COMPUTED_VALUE"""),"5 hunger and thirst.")</f>
        <v>5 hunger and thirst.</v>
      </c>
      <c r="C364" s="32" t="str">
        <f>IFERROR(__xludf.DUMMYFUNCTION("""COMPUTED_VALUE"""),"Crop")</f>
        <v>Crop</v>
      </c>
      <c r="D364" s="32" t="str">
        <f>IFERROR(__xludf.DUMMYFUNCTION("""COMPUTED_VALUE"""),"Land of Spira")</f>
        <v>Land of Spira</v>
      </c>
      <c r="E364" s="32" t="b">
        <f>IFERROR(__xludf.DUMMYFUNCTION("""COMPUTED_VALUE"""),FALSE)</f>
        <v>0</v>
      </c>
      <c r="F364" s="32"/>
      <c r="G364" s="32"/>
      <c r="H364" s="32"/>
      <c r="I364" s="32"/>
      <c r="J364" s="32"/>
      <c r="K364" s="32"/>
      <c r="L364" s="32"/>
      <c r="M364" s="32"/>
      <c r="N364" s="32"/>
      <c r="O364" s="32"/>
      <c r="P364" s="32"/>
      <c r="Q364" s="32"/>
      <c r="R364" s="32"/>
      <c r="S364" s="32"/>
      <c r="T364" s="32"/>
      <c r="U364" s="32"/>
      <c r="V364" s="32"/>
      <c r="W364" s="32"/>
      <c r="X364" s="32"/>
      <c r="Y364" s="32"/>
      <c r="Z364" s="32"/>
    </row>
    <row r="365">
      <c r="A365" s="50" t="str">
        <f>IFERROR(__xludf.DUMMYFUNCTION("""COMPUTED_VALUE"""),"Pineapple")</f>
        <v>Pineapple</v>
      </c>
      <c r="B365" s="50" t="str">
        <f>IFERROR(__xludf.DUMMYFUNCTION("""COMPUTED_VALUE"""),"20 hunger and thirst.")</f>
        <v>20 hunger and thirst.</v>
      </c>
      <c r="C365" s="32" t="str">
        <f>IFERROR(__xludf.DUMMYFUNCTION("""COMPUTED_VALUE"""),"Crop")</f>
        <v>Crop</v>
      </c>
      <c r="D365" s="32" t="str">
        <f>IFERROR(__xludf.DUMMYFUNCTION("""COMPUTED_VALUE"""),"Land of Spira")</f>
        <v>Land of Spira</v>
      </c>
      <c r="E365" s="32" t="b">
        <f>IFERROR(__xludf.DUMMYFUNCTION("""COMPUTED_VALUE"""),FALSE)</f>
        <v>0</v>
      </c>
      <c r="F365" s="32"/>
      <c r="G365" s="32"/>
      <c r="H365" s="32"/>
      <c r="I365" s="32"/>
      <c r="J365" s="32"/>
      <c r="K365" s="32"/>
      <c r="L365" s="32"/>
      <c r="M365" s="32"/>
      <c r="N365" s="32"/>
      <c r="O365" s="32"/>
      <c r="P365" s="32"/>
      <c r="Q365" s="32"/>
      <c r="R365" s="32"/>
      <c r="S365" s="32"/>
      <c r="T365" s="32"/>
      <c r="U365" s="32"/>
      <c r="V365" s="32"/>
      <c r="W365" s="32"/>
      <c r="X365" s="32"/>
      <c r="Y365" s="32"/>
      <c r="Z365" s="32"/>
    </row>
    <row r="366">
      <c r="A366" s="50" t="str">
        <f>IFERROR(__xludf.DUMMYFUNCTION("""COMPUTED_VALUE"""),"Lime")</f>
        <v>Lime</v>
      </c>
      <c r="B366" s="50" t="str">
        <f>IFERROR(__xludf.DUMMYFUNCTION("""COMPUTED_VALUE"""),"5 hunger and thirst or 25% chance to lose 10 hunger and thirst.")</f>
        <v>5 hunger and thirst or 25% chance to lose 10 hunger and thirst.</v>
      </c>
      <c r="C366" s="32" t="str">
        <f>IFERROR(__xludf.DUMMYFUNCTION("""COMPUTED_VALUE"""),"Crop")</f>
        <v>Crop</v>
      </c>
      <c r="D366" s="32" t="str">
        <f>IFERROR(__xludf.DUMMYFUNCTION("""COMPUTED_VALUE"""),"Land of Spira")</f>
        <v>Land of Spira</v>
      </c>
      <c r="E366" s="32" t="b">
        <f>IFERROR(__xludf.DUMMYFUNCTION("""COMPUTED_VALUE"""),FALSE)</f>
        <v>0</v>
      </c>
      <c r="F366" s="32"/>
      <c r="G366" s="32"/>
      <c r="H366" s="32"/>
      <c r="I366" s="32"/>
      <c r="J366" s="32"/>
      <c r="K366" s="32"/>
      <c r="L366" s="32"/>
      <c r="M366" s="32"/>
      <c r="N366" s="32"/>
      <c r="O366" s="32"/>
      <c r="P366" s="32"/>
      <c r="Q366" s="32"/>
      <c r="R366" s="32"/>
      <c r="S366" s="32"/>
      <c r="T366" s="32"/>
      <c r="U366" s="32"/>
      <c r="V366" s="32"/>
      <c r="W366" s="32"/>
      <c r="X366" s="32"/>
      <c r="Y366" s="32"/>
      <c r="Z366" s="32"/>
    </row>
    <row r="367">
      <c r="A367" s="50" t="str">
        <f>IFERROR(__xludf.DUMMYFUNCTION("""COMPUTED_VALUE"""),"Lemon")</f>
        <v>Lemon</v>
      </c>
      <c r="B367" s="50" t="str">
        <f>IFERROR(__xludf.DUMMYFUNCTION("""COMPUTED_VALUE"""),"5 hunger and thirst or 50% chance to lose 10 hunger and thirst.")</f>
        <v>5 hunger and thirst or 50% chance to lose 10 hunger and thirst.</v>
      </c>
      <c r="C367" s="32" t="str">
        <f>IFERROR(__xludf.DUMMYFUNCTION("""COMPUTED_VALUE"""),"Crop")</f>
        <v>Crop</v>
      </c>
      <c r="D367" s="32" t="str">
        <f>IFERROR(__xludf.DUMMYFUNCTION("""COMPUTED_VALUE"""),"Land of Spira")</f>
        <v>Land of Spira</v>
      </c>
      <c r="E367" s="32" t="b">
        <f>IFERROR(__xludf.DUMMYFUNCTION("""COMPUTED_VALUE"""),FALSE)</f>
        <v>0</v>
      </c>
      <c r="F367" s="32"/>
      <c r="G367" s="32"/>
      <c r="H367" s="32"/>
      <c r="I367" s="32"/>
      <c r="J367" s="32"/>
      <c r="K367" s="32"/>
      <c r="L367" s="32"/>
      <c r="M367" s="32"/>
      <c r="N367" s="32"/>
      <c r="O367" s="32"/>
      <c r="P367" s="32"/>
      <c r="Q367" s="32"/>
      <c r="R367" s="32"/>
      <c r="S367" s="32"/>
      <c r="T367" s="32"/>
      <c r="U367" s="32"/>
      <c r="V367" s="32"/>
      <c r="W367" s="32"/>
      <c r="X367" s="32"/>
      <c r="Y367" s="32"/>
      <c r="Z367" s="32"/>
    </row>
    <row r="368">
      <c r="A368" s="50" t="str">
        <f>IFERROR(__xludf.DUMMYFUNCTION("""COMPUTED_VALUE"""),"Apricot")</f>
        <v>Apricot</v>
      </c>
      <c r="B368" s="50" t="str">
        <f>IFERROR(__xludf.DUMMYFUNCTION("""COMPUTED_VALUE"""),"5 hunger and thirst.")</f>
        <v>5 hunger and thirst.</v>
      </c>
      <c r="C368" s="32" t="str">
        <f>IFERROR(__xludf.DUMMYFUNCTION("""COMPUTED_VALUE"""),"Crop")</f>
        <v>Crop</v>
      </c>
      <c r="D368" s="32" t="str">
        <f>IFERROR(__xludf.DUMMYFUNCTION("""COMPUTED_VALUE"""),"Land of Spira")</f>
        <v>Land of Spira</v>
      </c>
      <c r="E368" s="32" t="b">
        <f>IFERROR(__xludf.DUMMYFUNCTION("""COMPUTED_VALUE"""),FALSE)</f>
        <v>0</v>
      </c>
      <c r="F368" s="32"/>
      <c r="G368" s="32"/>
      <c r="H368" s="32"/>
      <c r="I368" s="32"/>
      <c r="J368" s="32"/>
      <c r="K368" s="32"/>
      <c r="L368" s="32"/>
      <c r="M368" s="32"/>
      <c r="N368" s="32"/>
      <c r="O368" s="32"/>
      <c r="P368" s="32"/>
      <c r="Q368" s="32"/>
      <c r="R368" s="32"/>
      <c r="S368" s="32"/>
      <c r="T368" s="32"/>
      <c r="U368" s="32"/>
      <c r="V368" s="32"/>
      <c r="W368" s="32"/>
      <c r="X368" s="32"/>
      <c r="Y368" s="32"/>
      <c r="Z368" s="32"/>
    </row>
    <row r="369">
      <c r="A369" s="50" t="str">
        <f>IFERROR(__xludf.DUMMYFUNCTION("""COMPUTED_VALUE"""),"Grapefruit")</f>
        <v>Grapefruit</v>
      </c>
      <c r="B369" s="50" t="str">
        <f>IFERROR(__xludf.DUMMYFUNCTION("""COMPUTED_VALUE"""),"10 hunger and thirst.")</f>
        <v>10 hunger and thirst.</v>
      </c>
      <c r="C369" s="32" t="str">
        <f>IFERROR(__xludf.DUMMYFUNCTION("""COMPUTED_VALUE"""),"Crop")</f>
        <v>Crop</v>
      </c>
      <c r="D369" s="32" t="str">
        <f>IFERROR(__xludf.DUMMYFUNCTION("""COMPUTED_VALUE"""),"Land of Spira")</f>
        <v>Land of Spira</v>
      </c>
      <c r="E369" s="32" t="b">
        <f>IFERROR(__xludf.DUMMYFUNCTION("""COMPUTED_VALUE"""),FALSE)</f>
        <v>0</v>
      </c>
      <c r="F369" s="32"/>
      <c r="G369" s="32"/>
      <c r="H369" s="32"/>
      <c r="I369" s="32"/>
      <c r="J369" s="32"/>
      <c r="K369" s="32"/>
      <c r="L369" s="32"/>
      <c r="M369" s="32"/>
      <c r="N369" s="32"/>
      <c r="O369" s="32"/>
      <c r="P369" s="32"/>
      <c r="Q369" s="32"/>
      <c r="R369" s="32"/>
      <c r="S369" s="32"/>
      <c r="T369" s="32"/>
      <c r="U369" s="32"/>
      <c r="V369" s="32"/>
      <c r="W369" s="32"/>
      <c r="X369" s="32"/>
      <c r="Y369" s="32"/>
      <c r="Z369" s="32"/>
    </row>
    <row r="370">
      <c r="A370" s="50" t="str">
        <f>IFERROR(__xludf.DUMMYFUNCTION("""COMPUTED_VALUE"""),"Coconut")</f>
        <v>Coconut</v>
      </c>
      <c r="B370" s="50" t="str">
        <f>IFERROR(__xludf.DUMMYFUNCTION("""COMPUTED_VALUE"""),"10 hunger and thirst.")</f>
        <v>10 hunger and thirst.</v>
      </c>
      <c r="C370" s="32" t="str">
        <f>IFERROR(__xludf.DUMMYFUNCTION("""COMPUTED_VALUE"""),"Crop")</f>
        <v>Crop</v>
      </c>
      <c r="D370" s="32" t="str">
        <f>IFERROR(__xludf.DUMMYFUNCTION("""COMPUTED_VALUE"""),"Land of Spira")</f>
        <v>Land of Spira</v>
      </c>
      <c r="E370" s="32" t="b">
        <f>IFERROR(__xludf.DUMMYFUNCTION("""COMPUTED_VALUE"""),FALSE)</f>
        <v>0</v>
      </c>
      <c r="F370" s="32"/>
      <c r="G370" s="32"/>
      <c r="H370" s="32"/>
      <c r="I370" s="32"/>
      <c r="J370" s="32"/>
      <c r="K370" s="32"/>
      <c r="L370" s="32"/>
      <c r="M370" s="32"/>
      <c r="N370" s="32"/>
      <c r="O370" s="32"/>
      <c r="P370" s="32"/>
      <c r="Q370" s="32"/>
      <c r="R370" s="32"/>
      <c r="S370" s="32"/>
      <c r="T370" s="32"/>
      <c r="U370" s="32"/>
      <c r="V370" s="32"/>
      <c r="W370" s="32"/>
      <c r="X370" s="32"/>
      <c r="Y370" s="32"/>
      <c r="Z370" s="32"/>
    </row>
    <row r="371">
      <c r="A371" s="50" t="str">
        <f>IFERROR(__xludf.DUMMYFUNCTION("""COMPUTED_VALUE"""),"Avocado")</f>
        <v>Avocado</v>
      </c>
      <c r="B371" s="50" t="str">
        <f>IFERROR(__xludf.DUMMYFUNCTION("""COMPUTED_VALUE"""),"5 hunger.")</f>
        <v>5 hunger.</v>
      </c>
      <c r="C371" s="32" t="str">
        <f>IFERROR(__xludf.DUMMYFUNCTION("""COMPUTED_VALUE"""),"Crop")</f>
        <v>Crop</v>
      </c>
      <c r="D371" s="32" t="str">
        <f>IFERROR(__xludf.DUMMYFUNCTION("""COMPUTED_VALUE"""),"Land of Spira")</f>
        <v>Land of Spira</v>
      </c>
      <c r="E371" s="32" t="b">
        <f>IFERROR(__xludf.DUMMYFUNCTION("""COMPUTED_VALUE"""),FALSE)</f>
        <v>0</v>
      </c>
      <c r="F371" s="32"/>
      <c r="G371" s="32"/>
      <c r="H371" s="32"/>
      <c r="I371" s="32"/>
      <c r="J371" s="32"/>
      <c r="K371" s="32"/>
      <c r="L371" s="32"/>
      <c r="M371" s="32"/>
      <c r="N371" s="32"/>
      <c r="O371" s="32"/>
      <c r="P371" s="32"/>
      <c r="Q371" s="32"/>
      <c r="R371" s="32"/>
      <c r="S371" s="32"/>
      <c r="T371" s="32"/>
      <c r="U371" s="32"/>
      <c r="V371" s="32"/>
      <c r="W371" s="32"/>
      <c r="X371" s="32"/>
      <c r="Y371" s="32"/>
      <c r="Z371" s="32"/>
    </row>
    <row r="372">
      <c r="A372" s="50" t="str">
        <f>IFERROR(__xludf.DUMMYFUNCTION("""COMPUTED_VALUE"""),"Peach")</f>
        <v>Peach</v>
      </c>
      <c r="B372" s="50" t="str">
        <f>IFERROR(__xludf.DUMMYFUNCTION("""COMPUTED_VALUE"""),"5 hunger and thirst.")</f>
        <v>5 hunger and thirst.</v>
      </c>
      <c r="C372" s="32" t="str">
        <f>IFERROR(__xludf.DUMMYFUNCTION("""COMPUTED_VALUE"""),"Crop")</f>
        <v>Crop</v>
      </c>
      <c r="D372" s="32" t="str">
        <f>IFERROR(__xludf.DUMMYFUNCTION("""COMPUTED_VALUE"""),"Land of Spira")</f>
        <v>Land of Spira</v>
      </c>
      <c r="E372" s="32" t="b">
        <f>IFERROR(__xludf.DUMMYFUNCTION("""COMPUTED_VALUE"""),FALSE)</f>
        <v>0</v>
      </c>
      <c r="F372" s="32"/>
      <c r="G372" s="32"/>
      <c r="H372" s="32"/>
      <c r="I372" s="32"/>
      <c r="J372" s="32"/>
      <c r="K372" s="32"/>
      <c r="L372" s="32"/>
      <c r="M372" s="32"/>
      <c r="N372" s="32"/>
      <c r="O372" s="32"/>
      <c r="P372" s="32"/>
      <c r="Q372" s="32"/>
      <c r="R372" s="32"/>
      <c r="S372" s="32"/>
      <c r="T372" s="32"/>
      <c r="U372" s="32"/>
      <c r="V372" s="32"/>
      <c r="W372" s="32"/>
      <c r="X372" s="32"/>
      <c r="Y372" s="32"/>
      <c r="Z372" s="32"/>
    </row>
    <row r="373">
      <c r="A373" s="50" t="str">
        <f>IFERROR(__xludf.DUMMYFUNCTION("""COMPUTED_VALUE"""),"Corn")</f>
        <v>Corn</v>
      </c>
      <c r="B373" s="50" t="str">
        <f>IFERROR(__xludf.DUMMYFUNCTION("""COMPUTED_VALUE"""),"10 hunger.")</f>
        <v>10 hunger.</v>
      </c>
      <c r="C373" s="32" t="str">
        <f>IFERROR(__xludf.DUMMYFUNCTION("""COMPUTED_VALUE"""),"Crop")</f>
        <v>Crop</v>
      </c>
      <c r="D373" s="32" t="str">
        <f>IFERROR(__xludf.DUMMYFUNCTION("""COMPUTED_VALUE"""),"Land of Spira")</f>
        <v>Land of Spira</v>
      </c>
      <c r="E373" s="32" t="b">
        <f>IFERROR(__xludf.DUMMYFUNCTION("""COMPUTED_VALUE"""),FALSE)</f>
        <v>0</v>
      </c>
      <c r="F373" s="32"/>
      <c r="G373" s="32"/>
      <c r="H373" s="32"/>
      <c r="I373" s="32"/>
      <c r="J373" s="32"/>
      <c r="K373" s="32"/>
      <c r="L373" s="32"/>
      <c r="M373" s="32"/>
      <c r="N373" s="32"/>
      <c r="O373" s="32"/>
      <c r="P373" s="32"/>
      <c r="Q373" s="32"/>
      <c r="R373" s="32"/>
      <c r="S373" s="32"/>
      <c r="T373" s="32"/>
      <c r="U373" s="32"/>
      <c r="V373" s="32"/>
      <c r="W373" s="32"/>
      <c r="X373" s="32"/>
      <c r="Y373" s="32"/>
      <c r="Z373" s="32"/>
    </row>
    <row r="374">
      <c r="A374" s="50" t="str">
        <f>IFERROR(__xludf.DUMMYFUNCTION("""COMPUTED_VALUE"""),"Mushroom")</f>
        <v>Mushroom</v>
      </c>
      <c r="B374" s="50" t="str">
        <f>IFERROR(__xludf.DUMMYFUNCTION("""COMPUTED_VALUE"""),"10 hunger, 25% chance of wandering away from the party.")</f>
        <v>10 hunger, 25% chance of wandering away from the party.</v>
      </c>
      <c r="C374" s="32" t="str">
        <f>IFERROR(__xludf.DUMMYFUNCTION("""COMPUTED_VALUE"""),"Crop")</f>
        <v>Crop</v>
      </c>
      <c r="D374" s="32" t="str">
        <f>IFERROR(__xludf.DUMMYFUNCTION("""COMPUTED_VALUE"""),"Land of Spira")</f>
        <v>Land of Spira</v>
      </c>
      <c r="E374" s="32" t="b">
        <f>IFERROR(__xludf.DUMMYFUNCTION("""COMPUTED_VALUE"""),FALSE)</f>
        <v>0</v>
      </c>
      <c r="F374" s="32"/>
      <c r="G374" s="32"/>
      <c r="H374" s="32"/>
      <c r="I374" s="32"/>
      <c r="J374" s="32"/>
      <c r="K374" s="32"/>
      <c r="L374" s="32"/>
      <c r="M374" s="32"/>
      <c r="N374" s="32"/>
      <c r="O374" s="32"/>
      <c r="P374" s="32"/>
      <c r="Q374" s="32"/>
      <c r="R374" s="32"/>
      <c r="S374" s="32"/>
      <c r="T374" s="32"/>
      <c r="U374" s="32"/>
      <c r="V374" s="32"/>
      <c r="W374" s="32"/>
      <c r="X374" s="32"/>
      <c r="Y374" s="32"/>
      <c r="Z374" s="32"/>
    </row>
    <row r="375">
      <c r="A375" s="50" t="str">
        <f>IFERROR(__xludf.DUMMYFUNCTION("""COMPUTED_VALUE"""),"Broccoli")</f>
        <v>Broccoli</v>
      </c>
      <c r="B375" s="50" t="str">
        <f>IFERROR(__xludf.DUMMYFUNCTION("""COMPUTED_VALUE"""),"5 hunger")</f>
        <v>5 hunger</v>
      </c>
      <c r="C375" s="32" t="str">
        <f>IFERROR(__xludf.DUMMYFUNCTION("""COMPUTED_VALUE"""),"Crop")</f>
        <v>Crop</v>
      </c>
      <c r="D375" s="32" t="str">
        <f>IFERROR(__xludf.DUMMYFUNCTION("""COMPUTED_VALUE"""),"Land of Spira")</f>
        <v>Land of Spira</v>
      </c>
      <c r="E375" s="32" t="b">
        <f>IFERROR(__xludf.DUMMYFUNCTION("""COMPUTED_VALUE"""),FALSE)</f>
        <v>0</v>
      </c>
      <c r="F375" s="32"/>
      <c r="G375" s="32"/>
      <c r="H375" s="32"/>
      <c r="I375" s="32"/>
      <c r="J375" s="32"/>
      <c r="K375" s="32"/>
      <c r="L375" s="32"/>
      <c r="M375" s="32"/>
      <c r="N375" s="32"/>
      <c r="O375" s="32"/>
      <c r="P375" s="32"/>
      <c r="Q375" s="32"/>
      <c r="R375" s="32"/>
      <c r="S375" s="32"/>
      <c r="T375" s="32"/>
      <c r="U375" s="32"/>
      <c r="V375" s="32"/>
      <c r="W375" s="32"/>
      <c r="X375" s="32"/>
      <c r="Y375" s="32"/>
      <c r="Z375" s="32"/>
    </row>
    <row r="376">
      <c r="A376" s="50" t="str">
        <f>IFERROR(__xludf.DUMMYFUNCTION("""COMPUTED_VALUE"""),"Cucumber")</f>
        <v>Cucumber</v>
      </c>
      <c r="B376" s="50" t="str">
        <f>IFERROR(__xludf.DUMMYFUNCTION("""COMPUTED_VALUE"""),"5 hunger")</f>
        <v>5 hunger</v>
      </c>
      <c r="C376" s="32" t="str">
        <f>IFERROR(__xludf.DUMMYFUNCTION("""COMPUTED_VALUE"""),"Crop")</f>
        <v>Crop</v>
      </c>
      <c r="D376" s="32" t="str">
        <f>IFERROR(__xludf.DUMMYFUNCTION("""COMPUTED_VALUE"""),"Land of Spira")</f>
        <v>Land of Spira</v>
      </c>
      <c r="E376" s="32" t="b">
        <f>IFERROR(__xludf.DUMMYFUNCTION("""COMPUTED_VALUE"""),FALSE)</f>
        <v>0</v>
      </c>
      <c r="F376" s="32"/>
      <c r="G376" s="32"/>
      <c r="H376" s="32"/>
      <c r="I376" s="32"/>
      <c r="J376" s="32"/>
      <c r="K376" s="32"/>
      <c r="L376" s="32"/>
      <c r="M376" s="32"/>
      <c r="N376" s="32"/>
      <c r="O376" s="32"/>
      <c r="P376" s="32"/>
      <c r="Q376" s="32"/>
      <c r="R376" s="32"/>
      <c r="S376" s="32"/>
      <c r="T376" s="32"/>
      <c r="U376" s="32"/>
      <c r="V376" s="32"/>
      <c r="W376" s="32"/>
      <c r="X376" s="32"/>
      <c r="Y376" s="32"/>
      <c r="Z376" s="32"/>
    </row>
    <row r="377">
      <c r="A377" s="50" t="str">
        <f>IFERROR(__xludf.DUMMYFUNCTION("""COMPUTED_VALUE"""),"Red Pepper/Red Bell Pepper")</f>
        <v>Red Pepper/Red Bell Pepper</v>
      </c>
      <c r="B377" s="50" t="str">
        <f>IFERROR(__xludf.DUMMYFUNCTION("""COMPUTED_VALUE"""),"5 hunger")</f>
        <v>5 hunger</v>
      </c>
      <c r="C377" s="32" t="str">
        <f>IFERROR(__xludf.DUMMYFUNCTION("""COMPUTED_VALUE"""),"Crop")</f>
        <v>Crop</v>
      </c>
      <c r="D377" s="32" t="str">
        <f>IFERROR(__xludf.DUMMYFUNCTION("""COMPUTED_VALUE"""),"Land of Spira")</f>
        <v>Land of Spira</v>
      </c>
      <c r="E377" s="32" t="b">
        <f>IFERROR(__xludf.DUMMYFUNCTION("""COMPUTED_VALUE"""),FALSE)</f>
        <v>0</v>
      </c>
      <c r="F377" s="32"/>
      <c r="G377" s="32"/>
      <c r="H377" s="32"/>
      <c r="I377" s="32"/>
      <c r="J377" s="32"/>
      <c r="K377" s="32"/>
      <c r="L377" s="32"/>
      <c r="M377" s="32"/>
      <c r="N377" s="32"/>
      <c r="O377" s="32"/>
      <c r="P377" s="32"/>
      <c r="Q377" s="32"/>
      <c r="R377" s="32"/>
      <c r="S377" s="32"/>
      <c r="T377" s="32"/>
      <c r="U377" s="32"/>
      <c r="V377" s="32"/>
      <c r="W377" s="32"/>
      <c r="X377" s="32"/>
      <c r="Y377" s="32"/>
      <c r="Z377" s="32"/>
    </row>
    <row r="378">
      <c r="A378" s="50" t="str">
        <f>IFERROR(__xludf.DUMMYFUNCTION("""COMPUTED_VALUE"""),"Tomato")</f>
        <v>Tomato</v>
      </c>
      <c r="B378" s="50" t="str">
        <f>IFERROR(__xludf.DUMMYFUNCTION("""COMPUTED_VALUE"""),"5 hunger and thirst")</f>
        <v>5 hunger and thirst</v>
      </c>
      <c r="C378" s="32" t="str">
        <f>IFERROR(__xludf.DUMMYFUNCTION("""COMPUTED_VALUE"""),"Crop")</f>
        <v>Crop</v>
      </c>
      <c r="D378" s="32" t="str">
        <f>IFERROR(__xludf.DUMMYFUNCTION("""COMPUTED_VALUE"""),"Land of Spira")</f>
        <v>Land of Spira</v>
      </c>
      <c r="E378" s="32" t="b">
        <f>IFERROR(__xludf.DUMMYFUNCTION("""COMPUTED_VALUE"""),FALSE)</f>
        <v>0</v>
      </c>
      <c r="F378" s="32"/>
      <c r="G378" s="32"/>
      <c r="H378" s="32"/>
      <c r="I378" s="32"/>
      <c r="J378" s="32"/>
      <c r="K378" s="32"/>
      <c r="L378" s="32"/>
      <c r="M378" s="32"/>
      <c r="N378" s="32"/>
      <c r="O378" s="32"/>
      <c r="P378" s="32"/>
      <c r="Q378" s="32"/>
      <c r="R378" s="32"/>
      <c r="S378" s="32"/>
      <c r="T378" s="32"/>
      <c r="U378" s="32"/>
      <c r="V378" s="32"/>
      <c r="W378" s="32"/>
      <c r="X378" s="32"/>
      <c r="Y378" s="32"/>
      <c r="Z378" s="32"/>
    </row>
    <row r="379">
      <c r="A379" s="50" t="str">
        <f>IFERROR(__xludf.DUMMYFUNCTION("""COMPUTED_VALUE"""),"Carrot")</f>
        <v>Carrot</v>
      </c>
      <c r="B379" s="50" t="str">
        <f>IFERROR(__xludf.DUMMYFUNCTION("""COMPUTED_VALUE"""),"5 hunger")</f>
        <v>5 hunger</v>
      </c>
      <c r="C379" s="32" t="str">
        <f>IFERROR(__xludf.DUMMYFUNCTION("""COMPUTED_VALUE"""),"Crop")</f>
        <v>Crop</v>
      </c>
      <c r="D379" s="32" t="str">
        <f>IFERROR(__xludf.DUMMYFUNCTION("""COMPUTED_VALUE"""),"Land of Spira")</f>
        <v>Land of Spira</v>
      </c>
      <c r="E379" s="32" t="b">
        <f>IFERROR(__xludf.DUMMYFUNCTION("""COMPUTED_VALUE"""),FALSE)</f>
        <v>0</v>
      </c>
      <c r="F379" s="32"/>
      <c r="G379" s="32"/>
      <c r="H379" s="32"/>
      <c r="I379" s="32"/>
      <c r="J379" s="32"/>
      <c r="K379" s="32"/>
      <c r="L379" s="32"/>
      <c r="M379" s="32"/>
      <c r="N379" s="32"/>
      <c r="O379" s="32"/>
      <c r="P379" s="32"/>
      <c r="Q379" s="32"/>
      <c r="R379" s="32"/>
      <c r="S379" s="32"/>
      <c r="T379" s="32"/>
      <c r="U379" s="32"/>
      <c r="V379" s="32"/>
      <c r="W379" s="32"/>
      <c r="X379" s="32"/>
      <c r="Y379" s="32"/>
      <c r="Z379" s="32"/>
    </row>
    <row r="380">
      <c r="A380" s="32" t="str">
        <f>IFERROR(__xludf.DUMMYFUNCTION("""COMPUTED_VALUE"""),"Brussels Sprout")</f>
        <v>Brussels Sprout</v>
      </c>
      <c r="B380" s="32" t="str">
        <f>IFERROR(__xludf.DUMMYFUNCTION("""COMPUTED_VALUE"""),"5 hunger")</f>
        <v>5 hunger</v>
      </c>
      <c r="C380" s="32" t="str">
        <f>IFERROR(__xludf.DUMMYFUNCTION("""COMPUTED_VALUE"""),"Crop")</f>
        <v>Crop</v>
      </c>
      <c r="D380" s="32" t="str">
        <f>IFERROR(__xludf.DUMMYFUNCTION("""COMPUTED_VALUE"""),"Land of Spira")</f>
        <v>Land of Spira</v>
      </c>
      <c r="E380" s="32" t="b">
        <f>IFERROR(__xludf.DUMMYFUNCTION("""COMPUTED_VALUE"""),FALSE)</f>
        <v>0</v>
      </c>
      <c r="F380" s="32"/>
      <c r="G380" s="32"/>
      <c r="H380" s="32"/>
      <c r="I380" s="32"/>
      <c r="J380" s="32"/>
      <c r="K380" s="32"/>
      <c r="L380" s="32"/>
      <c r="M380" s="32"/>
      <c r="N380" s="32"/>
      <c r="O380" s="32"/>
      <c r="P380" s="32"/>
      <c r="Q380" s="32"/>
      <c r="R380" s="32"/>
      <c r="S380" s="32"/>
      <c r="T380" s="32"/>
      <c r="U380" s="32"/>
      <c r="V380" s="32"/>
      <c r="W380" s="32"/>
      <c r="X380" s="32"/>
      <c r="Y380" s="32"/>
      <c r="Z380" s="32"/>
    </row>
    <row r="381">
      <c r="A381" s="32" t="str">
        <f>IFERROR(__xludf.DUMMYFUNCTION("""COMPUTED_VALUE"""),"Cabbage")</f>
        <v>Cabbage</v>
      </c>
      <c r="B381" s="32" t="str">
        <f>IFERROR(__xludf.DUMMYFUNCTION("""COMPUTED_VALUE"""),"10 hunger")</f>
        <v>10 hunger</v>
      </c>
      <c r="C381" s="32" t="str">
        <f>IFERROR(__xludf.DUMMYFUNCTION("""COMPUTED_VALUE"""),"Crop")</f>
        <v>Crop</v>
      </c>
      <c r="D381" s="32" t="str">
        <f>IFERROR(__xludf.DUMMYFUNCTION("""COMPUTED_VALUE"""),"Land of Spira")</f>
        <v>Land of Spira</v>
      </c>
      <c r="E381" s="32" t="b">
        <f>IFERROR(__xludf.DUMMYFUNCTION("""COMPUTED_VALUE"""),FALSE)</f>
        <v>0</v>
      </c>
      <c r="F381" s="32"/>
      <c r="G381" s="32"/>
      <c r="H381" s="32"/>
      <c r="I381" s="32"/>
      <c r="J381" s="32"/>
      <c r="K381" s="32"/>
      <c r="L381" s="32"/>
      <c r="M381" s="32"/>
      <c r="N381" s="32"/>
      <c r="O381" s="32"/>
      <c r="P381" s="32"/>
      <c r="Q381" s="32"/>
      <c r="R381" s="32"/>
      <c r="S381" s="32"/>
      <c r="T381" s="32"/>
      <c r="U381" s="32"/>
      <c r="V381" s="32"/>
      <c r="W381" s="32"/>
      <c r="X381" s="32"/>
      <c r="Y381" s="32"/>
      <c r="Z381" s="32"/>
    </row>
    <row r="382">
      <c r="A382" s="32" t="str">
        <f>IFERROR(__xludf.DUMMYFUNCTION("""COMPUTED_VALUE"""),"Potato")</f>
        <v>Potato</v>
      </c>
      <c r="B382" s="32" t="str">
        <f>IFERROR(__xludf.DUMMYFUNCTION("""COMPUTED_VALUE"""),"5 hunger")</f>
        <v>5 hunger</v>
      </c>
      <c r="C382" s="32" t="str">
        <f>IFERROR(__xludf.DUMMYFUNCTION("""COMPUTED_VALUE"""),"Crop")</f>
        <v>Crop</v>
      </c>
      <c r="D382" s="32" t="str">
        <f>IFERROR(__xludf.DUMMYFUNCTION("""COMPUTED_VALUE"""),"Land of Spira")</f>
        <v>Land of Spira</v>
      </c>
      <c r="E382" s="32" t="b">
        <f>IFERROR(__xludf.DUMMYFUNCTION("""COMPUTED_VALUE"""),TRUE)</f>
        <v>1</v>
      </c>
      <c r="F382" s="32"/>
      <c r="G382" s="32"/>
      <c r="H382" s="32"/>
      <c r="I382" s="32"/>
      <c r="J382" s="32"/>
      <c r="K382" s="32"/>
      <c r="L382" s="32"/>
      <c r="M382" s="32"/>
      <c r="N382" s="32"/>
      <c r="O382" s="32"/>
      <c r="P382" s="32"/>
      <c r="Q382" s="32"/>
      <c r="R382" s="32"/>
      <c r="S382" s="32"/>
      <c r="T382" s="32"/>
      <c r="U382" s="32"/>
      <c r="V382" s="32"/>
      <c r="W382" s="32"/>
      <c r="X382" s="32"/>
      <c r="Y382" s="32"/>
      <c r="Z382" s="32"/>
    </row>
    <row r="383">
      <c r="A383" s="32" t="str">
        <f>IFERROR(__xludf.DUMMYFUNCTION("""COMPUTED_VALUE"""),"Eggplant")</f>
        <v>Eggplant</v>
      </c>
      <c r="B383" s="32" t="str">
        <f>IFERROR(__xludf.DUMMYFUNCTION("""COMPUTED_VALUE"""),"10 hunger")</f>
        <v>10 hunger</v>
      </c>
      <c r="C383" s="32" t="str">
        <f>IFERROR(__xludf.DUMMYFUNCTION("""COMPUTED_VALUE"""),"Crop")</f>
        <v>Crop</v>
      </c>
      <c r="D383" s="32" t="str">
        <f>IFERROR(__xludf.DUMMYFUNCTION("""COMPUTED_VALUE"""),"Land of Spira")</f>
        <v>Land of Spira</v>
      </c>
      <c r="E383" s="32" t="b">
        <f>IFERROR(__xludf.DUMMYFUNCTION("""COMPUTED_VALUE"""),TRUE)</f>
        <v>1</v>
      </c>
      <c r="F383" s="32"/>
      <c r="G383" s="32"/>
      <c r="H383" s="32"/>
      <c r="I383" s="32"/>
      <c r="J383" s="32"/>
      <c r="K383" s="32"/>
      <c r="L383" s="32"/>
      <c r="M383" s="32"/>
      <c r="N383" s="32"/>
      <c r="O383" s="32"/>
      <c r="P383" s="32"/>
      <c r="Q383" s="32"/>
      <c r="R383" s="32"/>
      <c r="S383" s="32"/>
      <c r="T383" s="32"/>
      <c r="U383" s="32"/>
      <c r="V383" s="32"/>
      <c r="W383" s="32"/>
      <c r="X383" s="32"/>
      <c r="Y383" s="32"/>
      <c r="Z383" s="32"/>
    </row>
    <row r="384">
      <c r="A384" s="32" t="str">
        <f>IFERROR(__xludf.DUMMYFUNCTION("""COMPUTED_VALUE"""),"Sweet Potato")</f>
        <v>Sweet Potato</v>
      </c>
      <c r="B384" s="32" t="str">
        <f>IFERROR(__xludf.DUMMYFUNCTION("""COMPUTED_VALUE"""),"5 hunger")</f>
        <v>5 hunger</v>
      </c>
      <c r="C384" s="32" t="str">
        <f>IFERROR(__xludf.DUMMYFUNCTION("""COMPUTED_VALUE"""),"Crop")</f>
        <v>Crop</v>
      </c>
      <c r="D384" s="32" t="str">
        <f>IFERROR(__xludf.DUMMYFUNCTION("""COMPUTED_VALUE"""),"Land of Spira")</f>
        <v>Land of Spira</v>
      </c>
      <c r="E384" s="32" t="b">
        <f>IFERROR(__xludf.DUMMYFUNCTION("""COMPUTED_VALUE"""),FALSE)</f>
        <v>0</v>
      </c>
      <c r="F384" s="32"/>
      <c r="G384" s="32"/>
      <c r="H384" s="32"/>
      <c r="I384" s="32"/>
      <c r="J384" s="32"/>
      <c r="K384" s="32"/>
      <c r="L384" s="32"/>
      <c r="M384" s="32"/>
      <c r="N384" s="32"/>
      <c r="O384" s="32"/>
      <c r="P384" s="32"/>
      <c r="Q384" s="32"/>
      <c r="R384" s="32"/>
      <c r="S384" s="32"/>
      <c r="T384" s="32"/>
      <c r="U384" s="32"/>
      <c r="V384" s="32"/>
      <c r="W384" s="32"/>
      <c r="X384" s="32"/>
      <c r="Y384" s="32"/>
      <c r="Z384" s="32"/>
    </row>
    <row r="385">
      <c r="A385" s="32" t="str">
        <f>IFERROR(__xludf.DUMMYFUNCTION("""COMPUTED_VALUE"""),"Turnip")</f>
        <v>Turnip</v>
      </c>
      <c r="B385" s="32" t="str">
        <f>IFERROR(__xludf.DUMMYFUNCTION("""COMPUTED_VALUE"""),"5 hunger")</f>
        <v>5 hunger</v>
      </c>
      <c r="C385" s="32" t="str">
        <f>IFERROR(__xludf.DUMMYFUNCTION("""COMPUTED_VALUE"""),"Crop")</f>
        <v>Crop</v>
      </c>
      <c r="D385" s="32" t="str">
        <f>IFERROR(__xludf.DUMMYFUNCTION("""COMPUTED_VALUE"""),"Land of Spira")</f>
        <v>Land of Spira</v>
      </c>
      <c r="E385" s="32" t="b">
        <f>IFERROR(__xludf.DUMMYFUNCTION("""COMPUTED_VALUE"""),FALSE)</f>
        <v>0</v>
      </c>
      <c r="F385" s="32"/>
      <c r="G385" s="32"/>
      <c r="H385" s="32"/>
      <c r="I385" s="32"/>
      <c r="J385" s="32"/>
      <c r="K385" s="32"/>
      <c r="L385" s="32"/>
      <c r="M385" s="32"/>
      <c r="N385" s="32"/>
      <c r="O385" s="32"/>
      <c r="P385" s="32"/>
      <c r="Q385" s="32"/>
      <c r="R385" s="32"/>
      <c r="S385" s="32"/>
      <c r="T385" s="32"/>
      <c r="U385" s="32"/>
      <c r="V385" s="32"/>
      <c r="W385" s="32"/>
      <c r="X385" s="32"/>
      <c r="Y385" s="32"/>
      <c r="Z385" s="32"/>
    </row>
    <row r="386">
      <c r="A386" s="32" t="str">
        <f>IFERROR(__xludf.DUMMYFUNCTION("""COMPUTED_VALUE"""),"Green Chilli")</f>
        <v>Green Chilli</v>
      </c>
      <c r="B386" s="32" t="str">
        <f>IFERROR(__xludf.DUMMYFUNCTION("""COMPUTED_VALUE"""),"5 hunger")</f>
        <v>5 hunger</v>
      </c>
      <c r="C386" s="32" t="str">
        <f>IFERROR(__xludf.DUMMYFUNCTION("""COMPUTED_VALUE"""),"Crop")</f>
        <v>Crop</v>
      </c>
      <c r="D386" s="32" t="str">
        <f>IFERROR(__xludf.DUMMYFUNCTION("""COMPUTED_VALUE"""),"Land of Spira")</f>
        <v>Land of Spira</v>
      </c>
      <c r="E386" s="32" t="b">
        <f>IFERROR(__xludf.DUMMYFUNCTION("""COMPUTED_VALUE"""),FALSE)</f>
        <v>0</v>
      </c>
      <c r="F386" s="32"/>
      <c r="G386" s="32"/>
      <c r="H386" s="32"/>
      <c r="I386" s="32"/>
      <c r="J386" s="32"/>
      <c r="K386" s="32"/>
      <c r="L386" s="32"/>
      <c r="M386" s="32"/>
      <c r="N386" s="32"/>
      <c r="O386" s="32"/>
      <c r="P386" s="32"/>
      <c r="Q386" s="32"/>
      <c r="R386" s="32"/>
      <c r="S386" s="32"/>
      <c r="T386" s="32"/>
      <c r="U386" s="32"/>
      <c r="V386" s="32"/>
      <c r="W386" s="32"/>
      <c r="X386" s="32"/>
      <c r="Y386" s="32"/>
      <c r="Z386" s="32"/>
    </row>
    <row r="387">
      <c r="A387" s="32" t="str">
        <f>IFERROR(__xludf.DUMMYFUNCTION("""COMPUTED_VALUE"""),"Onion")</f>
        <v>Onion</v>
      </c>
      <c r="B387" s="32" t="str">
        <f>IFERROR(__xludf.DUMMYFUNCTION("""COMPUTED_VALUE"""),"5 hunger, 50% Blindness 3 during the next battle.")</f>
        <v>5 hunger, 50% Blindness 3 during the next battle.</v>
      </c>
      <c r="C387" s="32" t="str">
        <f>IFERROR(__xludf.DUMMYFUNCTION("""COMPUTED_VALUE"""),"Crop")</f>
        <v>Crop</v>
      </c>
      <c r="D387" s="32" t="str">
        <f>IFERROR(__xludf.DUMMYFUNCTION("""COMPUTED_VALUE"""),"Land of Spira")</f>
        <v>Land of Spira</v>
      </c>
      <c r="E387" s="32" t="b">
        <f>IFERROR(__xludf.DUMMYFUNCTION("""COMPUTED_VALUE"""),FALSE)</f>
        <v>0</v>
      </c>
      <c r="F387" s="32"/>
      <c r="G387" s="32"/>
      <c r="H387" s="32"/>
      <c r="I387" s="32"/>
      <c r="J387" s="32"/>
      <c r="K387" s="32"/>
      <c r="L387" s="32"/>
      <c r="M387" s="32"/>
      <c r="N387" s="32"/>
      <c r="O387" s="32"/>
      <c r="P387" s="32"/>
      <c r="Q387" s="32"/>
      <c r="R387" s="32"/>
      <c r="S387" s="32"/>
      <c r="T387" s="32"/>
      <c r="U387" s="32"/>
      <c r="V387" s="32"/>
      <c r="W387" s="32"/>
      <c r="X387" s="32"/>
      <c r="Y387" s="32"/>
      <c r="Z387" s="32"/>
    </row>
    <row r="388">
      <c r="A388" s="32" t="str">
        <f>IFERROR(__xludf.DUMMYFUNCTION("""COMPUTED_VALUE"""),"Lettuce")</f>
        <v>Lettuce</v>
      </c>
      <c r="B388" s="32" t="str">
        <f>IFERROR(__xludf.DUMMYFUNCTION("""COMPUTED_VALUE"""),"5 hunger")</f>
        <v>5 hunger</v>
      </c>
      <c r="C388" s="32" t="str">
        <f>IFERROR(__xludf.DUMMYFUNCTION("""COMPUTED_VALUE"""),"Crop")</f>
        <v>Crop</v>
      </c>
      <c r="D388" s="32" t="str">
        <f>IFERROR(__xludf.DUMMYFUNCTION("""COMPUTED_VALUE"""),"Land of Spira")</f>
        <v>Land of Spira</v>
      </c>
      <c r="E388" s="32" t="b">
        <f>IFERROR(__xludf.DUMMYFUNCTION("""COMPUTED_VALUE"""),FALSE)</f>
        <v>0</v>
      </c>
      <c r="F388" s="32"/>
      <c r="G388" s="32"/>
      <c r="H388" s="32"/>
      <c r="I388" s="32"/>
      <c r="J388" s="32"/>
      <c r="K388" s="32"/>
      <c r="L388" s="32"/>
      <c r="M388" s="32"/>
      <c r="N388" s="32"/>
      <c r="O388" s="32"/>
      <c r="P388" s="32"/>
      <c r="Q388" s="32"/>
      <c r="R388" s="32"/>
      <c r="S388" s="32"/>
      <c r="T388" s="32"/>
      <c r="U388" s="32"/>
      <c r="V388" s="32"/>
      <c r="W388" s="32"/>
      <c r="X388" s="32"/>
      <c r="Y388" s="32"/>
      <c r="Z388" s="32"/>
    </row>
    <row r="389">
      <c r="A389" s="32" t="str">
        <f>IFERROR(__xludf.DUMMYFUNCTION("""COMPUTED_VALUE"""),"Radish")</f>
        <v>Radish</v>
      </c>
      <c r="B389" s="32" t="str">
        <f>IFERROR(__xludf.DUMMYFUNCTION("""COMPUTED_VALUE"""),"5 hunger")</f>
        <v>5 hunger</v>
      </c>
      <c r="C389" s="32" t="str">
        <f>IFERROR(__xludf.DUMMYFUNCTION("""COMPUTED_VALUE"""),"Crop")</f>
        <v>Crop</v>
      </c>
      <c r="D389" s="32" t="str">
        <f>IFERROR(__xludf.DUMMYFUNCTION("""COMPUTED_VALUE"""),"Land of Spira")</f>
        <v>Land of Spira</v>
      </c>
      <c r="E389" s="32" t="b">
        <f>IFERROR(__xludf.DUMMYFUNCTION("""COMPUTED_VALUE"""),FALSE)</f>
        <v>0</v>
      </c>
      <c r="F389" s="32"/>
      <c r="G389" s="32"/>
      <c r="H389" s="32"/>
      <c r="I389" s="32"/>
      <c r="J389" s="32"/>
      <c r="K389" s="32"/>
      <c r="L389" s="32"/>
      <c r="M389" s="32"/>
      <c r="N389" s="32"/>
      <c r="O389" s="32"/>
      <c r="P389" s="32"/>
      <c r="Q389" s="32"/>
      <c r="R389" s="32"/>
      <c r="S389" s="32"/>
      <c r="T389" s="32"/>
      <c r="U389" s="32"/>
      <c r="V389" s="32"/>
      <c r="W389" s="32"/>
      <c r="X389" s="32"/>
      <c r="Y389" s="32"/>
      <c r="Z389" s="32"/>
    </row>
    <row r="390">
      <c r="A390" s="32" t="str">
        <f>IFERROR(__xludf.DUMMYFUNCTION("""COMPUTED_VALUE"""),"Peas")</f>
        <v>Peas</v>
      </c>
      <c r="B390" s="32" t="str">
        <f>IFERROR(__xludf.DUMMYFUNCTION("""COMPUTED_VALUE"""),"5 hunger")</f>
        <v>5 hunger</v>
      </c>
      <c r="C390" s="32" t="str">
        <f>IFERROR(__xludf.DUMMYFUNCTION("""COMPUTED_VALUE"""),"Crop")</f>
        <v>Crop</v>
      </c>
      <c r="D390" s="32" t="str">
        <f>IFERROR(__xludf.DUMMYFUNCTION("""COMPUTED_VALUE"""),"Land of Spira")</f>
        <v>Land of Spira</v>
      </c>
      <c r="E390" s="32" t="b">
        <f>IFERROR(__xludf.DUMMYFUNCTION("""COMPUTED_VALUE"""),FALSE)</f>
        <v>0</v>
      </c>
      <c r="F390" s="32"/>
      <c r="G390" s="32"/>
      <c r="H390" s="32"/>
      <c r="I390" s="32"/>
      <c r="J390" s="32"/>
      <c r="K390" s="32"/>
      <c r="L390" s="32"/>
      <c r="M390" s="32"/>
      <c r="N390" s="32"/>
      <c r="O390" s="32"/>
      <c r="P390" s="32"/>
      <c r="Q390" s="32"/>
      <c r="R390" s="32"/>
      <c r="S390" s="32"/>
      <c r="T390" s="32"/>
      <c r="U390" s="32"/>
      <c r="V390" s="32"/>
      <c r="W390" s="32"/>
      <c r="X390" s="32"/>
      <c r="Y390" s="32"/>
      <c r="Z390" s="32"/>
    </row>
    <row r="391">
      <c r="A391" s="32" t="str">
        <f>IFERROR(__xludf.DUMMYFUNCTION("""COMPUTED_VALUE"""),"Asparagus")</f>
        <v>Asparagus</v>
      </c>
      <c r="B391" s="32" t="str">
        <f>IFERROR(__xludf.DUMMYFUNCTION("""COMPUTED_VALUE"""),"5 hunger")</f>
        <v>5 hunger</v>
      </c>
      <c r="C391" s="32" t="str">
        <f>IFERROR(__xludf.DUMMYFUNCTION("""COMPUTED_VALUE"""),"Crop")</f>
        <v>Crop</v>
      </c>
      <c r="D391" s="32" t="str">
        <f>IFERROR(__xludf.DUMMYFUNCTION("""COMPUTED_VALUE"""),"Land of Spira")</f>
        <v>Land of Spira</v>
      </c>
      <c r="E391" s="32" t="b">
        <f>IFERROR(__xludf.DUMMYFUNCTION("""COMPUTED_VALUE"""),FALSE)</f>
        <v>0</v>
      </c>
      <c r="F391" s="32"/>
      <c r="G391" s="32"/>
      <c r="H391" s="32"/>
      <c r="I391" s="32"/>
      <c r="J391" s="32"/>
      <c r="K391" s="32"/>
      <c r="L391" s="32"/>
      <c r="M391" s="32"/>
      <c r="N391" s="32"/>
      <c r="O391" s="32"/>
      <c r="P391" s="32"/>
      <c r="Q391" s="32"/>
      <c r="R391" s="32"/>
      <c r="S391" s="32"/>
      <c r="T391" s="32"/>
      <c r="U391" s="32"/>
      <c r="V391" s="32"/>
      <c r="W391" s="32"/>
      <c r="X391" s="32"/>
      <c r="Y391" s="32"/>
      <c r="Z391" s="32"/>
    </row>
    <row r="392">
      <c r="A392" s="32" t="str">
        <f>IFERROR(__xludf.DUMMYFUNCTION("""COMPUTED_VALUE"""),"Celery")</f>
        <v>Celery</v>
      </c>
      <c r="B392" s="32" t="str">
        <f>IFERROR(__xludf.DUMMYFUNCTION("""COMPUTED_VALUE"""),"5 hunger")</f>
        <v>5 hunger</v>
      </c>
      <c r="C392" s="32" t="str">
        <f>IFERROR(__xludf.DUMMYFUNCTION("""COMPUTED_VALUE"""),"Crop")</f>
        <v>Crop</v>
      </c>
      <c r="D392" s="32" t="str">
        <f>IFERROR(__xludf.DUMMYFUNCTION("""COMPUTED_VALUE"""),"Land of Spira")</f>
        <v>Land of Spira</v>
      </c>
      <c r="E392" s="32" t="b">
        <f>IFERROR(__xludf.DUMMYFUNCTION("""COMPUTED_VALUE"""),FALSE)</f>
        <v>0</v>
      </c>
      <c r="F392" s="32"/>
      <c r="G392" s="32"/>
      <c r="H392" s="32"/>
      <c r="I392" s="32"/>
      <c r="J392" s="32"/>
      <c r="K392" s="32"/>
      <c r="L392" s="32"/>
      <c r="M392" s="32"/>
      <c r="N392" s="32"/>
      <c r="O392" s="32"/>
      <c r="P392" s="32"/>
      <c r="Q392" s="32"/>
      <c r="R392" s="32"/>
      <c r="S392" s="32"/>
      <c r="T392" s="32"/>
      <c r="U392" s="32"/>
      <c r="V392" s="32"/>
      <c r="W392" s="32"/>
      <c r="X392" s="32"/>
      <c r="Y392" s="32"/>
      <c r="Z392" s="32"/>
    </row>
    <row r="393">
      <c r="A393" s="32" t="str">
        <f>IFERROR(__xludf.DUMMYFUNCTION("""COMPUTED_VALUE"""),"Green Pepper")</f>
        <v>Green Pepper</v>
      </c>
      <c r="B393" s="32" t="str">
        <f>IFERROR(__xludf.DUMMYFUNCTION("""COMPUTED_VALUE"""),"5 hunger")</f>
        <v>5 hunger</v>
      </c>
      <c r="C393" s="32" t="str">
        <f>IFERROR(__xludf.DUMMYFUNCTION("""COMPUTED_VALUE"""),"Crop")</f>
        <v>Crop</v>
      </c>
      <c r="D393" s="32" t="str">
        <f>IFERROR(__xludf.DUMMYFUNCTION("""COMPUTED_VALUE"""),"Land of Spira")</f>
        <v>Land of Spira</v>
      </c>
      <c r="E393" s="32" t="b">
        <f>IFERROR(__xludf.DUMMYFUNCTION("""COMPUTED_VALUE"""),FALSE)</f>
        <v>0</v>
      </c>
      <c r="F393" s="32"/>
      <c r="G393" s="32"/>
      <c r="H393" s="32"/>
      <c r="I393" s="32"/>
      <c r="J393" s="32"/>
      <c r="K393" s="32"/>
      <c r="L393" s="32"/>
      <c r="M393" s="32"/>
      <c r="N393" s="32"/>
      <c r="O393" s="32"/>
      <c r="P393" s="32"/>
      <c r="Q393" s="32"/>
      <c r="R393" s="32"/>
      <c r="S393" s="32"/>
      <c r="T393" s="32"/>
      <c r="U393" s="32"/>
      <c r="V393" s="32"/>
      <c r="W393" s="32"/>
      <c r="X393" s="32"/>
      <c r="Y393" s="32"/>
      <c r="Z393" s="32"/>
    </row>
    <row r="394">
      <c r="A394" s="32" t="str">
        <f>IFERROR(__xludf.DUMMYFUNCTION("""COMPUTED_VALUE"""),"French Beans")</f>
        <v>French Beans</v>
      </c>
      <c r="B394" s="32" t="str">
        <f>IFERROR(__xludf.DUMMYFUNCTION("""COMPUTED_VALUE"""),"5 hunger")</f>
        <v>5 hunger</v>
      </c>
      <c r="C394" s="32" t="str">
        <f>IFERROR(__xludf.DUMMYFUNCTION("""COMPUTED_VALUE"""),"Crop")</f>
        <v>Crop</v>
      </c>
      <c r="D394" s="32" t="str">
        <f>IFERROR(__xludf.DUMMYFUNCTION("""COMPUTED_VALUE"""),"Land of Spira")</f>
        <v>Land of Spira</v>
      </c>
      <c r="E394" s="32" t="b">
        <f>IFERROR(__xludf.DUMMYFUNCTION("""COMPUTED_VALUE"""),FALSE)</f>
        <v>0</v>
      </c>
      <c r="F394" s="32"/>
      <c r="G394" s="32"/>
      <c r="H394" s="32"/>
      <c r="I394" s="32"/>
      <c r="J394" s="32"/>
      <c r="K394" s="32"/>
      <c r="L394" s="32"/>
      <c r="M394" s="32"/>
      <c r="N394" s="32"/>
      <c r="O394" s="32"/>
      <c r="P394" s="32"/>
      <c r="Q394" s="32"/>
      <c r="R394" s="32"/>
      <c r="S394" s="32"/>
      <c r="T394" s="32"/>
      <c r="U394" s="32"/>
      <c r="V394" s="32"/>
      <c r="W394" s="32"/>
      <c r="X394" s="32"/>
      <c r="Y394" s="32"/>
      <c r="Z394" s="32"/>
    </row>
    <row r="395">
      <c r="A395" s="32" t="str">
        <f>IFERROR(__xludf.DUMMYFUNCTION("""COMPUTED_VALUE"""),"Spinach")</f>
        <v>Spinach</v>
      </c>
      <c r="B395" s="32" t="str">
        <f>IFERROR(__xludf.DUMMYFUNCTION("""COMPUTED_VALUE"""),"5 hunger")</f>
        <v>5 hunger</v>
      </c>
      <c r="C395" s="32" t="str">
        <f>IFERROR(__xludf.DUMMYFUNCTION("""COMPUTED_VALUE"""),"Crop")</f>
        <v>Crop</v>
      </c>
      <c r="D395" s="32" t="str">
        <f>IFERROR(__xludf.DUMMYFUNCTION("""COMPUTED_VALUE"""),"Land of Spira")</f>
        <v>Land of Spira</v>
      </c>
      <c r="E395" s="32" t="b">
        <f>IFERROR(__xludf.DUMMYFUNCTION("""COMPUTED_VALUE"""),FALSE)</f>
        <v>0</v>
      </c>
      <c r="F395" s="32"/>
      <c r="G395" s="32"/>
      <c r="H395" s="32"/>
      <c r="I395" s="32"/>
      <c r="J395" s="32"/>
      <c r="K395" s="32"/>
      <c r="L395" s="32"/>
      <c r="M395" s="32"/>
      <c r="N395" s="32"/>
      <c r="O395" s="32"/>
      <c r="P395" s="32"/>
      <c r="Q395" s="32"/>
      <c r="R395" s="32"/>
      <c r="S395" s="32"/>
      <c r="T395" s="32"/>
      <c r="U395" s="32"/>
      <c r="V395" s="32"/>
      <c r="W395" s="32"/>
      <c r="X395" s="32"/>
      <c r="Y395" s="32"/>
      <c r="Z395" s="32"/>
    </row>
    <row r="396">
      <c r="A396" s="32" t="str">
        <f>IFERROR(__xludf.DUMMYFUNCTION("""COMPUTED_VALUE"""),"Beetroot")</f>
        <v>Beetroot</v>
      </c>
      <c r="B396" s="32" t="str">
        <f>IFERROR(__xludf.DUMMYFUNCTION("""COMPUTED_VALUE"""),"5 hunger")</f>
        <v>5 hunger</v>
      </c>
      <c r="C396" s="32" t="str">
        <f>IFERROR(__xludf.DUMMYFUNCTION("""COMPUTED_VALUE"""),"Crop")</f>
        <v>Crop</v>
      </c>
      <c r="D396" s="32" t="str">
        <f>IFERROR(__xludf.DUMMYFUNCTION("""COMPUTED_VALUE"""),"Land of Spira")</f>
        <v>Land of Spira</v>
      </c>
      <c r="E396" s="32" t="b">
        <f>IFERROR(__xludf.DUMMYFUNCTION("""COMPUTED_VALUE"""),FALSE)</f>
        <v>0</v>
      </c>
      <c r="F396" s="32"/>
      <c r="G396" s="32"/>
      <c r="H396" s="32"/>
      <c r="I396" s="32"/>
      <c r="J396" s="32"/>
      <c r="K396" s="32"/>
      <c r="L396" s="32"/>
      <c r="M396" s="32"/>
      <c r="N396" s="32"/>
      <c r="O396" s="32"/>
      <c r="P396" s="32"/>
      <c r="Q396" s="32"/>
      <c r="R396" s="32"/>
      <c r="S396" s="32"/>
      <c r="T396" s="32"/>
      <c r="U396" s="32"/>
      <c r="V396" s="32"/>
      <c r="W396" s="32"/>
      <c r="X396" s="32"/>
      <c r="Y396" s="32"/>
      <c r="Z396" s="32"/>
    </row>
    <row r="397">
      <c r="A397" s="32" t="str">
        <f>IFERROR(__xludf.DUMMYFUNCTION("""COMPUTED_VALUE"""),"Red Chili Peppers ")</f>
        <v>Red Chili Peppers </v>
      </c>
      <c r="B397" s="32" t="str">
        <f>IFERROR(__xludf.DUMMYFUNCTION("""COMPUTED_VALUE"""),"5 hunger")</f>
        <v>5 hunger</v>
      </c>
      <c r="C397" s="32" t="str">
        <f>IFERROR(__xludf.DUMMYFUNCTION("""COMPUTED_VALUE"""),"Crop")</f>
        <v>Crop</v>
      </c>
      <c r="D397" s="32" t="str">
        <f>IFERROR(__xludf.DUMMYFUNCTION("""COMPUTED_VALUE"""),"Land of Spira")</f>
        <v>Land of Spira</v>
      </c>
      <c r="E397" s="32" t="b">
        <f>IFERROR(__xludf.DUMMYFUNCTION("""COMPUTED_VALUE"""),FALSE)</f>
        <v>0</v>
      </c>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t="str">
        <f>IFERROR(__xludf.DUMMYFUNCTION("""COMPUTED_VALUE"""),"Item")</f>
        <v>Item</v>
      </c>
      <c r="D398" s="32" t="str">
        <f>IFERROR(__xludf.DUMMYFUNCTION("""COMPUTED_VALUE"""),"Land of Spira")</f>
        <v>Land of Spira</v>
      </c>
      <c r="E398" s="32" t="b">
        <f>IFERROR(__xludf.DUMMYFUNCTION("""COMPUTED_VALUE"""),FALSE)</f>
        <v>0</v>
      </c>
      <c r="F398" s="32"/>
      <c r="G398" s="32"/>
      <c r="H398" s="32"/>
      <c r="I398" s="32"/>
      <c r="J398" s="32"/>
      <c r="K398" s="32"/>
      <c r="L398" s="32"/>
      <c r="M398" s="32"/>
      <c r="N398" s="32"/>
      <c r="O398" s="32"/>
      <c r="P398" s="32"/>
      <c r="Q398" s="32"/>
      <c r="R398" s="32"/>
      <c r="S398" s="32"/>
      <c r="T398" s="32"/>
      <c r="U398" s="32"/>
      <c r="V398" s="32"/>
      <c r="W398" s="32"/>
      <c r="X398" s="32"/>
      <c r="Y398" s="32"/>
      <c r="Z398" s="32"/>
    </row>
    <row r="399">
      <c r="A399" s="32" t="str">
        <f>IFERROR(__xludf.DUMMYFUNCTION("""COMPUTED_VALUE"""),"Crystal Apple")</f>
        <v>Crystal Apple</v>
      </c>
      <c r="B399" s="32" t="str">
        <f>IFERROR(__xludf.DUMMYFUNCTION("""COMPUTED_VALUE"""),"When consumed X2 additional Damage towards the users weapons. (Can only use 1 per battle)")</f>
        <v>When consumed X2 additional Damage towards the users weapons. (Can only use 1 per battle)</v>
      </c>
      <c r="C399" s="32" t="str">
        <f>IFERROR(__xludf.DUMMYFUNCTION("""COMPUTED_VALUE"""),"Item")</f>
        <v>Item</v>
      </c>
      <c r="D399" s="32" t="str">
        <f>IFERROR(__xludf.DUMMYFUNCTION("""COMPUTED_VALUE"""),"Land of Spira")</f>
        <v>Land of Spira</v>
      </c>
      <c r="E399" s="32" t="b">
        <f>IFERROR(__xludf.DUMMYFUNCTION("""COMPUTED_VALUE"""),FALSE)</f>
        <v>0</v>
      </c>
      <c r="F399" s="32"/>
      <c r="G399" s="32"/>
      <c r="H399" s="32"/>
      <c r="I399" s="32"/>
      <c r="J399" s="32"/>
      <c r="K399" s="32"/>
      <c r="L399" s="32"/>
      <c r="M399" s="32"/>
      <c r="N399" s="32"/>
      <c r="O399" s="32"/>
      <c r="P399" s="32"/>
      <c r="Q399" s="32"/>
      <c r="R399" s="32"/>
      <c r="S399" s="32"/>
      <c r="T399" s="32"/>
      <c r="U399" s="32"/>
      <c r="V399" s="32"/>
      <c r="W399" s="32"/>
      <c r="X399" s="32"/>
      <c r="Y399" s="32"/>
      <c r="Z399" s="32"/>
    </row>
    <row r="400">
      <c r="A400" s="32" t="str">
        <f>IFERROR(__xludf.DUMMYFUNCTION("""COMPUTED_VALUE"""),"Dark Crystal Shard")</f>
        <v>Dark Crystal Shard</v>
      </c>
      <c r="B400" s="32" t="str">
        <f>IFERROR(__xludf.DUMMYFUNCTION("""COMPUTED_VALUE"""),"Quest item, Crafting Material, roll a d20 to see how many you get if this is a loot drop.")</f>
        <v>Quest item, Crafting Material, roll a d20 to see how many you get if this is a loot drop.</v>
      </c>
      <c r="C400" s="32" t="str">
        <f>IFERROR(__xludf.DUMMYFUNCTION("""COMPUTED_VALUE"""),"Item")</f>
        <v>Item</v>
      </c>
      <c r="D400" s="32" t="str">
        <f>IFERROR(__xludf.DUMMYFUNCTION("""COMPUTED_VALUE"""),"Land of Spira")</f>
        <v>Land of Spira</v>
      </c>
      <c r="E400" s="32" t="b">
        <f>IFERROR(__xludf.DUMMYFUNCTION("""COMPUTED_VALUE"""),FALSE)</f>
        <v>0</v>
      </c>
      <c r="F400" s="32"/>
      <c r="G400" s="32"/>
      <c r="H400" s="32"/>
      <c r="I400" s="32"/>
      <c r="J400" s="32"/>
      <c r="K400" s="32"/>
      <c r="L400" s="32"/>
      <c r="M400" s="32"/>
      <c r="N400" s="32"/>
      <c r="O400" s="32"/>
      <c r="P400" s="32"/>
      <c r="Q400" s="32"/>
      <c r="R400" s="32"/>
      <c r="S400" s="32"/>
      <c r="T400" s="32"/>
      <c r="U400" s="32"/>
      <c r="V400" s="32"/>
      <c r="W400" s="32"/>
      <c r="X400" s="32"/>
      <c r="Y400" s="32"/>
      <c r="Z400" s="32"/>
    </row>
    <row r="401">
      <c r="A401" s="32" t="str">
        <f>IFERROR(__xludf.DUMMYFUNCTION("""COMPUTED_VALUE"""),"Small Fuel Canister")</f>
        <v>Small Fuel Canister</v>
      </c>
      <c r="B401" s="32" t="str">
        <f>IFERROR(__xludf.DUMMYFUNCTION("""COMPUTED_VALUE"""),"Restores 100 Fuel")</f>
        <v>Restores 100 Fuel</v>
      </c>
      <c r="C401" s="32" t="str">
        <f>IFERROR(__xludf.DUMMYFUNCTION("""COMPUTED_VALUE"""),"Item")</f>
        <v>Item</v>
      </c>
      <c r="D401" s="32" t="str">
        <f>IFERROR(__xludf.DUMMYFUNCTION("""COMPUTED_VALUE"""),"Land of Spira")</f>
        <v>Land of Spira</v>
      </c>
      <c r="E401" s="32" t="b">
        <f>IFERROR(__xludf.DUMMYFUNCTION("""COMPUTED_VALUE"""),FALSE)</f>
        <v>0</v>
      </c>
      <c r="F401" s="32"/>
      <c r="G401" s="32"/>
      <c r="H401" s="32"/>
      <c r="I401" s="32"/>
      <c r="J401" s="32"/>
      <c r="K401" s="32"/>
      <c r="L401" s="32"/>
      <c r="M401" s="32"/>
      <c r="N401" s="32"/>
      <c r="O401" s="32"/>
      <c r="P401" s="32"/>
      <c r="Q401" s="32"/>
      <c r="R401" s="32"/>
      <c r="S401" s="32"/>
      <c r="T401" s="32"/>
      <c r="U401" s="32"/>
      <c r="V401" s="32"/>
      <c r="W401" s="32"/>
      <c r="X401" s="32"/>
      <c r="Y401" s="32"/>
      <c r="Z401" s="32"/>
    </row>
    <row r="402">
      <c r="A402" s="32" t="str">
        <f>IFERROR(__xludf.DUMMYFUNCTION("""COMPUTED_VALUE"""),"Medium Fuel Canister")</f>
        <v>Medium Fuel Canister</v>
      </c>
      <c r="B402" s="32" t="str">
        <f>IFERROR(__xludf.DUMMYFUNCTION("""COMPUTED_VALUE"""),"Restores 250 Fuel")</f>
        <v>Restores 250 Fuel</v>
      </c>
      <c r="C402" s="32" t="str">
        <f>IFERROR(__xludf.DUMMYFUNCTION("""COMPUTED_VALUE"""),"Item")</f>
        <v>Item</v>
      </c>
      <c r="D402" s="32" t="str">
        <f>IFERROR(__xludf.DUMMYFUNCTION("""COMPUTED_VALUE"""),"Land of Spira")</f>
        <v>Land of Spira</v>
      </c>
      <c r="E402" s="32" t="b">
        <f>IFERROR(__xludf.DUMMYFUNCTION("""COMPUTED_VALUE"""),FALSE)</f>
        <v>0</v>
      </c>
      <c r="F402" s="32"/>
      <c r="G402" s="32"/>
      <c r="H402" s="32"/>
      <c r="I402" s="32"/>
      <c r="J402" s="32"/>
      <c r="K402" s="32"/>
      <c r="L402" s="32"/>
      <c r="M402" s="32"/>
      <c r="N402" s="32"/>
      <c r="O402" s="32"/>
      <c r="P402" s="32"/>
      <c r="Q402" s="32"/>
      <c r="R402" s="32"/>
      <c r="S402" s="32"/>
      <c r="T402" s="32"/>
      <c r="U402" s="32"/>
      <c r="V402" s="32"/>
      <c r="W402" s="32"/>
      <c r="X402" s="32"/>
      <c r="Y402" s="32"/>
      <c r="Z402" s="32"/>
    </row>
    <row r="403">
      <c r="A403" s="32" t="str">
        <f>IFERROR(__xludf.DUMMYFUNCTION("""COMPUTED_VALUE"""),"Large Fuel Canister")</f>
        <v>Large Fuel Canister</v>
      </c>
      <c r="B403" s="32" t="str">
        <f>IFERROR(__xludf.DUMMYFUNCTION("""COMPUTED_VALUE"""),"Restores 500 Fuel")</f>
        <v>Restores 500 Fuel</v>
      </c>
      <c r="C403" s="32" t="str">
        <f>IFERROR(__xludf.DUMMYFUNCTION("""COMPUTED_VALUE"""),"Item")</f>
        <v>Item</v>
      </c>
      <c r="D403" s="32" t="str">
        <f>IFERROR(__xludf.DUMMYFUNCTION("""COMPUTED_VALUE"""),"Land of Spira")</f>
        <v>Land of Spira</v>
      </c>
      <c r="E403" s="32" t="b">
        <f>IFERROR(__xludf.DUMMYFUNCTION("""COMPUTED_VALUE"""),FALSE)</f>
        <v>0</v>
      </c>
      <c r="F403" s="32"/>
      <c r="G403" s="32"/>
      <c r="H403" s="32"/>
      <c r="I403" s="32"/>
      <c r="J403" s="32"/>
      <c r="K403" s="32"/>
      <c r="L403" s="32"/>
      <c r="M403" s="32"/>
      <c r="N403" s="32"/>
      <c r="O403" s="32"/>
      <c r="P403" s="32"/>
      <c r="Q403" s="32"/>
      <c r="R403" s="32"/>
      <c r="S403" s="32"/>
      <c r="T403" s="32"/>
      <c r="U403" s="32"/>
      <c r="V403" s="32"/>
      <c r="W403" s="32"/>
      <c r="X403" s="32"/>
      <c r="Y403" s="32"/>
      <c r="Z403" s="32"/>
    </row>
    <row r="404">
      <c r="A404" s="32" t="str">
        <f>IFERROR(__xludf.DUMMYFUNCTION("""COMPUTED_VALUE"""),"Letter from the Lord of Spira")</f>
        <v>Letter from the Lord of Spira</v>
      </c>
      <c r="B404" s="32" t="str">
        <f>IFERROR(__xludf.DUMMYFUNCTION("""COMPUTED_VALUE"""),"Absolved from all crimes whitin The Land of Spira. Can only be used once, Cannot be duplicated")</f>
        <v>Absolved from all crimes whitin The Land of Spira. Can only be used once, Cannot be duplicated</v>
      </c>
      <c r="C404" s="32" t="str">
        <f>IFERROR(__xludf.DUMMYFUNCTION("""COMPUTED_VALUE"""),"Item")</f>
        <v>Item</v>
      </c>
      <c r="D404" s="32" t="str">
        <f>IFERROR(__xludf.DUMMYFUNCTION("""COMPUTED_VALUE"""),"Land of Spira")</f>
        <v>Land of Spira</v>
      </c>
      <c r="E404" s="32" t="b">
        <f>IFERROR(__xludf.DUMMYFUNCTION("""COMPUTED_VALUE"""),FALSE)</f>
        <v>0</v>
      </c>
      <c r="F404" s="32"/>
      <c r="G404" s="32"/>
      <c r="H404" s="32"/>
      <c r="I404" s="32"/>
      <c r="J404" s="32"/>
      <c r="K404" s="32"/>
      <c r="L404" s="32"/>
      <c r="M404" s="32"/>
      <c r="N404" s="32"/>
      <c r="O404" s="32"/>
      <c r="P404" s="32"/>
      <c r="Q404" s="32"/>
      <c r="R404" s="32"/>
      <c r="S404" s="32"/>
      <c r="T404" s="32"/>
      <c r="U404" s="32"/>
      <c r="V404" s="32"/>
      <c r="W404" s="32"/>
      <c r="X404" s="32"/>
      <c r="Y404" s="32"/>
      <c r="Z404" s="32"/>
    </row>
    <row r="405">
      <c r="A405" s="32" t="str">
        <f>IFERROR(__xludf.DUMMYFUNCTION("""COMPUTED_VALUE"""),"Scroll of Bad Dreams")</f>
        <v>Scroll of Bad Dreams</v>
      </c>
      <c r="B405" s="32"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32" t="str">
        <f>IFERROR(__xludf.DUMMYFUNCTION("""COMPUTED_VALUE"""),"Item")</f>
        <v>Item</v>
      </c>
      <c r="D405" s="32" t="str">
        <f>IFERROR(__xludf.DUMMYFUNCTION("""COMPUTED_VALUE"""),"Abstara")</f>
        <v>Abstara</v>
      </c>
      <c r="E405" s="32" t="b">
        <f>IFERROR(__xludf.DUMMYFUNCTION("""COMPUTED_VALUE"""),FALSE)</f>
        <v>0</v>
      </c>
      <c r="F405" s="32"/>
      <c r="G405" s="32"/>
      <c r="H405" s="32"/>
      <c r="I405" s="32"/>
      <c r="J405" s="32"/>
      <c r="K405" s="32"/>
      <c r="L405" s="32"/>
      <c r="M405" s="32"/>
      <c r="N405" s="32"/>
      <c r="O405" s="32"/>
      <c r="P405" s="32"/>
      <c r="Q405" s="32"/>
      <c r="R405" s="32"/>
      <c r="S405" s="32"/>
      <c r="T405" s="32"/>
      <c r="U405" s="32"/>
      <c r="V405" s="32"/>
      <c r="W405" s="32"/>
      <c r="X405" s="32"/>
      <c r="Y405" s="32"/>
      <c r="Z405" s="32"/>
    </row>
    <row r="406">
      <c r="A406" s="32" t="str">
        <f>IFERROR(__xludf.DUMMYFUNCTION("""COMPUTED_VALUE"""),"A Jar of Blood")</f>
        <v>A Jar of Blood</v>
      </c>
      <c r="B406" s="32" t="str">
        <f>IFERROR(__xludf.DUMMYFUNCTION("""COMPUTED_VALUE"""),"Crafting Material, roll a d20 to see how many you get if this is a loot drop.")</f>
        <v>Crafting Material, roll a d20 to see how many you get if this is a loot drop.</v>
      </c>
      <c r="C406" s="32" t="str">
        <f>IFERROR(__xludf.DUMMYFUNCTION("""COMPUTED_VALUE"""),"Item")</f>
        <v>Item</v>
      </c>
      <c r="D406" s="32" t="str">
        <f>IFERROR(__xludf.DUMMYFUNCTION("""COMPUTED_VALUE"""),"Abstara")</f>
        <v>Abstara</v>
      </c>
      <c r="E406" s="32" t="b">
        <f>IFERROR(__xludf.DUMMYFUNCTION("""COMPUTED_VALUE"""),FALSE)</f>
        <v>0</v>
      </c>
      <c r="F406" s="32"/>
      <c r="G406" s="32"/>
      <c r="H406" s="32"/>
      <c r="I406" s="32"/>
      <c r="J406" s="32"/>
      <c r="K406" s="32"/>
      <c r="L406" s="32"/>
      <c r="M406" s="32"/>
      <c r="N406" s="32"/>
      <c r="O406" s="32"/>
      <c r="P406" s="32"/>
      <c r="Q406" s="32"/>
      <c r="R406" s="32"/>
      <c r="S406" s="32"/>
      <c r="T406" s="32"/>
      <c r="U406" s="32"/>
      <c r="V406" s="32"/>
      <c r="W406" s="32"/>
      <c r="X406" s="32"/>
      <c r="Y406" s="32"/>
      <c r="Z406" s="32"/>
    </row>
    <row r="407">
      <c r="A407" s="32" t="str">
        <f>IFERROR(__xludf.DUMMYFUNCTION("""COMPUTED_VALUE"""),"Demon Blood")</f>
        <v>Demon Blood</v>
      </c>
      <c r="B407" s="32" t="str">
        <f>IFERROR(__xludf.DUMMYFUNCTION("""COMPUTED_VALUE"""),"Crafting Material, roll a d20 to see how many you get if this is a loot drop.")</f>
        <v>Crafting Material, roll a d20 to see how many you get if this is a loot drop.</v>
      </c>
      <c r="C407" s="32" t="str">
        <f>IFERROR(__xludf.DUMMYFUNCTION("""COMPUTED_VALUE"""),"Item")</f>
        <v>Item</v>
      </c>
      <c r="D407" s="32" t="str">
        <f>IFERROR(__xludf.DUMMYFUNCTION("""COMPUTED_VALUE"""),"Abstara")</f>
        <v>Abstara</v>
      </c>
      <c r="E407" s="32" t="b">
        <f>IFERROR(__xludf.DUMMYFUNCTION("""COMPUTED_VALUE"""),FALSE)</f>
        <v>0</v>
      </c>
      <c r="F407" s="32"/>
      <c r="G407" s="32"/>
      <c r="H407" s="32"/>
      <c r="I407" s="32"/>
      <c r="J407" s="32"/>
      <c r="K407" s="32"/>
      <c r="L407" s="32"/>
      <c r="M407" s="32"/>
      <c r="N407" s="32"/>
      <c r="O407" s="32"/>
      <c r="P407" s="32"/>
      <c r="Q407" s="32"/>
      <c r="R407" s="32"/>
      <c r="S407" s="32"/>
      <c r="T407" s="32"/>
      <c r="U407" s="32"/>
      <c r="V407" s="32"/>
      <c r="W407" s="32"/>
      <c r="X407" s="32"/>
      <c r="Y407" s="32"/>
      <c r="Z407" s="32"/>
    </row>
    <row r="408">
      <c r="A408" s="32" t="str">
        <f>IFERROR(__xludf.DUMMYFUNCTION("""COMPUTED_VALUE"""),"Demon Skull")</f>
        <v>Demon Skull</v>
      </c>
      <c r="B408" s="32" t="str">
        <f>IFERROR(__xludf.DUMMYFUNCTION("""COMPUTED_VALUE"""),"Crafting Material, roll a d20 to see how many you get if this is a loot drop.")</f>
        <v>Crafting Material, roll a d20 to see how many you get if this is a loot drop.</v>
      </c>
      <c r="C408" s="32" t="str">
        <f>IFERROR(__xludf.DUMMYFUNCTION("""COMPUTED_VALUE"""),"Item")</f>
        <v>Item</v>
      </c>
      <c r="D408" s="32" t="str">
        <f>IFERROR(__xludf.DUMMYFUNCTION("""COMPUTED_VALUE"""),"Abstara")</f>
        <v>Abstara</v>
      </c>
      <c r="E408" s="32" t="b">
        <f>IFERROR(__xludf.DUMMYFUNCTION("""COMPUTED_VALUE"""),FALSE)</f>
        <v>0</v>
      </c>
      <c r="F408" s="32"/>
      <c r="G408" s="32"/>
      <c r="H408" s="32"/>
      <c r="I408" s="32"/>
      <c r="J408" s="32"/>
      <c r="K408" s="32"/>
      <c r="L408" s="32"/>
      <c r="M408" s="32"/>
      <c r="N408" s="32"/>
      <c r="O408" s="32"/>
      <c r="P408" s="32"/>
      <c r="Q408" s="32"/>
      <c r="R408" s="32"/>
      <c r="S408" s="32"/>
      <c r="T408" s="32"/>
      <c r="U408" s="32"/>
      <c r="V408" s="32"/>
      <c r="W408" s="32"/>
      <c r="X408" s="32"/>
      <c r="Y408" s="32"/>
      <c r="Z408" s="32"/>
    </row>
    <row r="409">
      <c r="A409" s="32" t="str">
        <f>IFERROR(__xludf.DUMMYFUNCTION("""COMPUTED_VALUE"""),"Volcanic Teeth")</f>
        <v>Volcanic Teeth</v>
      </c>
      <c r="B409" s="32" t="str">
        <f>IFERROR(__xludf.DUMMYFUNCTION("""COMPUTED_VALUE"""),"Crafting Material, roll a d20 to see how many you get if this is a loot drop.")</f>
        <v>Crafting Material, roll a d20 to see how many you get if this is a loot drop.</v>
      </c>
      <c r="C409" s="32" t="str">
        <f>IFERROR(__xludf.DUMMYFUNCTION("""COMPUTED_VALUE"""),"Item")</f>
        <v>Item</v>
      </c>
      <c r="D409" s="32" t="str">
        <f>IFERROR(__xludf.DUMMYFUNCTION("""COMPUTED_VALUE"""),"Abstara")</f>
        <v>Abstara</v>
      </c>
      <c r="E409" s="32" t="b">
        <f>IFERROR(__xludf.DUMMYFUNCTION("""COMPUTED_VALUE"""),FALSE)</f>
        <v>0</v>
      </c>
      <c r="F409" s="32"/>
      <c r="G409" s="32"/>
      <c r="H409" s="32"/>
      <c r="I409" s="32"/>
      <c r="J409" s="32"/>
      <c r="K409" s="32"/>
      <c r="L409" s="32"/>
      <c r="M409" s="32"/>
      <c r="N409" s="32"/>
      <c r="O409" s="32"/>
      <c r="P409" s="32"/>
      <c r="Q409" s="32"/>
      <c r="R409" s="32"/>
      <c r="S409" s="32"/>
      <c r="T409" s="32"/>
      <c r="U409" s="32"/>
      <c r="V409" s="32"/>
      <c r="W409" s="32"/>
      <c r="X409" s="32"/>
      <c r="Y409" s="32"/>
      <c r="Z409" s="32"/>
    </row>
    <row r="410">
      <c r="A410" s="32" t="str">
        <f>IFERROR(__xludf.DUMMYFUNCTION("""COMPUTED_VALUE"""),"Volcanic Serpent Teeth ")</f>
        <v>Volcanic Serpent Teeth </v>
      </c>
      <c r="B410" s="32" t="str">
        <f>IFERROR(__xludf.DUMMYFUNCTION("""COMPUTED_VALUE"""),"Crafting Material, roll a d20 to see how many you get if this is a loot drop.")</f>
        <v>Crafting Material, roll a d20 to see how many you get if this is a loot drop.</v>
      </c>
      <c r="C410" s="32" t="str">
        <f>IFERROR(__xludf.DUMMYFUNCTION("""COMPUTED_VALUE"""),"Item")</f>
        <v>Item</v>
      </c>
      <c r="D410" s="32" t="str">
        <f>IFERROR(__xludf.DUMMYFUNCTION("""COMPUTED_VALUE"""),"Abstara")</f>
        <v>Abstara</v>
      </c>
      <c r="E410" s="32" t="b">
        <f>IFERROR(__xludf.DUMMYFUNCTION("""COMPUTED_VALUE"""),FALSE)</f>
        <v>0</v>
      </c>
      <c r="F410" s="32"/>
      <c r="G410" s="32"/>
      <c r="H410" s="32"/>
      <c r="I410" s="32"/>
      <c r="J410" s="32"/>
      <c r="K410" s="32"/>
      <c r="L410" s="32"/>
      <c r="M410" s="32"/>
      <c r="N410" s="32"/>
      <c r="O410" s="32"/>
      <c r="P410" s="32"/>
      <c r="Q410" s="32"/>
      <c r="R410" s="32"/>
      <c r="S410" s="32"/>
      <c r="T410" s="32"/>
      <c r="U410" s="32"/>
      <c r="V410" s="32"/>
      <c r="W410" s="32"/>
      <c r="X410" s="32"/>
      <c r="Y410" s="32"/>
      <c r="Z410" s="32"/>
    </row>
    <row r="411">
      <c r="A411" s="32" t="str">
        <f>IFERROR(__xludf.DUMMYFUNCTION("""COMPUTED_VALUE"""),"Volcanic Serpent Scales")</f>
        <v>Volcanic Serpent Scales</v>
      </c>
      <c r="B411" s="32" t="str">
        <f>IFERROR(__xludf.DUMMYFUNCTION("""COMPUTED_VALUE"""),"Crafting Material, roll a d20 to see how many you get if this is a loot drop.")</f>
        <v>Crafting Material, roll a d20 to see how many you get if this is a loot drop.</v>
      </c>
      <c r="C411" s="32" t="str">
        <f>IFERROR(__xludf.DUMMYFUNCTION("""COMPUTED_VALUE"""),"Item")</f>
        <v>Item</v>
      </c>
      <c r="D411" s="32" t="str">
        <f>IFERROR(__xludf.DUMMYFUNCTION("""COMPUTED_VALUE"""),"Abstara")</f>
        <v>Abstara</v>
      </c>
      <c r="E411" s="32" t="b">
        <f>IFERROR(__xludf.DUMMYFUNCTION("""COMPUTED_VALUE"""),FALSE)</f>
        <v>0</v>
      </c>
      <c r="F411" s="32"/>
      <c r="G411" s="32"/>
      <c r="H411" s="32"/>
      <c r="I411" s="32"/>
      <c r="J411" s="32"/>
      <c r="K411" s="32"/>
      <c r="L411" s="32"/>
      <c r="M411" s="32"/>
      <c r="N411" s="32"/>
      <c r="O411" s="32"/>
      <c r="P411" s="32"/>
      <c r="Q411" s="32"/>
      <c r="R411" s="32"/>
      <c r="S411" s="32"/>
      <c r="T411" s="32"/>
      <c r="U411" s="32"/>
      <c r="V411" s="32"/>
      <c r="W411" s="32"/>
      <c r="X411" s="32"/>
      <c r="Y411" s="32"/>
      <c r="Z411" s="32"/>
    </row>
    <row r="412">
      <c r="A412" s="32" t="str">
        <f>IFERROR(__xludf.DUMMYFUNCTION("""COMPUTED_VALUE"""),"Lava Panther Leather")</f>
        <v>Lava Panther Leather</v>
      </c>
      <c r="B412" s="32" t="str">
        <f>IFERROR(__xludf.DUMMYFUNCTION("""COMPUTED_VALUE"""),"Crafting Material, roll a d20 to see how many you get if this is a loot drop.")</f>
        <v>Crafting Material, roll a d20 to see how many you get if this is a loot drop.</v>
      </c>
      <c r="C412" s="32" t="str">
        <f>IFERROR(__xludf.DUMMYFUNCTION("""COMPUTED_VALUE"""),"Item")</f>
        <v>Item</v>
      </c>
      <c r="D412" s="32" t="str">
        <f>IFERROR(__xludf.DUMMYFUNCTION("""COMPUTED_VALUE"""),"Abstara")</f>
        <v>Abstara</v>
      </c>
      <c r="E412" s="32" t="b">
        <f>IFERROR(__xludf.DUMMYFUNCTION("""COMPUTED_VALUE"""),FALSE)</f>
        <v>0</v>
      </c>
      <c r="F412" s="32"/>
      <c r="G412" s="32"/>
      <c r="H412" s="32"/>
      <c r="I412" s="32"/>
      <c r="J412" s="32"/>
      <c r="K412" s="32"/>
      <c r="L412" s="32"/>
      <c r="M412" s="32"/>
      <c r="N412" s="32"/>
      <c r="O412" s="32"/>
      <c r="P412" s="32"/>
      <c r="Q412" s="32"/>
      <c r="R412" s="32"/>
      <c r="S412" s="32"/>
      <c r="T412" s="32"/>
      <c r="U412" s="32"/>
      <c r="V412" s="32"/>
      <c r="W412" s="32"/>
      <c r="X412" s="32"/>
      <c r="Y412" s="32"/>
      <c r="Z412" s="32"/>
    </row>
    <row r="413">
      <c r="A413" s="32" t="str">
        <f>IFERROR(__xludf.DUMMYFUNCTION("""COMPUTED_VALUE"""),"Endless Dark Core")</f>
        <v>Endless Dark Core</v>
      </c>
      <c r="B413" s="32" t="str">
        <f>IFERROR(__xludf.DUMMYFUNCTION("""COMPUTED_VALUE"""),"Return a banished character from banishment without having to fight the Keeper of the Banished. (1 use)")</f>
        <v>Return a banished character from banishment without having to fight the Keeper of the Banished. (1 use)</v>
      </c>
      <c r="C413" s="32" t="str">
        <f>IFERROR(__xludf.DUMMYFUNCTION("""COMPUTED_VALUE"""),"Item")</f>
        <v>Item</v>
      </c>
      <c r="D413" s="32" t="str">
        <f>IFERROR(__xludf.DUMMYFUNCTION("""COMPUTED_VALUE"""),"Abstara")</f>
        <v>Abstara</v>
      </c>
      <c r="E413" s="32" t="b">
        <f>IFERROR(__xludf.DUMMYFUNCTION("""COMPUTED_VALUE"""),FALSE)</f>
        <v>0</v>
      </c>
      <c r="F413" s="32"/>
      <c r="G413" s="32"/>
      <c r="H413" s="32"/>
      <c r="I413" s="32"/>
      <c r="J413" s="32"/>
      <c r="K413" s="32"/>
      <c r="L413" s="32"/>
      <c r="M413" s="32"/>
      <c r="N413" s="32"/>
      <c r="O413" s="32"/>
      <c r="P413" s="32"/>
      <c r="Q413" s="32"/>
      <c r="R413" s="32"/>
      <c r="S413" s="32"/>
      <c r="T413" s="32"/>
      <c r="U413" s="32"/>
      <c r="V413" s="32"/>
      <c r="W413" s="32"/>
      <c r="X413" s="32"/>
      <c r="Y413" s="32"/>
      <c r="Z413" s="32"/>
    </row>
    <row r="414">
      <c r="A414" s="32" t="str">
        <f>IFERROR(__xludf.DUMMYFUNCTION("""COMPUTED_VALUE"""),"Endless Dark Dragon Scales")</f>
        <v>Endless Dark Dragon Scales</v>
      </c>
      <c r="B414" s="32" t="str">
        <f>IFERROR(__xludf.DUMMYFUNCTION("""COMPUTED_VALUE"""),"Crafting Material, roll a d20 to see how many you get if this is a loot drop.")</f>
        <v>Crafting Material, roll a d20 to see how many you get if this is a loot drop.</v>
      </c>
      <c r="C414" s="32" t="str">
        <f>IFERROR(__xludf.DUMMYFUNCTION("""COMPUTED_VALUE"""),"Item")</f>
        <v>Item</v>
      </c>
      <c r="D414" s="32" t="str">
        <f>IFERROR(__xludf.DUMMYFUNCTION("""COMPUTED_VALUE"""),"Abstara")</f>
        <v>Abstara</v>
      </c>
      <c r="E414" s="32" t="b">
        <f>IFERROR(__xludf.DUMMYFUNCTION("""COMPUTED_VALUE"""),FALSE)</f>
        <v>0</v>
      </c>
      <c r="F414" s="32"/>
      <c r="G414" s="32"/>
      <c r="H414" s="32"/>
      <c r="I414" s="32"/>
      <c r="J414" s="32"/>
      <c r="K414" s="32"/>
      <c r="L414" s="32"/>
      <c r="M414" s="32"/>
      <c r="N414" s="32"/>
      <c r="O414" s="32"/>
      <c r="P414" s="32"/>
      <c r="Q414" s="32"/>
      <c r="R414" s="32"/>
      <c r="S414" s="32"/>
      <c r="T414" s="32"/>
      <c r="U414" s="32"/>
      <c r="V414" s="32"/>
      <c r="W414" s="32"/>
      <c r="X414" s="32"/>
      <c r="Y414" s="32"/>
      <c r="Z414" s="32"/>
    </row>
    <row r="415">
      <c r="A415" s="32" t="str">
        <f>IFERROR(__xludf.DUMMYFUNCTION("""COMPUTED_VALUE"""),"Magma Stone")</f>
        <v>Magma Stone</v>
      </c>
      <c r="B415" s="32" t="str">
        <f>IFERROR(__xludf.DUMMYFUNCTION("""COMPUTED_VALUE"""),"Crafting Material, roll a d20 to see how many you get if this is a loot drop.")</f>
        <v>Crafting Material, roll a d20 to see how many you get if this is a loot drop.</v>
      </c>
      <c r="C415" s="32" t="str">
        <f>IFERROR(__xludf.DUMMYFUNCTION("""COMPUTED_VALUE"""),"Item")</f>
        <v>Item</v>
      </c>
      <c r="D415" s="32" t="str">
        <f>IFERROR(__xludf.DUMMYFUNCTION("""COMPUTED_VALUE"""),"Abstara")</f>
        <v>Abstara</v>
      </c>
      <c r="E415" s="32" t="b">
        <f>IFERROR(__xludf.DUMMYFUNCTION("""COMPUTED_VALUE"""),FALSE)</f>
        <v>0</v>
      </c>
      <c r="F415" s="32"/>
      <c r="G415" s="32"/>
      <c r="H415" s="32"/>
      <c r="I415" s="32"/>
      <c r="J415" s="32"/>
      <c r="K415" s="32"/>
      <c r="L415" s="32"/>
      <c r="M415" s="32"/>
      <c r="N415" s="32"/>
      <c r="O415" s="32"/>
      <c r="P415" s="32"/>
      <c r="Q415" s="32"/>
      <c r="R415" s="32"/>
      <c r="S415" s="32"/>
      <c r="T415" s="32"/>
      <c r="U415" s="32"/>
      <c r="V415" s="32"/>
      <c r="W415" s="32"/>
      <c r="X415" s="32"/>
      <c r="Y415" s="32"/>
      <c r="Z415" s="32"/>
    </row>
    <row r="416">
      <c r="A416" s="32" t="str">
        <f>IFERROR(__xludf.DUMMYFUNCTION("""COMPUTED_VALUE"""),"Inferno Feather")</f>
        <v>Inferno Feather</v>
      </c>
      <c r="B416" s="32" t="str">
        <f>IFERROR(__xludf.DUMMYFUNCTION("""COMPUTED_VALUE"""),"Crafting Material, roll a d20 to see how many you get if this is a loot drop.")</f>
        <v>Crafting Material, roll a d20 to see how many you get if this is a loot drop.</v>
      </c>
      <c r="C416" s="32" t="str">
        <f>IFERROR(__xludf.DUMMYFUNCTION("""COMPUTED_VALUE"""),"Item")</f>
        <v>Item</v>
      </c>
      <c r="D416" s="32" t="str">
        <f>IFERROR(__xludf.DUMMYFUNCTION("""COMPUTED_VALUE"""),"Abstara")</f>
        <v>Abstara</v>
      </c>
      <c r="E416" s="32" t="b">
        <f>IFERROR(__xludf.DUMMYFUNCTION("""COMPUTED_VALUE"""),FALSE)</f>
        <v>0</v>
      </c>
      <c r="F416" s="32"/>
      <c r="G416" s="32"/>
      <c r="H416" s="32"/>
      <c r="I416" s="32"/>
      <c r="J416" s="32"/>
      <c r="K416" s="32"/>
      <c r="L416" s="32"/>
      <c r="M416" s="32"/>
      <c r="N416" s="32"/>
      <c r="O416" s="32"/>
      <c r="P416" s="32"/>
      <c r="Q416" s="32"/>
      <c r="R416" s="32"/>
      <c r="S416" s="32"/>
      <c r="T416" s="32"/>
      <c r="U416" s="32"/>
      <c r="V416" s="32"/>
      <c r="W416" s="32"/>
      <c r="X416" s="32"/>
      <c r="Y416" s="32"/>
      <c r="Z416" s="32"/>
    </row>
    <row r="417">
      <c r="A417" s="32" t="str">
        <f>IFERROR(__xludf.DUMMYFUNCTION("""COMPUTED_VALUE"""),"Ancient Stone Medallion")</f>
        <v>Ancient Stone Medallion</v>
      </c>
      <c r="B417" s="32" t="str">
        <f>IFERROR(__xludf.DUMMYFUNCTION("""COMPUTED_VALUE"""),"Allows access to the Ruins of Mana.")</f>
        <v>Allows access to the Ruins of Mana.</v>
      </c>
      <c r="C417" s="32" t="str">
        <f>IFERROR(__xludf.DUMMYFUNCTION("""COMPUTED_VALUE"""),"Item")</f>
        <v>Item</v>
      </c>
      <c r="D417" s="32" t="str">
        <f>IFERROR(__xludf.DUMMYFUNCTION("""COMPUTED_VALUE"""),"Land of Spira")</f>
        <v>Land of Spira</v>
      </c>
      <c r="E417" s="32" t="b">
        <f>IFERROR(__xludf.DUMMYFUNCTION("""COMPUTED_VALUE"""),FALSE)</f>
        <v>0</v>
      </c>
      <c r="F417" s="32"/>
      <c r="G417" s="32"/>
      <c r="H417" s="32"/>
      <c r="I417" s="32"/>
      <c r="J417" s="32"/>
      <c r="K417" s="32"/>
      <c r="L417" s="32"/>
      <c r="M417" s="32"/>
      <c r="N417" s="32"/>
      <c r="O417" s="32"/>
      <c r="P417" s="32"/>
      <c r="Q417" s="32"/>
      <c r="R417" s="32"/>
      <c r="S417" s="32"/>
      <c r="T417" s="32"/>
      <c r="U417" s="32"/>
      <c r="V417" s="32"/>
      <c r="W417" s="32"/>
      <c r="X417" s="32"/>
      <c r="Y417" s="32"/>
      <c r="Z417" s="32"/>
    </row>
    <row r="418">
      <c r="A418" s="32" t="str">
        <f>IFERROR(__xludf.DUMMYFUNCTION("""COMPUTED_VALUE"""),"Vial of Unknown Liquid")</f>
        <v>Vial of Unknown Liquid</v>
      </c>
      <c r="B418" s="32" t="str">
        <f>IFERROR(__xludf.DUMMYFUNCTION("""COMPUTED_VALUE"""),"When consumed, roll a d20. For the next 3 rounds, lose the result d20x100 health and gain the result d20x500SP.")</f>
        <v>When consumed, roll a d20. For the next 3 rounds, lose the result d20x100 health and gain the result d20x500SP.</v>
      </c>
      <c r="C418" s="32" t="str">
        <f>IFERROR(__xludf.DUMMYFUNCTION("""COMPUTED_VALUE"""),"Item")</f>
        <v>Item</v>
      </c>
      <c r="D418" s="32" t="str">
        <f>IFERROR(__xludf.DUMMYFUNCTION("""COMPUTED_VALUE"""),"Land of Spira")</f>
        <v>Land of Spira</v>
      </c>
      <c r="E418" s="32" t="b">
        <f>IFERROR(__xludf.DUMMYFUNCTION("""COMPUTED_VALUE"""),FALSE)</f>
        <v>0</v>
      </c>
      <c r="F418" s="32"/>
      <c r="G418" s="32"/>
      <c r="H418" s="32"/>
      <c r="I418" s="32"/>
      <c r="J418" s="32"/>
      <c r="K418" s="32"/>
      <c r="L418" s="32"/>
      <c r="M418" s="32"/>
      <c r="N418" s="32"/>
      <c r="O418" s="32"/>
      <c r="P418" s="32"/>
      <c r="Q418" s="32"/>
      <c r="R418" s="32"/>
      <c r="S418" s="32"/>
      <c r="T418" s="32"/>
      <c r="U418" s="32"/>
      <c r="V418" s="32"/>
      <c r="W418" s="32"/>
      <c r="X418" s="32"/>
      <c r="Y418" s="32"/>
      <c r="Z418" s="32"/>
    </row>
    <row r="419">
      <c r="A419" s="32" t="str">
        <f>IFERROR(__xludf.DUMMYFUNCTION("""COMPUTED_VALUE"""),"Diamond Fishing Pole ")</f>
        <v>Diamond Fishing Pole </v>
      </c>
      <c r="B419" s="32" t="str">
        <f>IFERROR(__xludf.DUMMYFUNCTION("""COMPUTED_VALUE"""),"100/100 Uses. Used for fishing.")</f>
        <v>100/100 Uses. Used for fishing.</v>
      </c>
      <c r="C419" s="32" t="str">
        <f>IFERROR(__xludf.DUMMYFUNCTION("""COMPUTED_VALUE"""),"Item")</f>
        <v>Item</v>
      </c>
      <c r="D419" s="32" t="str">
        <f>IFERROR(__xludf.DUMMYFUNCTION("""COMPUTED_VALUE"""),"Land of Spira")</f>
        <v>Land of Spira</v>
      </c>
      <c r="E419" s="32" t="b">
        <f>IFERROR(__xludf.DUMMYFUNCTION("""COMPUTED_VALUE"""),FALSE)</f>
        <v>0</v>
      </c>
      <c r="F419" s="32"/>
      <c r="G419" s="32"/>
      <c r="H419" s="32"/>
      <c r="I419" s="32"/>
      <c r="J419" s="32"/>
      <c r="K419" s="32"/>
      <c r="L419" s="32"/>
      <c r="M419" s="32"/>
      <c r="N419" s="32"/>
      <c r="O419" s="32"/>
      <c r="P419" s="32"/>
      <c r="Q419" s="32"/>
      <c r="R419" s="32"/>
      <c r="S419" s="32"/>
      <c r="T419" s="32"/>
      <c r="U419" s="32"/>
      <c r="V419" s="32"/>
      <c r="W419" s="32"/>
      <c r="X419" s="32"/>
      <c r="Y419" s="32"/>
      <c r="Z419" s="32"/>
    </row>
    <row r="420">
      <c r="A420" s="32" t="str">
        <f>IFERROR(__xludf.DUMMYFUNCTION("""COMPUTED_VALUE"""),"Obsidian Fishing Pole ")</f>
        <v>Obsidian Fishing Pole </v>
      </c>
      <c r="B420" s="32" t="str">
        <f>IFERROR(__xludf.DUMMYFUNCTION("""COMPUTED_VALUE"""),"120/120 Uses. Used for fishing.")</f>
        <v>120/120 Uses. Used for fishing.</v>
      </c>
      <c r="C420" s="32" t="str">
        <f>IFERROR(__xludf.DUMMYFUNCTION("""COMPUTED_VALUE"""),"Item")</f>
        <v>Item</v>
      </c>
      <c r="D420" s="32" t="str">
        <f>IFERROR(__xludf.DUMMYFUNCTION("""COMPUTED_VALUE"""),"Land of Spira")</f>
        <v>Land of Spira</v>
      </c>
      <c r="E420" s="32" t="b">
        <f>IFERROR(__xludf.DUMMYFUNCTION("""COMPUTED_VALUE"""),FALSE)</f>
        <v>0</v>
      </c>
      <c r="F420" s="32"/>
      <c r="G420" s="32"/>
      <c r="H420" s="32"/>
      <c r="I420" s="32"/>
      <c r="J420" s="32"/>
      <c r="K420" s="32"/>
      <c r="L420" s="32"/>
      <c r="M420" s="32"/>
      <c r="N420" s="32"/>
      <c r="O420" s="32"/>
      <c r="P420" s="32"/>
      <c r="Q420" s="32"/>
      <c r="R420" s="32"/>
      <c r="S420" s="32"/>
      <c r="T420" s="32"/>
      <c r="U420" s="32"/>
      <c r="V420" s="32"/>
      <c r="W420" s="32"/>
      <c r="X420" s="32"/>
      <c r="Y420" s="32"/>
      <c r="Z420" s="32"/>
    </row>
    <row r="421">
      <c r="A421" s="32" t="str">
        <f>IFERROR(__xludf.DUMMYFUNCTION("""COMPUTED_VALUE"""),"Golden Pickaxe")</f>
        <v>Golden Pickaxe</v>
      </c>
      <c r="B421" s="32" t="str">
        <f>IFERROR(__xludf.DUMMYFUNCTION("""COMPUTED_VALUE"""),"80/80 Uses. Used for mining.")</f>
        <v>80/80 Uses. Used for mining.</v>
      </c>
      <c r="C421" s="32" t="str">
        <f>IFERROR(__xludf.DUMMYFUNCTION("""COMPUTED_VALUE"""),"Item")</f>
        <v>Item</v>
      </c>
      <c r="D421" s="32" t="str">
        <f>IFERROR(__xludf.DUMMYFUNCTION("""COMPUTED_VALUE"""),"Land of Spira")</f>
        <v>Land of Spira</v>
      </c>
      <c r="E421" s="32" t="b">
        <f>IFERROR(__xludf.DUMMYFUNCTION("""COMPUTED_VALUE"""),FALSE)</f>
        <v>0</v>
      </c>
      <c r="F421" s="32"/>
      <c r="G421" s="32"/>
      <c r="H421" s="32"/>
      <c r="I421" s="32"/>
      <c r="J421" s="32"/>
      <c r="K421" s="32"/>
      <c r="L421" s="32"/>
      <c r="M421" s="32"/>
      <c r="N421" s="32"/>
      <c r="O421" s="32"/>
      <c r="P421" s="32"/>
      <c r="Q421" s="32"/>
      <c r="R421" s="32"/>
      <c r="S421" s="32"/>
      <c r="T421" s="32"/>
      <c r="U421" s="32"/>
      <c r="V421" s="32"/>
      <c r="W421" s="32"/>
      <c r="X421" s="32"/>
      <c r="Y421" s="32"/>
      <c r="Z421" s="32"/>
    </row>
    <row r="422">
      <c r="A422" s="32" t="str">
        <f>IFERROR(__xludf.DUMMYFUNCTION("""COMPUTED_VALUE"""),"Wooden Pickaxe")</f>
        <v>Wooden Pickaxe</v>
      </c>
      <c r="B422" s="32" t="str">
        <f>IFERROR(__xludf.DUMMYFUNCTION("""COMPUTED_VALUE"""),"10/10 Uses. Used for mining.")</f>
        <v>10/10 Uses. Used for mining.</v>
      </c>
      <c r="C422" s="32" t="str">
        <f>IFERROR(__xludf.DUMMYFUNCTION("""COMPUTED_VALUE"""),"Item")</f>
        <v>Item</v>
      </c>
      <c r="D422" s="32" t="str">
        <f>IFERROR(__xludf.DUMMYFUNCTION("""COMPUTED_VALUE"""),"Land of Spira")</f>
        <v>Land of Spira</v>
      </c>
      <c r="E422" s="32" t="b">
        <f>IFERROR(__xludf.DUMMYFUNCTION("""COMPUTED_VALUE"""),FALSE)</f>
        <v>0</v>
      </c>
      <c r="F422" s="32"/>
      <c r="G422" s="32"/>
      <c r="H422" s="32"/>
      <c r="I422" s="32"/>
      <c r="J422" s="32"/>
      <c r="K422" s="32"/>
      <c r="L422" s="32"/>
      <c r="M422" s="32"/>
      <c r="N422" s="32"/>
      <c r="O422" s="32"/>
      <c r="P422" s="32"/>
      <c r="Q422" s="32"/>
      <c r="R422" s="32"/>
      <c r="S422" s="32"/>
      <c r="T422" s="32"/>
      <c r="U422" s="32"/>
      <c r="V422" s="32"/>
      <c r="W422" s="32"/>
      <c r="X422" s="32"/>
      <c r="Y422" s="32"/>
      <c r="Z422" s="32"/>
    </row>
    <row r="423">
      <c r="A423" s="32" t="str">
        <f>IFERROR(__xludf.DUMMYFUNCTION("""COMPUTED_VALUE"""),"Iron Pickaxe")</f>
        <v>Iron Pickaxe</v>
      </c>
      <c r="B423" s="32" t="str">
        <f>IFERROR(__xludf.DUMMYFUNCTION("""COMPUTED_VALUE"""),"20/20 Uses. Used for mining.")</f>
        <v>20/20 Uses. Used for mining.</v>
      </c>
      <c r="C423" s="32" t="str">
        <f>IFERROR(__xludf.DUMMYFUNCTION("""COMPUTED_VALUE"""),"Item")</f>
        <v>Item</v>
      </c>
      <c r="D423" s="32" t="str">
        <f>IFERROR(__xludf.DUMMYFUNCTION("""COMPUTED_VALUE"""),"Land of Spira")</f>
        <v>Land of Spira</v>
      </c>
      <c r="E423" s="32" t="b">
        <f>IFERROR(__xludf.DUMMYFUNCTION("""COMPUTED_VALUE"""),FALSE)</f>
        <v>0</v>
      </c>
      <c r="F423" s="32"/>
      <c r="G423" s="32"/>
      <c r="H423" s="32"/>
      <c r="I423" s="32"/>
      <c r="J423" s="32"/>
      <c r="K423" s="32"/>
      <c r="L423" s="32"/>
      <c r="M423" s="32"/>
      <c r="N423" s="32"/>
      <c r="O423" s="32"/>
      <c r="P423" s="32"/>
      <c r="Q423" s="32"/>
      <c r="R423" s="32"/>
      <c r="S423" s="32"/>
      <c r="T423" s="32"/>
      <c r="U423" s="32"/>
      <c r="V423" s="32"/>
      <c r="W423" s="32"/>
      <c r="X423" s="32"/>
      <c r="Y423" s="32"/>
      <c r="Z423" s="32"/>
    </row>
    <row r="424">
      <c r="A424" s="32" t="str">
        <f>IFERROR(__xludf.DUMMYFUNCTION("""COMPUTED_VALUE"""),"Silver Pickaxe")</f>
        <v>Silver Pickaxe</v>
      </c>
      <c r="B424" s="32" t="str">
        <f>IFERROR(__xludf.DUMMYFUNCTION("""COMPUTED_VALUE"""),"60/60 Uses. Used for mining.")</f>
        <v>60/60 Uses. Used for mining.</v>
      </c>
      <c r="C424" s="32" t="str">
        <f>IFERROR(__xludf.DUMMYFUNCTION("""COMPUTED_VALUE"""),"Item")</f>
        <v>Item</v>
      </c>
      <c r="D424" s="32" t="str">
        <f>IFERROR(__xludf.DUMMYFUNCTION("""COMPUTED_VALUE"""),"Land of Spira")</f>
        <v>Land of Spira</v>
      </c>
      <c r="E424" s="32" t="b">
        <f>IFERROR(__xludf.DUMMYFUNCTION("""COMPUTED_VALUE"""),FALSE)</f>
        <v>0</v>
      </c>
      <c r="F424" s="32"/>
      <c r="G424" s="32"/>
      <c r="H424" s="32"/>
      <c r="I424" s="32"/>
      <c r="J424" s="32"/>
      <c r="K424" s="32"/>
      <c r="L424" s="32"/>
      <c r="M424" s="32"/>
      <c r="N424" s="32"/>
      <c r="O424" s="32"/>
      <c r="P424" s="32"/>
      <c r="Q424" s="32"/>
      <c r="R424" s="32"/>
      <c r="S424" s="32"/>
      <c r="T424" s="32"/>
      <c r="U424" s="32"/>
      <c r="V424" s="32"/>
      <c r="W424" s="32"/>
      <c r="X424" s="32"/>
      <c r="Y424" s="32"/>
      <c r="Z424" s="32"/>
    </row>
    <row r="425">
      <c r="A425" s="32" t="str">
        <f>IFERROR(__xludf.DUMMYFUNCTION("""COMPUTED_VALUE"""),"Diamond Pickaxe")</f>
        <v>Diamond Pickaxe</v>
      </c>
      <c r="B425" s="32" t="str">
        <f>IFERROR(__xludf.DUMMYFUNCTION("""COMPUTED_VALUE"""),"100/100 Uses. Used for mining.")</f>
        <v>100/100 Uses. Used for mining.</v>
      </c>
      <c r="C425" s="32" t="str">
        <f>IFERROR(__xludf.DUMMYFUNCTION("""COMPUTED_VALUE"""),"Item")</f>
        <v>Item</v>
      </c>
      <c r="D425" s="32" t="str">
        <f>IFERROR(__xludf.DUMMYFUNCTION("""COMPUTED_VALUE"""),"Land of Spira")</f>
        <v>Land of Spira</v>
      </c>
      <c r="E425" s="32" t="b">
        <f>IFERROR(__xludf.DUMMYFUNCTION("""COMPUTED_VALUE"""),FALSE)</f>
        <v>0</v>
      </c>
      <c r="F425" s="32"/>
      <c r="G425" s="32"/>
      <c r="H425" s="32"/>
      <c r="I425" s="32"/>
      <c r="J425" s="32"/>
      <c r="K425" s="32"/>
      <c r="L425" s="32"/>
      <c r="M425" s="32"/>
      <c r="N425" s="32"/>
      <c r="O425" s="32"/>
      <c r="P425" s="32"/>
      <c r="Q425" s="32"/>
      <c r="R425" s="32"/>
      <c r="S425" s="32"/>
      <c r="T425" s="32"/>
      <c r="U425" s="32"/>
      <c r="V425" s="32"/>
      <c r="W425" s="32"/>
      <c r="X425" s="32"/>
      <c r="Y425" s="32"/>
      <c r="Z425" s="32"/>
    </row>
    <row r="426">
      <c r="A426" s="32" t="str">
        <f>IFERROR(__xludf.DUMMYFUNCTION("""COMPUTED_VALUE"""),"Obsidian Pickaxe")</f>
        <v>Obsidian Pickaxe</v>
      </c>
      <c r="B426" s="32" t="str">
        <f>IFERROR(__xludf.DUMMYFUNCTION("""COMPUTED_VALUE"""),"120/120 Uses. Used for mining.")</f>
        <v>120/120 Uses. Used for mining.</v>
      </c>
      <c r="C426" s="32" t="str">
        <f>IFERROR(__xludf.DUMMYFUNCTION("""COMPUTED_VALUE"""),"Item")</f>
        <v>Item</v>
      </c>
      <c r="D426" s="32" t="str">
        <f>IFERROR(__xludf.DUMMYFUNCTION("""COMPUTED_VALUE"""),"Land of Spira")</f>
        <v>Land of Spira</v>
      </c>
      <c r="E426" s="32" t="b">
        <f>IFERROR(__xludf.DUMMYFUNCTION("""COMPUTED_VALUE"""),FALSE)</f>
        <v>0</v>
      </c>
      <c r="F426" s="32"/>
      <c r="G426" s="32"/>
      <c r="H426" s="32"/>
      <c r="I426" s="32"/>
      <c r="J426" s="32"/>
      <c r="K426" s="32"/>
      <c r="L426" s="32"/>
      <c r="M426" s="32"/>
      <c r="N426" s="32"/>
      <c r="O426" s="32"/>
      <c r="P426" s="32"/>
      <c r="Q426" s="32"/>
      <c r="R426" s="32"/>
      <c r="S426" s="32"/>
      <c r="T426" s="32"/>
      <c r="U426" s="32"/>
      <c r="V426" s="32"/>
      <c r="W426" s="32"/>
      <c r="X426" s="32"/>
      <c r="Y426" s="32"/>
      <c r="Z426" s="32"/>
    </row>
    <row r="427">
      <c r="A427" s="32" t="str">
        <f>IFERROR(__xludf.DUMMYFUNCTION("""COMPUTED_VALUE"""),"Fire Fishing Pole ")</f>
        <v>Fire Fishing Pole </v>
      </c>
      <c r="B427" s="32" t="str">
        <f>IFERROR(__xludf.DUMMYFUNCTION("""COMPUTED_VALUE"""),"Made out of Iron. 20/20 Uses. Will cook fish caught giving them an additional hunger. Used for fishing.")</f>
        <v>Made out of Iron. 20/20 Uses. Will cook fish caught giving them an additional hunger. Used for fishing.</v>
      </c>
      <c r="C427" s="32" t="str">
        <f>IFERROR(__xludf.DUMMYFUNCTION("""COMPUTED_VALUE"""),"Crop")</f>
        <v>Crop</v>
      </c>
      <c r="D427" s="32" t="str">
        <f>IFERROR(__xludf.DUMMYFUNCTION("""COMPUTED_VALUE"""),"Land of Spira")</f>
        <v>Land of Spira</v>
      </c>
      <c r="E427" s="32" t="b">
        <f>IFERROR(__xludf.DUMMYFUNCTION("""COMPUTED_VALUE"""),FALSE)</f>
        <v>0</v>
      </c>
      <c r="F427" s="32"/>
      <c r="G427" s="32"/>
      <c r="H427" s="32"/>
      <c r="I427" s="32"/>
      <c r="J427" s="32"/>
      <c r="K427" s="32"/>
      <c r="L427" s="32"/>
      <c r="M427" s="32"/>
      <c r="N427" s="32"/>
      <c r="O427" s="32"/>
      <c r="P427" s="32"/>
      <c r="Q427" s="32"/>
      <c r="R427" s="32"/>
      <c r="S427" s="32"/>
      <c r="T427" s="32"/>
      <c r="U427" s="32"/>
      <c r="V427" s="32"/>
      <c r="W427" s="32"/>
      <c r="X427" s="32"/>
      <c r="Y427" s="32"/>
      <c r="Z427" s="32"/>
    </row>
    <row r="428">
      <c r="A428" s="32" t="str">
        <f>IFERROR(__xludf.DUMMYFUNCTION("""COMPUTED_VALUE"""),"Golden Fishing Pole ")</f>
        <v>Golden Fishing Pole </v>
      </c>
      <c r="B428" s="32" t="str">
        <f>IFERROR(__xludf.DUMMYFUNCTION("""COMPUTED_VALUE"""),"80/80 uses. Used for fishing.")</f>
        <v>80/80 uses. Used for fishing.</v>
      </c>
      <c r="C428" s="32" t="str">
        <f>IFERROR(__xludf.DUMMYFUNCTION("""COMPUTED_VALUE"""),"Item")</f>
        <v>Item</v>
      </c>
      <c r="D428" s="32" t="str">
        <f>IFERROR(__xludf.DUMMYFUNCTION("""COMPUTED_VALUE"""),"Land of Spira")</f>
        <v>Land of Spira</v>
      </c>
      <c r="E428" s="32" t="b">
        <f>IFERROR(__xludf.DUMMYFUNCTION("""COMPUTED_VALUE"""),FALSE)</f>
        <v>0</v>
      </c>
      <c r="F428" s="32"/>
      <c r="G428" s="32"/>
      <c r="H428" s="32"/>
      <c r="I428" s="32"/>
      <c r="J428" s="32"/>
      <c r="K428" s="32"/>
      <c r="L428" s="32"/>
      <c r="M428" s="32"/>
      <c r="N428" s="32"/>
      <c r="O428" s="32"/>
      <c r="P428" s="32"/>
      <c r="Q428" s="32"/>
      <c r="R428" s="32"/>
      <c r="S428" s="32"/>
      <c r="T428" s="32"/>
      <c r="U428" s="32"/>
      <c r="V428" s="32"/>
      <c r="W428" s="32"/>
      <c r="X428" s="32"/>
      <c r="Y428" s="32"/>
      <c r="Z428" s="32"/>
    </row>
    <row r="429">
      <c r="A429" s="32" t="str">
        <f>IFERROR(__xludf.DUMMYFUNCTION("""COMPUTED_VALUE"""),"Wooden Fishing Pole ")</f>
        <v>Wooden Fishing Pole </v>
      </c>
      <c r="B429" s="32" t="str">
        <f>IFERROR(__xludf.DUMMYFUNCTION("""COMPUTED_VALUE"""),"10/10 uses. Used for fishing.")</f>
        <v>10/10 uses. Used for fishing.</v>
      </c>
      <c r="C429" s="32" t="str">
        <f>IFERROR(__xludf.DUMMYFUNCTION("""COMPUTED_VALUE"""),"Item")</f>
        <v>Item</v>
      </c>
      <c r="D429" s="32" t="str">
        <f>IFERROR(__xludf.DUMMYFUNCTION("""COMPUTED_VALUE"""),"Land of Spira")</f>
        <v>Land of Spira</v>
      </c>
      <c r="E429" s="32" t="b">
        <f>IFERROR(__xludf.DUMMYFUNCTION("""COMPUTED_VALUE"""),FALSE)</f>
        <v>0</v>
      </c>
      <c r="F429" s="32"/>
      <c r="G429" s="32"/>
      <c r="H429" s="32"/>
      <c r="I429" s="32"/>
      <c r="J429" s="32"/>
      <c r="K429" s="32"/>
      <c r="L429" s="32"/>
      <c r="M429" s="32"/>
      <c r="N429" s="32"/>
      <c r="O429" s="32"/>
      <c r="P429" s="32"/>
      <c r="Q429" s="32"/>
      <c r="R429" s="32"/>
      <c r="S429" s="32"/>
      <c r="T429" s="32"/>
      <c r="U429" s="32"/>
      <c r="V429" s="32"/>
      <c r="W429" s="32"/>
      <c r="X429" s="32"/>
      <c r="Y429" s="32"/>
      <c r="Z429" s="32"/>
    </row>
    <row r="430">
      <c r="A430" s="32" t="str">
        <f>IFERROR(__xludf.DUMMYFUNCTION("""COMPUTED_VALUE"""),"Steel Fishing Pole ")</f>
        <v>Steel Fishing Pole </v>
      </c>
      <c r="B430" s="32" t="str">
        <f>IFERROR(__xludf.DUMMYFUNCTION("""COMPUTED_VALUE"""),"40/40 Uses. Used for fishing.")</f>
        <v>40/40 Uses. Used for fishing.</v>
      </c>
      <c r="C430" s="32" t="str">
        <f>IFERROR(__xludf.DUMMYFUNCTION("""COMPUTED_VALUE"""),"Item")</f>
        <v>Item</v>
      </c>
      <c r="D430" s="32" t="str">
        <f>IFERROR(__xludf.DUMMYFUNCTION("""COMPUTED_VALUE"""),"Land of Spira")</f>
        <v>Land of Spira</v>
      </c>
      <c r="E430" s="32" t="b">
        <f>IFERROR(__xludf.DUMMYFUNCTION("""COMPUTED_VALUE"""),FALSE)</f>
        <v>0</v>
      </c>
      <c r="F430" s="32"/>
      <c r="G430" s="32"/>
      <c r="H430" s="32"/>
      <c r="I430" s="32"/>
      <c r="J430" s="32"/>
      <c r="K430" s="32"/>
      <c r="L430" s="32"/>
      <c r="M430" s="32"/>
      <c r="N430" s="32"/>
      <c r="O430" s="32"/>
      <c r="P430" s="32"/>
      <c r="Q430" s="32"/>
      <c r="R430" s="32"/>
      <c r="S430" s="32"/>
      <c r="T430" s="32"/>
      <c r="U430" s="32"/>
      <c r="V430" s="32"/>
      <c r="W430" s="32"/>
      <c r="X430" s="32"/>
      <c r="Y430" s="32"/>
      <c r="Z430" s="32"/>
    </row>
    <row r="431">
      <c r="A431" s="32" t="str">
        <f>IFERROR(__xludf.DUMMYFUNCTION("""COMPUTED_VALUE"""),"Silver Fishing Pole ")</f>
        <v>Silver Fishing Pole </v>
      </c>
      <c r="B431" s="32" t="str">
        <f>IFERROR(__xludf.DUMMYFUNCTION("""COMPUTED_VALUE"""),"60/60 Uses. Used for fishing.")</f>
        <v>60/60 Uses. Used for fishing.</v>
      </c>
      <c r="C431" s="32" t="str">
        <f>IFERROR(__xludf.DUMMYFUNCTION("""COMPUTED_VALUE"""),"Item")</f>
        <v>Item</v>
      </c>
      <c r="D431" s="32" t="str">
        <f>IFERROR(__xludf.DUMMYFUNCTION("""COMPUTED_VALUE"""),"Land of Spira")</f>
        <v>Land of Spira</v>
      </c>
      <c r="E431" s="32" t="b">
        <f>IFERROR(__xludf.DUMMYFUNCTION("""COMPUTED_VALUE"""),FALSE)</f>
        <v>0</v>
      </c>
      <c r="F431" s="32"/>
      <c r="G431" s="32"/>
      <c r="H431" s="32"/>
      <c r="I431" s="32"/>
      <c r="J431" s="32"/>
      <c r="K431" s="32"/>
      <c r="L431" s="32"/>
      <c r="M431" s="32"/>
      <c r="N431" s="32"/>
      <c r="O431" s="32"/>
      <c r="P431" s="32"/>
      <c r="Q431" s="32"/>
      <c r="R431" s="32"/>
      <c r="S431" s="32"/>
      <c r="T431" s="32"/>
      <c r="U431" s="32"/>
      <c r="V431" s="32"/>
      <c r="W431" s="32"/>
      <c r="X431" s="32"/>
      <c r="Y431" s="32"/>
      <c r="Z431" s="32"/>
    </row>
    <row r="432">
      <c r="A432" s="32" t="str">
        <f>IFERROR(__xludf.DUMMYFUNCTION("""COMPUTED_VALUE"""),"Iron Fishing Pole ")</f>
        <v>Iron Fishing Pole </v>
      </c>
      <c r="B432" s="32" t="str">
        <f>IFERROR(__xludf.DUMMYFUNCTION("""COMPUTED_VALUE"""),"20/20 Uses. Used for fishing.")</f>
        <v>20/20 Uses. Used for fishing.</v>
      </c>
      <c r="C432" s="32" t="str">
        <f>IFERROR(__xludf.DUMMYFUNCTION("""COMPUTED_VALUE"""),"Item")</f>
        <v>Item</v>
      </c>
      <c r="D432" s="32" t="str">
        <f>IFERROR(__xludf.DUMMYFUNCTION("""COMPUTED_VALUE"""),"Land of Spira")</f>
        <v>Land of Spira</v>
      </c>
      <c r="E432" s="32" t="b">
        <f>IFERROR(__xludf.DUMMYFUNCTION("""COMPUTED_VALUE"""),FALSE)</f>
        <v>0</v>
      </c>
      <c r="F432" s="32"/>
      <c r="G432" s="32"/>
      <c r="H432" s="32"/>
      <c r="I432" s="32"/>
      <c r="J432" s="32"/>
      <c r="K432" s="32"/>
      <c r="L432" s="32"/>
      <c r="M432" s="32"/>
      <c r="N432" s="32"/>
      <c r="O432" s="32"/>
      <c r="P432" s="32"/>
      <c r="Q432" s="32"/>
      <c r="R432" s="32"/>
      <c r="S432" s="32"/>
      <c r="T432" s="32"/>
      <c r="U432" s="32"/>
      <c r="V432" s="32"/>
      <c r="W432" s="32"/>
      <c r="X432" s="32"/>
      <c r="Y432" s="32"/>
      <c r="Z432" s="32"/>
    </row>
    <row r="433">
      <c r="A433" s="32" t="str">
        <f>IFERROR(__xludf.DUMMYFUNCTION("""COMPUTED_VALUE"""),"Elemental Crystal")</f>
        <v>Elemental Crystal</v>
      </c>
      <c r="B433" s="32" t="str">
        <f>IFERROR(__xludf.DUMMYFUNCTION("""COMPUTED_VALUE"""),"Crafting Material, roll a d20 to see how many you get if this is a loot drop.")</f>
        <v>Crafting Material, roll a d20 to see how many you get if this is a loot drop.</v>
      </c>
      <c r="C433" s="32" t="str">
        <f>IFERROR(__xludf.DUMMYFUNCTION("""COMPUTED_VALUE"""),"Item")</f>
        <v>Item</v>
      </c>
      <c r="D433" s="32" t="str">
        <f>IFERROR(__xludf.DUMMYFUNCTION("""COMPUTED_VALUE"""),"Land of Spira")</f>
        <v>Land of Spira</v>
      </c>
      <c r="E433" s="32" t="b">
        <f>IFERROR(__xludf.DUMMYFUNCTION("""COMPUTED_VALUE"""),FALSE)</f>
        <v>0</v>
      </c>
      <c r="F433" s="32"/>
      <c r="G433" s="32"/>
      <c r="H433" s="32"/>
      <c r="I433" s="32"/>
      <c r="J433" s="32"/>
      <c r="K433" s="32"/>
      <c r="L433" s="32"/>
      <c r="M433" s="32"/>
      <c r="N433" s="32"/>
      <c r="O433" s="32"/>
      <c r="P433" s="32"/>
      <c r="Q433" s="32"/>
      <c r="R433" s="32"/>
      <c r="S433" s="32"/>
      <c r="T433" s="32"/>
      <c r="U433" s="32"/>
      <c r="V433" s="32"/>
      <c r="W433" s="32"/>
      <c r="X433" s="32"/>
      <c r="Y433" s="32"/>
      <c r="Z433" s="32"/>
    </row>
    <row r="434">
      <c r="A434" s="32" t="str">
        <f>IFERROR(__xludf.DUMMYFUNCTION("""COMPUTED_VALUE"""),"Leather")</f>
        <v>Leather</v>
      </c>
      <c r="B434" s="32" t="str">
        <f>IFERROR(__xludf.DUMMYFUNCTION("""COMPUTED_VALUE"""),"Crafting Material, roll a d20 to see how many you get if this is a loot drop.")</f>
        <v>Crafting Material, roll a d20 to see how many you get if this is a loot drop.</v>
      </c>
      <c r="C434" s="32" t="str">
        <f>IFERROR(__xludf.DUMMYFUNCTION("""COMPUTED_VALUE"""),"Item")</f>
        <v>Item</v>
      </c>
      <c r="D434" s="32" t="str">
        <f>IFERROR(__xludf.DUMMYFUNCTION("""COMPUTED_VALUE"""),"Land of Spira")</f>
        <v>Land of Spira</v>
      </c>
      <c r="E434" s="32" t="b">
        <f>IFERROR(__xludf.DUMMYFUNCTION("""COMPUTED_VALUE"""),FALSE)</f>
        <v>0</v>
      </c>
      <c r="F434" s="32"/>
      <c r="G434" s="32"/>
      <c r="H434" s="32"/>
      <c r="I434" s="32"/>
      <c r="J434" s="32"/>
      <c r="K434" s="32"/>
      <c r="L434" s="32"/>
      <c r="M434" s="32"/>
      <c r="N434" s="32"/>
      <c r="O434" s="32"/>
      <c r="P434" s="32"/>
      <c r="Q434" s="32"/>
      <c r="R434" s="32"/>
      <c r="S434" s="32"/>
      <c r="T434" s="32"/>
      <c r="U434" s="32"/>
      <c r="V434" s="32"/>
      <c r="W434" s="32"/>
      <c r="X434" s="32"/>
      <c r="Y434" s="32"/>
      <c r="Z434" s="32"/>
    </row>
    <row r="435">
      <c r="A435" s="32" t="str">
        <f>IFERROR(__xludf.DUMMYFUNCTION("""COMPUTED_VALUE"""),"Pearlescent Fishing Rod ")</f>
        <v>Pearlescent Fishing Rod </v>
      </c>
      <c r="B435" s="32" t="str">
        <f>IFERROR(__xludf.DUMMYFUNCTION("""COMPUTED_VALUE"""),"Allows lava fishing, Unbreakable.")</f>
        <v>Allows lava fishing, Unbreakable.</v>
      </c>
      <c r="C435" s="32" t="str">
        <f>IFERROR(__xludf.DUMMYFUNCTION("""COMPUTED_VALUE"""),"Item")</f>
        <v>Item</v>
      </c>
      <c r="D435" s="32" t="str">
        <f>IFERROR(__xludf.DUMMYFUNCTION("""COMPUTED_VALUE"""),"Abstara")</f>
        <v>Abstara</v>
      </c>
      <c r="E435" s="32" t="b">
        <f>IFERROR(__xludf.DUMMYFUNCTION("""COMPUTED_VALUE"""),FALSE)</f>
        <v>0</v>
      </c>
      <c r="F435" s="32"/>
      <c r="G435" s="32"/>
      <c r="H435" s="32"/>
      <c r="I435" s="32"/>
      <c r="J435" s="32"/>
      <c r="K435" s="32"/>
      <c r="L435" s="32"/>
      <c r="M435" s="32"/>
      <c r="N435" s="32"/>
      <c r="O435" s="32"/>
      <c r="P435" s="32"/>
      <c r="Q435" s="32"/>
      <c r="R435" s="32"/>
      <c r="S435" s="32"/>
      <c r="T435" s="32"/>
      <c r="U435" s="32"/>
      <c r="V435" s="32"/>
      <c r="W435" s="32"/>
      <c r="X435" s="32"/>
      <c r="Y435" s="32"/>
      <c r="Z435" s="32"/>
    </row>
    <row r="436">
      <c r="A436" s="32" t="str">
        <f>IFERROR(__xludf.DUMMYFUNCTION("""COMPUTED_VALUE"""),"Mithril")</f>
        <v>Mithril</v>
      </c>
      <c r="B436" s="32"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32" t="str">
        <f>IFERROR(__xludf.DUMMYFUNCTION("""COMPUTED_VALUE"""),"Item")</f>
        <v>Item</v>
      </c>
      <c r="D436" s="32" t="str">
        <f>IFERROR(__xludf.DUMMYFUNCTION("""COMPUTED_VALUE"""),"Land of Spira")</f>
        <v>Land of Spira</v>
      </c>
      <c r="E436" s="32" t="b">
        <f>IFERROR(__xludf.DUMMYFUNCTION("""COMPUTED_VALUE"""),FALSE)</f>
        <v>0</v>
      </c>
      <c r="F436" s="32"/>
      <c r="G436" s="32"/>
      <c r="H436" s="32"/>
      <c r="I436" s="32"/>
      <c r="J436" s="32"/>
      <c r="K436" s="32"/>
      <c r="L436" s="32"/>
      <c r="M436" s="32"/>
      <c r="N436" s="32"/>
      <c r="O436" s="32"/>
      <c r="P436" s="32"/>
      <c r="Q436" s="32"/>
      <c r="R436" s="32"/>
      <c r="S436" s="32"/>
      <c r="T436" s="32"/>
      <c r="U436" s="32"/>
      <c r="V436" s="32"/>
      <c r="W436" s="32"/>
      <c r="X436" s="32"/>
      <c r="Y436" s="32"/>
      <c r="Z436" s="32"/>
    </row>
    <row r="437">
      <c r="A437" s="32" t="str">
        <f>IFERROR(__xludf.DUMMYFUNCTION("""COMPUTED_VALUE"""),"Enchanted Leather")</f>
        <v>Enchanted Leather</v>
      </c>
      <c r="B437" s="32" t="str">
        <f>IFERROR(__xludf.DUMMYFUNCTION("""COMPUTED_VALUE"""),"Crafting Material, roll a d20 to see how many you get if this is a loot drop.")</f>
        <v>Crafting Material, roll a d20 to see how many you get if this is a loot drop.</v>
      </c>
      <c r="C437" s="32" t="str">
        <f>IFERROR(__xludf.DUMMYFUNCTION("""COMPUTED_VALUE"""),"Item")</f>
        <v>Item</v>
      </c>
      <c r="D437" s="32" t="str">
        <f>IFERROR(__xludf.DUMMYFUNCTION("""COMPUTED_VALUE"""),"Dragonscale Island")</f>
        <v>Dragonscale Island</v>
      </c>
      <c r="E437" s="32" t="b">
        <f>IFERROR(__xludf.DUMMYFUNCTION("""COMPUTED_VALUE"""),FALSE)</f>
        <v>0</v>
      </c>
      <c r="F437" s="32"/>
      <c r="G437" s="32"/>
      <c r="H437" s="32"/>
      <c r="I437" s="32"/>
      <c r="J437" s="32"/>
      <c r="K437" s="32"/>
      <c r="L437" s="32"/>
      <c r="M437" s="32"/>
      <c r="N437" s="32"/>
      <c r="O437" s="32"/>
      <c r="P437" s="32"/>
      <c r="Q437" s="32"/>
      <c r="R437" s="32"/>
      <c r="S437" s="32"/>
      <c r="T437" s="32"/>
      <c r="U437" s="32"/>
      <c r="V437" s="32"/>
      <c r="W437" s="32"/>
      <c r="X437" s="32"/>
      <c r="Y437" s="32"/>
      <c r="Z437" s="32"/>
    </row>
    <row r="438">
      <c r="A438" s="32" t="str">
        <f>IFERROR(__xludf.DUMMYFUNCTION("""COMPUTED_VALUE"""),"Dart")</f>
        <v>Dart</v>
      </c>
      <c r="B438" s="32" t="str">
        <f>IFERROR(__xludf.DUMMYFUNCTION("""COMPUTED_VALUE"""),"Ammo")</f>
        <v>Ammo</v>
      </c>
      <c r="C438" s="32" t="str">
        <f>IFERROR(__xludf.DUMMYFUNCTION("""COMPUTED_VALUE"""),"Item")</f>
        <v>Item</v>
      </c>
      <c r="D438" s="32" t="str">
        <f>IFERROR(__xludf.DUMMYFUNCTION("""COMPUTED_VALUE"""),"Dragonscale Island")</f>
        <v>Dragonscale Island</v>
      </c>
      <c r="E438" s="32" t="b">
        <f>IFERROR(__xludf.DUMMYFUNCTION("""COMPUTED_VALUE"""),FALSE)</f>
        <v>0</v>
      </c>
      <c r="F438" s="32"/>
      <c r="G438" s="32"/>
      <c r="H438" s="32"/>
      <c r="I438" s="32"/>
      <c r="J438" s="32"/>
      <c r="K438" s="32"/>
      <c r="L438" s="32"/>
      <c r="M438" s="32"/>
      <c r="N438" s="32"/>
      <c r="O438" s="32"/>
      <c r="P438" s="32"/>
      <c r="Q438" s="32"/>
      <c r="R438" s="32"/>
      <c r="S438" s="32"/>
      <c r="T438" s="32"/>
      <c r="U438" s="32"/>
      <c r="V438" s="32"/>
      <c r="W438" s="32"/>
      <c r="X438" s="32"/>
      <c r="Y438" s="32"/>
      <c r="Z438" s="32"/>
    </row>
    <row r="439">
      <c r="A439" s="32" t="str">
        <f>IFERROR(__xludf.DUMMYFUNCTION("""COMPUTED_VALUE"""),"Golden Coin")</f>
        <v>Golden Coin</v>
      </c>
      <c r="B439" s="32"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32" t="str">
        <f>IFERROR(__xludf.DUMMYFUNCTION("""COMPUTED_VALUE"""),"Item")</f>
        <v>Item</v>
      </c>
      <c r="D439" s="32" t="str">
        <f>IFERROR(__xludf.DUMMYFUNCTION("""COMPUTED_VALUE"""),"Land of Spira")</f>
        <v>Land of Spira</v>
      </c>
      <c r="E439" s="32" t="b">
        <f>IFERROR(__xludf.DUMMYFUNCTION("""COMPUTED_VALUE"""),FALSE)</f>
        <v>0</v>
      </c>
      <c r="F439" s="32"/>
      <c r="G439" s="32"/>
      <c r="H439" s="32"/>
      <c r="I439" s="32"/>
      <c r="J439" s="32"/>
      <c r="K439" s="32"/>
      <c r="L439" s="32"/>
      <c r="M439" s="32"/>
      <c r="N439" s="32"/>
      <c r="O439" s="32"/>
      <c r="P439" s="32"/>
      <c r="Q439" s="32"/>
      <c r="R439" s="32"/>
      <c r="S439" s="32"/>
      <c r="T439" s="32"/>
      <c r="U439" s="32"/>
      <c r="V439" s="32"/>
      <c r="W439" s="32"/>
      <c r="X439" s="32"/>
      <c r="Y439" s="32"/>
      <c r="Z439" s="32"/>
    </row>
    <row r="440">
      <c r="A440" s="32" t="str">
        <f>IFERROR(__xludf.DUMMYFUNCTION("""COMPUTED_VALUE"""),"Oil lamp")</f>
        <v>Oil lamp</v>
      </c>
      <c r="B440" s="32" t="str">
        <f>IFERROR(__xludf.DUMMYFUNCTION("""COMPUTED_VALUE"""),"Illuminates your path or any room your in")</f>
        <v>Illuminates your path or any room your in</v>
      </c>
      <c r="C440" s="32" t="str">
        <f>IFERROR(__xludf.DUMMYFUNCTION("""COMPUTED_VALUE"""),"Item")</f>
        <v>Item</v>
      </c>
      <c r="D440" s="32" t="str">
        <f>IFERROR(__xludf.DUMMYFUNCTION("""COMPUTED_VALUE"""),"Land of Spira")</f>
        <v>Land of Spira</v>
      </c>
      <c r="E440" s="32" t="b">
        <f>IFERROR(__xludf.DUMMYFUNCTION("""COMPUTED_VALUE"""),FALSE)</f>
        <v>0</v>
      </c>
      <c r="F440" s="32"/>
      <c r="G440" s="32"/>
      <c r="H440" s="32"/>
      <c r="I440" s="32"/>
      <c r="J440" s="32"/>
      <c r="K440" s="32"/>
      <c r="L440" s="32"/>
      <c r="M440" s="32"/>
      <c r="N440" s="32"/>
      <c r="O440" s="32"/>
      <c r="P440" s="32"/>
      <c r="Q440" s="32"/>
      <c r="R440" s="32"/>
      <c r="S440" s="32"/>
      <c r="T440" s="32"/>
      <c r="U440" s="32"/>
      <c r="V440" s="32"/>
      <c r="W440" s="32"/>
      <c r="X440" s="32"/>
      <c r="Y440" s="32"/>
      <c r="Z440" s="32"/>
    </row>
    <row r="441">
      <c r="A441" s="32" t="str">
        <f>IFERROR(__xludf.DUMMYFUNCTION("""COMPUTED_VALUE"""),"Seed")</f>
        <v>Seed</v>
      </c>
      <c r="B441" s="32" t="str">
        <f>IFERROR(__xludf.DUMMYFUNCTION("""COMPUTED_VALUE"""),"Can harvest in X/X days.")</f>
        <v>Can harvest in X/X days.</v>
      </c>
      <c r="C441" s="32" t="str">
        <f>IFERROR(__xludf.DUMMYFUNCTION("""COMPUTED_VALUE"""),"Item")</f>
        <v>Item</v>
      </c>
      <c r="D441" s="32" t="str">
        <f>IFERROR(__xludf.DUMMYFUNCTION("""COMPUTED_VALUE"""),"Land of Spira")</f>
        <v>Land of Spira</v>
      </c>
      <c r="E441" s="32" t="b">
        <f>IFERROR(__xludf.DUMMYFUNCTION("""COMPUTED_VALUE"""),FALSE)</f>
        <v>0</v>
      </c>
      <c r="F441" s="32"/>
      <c r="G441" s="32"/>
      <c r="H441" s="32"/>
      <c r="I441" s="32"/>
      <c r="J441" s="32"/>
      <c r="K441" s="32"/>
      <c r="L441" s="32"/>
      <c r="M441" s="32"/>
      <c r="N441" s="32"/>
      <c r="O441" s="32"/>
      <c r="P441" s="32"/>
      <c r="Q441" s="32"/>
      <c r="R441" s="32"/>
      <c r="S441" s="32"/>
      <c r="T441" s="32"/>
      <c r="U441" s="32"/>
      <c r="V441" s="32"/>
      <c r="W441" s="32"/>
      <c r="X441" s="32"/>
      <c r="Y441" s="32"/>
      <c r="Z441" s="32"/>
    </row>
    <row r="442">
      <c r="A442" s="32" t="str">
        <f>IFERROR(__xludf.DUMMYFUNCTION("""COMPUTED_VALUE"""),"Potion of Cure Disease")</f>
        <v>Potion of Cure Disease</v>
      </c>
      <c r="B442" s="32" t="str">
        <f>IFERROR(__xludf.DUMMYFUNCTION("""COMPUTED_VALUE"""),"Disease Antidote.")</f>
        <v>Disease Antidote.</v>
      </c>
      <c r="C442" s="32" t="str">
        <f>IFERROR(__xludf.DUMMYFUNCTION("""COMPUTED_VALUE"""),"Item")</f>
        <v>Item</v>
      </c>
      <c r="D442" s="32" t="str">
        <f>IFERROR(__xludf.DUMMYFUNCTION("""COMPUTED_VALUE"""),"Land of Spira")</f>
        <v>Land of Spira</v>
      </c>
      <c r="E442" s="32" t="b">
        <f>IFERROR(__xludf.DUMMYFUNCTION("""COMPUTED_VALUE"""),FALSE)</f>
        <v>0</v>
      </c>
      <c r="F442" s="32"/>
      <c r="G442" s="32"/>
      <c r="H442" s="32"/>
      <c r="I442" s="32"/>
      <c r="J442" s="32"/>
      <c r="K442" s="32"/>
      <c r="L442" s="32"/>
      <c r="M442" s="32"/>
      <c r="N442" s="32"/>
      <c r="O442" s="32"/>
      <c r="P442" s="32"/>
      <c r="Q442" s="32"/>
      <c r="R442" s="32"/>
      <c r="S442" s="32"/>
      <c r="T442" s="32"/>
      <c r="U442" s="32"/>
      <c r="V442" s="32"/>
      <c r="W442" s="32"/>
      <c r="X442" s="32"/>
      <c r="Y442" s="32"/>
      <c r="Z442" s="32"/>
    </row>
    <row r="443">
      <c r="A443" s="32" t="str">
        <f>IFERROR(__xludf.DUMMYFUNCTION("""COMPUTED_VALUE"""),"Poison Vial")</f>
        <v>Poison Vial</v>
      </c>
      <c r="B443" s="32" t="str">
        <f>IFERROR(__xludf.DUMMYFUNCTION("""COMPUTED_VALUE"""),"Using this will make all your weapon or natural attacks inflict an enemy with Poison 500 for 3 rounds.")</f>
        <v>Using this will make all your weapon or natural attacks inflict an enemy with Poison 500 for 3 rounds.</v>
      </c>
      <c r="C443" s="32" t="str">
        <f>IFERROR(__xludf.DUMMYFUNCTION("""COMPUTED_VALUE"""),"Item")</f>
        <v>Item</v>
      </c>
      <c r="D443" s="32" t="str">
        <f>IFERROR(__xludf.DUMMYFUNCTION("""COMPUTED_VALUE"""),"Land of Spira")</f>
        <v>Land of Spira</v>
      </c>
      <c r="E443" s="32" t="b">
        <f>IFERROR(__xludf.DUMMYFUNCTION("""COMPUTED_VALUE"""),FALSE)</f>
        <v>0</v>
      </c>
      <c r="F443" s="32"/>
      <c r="G443" s="32"/>
      <c r="H443" s="32"/>
      <c r="I443" s="32"/>
      <c r="J443" s="32"/>
      <c r="K443" s="32"/>
      <c r="L443" s="32"/>
      <c r="M443" s="32"/>
      <c r="N443" s="32"/>
      <c r="O443" s="32"/>
      <c r="P443" s="32"/>
      <c r="Q443" s="32"/>
      <c r="R443" s="32"/>
      <c r="S443" s="32"/>
      <c r="T443" s="32"/>
      <c r="U443" s="32"/>
      <c r="V443" s="32"/>
      <c r="W443" s="32"/>
      <c r="X443" s="32"/>
      <c r="Y443" s="32"/>
      <c r="Z443" s="32"/>
    </row>
    <row r="444">
      <c r="A444" s="32" t="str">
        <f>IFERROR(__xludf.DUMMYFUNCTION("""COMPUTED_VALUE"""),"Stag Meat")</f>
        <v>Stag Meat</v>
      </c>
      <c r="B444" s="32" t="str">
        <f>IFERROR(__xludf.DUMMYFUNCTION("""COMPUTED_VALUE"""),"Restores 20 hunger")</f>
        <v>Restores 20 hunger</v>
      </c>
      <c r="C444" s="32" t="str">
        <f>IFERROR(__xludf.DUMMYFUNCTION("""COMPUTED_VALUE"""),"Crop")</f>
        <v>Crop</v>
      </c>
      <c r="D444" s="32" t="str">
        <f>IFERROR(__xludf.DUMMYFUNCTION("""COMPUTED_VALUE"""),"Land of Spira")</f>
        <v>Land of Spira</v>
      </c>
      <c r="E444" s="32" t="b">
        <f>IFERROR(__xludf.DUMMYFUNCTION("""COMPUTED_VALUE"""),FALSE)</f>
        <v>0</v>
      </c>
      <c r="F444" s="32"/>
      <c r="G444" s="32"/>
      <c r="H444" s="32"/>
      <c r="I444" s="32"/>
      <c r="J444" s="32"/>
      <c r="K444" s="32"/>
      <c r="L444" s="32"/>
      <c r="M444" s="32"/>
      <c r="N444" s="32"/>
      <c r="O444" s="32"/>
      <c r="P444" s="32"/>
      <c r="Q444" s="32"/>
      <c r="R444" s="32"/>
      <c r="S444" s="32"/>
      <c r="T444" s="32"/>
      <c r="U444" s="32"/>
      <c r="V444" s="32"/>
      <c r="W444" s="32"/>
      <c r="X444" s="32"/>
      <c r="Y444" s="32"/>
      <c r="Z444" s="32"/>
    </row>
    <row r="445">
      <c r="A445" s="32" t="str">
        <f>IFERROR(__xludf.DUMMYFUNCTION("""COMPUTED_VALUE"""),"Steed Meat")</f>
        <v>Steed Meat</v>
      </c>
      <c r="B445" s="32" t="str">
        <f>IFERROR(__xludf.DUMMYFUNCTION("""COMPUTED_VALUE"""),"Restores 20 hunger")</f>
        <v>Restores 20 hunger</v>
      </c>
      <c r="C445" s="32" t="str">
        <f>IFERROR(__xludf.DUMMYFUNCTION("""COMPUTED_VALUE"""),"Crop")</f>
        <v>Crop</v>
      </c>
      <c r="D445" s="32" t="str">
        <f>IFERROR(__xludf.DUMMYFUNCTION("""COMPUTED_VALUE"""),"Land of Spira")</f>
        <v>Land of Spira</v>
      </c>
      <c r="E445" s="32" t="b">
        <f>IFERROR(__xludf.DUMMYFUNCTION("""COMPUTED_VALUE"""),FALSE)</f>
        <v>0</v>
      </c>
      <c r="F445" s="32"/>
      <c r="G445" s="32"/>
      <c r="H445" s="32"/>
      <c r="I445" s="32"/>
      <c r="J445" s="32"/>
      <c r="K445" s="32"/>
      <c r="L445" s="32"/>
      <c r="M445" s="32"/>
      <c r="N445" s="32"/>
      <c r="O445" s="32"/>
      <c r="P445" s="32"/>
      <c r="Q445" s="32"/>
      <c r="R445" s="32"/>
      <c r="S445" s="32"/>
      <c r="T445" s="32"/>
      <c r="U445" s="32"/>
      <c r="V445" s="32"/>
      <c r="W445" s="32"/>
      <c r="X445" s="32"/>
      <c r="Y445" s="32"/>
      <c r="Z445" s="32"/>
    </row>
    <row r="446">
      <c r="A446" s="32" t="str">
        <f>IFERROR(__xludf.DUMMYFUNCTION("""COMPUTED_VALUE"""),"Moonstone")</f>
        <v>Moonstone</v>
      </c>
      <c r="B446" s="32" t="str">
        <f>IFERROR(__xludf.DUMMYFUNCTION("""COMPUTED_VALUE"""),"Crafting Material, roll a d20 to see how many you get if this is a loot drop.")</f>
        <v>Crafting Material, roll a d20 to see how many you get if this is a loot drop.</v>
      </c>
      <c r="C446" s="32" t="str">
        <f>IFERROR(__xludf.DUMMYFUNCTION("""COMPUTED_VALUE"""),"Item")</f>
        <v>Item</v>
      </c>
      <c r="D446" s="32" t="str">
        <f>IFERROR(__xludf.DUMMYFUNCTION("""COMPUTED_VALUE"""),"Land of Spira")</f>
        <v>Land of Spira</v>
      </c>
      <c r="E446" s="32" t="b">
        <f>IFERROR(__xludf.DUMMYFUNCTION("""COMPUTED_VALUE"""),FALSE)</f>
        <v>0</v>
      </c>
      <c r="F446" s="32"/>
      <c r="G446" s="32"/>
      <c r="H446" s="32"/>
      <c r="I446" s="32"/>
      <c r="J446" s="32"/>
      <c r="K446" s="32"/>
      <c r="L446" s="32"/>
      <c r="M446" s="32"/>
      <c r="N446" s="32"/>
      <c r="O446" s="32"/>
      <c r="P446" s="32"/>
      <c r="Q446" s="32"/>
      <c r="R446" s="32"/>
      <c r="S446" s="32"/>
      <c r="T446" s="32"/>
      <c r="U446" s="32"/>
      <c r="V446" s="32"/>
      <c r="W446" s="32"/>
      <c r="X446" s="32"/>
      <c r="Y446" s="32"/>
      <c r="Z446" s="32"/>
    </row>
    <row r="447">
      <c r="A447" s="32" t="str">
        <f>IFERROR(__xludf.DUMMYFUNCTION("""COMPUTED_VALUE"""),"Sunstone")</f>
        <v>Sunstone</v>
      </c>
      <c r="B447" s="32" t="str">
        <f>IFERROR(__xludf.DUMMYFUNCTION("""COMPUTED_VALUE"""),"Crafting Material, roll a d20 to see how many you get if this is a loot drop.")</f>
        <v>Crafting Material, roll a d20 to see how many you get if this is a loot drop.</v>
      </c>
      <c r="C447" s="32" t="str">
        <f>IFERROR(__xludf.DUMMYFUNCTION("""COMPUTED_VALUE"""),"Item")</f>
        <v>Item</v>
      </c>
      <c r="D447" s="32" t="str">
        <f>IFERROR(__xludf.DUMMYFUNCTION("""COMPUTED_VALUE"""),"Land of Spira")</f>
        <v>Land of Spira</v>
      </c>
      <c r="E447" s="32" t="b">
        <f>IFERROR(__xludf.DUMMYFUNCTION("""COMPUTED_VALUE"""),FALSE)</f>
        <v>0</v>
      </c>
      <c r="F447" s="32"/>
      <c r="G447" s="32"/>
      <c r="H447" s="32"/>
      <c r="I447" s="32"/>
      <c r="J447" s="32"/>
      <c r="K447" s="32"/>
      <c r="L447" s="32"/>
      <c r="M447" s="32"/>
      <c r="N447" s="32"/>
      <c r="O447" s="32"/>
      <c r="P447" s="32"/>
      <c r="Q447" s="32"/>
      <c r="R447" s="32"/>
      <c r="S447" s="32"/>
      <c r="T447" s="32"/>
      <c r="U447" s="32"/>
      <c r="V447" s="32"/>
      <c r="W447" s="32"/>
      <c r="X447" s="32"/>
      <c r="Y447" s="32"/>
      <c r="Z447" s="32"/>
    </row>
    <row r="448">
      <c r="A448" s="32" t="str">
        <f>IFERROR(__xludf.DUMMYFUNCTION("""COMPUTED_VALUE"""),"Tier 1 Treasure Chest (Non-Magical)")</f>
        <v>Tier 1 Treasure Chest (Non-Magical)</v>
      </c>
      <c r="B448" s="32" t="str">
        <f>IFERROR(__xludf.DUMMYFUNCTION("""COMPUTED_VALUE"""),"Requires a Treasure Chest key to open")</f>
        <v>Requires a Treasure Chest key to open</v>
      </c>
      <c r="C448" s="32" t="str">
        <f>IFERROR(__xludf.DUMMYFUNCTION("""COMPUTED_VALUE"""),"Item")</f>
        <v>Item</v>
      </c>
      <c r="D448" s="32" t="str">
        <f>IFERROR(__xludf.DUMMYFUNCTION("""COMPUTED_VALUE"""),"Land of Spira")</f>
        <v>Land of Spira</v>
      </c>
      <c r="E448" s="32" t="b">
        <f>IFERROR(__xludf.DUMMYFUNCTION("""COMPUTED_VALUE"""),FALSE)</f>
        <v>0</v>
      </c>
      <c r="F448" s="32"/>
      <c r="G448" s="32"/>
      <c r="H448" s="32"/>
      <c r="I448" s="32"/>
      <c r="J448" s="32"/>
      <c r="K448" s="32"/>
      <c r="L448" s="32"/>
      <c r="M448" s="32"/>
      <c r="N448" s="32"/>
      <c r="O448" s="32"/>
      <c r="P448" s="32"/>
      <c r="Q448" s="32"/>
      <c r="R448" s="32"/>
      <c r="S448" s="32"/>
      <c r="T448" s="32"/>
      <c r="U448" s="32"/>
      <c r="V448" s="32"/>
      <c r="W448" s="32"/>
      <c r="X448" s="32"/>
      <c r="Y448" s="32"/>
      <c r="Z448" s="32"/>
    </row>
    <row r="449">
      <c r="A449" s="32" t="str">
        <f>IFERROR(__xludf.DUMMYFUNCTION("""COMPUTED_VALUE"""),"Tier 2 Treasure Chest (Non-Magical)")</f>
        <v>Tier 2 Treasure Chest (Non-Magical)</v>
      </c>
      <c r="B449" s="32" t="str">
        <f>IFERROR(__xludf.DUMMYFUNCTION("""COMPUTED_VALUE"""),"Requires a Treasure Chest key to open")</f>
        <v>Requires a Treasure Chest key to open</v>
      </c>
      <c r="C449" s="32" t="str">
        <f>IFERROR(__xludf.DUMMYFUNCTION("""COMPUTED_VALUE"""),"Item")</f>
        <v>Item</v>
      </c>
      <c r="D449" s="32" t="str">
        <f>IFERROR(__xludf.DUMMYFUNCTION("""COMPUTED_VALUE"""),"Land of Spira")</f>
        <v>Land of Spira</v>
      </c>
      <c r="E449" s="32" t="b">
        <f>IFERROR(__xludf.DUMMYFUNCTION("""COMPUTED_VALUE"""),FALSE)</f>
        <v>0</v>
      </c>
      <c r="F449" s="32"/>
      <c r="G449" s="32"/>
      <c r="H449" s="32"/>
      <c r="I449" s="32"/>
      <c r="J449" s="32"/>
      <c r="K449" s="32"/>
      <c r="L449" s="32"/>
      <c r="M449" s="32"/>
      <c r="N449" s="32"/>
      <c r="O449" s="32"/>
      <c r="P449" s="32"/>
      <c r="Q449" s="32"/>
      <c r="R449" s="32"/>
      <c r="S449" s="32"/>
      <c r="T449" s="32"/>
      <c r="U449" s="32"/>
      <c r="V449" s="32"/>
      <c r="W449" s="32"/>
      <c r="X449" s="32"/>
      <c r="Y449" s="32"/>
      <c r="Z449" s="32"/>
    </row>
    <row r="450">
      <c r="A450" s="32" t="str">
        <f>IFERROR(__xludf.DUMMYFUNCTION("""COMPUTED_VALUE"""),"Tier 3 Treasure Chest (Non-Magical)")</f>
        <v>Tier 3 Treasure Chest (Non-Magical)</v>
      </c>
      <c r="B450" s="32" t="str">
        <f>IFERROR(__xludf.DUMMYFUNCTION("""COMPUTED_VALUE"""),"Requires a Treasure Chest key to open")</f>
        <v>Requires a Treasure Chest key to open</v>
      </c>
      <c r="C450" s="32" t="str">
        <f>IFERROR(__xludf.DUMMYFUNCTION("""COMPUTED_VALUE"""),"Item")</f>
        <v>Item</v>
      </c>
      <c r="D450" s="32" t="str">
        <f>IFERROR(__xludf.DUMMYFUNCTION("""COMPUTED_VALUE"""),"Land of Spira")</f>
        <v>Land of Spira</v>
      </c>
      <c r="E450" s="32" t="b">
        <f>IFERROR(__xludf.DUMMYFUNCTION("""COMPUTED_VALUE"""),FALSE)</f>
        <v>0</v>
      </c>
      <c r="F450" s="32"/>
      <c r="G450" s="32"/>
      <c r="H450" s="32"/>
      <c r="I450" s="32"/>
      <c r="J450" s="32"/>
      <c r="K450" s="32"/>
      <c r="L450" s="32"/>
      <c r="M450" s="32"/>
      <c r="N450" s="32"/>
      <c r="O450" s="32"/>
      <c r="P450" s="32"/>
      <c r="Q450" s="32"/>
      <c r="R450" s="32"/>
      <c r="S450" s="32"/>
      <c r="T450" s="32"/>
      <c r="U450" s="32"/>
      <c r="V450" s="32"/>
      <c r="W450" s="32"/>
      <c r="X450" s="32"/>
      <c r="Y450" s="32"/>
      <c r="Z450" s="32"/>
    </row>
    <row r="451">
      <c r="A451" s="32" t="str">
        <f>IFERROR(__xludf.DUMMYFUNCTION("""COMPUTED_VALUE"""),"Treasure Chest Key (Non-Magical)")</f>
        <v>Treasure Chest Key (Non-Magical)</v>
      </c>
      <c r="B451" s="32" t="str">
        <f>IFERROR(__xludf.DUMMYFUNCTION("""COMPUTED_VALUE"""),"Unlocks Tier 1-3 Treasure Chests.")</f>
        <v>Unlocks Tier 1-3 Treasure Chests.</v>
      </c>
      <c r="C451" s="32" t="str">
        <f>IFERROR(__xludf.DUMMYFUNCTION("""COMPUTED_VALUE"""),"Item")</f>
        <v>Item</v>
      </c>
      <c r="D451" s="32" t="str">
        <f>IFERROR(__xludf.DUMMYFUNCTION("""COMPUTED_VALUE"""),"Land of Spira")</f>
        <v>Land of Spira</v>
      </c>
      <c r="E451" s="32" t="b">
        <f>IFERROR(__xludf.DUMMYFUNCTION("""COMPUTED_VALUE"""),FALSE)</f>
        <v>0</v>
      </c>
      <c r="F451" s="32"/>
      <c r="G451" s="32"/>
      <c r="H451" s="32"/>
      <c r="I451" s="32"/>
      <c r="J451" s="32"/>
      <c r="K451" s="32"/>
      <c r="L451" s="32"/>
      <c r="M451" s="32"/>
      <c r="N451" s="32"/>
      <c r="O451" s="32"/>
      <c r="P451" s="32"/>
      <c r="Q451" s="32"/>
      <c r="R451" s="32"/>
      <c r="S451" s="32"/>
      <c r="T451" s="32"/>
      <c r="U451" s="32"/>
      <c r="V451" s="32"/>
      <c r="W451" s="32"/>
      <c r="X451" s="32"/>
      <c r="Y451" s="32"/>
      <c r="Z451" s="32"/>
    </row>
    <row r="452">
      <c r="A452" s="32" t="str">
        <f>IFERROR(__xludf.DUMMYFUNCTION("""COMPUTED_VALUE"""),"Random Dragon Egg")</f>
        <v>Random Dragon Egg</v>
      </c>
      <c r="B452" s="32" t="str">
        <f>IFERROR(__xludf.DUMMYFUNCTION("""COMPUTED_VALUE"""),"determined by DM/GM")</f>
        <v>determined by DM/GM</v>
      </c>
      <c r="C452" s="32" t="str">
        <f>IFERROR(__xludf.DUMMYFUNCTION("""COMPUTED_VALUE"""),"Item")</f>
        <v>Item</v>
      </c>
      <c r="D452" s="32" t="str">
        <f>IFERROR(__xludf.DUMMYFUNCTION("""COMPUTED_VALUE"""),"Land of Spira")</f>
        <v>Land of Spira</v>
      </c>
      <c r="E452" s="32" t="b">
        <f>IFERROR(__xludf.DUMMYFUNCTION("""COMPUTED_VALUE"""),FALSE)</f>
        <v>0</v>
      </c>
      <c r="F452" s="32"/>
      <c r="G452" s="32"/>
      <c r="H452" s="32"/>
      <c r="I452" s="32"/>
      <c r="J452" s="32"/>
      <c r="K452" s="32"/>
      <c r="L452" s="32"/>
      <c r="M452" s="32"/>
      <c r="N452" s="32"/>
      <c r="O452" s="32"/>
      <c r="P452" s="32"/>
      <c r="Q452" s="32"/>
      <c r="R452" s="32"/>
      <c r="S452" s="32"/>
      <c r="T452" s="32"/>
      <c r="U452" s="32"/>
      <c r="V452" s="32"/>
      <c r="W452" s="32"/>
      <c r="X452" s="32"/>
      <c r="Y452" s="32"/>
      <c r="Z452" s="32"/>
    </row>
    <row r="453">
      <c r="A453" s="32" t="str">
        <f>IFERROR(__xludf.DUMMYFUNCTION("""COMPUTED_VALUE"""),"Poisoned Bolts")</f>
        <v>Poisoned Bolts</v>
      </c>
      <c r="B453" s="32" t="str">
        <f>IFERROR(__xludf.DUMMYFUNCTION("""COMPUTED_VALUE"""),"+5000 poison damage per round for 3 rounds")</f>
        <v>+5000 poison damage per round for 3 rounds</v>
      </c>
      <c r="C453" s="32" t="str">
        <f>IFERROR(__xludf.DUMMYFUNCTION("""COMPUTED_VALUE"""),"Item")</f>
        <v>Item</v>
      </c>
      <c r="D453" s="32" t="str">
        <f>IFERROR(__xludf.DUMMYFUNCTION("""COMPUTED_VALUE"""),"Land of Spira")</f>
        <v>Land of Spira</v>
      </c>
      <c r="E453" s="32" t="b">
        <f>IFERROR(__xludf.DUMMYFUNCTION("""COMPUTED_VALUE"""),FALSE)</f>
        <v>0</v>
      </c>
      <c r="F453" s="32"/>
      <c r="G453" s="32"/>
      <c r="H453" s="32"/>
      <c r="I453" s="32"/>
      <c r="J453" s="32"/>
      <c r="K453" s="32"/>
      <c r="L453" s="32"/>
      <c r="M453" s="32"/>
      <c r="N453" s="32"/>
      <c r="O453" s="32"/>
      <c r="P453" s="32"/>
      <c r="Q453" s="32"/>
      <c r="R453" s="32"/>
      <c r="S453" s="32"/>
      <c r="T453" s="32"/>
      <c r="U453" s="32"/>
      <c r="V453" s="32"/>
      <c r="W453" s="32"/>
      <c r="X453" s="32"/>
      <c r="Y453" s="32"/>
      <c r="Z453" s="32"/>
    </row>
    <row r="454">
      <c r="A454" s="32" t="str">
        <f>IFERROR(__xludf.DUMMYFUNCTION("""COMPUTED_VALUE"""),"Standard Missile")</f>
        <v>Standard Missile</v>
      </c>
      <c r="B454" s="32"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32" t="str">
        <f>IFERROR(__xludf.DUMMYFUNCTION("""COMPUTED_VALUE"""),"Item")</f>
        <v>Item</v>
      </c>
      <c r="D454" s="32" t="str">
        <f>IFERROR(__xludf.DUMMYFUNCTION("""COMPUTED_VALUE"""),"Land of Spira")</f>
        <v>Land of Spira</v>
      </c>
      <c r="E454" s="32" t="b">
        <f>IFERROR(__xludf.DUMMYFUNCTION("""COMPUTED_VALUE"""),FALSE)</f>
        <v>0</v>
      </c>
      <c r="F454" s="32"/>
      <c r="G454" s="32"/>
      <c r="H454" s="32"/>
      <c r="I454" s="32"/>
      <c r="J454" s="32"/>
      <c r="K454" s="32"/>
      <c r="L454" s="32"/>
      <c r="M454" s="32"/>
      <c r="N454" s="32"/>
      <c r="O454" s="32"/>
      <c r="P454" s="32"/>
      <c r="Q454" s="32"/>
      <c r="R454" s="32"/>
      <c r="S454" s="32"/>
      <c r="T454" s="32"/>
      <c r="U454" s="32"/>
      <c r="V454" s="32"/>
      <c r="W454" s="32"/>
      <c r="X454" s="32"/>
      <c r="Y454" s="32"/>
      <c r="Z454" s="32"/>
    </row>
    <row r="455">
      <c r="A455" s="32" t="str">
        <f>IFERROR(__xludf.DUMMYFUNCTION("""COMPUTED_VALUE"""),"Nuclear Missile")</f>
        <v>Nuclear Missile</v>
      </c>
      <c r="B455" s="32"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32" t="str">
        <f>IFERROR(__xludf.DUMMYFUNCTION("""COMPUTED_VALUE"""),"Item")</f>
        <v>Item</v>
      </c>
      <c r="D455" s="32" t="str">
        <f>IFERROR(__xludf.DUMMYFUNCTION("""COMPUTED_VALUE"""),"Land of Spira")</f>
        <v>Land of Spira</v>
      </c>
      <c r="E455" s="32" t="b">
        <f>IFERROR(__xludf.DUMMYFUNCTION("""COMPUTED_VALUE"""),FALSE)</f>
        <v>0</v>
      </c>
      <c r="F455" s="32"/>
      <c r="G455" s="32"/>
      <c r="H455" s="32"/>
      <c r="I455" s="32"/>
      <c r="J455" s="32"/>
      <c r="K455" s="32"/>
      <c r="L455" s="32"/>
      <c r="M455" s="32"/>
      <c r="N455" s="32"/>
      <c r="O455" s="32"/>
      <c r="P455" s="32"/>
      <c r="Q455" s="32"/>
      <c r="R455" s="32"/>
      <c r="S455" s="32"/>
      <c r="T455" s="32"/>
      <c r="U455" s="32"/>
      <c r="V455" s="32"/>
      <c r="W455" s="32"/>
      <c r="X455" s="32"/>
      <c r="Y455" s="32"/>
      <c r="Z455" s="32"/>
    </row>
    <row r="456">
      <c r="A456" s="32" t="str">
        <f>IFERROR(__xludf.DUMMYFUNCTION("""COMPUTED_VALUE"""),"EMP Missile")</f>
        <v>EMP Missile</v>
      </c>
      <c r="B456" s="32"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32" t="str">
        <f>IFERROR(__xludf.DUMMYFUNCTION("""COMPUTED_VALUE"""),"Item")</f>
        <v>Item</v>
      </c>
      <c r="D456" s="32" t="str">
        <f>IFERROR(__xludf.DUMMYFUNCTION("""COMPUTED_VALUE"""),"Land of Spira")</f>
        <v>Land of Spira</v>
      </c>
      <c r="E456" s="32" t="b">
        <f>IFERROR(__xludf.DUMMYFUNCTION("""COMPUTED_VALUE"""),FALSE)</f>
        <v>0</v>
      </c>
      <c r="F456" s="32"/>
      <c r="G456" s="32"/>
      <c r="H456" s="32"/>
      <c r="I456" s="32"/>
      <c r="J456" s="32"/>
      <c r="K456" s="32"/>
      <c r="L456" s="32"/>
      <c r="M456" s="32"/>
      <c r="N456" s="32"/>
      <c r="O456" s="32"/>
      <c r="P456" s="32"/>
      <c r="Q456" s="32"/>
      <c r="R456" s="32"/>
      <c r="S456" s="32"/>
      <c r="T456" s="32"/>
      <c r="U456" s="32"/>
      <c r="V456" s="32"/>
      <c r="W456" s="32"/>
      <c r="X456" s="32"/>
      <c r="Y456" s="32"/>
      <c r="Z456" s="32"/>
    </row>
    <row r="457">
      <c r="A457" s="32" t="str">
        <f>IFERROR(__xludf.DUMMYFUNCTION("""COMPUTED_VALUE"""),"Chaos Bullet")</f>
        <v>Chaos Bullet</v>
      </c>
      <c r="B457" s="32" t="str">
        <f>IFERROR(__xludf.DUMMYFUNCTION("""COMPUTED_VALUE"""),"Firearm Ammunition. +100 chaos damage. roll a d20 to see how many you get if this is a loot drop.")</f>
        <v>Firearm Ammunition. +100 chaos damage. roll a d20 to see how many you get if this is a loot drop.</v>
      </c>
      <c r="C457" s="32" t="str">
        <f>IFERROR(__xludf.DUMMYFUNCTION("""COMPUTED_VALUE"""),"Item")</f>
        <v>Item</v>
      </c>
      <c r="D457" s="32" t="str">
        <f>IFERROR(__xludf.DUMMYFUNCTION("""COMPUTED_VALUE"""),"Land of Spira")</f>
        <v>Land of Spira</v>
      </c>
      <c r="E457" s="32" t="b">
        <f>IFERROR(__xludf.DUMMYFUNCTION("""COMPUTED_VALUE"""),FALSE)</f>
        <v>0</v>
      </c>
      <c r="F457" s="32"/>
      <c r="G457" s="32"/>
      <c r="H457" s="32"/>
      <c r="I457" s="32"/>
      <c r="J457" s="32"/>
      <c r="K457" s="32"/>
      <c r="L457" s="32"/>
      <c r="M457" s="32"/>
      <c r="N457" s="32"/>
      <c r="O457" s="32"/>
      <c r="P457" s="32"/>
      <c r="Q457" s="32"/>
      <c r="R457" s="32"/>
      <c r="S457" s="32"/>
      <c r="T457" s="32"/>
      <c r="U457" s="32"/>
      <c r="V457" s="32"/>
      <c r="W457" s="32"/>
      <c r="X457" s="32"/>
      <c r="Y457" s="32"/>
      <c r="Z457" s="32"/>
    </row>
    <row r="458">
      <c r="A458" s="32" t="str">
        <f>IFERROR(__xludf.DUMMYFUNCTION("""COMPUTED_VALUE"""),"Dark Bullet")</f>
        <v>Dark Bullet</v>
      </c>
      <c r="B458" s="32" t="str">
        <f>IFERROR(__xludf.DUMMYFUNCTION("""COMPUTED_VALUE"""),"Firearm Ammunition. +100 dark damage. roll a d20 to see how many you get if this is a loot drop.")</f>
        <v>Firearm Ammunition. +100 dark damage. roll a d20 to see how many you get if this is a loot drop.</v>
      </c>
      <c r="C458" s="32" t="str">
        <f>IFERROR(__xludf.DUMMYFUNCTION("""COMPUTED_VALUE"""),"Item")</f>
        <v>Item</v>
      </c>
      <c r="D458" s="32" t="str">
        <f>IFERROR(__xludf.DUMMYFUNCTION("""COMPUTED_VALUE"""),"Land of Spira")</f>
        <v>Land of Spira</v>
      </c>
      <c r="E458" s="32" t="b">
        <f>IFERROR(__xludf.DUMMYFUNCTION("""COMPUTED_VALUE"""),FALSE)</f>
        <v>0</v>
      </c>
      <c r="F458" s="32"/>
      <c r="G458" s="32"/>
      <c r="H458" s="32"/>
      <c r="I458" s="32"/>
      <c r="J458" s="32"/>
      <c r="K458" s="32"/>
      <c r="L458" s="32"/>
      <c r="M458" s="32"/>
      <c r="N458" s="32"/>
      <c r="O458" s="32"/>
      <c r="P458" s="32"/>
      <c r="Q458" s="32"/>
      <c r="R458" s="32"/>
      <c r="S458" s="32"/>
      <c r="T458" s="32"/>
      <c r="U458" s="32"/>
      <c r="V458" s="32"/>
      <c r="W458" s="32"/>
      <c r="X458" s="32"/>
      <c r="Y458" s="32"/>
      <c r="Z458" s="32"/>
    </row>
    <row r="459">
      <c r="A459" s="32" t="str">
        <f>IFERROR(__xludf.DUMMYFUNCTION("""COMPUTED_VALUE"""),"Earth Bullet")</f>
        <v>Earth Bullet</v>
      </c>
      <c r="B459" s="32" t="str">
        <f>IFERROR(__xludf.DUMMYFUNCTION("""COMPUTED_VALUE"""),"Firearm Ammunition. +100 earth damage. roll a d20 to see how many you get if this is a loot drop.")</f>
        <v>Firearm Ammunition. +100 earth damage. roll a d20 to see how many you get if this is a loot drop.</v>
      </c>
      <c r="C459" s="32" t="str">
        <f>IFERROR(__xludf.DUMMYFUNCTION("""COMPUTED_VALUE"""),"Item")</f>
        <v>Item</v>
      </c>
      <c r="D459" s="32" t="str">
        <f>IFERROR(__xludf.DUMMYFUNCTION("""COMPUTED_VALUE"""),"Land of Spira")</f>
        <v>Land of Spira</v>
      </c>
      <c r="E459" s="32" t="b">
        <f>IFERROR(__xludf.DUMMYFUNCTION("""COMPUTED_VALUE"""),FALSE)</f>
        <v>0</v>
      </c>
      <c r="F459" s="32"/>
      <c r="G459" s="32"/>
      <c r="H459" s="32"/>
      <c r="I459" s="32"/>
      <c r="J459" s="32"/>
      <c r="K459" s="32"/>
      <c r="L459" s="32"/>
      <c r="M459" s="32"/>
      <c r="N459" s="32"/>
      <c r="O459" s="32"/>
      <c r="P459" s="32"/>
      <c r="Q459" s="32"/>
      <c r="R459" s="32"/>
      <c r="S459" s="32"/>
      <c r="T459" s="32"/>
      <c r="U459" s="32"/>
      <c r="V459" s="32"/>
      <c r="W459" s="32"/>
      <c r="X459" s="32"/>
      <c r="Y459" s="32"/>
      <c r="Z459" s="32"/>
    </row>
    <row r="460">
      <c r="A460" s="32" t="str">
        <f>IFERROR(__xludf.DUMMYFUNCTION("""COMPUTED_VALUE"""),"Fire Bullet")</f>
        <v>Fire Bullet</v>
      </c>
      <c r="B460" s="32" t="str">
        <f>IFERROR(__xludf.DUMMYFUNCTION("""COMPUTED_VALUE"""),"Firearm Ammunition. +100 fire damage. roll a d20 to see how many you get if this is a loot drop.")</f>
        <v>Firearm Ammunition. +100 fire damage. roll a d20 to see how many you get if this is a loot drop.</v>
      </c>
      <c r="C460" s="32" t="str">
        <f>IFERROR(__xludf.DUMMYFUNCTION("""COMPUTED_VALUE"""),"Item")</f>
        <v>Item</v>
      </c>
      <c r="D460" s="32" t="str">
        <f>IFERROR(__xludf.DUMMYFUNCTION("""COMPUTED_VALUE"""),"Land of Spira")</f>
        <v>Land of Spira</v>
      </c>
      <c r="E460" s="32" t="b">
        <f>IFERROR(__xludf.DUMMYFUNCTION("""COMPUTED_VALUE"""),FALSE)</f>
        <v>0</v>
      </c>
      <c r="F460" s="32"/>
      <c r="G460" s="32"/>
      <c r="H460" s="32"/>
      <c r="I460" s="32"/>
      <c r="J460" s="32"/>
      <c r="K460" s="32"/>
      <c r="L460" s="32"/>
      <c r="M460" s="32"/>
      <c r="N460" s="32"/>
      <c r="O460" s="32"/>
      <c r="P460" s="32"/>
      <c r="Q460" s="32"/>
      <c r="R460" s="32"/>
      <c r="S460" s="32"/>
      <c r="T460" s="32"/>
      <c r="U460" s="32"/>
      <c r="V460" s="32"/>
      <c r="W460" s="32"/>
      <c r="X460" s="32"/>
      <c r="Y460" s="32"/>
      <c r="Z460" s="32"/>
    </row>
    <row r="461">
      <c r="A461" s="32" t="str">
        <f>IFERROR(__xludf.DUMMYFUNCTION("""COMPUTED_VALUE"""),"Light Bullet")</f>
        <v>Light Bullet</v>
      </c>
      <c r="B461" s="32" t="str">
        <f>IFERROR(__xludf.DUMMYFUNCTION("""COMPUTED_VALUE"""),"Firearm Ammunition. +100 light damage. roll a d20 to see how many you get if this is a loot drop.")</f>
        <v>Firearm Ammunition. +100 light damage. roll a d20 to see how many you get if this is a loot drop.</v>
      </c>
      <c r="C461" s="32" t="str">
        <f>IFERROR(__xludf.DUMMYFUNCTION("""COMPUTED_VALUE"""),"Item")</f>
        <v>Item</v>
      </c>
      <c r="D461" s="32" t="str">
        <f>IFERROR(__xludf.DUMMYFUNCTION("""COMPUTED_VALUE"""),"Land of Spira")</f>
        <v>Land of Spira</v>
      </c>
      <c r="E461" s="32" t="b">
        <f>IFERROR(__xludf.DUMMYFUNCTION("""COMPUTED_VALUE"""),FALSE)</f>
        <v>0</v>
      </c>
      <c r="F461" s="32"/>
      <c r="G461" s="32"/>
      <c r="H461" s="32"/>
      <c r="I461" s="32"/>
      <c r="J461" s="32"/>
      <c r="K461" s="32"/>
      <c r="L461" s="32"/>
      <c r="M461" s="32"/>
      <c r="N461" s="32"/>
      <c r="O461" s="32"/>
      <c r="P461" s="32"/>
      <c r="Q461" s="32"/>
      <c r="R461" s="32"/>
      <c r="S461" s="32"/>
      <c r="T461" s="32"/>
      <c r="U461" s="32"/>
      <c r="V461" s="32"/>
      <c r="W461" s="32"/>
      <c r="X461" s="32"/>
      <c r="Y461" s="32"/>
      <c r="Z461" s="32"/>
    </row>
    <row r="462">
      <c r="A462" s="32" t="str">
        <f>IFERROR(__xludf.DUMMYFUNCTION("""COMPUTED_VALUE"""),"Spectral Bullet")</f>
        <v>Spectral Bullet</v>
      </c>
      <c r="B462" s="32" t="str">
        <f>IFERROR(__xludf.DUMMYFUNCTION("""COMPUTED_VALUE"""),"Firearm Ammunition. +100 spirit damage. roll a d20 to see how many you get if this is a loot drop.")</f>
        <v>Firearm Ammunition. +100 spirit damage. roll a d20 to see how many you get if this is a loot drop.</v>
      </c>
      <c r="C462" s="32" t="str">
        <f>IFERROR(__xludf.DUMMYFUNCTION("""COMPUTED_VALUE"""),"Item")</f>
        <v>Item</v>
      </c>
      <c r="D462" s="32" t="str">
        <f>IFERROR(__xludf.DUMMYFUNCTION("""COMPUTED_VALUE"""),"Land of Spira")</f>
        <v>Land of Spira</v>
      </c>
      <c r="E462" s="32" t="b">
        <f>IFERROR(__xludf.DUMMYFUNCTION("""COMPUTED_VALUE"""),FALSE)</f>
        <v>0</v>
      </c>
      <c r="F462" s="32"/>
      <c r="G462" s="32"/>
      <c r="H462" s="32"/>
      <c r="I462" s="32"/>
      <c r="J462" s="32"/>
      <c r="K462" s="32"/>
      <c r="L462" s="32"/>
      <c r="M462" s="32"/>
      <c r="N462" s="32"/>
      <c r="O462" s="32"/>
      <c r="P462" s="32"/>
      <c r="Q462" s="32"/>
      <c r="R462" s="32"/>
      <c r="S462" s="32"/>
      <c r="T462" s="32"/>
      <c r="U462" s="32"/>
      <c r="V462" s="32"/>
      <c r="W462" s="32"/>
      <c r="X462" s="32"/>
      <c r="Y462" s="32"/>
      <c r="Z462" s="32"/>
    </row>
    <row r="463">
      <c r="A463" s="32" t="str">
        <f>IFERROR(__xludf.DUMMYFUNCTION("""COMPUTED_VALUE"""),"Stunning Bullet")</f>
        <v>Stunning Bullet</v>
      </c>
      <c r="B463" s="32"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32" t="str">
        <f>IFERROR(__xludf.DUMMYFUNCTION("""COMPUTED_VALUE"""),"Item")</f>
        <v>Item</v>
      </c>
      <c r="D463" s="32" t="str">
        <f>IFERROR(__xludf.DUMMYFUNCTION("""COMPUTED_VALUE"""),"Land of Spira")</f>
        <v>Land of Spira</v>
      </c>
      <c r="E463" s="32" t="b">
        <f>IFERROR(__xludf.DUMMYFUNCTION("""COMPUTED_VALUE"""),FALSE)</f>
        <v>0</v>
      </c>
      <c r="F463" s="32"/>
      <c r="G463" s="32"/>
      <c r="H463" s="32"/>
      <c r="I463" s="32"/>
      <c r="J463" s="32"/>
      <c r="K463" s="32"/>
      <c r="L463" s="32"/>
      <c r="M463" s="32"/>
      <c r="N463" s="32"/>
      <c r="O463" s="32"/>
      <c r="P463" s="32"/>
      <c r="Q463" s="32"/>
      <c r="R463" s="32"/>
      <c r="S463" s="32"/>
      <c r="T463" s="32"/>
      <c r="U463" s="32"/>
      <c r="V463" s="32"/>
      <c r="W463" s="32"/>
      <c r="X463" s="32"/>
      <c r="Y463" s="32"/>
      <c r="Z463" s="32"/>
    </row>
    <row r="464">
      <c r="A464" s="32" t="str">
        <f>IFERROR(__xludf.DUMMYFUNCTION("""COMPUTED_VALUE"""),"Freezing Bullet")</f>
        <v>Freezing Bullet</v>
      </c>
      <c r="B464" s="32"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32" t="str">
        <f>IFERROR(__xludf.DUMMYFUNCTION("""COMPUTED_VALUE"""),"Item")</f>
        <v>Item</v>
      </c>
      <c r="D464" s="32" t="str">
        <f>IFERROR(__xludf.DUMMYFUNCTION("""COMPUTED_VALUE"""),"Land of Spira")</f>
        <v>Land of Spira</v>
      </c>
      <c r="E464" s="32" t="b">
        <f>IFERROR(__xludf.DUMMYFUNCTION("""COMPUTED_VALUE"""),FALSE)</f>
        <v>0</v>
      </c>
      <c r="F464" s="32"/>
      <c r="G464" s="32"/>
      <c r="H464" s="32"/>
      <c r="I464" s="32"/>
      <c r="J464" s="32"/>
      <c r="K464" s="32"/>
      <c r="L464" s="32"/>
      <c r="M464" s="32"/>
      <c r="N464" s="32"/>
      <c r="O464" s="32"/>
      <c r="P464" s="32"/>
      <c r="Q464" s="32"/>
      <c r="R464" s="32"/>
      <c r="S464" s="32"/>
      <c r="T464" s="32"/>
      <c r="U464" s="32"/>
      <c r="V464" s="32"/>
      <c r="W464" s="32"/>
      <c r="X464" s="32"/>
      <c r="Y464" s="32"/>
      <c r="Z464" s="32"/>
    </row>
    <row r="465">
      <c r="A465" s="32" t="str">
        <f>IFERROR(__xludf.DUMMYFUNCTION("""COMPUTED_VALUE"""),"Healing Bullet")</f>
        <v>Healing Bullet</v>
      </c>
      <c r="B465" s="32"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32" t="str">
        <f>IFERROR(__xludf.DUMMYFUNCTION("""COMPUTED_VALUE"""),"Item")</f>
        <v>Item</v>
      </c>
      <c r="D465" s="32" t="str">
        <f>IFERROR(__xludf.DUMMYFUNCTION("""COMPUTED_VALUE"""),"Land of Spira")</f>
        <v>Land of Spira</v>
      </c>
      <c r="E465" s="32" t="b">
        <f>IFERROR(__xludf.DUMMYFUNCTION("""COMPUTED_VALUE"""),FALSE)</f>
        <v>0</v>
      </c>
      <c r="F465" s="32"/>
      <c r="G465" s="32"/>
      <c r="H465" s="32"/>
      <c r="I465" s="32"/>
      <c r="J465" s="32"/>
      <c r="K465" s="32"/>
      <c r="L465" s="32"/>
      <c r="M465" s="32"/>
      <c r="N465" s="32"/>
      <c r="O465" s="32"/>
      <c r="P465" s="32"/>
      <c r="Q465" s="32"/>
      <c r="R465" s="32"/>
      <c r="S465" s="32"/>
      <c r="T465" s="32"/>
      <c r="U465" s="32"/>
      <c r="V465" s="32"/>
      <c r="W465" s="32"/>
      <c r="X465" s="32"/>
      <c r="Y465" s="32"/>
      <c r="Z465" s="32"/>
    </row>
    <row r="466">
      <c r="A466" s="32" t="str">
        <f>IFERROR(__xludf.DUMMYFUNCTION("""COMPUTED_VALUE"""),"Celestial Arrow")</f>
        <v>Celestial Arrow</v>
      </c>
      <c r="B466" s="32" t="str">
        <f>IFERROR(__xludf.DUMMYFUNCTION("""COMPUTED_VALUE"""),"Bow Ammunition. +500 celestial damage. roll a d20 to see how many you get if this is a loot drop.")</f>
        <v>Bow Ammunition. +500 celestial damage. roll a d20 to see how many you get if this is a loot drop.</v>
      </c>
      <c r="C466" s="32" t="str">
        <f>IFERROR(__xludf.DUMMYFUNCTION("""COMPUTED_VALUE"""),"Item")</f>
        <v>Item</v>
      </c>
      <c r="D466" s="32" t="str">
        <f>IFERROR(__xludf.DUMMYFUNCTION("""COMPUTED_VALUE"""),"Land of Spira")</f>
        <v>Land of Spira</v>
      </c>
      <c r="E466" s="32" t="b">
        <f>IFERROR(__xludf.DUMMYFUNCTION("""COMPUTED_VALUE"""),FALSE)</f>
        <v>0</v>
      </c>
      <c r="F466" s="32"/>
      <c r="G466" s="32"/>
      <c r="H466" s="32"/>
      <c r="I466" s="32"/>
      <c r="J466" s="32"/>
      <c r="K466" s="32"/>
      <c r="L466" s="32"/>
      <c r="M466" s="32"/>
      <c r="N466" s="32"/>
      <c r="O466" s="32"/>
      <c r="P466" s="32"/>
      <c r="Q466" s="32"/>
      <c r="R466" s="32"/>
      <c r="S466" s="32"/>
      <c r="T466" s="32"/>
      <c r="U466" s="32"/>
      <c r="V466" s="32"/>
      <c r="W466" s="32"/>
      <c r="X466" s="32"/>
      <c r="Y466" s="32"/>
      <c r="Z466" s="32"/>
    </row>
    <row r="467">
      <c r="A467" s="32" t="str">
        <f>IFERROR(__xludf.DUMMYFUNCTION("""COMPUTED_VALUE"""),"Chaos Arrow")</f>
        <v>Chaos Arrow</v>
      </c>
      <c r="B467" s="32" t="str">
        <f>IFERROR(__xludf.DUMMYFUNCTION("""COMPUTED_VALUE"""),"Bow Ammunition. +500 chaos damage. roll a d20 to see how many you get if this is a loot drop.")</f>
        <v>Bow Ammunition. +500 chaos damage. roll a d20 to see how many you get if this is a loot drop.</v>
      </c>
      <c r="C467" s="32" t="str">
        <f>IFERROR(__xludf.DUMMYFUNCTION("""COMPUTED_VALUE"""),"Item")</f>
        <v>Item</v>
      </c>
      <c r="D467" s="32" t="str">
        <f>IFERROR(__xludf.DUMMYFUNCTION("""COMPUTED_VALUE"""),"Land of Spira")</f>
        <v>Land of Spira</v>
      </c>
      <c r="E467" s="32" t="b">
        <f>IFERROR(__xludf.DUMMYFUNCTION("""COMPUTED_VALUE"""),FALSE)</f>
        <v>0</v>
      </c>
      <c r="F467" s="32"/>
      <c r="G467" s="32"/>
      <c r="H467" s="32"/>
      <c r="I467" s="32"/>
      <c r="J467" s="32"/>
      <c r="K467" s="32"/>
      <c r="L467" s="32"/>
      <c r="M467" s="32"/>
      <c r="N467" s="32"/>
      <c r="O467" s="32"/>
      <c r="P467" s="32"/>
      <c r="Q467" s="32"/>
      <c r="R467" s="32"/>
      <c r="S467" s="32"/>
      <c r="T467" s="32"/>
      <c r="U467" s="32"/>
      <c r="V467" s="32"/>
      <c r="W467" s="32"/>
      <c r="X467" s="32"/>
      <c r="Y467" s="32"/>
      <c r="Z467" s="32"/>
    </row>
    <row r="468">
      <c r="A468" s="32" t="str">
        <f>IFERROR(__xludf.DUMMYFUNCTION("""COMPUTED_VALUE"""),"Dark Arrow")</f>
        <v>Dark Arrow</v>
      </c>
      <c r="B468" s="32" t="str">
        <f>IFERROR(__xludf.DUMMYFUNCTION("""COMPUTED_VALUE"""),"Bow Ammunition. +500 dark damage. roll a d20 to see how many you get if this is a loot drop.")</f>
        <v>Bow Ammunition. +500 dark damage. roll a d20 to see how many you get if this is a loot drop.</v>
      </c>
      <c r="C468" s="32" t="str">
        <f>IFERROR(__xludf.DUMMYFUNCTION("""COMPUTED_VALUE"""),"Item")</f>
        <v>Item</v>
      </c>
      <c r="D468" s="32" t="str">
        <f>IFERROR(__xludf.DUMMYFUNCTION("""COMPUTED_VALUE"""),"Land of Spira")</f>
        <v>Land of Spira</v>
      </c>
      <c r="E468" s="32" t="b">
        <f>IFERROR(__xludf.DUMMYFUNCTION("""COMPUTED_VALUE"""),FALSE)</f>
        <v>0</v>
      </c>
      <c r="F468" s="32"/>
      <c r="G468" s="32"/>
      <c r="H468" s="32"/>
      <c r="I468" s="32"/>
      <c r="J468" s="32"/>
      <c r="K468" s="32"/>
      <c r="L468" s="32"/>
      <c r="M468" s="32"/>
      <c r="N468" s="32"/>
      <c r="O468" s="32"/>
      <c r="P468" s="32"/>
      <c r="Q468" s="32"/>
      <c r="R468" s="32"/>
      <c r="S468" s="32"/>
      <c r="T468" s="32"/>
      <c r="U468" s="32"/>
      <c r="V468" s="32"/>
      <c r="W468" s="32"/>
      <c r="X468" s="32"/>
      <c r="Y468" s="32"/>
      <c r="Z468" s="32"/>
    </row>
    <row r="469">
      <c r="A469" s="32" t="str">
        <f>IFERROR(__xludf.DUMMYFUNCTION("""COMPUTED_VALUE"""),"Earth Arrow")</f>
        <v>Earth Arrow</v>
      </c>
      <c r="B469" s="32" t="str">
        <f>IFERROR(__xludf.DUMMYFUNCTION("""COMPUTED_VALUE"""),"Bow Ammunition. +500 earth damage. roll a d20 to see how many you get if this is a loot drop.")</f>
        <v>Bow Ammunition. +500 earth damage. roll a d20 to see how many you get if this is a loot drop.</v>
      </c>
      <c r="C469" s="32" t="str">
        <f>IFERROR(__xludf.DUMMYFUNCTION("""COMPUTED_VALUE"""),"Item")</f>
        <v>Item</v>
      </c>
      <c r="D469" s="32" t="str">
        <f>IFERROR(__xludf.DUMMYFUNCTION("""COMPUTED_VALUE"""),"Land of Spira")</f>
        <v>Land of Spira</v>
      </c>
      <c r="E469" s="32" t="b">
        <f>IFERROR(__xludf.DUMMYFUNCTION("""COMPUTED_VALUE"""),FALSE)</f>
        <v>0</v>
      </c>
      <c r="F469" s="32"/>
      <c r="G469" s="32"/>
      <c r="H469" s="32"/>
      <c r="I469" s="32"/>
      <c r="J469" s="32"/>
      <c r="K469" s="32"/>
      <c r="L469" s="32"/>
      <c r="M469" s="32"/>
      <c r="N469" s="32"/>
      <c r="O469" s="32"/>
      <c r="P469" s="32"/>
      <c r="Q469" s="32"/>
      <c r="R469" s="32"/>
      <c r="S469" s="32"/>
      <c r="T469" s="32"/>
      <c r="U469" s="32"/>
      <c r="V469" s="32"/>
      <c r="W469" s="32"/>
      <c r="X469" s="32"/>
      <c r="Y469" s="32"/>
      <c r="Z469" s="32"/>
    </row>
    <row r="470">
      <c r="A470" s="32" t="str">
        <f>IFERROR(__xludf.DUMMYFUNCTION("""COMPUTED_VALUE"""),"Fire Arrow")</f>
        <v>Fire Arrow</v>
      </c>
      <c r="B470" s="32" t="str">
        <f>IFERROR(__xludf.DUMMYFUNCTION("""COMPUTED_VALUE"""),"Bow Ammunition. +500 fire damage. roll a d20 to see how many you get if this is a loot drop.")</f>
        <v>Bow Ammunition. +500 fire damage. roll a d20 to see how many you get if this is a loot drop.</v>
      </c>
      <c r="C470" s="32" t="str">
        <f>IFERROR(__xludf.DUMMYFUNCTION("""COMPUTED_VALUE"""),"Item")</f>
        <v>Item</v>
      </c>
      <c r="D470" s="32" t="str">
        <f>IFERROR(__xludf.DUMMYFUNCTION("""COMPUTED_VALUE"""),"Land of Spira")</f>
        <v>Land of Spira</v>
      </c>
      <c r="E470" s="32" t="b">
        <f>IFERROR(__xludf.DUMMYFUNCTION("""COMPUTED_VALUE"""),FALSE)</f>
        <v>0</v>
      </c>
      <c r="F470" s="32"/>
      <c r="G470" s="32"/>
      <c r="H470" s="32"/>
      <c r="I470" s="32"/>
      <c r="J470" s="32"/>
      <c r="K470" s="32"/>
      <c r="L470" s="32"/>
      <c r="M470" s="32"/>
      <c r="N470" s="32"/>
      <c r="O470" s="32"/>
      <c r="P470" s="32"/>
      <c r="Q470" s="32"/>
      <c r="R470" s="32"/>
      <c r="S470" s="32"/>
      <c r="T470" s="32"/>
      <c r="U470" s="32"/>
      <c r="V470" s="32"/>
      <c r="W470" s="32"/>
      <c r="X470" s="32"/>
      <c r="Y470" s="32"/>
      <c r="Z470" s="32"/>
    </row>
    <row r="471">
      <c r="A471" s="32" t="str">
        <f>IFERROR(__xludf.DUMMYFUNCTION("""COMPUTED_VALUE"""),"Light Arrow")</f>
        <v>Light Arrow</v>
      </c>
      <c r="B471" s="32" t="str">
        <f>IFERROR(__xludf.DUMMYFUNCTION("""COMPUTED_VALUE"""),"Bow Ammunition. +500 light damage. roll a d20 to see how many you get if this is a loot drop.")</f>
        <v>Bow Ammunition. +500 light damage. roll a d20 to see how many you get if this is a loot drop.</v>
      </c>
      <c r="C471" s="32" t="str">
        <f>IFERROR(__xludf.DUMMYFUNCTION("""COMPUTED_VALUE"""),"Item")</f>
        <v>Item</v>
      </c>
      <c r="D471" s="32" t="str">
        <f>IFERROR(__xludf.DUMMYFUNCTION("""COMPUTED_VALUE"""),"Land of Spira")</f>
        <v>Land of Spira</v>
      </c>
      <c r="E471" s="32" t="b">
        <f>IFERROR(__xludf.DUMMYFUNCTION("""COMPUTED_VALUE"""),FALSE)</f>
        <v>0</v>
      </c>
      <c r="F471" s="32"/>
      <c r="G471" s="32"/>
      <c r="H471" s="32"/>
      <c r="I471" s="32"/>
      <c r="J471" s="32"/>
      <c r="K471" s="32"/>
      <c r="L471" s="32"/>
      <c r="M471" s="32"/>
      <c r="N471" s="32"/>
      <c r="O471" s="32"/>
      <c r="P471" s="32"/>
      <c r="Q471" s="32"/>
      <c r="R471" s="32"/>
      <c r="S471" s="32"/>
      <c r="T471" s="32"/>
      <c r="U471" s="32"/>
      <c r="V471" s="32"/>
      <c r="W471" s="32"/>
      <c r="X471" s="32"/>
      <c r="Y471" s="32"/>
      <c r="Z471" s="32"/>
    </row>
    <row r="472">
      <c r="A472" s="32" t="str">
        <f>IFERROR(__xludf.DUMMYFUNCTION("""COMPUTED_VALUE"""),"Spectral Arrow")</f>
        <v>Spectral Arrow</v>
      </c>
      <c r="B472" s="32" t="str">
        <f>IFERROR(__xludf.DUMMYFUNCTION("""COMPUTED_VALUE"""),"Bow Ammunition. +500 spirit damage. roll a d20 to see how many you get if this is a loot drop.")</f>
        <v>Bow Ammunition. +500 spirit damage. roll a d20 to see how many you get if this is a loot drop.</v>
      </c>
      <c r="C472" s="32" t="str">
        <f>IFERROR(__xludf.DUMMYFUNCTION("""COMPUTED_VALUE"""),"Item")</f>
        <v>Item</v>
      </c>
      <c r="D472" s="32" t="str">
        <f>IFERROR(__xludf.DUMMYFUNCTION("""COMPUTED_VALUE"""),"Land of Spira")</f>
        <v>Land of Spira</v>
      </c>
      <c r="E472" s="32" t="b">
        <f>IFERROR(__xludf.DUMMYFUNCTION("""COMPUTED_VALUE"""),FALSE)</f>
        <v>0</v>
      </c>
      <c r="F472" s="32"/>
      <c r="G472" s="32"/>
      <c r="H472" s="32"/>
      <c r="I472" s="32"/>
      <c r="J472" s="32"/>
      <c r="K472" s="32"/>
      <c r="L472" s="32"/>
      <c r="M472" s="32"/>
      <c r="N472" s="32"/>
      <c r="O472" s="32"/>
      <c r="P472" s="32"/>
      <c r="Q472" s="32"/>
      <c r="R472" s="32"/>
      <c r="S472" s="32"/>
      <c r="T472" s="32"/>
      <c r="U472" s="32"/>
      <c r="V472" s="32"/>
      <c r="W472" s="32"/>
      <c r="X472" s="32"/>
      <c r="Y472" s="32"/>
      <c r="Z472" s="32"/>
    </row>
    <row r="473">
      <c r="A473" s="32" t="str">
        <f>IFERROR(__xludf.DUMMYFUNCTION("""COMPUTED_VALUE"""),"Stunning Arrow")</f>
        <v>Stunning Arrow</v>
      </c>
      <c r="B473" s="32"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32" t="str">
        <f>IFERROR(__xludf.DUMMYFUNCTION("""COMPUTED_VALUE"""),"Item")</f>
        <v>Item</v>
      </c>
      <c r="D473" s="32" t="str">
        <f>IFERROR(__xludf.DUMMYFUNCTION("""COMPUTED_VALUE"""),"Land of Spira")</f>
        <v>Land of Spira</v>
      </c>
      <c r="E473" s="32" t="b">
        <f>IFERROR(__xludf.DUMMYFUNCTION("""COMPUTED_VALUE"""),FALSE)</f>
        <v>0</v>
      </c>
      <c r="F473" s="32"/>
      <c r="G473" s="32"/>
      <c r="H473" s="32"/>
      <c r="I473" s="32"/>
      <c r="J473" s="32"/>
      <c r="K473" s="32"/>
      <c r="L473" s="32"/>
      <c r="M473" s="32"/>
      <c r="N473" s="32"/>
      <c r="O473" s="32"/>
      <c r="P473" s="32"/>
      <c r="Q473" s="32"/>
      <c r="R473" s="32"/>
      <c r="S473" s="32"/>
      <c r="T473" s="32"/>
      <c r="U473" s="32"/>
      <c r="V473" s="32"/>
      <c r="W473" s="32"/>
      <c r="X473" s="32"/>
      <c r="Y473" s="32"/>
      <c r="Z473" s="32"/>
    </row>
    <row r="474">
      <c r="A474" s="32" t="str">
        <f>IFERROR(__xludf.DUMMYFUNCTION("""COMPUTED_VALUE"""),"Freezing Arrow")</f>
        <v>Freezing Arrow</v>
      </c>
      <c r="B474" s="32"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32" t="str">
        <f>IFERROR(__xludf.DUMMYFUNCTION("""COMPUTED_VALUE"""),"Item")</f>
        <v>Item</v>
      </c>
      <c r="D474" s="32" t="str">
        <f>IFERROR(__xludf.DUMMYFUNCTION("""COMPUTED_VALUE"""),"Land of Spira")</f>
        <v>Land of Spira</v>
      </c>
      <c r="E474" s="32" t="b">
        <f>IFERROR(__xludf.DUMMYFUNCTION("""COMPUTED_VALUE"""),FALSE)</f>
        <v>0</v>
      </c>
      <c r="F474" s="32"/>
      <c r="G474" s="32"/>
      <c r="H474" s="32"/>
      <c r="I474" s="32"/>
      <c r="J474" s="32"/>
      <c r="K474" s="32"/>
      <c r="L474" s="32"/>
      <c r="M474" s="32"/>
      <c r="N474" s="32"/>
      <c r="O474" s="32"/>
      <c r="P474" s="32"/>
      <c r="Q474" s="32"/>
      <c r="R474" s="32"/>
      <c r="S474" s="32"/>
      <c r="T474" s="32"/>
      <c r="U474" s="32"/>
      <c r="V474" s="32"/>
      <c r="W474" s="32"/>
      <c r="X474" s="32"/>
      <c r="Y474" s="32"/>
      <c r="Z474" s="32"/>
    </row>
    <row r="475">
      <c r="A475" s="32" t="str">
        <f>IFERROR(__xludf.DUMMYFUNCTION("""COMPUTED_VALUE"""),"Healing Arrow")</f>
        <v>Healing Arrow</v>
      </c>
      <c r="B475" s="32"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32" t="str">
        <f>IFERROR(__xludf.DUMMYFUNCTION("""COMPUTED_VALUE"""),"Item")</f>
        <v>Item</v>
      </c>
      <c r="D475" s="32" t="str">
        <f>IFERROR(__xludf.DUMMYFUNCTION("""COMPUTED_VALUE"""),"Land of Spira")</f>
        <v>Land of Spira</v>
      </c>
      <c r="E475" s="32" t="b">
        <f>IFERROR(__xludf.DUMMYFUNCTION("""COMPUTED_VALUE"""),FALSE)</f>
        <v>0</v>
      </c>
      <c r="F475" s="32"/>
      <c r="G475" s="32"/>
      <c r="H475" s="32"/>
      <c r="I475" s="32"/>
      <c r="J475" s="32"/>
      <c r="K475" s="32"/>
      <c r="L475" s="32"/>
      <c r="M475" s="32"/>
      <c r="N475" s="32"/>
      <c r="O475" s="32"/>
      <c r="P475" s="32"/>
      <c r="Q475" s="32"/>
      <c r="R475" s="32"/>
      <c r="S475" s="32"/>
      <c r="T475" s="32"/>
      <c r="U475" s="32"/>
      <c r="V475" s="32"/>
      <c r="W475" s="32"/>
      <c r="X475" s="32"/>
      <c r="Y475" s="32"/>
      <c r="Z475" s="32"/>
    </row>
    <row r="476">
      <c r="A476" s="32" t="str">
        <f>IFERROR(__xludf.DUMMYFUNCTION("""COMPUTED_VALUE"""),"Celestial Bullet")</f>
        <v>Celestial Bullet</v>
      </c>
      <c r="B476" s="32" t="str">
        <f>IFERROR(__xludf.DUMMYFUNCTION("""COMPUTED_VALUE"""),"Firearm Ammunition. +100 celestial damage. roll a d20 to see how many you get if this is a loot drop.")</f>
        <v>Firearm Ammunition. +100 celestial damage. roll a d20 to see how many you get if this is a loot drop.</v>
      </c>
      <c r="C476" s="32" t="str">
        <f>IFERROR(__xludf.DUMMYFUNCTION("""COMPUTED_VALUE"""),"Item")</f>
        <v>Item</v>
      </c>
      <c r="D476" s="32" t="str">
        <f>IFERROR(__xludf.DUMMYFUNCTION("""COMPUTED_VALUE"""),"Land of Spira")</f>
        <v>Land of Spira</v>
      </c>
      <c r="E476" s="32" t="b">
        <f>IFERROR(__xludf.DUMMYFUNCTION("""COMPUTED_VALUE"""),FALSE)</f>
        <v>0</v>
      </c>
      <c r="F476" s="32"/>
      <c r="G476" s="32"/>
      <c r="H476" s="32"/>
      <c r="I476" s="32"/>
      <c r="J476" s="32"/>
      <c r="K476" s="32"/>
      <c r="L476" s="32"/>
      <c r="M476" s="32"/>
      <c r="N476" s="32"/>
      <c r="O476" s="32"/>
      <c r="P476" s="32"/>
      <c r="Q476" s="32"/>
      <c r="R476" s="32"/>
      <c r="S476" s="32"/>
      <c r="T476" s="32"/>
      <c r="U476" s="32"/>
      <c r="V476" s="32"/>
      <c r="W476" s="32"/>
      <c r="X476" s="32"/>
      <c r="Y476" s="32"/>
      <c r="Z476" s="32"/>
    </row>
    <row r="477">
      <c r="A477" s="32" t="str">
        <f>IFERROR(__xludf.DUMMYFUNCTION("""COMPUTED_VALUE"""),"Fire Cannon Ball")</f>
        <v>Fire Cannon Ball</v>
      </c>
      <c r="B477" s="32" t="str">
        <f>IFERROR(__xludf.DUMMYFUNCTION("""COMPUTED_VALUE"""),"Fireball Cannon Ammunition, +5000 fire damage. roll a d20 to see how many you get if this is a loot drop.")</f>
        <v>Fireball Cannon Ammunition, +5000 fire damage. roll a d20 to see how many you get if this is a loot drop.</v>
      </c>
      <c r="C477" s="32" t="str">
        <f>IFERROR(__xludf.DUMMYFUNCTION("""COMPUTED_VALUE"""),"Item")</f>
        <v>Item</v>
      </c>
      <c r="D477" s="32" t="str">
        <f>IFERROR(__xludf.DUMMYFUNCTION("""COMPUTED_VALUE"""),"Land of Spira")</f>
        <v>Land of Spira</v>
      </c>
      <c r="E477" s="32" t="b">
        <f>IFERROR(__xludf.DUMMYFUNCTION("""COMPUTED_VALUE"""),FALSE)</f>
        <v>0</v>
      </c>
      <c r="F477" s="32"/>
      <c r="G477" s="32"/>
      <c r="H477" s="32"/>
      <c r="I477" s="32"/>
      <c r="J477" s="32"/>
      <c r="K477" s="32"/>
      <c r="L477" s="32"/>
      <c r="M477" s="32"/>
      <c r="N477" s="32"/>
      <c r="O477" s="32"/>
      <c r="P477" s="32"/>
      <c r="Q477" s="32"/>
      <c r="R477" s="32"/>
      <c r="S477" s="32"/>
      <c r="T477" s="32"/>
      <c r="U477" s="32"/>
      <c r="V477" s="32"/>
      <c r="W477" s="32"/>
      <c r="X477" s="32"/>
      <c r="Y477" s="32"/>
      <c r="Z477" s="32"/>
    </row>
    <row r="478">
      <c r="A478" s="32" t="str">
        <f>IFERROR(__xludf.DUMMYFUNCTION("""COMPUTED_VALUE"""),"Torpedo")</f>
        <v>Torpedo</v>
      </c>
      <c r="B478" s="32" t="str">
        <f>IFERROR(__xludf.DUMMYFUNCTION("""COMPUTED_VALUE"""),"Torpedo Launcher Ammunition. +10,000 damage. roll a d20 to see how many you get if this is a loot drop.")</f>
        <v>Torpedo Launcher Ammunition. +10,000 damage. roll a d20 to see how many you get if this is a loot drop.</v>
      </c>
      <c r="C478" s="32" t="str">
        <f>IFERROR(__xludf.DUMMYFUNCTION("""COMPUTED_VALUE"""),"Item")</f>
        <v>Item</v>
      </c>
      <c r="D478" s="32" t="str">
        <f>IFERROR(__xludf.DUMMYFUNCTION("""COMPUTED_VALUE"""),"Land of Spira")</f>
        <v>Land of Spira</v>
      </c>
      <c r="E478" s="32" t="b">
        <f>IFERROR(__xludf.DUMMYFUNCTION("""COMPUTED_VALUE"""),FALSE)</f>
        <v>0</v>
      </c>
      <c r="F478" s="32"/>
      <c r="G478" s="32"/>
      <c r="H478" s="32"/>
      <c r="I478" s="32"/>
      <c r="J478" s="32"/>
      <c r="K478" s="32"/>
      <c r="L478" s="32"/>
      <c r="M478" s="32"/>
      <c r="N478" s="32"/>
      <c r="O478" s="32"/>
      <c r="P478" s="32"/>
      <c r="Q478" s="32"/>
      <c r="R478" s="32"/>
      <c r="S478" s="32"/>
      <c r="T478" s="32"/>
      <c r="U478" s="32"/>
      <c r="V478" s="32"/>
      <c r="W478" s="32"/>
      <c r="X478" s="32"/>
      <c r="Y478" s="32"/>
      <c r="Z478" s="32"/>
    </row>
    <row r="479">
      <c r="A479" s="32" t="str">
        <f>IFERROR(__xludf.DUMMYFUNCTION("""COMPUTED_VALUE"""),"Fragmentation Grenade")</f>
        <v>Fragmentation Grenade</v>
      </c>
      <c r="B479" s="32" t="str">
        <f>IFERROR(__xludf.DUMMYFUNCTION("""COMPUTED_VALUE"""),"Deals 10000 damage to all enemies.")</f>
        <v>Deals 10000 damage to all enemies.</v>
      </c>
      <c r="C479" s="32" t="str">
        <f>IFERROR(__xludf.DUMMYFUNCTION("""COMPUTED_VALUE"""),"Grenade")</f>
        <v>Grenade</v>
      </c>
      <c r="D479" s="32" t="str">
        <f>IFERROR(__xludf.DUMMYFUNCTION("""COMPUTED_VALUE"""),"Land of Spira")</f>
        <v>Land of Spira</v>
      </c>
      <c r="E479" s="32" t="b">
        <f>IFERROR(__xludf.DUMMYFUNCTION("""COMPUTED_VALUE"""),FALSE)</f>
        <v>0</v>
      </c>
      <c r="F479" s="32"/>
      <c r="G479" s="32"/>
      <c r="H479" s="32"/>
      <c r="I479" s="32"/>
      <c r="J479" s="32"/>
      <c r="K479" s="32"/>
      <c r="L479" s="32"/>
      <c r="M479" s="32"/>
      <c r="N479" s="32"/>
      <c r="O479" s="32"/>
      <c r="P479" s="32"/>
      <c r="Q479" s="32"/>
      <c r="R479" s="32"/>
      <c r="S479" s="32"/>
      <c r="T479" s="32"/>
      <c r="U479" s="32"/>
      <c r="V479" s="32"/>
      <c r="W479" s="32"/>
      <c r="X479" s="32"/>
      <c r="Y479" s="32"/>
      <c r="Z479" s="32"/>
    </row>
    <row r="480">
      <c r="A480" s="32" t="str">
        <f>IFERROR(__xludf.DUMMYFUNCTION("""COMPUTED_VALUE"""),"Flashbang")</f>
        <v>Flashbang</v>
      </c>
      <c r="B480" s="32" t="str">
        <f>IFERROR(__xludf.DUMMYFUNCTION("""COMPUTED_VALUE"""),"Deals 5000 Light damage and has a 15% chance to inflict Blindness 2 to all enemies.")</f>
        <v>Deals 5000 Light damage and has a 15% chance to inflict Blindness 2 to all enemies.</v>
      </c>
      <c r="C480" s="32" t="str">
        <f>IFERROR(__xludf.DUMMYFUNCTION("""COMPUTED_VALUE"""),"Grenade")</f>
        <v>Grenade</v>
      </c>
      <c r="D480" s="32" t="str">
        <f>IFERROR(__xludf.DUMMYFUNCTION("""COMPUTED_VALUE"""),"Land of Spira")</f>
        <v>Land of Spira</v>
      </c>
      <c r="E480" s="32" t="b">
        <f>IFERROR(__xludf.DUMMYFUNCTION("""COMPUTED_VALUE"""),FALSE)</f>
        <v>0</v>
      </c>
      <c r="F480" s="32"/>
      <c r="G480" s="32"/>
      <c r="H480" s="32"/>
      <c r="I480" s="32"/>
      <c r="J480" s="32"/>
      <c r="K480" s="32"/>
      <c r="L480" s="32"/>
      <c r="M480" s="32"/>
      <c r="N480" s="32"/>
      <c r="O480" s="32"/>
      <c r="P480" s="32"/>
      <c r="Q480" s="32"/>
      <c r="R480" s="32"/>
      <c r="S480" s="32"/>
      <c r="T480" s="32"/>
      <c r="U480" s="32"/>
      <c r="V480" s="32"/>
      <c r="W480" s="32"/>
      <c r="X480" s="32"/>
      <c r="Y480" s="32"/>
      <c r="Z480" s="32"/>
    </row>
    <row r="481">
      <c r="A481" s="32" t="str">
        <f>IFERROR(__xludf.DUMMYFUNCTION("""COMPUTED_VALUE"""),"Earth Golem Core")</f>
        <v>Earth Golem Core</v>
      </c>
      <c r="B481" s="32" t="str">
        <f>IFERROR(__xludf.DUMMYFUNCTION("""COMPUTED_VALUE"""),"Summons an Earth Golem to battle (Can only be used once)")</f>
        <v>Summons an Earth Golem to battle (Can only be used once)</v>
      </c>
      <c r="C481" s="32" t="str">
        <f>IFERROR(__xludf.DUMMYFUNCTION("""COMPUTED_VALUE"""),"Item")</f>
        <v>Item</v>
      </c>
      <c r="D481" s="32" t="str">
        <f>IFERROR(__xludf.DUMMYFUNCTION("""COMPUTED_VALUE"""),"Land of Spira")</f>
        <v>Land of Spira</v>
      </c>
      <c r="E481" s="32" t="b">
        <f>IFERROR(__xludf.DUMMYFUNCTION("""COMPUTED_VALUE"""),FALSE)</f>
        <v>0</v>
      </c>
      <c r="F481" s="32"/>
      <c r="G481" s="32"/>
      <c r="H481" s="32"/>
      <c r="I481" s="32"/>
      <c r="J481" s="32"/>
      <c r="K481" s="32"/>
      <c r="L481" s="32"/>
      <c r="M481" s="32"/>
      <c r="N481" s="32"/>
      <c r="O481" s="32"/>
      <c r="P481" s="32"/>
      <c r="Q481" s="32"/>
      <c r="R481" s="32"/>
      <c r="S481" s="32"/>
      <c r="T481" s="32"/>
      <c r="U481" s="32"/>
      <c r="V481" s="32"/>
      <c r="W481" s="32"/>
      <c r="X481" s="32"/>
      <c r="Y481" s="32"/>
      <c r="Z481" s="32"/>
    </row>
    <row r="482">
      <c r="A482" s="32" t="str">
        <f>IFERROR(__xludf.DUMMYFUNCTION("""COMPUTED_VALUE"""),"Nailbomb")</f>
        <v>Nailbomb</v>
      </c>
      <c r="B482" s="32" t="str">
        <f>IFERROR(__xludf.DUMMYFUNCTION("""COMPUTED_VALUE"""),"Deals 5000 bleed damage and has a 25% chance of inflicting bleed 2500 for 3 rounds to all enemies.")</f>
        <v>Deals 5000 bleed damage and has a 25% chance of inflicting bleed 2500 for 3 rounds to all enemies.</v>
      </c>
      <c r="C482" s="32" t="str">
        <f>IFERROR(__xludf.DUMMYFUNCTION("""COMPUTED_VALUE"""),"Grenade")</f>
        <v>Grenade</v>
      </c>
      <c r="D482" s="32" t="str">
        <f>IFERROR(__xludf.DUMMYFUNCTION("""COMPUTED_VALUE"""),"Land of Spira")</f>
        <v>Land of Spira</v>
      </c>
      <c r="E482" s="32" t="b">
        <f>IFERROR(__xludf.DUMMYFUNCTION("""COMPUTED_VALUE"""),FALSE)</f>
        <v>0</v>
      </c>
      <c r="F482" s="32"/>
      <c r="G482" s="32"/>
      <c r="H482" s="32"/>
      <c r="I482" s="32"/>
      <c r="J482" s="32"/>
      <c r="K482" s="32"/>
      <c r="L482" s="32"/>
      <c r="M482" s="32"/>
      <c r="N482" s="32"/>
      <c r="O482" s="32"/>
      <c r="P482" s="32"/>
      <c r="Q482" s="32"/>
      <c r="R482" s="32"/>
      <c r="S482" s="32"/>
      <c r="T482" s="32"/>
      <c r="U482" s="32"/>
      <c r="V482" s="32"/>
      <c r="W482" s="32"/>
      <c r="X482" s="32"/>
      <c r="Y482" s="32"/>
      <c r="Z482" s="32"/>
    </row>
    <row r="483">
      <c r="A483" s="32" t="str">
        <f>IFERROR(__xludf.DUMMYFUNCTION("""COMPUTED_VALUE"""),"Molotov")</f>
        <v>Molotov</v>
      </c>
      <c r="B483" s="32" t="str">
        <f>IFERROR(__xludf.DUMMYFUNCTION("""COMPUTED_VALUE"""),"Deals 5000 fire damage and has a 25% chance of inflicting burn 2500 for 3 rounds to all enemies.")</f>
        <v>Deals 5000 fire damage and has a 25% chance of inflicting burn 2500 for 3 rounds to all enemies.</v>
      </c>
      <c r="C483" s="32" t="str">
        <f>IFERROR(__xludf.DUMMYFUNCTION("""COMPUTED_VALUE"""),"Grenade")</f>
        <v>Grenade</v>
      </c>
      <c r="D483" s="32" t="str">
        <f>IFERROR(__xludf.DUMMYFUNCTION("""COMPUTED_VALUE"""),"Land of Spira")</f>
        <v>Land of Spira</v>
      </c>
      <c r="E483" s="32" t="b">
        <f>IFERROR(__xludf.DUMMYFUNCTION("""COMPUTED_VALUE"""),FALSE)</f>
        <v>0</v>
      </c>
      <c r="F483" s="32"/>
      <c r="G483" s="32"/>
      <c r="H483" s="32"/>
      <c r="I483" s="32"/>
      <c r="J483" s="32"/>
      <c r="K483" s="32"/>
      <c r="L483" s="32"/>
      <c r="M483" s="32"/>
      <c r="N483" s="32"/>
      <c r="O483" s="32"/>
      <c r="P483" s="32"/>
      <c r="Q483" s="32"/>
      <c r="R483" s="32"/>
      <c r="S483" s="32"/>
      <c r="T483" s="32"/>
      <c r="U483" s="32"/>
      <c r="V483" s="32"/>
      <c r="W483" s="32"/>
      <c r="X483" s="32"/>
      <c r="Y483" s="32"/>
      <c r="Z483" s="32"/>
    </row>
    <row r="484">
      <c r="A484" s="32" t="str">
        <f>IFERROR(__xludf.DUMMYFUNCTION("""COMPUTED_VALUE"""),"Smoke Bomb")</f>
        <v>Smoke Bomb</v>
      </c>
      <c r="B484" s="32" t="str">
        <f>IFERROR(__xludf.DUMMYFUNCTION("""COMPUTED_VALUE"""),"Conceals you and gives you +5 mobility when fleeing.")</f>
        <v>Conceals you and gives you +5 mobility when fleeing.</v>
      </c>
      <c r="C484" s="32" t="str">
        <f>IFERROR(__xludf.DUMMYFUNCTION("""COMPUTED_VALUE"""),"Grenade")</f>
        <v>Grenade</v>
      </c>
      <c r="D484" s="32" t="str">
        <f>IFERROR(__xludf.DUMMYFUNCTION("""COMPUTED_VALUE"""),"Land of Spira")</f>
        <v>Land of Spira</v>
      </c>
      <c r="E484" s="32" t="b">
        <f>IFERROR(__xludf.DUMMYFUNCTION("""COMPUTED_VALUE"""),FALSE)</f>
        <v>0</v>
      </c>
      <c r="F484" s="32"/>
      <c r="G484" s="32"/>
      <c r="H484" s="32"/>
      <c r="I484" s="32"/>
      <c r="J484" s="32"/>
      <c r="K484" s="32"/>
      <c r="L484" s="32"/>
      <c r="M484" s="32"/>
      <c r="N484" s="32"/>
      <c r="O484" s="32"/>
      <c r="P484" s="32"/>
      <c r="Q484" s="32"/>
      <c r="R484" s="32"/>
      <c r="S484" s="32"/>
      <c r="T484" s="32"/>
      <c r="U484" s="32"/>
      <c r="V484" s="32"/>
      <c r="W484" s="32"/>
      <c r="X484" s="32"/>
      <c r="Y484" s="32"/>
      <c r="Z484" s="32"/>
    </row>
    <row r="485">
      <c r="A485" s="32" t="str">
        <f>IFERROR(__xludf.DUMMYFUNCTION("""COMPUTED_VALUE"""),"Gas Grenade")</f>
        <v>Gas Grenade</v>
      </c>
      <c r="B485" s="32" t="str">
        <f>IFERROR(__xludf.DUMMYFUNCTION("""COMPUTED_VALUE"""),"Inflicts poison 5000 for 3 rounds to all enemies.")</f>
        <v>Inflicts poison 5000 for 3 rounds to all enemies.</v>
      </c>
      <c r="C485" s="32" t="str">
        <f>IFERROR(__xludf.DUMMYFUNCTION("""COMPUTED_VALUE"""),"Grenade")</f>
        <v>Grenade</v>
      </c>
      <c r="D485" s="32" t="str">
        <f>IFERROR(__xludf.DUMMYFUNCTION("""COMPUTED_VALUE"""),"Land of Spira")</f>
        <v>Land of Spira</v>
      </c>
      <c r="E485" s="32" t="b">
        <f>IFERROR(__xludf.DUMMYFUNCTION("""COMPUTED_VALUE"""),FALSE)</f>
        <v>0</v>
      </c>
      <c r="F485" s="32"/>
      <c r="G485" s="32"/>
      <c r="H485" s="32"/>
      <c r="I485" s="32"/>
      <c r="J485" s="32"/>
      <c r="K485" s="32"/>
      <c r="L485" s="32"/>
      <c r="M485" s="32"/>
      <c r="N485" s="32"/>
      <c r="O485" s="32"/>
      <c r="P485" s="32"/>
      <c r="Q485" s="32"/>
      <c r="R485" s="32"/>
      <c r="S485" s="32"/>
      <c r="T485" s="32"/>
      <c r="U485" s="32"/>
      <c r="V485" s="32"/>
      <c r="W485" s="32"/>
      <c r="X485" s="32"/>
      <c r="Y485" s="32"/>
      <c r="Z485" s="32"/>
    </row>
    <row r="486">
      <c r="A486" s="32" t="str">
        <f>IFERROR(__xludf.DUMMYFUNCTION("""COMPUTED_VALUE"""),"Booze Bomb")</f>
        <v>Booze Bomb</v>
      </c>
      <c r="B486" s="32" t="str">
        <f>IFERROR(__xludf.DUMMYFUNCTION("""COMPUTED_VALUE"""),"75% to inflict disoriented 5 to all enemies.")</f>
        <v>75% to inflict disoriented 5 to all enemies.</v>
      </c>
      <c r="C486" s="32" t="str">
        <f>IFERROR(__xludf.DUMMYFUNCTION("""COMPUTED_VALUE"""),"Grenade")</f>
        <v>Grenade</v>
      </c>
      <c r="D486" s="32" t="str">
        <f>IFERROR(__xludf.DUMMYFUNCTION("""COMPUTED_VALUE"""),"Land of Spira")</f>
        <v>Land of Spira</v>
      </c>
      <c r="E486" s="32" t="b">
        <f>IFERROR(__xludf.DUMMYFUNCTION("""COMPUTED_VALUE"""),FALSE)</f>
        <v>0</v>
      </c>
      <c r="F486" s="32"/>
      <c r="G486" s="32"/>
      <c r="H486" s="32"/>
      <c r="I486" s="32"/>
      <c r="J486" s="32"/>
      <c r="K486" s="32"/>
      <c r="L486" s="32"/>
      <c r="M486" s="32"/>
      <c r="N486" s="32"/>
      <c r="O486" s="32"/>
      <c r="P486" s="32"/>
      <c r="Q486" s="32"/>
      <c r="R486" s="32"/>
      <c r="S486" s="32"/>
      <c r="T486" s="32"/>
      <c r="U486" s="32"/>
      <c r="V486" s="32"/>
      <c r="W486" s="32"/>
      <c r="X486" s="32"/>
      <c r="Y486" s="32"/>
      <c r="Z486" s="32"/>
    </row>
    <row r="487">
      <c r="A487" s="32" t="str">
        <f>IFERROR(__xludf.DUMMYFUNCTION("""COMPUTED_VALUE"""),"Ice bomb")</f>
        <v>Ice bomb</v>
      </c>
      <c r="B487" s="32" t="str">
        <f>IFERROR(__xludf.DUMMYFUNCTION("""COMPUTED_VALUE"""),"50% chance to freeze targets to all enemies.")</f>
        <v>50% chance to freeze targets to all enemies.</v>
      </c>
      <c r="C487" s="32" t="str">
        <f>IFERROR(__xludf.DUMMYFUNCTION("""COMPUTED_VALUE"""),"Grenade")</f>
        <v>Grenade</v>
      </c>
      <c r="D487" s="32" t="str">
        <f>IFERROR(__xludf.DUMMYFUNCTION("""COMPUTED_VALUE"""),"Land of Spira")</f>
        <v>Land of Spira</v>
      </c>
      <c r="E487" s="32" t="b">
        <f>IFERROR(__xludf.DUMMYFUNCTION("""COMPUTED_VALUE"""),FALSE)</f>
        <v>0</v>
      </c>
      <c r="F487" s="32"/>
      <c r="G487" s="32"/>
      <c r="H487" s="32"/>
      <c r="I487" s="32"/>
      <c r="J487" s="32"/>
      <c r="K487" s="32"/>
      <c r="L487" s="32"/>
      <c r="M487" s="32"/>
      <c r="N487" s="32"/>
      <c r="O487" s="32"/>
      <c r="P487" s="32"/>
      <c r="Q487" s="32"/>
      <c r="R487" s="32"/>
      <c r="S487" s="32"/>
      <c r="T487" s="32"/>
      <c r="U487" s="32"/>
      <c r="V487" s="32"/>
      <c r="W487" s="32"/>
      <c r="X487" s="32"/>
      <c r="Y487" s="32"/>
      <c r="Z487" s="32"/>
    </row>
    <row r="488">
      <c r="A488" s="32" t="str">
        <f>IFERROR(__xludf.DUMMYFUNCTION("""COMPUTED_VALUE"""),"Holy Water")</f>
        <v>Holy Water</v>
      </c>
      <c r="B488" s="32" t="str">
        <f>IFERROR(__xludf.DUMMYFUNCTION("""COMPUTED_VALUE"""),"Deals 10000 Light Damage")</f>
        <v>Deals 10000 Light Damage</v>
      </c>
      <c r="C488" s="32" t="str">
        <f>IFERROR(__xludf.DUMMYFUNCTION("""COMPUTED_VALUE"""),"Grenade")</f>
        <v>Grenade</v>
      </c>
      <c r="D488" s="32" t="str">
        <f>IFERROR(__xludf.DUMMYFUNCTION("""COMPUTED_VALUE"""),"Land of Spira")</f>
        <v>Land of Spira</v>
      </c>
      <c r="E488" s="32" t="b">
        <f>IFERROR(__xludf.DUMMYFUNCTION("""COMPUTED_VALUE"""),FALSE)</f>
        <v>0</v>
      </c>
      <c r="F488" s="32"/>
      <c r="G488" s="32"/>
      <c r="H488" s="32"/>
      <c r="I488" s="32"/>
      <c r="J488" s="32"/>
      <c r="K488" s="32"/>
      <c r="L488" s="32"/>
      <c r="M488" s="32"/>
      <c r="N488" s="32"/>
      <c r="O488" s="32"/>
      <c r="P488" s="32"/>
      <c r="Q488" s="32"/>
      <c r="R488" s="32"/>
      <c r="S488" s="32"/>
      <c r="T488" s="32"/>
      <c r="U488" s="32"/>
      <c r="V488" s="32"/>
      <c r="W488" s="32"/>
      <c r="X488" s="32"/>
      <c r="Y488" s="32"/>
      <c r="Z488" s="32"/>
    </row>
    <row r="489">
      <c r="A489" s="32" t="str">
        <f>IFERROR(__xludf.DUMMYFUNCTION("""COMPUTED_VALUE"""),"Salve Grenade")</f>
        <v>Salve Grenade</v>
      </c>
      <c r="B489" s="32" t="str">
        <f>IFERROR(__xludf.DUMMYFUNCTION("""COMPUTED_VALUE"""),"Heals 2500 Hp")</f>
        <v>Heals 2500 Hp</v>
      </c>
      <c r="C489" s="32" t="str">
        <f>IFERROR(__xludf.DUMMYFUNCTION("""COMPUTED_VALUE"""),"Grenade")</f>
        <v>Grenade</v>
      </c>
      <c r="D489" s="32" t="str">
        <f>IFERROR(__xludf.DUMMYFUNCTION("""COMPUTED_VALUE"""),"Land of Spira")</f>
        <v>Land of Spira</v>
      </c>
      <c r="E489" s="32" t="b">
        <f>IFERROR(__xludf.DUMMYFUNCTION("""COMPUTED_VALUE"""),FALSE)</f>
        <v>0</v>
      </c>
      <c r="F489" s="32"/>
      <c r="G489" s="32"/>
      <c r="H489" s="32"/>
      <c r="I489" s="32"/>
      <c r="J489" s="32"/>
      <c r="K489" s="32"/>
      <c r="L489" s="32"/>
      <c r="M489" s="32"/>
      <c r="N489" s="32"/>
      <c r="O489" s="32"/>
      <c r="P489" s="32"/>
      <c r="Q489" s="32"/>
      <c r="R489" s="32"/>
      <c r="S489" s="32"/>
      <c r="T489" s="32"/>
      <c r="U489" s="32"/>
      <c r="V489" s="32"/>
      <c r="W489" s="32"/>
      <c r="X489" s="32"/>
      <c r="Y489" s="32"/>
      <c r="Z489" s="32"/>
    </row>
    <row r="490">
      <c r="A490" s="32" t="str">
        <f>IFERROR(__xludf.DUMMYFUNCTION("""COMPUTED_VALUE"""),"Potion of Banishment")</f>
        <v>Potion of Banishment</v>
      </c>
      <c r="B490" s="32" t="str">
        <f>IFERROR(__xludf.DUMMYFUNCTION("""COMPUTED_VALUE"""),"Banishes an enemy")</f>
        <v>Banishes an enemy</v>
      </c>
      <c r="C490" s="32" t="str">
        <f>IFERROR(__xludf.DUMMYFUNCTION("""COMPUTED_VALUE"""),"Item")</f>
        <v>Item</v>
      </c>
      <c r="D490" s="32" t="str">
        <f>IFERROR(__xludf.DUMMYFUNCTION("""COMPUTED_VALUE"""),"Land of Spira")</f>
        <v>Land of Spira</v>
      </c>
      <c r="E490" s="32" t="b">
        <f>IFERROR(__xludf.DUMMYFUNCTION("""COMPUTED_VALUE"""),FALSE)</f>
        <v>0</v>
      </c>
      <c r="F490" s="32"/>
      <c r="G490" s="32"/>
      <c r="H490" s="32"/>
      <c r="I490" s="32"/>
      <c r="J490" s="32"/>
      <c r="K490" s="32"/>
      <c r="L490" s="32"/>
      <c r="M490" s="32"/>
      <c r="N490" s="32"/>
      <c r="O490" s="32"/>
      <c r="P490" s="32"/>
      <c r="Q490" s="32"/>
      <c r="R490" s="32"/>
      <c r="S490" s="32"/>
      <c r="T490" s="32"/>
      <c r="U490" s="32"/>
      <c r="V490" s="32"/>
      <c r="W490" s="32"/>
      <c r="X490" s="32"/>
      <c r="Y490" s="32"/>
      <c r="Z490" s="32"/>
    </row>
    <row r="491">
      <c r="A491" s="32" t="str">
        <f>IFERROR(__xludf.DUMMYFUNCTION("""COMPUTED_VALUE"""),"Wooden Arrow")</f>
        <v>Wooden Arrow</v>
      </c>
      <c r="B491" s="32" t="str">
        <f>IFERROR(__xludf.DUMMYFUNCTION("""COMPUTED_VALUE"""),"Bow Ammunition +50 Damage. roll a d20 to see how many you get if this is a loot drop.")</f>
        <v>Bow Ammunition +50 Damage. roll a d20 to see how many you get if this is a loot drop.</v>
      </c>
      <c r="C491" s="32" t="str">
        <f>IFERROR(__xludf.DUMMYFUNCTION("""COMPUTED_VALUE"""),"Item")</f>
        <v>Item</v>
      </c>
      <c r="D491" s="32" t="str">
        <f>IFERROR(__xludf.DUMMYFUNCTION("""COMPUTED_VALUE"""),"Land of Spira")</f>
        <v>Land of Spira</v>
      </c>
      <c r="E491" s="32" t="b">
        <f>IFERROR(__xludf.DUMMYFUNCTION("""COMPUTED_VALUE"""),FALSE)</f>
        <v>0</v>
      </c>
      <c r="F491" s="32"/>
      <c r="G491" s="32"/>
      <c r="H491" s="32"/>
      <c r="I491" s="32"/>
      <c r="J491" s="32"/>
      <c r="K491" s="32"/>
      <c r="L491" s="32"/>
      <c r="M491" s="32"/>
      <c r="N491" s="32"/>
      <c r="O491" s="32"/>
      <c r="P491" s="32"/>
      <c r="Q491" s="32"/>
      <c r="R491" s="32"/>
      <c r="S491" s="32"/>
      <c r="T491" s="32"/>
      <c r="U491" s="32"/>
      <c r="V491" s="32"/>
      <c r="W491" s="32"/>
      <c r="X491" s="32"/>
      <c r="Y491" s="32"/>
      <c r="Z491" s="32"/>
    </row>
    <row r="492">
      <c r="A492" s="32" t="str">
        <f>IFERROR(__xludf.DUMMYFUNCTION("""COMPUTED_VALUE"""),"Bone Tipped Arrow")</f>
        <v>Bone Tipped Arrow</v>
      </c>
      <c r="B492" s="32" t="str">
        <f>IFERROR(__xludf.DUMMYFUNCTION("""COMPUTED_VALUE"""),"Bow Ammunition +250 Blood damage. roll a d20 to see how many you get if this is a loot drop")</f>
        <v>Bow Ammunition +250 Blood damage. roll a d20 to see how many you get if this is a loot drop</v>
      </c>
      <c r="C492" s="32" t="str">
        <f>IFERROR(__xludf.DUMMYFUNCTION("""COMPUTED_VALUE"""),"Item")</f>
        <v>Item</v>
      </c>
      <c r="D492" s="32" t="str">
        <f>IFERROR(__xludf.DUMMYFUNCTION("""COMPUTED_VALUE"""),"Land of Spira")</f>
        <v>Land of Spira</v>
      </c>
      <c r="E492" s="32" t="b">
        <f>IFERROR(__xludf.DUMMYFUNCTION("""COMPUTED_VALUE"""),FALSE)</f>
        <v>0</v>
      </c>
      <c r="F492" s="32"/>
      <c r="G492" s="32"/>
      <c r="H492" s="32"/>
      <c r="I492" s="32"/>
      <c r="J492" s="32"/>
      <c r="K492" s="32"/>
      <c r="L492" s="32"/>
      <c r="M492" s="32"/>
      <c r="N492" s="32"/>
      <c r="O492" s="32"/>
      <c r="P492" s="32"/>
      <c r="Q492" s="32"/>
      <c r="R492" s="32"/>
      <c r="S492" s="32"/>
      <c r="T492" s="32"/>
      <c r="U492" s="32"/>
      <c r="V492" s="32"/>
      <c r="W492" s="32"/>
      <c r="X492" s="32"/>
      <c r="Y492" s="32"/>
      <c r="Z492" s="32"/>
    </row>
    <row r="493">
      <c r="A493" s="32" t="str">
        <f>IFERROR(__xludf.DUMMYFUNCTION("""COMPUTED_VALUE"""),"Holy Arrow")</f>
        <v>Holy Arrow</v>
      </c>
      <c r="B493" s="32"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32" t="str">
        <f>IFERROR(__xludf.DUMMYFUNCTION("""COMPUTED_VALUE"""),"Item")</f>
        <v>Item</v>
      </c>
      <c r="D493" s="32" t="str">
        <f>IFERROR(__xludf.DUMMYFUNCTION("""COMPUTED_VALUE"""),"Land of Spira")</f>
        <v>Land of Spira</v>
      </c>
      <c r="E493" s="32" t="b">
        <f>IFERROR(__xludf.DUMMYFUNCTION("""COMPUTED_VALUE"""),FALSE)</f>
        <v>0</v>
      </c>
      <c r="F493" s="32"/>
      <c r="G493" s="32"/>
      <c r="H493" s="32"/>
      <c r="I493" s="32"/>
      <c r="J493" s="32"/>
      <c r="K493" s="32"/>
      <c r="L493" s="32"/>
      <c r="M493" s="32"/>
      <c r="N493" s="32"/>
      <c r="O493" s="32"/>
      <c r="P493" s="32"/>
      <c r="Q493" s="32"/>
      <c r="R493" s="32"/>
      <c r="S493" s="32"/>
      <c r="T493" s="32"/>
      <c r="U493" s="32"/>
      <c r="V493" s="32"/>
      <c r="W493" s="32"/>
      <c r="X493" s="32"/>
      <c r="Y493" s="32"/>
      <c r="Z493" s="32"/>
    </row>
    <row r="494">
      <c r="A494" s="32" t="str">
        <f>IFERROR(__xludf.DUMMYFUNCTION("""COMPUTED_VALUE"""),"Small Bang")</f>
        <v>Small Bang</v>
      </c>
      <c r="B494" s="32" t="str">
        <f>IFERROR(__xludf.DUMMYFUNCTION("""COMPUTED_VALUE"""),"500,000 Damage")</f>
        <v>500,000 Damage</v>
      </c>
      <c r="C494" s="32" t="str">
        <f>IFERROR(__xludf.DUMMYFUNCTION("""COMPUTED_VALUE"""),"Grenade")</f>
        <v>Grenade</v>
      </c>
      <c r="D494" s="32" t="str">
        <f>IFERROR(__xludf.DUMMYFUNCTION("""COMPUTED_VALUE"""),"Abstara")</f>
        <v>Abstara</v>
      </c>
      <c r="E494" s="32" t="b">
        <f>IFERROR(__xludf.DUMMYFUNCTION("""COMPUTED_VALUE"""),FALSE)</f>
        <v>0</v>
      </c>
      <c r="F494" s="32"/>
      <c r="G494" s="32"/>
      <c r="H494" s="32"/>
      <c r="I494" s="32"/>
      <c r="J494" s="32"/>
      <c r="K494" s="32"/>
      <c r="L494" s="32"/>
      <c r="M494" s="32"/>
      <c r="N494" s="32"/>
      <c r="O494" s="32"/>
      <c r="P494" s="32"/>
      <c r="Q494" s="32"/>
      <c r="R494" s="32"/>
      <c r="S494" s="32"/>
      <c r="T494" s="32"/>
      <c r="U494" s="32"/>
      <c r="V494" s="32"/>
      <c r="W494" s="32"/>
      <c r="X494" s="32"/>
      <c r="Y494" s="32"/>
      <c r="Z494" s="32"/>
    </row>
    <row r="495">
      <c r="A495" s="32" t="str">
        <f>IFERROR(__xludf.DUMMYFUNCTION("""COMPUTED_VALUE"""),"Dragon Burst")</f>
        <v>Dragon Burst</v>
      </c>
      <c r="B495" s="32" t="str">
        <f>IFERROR(__xludf.DUMMYFUNCTION("""COMPUTED_VALUE"""),"250,000 Damage")</f>
        <v>250,000 Damage</v>
      </c>
      <c r="C495" s="32" t="str">
        <f>IFERROR(__xludf.DUMMYFUNCTION("""COMPUTED_VALUE"""),"Grenade")</f>
        <v>Grenade</v>
      </c>
      <c r="D495" s="32" t="str">
        <f>IFERROR(__xludf.DUMMYFUNCTION("""COMPUTED_VALUE"""),"Dragonscale Island")</f>
        <v>Dragonscale Island</v>
      </c>
      <c r="E495" s="32" t="b">
        <f>IFERROR(__xludf.DUMMYFUNCTION("""COMPUTED_VALUE"""),FALSE)</f>
        <v>0</v>
      </c>
      <c r="F495" s="32"/>
      <c r="G495" s="32"/>
      <c r="H495" s="32"/>
      <c r="I495" s="32"/>
      <c r="J495" s="32"/>
      <c r="K495" s="32"/>
      <c r="L495" s="32"/>
      <c r="M495" s="32"/>
      <c r="N495" s="32"/>
      <c r="O495" s="32"/>
      <c r="P495" s="32"/>
      <c r="Q495" s="32"/>
      <c r="R495" s="32"/>
      <c r="S495" s="32"/>
      <c r="T495" s="32"/>
      <c r="U495" s="32"/>
      <c r="V495" s="32"/>
      <c r="W495" s="32"/>
      <c r="X495" s="32"/>
      <c r="Y495" s="32"/>
      <c r="Z495" s="32"/>
    </row>
    <row r="496">
      <c r="A496" s="32" t="str">
        <f>IFERROR(__xludf.DUMMYFUNCTION("""COMPUTED_VALUE"""),"Iguanian Assassin's Box")</f>
        <v>Iguanian Assassin's Box</v>
      </c>
      <c r="B496" s="32"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32" t="str">
        <f>IFERROR(__xludf.DUMMYFUNCTION("""COMPUTED_VALUE"""),"Item")</f>
        <v>Item</v>
      </c>
      <c r="D496" s="32" t="str">
        <f>IFERROR(__xludf.DUMMYFUNCTION("""COMPUTED_VALUE"""),"Dragonscale Island")</f>
        <v>Dragonscale Island</v>
      </c>
      <c r="E496" s="32" t="b">
        <f>IFERROR(__xludf.DUMMYFUNCTION("""COMPUTED_VALUE"""),FALSE)</f>
        <v>0</v>
      </c>
      <c r="F496" s="32"/>
      <c r="G496" s="32"/>
      <c r="H496" s="32"/>
      <c r="I496" s="32"/>
      <c r="J496" s="32"/>
      <c r="K496" s="32"/>
      <c r="L496" s="32"/>
      <c r="M496" s="32"/>
      <c r="N496" s="32"/>
      <c r="O496" s="32"/>
      <c r="P496" s="32"/>
      <c r="Q496" s="32"/>
      <c r="R496" s="32"/>
      <c r="S496" s="32"/>
      <c r="T496" s="32"/>
      <c r="U496" s="32"/>
      <c r="V496" s="32"/>
      <c r="W496" s="32"/>
      <c r="X496" s="32"/>
      <c r="Y496" s="32"/>
      <c r="Z496" s="32"/>
    </row>
    <row r="497">
      <c r="A497" s="32" t="str">
        <f>IFERROR(__xludf.DUMMYFUNCTION("""COMPUTED_VALUE"""),"Lizardfolk Warrior's Box")</f>
        <v>Lizardfolk Warrior's Box</v>
      </c>
      <c r="B497" s="32"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32" t="str">
        <f>IFERROR(__xludf.DUMMYFUNCTION("""COMPUTED_VALUE"""),"Item")</f>
        <v>Item</v>
      </c>
      <c r="D497" s="32" t="str">
        <f>IFERROR(__xludf.DUMMYFUNCTION("""COMPUTED_VALUE"""),"Dragonscale Island")</f>
        <v>Dragonscale Island</v>
      </c>
      <c r="E497" s="32" t="b">
        <f>IFERROR(__xludf.DUMMYFUNCTION("""COMPUTED_VALUE"""),FALSE)</f>
        <v>0</v>
      </c>
      <c r="F497" s="32"/>
      <c r="G497" s="32"/>
      <c r="H497" s="32"/>
      <c r="I497" s="32"/>
      <c r="J497" s="32"/>
      <c r="K497" s="32"/>
      <c r="L497" s="32"/>
      <c r="M497" s="32"/>
      <c r="N497" s="32"/>
      <c r="O497" s="32"/>
      <c r="P497" s="32"/>
      <c r="Q497" s="32"/>
      <c r="R497" s="32"/>
      <c r="S497" s="32"/>
      <c r="T497" s="32"/>
      <c r="U497" s="32"/>
      <c r="V497" s="32"/>
      <c r="W497" s="32"/>
      <c r="X497" s="32"/>
      <c r="Y497" s="32"/>
      <c r="Z497" s="32"/>
    </row>
    <row r="498">
      <c r="A498" s="32" t="str">
        <f>IFERROR(__xludf.DUMMYFUNCTION("""COMPUTED_VALUE"""),"Lizard Thief's Box")</f>
        <v>Lizard Thief's Box</v>
      </c>
      <c r="B498" s="32"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32" t="str">
        <f>IFERROR(__xludf.DUMMYFUNCTION("""COMPUTED_VALUE"""),"Item")</f>
        <v>Item</v>
      </c>
      <c r="D498" s="32" t="str">
        <f>IFERROR(__xludf.DUMMYFUNCTION("""COMPUTED_VALUE"""),"Dragonscale Island")</f>
        <v>Dragonscale Island</v>
      </c>
      <c r="E498" s="32" t="b">
        <f>IFERROR(__xludf.DUMMYFUNCTION("""COMPUTED_VALUE"""),FALSE)</f>
        <v>0</v>
      </c>
      <c r="F498" s="32"/>
      <c r="G498" s="32"/>
      <c r="H498" s="32"/>
      <c r="I498" s="32"/>
      <c r="J498" s="32"/>
      <c r="K498" s="32"/>
      <c r="L498" s="32"/>
      <c r="M498" s="32"/>
      <c r="N498" s="32"/>
      <c r="O498" s="32"/>
      <c r="P498" s="32"/>
      <c r="Q498" s="32"/>
      <c r="R498" s="32"/>
      <c r="S498" s="32"/>
      <c r="T498" s="32"/>
      <c r="U498" s="32"/>
      <c r="V498" s="32"/>
      <c r="W498" s="32"/>
      <c r="X498" s="32"/>
      <c r="Y498" s="32"/>
      <c r="Z498" s="32"/>
    </row>
    <row r="499">
      <c r="A499" s="32" t="str">
        <f>IFERROR(__xludf.DUMMYFUNCTION("""COMPUTED_VALUE"""),"Lizard Wizard's Box")</f>
        <v>Lizard Wizard's Box</v>
      </c>
      <c r="B499" s="32"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32" t="str">
        <f>IFERROR(__xludf.DUMMYFUNCTION("""COMPUTED_VALUE"""),"Item")</f>
        <v>Item</v>
      </c>
      <c r="D499" s="32" t="str">
        <f>IFERROR(__xludf.DUMMYFUNCTION("""COMPUTED_VALUE"""),"Dragonscale Island")</f>
        <v>Dragonscale Island</v>
      </c>
      <c r="E499" s="32" t="b">
        <f>IFERROR(__xludf.DUMMYFUNCTION("""COMPUTED_VALUE"""),FALSE)</f>
        <v>0</v>
      </c>
      <c r="F499" s="32"/>
      <c r="G499" s="32"/>
      <c r="H499" s="32"/>
      <c r="I499" s="32"/>
      <c r="J499" s="32"/>
      <c r="K499" s="32"/>
      <c r="L499" s="32"/>
      <c r="M499" s="32"/>
      <c r="N499" s="32"/>
      <c r="O499" s="32"/>
      <c r="P499" s="32"/>
      <c r="Q499" s="32"/>
      <c r="R499" s="32"/>
      <c r="S499" s="32"/>
      <c r="T499" s="32"/>
      <c r="U499" s="32"/>
      <c r="V499" s="32"/>
      <c r="W499" s="32"/>
      <c r="X499" s="32"/>
      <c r="Y499" s="32"/>
      <c r="Z499" s="32"/>
    </row>
    <row r="500">
      <c r="A500" s="32" t="str">
        <f>IFERROR(__xludf.DUMMYFUNCTION("""COMPUTED_VALUE"""),"Iguanian Brawler's Box")</f>
        <v>Iguanian Brawler's Box</v>
      </c>
      <c r="B500" s="32"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32" t="str">
        <f>IFERROR(__xludf.DUMMYFUNCTION("""COMPUTED_VALUE"""),"Item")</f>
        <v>Item</v>
      </c>
      <c r="D500" s="32" t="str">
        <f>IFERROR(__xludf.DUMMYFUNCTION("""COMPUTED_VALUE"""),"Dragonscale Island")</f>
        <v>Dragonscale Island</v>
      </c>
      <c r="E500" s="32" t="b">
        <f>IFERROR(__xludf.DUMMYFUNCTION("""COMPUTED_VALUE"""),FALSE)</f>
        <v>0</v>
      </c>
      <c r="F500" s="32"/>
      <c r="G500" s="32"/>
      <c r="H500" s="32"/>
      <c r="I500" s="32"/>
      <c r="J500" s="32"/>
      <c r="K500" s="32"/>
      <c r="L500" s="32"/>
      <c r="M500" s="32"/>
      <c r="N500" s="32"/>
      <c r="O500" s="32"/>
      <c r="P500" s="32"/>
      <c r="Q500" s="32"/>
      <c r="R500" s="32"/>
      <c r="S500" s="32"/>
      <c r="T500" s="32"/>
      <c r="U500" s="32"/>
      <c r="V500" s="32"/>
      <c r="W500" s="32"/>
      <c r="X500" s="32"/>
      <c r="Y500" s="32"/>
      <c r="Z500" s="32"/>
    </row>
    <row r="501">
      <c r="A501" s="32" t="str">
        <f>IFERROR(__xludf.DUMMYFUNCTION("""COMPUTED_VALUE"""),"Iguanian Mage's Box")</f>
        <v>Iguanian Mage's Box</v>
      </c>
      <c r="B501" s="32"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32" t="str">
        <f>IFERROR(__xludf.DUMMYFUNCTION("""COMPUTED_VALUE"""),"Item")</f>
        <v>Item</v>
      </c>
      <c r="D501" s="32" t="str">
        <f>IFERROR(__xludf.DUMMYFUNCTION("""COMPUTED_VALUE"""),"Dragonscale Island")</f>
        <v>Dragonscale Island</v>
      </c>
      <c r="E501" s="32" t="b">
        <f>IFERROR(__xludf.DUMMYFUNCTION("""COMPUTED_VALUE"""),FALSE)</f>
        <v>0</v>
      </c>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t="b">
        <f>IFERROR(__xludf.DUMMYFUNCTION("""COMPUTED_VALUE"""),FALSE)</f>
        <v>0</v>
      </c>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t="b">
        <f>IFERROR(__xludf.DUMMYFUNCTION("""COMPUTED_VALUE"""),FALSE)</f>
        <v>0</v>
      </c>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t="b">
        <f>IFERROR(__xludf.DUMMYFUNCTION("""COMPUTED_VALUE"""),FALSE)</f>
        <v>0</v>
      </c>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t="b">
        <f>IFERROR(__xludf.DUMMYFUNCTION("""COMPUTED_VALUE"""),FALSE)</f>
        <v>0</v>
      </c>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t="b">
        <f>IFERROR(__xludf.DUMMYFUNCTION("""COMPUTED_VALUE"""),FALSE)</f>
        <v>0</v>
      </c>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t="b">
        <f>IFERROR(__xludf.DUMMYFUNCTION("""COMPUTED_VALUE"""),FALSE)</f>
        <v>0</v>
      </c>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t="b">
        <f>IFERROR(__xludf.DUMMYFUNCTION("""COMPUTED_VALUE"""),FALSE)</f>
        <v>0</v>
      </c>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t="b">
        <f>IFERROR(__xludf.DUMMYFUNCTION("""COMPUTED_VALUE"""),FALSE)</f>
        <v>0</v>
      </c>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t="b">
        <f>IFERROR(__xludf.DUMMYFUNCTION("""COMPUTED_VALUE"""),FALSE)</f>
        <v>0</v>
      </c>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t="b">
        <f>IFERROR(__xludf.DUMMYFUNCTION("""COMPUTED_VALUE"""),FALSE)</f>
        <v>0</v>
      </c>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t="b">
        <f>IFERROR(__xludf.DUMMYFUNCTION("""COMPUTED_VALUE"""),FALSE)</f>
        <v>0</v>
      </c>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t="b">
        <f>IFERROR(__xludf.DUMMYFUNCTION("""COMPUTED_VALUE"""),FALSE)</f>
        <v>0</v>
      </c>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t="b">
        <f>IFERROR(__xludf.DUMMYFUNCTION("""COMPUTED_VALUE"""),FALSE)</f>
        <v>0</v>
      </c>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t="b">
        <f>IFERROR(__xludf.DUMMYFUNCTION("""COMPUTED_VALUE"""),FALSE)</f>
        <v>0</v>
      </c>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t="b">
        <f>IFERROR(__xludf.DUMMYFUNCTION("""COMPUTED_VALUE"""),FALSE)</f>
        <v>0</v>
      </c>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t="b">
        <f>IFERROR(__xludf.DUMMYFUNCTION("""COMPUTED_VALUE"""),FALSE)</f>
        <v>0</v>
      </c>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t="b">
        <f>IFERROR(__xludf.DUMMYFUNCTION("""COMPUTED_VALUE"""),FALSE)</f>
        <v>0</v>
      </c>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t="b">
        <f>IFERROR(__xludf.DUMMYFUNCTION("""COMPUTED_VALUE"""),FALSE)</f>
        <v>0</v>
      </c>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t="b">
        <f>IFERROR(__xludf.DUMMYFUNCTION("""COMPUTED_VALUE"""),FALSE)</f>
        <v>0</v>
      </c>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t="b">
        <f>IFERROR(__xludf.DUMMYFUNCTION("""COMPUTED_VALUE"""),FALSE)</f>
        <v>0</v>
      </c>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t="b">
        <f>IFERROR(__xludf.DUMMYFUNCTION("""COMPUTED_VALUE"""),FALSE)</f>
        <v>0</v>
      </c>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t="b">
        <f>IFERROR(__xludf.DUMMYFUNCTION("""COMPUTED_VALUE"""),FALSE)</f>
        <v>0</v>
      </c>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t="b">
        <f>IFERROR(__xludf.DUMMYFUNCTION("""COMPUTED_VALUE"""),FALSE)</f>
        <v>0</v>
      </c>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t="b">
        <f>IFERROR(__xludf.DUMMYFUNCTION("""COMPUTED_VALUE"""),FALSE)</f>
        <v>0</v>
      </c>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t="b">
        <f>IFERROR(__xludf.DUMMYFUNCTION("""COMPUTED_VALUE"""),FALSE)</f>
        <v>0</v>
      </c>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t="b">
        <f>IFERROR(__xludf.DUMMYFUNCTION("""COMPUTED_VALUE"""),FALSE)</f>
        <v>0</v>
      </c>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t="b">
        <f>IFERROR(__xludf.DUMMYFUNCTION("""COMPUTED_VALUE"""),FALSE)</f>
        <v>0</v>
      </c>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t="b">
        <f>IFERROR(__xludf.DUMMYFUNCTION("""COMPUTED_VALUE"""),FALSE)</f>
        <v>0</v>
      </c>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t="b">
        <f>IFERROR(__xludf.DUMMYFUNCTION("""COMPUTED_VALUE"""),FALSE)</f>
        <v>0</v>
      </c>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t="b">
        <f>IFERROR(__xludf.DUMMYFUNCTION("""COMPUTED_VALUE"""),FALSE)</f>
        <v>0</v>
      </c>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t="b">
        <f>IFERROR(__xludf.DUMMYFUNCTION("""COMPUTED_VALUE"""),FALSE)</f>
        <v>0</v>
      </c>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t="b">
        <f>IFERROR(__xludf.DUMMYFUNCTION("""COMPUTED_VALUE"""),FALSE)</f>
        <v>0</v>
      </c>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t="b">
        <f>IFERROR(__xludf.DUMMYFUNCTION("""COMPUTED_VALUE"""),FALSE)</f>
        <v>0</v>
      </c>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t="b">
        <f>IFERROR(__xludf.DUMMYFUNCTION("""COMPUTED_VALUE"""),FALSE)</f>
        <v>0</v>
      </c>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t="b">
        <f>IFERROR(__xludf.DUMMYFUNCTION("""COMPUTED_VALUE"""),FALSE)</f>
        <v>0</v>
      </c>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t="b">
        <f>IFERROR(__xludf.DUMMYFUNCTION("""COMPUTED_VALUE"""),FALSE)</f>
        <v>0</v>
      </c>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t="b">
        <f>IFERROR(__xludf.DUMMYFUNCTION("""COMPUTED_VALUE"""),FALSE)</f>
        <v>0</v>
      </c>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t="b">
        <f>IFERROR(__xludf.DUMMYFUNCTION("""COMPUTED_VALUE"""),FALSE)</f>
        <v>0</v>
      </c>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t="b">
        <f>IFERROR(__xludf.DUMMYFUNCTION("""COMPUTED_VALUE"""),FALSE)</f>
        <v>0</v>
      </c>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t="b">
        <f>IFERROR(__xludf.DUMMYFUNCTION("""COMPUTED_VALUE"""),FALSE)</f>
        <v>0</v>
      </c>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t="b">
        <f>IFERROR(__xludf.DUMMYFUNCTION("""COMPUTED_VALUE"""),FALSE)</f>
        <v>0</v>
      </c>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t="b">
        <f>IFERROR(__xludf.DUMMYFUNCTION("""COMPUTED_VALUE"""),FALSE)</f>
        <v>0</v>
      </c>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t="b">
        <f>IFERROR(__xludf.DUMMYFUNCTION("""COMPUTED_VALUE"""),FALSE)</f>
        <v>0</v>
      </c>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t="b">
        <f>IFERROR(__xludf.DUMMYFUNCTION("""COMPUTED_VALUE"""),FALSE)</f>
        <v>0</v>
      </c>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t="b">
        <f>IFERROR(__xludf.DUMMYFUNCTION("""COMPUTED_VALUE"""),FALSE)</f>
        <v>0</v>
      </c>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t="b">
        <f>IFERROR(__xludf.DUMMYFUNCTION("""COMPUTED_VALUE"""),FALSE)</f>
        <v>0</v>
      </c>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t="b">
        <f>IFERROR(__xludf.DUMMYFUNCTION("""COMPUTED_VALUE"""),FALSE)</f>
        <v>0</v>
      </c>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t="b">
        <f>IFERROR(__xludf.DUMMYFUNCTION("""COMPUTED_VALUE"""),FALSE)</f>
        <v>0</v>
      </c>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t="b">
        <f>IFERROR(__xludf.DUMMYFUNCTION("""COMPUTED_VALUE"""),FALSE)</f>
        <v>0</v>
      </c>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t="b">
        <f>IFERROR(__xludf.DUMMYFUNCTION("""COMPUTED_VALUE"""),FALSE)</f>
        <v>0</v>
      </c>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t="b">
        <f>IFERROR(__xludf.DUMMYFUNCTION("""COMPUTED_VALUE"""),FALSE)</f>
        <v>0</v>
      </c>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t="b">
        <f>IFERROR(__xludf.DUMMYFUNCTION("""COMPUTED_VALUE"""),FALSE)</f>
        <v>0</v>
      </c>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t="b">
        <f>IFERROR(__xludf.DUMMYFUNCTION("""COMPUTED_VALUE"""),FALSE)</f>
        <v>0</v>
      </c>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t="b">
        <f>IFERROR(__xludf.DUMMYFUNCTION("""COMPUTED_VALUE"""),FALSE)</f>
        <v>0</v>
      </c>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t="b">
        <f>IFERROR(__xludf.DUMMYFUNCTION("""COMPUTED_VALUE"""),FALSE)</f>
        <v>0</v>
      </c>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t="b">
        <f>IFERROR(__xludf.DUMMYFUNCTION("""COMPUTED_VALUE"""),FALSE)</f>
        <v>0</v>
      </c>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t="b">
        <f>IFERROR(__xludf.DUMMYFUNCTION("""COMPUTED_VALUE"""),FALSE)</f>
        <v>0</v>
      </c>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t="b">
        <f>IFERROR(__xludf.DUMMYFUNCTION("""COMPUTED_VALUE"""),FALSE)</f>
        <v>0</v>
      </c>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t="b">
        <f>IFERROR(__xludf.DUMMYFUNCTION("""COMPUTED_VALUE"""),FALSE)</f>
        <v>0</v>
      </c>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t="b">
        <f>IFERROR(__xludf.DUMMYFUNCTION("""COMPUTED_VALUE"""),FALSE)</f>
        <v>0</v>
      </c>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t="b">
        <f>IFERROR(__xludf.DUMMYFUNCTION("""COMPUTED_VALUE"""),FALSE)</f>
        <v>0</v>
      </c>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t="b">
        <f>IFERROR(__xludf.DUMMYFUNCTION("""COMPUTED_VALUE"""),FALSE)</f>
        <v>0</v>
      </c>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t="b">
        <f>IFERROR(__xludf.DUMMYFUNCTION("""COMPUTED_VALUE"""),FALSE)</f>
        <v>0</v>
      </c>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t="b">
        <f>IFERROR(__xludf.DUMMYFUNCTION("""COMPUTED_VALUE"""),FALSE)</f>
        <v>0</v>
      </c>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t="b">
        <f>IFERROR(__xludf.DUMMYFUNCTION("""COMPUTED_VALUE"""),FALSE)</f>
        <v>0</v>
      </c>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t="b">
        <f>IFERROR(__xludf.DUMMYFUNCTION("""COMPUTED_VALUE"""),FALSE)</f>
        <v>0</v>
      </c>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t="b">
        <f>IFERROR(__xludf.DUMMYFUNCTION("""COMPUTED_VALUE"""),FALSE)</f>
        <v>0</v>
      </c>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t="b">
        <f>IFERROR(__xludf.DUMMYFUNCTION("""COMPUTED_VALUE"""),FALSE)</f>
        <v>0</v>
      </c>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t="b">
        <f>IFERROR(__xludf.DUMMYFUNCTION("""COMPUTED_VALUE"""),FALSE)</f>
        <v>0</v>
      </c>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t="b">
        <f>IFERROR(__xludf.DUMMYFUNCTION("""COMPUTED_VALUE"""),FALSE)</f>
        <v>0</v>
      </c>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t="b">
        <f>IFERROR(__xludf.DUMMYFUNCTION("""COMPUTED_VALUE"""),FALSE)</f>
        <v>0</v>
      </c>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t="b">
        <f>IFERROR(__xludf.DUMMYFUNCTION("""COMPUTED_VALUE"""),FALSE)</f>
        <v>0</v>
      </c>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t="b">
        <f>IFERROR(__xludf.DUMMYFUNCTION("""COMPUTED_VALUE"""),FALSE)</f>
        <v>0</v>
      </c>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t="b">
        <f>IFERROR(__xludf.DUMMYFUNCTION("""COMPUTED_VALUE"""),FALSE)</f>
        <v>0</v>
      </c>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t="b">
        <f>IFERROR(__xludf.DUMMYFUNCTION("""COMPUTED_VALUE"""),FALSE)</f>
        <v>0</v>
      </c>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t="b">
        <f>IFERROR(__xludf.DUMMYFUNCTION("""COMPUTED_VALUE"""),FALSE)</f>
        <v>0</v>
      </c>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t="b">
        <f>IFERROR(__xludf.DUMMYFUNCTION("""COMPUTED_VALUE"""),FALSE)</f>
        <v>0</v>
      </c>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t="b">
        <f>IFERROR(__xludf.DUMMYFUNCTION("""COMPUTED_VALUE"""),FALSE)</f>
        <v>0</v>
      </c>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t="b">
        <f>IFERROR(__xludf.DUMMYFUNCTION("""COMPUTED_VALUE"""),FALSE)</f>
        <v>0</v>
      </c>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t="b">
        <f>IFERROR(__xludf.DUMMYFUNCTION("""COMPUTED_VALUE"""),FALSE)</f>
        <v>0</v>
      </c>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t="b">
        <f>IFERROR(__xludf.DUMMYFUNCTION("""COMPUTED_VALUE"""),FALSE)</f>
        <v>0</v>
      </c>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t="b">
        <f>IFERROR(__xludf.DUMMYFUNCTION("""COMPUTED_VALUE"""),FALSE)</f>
        <v>0</v>
      </c>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t="b">
        <f>IFERROR(__xludf.DUMMYFUNCTION("""COMPUTED_VALUE"""),FALSE)</f>
        <v>0</v>
      </c>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t="b">
        <f>IFERROR(__xludf.DUMMYFUNCTION("""COMPUTED_VALUE"""),FALSE)</f>
        <v>0</v>
      </c>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t="b">
        <f>IFERROR(__xludf.DUMMYFUNCTION("""COMPUTED_VALUE"""),FALSE)</f>
        <v>0</v>
      </c>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t="b">
        <f>IFERROR(__xludf.DUMMYFUNCTION("""COMPUTED_VALUE"""),FALSE)</f>
        <v>0</v>
      </c>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t="b">
        <f>IFERROR(__xludf.DUMMYFUNCTION("""COMPUTED_VALUE"""),FALSE)</f>
        <v>0</v>
      </c>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t="b">
        <f>IFERROR(__xludf.DUMMYFUNCTION("""COMPUTED_VALUE"""),FALSE)</f>
        <v>0</v>
      </c>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t="b">
        <f>IFERROR(__xludf.DUMMYFUNCTION("""COMPUTED_VALUE"""),FALSE)</f>
        <v>0</v>
      </c>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t="b">
        <f>IFERROR(__xludf.DUMMYFUNCTION("""COMPUTED_VALUE"""),FALSE)</f>
        <v>0</v>
      </c>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t="b">
        <f>IFERROR(__xludf.DUMMYFUNCTION("""COMPUTED_VALUE"""),FALSE)</f>
        <v>0</v>
      </c>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t="b">
        <f>IFERROR(__xludf.DUMMYFUNCTION("""COMPUTED_VALUE"""),FALSE)</f>
        <v>0</v>
      </c>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t="b">
        <f>IFERROR(__xludf.DUMMYFUNCTION("""COMPUTED_VALUE"""),FALSE)</f>
        <v>0</v>
      </c>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t="b">
        <f>IFERROR(__xludf.DUMMYFUNCTION("""COMPUTED_VALUE"""),FALSE)</f>
        <v>0</v>
      </c>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t="b">
        <f>IFERROR(__xludf.DUMMYFUNCTION("""COMPUTED_VALUE"""),FALSE)</f>
        <v>0</v>
      </c>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t="b">
        <f>IFERROR(__xludf.DUMMYFUNCTION("""COMPUTED_VALUE"""),FALSE)</f>
        <v>0</v>
      </c>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t="b">
        <f>IFERROR(__xludf.DUMMYFUNCTION("""COMPUTED_VALUE"""),FALSE)</f>
        <v>0</v>
      </c>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t="b">
        <f>IFERROR(__xludf.DUMMYFUNCTION("""COMPUTED_VALUE"""),FALSE)</f>
        <v>0</v>
      </c>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t="b">
        <f>IFERROR(__xludf.DUMMYFUNCTION("""COMPUTED_VALUE"""),FALSE)</f>
        <v>0</v>
      </c>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t="b">
        <f>IFERROR(__xludf.DUMMYFUNCTION("""COMPUTED_VALUE"""),FALSE)</f>
        <v>0</v>
      </c>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t="b">
        <f>IFERROR(__xludf.DUMMYFUNCTION("""COMPUTED_VALUE"""),FALSE)</f>
        <v>0</v>
      </c>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t="b">
        <f>IFERROR(__xludf.DUMMYFUNCTION("""COMPUTED_VALUE"""),FALSE)</f>
        <v>0</v>
      </c>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t="b">
        <f>IFERROR(__xludf.DUMMYFUNCTION("""COMPUTED_VALUE"""),FALSE)</f>
        <v>0</v>
      </c>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t="b">
        <f>IFERROR(__xludf.DUMMYFUNCTION("""COMPUTED_VALUE"""),FALSE)</f>
        <v>0</v>
      </c>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t="b">
        <f>IFERROR(__xludf.DUMMYFUNCTION("""COMPUTED_VALUE"""),FALSE)</f>
        <v>0</v>
      </c>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t="b">
        <f>IFERROR(__xludf.DUMMYFUNCTION("""COMPUTED_VALUE"""),FALSE)</f>
        <v>0</v>
      </c>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t="b">
        <f>IFERROR(__xludf.DUMMYFUNCTION("""COMPUTED_VALUE"""),FALSE)</f>
        <v>0</v>
      </c>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t="b">
        <f>IFERROR(__xludf.DUMMYFUNCTION("""COMPUTED_VALUE"""),FALSE)</f>
        <v>0</v>
      </c>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t="b">
        <f>IFERROR(__xludf.DUMMYFUNCTION("""COMPUTED_VALUE"""),FALSE)</f>
        <v>0</v>
      </c>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t="b">
        <f>IFERROR(__xludf.DUMMYFUNCTION("""COMPUTED_VALUE"""),FALSE)</f>
        <v>0</v>
      </c>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t="b">
        <f>IFERROR(__xludf.DUMMYFUNCTION("""COMPUTED_VALUE"""),FALSE)</f>
        <v>0</v>
      </c>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t="b">
        <f>IFERROR(__xludf.DUMMYFUNCTION("""COMPUTED_VALUE"""),FALSE)</f>
        <v>0</v>
      </c>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t="b">
        <f>IFERROR(__xludf.DUMMYFUNCTION("""COMPUTED_VALUE"""),FALSE)</f>
        <v>0</v>
      </c>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t="b">
        <f>IFERROR(__xludf.DUMMYFUNCTION("""COMPUTED_VALUE"""),FALSE)</f>
        <v>0</v>
      </c>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t="b">
        <f>IFERROR(__xludf.DUMMYFUNCTION("""COMPUTED_VALUE"""),FALSE)</f>
        <v>0</v>
      </c>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t="b">
        <f>IFERROR(__xludf.DUMMYFUNCTION("""COMPUTED_VALUE"""),FALSE)</f>
        <v>0</v>
      </c>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t="b">
        <f>IFERROR(__xludf.DUMMYFUNCTION("""COMPUTED_VALUE"""),FALSE)</f>
        <v>0</v>
      </c>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t="b">
        <f>IFERROR(__xludf.DUMMYFUNCTION("""COMPUTED_VALUE"""),FALSE)</f>
        <v>0</v>
      </c>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t="b">
        <f>IFERROR(__xludf.DUMMYFUNCTION("""COMPUTED_VALUE"""),FALSE)</f>
        <v>0</v>
      </c>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t="b">
        <f>IFERROR(__xludf.DUMMYFUNCTION("""COMPUTED_VALUE"""),FALSE)</f>
        <v>0</v>
      </c>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t="b">
        <f>IFERROR(__xludf.DUMMYFUNCTION("""COMPUTED_VALUE"""),FALSE)</f>
        <v>0</v>
      </c>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t="b">
        <f>IFERROR(__xludf.DUMMYFUNCTION("""COMPUTED_VALUE"""),FALSE)</f>
        <v>0</v>
      </c>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t="b">
        <f>IFERROR(__xludf.DUMMYFUNCTION("""COMPUTED_VALUE"""),FALSE)</f>
        <v>0</v>
      </c>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t="b">
        <f>IFERROR(__xludf.DUMMYFUNCTION("""COMPUTED_VALUE"""),FALSE)</f>
        <v>0</v>
      </c>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t="b">
        <f>IFERROR(__xludf.DUMMYFUNCTION("""COMPUTED_VALUE"""),FALSE)</f>
        <v>0</v>
      </c>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t="b">
        <f>IFERROR(__xludf.DUMMYFUNCTION("""COMPUTED_VALUE"""),FALSE)</f>
        <v>0</v>
      </c>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t="b">
        <f>IFERROR(__xludf.DUMMYFUNCTION("""COMPUTED_VALUE"""),FALSE)</f>
        <v>0</v>
      </c>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t="b">
        <f>IFERROR(__xludf.DUMMYFUNCTION("""COMPUTED_VALUE"""),FALSE)</f>
        <v>0</v>
      </c>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t="b">
        <f>IFERROR(__xludf.DUMMYFUNCTION("""COMPUTED_VALUE"""),FALSE)</f>
        <v>0</v>
      </c>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t="b">
        <f>IFERROR(__xludf.DUMMYFUNCTION("""COMPUTED_VALUE"""),FALSE)</f>
        <v>0</v>
      </c>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t="b">
        <f>IFERROR(__xludf.DUMMYFUNCTION("""COMPUTED_VALUE"""),FALSE)</f>
        <v>0</v>
      </c>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t="b">
        <f>IFERROR(__xludf.DUMMYFUNCTION("""COMPUTED_VALUE"""),FALSE)</f>
        <v>0</v>
      </c>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t="b">
        <f>IFERROR(__xludf.DUMMYFUNCTION("""COMPUTED_VALUE"""),FALSE)</f>
        <v>0</v>
      </c>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t="b">
        <f>IFERROR(__xludf.DUMMYFUNCTION("""COMPUTED_VALUE"""),FALSE)</f>
        <v>0</v>
      </c>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t="b">
        <f>IFERROR(__xludf.DUMMYFUNCTION("""COMPUTED_VALUE"""),FALSE)</f>
        <v>0</v>
      </c>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t="b">
        <f>IFERROR(__xludf.DUMMYFUNCTION("""COMPUTED_VALUE"""),FALSE)</f>
        <v>0</v>
      </c>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t="b">
        <f>IFERROR(__xludf.DUMMYFUNCTION("""COMPUTED_VALUE"""),FALSE)</f>
        <v>0</v>
      </c>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t="b">
        <f>IFERROR(__xludf.DUMMYFUNCTION("""COMPUTED_VALUE"""),FALSE)</f>
        <v>0</v>
      </c>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t="b">
        <f>IFERROR(__xludf.DUMMYFUNCTION("""COMPUTED_VALUE"""),FALSE)</f>
        <v>0</v>
      </c>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t="b">
        <f>IFERROR(__xludf.DUMMYFUNCTION("""COMPUTED_VALUE"""),FALSE)</f>
        <v>0</v>
      </c>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t="b">
        <f>IFERROR(__xludf.DUMMYFUNCTION("""COMPUTED_VALUE"""),FALSE)</f>
        <v>0</v>
      </c>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t="b">
        <f>IFERROR(__xludf.DUMMYFUNCTION("""COMPUTED_VALUE"""),FALSE)</f>
        <v>0</v>
      </c>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t="b">
        <f>IFERROR(__xludf.DUMMYFUNCTION("""COMPUTED_VALUE"""),FALSE)</f>
        <v>0</v>
      </c>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t="b">
        <f>IFERROR(__xludf.DUMMYFUNCTION("""COMPUTED_VALUE"""),FALSE)</f>
        <v>0</v>
      </c>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t="b">
        <f>IFERROR(__xludf.DUMMYFUNCTION("""COMPUTED_VALUE"""),FALSE)</f>
        <v>0</v>
      </c>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t="b">
        <f>IFERROR(__xludf.DUMMYFUNCTION("""COMPUTED_VALUE"""),FALSE)</f>
        <v>0</v>
      </c>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t="b">
        <f>IFERROR(__xludf.DUMMYFUNCTION("""COMPUTED_VALUE"""),FALSE)</f>
        <v>0</v>
      </c>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t="b">
        <f>IFERROR(__xludf.DUMMYFUNCTION("""COMPUTED_VALUE"""),FALSE)</f>
        <v>0</v>
      </c>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t="b">
        <f>IFERROR(__xludf.DUMMYFUNCTION("""COMPUTED_VALUE"""),FALSE)</f>
        <v>0</v>
      </c>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t="b">
        <f>IFERROR(__xludf.DUMMYFUNCTION("""COMPUTED_VALUE"""),FALSE)</f>
        <v>0</v>
      </c>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t="b">
        <f>IFERROR(__xludf.DUMMYFUNCTION("""COMPUTED_VALUE"""),FALSE)</f>
        <v>0</v>
      </c>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t="b">
        <f>IFERROR(__xludf.DUMMYFUNCTION("""COMPUTED_VALUE"""),FALSE)</f>
        <v>0</v>
      </c>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t="b">
        <f>IFERROR(__xludf.DUMMYFUNCTION("""COMPUTED_VALUE"""),FALSE)</f>
        <v>0</v>
      </c>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t="b">
        <f>IFERROR(__xludf.DUMMYFUNCTION("""COMPUTED_VALUE"""),FALSE)</f>
        <v>0</v>
      </c>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t="b">
        <f>IFERROR(__xludf.DUMMYFUNCTION("""COMPUTED_VALUE"""),FALSE)</f>
        <v>0</v>
      </c>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t="b">
        <f>IFERROR(__xludf.DUMMYFUNCTION("""COMPUTED_VALUE"""),FALSE)</f>
        <v>0</v>
      </c>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t="b">
        <f>IFERROR(__xludf.DUMMYFUNCTION("""COMPUTED_VALUE"""),FALSE)</f>
        <v>0</v>
      </c>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t="b">
        <f>IFERROR(__xludf.DUMMYFUNCTION("""COMPUTED_VALUE"""),FALSE)</f>
        <v>0</v>
      </c>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t="b">
        <f>IFERROR(__xludf.DUMMYFUNCTION("""COMPUTED_VALUE"""),FALSE)</f>
        <v>0</v>
      </c>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t="b">
        <f>IFERROR(__xludf.DUMMYFUNCTION("""COMPUTED_VALUE"""),FALSE)</f>
        <v>0</v>
      </c>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t="b">
        <f>IFERROR(__xludf.DUMMYFUNCTION("""COMPUTED_VALUE"""),FALSE)</f>
        <v>0</v>
      </c>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t="b">
        <f>IFERROR(__xludf.DUMMYFUNCTION("""COMPUTED_VALUE"""),FALSE)</f>
        <v>0</v>
      </c>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t="b">
        <f>IFERROR(__xludf.DUMMYFUNCTION("""COMPUTED_VALUE"""),FALSE)</f>
        <v>0</v>
      </c>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t="b">
        <f>IFERROR(__xludf.DUMMYFUNCTION("""COMPUTED_VALUE"""),FALSE)</f>
        <v>0</v>
      </c>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t="b">
        <f>IFERROR(__xludf.DUMMYFUNCTION("""COMPUTED_VALUE"""),FALSE)</f>
        <v>0</v>
      </c>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t="b">
        <f>IFERROR(__xludf.DUMMYFUNCTION("""COMPUTED_VALUE"""),FALSE)</f>
        <v>0</v>
      </c>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t="b">
        <f>IFERROR(__xludf.DUMMYFUNCTION("""COMPUTED_VALUE"""),FALSE)</f>
        <v>0</v>
      </c>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t="b">
        <f>IFERROR(__xludf.DUMMYFUNCTION("""COMPUTED_VALUE"""),FALSE)</f>
        <v>0</v>
      </c>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t="b">
        <f>IFERROR(__xludf.DUMMYFUNCTION("""COMPUTED_VALUE"""),FALSE)</f>
        <v>0</v>
      </c>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t="b">
        <f>IFERROR(__xludf.DUMMYFUNCTION("""COMPUTED_VALUE"""),FALSE)</f>
        <v>0</v>
      </c>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t="b">
        <f>IFERROR(__xludf.DUMMYFUNCTION("""COMPUTED_VALUE"""),FALSE)</f>
        <v>0</v>
      </c>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t="b">
        <f>IFERROR(__xludf.DUMMYFUNCTION("""COMPUTED_VALUE"""),FALSE)</f>
        <v>0</v>
      </c>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t="b">
        <f>IFERROR(__xludf.DUMMYFUNCTION("""COMPUTED_VALUE"""),FALSE)</f>
        <v>0</v>
      </c>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t="b">
        <f>IFERROR(__xludf.DUMMYFUNCTION("""COMPUTED_VALUE"""),FALSE)</f>
        <v>0</v>
      </c>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t="b">
        <f>IFERROR(__xludf.DUMMYFUNCTION("""COMPUTED_VALUE"""),FALSE)</f>
        <v>0</v>
      </c>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t="b">
        <f>IFERROR(__xludf.DUMMYFUNCTION("""COMPUTED_VALUE"""),FALSE)</f>
        <v>0</v>
      </c>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t="b">
        <f>IFERROR(__xludf.DUMMYFUNCTION("""COMPUTED_VALUE"""),FALSE)</f>
        <v>0</v>
      </c>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t="b">
        <f>IFERROR(__xludf.DUMMYFUNCTION("""COMPUTED_VALUE"""),FALSE)</f>
        <v>0</v>
      </c>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t="b">
        <f>IFERROR(__xludf.DUMMYFUNCTION("""COMPUTED_VALUE"""),FALSE)</f>
        <v>0</v>
      </c>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t="b">
        <f>IFERROR(__xludf.DUMMYFUNCTION("""COMPUTED_VALUE"""),FALSE)</f>
        <v>0</v>
      </c>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t="b">
        <f>IFERROR(__xludf.DUMMYFUNCTION("""COMPUTED_VALUE"""),FALSE)</f>
        <v>0</v>
      </c>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t="b">
        <f>IFERROR(__xludf.DUMMYFUNCTION("""COMPUTED_VALUE"""),FALSE)</f>
        <v>0</v>
      </c>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t="b">
        <f>IFERROR(__xludf.DUMMYFUNCTION("""COMPUTED_VALUE"""),FALSE)</f>
        <v>0</v>
      </c>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t="b">
        <f>IFERROR(__xludf.DUMMYFUNCTION("""COMPUTED_VALUE"""),FALSE)</f>
        <v>0</v>
      </c>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t="b">
        <f>IFERROR(__xludf.DUMMYFUNCTION("""COMPUTED_VALUE"""),FALSE)</f>
        <v>0</v>
      </c>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t="b">
        <f>IFERROR(__xludf.DUMMYFUNCTION("""COMPUTED_VALUE"""),FALSE)</f>
        <v>0</v>
      </c>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t="b">
        <f>IFERROR(__xludf.DUMMYFUNCTION("""COMPUTED_VALUE"""),FALSE)</f>
        <v>0</v>
      </c>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t="b">
        <f>IFERROR(__xludf.DUMMYFUNCTION("""COMPUTED_VALUE"""),FALSE)</f>
        <v>0</v>
      </c>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t="b">
        <f>IFERROR(__xludf.DUMMYFUNCTION("""COMPUTED_VALUE"""),FALSE)</f>
        <v>0</v>
      </c>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t="b">
        <f>IFERROR(__xludf.DUMMYFUNCTION("""COMPUTED_VALUE"""),FALSE)</f>
        <v>0</v>
      </c>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t="b">
        <f>IFERROR(__xludf.DUMMYFUNCTION("""COMPUTED_VALUE"""),FALSE)</f>
        <v>0</v>
      </c>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t="b">
        <f>IFERROR(__xludf.DUMMYFUNCTION("""COMPUTED_VALUE"""),FALSE)</f>
        <v>0</v>
      </c>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t="b">
        <f>IFERROR(__xludf.DUMMYFUNCTION("""COMPUTED_VALUE"""),FALSE)</f>
        <v>0</v>
      </c>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t="b">
        <f>IFERROR(__xludf.DUMMYFUNCTION("""COMPUTED_VALUE"""),FALSE)</f>
        <v>0</v>
      </c>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t="b">
        <f>IFERROR(__xludf.DUMMYFUNCTION("""COMPUTED_VALUE"""),FALSE)</f>
        <v>0</v>
      </c>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t="b">
        <f>IFERROR(__xludf.DUMMYFUNCTION("""COMPUTED_VALUE"""),FALSE)</f>
        <v>0</v>
      </c>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t="b">
        <f>IFERROR(__xludf.DUMMYFUNCTION("""COMPUTED_VALUE"""),FALSE)</f>
        <v>0</v>
      </c>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t="b">
        <f>IFERROR(__xludf.DUMMYFUNCTION("""COMPUTED_VALUE"""),FALSE)</f>
        <v>0</v>
      </c>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t="b">
        <f>IFERROR(__xludf.DUMMYFUNCTION("""COMPUTED_VALUE"""),FALSE)</f>
        <v>0</v>
      </c>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t="b">
        <f>IFERROR(__xludf.DUMMYFUNCTION("""COMPUTED_VALUE"""),FALSE)</f>
        <v>0</v>
      </c>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t="b">
        <f>IFERROR(__xludf.DUMMYFUNCTION("""COMPUTED_VALUE"""),FALSE)</f>
        <v>0</v>
      </c>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t="b">
        <f>IFERROR(__xludf.DUMMYFUNCTION("""COMPUTED_VALUE"""),FALSE)</f>
        <v>0</v>
      </c>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t="b">
        <f>IFERROR(__xludf.DUMMYFUNCTION("""COMPUTED_VALUE"""),FALSE)</f>
        <v>0</v>
      </c>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t="b">
        <f>IFERROR(__xludf.DUMMYFUNCTION("""COMPUTED_VALUE"""),FALSE)</f>
        <v>0</v>
      </c>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t="b">
        <f>IFERROR(__xludf.DUMMYFUNCTION("""COMPUTED_VALUE"""),FALSE)</f>
        <v>0</v>
      </c>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t="b">
        <f>IFERROR(__xludf.DUMMYFUNCTION("""COMPUTED_VALUE"""),FALSE)</f>
        <v>0</v>
      </c>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t="b">
        <f>IFERROR(__xludf.DUMMYFUNCTION("""COMPUTED_VALUE"""),FALSE)</f>
        <v>0</v>
      </c>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t="b">
        <f>IFERROR(__xludf.DUMMYFUNCTION("""COMPUTED_VALUE"""),FALSE)</f>
        <v>0</v>
      </c>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t="b">
        <f>IFERROR(__xludf.DUMMYFUNCTION("""COMPUTED_VALUE"""),FALSE)</f>
        <v>0</v>
      </c>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t="b">
        <f>IFERROR(__xludf.DUMMYFUNCTION("""COMPUTED_VALUE"""),FALSE)</f>
        <v>0</v>
      </c>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t="b">
        <f>IFERROR(__xludf.DUMMYFUNCTION("""COMPUTED_VALUE"""),FALSE)</f>
        <v>0</v>
      </c>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t="b">
        <f>IFERROR(__xludf.DUMMYFUNCTION("""COMPUTED_VALUE"""),FALSE)</f>
        <v>0</v>
      </c>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t="b">
        <f>IFERROR(__xludf.DUMMYFUNCTION("""COMPUTED_VALUE"""),FALSE)</f>
        <v>0</v>
      </c>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t="b">
        <f>IFERROR(__xludf.DUMMYFUNCTION("""COMPUTED_VALUE"""),FALSE)</f>
        <v>0</v>
      </c>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t="b">
        <f>IFERROR(__xludf.DUMMYFUNCTION("""COMPUTED_VALUE"""),FALSE)</f>
        <v>0</v>
      </c>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t="b">
        <f>IFERROR(__xludf.DUMMYFUNCTION("""COMPUTED_VALUE"""),FALSE)</f>
        <v>0</v>
      </c>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t="b">
        <f>IFERROR(__xludf.DUMMYFUNCTION("""COMPUTED_VALUE"""),FALSE)</f>
        <v>0</v>
      </c>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t="b">
        <f>IFERROR(__xludf.DUMMYFUNCTION("""COMPUTED_VALUE"""),FALSE)</f>
        <v>0</v>
      </c>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t="b">
        <f>IFERROR(__xludf.DUMMYFUNCTION("""COMPUTED_VALUE"""),FALSE)</f>
        <v>0</v>
      </c>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t="b">
        <f>IFERROR(__xludf.DUMMYFUNCTION("""COMPUTED_VALUE"""),FALSE)</f>
        <v>0</v>
      </c>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t="b">
        <f>IFERROR(__xludf.DUMMYFUNCTION("""COMPUTED_VALUE"""),FALSE)</f>
        <v>0</v>
      </c>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t="b">
        <f>IFERROR(__xludf.DUMMYFUNCTION("""COMPUTED_VALUE"""),FALSE)</f>
        <v>0</v>
      </c>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t="b">
        <f>IFERROR(__xludf.DUMMYFUNCTION("""COMPUTED_VALUE"""),FALSE)</f>
        <v>0</v>
      </c>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t="b">
        <f>IFERROR(__xludf.DUMMYFUNCTION("""COMPUTED_VALUE"""),FALSE)</f>
        <v>0</v>
      </c>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t="b">
        <f>IFERROR(__xludf.DUMMYFUNCTION("""COMPUTED_VALUE"""),FALSE)</f>
        <v>0</v>
      </c>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t="b">
        <f>IFERROR(__xludf.DUMMYFUNCTION("""COMPUTED_VALUE"""),FALSE)</f>
        <v>0</v>
      </c>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t="b">
        <f>IFERROR(__xludf.DUMMYFUNCTION("""COMPUTED_VALUE"""),FALSE)</f>
        <v>0</v>
      </c>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t="b">
        <f>IFERROR(__xludf.DUMMYFUNCTION("""COMPUTED_VALUE"""),FALSE)</f>
        <v>0</v>
      </c>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t="b">
        <f>IFERROR(__xludf.DUMMYFUNCTION("""COMPUTED_VALUE"""),FALSE)</f>
        <v>0</v>
      </c>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t="b">
        <f>IFERROR(__xludf.DUMMYFUNCTION("""COMPUTED_VALUE"""),FALSE)</f>
        <v>0</v>
      </c>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t="b">
        <f>IFERROR(__xludf.DUMMYFUNCTION("""COMPUTED_VALUE"""),FALSE)</f>
        <v>0</v>
      </c>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t="b">
        <f>IFERROR(__xludf.DUMMYFUNCTION("""COMPUTED_VALUE"""),FALSE)</f>
        <v>0</v>
      </c>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t="b">
        <f>IFERROR(__xludf.DUMMYFUNCTION("""COMPUTED_VALUE"""),FALSE)</f>
        <v>0</v>
      </c>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t="b">
        <f>IFERROR(__xludf.DUMMYFUNCTION("""COMPUTED_VALUE"""),FALSE)</f>
        <v>0</v>
      </c>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t="b">
        <f>IFERROR(__xludf.DUMMYFUNCTION("""COMPUTED_VALUE"""),FALSE)</f>
        <v>0</v>
      </c>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t="b">
        <f>IFERROR(__xludf.DUMMYFUNCTION("""COMPUTED_VALUE"""),FALSE)</f>
        <v>0</v>
      </c>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t="b">
        <f>IFERROR(__xludf.DUMMYFUNCTION("""COMPUTED_VALUE"""),FALSE)</f>
        <v>0</v>
      </c>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t="b">
        <f>IFERROR(__xludf.DUMMYFUNCTION("""COMPUTED_VALUE"""),FALSE)</f>
        <v>0</v>
      </c>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t="b">
        <f>IFERROR(__xludf.DUMMYFUNCTION("""COMPUTED_VALUE"""),FALSE)</f>
        <v>0</v>
      </c>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t="b">
        <f>IFERROR(__xludf.DUMMYFUNCTION("""COMPUTED_VALUE"""),FALSE)</f>
        <v>0</v>
      </c>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t="b">
        <f>IFERROR(__xludf.DUMMYFUNCTION("""COMPUTED_VALUE"""),FALSE)</f>
        <v>0</v>
      </c>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t="b">
        <f>IFERROR(__xludf.DUMMYFUNCTION("""COMPUTED_VALUE"""),FALSE)</f>
        <v>0</v>
      </c>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t="b">
        <f>IFERROR(__xludf.DUMMYFUNCTION("""COMPUTED_VALUE"""),FALSE)</f>
        <v>0</v>
      </c>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t="b">
        <f>IFERROR(__xludf.DUMMYFUNCTION("""COMPUTED_VALUE"""),FALSE)</f>
        <v>0</v>
      </c>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t="b">
        <f>IFERROR(__xludf.DUMMYFUNCTION("""COMPUTED_VALUE"""),FALSE)</f>
        <v>0</v>
      </c>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t="b">
        <f>IFERROR(__xludf.DUMMYFUNCTION("""COMPUTED_VALUE"""),FALSE)</f>
        <v>0</v>
      </c>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t="b">
        <f>IFERROR(__xludf.DUMMYFUNCTION("""COMPUTED_VALUE"""),FALSE)</f>
        <v>0</v>
      </c>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t="b">
        <f>IFERROR(__xludf.DUMMYFUNCTION("""COMPUTED_VALUE"""),FALSE)</f>
        <v>0</v>
      </c>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t="b">
        <f>IFERROR(__xludf.DUMMYFUNCTION("""COMPUTED_VALUE"""),FALSE)</f>
        <v>0</v>
      </c>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t="b">
        <f>IFERROR(__xludf.DUMMYFUNCTION("""COMPUTED_VALUE"""),FALSE)</f>
        <v>0</v>
      </c>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t="b">
        <f>IFERROR(__xludf.DUMMYFUNCTION("""COMPUTED_VALUE"""),FALSE)</f>
        <v>0</v>
      </c>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t="b">
        <f>IFERROR(__xludf.DUMMYFUNCTION("""COMPUTED_VALUE"""),FALSE)</f>
        <v>0</v>
      </c>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t="b">
        <f>IFERROR(__xludf.DUMMYFUNCTION("""COMPUTED_VALUE"""),FALSE)</f>
        <v>0</v>
      </c>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t="b">
        <f>IFERROR(__xludf.DUMMYFUNCTION("""COMPUTED_VALUE"""),FALSE)</f>
        <v>0</v>
      </c>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t="b">
        <f>IFERROR(__xludf.DUMMYFUNCTION("""COMPUTED_VALUE"""),FALSE)</f>
        <v>0</v>
      </c>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t="b">
        <f>IFERROR(__xludf.DUMMYFUNCTION("""COMPUTED_VALUE"""),FALSE)</f>
        <v>0</v>
      </c>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t="b">
        <f>IFERROR(__xludf.DUMMYFUNCTION("""COMPUTED_VALUE"""),FALSE)</f>
        <v>0</v>
      </c>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t="b">
        <f>IFERROR(__xludf.DUMMYFUNCTION("""COMPUTED_VALUE"""),FALSE)</f>
        <v>0</v>
      </c>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t="b">
        <f>IFERROR(__xludf.DUMMYFUNCTION("""COMPUTED_VALUE"""),FALSE)</f>
        <v>0</v>
      </c>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t="b">
        <f>IFERROR(__xludf.DUMMYFUNCTION("""COMPUTED_VALUE"""),FALSE)</f>
        <v>0</v>
      </c>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t="b">
        <f>IFERROR(__xludf.DUMMYFUNCTION("""COMPUTED_VALUE"""),FALSE)</f>
        <v>0</v>
      </c>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t="b">
        <f>IFERROR(__xludf.DUMMYFUNCTION("""COMPUTED_VALUE"""),FALSE)</f>
        <v>0</v>
      </c>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t="b">
        <f>IFERROR(__xludf.DUMMYFUNCTION("""COMPUTED_VALUE"""),FALSE)</f>
        <v>0</v>
      </c>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t="b">
        <f>IFERROR(__xludf.DUMMYFUNCTION("""COMPUTED_VALUE"""),FALSE)</f>
        <v>0</v>
      </c>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t="b">
        <f>IFERROR(__xludf.DUMMYFUNCTION("""COMPUTED_VALUE"""),FALSE)</f>
        <v>0</v>
      </c>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t="b">
        <f>IFERROR(__xludf.DUMMYFUNCTION("""COMPUTED_VALUE"""),FALSE)</f>
        <v>0</v>
      </c>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t="b">
        <f>IFERROR(__xludf.DUMMYFUNCTION("""COMPUTED_VALUE"""),FALSE)</f>
        <v>0</v>
      </c>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t="b">
        <f>IFERROR(__xludf.DUMMYFUNCTION("""COMPUTED_VALUE"""),FALSE)</f>
        <v>0</v>
      </c>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t="b">
        <f>IFERROR(__xludf.DUMMYFUNCTION("""COMPUTED_VALUE"""),FALSE)</f>
        <v>0</v>
      </c>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t="b">
        <f>IFERROR(__xludf.DUMMYFUNCTION("""COMPUTED_VALUE"""),FALSE)</f>
        <v>0</v>
      </c>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t="b">
        <f>IFERROR(__xludf.DUMMYFUNCTION("""COMPUTED_VALUE"""),FALSE)</f>
        <v>0</v>
      </c>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t="b">
        <f>IFERROR(__xludf.DUMMYFUNCTION("""COMPUTED_VALUE"""),FALSE)</f>
        <v>0</v>
      </c>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t="b">
        <f>IFERROR(__xludf.DUMMYFUNCTION("""COMPUTED_VALUE"""),FALSE)</f>
        <v>0</v>
      </c>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t="b">
        <f>IFERROR(__xludf.DUMMYFUNCTION("""COMPUTED_VALUE"""),FALSE)</f>
        <v>0</v>
      </c>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t="b">
        <f>IFERROR(__xludf.DUMMYFUNCTION("""COMPUTED_VALUE"""),FALSE)</f>
        <v>0</v>
      </c>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t="b">
        <f>IFERROR(__xludf.DUMMYFUNCTION("""COMPUTED_VALUE"""),FALSE)</f>
        <v>0</v>
      </c>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t="b">
        <f>IFERROR(__xludf.DUMMYFUNCTION("""COMPUTED_VALUE"""),FALSE)</f>
        <v>0</v>
      </c>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t="b">
        <f>IFERROR(__xludf.DUMMYFUNCTION("""COMPUTED_VALUE"""),FALSE)</f>
        <v>0</v>
      </c>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t="b">
        <f>IFERROR(__xludf.DUMMYFUNCTION("""COMPUTED_VALUE"""),FALSE)</f>
        <v>0</v>
      </c>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t="b">
        <f>IFERROR(__xludf.DUMMYFUNCTION("""COMPUTED_VALUE"""),FALSE)</f>
        <v>0</v>
      </c>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t="b">
        <f>IFERROR(__xludf.DUMMYFUNCTION("""COMPUTED_VALUE"""),FALSE)</f>
        <v>0</v>
      </c>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t="b">
        <f>IFERROR(__xludf.DUMMYFUNCTION("""COMPUTED_VALUE"""),FALSE)</f>
        <v>0</v>
      </c>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t="b">
        <f>IFERROR(__xludf.DUMMYFUNCTION("""COMPUTED_VALUE"""),FALSE)</f>
        <v>0</v>
      </c>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t="b">
        <f>IFERROR(__xludf.DUMMYFUNCTION("""COMPUTED_VALUE"""),FALSE)</f>
        <v>0</v>
      </c>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t="b">
        <f>IFERROR(__xludf.DUMMYFUNCTION("""COMPUTED_VALUE"""),FALSE)</f>
        <v>0</v>
      </c>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t="b">
        <f>IFERROR(__xludf.DUMMYFUNCTION("""COMPUTED_VALUE"""),FALSE)</f>
        <v>0</v>
      </c>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t="b">
        <f>IFERROR(__xludf.DUMMYFUNCTION("""COMPUTED_VALUE"""),FALSE)</f>
        <v>0</v>
      </c>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t="b">
        <f>IFERROR(__xludf.DUMMYFUNCTION("""COMPUTED_VALUE"""),FALSE)</f>
        <v>0</v>
      </c>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t="b">
        <f>IFERROR(__xludf.DUMMYFUNCTION("""COMPUTED_VALUE"""),FALSE)</f>
        <v>0</v>
      </c>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t="b">
        <f>IFERROR(__xludf.DUMMYFUNCTION("""COMPUTED_VALUE"""),FALSE)</f>
        <v>0</v>
      </c>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t="b">
        <f>IFERROR(__xludf.DUMMYFUNCTION("""COMPUTED_VALUE"""),FALSE)</f>
        <v>0</v>
      </c>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t="b">
        <f>IFERROR(__xludf.DUMMYFUNCTION("""COMPUTED_VALUE"""),FALSE)</f>
        <v>0</v>
      </c>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t="b">
        <f>IFERROR(__xludf.DUMMYFUNCTION("""COMPUTED_VALUE"""),FALSE)</f>
        <v>0</v>
      </c>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t="b">
        <f>IFERROR(__xludf.DUMMYFUNCTION("""COMPUTED_VALUE"""),FALSE)</f>
        <v>0</v>
      </c>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t="b">
        <f>IFERROR(__xludf.DUMMYFUNCTION("""COMPUTED_VALUE"""),FALSE)</f>
        <v>0</v>
      </c>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t="b">
        <f>IFERROR(__xludf.DUMMYFUNCTION("""COMPUTED_VALUE"""),FALSE)</f>
        <v>0</v>
      </c>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t="b">
        <f>IFERROR(__xludf.DUMMYFUNCTION("""COMPUTED_VALUE"""),FALSE)</f>
        <v>0</v>
      </c>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t="b">
        <f>IFERROR(__xludf.DUMMYFUNCTION("""COMPUTED_VALUE"""),FALSE)</f>
        <v>0</v>
      </c>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t="b">
        <f>IFERROR(__xludf.DUMMYFUNCTION("""COMPUTED_VALUE"""),FALSE)</f>
        <v>0</v>
      </c>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t="b">
        <f>IFERROR(__xludf.DUMMYFUNCTION("""COMPUTED_VALUE"""),FALSE)</f>
        <v>0</v>
      </c>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t="b">
        <f>IFERROR(__xludf.DUMMYFUNCTION("""COMPUTED_VALUE"""),FALSE)</f>
        <v>0</v>
      </c>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t="b">
        <f>IFERROR(__xludf.DUMMYFUNCTION("""COMPUTED_VALUE"""),FALSE)</f>
        <v>0</v>
      </c>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drawing r:id="rId1"/>
</worksheet>
</file>